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gembestnl.sharepoint.com/sites/ClusterFinancin/Gedeelde documenten/Beleid/01 P&amp;C cyclus/P&amp;C 2027/02 Begroting 2027/Taakveldenraming 2027/"/>
    </mc:Choice>
  </mc:AlternateContent>
  <xr:revisionPtr revIDLastSave="254" documentId="8_{4A7E39BD-EEE8-42C8-8546-5D9BF8F7958F}" xr6:coauthVersionLast="47" xr6:coauthVersionMax="47" xr10:uidLastSave="{882AB863-8E04-4850-8D66-538044ABE7FD}"/>
  <bookViews>
    <workbookView xWindow="28680" yWindow="-120" windowWidth="29040" windowHeight="15720" firstSheet="27" activeTab="37" xr2:uid="{04176288-F080-41D2-802F-4E7072C39687}"/>
  </bookViews>
  <sheets>
    <sheet name="Inhoudsopgave" sheetId="75" r:id="rId1"/>
    <sheet name="Inlees CODA" sheetId="97" r:id="rId2"/>
    <sheet name="draaitabel inlees CODA" sheetId="89" r:id="rId3"/>
    <sheet name="draaitabel inlees CODA (2)" sheetId="93" r:id="rId4"/>
    <sheet name="afschrijvingen" sheetId="92" r:id="rId5"/>
    <sheet name="controle" sheetId="91" r:id="rId6"/>
    <sheet name="Details1" sheetId="83" r:id="rId7"/>
    <sheet name="Inhoudsopgave 2" sheetId="1" r:id="rId8"/>
    <sheet name="Indexering" sheetId="68" r:id="rId9"/>
    <sheet name="Verwerkingscontrole" sheetId="72" r:id="rId10"/>
    <sheet name="Recap" sheetId="70" r:id="rId11"/>
    <sheet name="T01" sheetId="2" r:id="rId12"/>
    <sheet name="T02" sheetId="3" r:id="rId13"/>
    <sheet name="T03" sheetId="4" r:id="rId14"/>
    <sheet name="T04L" sheetId="6" r:id="rId15"/>
    <sheet name="T04B" sheetId="5" r:id="rId16"/>
    <sheet name="T04W" sheetId="7" r:id="rId17"/>
    <sheet name="T05" sheetId="8" r:id="rId18"/>
    <sheet name="T061" sheetId="9" r:id="rId19"/>
    <sheet name="T062" sheetId="10" r:id="rId20"/>
    <sheet name="T064" sheetId="11" r:id="rId21"/>
    <sheet name="T07" sheetId="12" r:id="rId22"/>
    <sheet name="T08" sheetId="13" r:id="rId23"/>
    <sheet name="T09" sheetId="14" r:id="rId24"/>
    <sheet name="T010" sheetId="15" r:id="rId25"/>
    <sheet name="T011" sheetId="67" r:id="rId26"/>
    <sheet name="T11" sheetId="16" r:id="rId27"/>
    <sheet name="T12" sheetId="17" r:id="rId28"/>
    <sheet name="T21" sheetId="18" r:id="rId29"/>
    <sheet name="T22" sheetId="19" r:id="rId30"/>
    <sheet name="T25" sheetId="20" r:id="rId31"/>
    <sheet name="T31" sheetId="21" r:id="rId32"/>
    <sheet name="T33" sheetId="22" r:id="rId33"/>
    <sheet name="T34" sheetId="23" r:id="rId34"/>
    <sheet name="T42" sheetId="24" r:id="rId35"/>
    <sheet name="T43" sheetId="25" r:id="rId36"/>
    <sheet name="T51" sheetId="26" r:id="rId37"/>
    <sheet name="T52" sheetId="27" r:id="rId38"/>
    <sheet name="T53" sheetId="28" r:id="rId39"/>
    <sheet name="T54" sheetId="29" r:id="rId40"/>
    <sheet name="T55" sheetId="30" r:id="rId41"/>
    <sheet name="T56" sheetId="31" r:id="rId42"/>
    <sheet name="T57" sheetId="32" r:id="rId43"/>
    <sheet name="T61" sheetId="33" r:id="rId44"/>
    <sheet name="Blad1" sheetId="73" state="hidden" r:id="rId45"/>
    <sheet name="T622" sheetId="99" r:id="rId46"/>
    <sheet name="T623" sheetId="100" r:id="rId47"/>
    <sheet name="T63" sheetId="37" r:id="rId48"/>
    <sheet name="T64" sheetId="101" r:id="rId49"/>
    <sheet name="T65" sheetId="39" r:id="rId50"/>
    <sheet name="T660" sheetId="102" r:id="rId51"/>
    <sheet name="T6711" sheetId="103" r:id="rId52"/>
    <sheet name="T6712" sheetId="104" r:id="rId53"/>
    <sheet name="T6713" sheetId="105" r:id="rId54"/>
    <sheet name="T6714" sheetId="106" r:id="rId55"/>
    <sheet name="T6751" sheetId="107" r:id="rId56"/>
    <sheet name="T6752" sheetId="108" r:id="rId57"/>
    <sheet name="T6753" sheetId="109" r:id="rId58"/>
    <sheet name="T6761" sheetId="110" r:id="rId59"/>
    <sheet name="T6762" sheetId="111" r:id="rId60"/>
    <sheet name="T6791" sheetId="112" r:id="rId61"/>
    <sheet name="T6792" sheetId="113" r:id="rId62"/>
    <sheet name="T6811" sheetId="114" r:id="rId63"/>
    <sheet name="T6821" sheetId="115" r:id="rId64"/>
    <sheet name="T6822" sheetId="116" r:id="rId65"/>
    <sheet name="T691" sheetId="57" r:id="rId66"/>
    <sheet name="T692" sheetId="58" r:id="rId67"/>
    <sheet name="T71" sheetId="59" r:id="rId68"/>
    <sheet name="T72" sheetId="60" r:id="rId69"/>
    <sheet name="T73" sheetId="61" r:id="rId70"/>
    <sheet name="T74" sheetId="62" r:id="rId71"/>
    <sheet name="T75" sheetId="63" r:id="rId72"/>
    <sheet name="Blad2" sheetId="74" state="hidden" r:id="rId73"/>
    <sheet name="T81" sheetId="64" r:id="rId74"/>
    <sheet name="T82" sheetId="65" r:id="rId75"/>
    <sheet name="T83" sheetId="66" r:id="rId76"/>
    <sheet name="Blad3" sheetId="98" r:id="rId77"/>
  </sheets>
  <externalReferences>
    <externalReference r:id="rId78"/>
    <externalReference r:id="rId79"/>
  </externalReferences>
  <definedNames>
    <definedName name="_xlnm.Print_Area" localSheetId="0">Inhoudsopgave!$A$1:$B$78</definedName>
    <definedName name="_xlnm.Print_Area" localSheetId="7">'Inhoudsopgave 2'!$A$1:$B$79</definedName>
    <definedName name="_xlnm.Print_Area" localSheetId="11">'T01'!$D$1:$O$524</definedName>
    <definedName name="_xlnm.Print_Area" localSheetId="24">'T010'!$D$1:$O$535</definedName>
    <definedName name="_xlnm.Print_Area" localSheetId="25">'T011'!$D$2:$O$77</definedName>
    <definedName name="_xlnm.Print_Area" localSheetId="12">'T02'!$D$2:$O$781</definedName>
    <definedName name="_xlnm.Print_Area" localSheetId="13">'T03'!$D$2:$O$410</definedName>
    <definedName name="_xlnm.Print_Area" localSheetId="15">T04B!$D$1:$O$688</definedName>
    <definedName name="_xlnm.Print_Area" localSheetId="14">T04L!$D$1:$O$1122</definedName>
    <definedName name="_xlnm.Print_Area" localSheetId="16">T04W!$D$1:$O$375</definedName>
    <definedName name="_xlnm.Print_Area" localSheetId="17">'T05'!$D$2:$O$164</definedName>
    <definedName name="_xlnm.Print_Area" localSheetId="18">'T061'!$D$2:$O$273</definedName>
    <definedName name="_xlnm.Print_Area" localSheetId="19">'T062'!$D$2:$O$244</definedName>
    <definedName name="_xlnm.Print_Area" localSheetId="20">'T064'!$D$2:$O$144</definedName>
    <definedName name="_xlnm.Print_Area" localSheetId="21">'T07'!$D$2:$O$163</definedName>
    <definedName name="_xlnm.Print_Area" localSheetId="22">'T08'!$D$2:$O$205</definedName>
    <definedName name="_xlnm.Print_Area" localSheetId="23">'T09'!$D$2:$O$81</definedName>
    <definedName name="_xlnm.Print_Area" localSheetId="26">'T11'!$D$2:$O$156</definedName>
    <definedName name="_xlnm.Print_Area" localSheetId="27">'T12'!$D$1:$O$482</definedName>
    <definedName name="_xlnm.Print_Area" localSheetId="28">'T21'!$D$2:$O$805</definedName>
    <definedName name="_xlnm.Print_Area" localSheetId="29">'T22'!$D$2:$O$125</definedName>
    <definedName name="_xlnm.Print_Area" localSheetId="30">'T25'!$D$2:$O$139</definedName>
    <definedName name="_xlnm.Print_Area" localSheetId="31">'T31'!$D$1:$O$324</definedName>
    <definedName name="_xlnm.Print_Area" localSheetId="32">'T33'!$D$2:$O$184</definedName>
    <definedName name="_xlnm.Print_Area" localSheetId="33">'T34'!$D$2:$O$289</definedName>
    <definedName name="_xlnm.Print_Area" localSheetId="34">'T42'!$D$2:$O$279</definedName>
    <definedName name="_xlnm.Print_Area" localSheetId="35">'T43'!$D$2:$O$203</definedName>
    <definedName name="_xlnm.Print_Area" localSheetId="36">'T51'!$D$2:$O$199</definedName>
    <definedName name="_xlnm.Print_Area" localSheetId="37">'T52'!$D$2:$O$1352</definedName>
    <definedName name="_xlnm.Print_Area" localSheetId="38">'T53'!$D$1:$O$250</definedName>
    <definedName name="_xlnm.Print_Area" localSheetId="39">'T54'!$D$2:$O$83</definedName>
    <definedName name="_xlnm.Print_Area" localSheetId="40">'T55'!$D$2:$O$120</definedName>
    <definedName name="_xlnm.Print_Area" localSheetId="41">'T56'!$D$2:$O$122</definedName>
    <definedName name="_xlnm.Print_Area" localSheetId="42">'T57'!$D$2:$O$535</definedName>
    <definedName name="_xlnm.Print_Area" localSheetId="43">'T61'!$D$2:$O$640</definedName>
    <definedName name="_xlnm.Print_Area" localSheetId="45">'T622'!$D$2:$O$133</definedName>
    <definedName name="_xlnm.Print_Area" localSheetId="46">'T623'!$D$2:$O$146</definedName>
    <definedName name="_xlnm.Print_Area" localSheetId="47">'T63'!$D$2:$O$544</definedName>
    <definedName name="_xlnm.Print_Area" localSheetId="48">'T64'!$D$2:$O$69</definedName>
    <definedName name="_xlnm.Print_Area" localSheetId="49">'T65'!$D$2:$O$204</definedName>
    <definedName name="_xlnm.Print_Area" localSheetId="50">'T660'!$D$2:$O$258</definedName>
    <definedName name="_xlnm.Print_Area" localSheetId="51">'T6711'!$D$1:$O$86</definedName>
    <definedName name="_xlnm.Print_Area" localSheetId="52">'T6712'!$D$1:$O$108</definedName>
    <definedName name="_xlnm.Print_Area" localSheetId="53">'T6713'!$D$1:$O$75</definedName>
    <definedName name="_xlnm.Print_Area" localSheetId="54">'T6714'!$D$1:$O$61</definedName>
    <definedName name="_xlnm.Print_Area" localSheetId="56">'T6752'!$D$2:$O$166</definedName>
    <definedName name="_xlnm.Print_Area" localSheetId="57">'T6753'!$D$2:$O$80</definedName>
    <definedName name="_xlnm.Print_Area" localSheetId="58">'T6761'!$D$2:$O$72</definedName>
    <definedName name="_xlnm.Print_Area" localSheetId="59">'T6762'!$D$2:$O$127</definedName>
    <definedName name="_xlnm.Print_Area" localSheetId="60">'T6791'!$D$1:$O$66</definedName>
    <definedName name="_xlnm.Print_Area" localSheetId="61">'T6792'!$D$1:$O$62</definedName>
    <definedName name="_xlnm.Print_Area" localSheetId="63">'T6821'!$D$2:$O$77</definedName>
    <definedName name="_xlnm.Print_Area" localSheetId="64">'T6822'!$D$2:$O$75</definedName>
    <definedName name="_xlnm.Print_Area" localSheetId="65">'T691'!$D$1:$O$84</definedName>
    <definedName name="_xlnm.Print_Area" localSheetId="66">'T692'!$D$1:$O$75</definedName>
    <definedName name="_xlnm.Print_Area" localSheetId="67">'T71'!$D$2:$O$313</definedName>
    <definedName name="_xlnm.Print_Area" localSheetId="68">'T72'!$D$2:$O$455</definedName>
    <definedName name="_xlnm.Print_Area" localSheetId="69">'T73'!$D$1:$O$471</definedName>
    <definedName name="_xlnm.Print_Area" localSheetId="70">'T74'!$D$2:$O$525</definedName>
    <definedName name="_xlnm.Print_Area" localSheetId="71">'T75'!$D$2:$O$142</definedName>
    <definedName name="_xlnm.Print_Area" localSheetId="73">'T81'!$D$2:$O$393</definedName>
    <definedName name="_xlnm.Print_Area" localSheetId="74">'T82'!$D$1:$O$393</definedName>
    <definedName name="_xlnm.Print_Area" localSheetId="75">'T83'!$D$2:$O$392</definedName>
  </definedNames>
  <calcPr calcId="191028"/>
  <pivotCaches>
    <pivotCache cacheId="0" r:id="rId8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4" i="27" l="1"/>
  <c r="L188" i="27" s="1"/>
  <c r="N553" i="27"/>
  <c r="M553" i="27"/>
  <c r="M554" i="27" s="1"/>
  <c r="L553" i="27"/>
  <c r="L554" i="27"/>
  <c r="N554" i="27"/>
  <c r="K585" i="27"/>
  <c r="K586" i="27"/>
  <c r="L585" i="27"/>
  <c r="M585" i="27" s="1"/>
  <c r="N585" i="27" s="1"/>
  <c r="K782" i="27"/>
  <c r="L782" i="27" s="1"/>
  <c r="M782" i="27" s="1"/>
  <c r="N782" i="27" s="1"/>
  <c r="N783" i="27" s="1"/>
  <c r="K783" i="27"/>
  <c r="N552" i="27"/>
  <c r="M552" i="27"/>
  <c r="L552" i="27"/>
  <c r="K552" i="27"/>
  <c r="O364" i="4"/>
  <c r="N364" i="4"/>
  <c r="M364" i="4"/>
  <c r="L364" i="4"/>
  <c r="L381" i="4"/>
  <c r="L59" i="24"/>
  <c r="D59" i="24"/>
  <c r="L58" i="4"/>
  <c r="K238" i="4"/>
  <c r="L238" i="4"/>
  <c r="J238" i="4"/>
  <c r="U5" i="116"/>
  <c r="V5" i="116"/>
  <c r="W5" i="116"/>
  <c r="T5" i="116"/>
  <c r="E73" i="116"/>
  <c r="K70" i="116"/>
  <c r="K73" i="116" s="1"/>
  <c r="K58" i="116" s="1"/>
  <c r="K59" i="116" s="1"/>
  <c r="K33" i="116" s="1"/>
  <c r="K39" i="116" s="1"/>
  <c r="K48" i="116" s="1"/>
  <c r="G56" i="116"/>
  <c r="D56" i="116"/>
  <c r="A58" i="116" s="1"/>
  <c r="O46" i="116"/>
  <c r="N46" i="116"/>
  <c r="M46" i="116"/>
  <c r="L46" i="116"/>
  <c r="K46" i="116"/>
  <c r="M72" i="116"/>
  <c r="N72" i="116" s="1"/>
  <c r="O72" i="116" s="1"/>
  <c r="W4" i="116"/>
  <c r="V4" i="116"/>
  <c r="U4" i="116"/>
  <c r="T4" i="116"/>
  <c r="S4" i="116"/>
  <c r="R4" i="116"/>
  <c r="Q4" i="116"/>
  <c r="W3" i="116"/>
  <c r="V3" i="116"/>
  <c r="U3" i="116"/>
  <c r="T3" i="116"/>
  <c r="S3" i="116"/>
  <c r="R3" i="116"/>
  <c r="Q3" i="116"/>
  <c r="W2" i="116"/>
  <c r="V2" i="116"/>
  <c r="U2" i="116"/>
  <c r="T2" i="116"/>
  <c r="S2" i="116"/>
  <c r="R2" i="116"/>
  <c r="Q2" i="116"/>
  <c r="U5" i="115"/>
  <c r="V5" i="115"/>
  <c r="W5" i="115"/>
  <c r="T5" i="115"/>
  <c r="E75" i="115"/>
  <c r="K73" i="115"/>
  <c r="K75" i="115" s="1"/>
  <c r="K58" i="115" s="1"/>
  <c r="E71" i="115"/>
  <c r="K68" i="115"/>
  <c r="K71" i="115" s="1"/>
  <c r="K57" i="115" s="1"/>
  <c r="K59" i="115" s="1"/>
  <c r="K36" i="115" s="1"/>
  <c r="K39" i="115" s="1"/>
  <c r="K47" i="115" s="1"/>
  <c r="G55" i="115"/>
  <c r="D55" i="115"/>
  <c r="O45" i="115"/>
  <c r="N45" i="115"/>
  <c r="M45" i="115"/>
  <c r="L45" i="115"/>
  <c r="K45" i="115"/>
  <c r="D36" i="115"/>
  <c r="W4" i="115"/>
  <c r="V4" i="115"/>
  <c r="U4" i="115"/>
  <c r="T4" i="115"/>
  <c r="S4" i="115"/>
  <c r="R4" i="115"/>
  <c r="Q4" i="115"/>
  <c r="W3" i="115"/>
  <c r="V3" i="115"/>
  <c r="U3" i="115"/>
  <c r="T3" i="115"/>
  <c r="S3" i="115"/>
  <c r="R3" i="115"/>
  <c r="Q3" i="115"/>
  <c r="W2" i="115"/>
  <c r="V2" i="115"/>
  <c r="U2" i="115"/>
  <c r="T2" i="115"/>
  <c r="S2" i="115"/>
  <c r="R2" i="115"/>
  <c r="Q2" i="115"/>
  <c r="U5" i="114"/>
  <c r="V5" i="114"/>
  <c r="W5" i="114"/>
  <c r="T5" i="114"/>
  <c r="L71" i="114"/>
  <c r="M70" i="114"/>
  <c r="U5" i="113"/>
  <c r="V5" i="113"/>
  <c r="W5" i="113"/>
  <c r="T5" i="113"/>
  <c r="E61" i="113"/>
  <c r="K59" i="113"/>
  <c r="K61" i="113" s="1"/>
  <c r="K47" i="113" s="1"/>
  <c r="K48" i="113" s="1"/>
  <c r="K20" i="113" s="1"/>
  <c r="K24" i="113" s="1"/>
  <c r="K37" i="113" s="1"/>
  <c r="D47" i="113"/>
  <c r="G45" i="113"/>
  <c r="B47" i="113" s="1"/>
  <c r="D45" i="113"/>
  <c r="A47" i="113" s="1"/>
  <c r="O35" i="113"/>
  <c r="N35" i="113"/>
  <c r="M35" i="113"/>
  <c r="L35" i="113"/>
  <c r="K35" i="113"/>
  <c r="D20" i="113"/>
  <c r="M60" i="113"/>
  <c r="N60" i="113" s="1"/>
  <c r="O60" i="113" s="1"/>
  <c r="L59" i="113"/>
  <c r="W4" i="113"/>
  <c r="V4" i="113"/>
  <c r="U4" i="113"/>
  <c r="T4" i="113"/>
  <c r="S4" i="113"/>
  <c r="R4" i="113"/>
  <c r="Q4" i="113"/>
  <c r="W3" i="113"/>
  <c r="V3" i="113"/>
  <c r="U3" i="113"/>
  <c r="T3" i="113"/>
  <c r="S3" i="113"/>
  <c r="R3" i="113"/>
  <c r="Q3" i="113"/>
  <c r="W2" i="113"/>
  <c r="V2" i="113"/>
  <c r="U2" i="113"/>
  <c r="T2" i="113"/>
  <c r="S2" i="113"/>
  <c r="R2" i="113"/>
  <c r="Q2" i="113"/>
  <c r="T5" i="112"/>
  <c r="U5" i="112"/>
  <c r="V5" i="112"/>
  <c r="S5" i="112"/>
  <c r="E60" i="112"/>
  <c r="K58" i="112"/>
  <c r="D47" i="112"/>
  <c r="G45" i="112"/>
  <c r="B47" i="112" s="1"/>
  <c r="D45" i="112"/>
  <c r="A47" i="112" s="1"/>
  <c r="O35" i="112"/>
  <c r="N35" i="112"/>
  <c r="M35" i="112"/>
  <c r="L35" i="112"/>
  <c r="K35" i="112"/>
  <c r="D20" i="112"/>
  <c r="M59" i="112"/>
  <c r="V4" i="112"/>
  <c r="U4" i="112"/>
  <c r="T4" i="112"/>
  <c r="S4" i="112"/>
  <c r="R4" i="112"/>
  <c r="Q4" i="112"/>
  <c r="P4" i="112"/>
  <c r="V3" i="112"/>
  <c r="U3" i="112"/>
  <c r="T3" i="112"/>
  <c r="S3" i="112"/>
  <c r="R3" i="112"/>
  <c r="Q3" i="112"/>
  <c r="P3" i="112"/>
  <c r="V2" i="112"/>
  <c r="U2" i="112"/>
  <c r="T2" i="112"/>
  <c r="S2" i="112"/>
  <c r="R2" i="112"/>
  <c r="Q2" i="112"/>
  <c r="P2" i="112"/>
  <c r="U5" i="111"/>
  <c r="V5" i="111"/>
  <c r="W5" i="111"/>
  <c r="T5" i="111"/>
  <c r="E125" i="111"/>
  <c r="K123" i="111"/>
  <c r="K125" i="111" s="1"/>
  <c r="K78" i="111" s="1"/>
  <c r="K79" i="111" s="1"/>
  <c r="K33" i="111" s="1"/>
  <c r="E119" i="111"/>
  <c r="K116" i="111"/>
  <c r="K119" i="111" s="1"/>
  <c r="K73" i="111" s="1"/>
  <c r="K74" i="111" s="1"/>
  <c r="K32" i="111" s="1"/>
  <c r="E112" i="111"/>
  <c r="K109" i="111"/>
  <c r="K112" i="111" s="1"/>
  <c r="K68" i="111" s="1"/>
  <c r="K69" i="111" s="1"/>
  <c r="K31" i="111" s="1"/>
  <c r="E105" i="111"/>
  <c r="K102" i="111"/>
  <c r="K105" i="111" s="1"/>
  <c r="K63" i="111" s="1"/>
  <c r="K64" i="111" s="1"/>
  <c r="K30" i="111" s="1"/>
  <c r="E98" i="111"/>
  <c r="K95" i="111"/>
  <c r="K98" i="111" s="1"/>
  <c r="K58" i="111" s="1"/>
  <c r="K59" i="111" s="1"/>
  <c r="K29" i="111" s="1"/>
  <c r="E91" i="111"/>
  <c r="K88" i="111"/>
  <c r="K91" i="111" s="1"/>
  <c r="K53" i="111" s="1"/>
  <c r="K54" i="111" s="1"/>
  <c r="K28" i="111" s="1"/>
  <c r="K35" i="111" s="1"/>
  <c r="K43" i="111" s="1"/>
  <c r="G76" i="111"/>
  <c r="B78" i="111" s="1"/>
  <c r="D76" i="111"/>
  <c r="A78" i="111" s="1"/>
  <c r="G71" i="111"/>
  <c r="B73" i="111" s="1"/>
  <c r="D71" i="111"/>
  <c r="A73" i="111" s="1"/>
  <c r="G66" i="111"/>
  <c r="B68" i="111" s="1"/>
  <c r="D66" i="111"/>
  <c r="A68" i="111" s="1"/>
  <c r="G61" i="111"/>
  <c r="B63" i="111" s="1"/>
  <c r="D61" i="111"/>
  <c r="A63" i="111" s="1"/>
  <c r="G56" i="111"/>
  <c r="B58" i="111" s="1"/>
  <c r="D56" i="111"/>
  <c r="A58" i="111" s="1"/>
  <c r="G51" i="111"/>
  <c r="B53" i="111" s="1"/>
  <c r="D51" i="111"/>
  <c r="A53" i="111" s="1"/>
  <c r="O41" i="111"/>
  <c r="N41" i="111"/>
  <c r="M41" i="111"/>
  <c r="L41" i="111"/>
  <c r="K41" i="111"/>
  <c r="D33" i="111"/>
  <c r="D32" i="111"/>
  <c r="D31" i="111"/>
  <c r="D30" i="111"/>
  <c r="D29" i="111"/>
  <c r="D28" i="111"/>
  <c r="W4" i="111"/>
  <c r="V4" i="111"/>
  <c r="U4" i="111"/>
  <c r="T4" i="111"/>
  <c r="S4" i="111"/>
  <c r="R4" i="111"/>
  <c r="Q4" i="111"/>
  <c r="W3" i="111"/>
  <c r="V3" i="111"/>
  <c r="U3" i="111"/>
  <c r="T3" i="111"/>
  <c r="S3" i="111"/>
  <c r="R3" i="111"/>
  <c r="Q3" i="111"/>
  <c r="W2" i="111"/>
  <c r="V2" i="111"/>
  <c r="U2" i="111"/>
  <c r="T2" i="111"/>
  <c r="S2" i="111"/>
  <c r="R2" i="111"/>
  <c r="Q2" i="111"/>
  <c r="U5" i="110"/>
  <c r="V5" i="110"/>
  <c r="W5" i="110"/>
  <c r="T5" i="110"/>
  <c r="L71" i="110"/>
  <c r="E71" i="110"/>
  <c r="L55" i="110"/>
  <c r="L56" i="110" s="1"/>
  <c r="L31" i="110" s="1"/>
  <c r="L34" i="110" s="1"/>
  <c r="L45" i="110" s="1"/>
  <c r="G53" i="110"/>
  <c r="B55" i="110" s="1"/>
  <c r="D53" i="110"/>
  <c r="A55" i="110" s="1"/>
  <c r="O43" i="110"/>
  <c r="N43" i="110"/>
  <c r="M43" i="110"/>
  <c r="L43" i="110"/>
  <c r="K43" i="110"/>
  <c r="D31" i="110"/>
  <c r="M70" i="110"/>
  <c r="W4" i="110"/>
  <c r="V4" i="110"/>
  <c r="U4" i="110"/>
  <c r="T4" i="110"/>
  <c r="S4" i="110"/>
  <c r="R4" i="110"/>
  <c r="Q4" i="110"/>
  <c r="W3" i="110"/>
  <c r="V3" i="110"/>
  <c r="U3" i="110"/>
  <c r="T3" i="110"/>
  <c r="S3" i="110"/>
  <c r="R3" i="110"/>
  <c r="Q3" i="110"/>
  <c r="W2" i="110"/>
  <c r="V2" i="110"/>
  <c r="U2" i="110"/>
  <c r="T2" i="110"/>
  <c r="S2" i="110"/>
  <c r="R2" i="110"/>
  <c r="Q2" i="110"/>
  <c r="U5" i="109"/>
  <c r="V5" i="109"/>
  <c r="W5" i="109"/>
  <c r="T5" i="109"/>
  <c r="L79" i="109"/>
  <c r="E79" i="109"/>
  <c r="L63" i="109"/>
  <c r="L64" i="109" s="1"/>
  <c r="L39" i="109" s="1"/>
  <c r="L42" i="109" s="1"/>
  <c r="L53" i="109" s="1"/>
  <c r="G61" i="109"/>
  <c r="B63" i="109" s="1"/>
  <c r="D61" i="109"/>
  <c r="A63" i="109" s="1"/>
  <c r="O51" i="109"/>
  <c r="N51" i="109"/>
  <c r="M51" i="109"/>
  <c r="L51" i="109"/>
  <c r="K39" i="109"/>
  <c r="D39" i="109"/>
  <c r="M78" i="109"/>
  <c r="W4" i="109"/>
  <c r="V4" i="109"/>
  <c r="U4" i="109"/>
  <c r="T4" i="109"/>
  <c r="S4" i="109"/>
  <c r="R4" i="109"/>
  <c r="Q4" i="109"/>
  <c r="W3" i="109"/>
  <c r="V3" i="109"/>
  <c r="U3" i="109"/>
  <c r="T3" i="109"/>
  <c r="S3" i="109"/>
  <c r="R3" i="109"/>
  <c r="Q3" i="109"/>
  <c r="W2" i="109"/>
  <c r="V2" i="109"/>
  <c r="U2" i="109"/>
  <c r="T2" i="109"/>
  <c r="S2" i="109"/>
  <c r="R2" i="109"/>
  <c r="Q2" i="109"/>
  <c r="U5" i="108"/>
  <c r="V5" i="108"/>
  <c r="W5" i="108"/>
  <c r="T5" i="108"/>
  <c r="E164" i="108"/>
  <c r="P159" i="108"/>
  <c r="E159" i="108"/>
  <c r="K155" i="108"/>
  <c r="K154" i="108"/>
  <c r="E150" i="108"/>
  <c r="K147" i="108"/>
  <c r="E143" i="108"/>
  <c r="K140" i="108"/>
  <c r="E136" i="108"/>
  <c r="K133" i="108"/>
  <c r="E129" i="108"/>
  <c r="K114" i="108"/>
  <c r="K108" i="108"/>
  <c r="G91" i="108"/>
  <c r="B93" i="108" s="1"/>
  <c r="D91" i="108"/>
  <c r="A93" i="108" s="1"/>
  <c r="G86" i="108"/>
  <c r="D86" i="108"/>
  <c r="A88" i="108" s="1"/>
  <c r="G81" i="108"/>
  <c r="D81" i="108"/>
  <c r="A83" i="108" s="1"/>
  <c r="G76" i="108"/>
  <c r="D76" i="108"/>
  <c r="A78" i="108" s="1"/>
  <c r="G71" i="108"/>
  <c r="D71" i="108"/>
  <c r="A73" i="108" s="1"/>
  <c r="G66" i="108"/>
  <c r="D66" i="108"/>
  <c r="A68" i="108" s="1"/>
  <c r="O56" i="108"/>
  <c r="N56" i="108"/>
  <c r="M56" i="108"/>
  <c r="L56" i="108"/>
  <c r="K56" i="108"/>
  <c r="D44" i="108"/>
  <c r="L134" i="108"/>
  <c r="M134" i="108" s="1"/>
  <c r="N134" i="108" s="1"/>
  <c r="O134" i="108" s="1"/>
  <c r="W4" i="108"/>
  <c r="V4" i="108"/>
  <c r="U4" i="108"/>
  <c r="T4" i="108"/>
  <c r="S4" i="108"/>
  <c r="R4" i="108"/>
  <c r="Q4" i="108"/>
  <c r="W3" i="108"/>
  <c r="V3" i="108"/>
  <c r="U3" i="108"/>
  <c r="T3" i="108"/>
  <c r="S3" i="108"/>
  <c r="R3" i="108"/>
  <c r="Q3" i="108"/>
  <c r="W2" i="108"/>
  <c r="V2" i="108"/>
  <c r="U2" i="108"/>
  <c r="T2" i="108"/>
  <c r="S2" i="108"/>
  <c r="K163" i="108" s="1"/>
  <c r="R2" i="108"/>
  <c r="Q2" i="108"/>
  <c r="U5" i="107"/>
  <c r="V5" i="107"/>
  <c r="W5" i="107"/>
  <c r="T5" i="107"/>
  <c r="L126" i="107"/>
  <c r="M125" i="107"/>
  <c r="L121" i="107"/>
  <c r="M120" i="107"/>
  <c r="L116" i="107"/>
  <c r="M115" i="107"/>
  <c r="L111" i="107"/>
  <c r="M110" i="107"/>
  <c r="L106" i="107"/>
  <c r="M105" i="107"/>
  <c r="U5" i="106"/>
  <c r="V5" i="106"/>
  <c r="W5" i="106"/>
  <c r="T5" i="106"/>
  <c r="E59" i="106"/>
  <c r="K57" i="106"/>
  <c r="D48" i="106"/>
  <c r="G46" i="106"/>
  <c r="B48" i="106" s="1"/>
  <c r="D46" i="106"/>
  <c r="A48" i="106" s="1"/>
  <c r="O36" i="106"/>
  <c r="N36" i="106"/>
  <c r="M36" i="106"/>
  <c r="L36" i="106"/>
  <c r="K36" i="106"/>
  <c r="M58" i="106"/>
  <c r="N58" i="106" s="1"/>
  <c r="O58" i="106" s="1"/>
  <c r="W4" i="106"/>
  <c r="V4" i="106"/>
  <c r="U4" i="106"/>
  <c r="T4" i="106"/>
  <c r="S4" i="106"/>
  <c r="R4" i="106"/>
  <c r="Q4" i="106"/>
  <c r="W3" i="106"/>
  <c r="V3" i="106"/>
  <c r="U3" i="106"/>
  <c r="T3" i="106"/>
  <c r="S3" i="106"/>
  <c r="R3" i="106"/>
  <c r="Q3" i="106"/>
  <c r="W2" i="106"/>
  <c r="V2" i="106"/>
  <c r="U2" i="106"/>
  <c r="T2" i="106"/>
  <c r="S2" i="106"/>
  <c r="R2" i="106"/>
  <c r="Q2" i="106"/>
  <c r="U5" i="105"/>
  <c r="V5" i="105"/>
  <c r="W5" i="105"/>
  <c r="T5" i="105"/>
  <c r="L65" i="105" s="1"/>
  <c r="M65" i="105" s="1"/>
  <c r="N65" i="105" s="1"/>
  <c r="O65" i="105" s="1"/>
  <c r="E73" i="105"/>
  <c r="M72" i="105"/>
  <c r="N72" i="105" s="1"/>
  <c r="O72" i="105" s="1"/>
  <c r="K71" i="105"/>
  <c r="E67" i="105"/>
  <c r="M66" i="105"/>
  <c r="N66" i="105" s="1"/>
  <c r="O66" i="105" s="1"/>
  <c r="K64" i="105"/>
  <c r="G52" i="105"/>
  <c r="B54" i="105" s="1"/>
  <c r="D52" i="105"/>
  <c r="A54" i="105" s="1"/>
  <c r="G47" i="105"/>
  <c r="B49" i="105" s="1"/>
  <c r="D47" i="105"/>
  <c r="A49" i="105" s="1"/>
  <c r="O37" i="105"/>
  <c r="N37" i="105"/>
  <c r="M37" i="105"/>
  <c r="L37" i="105"/>
  <c r="K37" i="105"/>
  <c r="D26" i="105"/>
  <c r="D25" i="105"/>
  <c r="W4" i="105"/>
  <c r="V4" i="105"/>
  <c r="U4" i="105"/>
  <c r="T4" i="105"/>
  <c r="S4" i="105"/>
  <c r="R4" i="105"/>
  <c r="Q4" i="105"/>
  <c r="W3" i="105"/>
  <c r="V3" i="105"/>
  <c r="U3" i="105"/>
  <c r="T3" i="105"/>
  <c r="S3" i="105"/>
  <c r="R3" i="105"/>
  <c r="Q3" i="105"/>
  <c r="W2" i="105"/>
  <c r="V2" i="105"/>
  <c r="U2" i="105"/>
  <c r="T2" i="105"/>
  <c r="S2" i="105"/>
  <c r="R2" i="105"/>
  <c r="Q2" i="105"/>
  <c r="U5" i="104"/>
  <c r="V5" i="104"/>
  <c r="W5" i="104"/>
  <c r="T5" i="104"/>
  <c r="K107" i="104"/>
  <c r="E107" i="104"/>
  <c r="E92" i="104"/>
  <c r="E78" i="104"/>
  <c r="K71" i="104"/>
  <c r="K62" i="104"/>
  <c r="K63" i="104" s="1"/>
  <c r="K36" i="104" s="1"/>
  <c r="K40" i="104" s="1"/>
  <c r="D62" i="104"/>
  <c r="G60" i="104"/>
  <c r="D60" i="104"/>
  <c r="A62" i="104" s="1"/>
  <c r="D57" i="104"/>
  <c r="G55" i="104"/>
  <c r="D55" i="104"/>
  <c r="A57" i="104" s="1"/>
  <c r="D52" i="104"/>
  <c r="G50" i="104"/>
  <c r="B52" i="104" s="1"/>
  <c r="D50" i="104"/>
  <c r="A52" i="104" s="1"/>
  <c r="D28" i="104"/>
  <c r="M106" i="104"/>
  <c r="N106" i="104" s="1"/>
  <c r="O106" i="104" s="1"/>
  <c r="W4" i="104"/>
  <c r="V4" i="104"/>
  <c r="U4" i="104"/>
  <c r="T4" i="104"/>
  <c r="S4" i="104"/>
  <c r="R4" i="104"/>
  <c r="Q4" i="104"/>
  <c r="W3" i="104"/>
  <c r="V3" i="104"/>
  <c r="U3" i="104"/>
  <c r="T3" i="104"/>
  <c r="S3" i="104"/>
  <c r="R3" i="104"/>
  <c r="Q3" i="104"/>
  <c r="W2" i="104"/>
  <c r="V2" i="104"/>
  <c r="U2" i="104"/>
  <c r="T2" i="104"/>
  <c r="L91" i="104" s="1"/>
  <c r="S2" i="104"/>
  <c r="R2" i="104"/>
  <c r="Q2" i="104"/>
  <c r="U5" i="103"/>
  <c r="V5" i="103"/>
  <c r="W5" i="103"/>
  <c r="T5" i="103"/>
  <c r="K85" i="103"/>
  <c r="E85" i="103"/>
  <c r="E67" i="103"/>
  <c r="K64" i="103"/>
  <c r="K54" i="103"/>
  <c r="K55" i="103" s="1"/>
  <c r="K31" i="103" s="1"/>
  <c r="K37" i="103" s="1"/>
  <c r="D54" i="103"/>
  <c r="G52" i="103"/>
  <c r="B54" i="103" s="1"/>
  <c r="D52" i="103"/>
  <c r="A54" i="103" s="1"/>
  <c r="D49" i="103"/>
  <c r="G47" i="103"/>
  <c r="B49" i="103" s="1"/>
  <c r="D47" i="103"/>
  <c r="A49" i="103" s="1"/>
  <c r="D31" i="103"/>
  <c r="D24" i="103"/>
  <c r="M66" i="103"/>
  <c r="N66" i="103" s="1"/>
  <c r="O66" i="103" s="1"/>
  <c r="W4" i="103"/>
  <c r="V4" i="103"/>
  <c r="U4" i="103"/>
  <c r="T4" i="103"/>
  <c r="S4" i="103"/>
  <c r="R4" i="103"/>
  <c r="Q4" i="103"/>
  <c r="W3" i="103"/>
  <c r="V3" i="103"/>
  <c r="U3" i="103"/>
  <c r="T3" i="103"/>
  <c r="S3" i="103"/>
  <c r="R3" i="103"/>
  <c r="Q3" i="103"/>
  <c r="W2" i="103"/>
  <c r="V2" i="103"/>
  <c r="U2" i="103"/>
  <c r="T2" i="103"/>
  <c r="S2" i="103"/>
  <c r="R2" i="103"/>
  <c r="Q2" i="103"/>
  <c r="U5" i="102"/>
  <c r="V5" i="102"/>
  <c r="W5" i="102"/>
  <c r="T5" i="102"/>
  <c r="E252" i="102"/>
  <c r="K251" i="102"/>
  <c r="O243" i="102"/>
  <c r="N243" i="102"/>
  <c r="M243" i="102"/>
  <c r="L243" i="102"/>
  <c r="K243" i="102"/>
  <c r="J242" i="102"/>
  <c r="J243" i="102" s="1"/>
  <c r="E236" i="102"/>
  <c r="E229" i="102"/>
  <c r="K228" i="102"/>
  <c r="E224" i="102"/>
  <c r="K223" i="102"/>
  <c r="J219" i="102"/>
  <c r="E219" i="102"/>
  <c r="J208" i="102"/>
  <c r="E208" i="102"/>
  <c r="J203" i="102"/>
  <c r="E203" i="102"/>
  <c r="M202" i="102"/>
  <c r="J193" i="102"/>
  <c r="E193" i="102"/>
  <c r="J187" i="102"/>
  <c r="E187" i="102"/>
  <c r="E181" i="102"/>
  <c r="J171" i="102"/>
  <c r="E171" i="102"/>
  <c r="J161" i="102"/>
  <c r="E161" i="102"/>
  <c r="J157" i="102"/>
  <c r="E157" i="102"/>
  <c r="J144" i="102"/>
  <c r="E144" i="102"/>
  <c r="D131" i="102"/>
  <c r="G129" i="102"/>
  <c r="D129" i="102"/>
  <c r="A131" i="102" s="1"/>
  <c r="O126" i="102"/>
  <c r="O127" i="102" s="1"/>
  <c r="O47" i="102" s="1"/>
  <c r="N126" i="102"/>
  <c r="N127" i="102" s="1"/>
  <c r="N47" i="102" s="1"/>
  <c r="M126" i="102"/>
  <c r="M127" i="102" s="1"/>
  <c r="M47" i="102" s="1"/>
  <c r="L126" i="102"/>
  <c r="L127" i="102" s="1"/>
  <c r="L47" i="102" s="1"/>
  <c r="K126" i="102"/>
  <c r="K127" i="102" s="1"/>
  <c r="K47" i="102" s="1"/>
  <c r="G124" i="102"/>
  <c r="D124" i="102"/>
  <c r="A126" i="102" s="1"/>
  <c r="D121" i="102"/>
  <c r="G119" i="102"/>
  <c r="D119" i="102"/>
  <c r="A121" i="102" s="1"/>
  <c r="D116" i="102"/>
  <c r="D115" i="102"/>
  <c r="G113" i="102"/>
  <c r="D113" i="102"/>
  <c r="D110" i="102"/>
  <c r="G108" i="102"/>
  <c r="D108" i="102"/>
  <c r="A110" i="102" s="1"/>
  <c r="D105" i="102"/>
  <c r="G103" i="102"/>
  <c r="D103" i="102"/>
  <c r="A105" i="102" s="1"/>
  <c r="D100" i="102"/>
  <c r="G98" i="102"/>
  <c r="B100" i="102" s="1"/>
  <c r="D98" i="102"/>
  <c r="A100" i="102" s="1"/>
  <c r="D95" i="102"/>
  <c r="G93" i="102"/>
  <c r="B95" i="102" s="1"/>
  <c r="D93" i="102"/>
  <c r="A95" i="102" s="1"/>
  <c r="D90" i="102"/>
  <c r="G88" i="102"/>
  <c r="B90" i="102" s="1"/>
  <c r="D88" i="102"/>
  <c r="A90" i="102" s="1"/>
  <c r="D85" i="102"/>
  <c r="G83" i="102"/>
  <c r="B85" i="102" s="1"/>
  <c r="D83" i="102"/>
  <c r="A85" i="102" s="1"/>
  <c r="D80" i="102"/>
  <c r="G78" i="102"/>
  <c r="B80" i="102" s="1"/>
  <c r="D78" i="102"/>
  <c r="A80" i="102" s="1"/>
  <c r="G72" i="102"/>
  <c r="D72" i="102"/>
  <c r="D69" i="102"/>
  <c r="G67" i="102"/>
  <c r="B69" i="102" s="1"/>
  <c r="D67" i="102"/>
  <c r="A69" i="102" s="1"/>
  <c r="D42" i="102"/>
  <c r="D41" i="102"/>
  <c r="D40" i="102"/>
  <c r="D39" i="102"/>
  <c r="D38" i="102"/>
  <c r="D37" i="102"/>
  <c r="D36" i="102"/>
  <c r="W4" i="102"/>
  <c r="V4" i="102"/>
  <c r="U4" i="102"/>
  <c r="T4" i="102"/>
  <c r="S4" i="102"/>
  <c r="R4" i="102"/>
  <c r="Q4" i="102"/>
  <c r="W3" i="102"/>
  <c r="V3" i="102"/>
  <c r="U3" i="102"/>
  <c r="T3" i="102"/>
  <c r="S3" i="102"/>
  <c r="R3" i="102"/>
  <c r="Q3" i="102"/>
  <c r="W2" i="102"/>
  <c r="V2" i="102"/>
  <c r="U2" i="102"/>
  <c r="M218" i="102" s="1"/>
  <c r="T2" i="102"/>
  <c r="S2" i="102"/>
  <c r="K207" i="102" s="1"/>
  <c r="R2" i="102"/>
  <c r="Q2" i="102"/>
  <c r="N63" i="101"/>
  <c r="M63" i="101"/>
  <c r="L63" i="101"/>
  <c r="K63" i="101"/>
  <c r="E63" i="101"/>
  <c r="O61" i="101"/>
  <c r="O60" i="101"/>
  <c r="O63" i="101" s="1"/>
  <c r="O42" i="101" s="1"/>
  <c r="K56" i="101"/>
  <c r="E56" i="101"/>
  <c r="O55" i="101"/>
  <c r="N42" i="101"/>
  <c r="M42" i="101"/>
  <c r="L42" i="101"/>
  <c r="K42" i="101"/>
  <c r="K41" i="101"/>
  <c r="K43" i="101" s="1"/>
  <c r="K21" i="101" s="1"/>
  <c r="K24" i="101" s="1"/>
  <c r="K31" i="101" s="1"/>
  <c r="G39" i="101"/>
  <c r="D39" i="101"/>
  <c r="O29" i="101"/>
  <c r="N29" i="101"/>
  <c r="M29" i="101"/>
  <c r="L29" i="101"/>
  <c r="K29" i="101"/>
  <c r="T28" i="101"/>
  <c r="W4" i="101"/>
  <c r="V4" i="101"/>
  <c r="U4" i="101"/>
  <c r="T4" i="101"/>
  <c r="S4" i="101"/>
  <c r="R4" i="101"/>
  <c r="Q4" i="101"/>
  <c r="W3" i="101"/>
  <c r="V3" i="101"/>
  <c r="U3" i="101"/>
  <c r="T3" i="101"/>
  <c r="S3" i="101"/>
  <c r="R3" i="101"/>
  <c r="Q3" i="101"/>
  <c r="W2" i="101"/>
  <c r="V2" i="101"/>
  <c r="U2" i="101"/>
  <c r="T2" i="101"/>
  <c r="L54" i="101" s="1"/>
  <c r="S2" i="101"/>
  <c r="R2" i="101"/>
  <c r="Q2" i="101"/>
  <c r="U5" i="100"/>
  <c r="V5" i="100"/>
  <c r="W5" i="100"/>
  <c r="T5" i="100"/>
  <c r="K143" i="100"/>
  <c r="K137" i="100"/>
  <c r="E137" i="100"/>
  <c r="E129" i="100"/>
  <c r="K126" i="100"/>
  <c r="L126" i="100" s="1"/>
  <c r="M126" i="100" s="1"/>
  <c r="N126" i="100" s="1"/>
  <c r="O126" i="100" s="1"/>
  <c r="K125" i="100"/>
  <c r="J125" i="100"/>
  <c r="R123" i="100"/>
  <c r="E117" i="100"/>
  <c r="K95" i="100"/>
  <c r="K96" i="100" s="1"/>
  <c r="K59" i="100" s="1"/>
  <c r="K62" i="100" s="1"/>
  <c r="D95" i="100"/>
  <c r="G93" i="100"/>
  <c r="B95" i="100" s="1"/>
  <c r="D93" i="100"/>
  <c r="A95" i="100" s="1"/>
  <c r="K90" i="100"/>
  <c r="K89" i="100"/>
  <c r="K91" i="100" s="1"/>
  <c r="K53" i="100" s="1"/>
  <c r="D89" i="100"/>
  <c r="G87" i="100"/>
  <c r="D87" i="100"/>
  <c r="D84" i="100"/>
  <c r="G82" i="100"/>
  <c r="B84" i="100" s="1"/>
  <c r="D82" i="100"/>
  <c r="A84" i="100" s="1"/>
  <c r="D78" i="100"/>
  <c r="D77" i="100"/>
  <c r="G72" i="100"/>
  <c r="D72" i="100"/>
  <c r="D59" i="100"/>
  <c r="D53" i="100"/>
  <c r="D52" i="100"/>
  <c r="D51" i="100"/>
  <c r="W4" i="100"/>
  <c r="V4" i="100"/>
  <c r="U4" i="100"/>
  <c r="T4" i="100"/>
  <c r="S4" i="100"/>
  <c r="R4" i="100"/>
  <c r="Q4" i="100"/>
  <c r="W3" i="100"/>
  <c r="V3" i="100"/>
  <c r="U3" i="100"/>
  <c r="T3" i="100"/>
  <c r="S3" i="100"/>
  <c r="R3" i="100"/>
  <c r="Q3" i="100"/>
  <c r="W2" i="100"/>
  <c r="V2" i="100"/>
  <c r="U2" i="100"/>
  <c r="T2" i="100"/>
  <c r="S2" i="100"/>
  <c r="R2" i="100"/>
  <c r="Q2" i="100"/>
  <c r="U5" i="99"/>
  <c r="V5" i="99"/>
  <c r="W5" i="99"/>
  <c r="T5" i="99"/>
  <c r="K132" i="99"/>
  <c r="J132" i="99"/>
  <c r="E132" i="99"/>
  <c r="E126" i="99"/>
  <c r="K124" i="99"/>
  <c r="E120" i="99"/>
  <c r="K114" i="99"/>
  <c r="E110" i="99"/>
  <c r="K107" i="99"/>
  <c r="E103" i="99"/>
  <c r="K91" i="99"/>
  <c r="K92" i="99" s="1"/>
  <c r="K50" i="99" s="1"/>
  <c r="D91" i="99"/>
  <c r="G89" i="99"/>
  <c r="B91" i="99" s="1"/>
  <c r="D89" i="99"/>
  <c r="A91" i="99" s="1"/>
  <c r="D86" i="99"/>
  <c r="G84" i="99"/>
  <c r="B86" i="99" s="1"/>
  <c r="D84" i="99"/>
  <c r="A86" i="99" s="1"/>
  <c r="D81" i="99"/>
  <c r="G79" i="99"/>
  <c r="B81" i="99" s="1"/>
  <c r="D79" i="99"/>
  <c r="A81" i="99" s="1"/>
  <c r="D76" i="99"/>
  <c r="G74" i="99"/>
  <c r="B76" i="99" s="1"/>
  <c r="D74" i="99"/>
  <c r="A76" i="99" s="1"/>
  <c r="D71" i="99"/>
  <c r="G69" i="99"/>
  <c r="B71" i="99" s="1"/>
  <c r="D69" i="99"/>
  <c r="A71" i="99" s="1"/>
  <c r="O59" i="99"/>
  <c r="N59" i="99"/>
  <c r="M59" i="99"/>
  <c r="L59" i="99"/>
  <c r="K59" i="99"/>
  <c r="D50" i="99"/>
  <c r="D49" i="99"/>
  <c r="D48" i="99"/>
  <c r="D47" i="99"/>
  <c r="D46" i="99"/>
  <c r="W4" i="99"/>
  <c r="V4" i="99"/>
  <c r="U4" i="99"/>
  <c r="T4" i="99"/>
  <c r="S4" i="99"/>
  <c r="R4" i="99"/>
  <c r="Q4" i="99"/>
  <c r="W3" i="99"/>
  <c r="V3" i="99"/>
  <c r="U3" i="99"/>
  <c r="T3" i="99"/>
  <c r="S3" i="99"/>
  <c r="K102" i="99" s="1"/>
  <c r="R3" i="99"/>
  <c r="Q3" i="99"/>
  <c r="W2" i="99"/>
  <c r="V2" i="99"/>
  <c r="U2" i="99"/>
  <c r="M131" i="99" s="1"/>
  <c r="T2" i="99"/>
  <c r="L130" i="99" s="1"/>
  <c r="S2" i="99"/>
  <c r="R2" i="99"/>
  <c r="Q2" i="99"/>
  <c r="U5" i="33"/>
  <c r="V5" i="33"/>
  <c r="W5" i="33"/>
  <c r="T5" i="33"/>
  <c r="L217" i="28"/>
  <c r="L211" i="28"/>
  <c r="L145" i="28"/>
  <c r="K119" i="64"/>
  <c r="J182" i="64"/>
  <c r="L179" i="64"/>
  <c r="M179" i="64"/>
  <c r="N179" i="64"/>
  <c r="O179" i="64"/>
  <c r="K179" i="64"/>
  <c r="J334" i="64"/>
  <c r="J234" i="64"/>
  <c r="N195" i="24"/>
  <c r="M783" i="27" l="1"/>
  <c r="L783" i="27"/>
  <c r="N131" i="99"/>
  <c r="M91" i="104"/>
  <c r="N91" i="104" s="1"/>
  <c r="O91" i="104" s="1"/>
  <c r="N202" i="102"/>
  <c r="O202" i="102" s="1"/>
  <c r="O131" i="99"/>
  <c r="N218" i="102"/>
  <c r="O218" i="102" s="1"/>
  <c r="K217" i="102"/>
  <c r="K234" i="102"/>
  <c r="L234" i="102" s="1"/>
  <c r="M234" i="102" s="1"/>
  <c r="N234" i="102" s="1"/>
  <c r="O234" i="102" s="1"/>
  <c r="K201" i="102"/>
  <c r="L201" i="102" s="1"/>
  <c r="K235" i="102"/>
  <c r="L235" i="102" s="1"/>
  <c r="M235" i="102" s="1"/>
  <c r="N235" i="102" s="1"/>
  <c r="O235" i="102" s="1"/>
  <c r="K233" i="102"/>
  <c r="L233" i="102" s="1"/>
  <c r="M192" i="102"/>
  <c r="N192" i="102" s="1"/>
  <c r="O192" i="102" s="1"/>
  <c r="M170" i="102"/>
  <c r="N170" i="102" s="1"/>
  <c r="O170" i="102" s="1"/>
  <c r="M160" i="102"/>
  <c r="N160" i="102" s="1"/>
  <c r="O160" i="102" s="1"/>
  <c r="M156" i="102"/>
  <c r="N156" i="102" s="1"/>
  <c r="O156" i="102" s="1"/>
  <c r="M143" i="102"/>
  <c r="N143" i="102" s="1"/>
  <c r="O143" i="102" s="1"/>
  <c r="K191" i="102"/>
  <c r="K186" i="102"/>
  <c r="K180" i="102"/>
  <c r="K169" i="102"/>
  <c r="K159" i="102"/>
  <c r="K155" i="102"/>
  <c r="K140" i="102"/>
  <c r="L114" i="108"/>
  <c r="L155" i="108"/>
  <c r="K90" i="104"/>
  <c r="L90" i="104" s="1"/>
  <c r="M90" i="104" s="1"/>
  <c r="N90" i="104" s="1"/>
  <c r="O90" i="104" s="1"/>
  <c r="K89" i="104"/>
  <c r="L135" i="100"/>
  <c r="L128" i="100"/>
  <c r="M128" i="100" s="1"/>
  <c r="N128" i="100" s="1"/>
  <c r="O128" i="100" s="1"/>
  <c r="L136" i="100"/>
  <c r="M136" i="100" s="1"/>
  <c r="N136" i="100" s="1"/>
  <c r="O136" i="100" s="1"/>
  <c r="L127" i="100"/>
  <c r="M127" i="100" s="1"/>
  <c r="N127" i="100" s="1"/>
  <c r="O127" i="100" s="1"/>
  <c r="M142" i="100"/>
  <c r="N142" i="100" s="1"/>
  <c r="O142" i="100" s="1"/>
  <c r="K120" i="100"/>
  <c r="K115" i="100"/>
  <c r="L115" i="100" s="1"/>
  <c r="M115" i="100" s="1"/>
  <c r="N115" i="100" s="1"/>
  <c r="O115" i="100" s="1"/>
  <c r="K114" i="100"/>
  <c r="L114" i="100" s="1"/>
  <c r="M114" i="100" s="1"/>
  <c r="N114" i="100" s="1"/>
  <c r="O114" i="100" s="1"/>
  <c r="K112" i="100"/>
  <c r="L112" i="100" s="1"/>
  <c r="M112" i="100" s="1"/>
  <c r="N112" i="100" s="1"/>
  <c r="O112" i="100" s="1"/>
  <c r="K110" i="100"/>
  <c r="L110" i="100" s="1"/>
  <c r="M110" i="100" s="1"/>
  <c r="N110" i="100" s="1"/>
  <c r="O110" i="100" s="1"/>
  <c r="K108" i="100"/>
  <c r="K76" i="100"/>
  <c r="K116" i="100"/>
  <c r="L116" i="100" s="1"/>
  <c r="M116" i="100" s="1"/>
  <c r="N116" i="100" s="1"/>
  <c r="O116" i="100" s="1"/>
  <c r="K113" i="100"/>
  <c r="L113" i="100" s="1"/>
  <c r="M113" i="100" s="1"/>
  <c r="N113" i="100" s="1"/>
  <c r="O113" i="100" s="1"/>
  <c r="K111" i="100"/>
  <c r="L111" i="100" s="1"/>
  <c r="M111" i="100" s="1"/>
  <c r="N111" i="100" s="1"/>
  <c r="O111" i="100" s="1"/>
  <c r="K109" i="100"/>
  <c r="L109" i="100" s="1"/>
  <c r="M109" i="100" s="1"/>
  <c r="N109" i="100" s="1"/>
  <c r="O109" i="100" s="1"/>
  <c r="K107" i="100"/>
  <c r="L107" i="100" s="1"/>
  <c r="K75" i="100"/>
  <c r="L75" i="100" s="1"/>
  <c r="M75" i="100" s="1"/>
  <c r="N75" i="100" s="1"/>
  <c r="O75" i="100" s="1"/>
  <c r="K74" i="100"/>
  <c r="L74" i="100" s="1"/>
  <c r="D33" i="116"/>
  <c r="B58" i="116"/>
  <c r="L71" i="116"/>
  <c r="M71" i="116" s="1"/>
  <c r="N71" i="116" s="1"/>
  <c r="O71" i="116" s="1"/>
  <c r="L70" i="116"/>
  <c r="B58" i="115"/>
  <c r="B57" i="115"/>
  <c r="A58" i="115"/>
  <c r="A57" i="115"/>
  <c r="M74" i="115"/>
  <c r="N74" i="115" s="1"/>
  <c r="O74" i="115" s="1"/>
  <c r="M70" i="115"/>
  <c r="N70" i="115" s="1"/>
  <c r="O70" i="115" s="1"/>
  <c r="L73" i="115"/>
  <c r="L69" i="115"/>
  <c r="M69" i="115" s="1"/>
  <c r="N69" i="115" s="1"/>
  <c r="O69" i="115" s="1"/>
  <c r="L68" i="115"/>
  <c r="M71" i="114"/>
  <c r="N70" i="114"/>
  <c r="M59" i="113"/>
  <c r="L61" i="113"/>
  <c r="L47" i="113" s="1"/>
  <c r="L48" i="113" s="1"/>
  <c r="L20" i="113" s="1"/>
  <c r="L24" i="113" s="1"/>
  <c r="L37" i="113" s="1"/>
  <c r="N59" i="112"/>
  <c r="O59" i="112" s="1"/>
  <c r="K60" i="112"/>
  <c r="K47" i="112" s="1"/>
  <c r="K48" i="112" s="1"/>
  <c r="K20" i="112" s="1"/>
  <c r="K24" i="112" s="1"/>
  <c r="K37" i="112" s="1"/>
  <c r="L58" i="112"/>
  <c r="M118" i="111"/>
  <c r="N118" i="111" s="1"/>
  <c r="O118" i="111" s="1"/>
  <c r="M90" i="111"/>
  <c r="N90" i="111" s="1"/>
  <c r="O90" i="111" s="1"/>
  <c r="M111" i="111"/>
  <c r="N111" i="111" s="1"/>
  <c r="O111" i="111" s="1"/>
  <c r="M104" i="111"/>
  <c r="N104" i="111" s="1"/>
  <c r="O104" i="111" s="1"/>
  <c r="M97" i="111"/>
  <c r="N97" i="111" s="1"/>
  <c r="O97" i="111" s="1"/>
  <c r="L117" i="111"/>
  <c r="M117" i="111" s="1"/>
  <c r="N117" i="111" s="1"/>
  <c r="O117" i="111" s="1"/>
  <c r="L116" i="111"/>
  <c r="L110" i="111"/>
  <c r="M110" i="111" s="1"/>
  <c r="N110" i="111" s="1"/>
  <c r="O110" i="111" s="1"/>
  <c r="L96" i="111"/>
  <c r="M96" i="111" s="1"/>
  <c r="N96" i="111" s="1"/>
  <c r="O96" i="111" s="1"/>
  <c r="L124" i="111"/>
  <c r="M124" i="111" s="1"/>
  <c r="N124" i="111" s="1"/>
  <c r="O124" i="111" s="1"/>
  <c r="L123" i="111"/>
  <c r="L109" i="111"/>
  <c r="L103" i="111"/>
  <c r="M103" i="111" s="1"/>
  <c r="N103" i="111" s="1"/>
  <c r="O103" i="111" s="1"/>
  <c r="L102" i="111"/>
  <c r="L95" i="111"/>
  <c r="L89" i="111"/>
  <c r="M89" i="111" s="1"/>
  <c r="N89" i="111" s="1"/>
  <c r="O89" i="111" s="1"/>
  <c r="L88" i="111"/>
  <c r="N70" i="110"/>
  <c r="M71" i="110"/>
  <c r="M55" i="110" s="1"/>
  <c r="M56" i="110" s="1"/>
  <c r="M31" i="110" s="1"/>
  <c r="M34" i="110" s="1"/>
  <c r="M45" i="110" s="1"/>
  <c r="N78" i="109"/>
  <c r="M79" i="109"/>
  <c r="M63" i="109" s="1"/>
  <c r="M64" i="109" s="1"/>
  <c r="M39" i="109" s="1"/>
  <c r="M42" i="109" s="1"/>
  <c r="M53" i="109" s="1"/>
  <c r="K159" i="108"/>
  <c r="K88" i="108" s="1"/>
  <c r="K89" i="108" s="1"/>
  <c r="K43" i="108" s="1"/>
  <c r="L154" i="108"/>
  <c r="L147" i="108"/>
  <c r="K150" i="108"/>
  <c r="K83" i="108" s="1"/>
  <c r="K84" i="108" s="1"/>
  <c r="K42" i="108" s="1"/>
  <c r="L140" i="108"/>
  <c r="K143" i="108"/>
  <c r="K78" i="108" s="1"/>
  <c r="K79" i="108" s="1"/>
  <c r="K41" i="108" s="1"/>
  <c r="K136" i="108"/>
  <c r="K73" i="108" s="1"/>
  <c r="K74" i="108" s="1"/>
  <c r="K40" i="108" s="1"/>
  <c r="L133" i="108"/>
  <c r="L108" i="108"/>
  <c r="K129" i="108"/>
  <c r="K68" i="108" s="1"/>
  <c r="K69" i="108" s="1"/>
  <c r="K39" i="108" s="1"/>
  <c r="B88" i="108"/>
  <c r="D43" i="108"/>
  <c r="D42" i="108"/>
  <c r="B83" i="108"/>
  <c r="D41" i="108"/>
  <c r="B78" i="108"/>
  <c r="D40" i="108"/>
  <c r="B73" i="108"/>
  <c r="D39" i="108"/>
  <c r="B68" i="108"/>
  <c r="M149" i="108"/>
  <c r="N149" i="108" s="1"/>
  <c r="O149" i="108" s="1"/>
  <c r="M158" i="108"/>
  <c r="N158" i="108" s="1"/>
  <c r="O158" i="108" s="1"/>
  <c r="M142" i="108"/>
  <c r="N142" i="108" s="1"/>
  <c r="O142" i="108" s="1"/>
  <c r="M157" i="108"/>
  <c r="N157" i="108" s="1"/>
  <c r="O157" i="108" s="1"/>
  <c r="M141" i="108"/>
  <c r="N141" i="108" s="1"/>
  <c r="O141" i="108" s="1"/>
  <c r="M135" i="108"/>
  <c r="N135" i="108" s="1"/>
  <c r="O135" i="108" s="1"/>
  <c r="M148" i="108"/>
  <c r="N148" i="108" s="1"/>
  <c r="O148" i="108" s="1"/>
  <c r="L163" i="108"/>
  <c r="K164" i="108"/>
  <c r="K93" i="108" s="1"/>
  <c r="K95" i="108" s="1"/>
  <c r="K44" i="108" s="1"/>
  <c r="M126" i="107"/>
  <c r="N125" i="107"/>
  <c r="M121" i="107"/>
  <c r="N120" i="107"/>
  <c r="M116" i="107"/>
  <c r="N115" i="107"/>
  <c r="M111" i="107"/>
  <c r="N110" i="107"/>
  <c r="N105" i="107"/>
  <c r="M106" i="107"/>
  <c r="K59" i="106"/>
  <c r="K48" i="106" s="1"/>
  <c r="K49" i="106" s="1"/>
  <c r="K26" i="106" s="1"/>
  <c r="K30" i="106" s="1"/>
  <c r="K38" i="106" s="1"/>
  <c r="L57" i="106"/>
  <c r="K73" i="105"/>
  <c r="K54" i="105" s="1"/>
  <c r="K55" i="105" s="1"/>
  <c r="K26" i="105" s="1"/>
  <c r="L71" i="105"/>
  <c r="K67" i="105"/>
  <c r="K49" i="105" s="1"/>
  <c r="K50" i="105" s="1"/>
  <c r="K25" i="105" s="1"/>
  <c r="K30" i="105" s="1"/>
  <c r="K39" i="105" s="1"/>
  <c r="L64" i="105"/>
  <c r="L76" i="104"/>
  <c r="M76" i="104" s="1"/>
  <c r="N76" i="104" s="1"/>
  <c r="O76" i="104" s="1"/>
  <c r="L104" i="104"/>
  <c r="M104" i="104" s="1"/>
  <c r="K78" i="104"/>
  <c r="K52" i="104" s="1"/>
  <c r="K53" i="104" s="1"/>
  <c r="K28" i="104" s="1"/>
  <c r="L71" i="104"/>
  <c r="D36" i="104"/>
  <c r="B62" i="104"/>
  <c r="D29" i="104"/>
  <c r="B57" i="104"/>
  <c r="L107" i="104"/>
  <c r="L62" i="104" s="1"/>
  <c r="L63" i="104" s="1"/>
  <c r="L36" i="104" s="1"/>
  <c r="L40" i="104" s="1"/>
  <c r="K67" i="103"/>
  <c r="K49" i="103" s="1"/>
  <c r="K50" i="103" s="1"/>
  <c r="K24" i="103" s="1"/>
  <c r="K28" i="103" s="1"/>
  <c r="K39" i="103" s="1"/>
  <c r="L64" i="103"/>
  <c r="L83" i="103"/>
  <c r="L65" i="103"/>
  <c r="M65" i="103" s="1"/>
  <c r="N65" i="103" s="1"/>
  <c r="O65" i="103" s="1"/>
  <c r="K252" i="102"/>
  <c r="K131" i="102" s="1"/>
  <c r="K132" i="102" s="1"/>
  <c r="K53" i="102" s="1"/>
  <c r="K57" i="102" s="1"/>
  <c r="L251" i="102"/>
  <c r="K229" i="102"/>
  <c r="K115" i="102" s="1"/>
  <c r="L228" i="102"/>
  <c r="K224" i="102"/>
  <c r="K116" i="102" s="1"/>
  <c r="L223" i="102"/>
  <c r="L217" i="102"/>
  <c r="K219" i="102"/>
  <c r="K110" i="102" s="1"/>
  <c r="K111" i="102" s="1"/>
  <c r="K44" i="102" s="1"/>
  <c r="K208" i="102"/>
  <c r="K105" i="102" s="1"/>
  <c r="K106" i="102" s="1"/>
  <c r="K43" i="102" s="1"/>
  <c r="L207" i="102"/>
  <c r="K203" i="102"/>
  <c r="K100" i="102" s="1"/>
  <c r="K101" i="102" s="1"/>
  <c r="K42" i="102" s="1"/>
  <c r="B131" i="102"/>
  <c r="D53" i="102"/>
  <c r="D47" i="102"/>
  <c r="B126" i="102"/>
  <c r="B121" i="102"/>
  <c r="D46" i="102"/>
  <c r="B116" i="102"/>
  <c r="D45" i="102"/>
  <c r="B115" i="102"/>
  <c r="A116" i="102"/>
  <c r="A115" i="102"/>
  <c r="D44" i="102"/>
  <c r="B110" i="102"/>
  <c r="D43" i="102"/>
  <c r="B105" i="102"/>
  <c r="B74" i="102"/>
  <c r="B75" i="102"/>
  <c r="A74" i="102"/>
  <c r="A75" i="102"/>
  <c r="L56" i="101"/>
  <c r="L41" i="101" s="1"/>
  <c r="L43" i="101" s="1"/>
  <c r="L21" i="101" s="1"/>
  <c r="L24" i="101" s="1"/>
  <c r="L31" i="101" s="1"/>
  <c r="M54" i="101"/>
  <c r="D21" i="101"/>
  <c r="B42" i="101"/>
  <c r="B41" i="101"/>
  <c r="A42" i="101"/>
  <c r="A41" i="101"/>
  <c r="L125" i="100"/>
  <c r="K129" i="100"/>
  <c r="K84" i="100" s="1"/>
  <c r="K85" i="100" s="1"/>
  <c r="K52" i="100" s="1"/>
  <c r="B90" i="100"/>
  <c r="B89" i="100"/>
  <c r="A89" i="100"/>
  <c r="A90" i="100"/>
  <c r="B74" i="100"/>
  <c r="B79" i="100"/>
  <c r="B76" i="100"/>
  <c r="B77" i="100"/>
  <c r="B75" i="100"/>
  <c r="B78" i="100"/>
  <c r="A75" i="100"/>
  <c r="A76" i="100"/>
  <c r="A77" i="100"/>
  <c r="A78" i="100"/>
  <c r="A79" i="100"/>
  <c r="A74" i="100"/>
  <c r="L132" i="99"/>
  <c r="L91" i="99" s="1"/>
  <c r="L92" i="99" s="1"/>
  <c r="L50" i="99" s="1"/>
  <c r="M130" i="99"/>
  <c r="K126" i="99"/>
  <c r="K86" i="99" s="1"/>
  <c r="K87" i="99" s="1"/>
  <c r="K49" i="99" s="1"/>
  <c r="L124" i="99"/>
  <c r="K120" i="99"/>
  <c r="K81" i="99" s="1"/>
  <c r="K82" i="99" s="1"/>
  <c r="K48" i="99" s="1"/>
  <c r="L114" i="99"/>
  <c r="K110" i="99"/>
  <c r="K76" i="99" s="1"/>
  <c r="K77" i="99" s="1"/>
  <c r="K47" i="99" s="1"/>
  <c r="L107" i="99"/>
  <c r="L119" i="99"/>
  <c r="M119" i="99" s="1"/>
  <c r="N119" i="99" s="1"/>
  <c r="O119" i="99" s="1"/>
  <c r="L118" i="99"/>
  <c r="M118" i="99" s="1"/>
  <c r="N118" i="99" s="1"/>
  <c r="O118" i="99" s="1"/>
  <c r="L117" i="99"/>
  <c r="M117" i="99" s="1"/>
  <c r="N117" i="99" s="1"/>
  <c r="O117" i="99" s="1"/>
  <c r="L116" i="99"/>
  <c r="M116" i="99" s="1"/>
  <c r="N116" i="99" s="1"/>
  <c r="O116" i="99" s="1"/>
  <c r="L102" i="99"/>
  <c r="K103" i="99"/>
  <c r="K71" i="99" s="1"/>
  <c r="K72" i="99" s="1"/>
  <c r="K46" i="99" s="1"/>
  <c r="K53" i="99" s="1"/>
  <c r="K61" i="99" s="1"/>
  <c r="N437" i="27"/>
  <c r="K236" i="102" l="1"/>
  <c r="K121" i="102" s="1"/>
  <c r="K122" i="102" s="1"/>
  <c r="K46" i="102" s="1"/>
  <c r="K193" i="102"/>
  <c r="K95" i="102" s="1"/>
  <c r="K96" i="102" s="1"/>
  <c r="K41" i="102" s="1"/>
  <c r="L191" i="102"/>
  <c r="K187" i="102"/>
  <c r="K90" i="102" s="1"/>
  <c r="K91" i="102" s="1"/>
  <c r="K40" i="102" s="1"/>
  <c r="L186" i="102"/>
  <c r="L180" i="102"/>
  <c r="K181" i="102"/>
  <c r="K85" i="102" s="1"/>
  <c r="K86" i="102" s="1"/>
  <c r="K39" i="102" s="1"/>
  <c r="K171" i="102"/>
  <c r="K80" i="102" s="1"/>
  <c r="K81" i="102" s="1"/>
  <c r="K38" i="102" s="1"/>
  <c r="L169" i="102"/>
  <c r="L159" i="102"/>
  <c r="K161" i="102"/>
  <c r="K74" i="102" s="1"/>
  <c r="K157" i="102"/>
  <c r="K75" i="102" s="1"/>
  <c r="L155" i="102"/>
  <c r="K144" i="102"/>
  <c r="K69" i="102" s="1"/>
  <c r="K70" i="102" s="1"/>
  <c r="K36" i="102" s="1"/>
  <c r="L140" i="102"/>
  <c r="L89" i="104"/>
  <c r="L92" i="104" s="1"/>
  <c r="L57" i="104" s="1"/>
  <c r="L58" i="104" s="1"/>
  <c r="L29" i="104" s="1"/>
  <c r="K92" i="104"/>
  <c r="K57" i="104" s="1"/>
  <c r="K58" i="104" s="1"/>
  <c r="K29" i="104" s="1"/>
  <c r="K33" i="104" s="1"/>
  <c r="K42" i="104" s="1"/>
  <c r="L137" i="100"/>
  <c r="L89" i="100" s="1"/>
  <c r="L91" i="100" s="1"/>
  <c r="L53" i="100" s="1"/>
  <c r="M135" i="100"/>
  <c r="M141" i="100"/>
  <c r="L143" i="100"/>
  <c r="L95" i="100" s="1"/>
  <c r="L96" i="100" s="1"/>
  <c r="L59" i="100" s="1"/>
  <c r="L62" i="100" s="1"/>
  <c r="K121" i="100"/>
  <c r="K78" i="100" s="1"/>
  <c r="L120" i="100"/>
  <c r="L108" i="100"/>
  <c r="M108" i="100" s="1"/>
  <c r="N108" i="100" s="1"/>
  <c r="O108" i="100" s="1"/>
  <c r="K117" i="100"/>
  <c r="K77" i="100" s="1"/>
  <c r="L76" i="100"/>
  <c r="M76" i="100" s="1"/>
  <c r="N76" i="100" s="1"/>
  <c r="O76" i="100" s="1"/>
  <c r="M70" i="116"/>
  <c r="L73" i="116"/>
  <c r="L58" i="116" s="1"/>
  <c r="L59" i="116" s="1"/>
  <c r="L33" i="116" s="1"/>
  <c r="L39" i="116" s="1"/>
  <c r="L48" i="116" s="1"/>
  <c r="M73" i="115"/>
  <c r="L75" i="115"/>
  <c r="L58" i="115" s="1"/>
  <c r="M68" i="115"/>
  <c r="L71" i="115"/>
  <c r="L57" i="115" s="1"/>
  <c r="L59" i="115" s="1"/>
  <c r="L36" i="115" s="1"/>
  <c r="L39" i="115" s="1"/>
  <c r="L47" i="115" s="1"/>
  <c r="N71" i="114"/>
  <c r="O70" i="114"/>
  <c r="O71" i="114" s="1"/>
  <c r="N59" i="113"/>
  <c r="M61" i="113"/>
  <c r="M47" i="113" s="1"/>
  <c r="M48" i="113" s="1"/>
  <c r="M20" i="113" s="1"/>
  <c r="M24" i="113" s="1"/>
  <c r="M37" i="113" s="1"/>
  <c r="M58" i="112"/>
  <c r="L60" i="112"/>
  <c r="L47" i="112" s="1"/>
  <c r="L48" i="112" s="1"/>
  <c r="L20" i="112" s="1"/>
  <c r="L24" i="112" s="1"/>
  <c r="L37" i="112" s="1"/>
  <c r="M116" i="111"/>
  <c r="L119" i="111"/>
  <c r="L73" i="111" s="1"/>
  <c r="L74" i="111" s="1"/>
  <c r="L32" i="111" s="1"/>
  <c r="M123" i="111"/>
  <c r="L125" i="111"/>
  <c r="L78" i="111" s="1"/>
  <c r="L79" i="111" s="1"/>
  <c r="L33" i="111" s="1"/>
  <c r="L112" i="111"/>
  <c r="L68" i="111" s="1"/>
  <c r="L69" i="111" s="1"/>
  <c r="L31" i="111" s="1"/>
  <c r="M109" i="111"/>
  <c r="M102" i="111"/>
  <c r="L105" i="111"/>
  <c r="L63" i="111" s="1"/>
  <c r="L64" i="111" s="1"/>
  <c r="L30" i="111" s="1"/>
  <c r="M95" i="111"/>
  <c r="L98" i="111"/>
  <c r="L58" i="111" s="1"/>
  <c r="L59" i="111" s="1"/>
  <c r="L29" i="111" s="1"/>
  <c r="M88" i="111"/>
  <c r="L91" i="111"/>
  <c r="L53" i="111" s="1"/>
  <c r="L54" i="111" s="1"/>
  <c r="L28" i="111" s="1"/>
  <c r="O70" i="110"/>
  <c r="O71" i="110" s="1"/>
  <c r="O55" i="110" s="1"/>
  <c r="O56" i="110" s="1"/>
  <c r="O31" i="110" s="1"/>
  <c r="O34" i="110" s="1"/>
  <c r="O45" i="110" s="1"/>
  <c r="N71" i="110"/>
  <c r="N55" i="110" s="1"/>
  <c r="N56" i="110" s="1"/>
  <c r="N31" i="110" s="1"/>
  <c r="N34" i="110" s="1"/>
  <c r="N45" i="110" s="1"/>
  <c r="O78" i="109"/>
  <c r="O79" i="109" s="1"/>
  <c r="O63" i="109" s="1"/>
  <c r="O64" i="109" s="1"/>
  <c r="O39" i="109" s="1"/>
  <c r="O42" i="109" s="1"/>
  <c r="O53" i="109" s="1"/>
  <c r="N79" i="109"/>
  <c r="N63" i="109" s="1"/>
  <c r="N64" i="109" s="1"/>
  <c r="N39" i="109" s="1"/>
  <c r="N42" i="109" s="1"/>
  <c r="N53" i="109" s="1"/>
  <c r="M154" i="108"/>
  <c r="L159" i="108"/>
  <c r="L88" i="108" s="1"/>
  <c r="L89" i="108" s="1"/>
  <c r="L43" i="108" s="1"/>
  <c r="M147" i="108"/>
  <c r="L150" i="108"/>
  <c r="L83" i="108" s="1"/>
  <c r="L84" i="108" s="1"/>
  <c r="L42" i="108" s="1"/>
  <c r="M140" i="108"/>
  <c r="L143" i="108"/>
  <c r="L78" i="108" s="1"/>
  <c r="L79" i="108" s="1"/>
  <c r="L41" i="108" s="1"/>
  <c r="L136" i="108"/>
  <c r="L73" i="108" s="1"/>
  <c r="L74" i="108" s="1"/>
  <c r="L40" i="108" s="1"/>
  <c r="M133" i="108"/>
  <c r="M108" i="108"/>
  <c r="L129" i="108"/>
  <c r="L68" i="108" s="1"/>
  <c r="L69" i="108" s="1"/>
  <c r="L39" i="108" s="1"/>
  <c r="M163" i="108"/>
  <c r="L164" i="108"/>
  <c r="L93" i="108" s="1"/>
  <c r="L95" i="108" s="1"/>
  <c r="L44" i="108" s="1"/>
  <c r="K47" i="108"/>
  <c r="K58" i="108" s="1"/>
  <c r="N126" i="107"/>
  <c r="O125" i="107"/>
  <c r="O126" i="107" s="1"/>
  <c r="O120" i="107"/>
  <c r="O121" i="107" s="1"/>
  <c r="N121" i="107"/>
  <c r="N116" i="107"/>
  <c r="O115" i="107"/>
  <c r="O116" i="107" s="1"/>
  <c r="O110" i="107"/>
  <c r="O111" i="107" s="1"/>
  <c r="N111" i="107"/>
  <c r="O105" i="107"/>
  <c r="O106" i="107" s="1"/>
  <c r="N106" i="107"/>
  <c r="M57" i="106"/>
  <c r="L59" i="106"/>
  <c r="L48" i="106" s="1"/>
  <c r="L49" i="106" s="1"/>
  <c r="L26" i="106" s="1"/>
  <c r="L30" i="106" s="1"/>
  <c r="L38" i="106" s="1"/>
  <c r="M71" i="105"/>
  <c r="L73" i="105"/>
  <c r="L54" i="105" s="1"/>
  <c r="L55" i="105" s="1"/>
  <c r="L26" i="105" s="1"/>
  <c r="M64" i="105"/>
  <c r="L67" i="105"/>
  <c r="L49" i="105" s="1"/>
  <c r="L50" i="105" s="1"/>
  <c r="L25" i="105" s="1"/>
  <c r="L30" i="105" s="1"/>
  <c r="L39" i="105" s="1"/>
  <c r="M89" i="104"/>
  <c r="M71" i="104"/>
  <c r="L78" i="104"/>
  <c r="L52" i="104" s="1"/>
  <c r="L53" i="104" s="1"/>
  <c r="L28" i="104" s="1"/>
  <c r="N104" i="104"/>
  <c r="M107" i="104"/>
  <c r="M62" i="104" s="1"/>
  <c r="M63" i="104" s="1"/>
  <c r="M36" i="104" s="1"/>
  <c r="M40" i="104" s="1"/>
  <c r="M64" i="103"/>
  <c r="L67" i="103"/>
  <c r="L49" i="103" s="1"/>
  <c r="L50" i="103" s="1"/>
  <c r="L24" i="103" s="1"/>
  <c r="L28" i="103" s="1"/>
  <c r="M83" i="103"/>
  <c r="L85" i="103"/>
  <c r="L54" i="103" s="1"/>
  <c r="L55" i="103" s="1"/>
  <c r="L31" i="103" s="1"/>
  <c r="L37" i="103" s="1"/>
  <c r="M251" i="102"/>
  <c r="L252" i="102"/>
  <c r="L131" i="102" s="1"/>
  <c r="L132" i="102" s="1"/>
  <c r="L53" i="102" s="1"/>
  <c r="L57" i="102" s="1"/>
  <c r="M233" i="102"/>
  <c r="L236" i="102"/>
  <c r="L121" i="102" s="1"/>
  <c r="L122" i="102" s="1"/>
  <c r="L46" i="102" s="1"/>
  <c r="M228" i="102"/>
  <c r="L229" i="102"/>
  <c r="L115" i="102" s="1"/>
  <c r="M223" i="102"/>
  <c r="L224" i="102"/>
  <c r="L116" i="102" s="1"/>
  <c r="M217" i="102"/>
  <c r="L219" i="102"/>
  <c r="L110" i="102" s="1"/>
  <c r="L111" i="102" s="1"/>
  <c r="L44" i="102" s="1"/>
  <c r="M207" i="102"/>
  <c r="L208" i="102"/>
  <c r="L105" i="102" s="1"/>
  <c r="L106" i="102" s="1"/>
  <c r="L43" i="102" s="1"/>
  <c r="M201" i="102"/>
  <c r="L203" i="102"/>
  <c r="L100" i="102" s="1"/>
  <c r="L101" i="102" s="1"/>
  <c r="L42" i="102" s="1"/>
  <c r="K117" i="102"/>
  <c r="K45" i="102" s="1"/>
  <c r="N54" i="101"/>
  <c r="M56" i="101"/>
  <c r="M41" i="101" s="1"/>
  <c r="M43" i="101" s="1"/>
  <c r="M21" i="101" s="1"/>
  <c r="M24" i="101" s="1"/>
  <c r="M31" i="101" s="1"/>
  <c r="M125" i="100"/>
  <c r="L129" i="100"/>
  <c r="L84" i="100" s="1"/>
  <c r="L85" i="100" s="1"/>
  <c r="L52" i="100" s="1"/>
  <c r="M107" i="100"/>
  <c r="M74" i="100"/>
  <c r="N130" i="99"/>
  <c r="M132" i="99"/>
  <c r="M91" i="99" s="1"/>
  <c r="M92" i="99" s="1"/>
  <c r="M50" i="99" s="1"/>
  <c r="M124" i="99"/>
  <c r="L126" i="99"/>
  <c r="L86" i="99" s="1"/>
  <c r="L87" i="99" s="1"/>
  <c r="L49" i="99" s="1"/>
  <c r="M114" i="99"/>
  <c r="L120" i="99"/>
  <c r="L81" i="99" s="1"/>
  <c r="L82" i="99" s="1"/>
  <c r="L48" i="99" s="1"/>
  <c r="M107" i="99"/>
  <c r="L110" i="99"/>
  <c r="L76" i="99" s="1"/>
  <c r="L77" i="99" s="1"/>
  <c r="L47" i="99" s="1"/>
  <c r="M102" i="99"/>
  <c r="L103" i="99"/>
  <c r="L71" i="99" s="1"/>
  <c r="L72" i="99" s="1"/>
  <c r="L46" i="99" s="1"/>
  <c r="M195" i="24"/>
  <c r="K80" i="100" l="1"/>
  <c r="K51" i="100" s="1"/>
  <c r="K56" i="100" s="1"/>
  <c r="K64" i="100" s="1"/>
  <c r="K76" i="102"/>
  <c r="K37" i="102" s="1"/>
  <c r="K50" i="102" s="1"/>
  <c r="K59" i="102" s="1"/>
  <c r="L117" i="100"/>
  <c r="L77" i="100" s="1"/>
  <c r="N141" i="100"/>
  <c r="M143" i="100"/>
  <c r="M95" i="100" s="1"/>
  <c r="M96" i="100" s="1"/>
  <c r="M59" i="100" s="1"/>
  <c r="M62" i="100" s="1"/>
  <c r="L33" i="104"/>
  <c r="L42" i="104" s="1"/>
  <c r="M191" i="102"/>
  <c r="L193" i="102"/>
  <c r="L95" i="102" s="1"/>
  <c r="L96" i="102" s="1"/>
  <c r="L41" i="102" s="1"/>
  <c r="M186" i="102"/>
  <c r="L187" i="102"/>
  <c r="L90" i="102" s="1"/>
  <c r="L91" i="102" s="1"/>
  <c r="L40" i="102" s="1"/>
  <c r="L181" i="102"/>
  <c r="L85" i="102" s="1"/>
  <c r="L86" i="102" s="1"/>
  <c r="L39" i="102" s="1"/>
  <c r="M180" i="102"/>
  <c r="L171" i="102"/>
  <c r="L80" i="102" s="1"/>
  <c r="L81" i="102" s="1"/>
  <c r="L38" i="102" s="1"/>
  <c r="M169" i="102"/>
  <c r="L161" i="102"/>
  <c r="L74" i="102" s="1"/>
  <c r="M159" i="102"/>
  <c r="M155" i="102"/>
  <c r="L157" i="102"/>
  <c r="L75" i="102" s="1"/>
  <c r="M140" i="102"/>
  <c r="L144" i="102"/>
  <c r="L69" i="102" s="1"/>
  <c r="L70" i="102" s="1"/>
  <c r="L36" i="102" s="1"/>
  <c r="M137" i="100"/>
  <c r="M89" i="100" s="1"/>
  <c r="M91" i="100" s="1"/>
  <c r="M53" i="100" s="1"/>
  <c r="N135" i="100"/>
  <c r="M120" i="100"/>
  <c r="L121" i="100"/>
  <c r="L78" i="100" s="1"/>
  <c r="L47" i="108"/>
  <c r="L58" i="108" s="1"/>
  <c r="N70" i="116"/>
  <c r="M73" i="116"/>
  <c r="M58" i="116" s="1"/>
  <c r="M59" i="116" s="1"/>
  <c r="M33" i="116" s="1"/>
  <c r="M39" i="116" s="1"/>
  <c r="M48" i="116" s="1"/>
  <c r="N73" i="115"/>
  <c r="M75" i="115"/>
  <c r="M58" i="115" s="1"/>
  <c r="N68" i="115"/>
  <c r="M71" i="115"/>
  <c r="M57" i="115" s="1"/>
  <c r="M59" i="115" s="1"/>
  <c r="M36" i="115" s="1"/>
  <c r="M39" i="115" s="1"/>
  <c r="M47" i="115" s="1"/>
  <c r="O59" i="113"/>
  <c r="O61" i="113" s="1"/>
  <c r="O47" i="113" s="1"/>
  <c r="O48" i="113" s="1"/>
  <c r="O20" i="113" s="1"/>
  <c r="O24" i="113" s="1"/>
  <c r="O37" i="113" s="1"/>
  <c r="N61" i="113"/>
  <c r="N47" i="113" s="1"/>
  <c r="N48" i="113" s="1"/>
  <c r="N20" i="113" s="1"/>
  <c r="N24" i="113" s="1"/>
  <c r="N37" i="113" s="1"/>
  <c r="N58" i="112"/>
  <c r="M60" i="112"/>
  <c r="M47" i="112" s="1"/>
  <c r="M48" i="112" s="1"/>
  <c r="M20" i="112" s="1"/>
  <c r="M24" i="112" s="1"/>
  <c r="M37" i="112" s="1"/>
  <c r="N116" i="111"/>
  <c r="M119" i="111"/>
  <c r="M73" i="111" s="1"/>
  <c r="M74" i="111" s="1"/>
  <c r="M32" i="111" s="1"/>
  <c r="N123" i="111"/>
  <c r="M125" i="111"/>
  <c r="M78" i="111" s="1"/>
  <c r="M79" i="111" s="1"/>
  <c r="M33" i="111" s="1"/>
  <c r="M112" i="111"/>
  <c r="M68" i="111" s="1"/>
  <c r="M69" i="111" s="1"/>
  <c r="M31" i="111" s="1"/>
  <c r="N109" i="111"/>
  <c r="M105" i="111"/>
  <c r="M63" i="111" s="1"/>
  <c r="M64" i="111" s="1"/>
  <c r="M30" i="111" s="1"/>
  <c r="N102" i="111"/>
  <c r="N95" i="111"/>
  <c r="M98" i="111"/>
  <c r="M58" i="111" s="1"/>
  <c r="M59" i="111" s="1"/>
  <c r="M29" i="111" s="1"/>
  <c r="N88" i="111"/>
  <c r="M91" i="111"/>
  <c r="M53" i="111" s="1"/>
  <c r="M54" i="111" s="1"/>
  <c r="M28" i="111" s="1"/>
  <c r="L35" i="111"/>
  <c r="L43" i="111" s="1"/>
  <c r="M159" i="108"/>
  <c r="M88" i="108" s="1"/>
  <c r="M89" i="108" s="1"/>
  <c r="M43" i="108" s="1"/>
  <c r="N154" i="108"/>
  <c r="N147" i="108"/>
  <c r="M150" i="108"/>
  <c r="M83" i="108" s="1"/>
  <c r="M84" i="108" s="1"/>
  <c r="M42" i="108" s="1"/>
  <c r="M143" i="108"/>
  <c r="M78" i="108" s="1"/>
  <c r="M79" i="108" s="1"/>
  <c r="M41" i="108" s="1"/>
  <c r="N140" i="108"/>
  <c r="M136" i="108"/>
  <c r="M73" i="108" s="1"/>
  <c r="M74" i="108" s="1"/>
  <c r="M40" i="108" s="1"/>
  <c r="N133" i="108"/>
  <c r="N108" i="108"/>
  <c r="M129" i="108"/>
  <c r="M68" i="108" s="1"/>
  <c r="M69" i="108" s="1"/>
  <c r="M39" i="108" s="1"/>
  <c r="N163" i="108"/>
  <c r="M164" i="108"/>
  <c r="M93" i="108" s="1"/>
  <c r="M95" i="108" s="1"/>
  <c r="M44" i="108" s="1"/>
  <c r="N57" i="106"/>
  <c r="M59" i="106"/>
  <c r="M48" i="106" s="1"/>
  <c r="M49" i="106" s="1"/>
  <c r="M26" i="106" s="1"/>
  <c r="M30" i="106" s="1"/>
  <c r="M38" i="106" s="1"/>
  <c r="N71" i="105"/>
  <c r="M73" i="105"/>
  <c r="M54" i="105" s="1"/>
  <c r="M55" i="105" s="1"/>
  <c r="M26" i="105" s="1"/>
  <c r="N64" i="105"/>
  <c r="M67" i="105"/>
  <c r="M49" i="105" s="1"/>
  <c r="M50" i="105" s="1"/>
  <c r="M25" i="105" s="1"/>
  <c r="N89" i="104"/>
  <c r="M92" i="104"/>
  <c r="M57" i="104" s="1"/>
  <c r="M58" i="104" s="1"/>
  <c r="M29" i="104" s="1"/>
  <c r="N71" i="104"/>
  <c r="M78" i="104"/>
  <c r="M52" i="104" s="1"/>
  <c r="M53" i="104" s="1"/>
  <c r="M28" i="104" s="1"/>
  <c r="M33" i="104" s="1"/>
  <c r="M42" i="104" s="1"/>
  <c r="O104" i="104"/>
  <c r="O107" i="104" s="1"/>
  <c r="O62" i="104" s="1"/>
  <c r="O63" i="104" s="1"/>
  <c r="O36" i="104" s="1"/>
  <c r="O40" i="104" s="1"/>
  <c r="N107" i="104"/>
  <c r="N62" i="104" s="1"/>
  <c r="N63" i="104" s="1"/>
  <c r="N36" i="104" s="1"/>
  <c r="N40" i="104" s="1"/>
  <c r="N64" i="103"/>
  <c r="M67" i="103"/>
  <c r="M49" i="103" s="1"/>
  <c r="M50" i="103" s="1"/>
  <c r="M24" i="103" s="1"/>
  <c r="M28" i="103" s="1"/>
  <c r="N83" i="103"/>
  <c r="M85" i="103"/>
  <c r="M54" i="103" s="1"/>
  <c r="M55" i="103" s="1"/>
  <c r="M31" i="103" s="1"/>
  <c r="M37" i="103" s="1"/>
  <c r="L39" i="103"/>
  <c r="N251" i="102"/>
  <c r="M252" i="102"/>
  <c r="M131" i="102" s="1"/>
  <c r="M132" i="102" s="1"/>
  <c r="M53" i="102" s="1"/>
  <c r="M57" i="102" s="1"/>
  <c r="N233" i="102"/>
  <c r="M236" i="102"/>
  <c r="M121" i="102" s="1"/>
  <c r="M122" i="102" s="1"/>
  <c r="M46" i="102" s="1"/>
  <c r="N228" i="102"/>
  <c r="M229" i="102"/>
  <c r="M115" i="102" s="1"/>
  <c r="N223" i="102"/>
  <c r="M224" i="102"/>
  <c r="M116" i="102" s="1"/>
  <c r="N217" i="102"/>
  <c r="M219" i="102"/>
  <c r="M110" i="102" s="1"/>
  <c r="M111" i="102" s="1"/>
  <c r="M44" i="102" s="1"/>
  <c r="N207" i="102"/>
  <c r="M208" i="102"/>
  <c r="M105" i="102" s="1"/>
  <c r="M106" i="102" s="1"/>
  <c r="M43" i="102" s="1"/>
  <c r="N201" i="102"/>
  <c r="M203" i="102"/>
  <c r="M100" i="102" s="1"/>
  <c r="M101" i="102" s="1"/>
  <c r="M42" i="102" s="1"/>
  <c r="L117" i="102"/>
  <c r="L45" i="102" s="1"/>
  <c r="O54" i="101"/>
  <c r="O56" i="101" s="1"/>
  <c r="O41" i="101" s="1"/>
  <c r="O43" i="101" s="1"/>
  <c r="O21" i="101" s="1"/>
  <c r="O24" i="101" s="1"/>
  <c r="O31" i="101" s="1"/>
  <c r="N56" i="101"/>
  <c r="N41" i="101" s="1"/>
  <c r="N43" i="101" s="1"/>
  <c r="N21" i="101" s="1"/>
  <c r="N24" i="101" s="1"/>
  <c r="N31" i="101" s="1"/>
  <c r="N125" i="100"/>
  <c r="M129" i="100"/>
  <c r="M84" i="100" s="1"/>
  <c r="M85" i="100" s="1"/>
  <c r="M52" i="100" s="1"/>
  <c r="N107" i="100"/>
  <c r="M117" i="100"/>
  <c r="M77" i="100" s="1"/>
  <c r="N74" i="100"/>
  <c r="O130" i="99"/>
  <c r="O132" i="99" s="1"/>
  <c r="O91" i="99" s="1"/>
  <c r="O92" i="99" s="1"/>
  <c r="O50" i="99" s="1"/>
  <c r="N132" i="99"/>
  <c r="N91" i="99" s="1"/>
  <c r="N92" i="99" s="1"/>
  <c r="N50" i="99" s="1"/>
  <c r="N124" i="99"/>
  <c r="M126" i="99"/>
  <c r="M86" i="99" s="1"/>
  <c r="M87" i="99" s="1"/>
  <c r="M49" i="99" s="1"/>
  <c r="N114" i="99"/>
  <c r="M120" i="99"/>
  <c r="M81" i="99" s="1"/>
  <c r="M82" i="99" s="1"/>
  <c r="M48" i="99" s="1"/>
  <c r="N107" i="99"/>
  <c r="M110" i="99"/>
  <c r="M76" i="99" s="1"/>
  <c r="M77" i="99" s="1"/>
  <c r="M47" i="99" s="1"/>
  <c r="N102" i="99"/>
  <c r="M103" i="99"/>
  <c r="M71" i="99" s="1"/>
  <c r="M72" i="99" s="1"/>
  <c r="M46" i="99" s="1"/>
  <c r="L53" i="99"/>
  <c r="L61" i="99" s="1"/>
  <c r="H147" i="70"/>
  <c r="G147" i="70"/>
  <c r="L80" i="100" l="1"/>
  <c r="L51" i="100" s="1"/>
  <c r="L56" i="100" s="1"/>
  <c r="L64" i="100" s="1"/>
  <c r="L76" i="102"/>
  <c r="L37" i="102" s="1"/>
  <c r="L50" i="102" s="1"/>
  <c r="L59" i="102" s="1"/>
  <c r="O141" i="100"/>
  <c r="O143" i="100" s="1"/>
  <c r="O95" i="100" s="1"/>
  <c r="O96" i="100" s="1"/>
  <c r="O59" i="100" s="1"/>
  <c r="O62" i="100" s="1"/>
  <c r="N143" i="100"/>
  <c r="N95" i="100" s="1"/>
  <c r="N96" i="100" s="1"/>
  <c r="N59" i="100" s="1"/>
  <c r="N62" i="100" s="1"/>
  <c r="M193" i="102"/>
  <c r="M95" i="102" s="1"/>
  <c r="M96" i="102" s="1"/>
  <c r="M41" i="102" s="1"/>
  <c r="N191" i="102"/>
  <c r="N193" i="102" s="1"/>
  <c r="N95" i="102" s="1"/>
  <c r="N96" i="102" s="1"/>
  <c r="N41" i="102" s="1"/>
  <c r="N186" i="102"/>
  <c r="M187" i="102"/>
  <c r="M90" i="102" s="1"/>
  <c r="M91" i="102" s="1"/>
  <c r="M40" i="102" s="1"/>
  <c r="N180" i="102"/>
  <c r="M181" i="102"/>
  <c r="M85" i="102" s="1"/>
  <c r="M86" i="102" s="1"/>
  <c r="M39" i="102" s="1"/>
  <c r="M171" i="102"/>
  <c r="M80" i="102" s="1"/>
  <c r="M81" i="102" s="1"/>
  <c r="M38" i="102" s="1"/>
  <c r="N169" i="102"/>
  <c r="N159" i="102"/>
  <c r="M161" i="102"/>
  <c r="M74" i="102" s="1"/>
  <c r="M157" i="102"/>
  <c r="M75" i="102" s="1"/>
  <c r="N155" i="102"/>
  <c r="N140" i="102"/>
  <c r="M144" i="102"/>
  <c r="M69" i="102" s="1"/>
  <c r="M70" i="102" s="1"/>
  <c r="M36" i="102" s="1"/>
  <c r="O135" i="100"/>
  <c r="O137" i="100" s="1"/>
  <c r="O89" i="100" s="1"/>
  <c r="O91" i="100" s="1"/>
  <c r="O53" i="100" s="1"/>
  <c r="N137" i="100"/>
  <c r="N89" i="100" s="1"/>
  <c r="N91" i="100" s="1"/>
  <c r="N53" i="100" s="1"/>
  <c r="M121" i="100"/>
  <c r="M78" i="100" s="1"/>
  <c r="M80" i="100" s="1"/>
  <c r="M51" i="100" s="1"/>
  <c r="M56" i="100" s="1"/>
  <c r="M64" i="100" s="1"/>
  <c r="N120" i="100"/>
  <c r="O120" i="100" s="1"/>
  <c r="O121" i="100" s="1"/>
  <c r="O78" i="100" s="1"/>
  <c r="M47" i="108"/>
  <c r="M58" i="108" s="1"/>
  <c r="O70" i="116"/>
  <c r="O73" i="116" s="1"/>
  <c r="O58" i="116" s="1"/>
  <c r="O59" i="116" s="1"/>
  <c r="O33" i="116" s="1"/>
  <c r="O39" i="116" s="1"/>
  <c r="O48" i="116" s="1"/>
  <c r="N73" i="116"/>
  <c r="N58" i="116" s="1"/>
  <c r="N59" i="116" s="1"/>
  <c r="N33" i="116" s="1"/>
  <c r="N39" i="116" s="1"/>
  <c r="N48" i="116" s="1"/>
  <c r="O73" i="115"/>
  <c r="O75" i="115" s="1"/>
  <c r="O58" i="115" s="1"/>
  <c r="N75" i="115"/>
  <c r="N58" i="115" s="1"/>
  <c r="O68" i="115"/>
  <c r="O71" i="115" s="1"/>
  <c r="O57" i="115" s="1"/>
  <c r="N71" i="115"/>
  <c r="N57" i="115" s="1"/>
  <c r="N59" i="115" s="1"/>
  <c r="N36" i="115" s="1"/>
  <c r="N39" i="115" s="1"/>
  <c r="N47" i="115" s="1"/>
  <c r="O58" i="112"/>
  <c r="O60" i="112" s="1"/>
  <c r="O47" i="112" s="1"/>
  <c r="O48" i="112" s="1"/>
  <c r="O20" i="112" s="1"/>
  <c r="O24" i="112" s="1"/>
  <c r="O37" i="112" s="1"/>
  <c r="N60" i="112"/>
  <c r="N47" i="112" s="1"/>
  <c r="N48" i="112" s="1"/>
  <c r="N20" i="112" s="1"/>
  <c r="N24" i="112" s="1"/>
  <c r="N37" i="112" s="1"/>
  <c r="M35" i="111"/>
  <c r="M43" i="111" s="1"/>
  <c r="O116" i="111"/>
  <c r="O119" i="111" s="1"/>
  <c r="O73" i="111" s="1"/>
  <c r="O74" i="111" s="1"/>
  <c r="O32" i="111" s="1"/>
  <c r="N119" i="111"/>
  <c r="N73" i="111" s="1"/>
  <c r="N74" i="111" s="1"/>
  <c r="N32" i="111" s="1"/>
  <c r="O123" i="111"/>
  <c r="O125" i="111" s="1"/>
  <c r="O78" i="111" s="1"/>
  <c r="O79" i="111" s="1"/>
  <c r="O33" i="111" s="1"/>
  <c r="N125" i="111"/>
  <c r="N78" i="111" s="1"/>
  <c r="N79" i="111" s="1"/>
  <c r="N33" i="111" s="1"/>
  <c r="O109" i="111"/>
  <c r="O112" i="111" s="1"/>
  <c r="O68" i="111" s="1"/>
  <c r="O69" i="111" s="1"/>
  <c r="O31" i="111" s="1"/>
  <c r="N112" i="111"/>
  <c r="N68" i="111" s="1"/>
  <c r="N69" i="111" s="1"/>
  <c r="N31" i="111" s="1"/>
  <c r="O102" i="111"/>
  <c r="O105" i="111" s="1"/>
  <c r="O63" i="111" s="1"/>
  <c r="O64" i="111" s="1"/>
  <c r="O30" i="111" s="1"/>
  <c r="N105" i="111"/>
  <c r="N63" i="111" s="1"/>
  <c r="N64" i="111" s="1"/>
  <c r="N30" i="111" s="1"/>
  <c r="O95" i="111"/>
  <c r="O98" i="111" s="1"/>
  <c r="O58" i="111" s="1"/>
  <c r="O59" i="111" s="1"/>
  <c r="O29" i="111" s="1"/>
  <c r="N98" i="111"/>
  <c r="N58" i="111" s="1"/>
  <c r="N59" i="111" s="1"/>
  <c r="N29" i="111" s="1"/>
  <c r="O88" i="111"/>
  <c r="O91" i="111" s="1"/>
  <c r="O53" i="111" s="1"/>
  <c r="O54" i="111" s="1"/>
  <c r="O28" i="111" s="1"/>
  <c r="N91" i="111"/>
  <c r="N53" i="111" s="1"/>
  <c r="N54" i="111" s="1"/>
  <c r="N28" i="111" s="1"/>
  <c r="O154" i="108"/>
  <c r="O159" i="108" s="1"/>
  <c r="O88" i="108" s="1"/>
  <c r="O89" i="108" s="1"/>
  <c r="O43" i="108" s="1"/>
  <c r="N159" i="108"/>
  <c r="N88" i="108" s="1"/>
  <c r="N89" i="108" s="1"/>
  <c r="N43" i="108" s="1"/>
  <c r="N150" i="108"/>
  <c r="N83" i="108" s="1"/>
  <c r="N84" i="108" s="1"/>
  <c r="N42" i="108" s="1"/>
  <c r="O147" i="108"/>
  <c r="O150" i="108" s="1"/>
  <c r="O83" i="108" s="1"/>
  <c r="O84" i="108" s="1"/>
  <c r="O42" i="108" s="1"/>
  <c r="O140" i="108"/>
  <c r="O143" i="108" s="1"/>
  <c r="O78" i="108" s="1"/>
  <c r="O79" i="108" s="1"/>
  <c r="O41" i="108" s="1"/>
  <c r="N143" i="108"/>
  <c r="N78" i="108" s="1"/>
  <c r="N79" i="108" s="1"/>
  <c r="N41" i="108" s="1"/>
  <c r="O133" i="108"/>
  <c r="O136" i="108" s="1"/>
  <c r="O73" i="108" s="1"/>
  <c r="O74" i="108" s="1"/>
  <c r="O40" i="108" s="1"/>
  <c r="N136" i="108"/>
  <c r="N73" i="108" s="1"/>
  <c r="N74" i="108" s="1"/>
  <c r="N40" i="108" s="1"/>
  <c r="O108" i="108"/>
  <c r="O129" i="108" s="1"/>
  <c r="O68" i="108" s="1"/>
  <c r="O69" i="108" s="1"/>
  <c r="O39" i="108" s="1"/>
  <c r="N129" i="108"/>
  <c r="N68" i="108" s="1"/>
  <c r="N69" i="108" s="1"/>
  <c r="N39" i="108" s="1"/>
  <c r="O163" i="108"/>
  <c r="O164" i="108" s="1"/>
  <c r="O93" i="108" s="1"/>
  <c r="O95" i="108" s="1"/>
  <c r="O44" i="108" s="1"/>
  <c r="N164" i="108"/>
  <c r="N93" i="108" s="1"/>
  <c r="N95" i="108" s="1"/>
  <c r="N44" i="108" s="1"/>
  <c r="O57" i="106"/>
  <c r="O59" i="106" s="1"/>
  <c r="O48" i="106" s="1"/>
  <c r="O49" i="106" s="1"/>
  <c r="O26" i="106" s="1"/>
  <c r="O30" i="106" s="1"/>
  <c r="O38" i="106" s="1"/>
  <c r="N59" i="106"/>
  <c r="N48" i="106" s="1"/>
  <c r="N49" i="106" s="1"/>
  <c r="N26" i="106" s="1"/>
  <c r="N30" i="106" s="1"/>
  <c r="N38" i="106" s="1"/>
  <c r="M30" i="105"/>
  <c r="M39" i="105" s="1"/>
  <c r="O71" i="105"/>
  <c r="O73" i="105" s="1"/>
  <c r="O54" i="105" s="1"/>
  <c r="O55" i="105" s="1"/>
  <c r="O26" i="105" s="1"/>
  <c r="N73" i="105"/>
  <c r="N54" i="105" s="1"/>
  <c r="N55" i="105" s="1"/>
  <c r="N26" i="105" s="1"/>
  <c r="O64" i="105"/>
  <c r="O67" i="105" s="1"/>
  <c r="O49" i="105" s="1"/>
  <c r="O50" i="105" s="1"/>
  <c r="O25" i="105" s="1"/>
  <c r="O30" i="105" s="1"/>
  <c r="O39" i="105" s="1"/>
  <c r="N67" i="105"/>
  <c r="N49" i="105" s="1"/>
  <c r="N50" i="105" s="1"/>
  <c r="N25" i="105" s="1"/>
  <c r="O89" i="104"/>
  <c r="O92" i="104" s="1"/>
  <c r="O57" i="104" s="1"/>
  <c r="O58" i="104" s="1"/>
  <c r="O29" i="104" s="1"/>
  <c r="N92" i="104"/>
  <c r="N57" i="104" s="1"/>
  <c r="N58" i="104" s="1"/>
  <c r="N29" i="104" s="1"/>
  <c r="O71" i="104"/>
  <c r="O78" i="104" s="1"/>
  <c r="O52" i="104" s="1"/>
  <c r="O53" i="104" s="1"/>
  <c r="O28" i="104" s="1"/>
  <c r="N78" i="104"/>
  <c r="N52" i="104" s="1"/>
  <c r="N53" i="104" s="1"/>
  <c r="N28" i="104" s="1"/>
  <c r="N33" i="104" s="1"/>
  <c r="N42" i="104" s="1"/>
  <c r="O64" i="103"/>
  <c r="O67" i="103" s="1"/>
  <c r="O49" i="103" s="1"/>
  <c r="O50" i="103" s="1"/>
  <c r="O24" i="103" s="1"/>
  <c r="O28" i="103" s="1"/>
  <c r="N67" i="103"/>
  <c r="N49" i="103" s="1"/>
  <c r="N50" i="103" s="1"/>
  <c r="N24" i="103" s="1"/>
  <c r="N28" i="103" s="1"/>
  <c r="O83" i="103"/>
  <c r="O85" i="103" s="1"/>
  <c r="O54" i="103" s="1"/>
  <c r="O55" i="103" s="1"/>
  <c r="O31" i="103" s="1"/>
  <c r="O37" i="103" s="1"/>
  <c r="N85" i="103"/>
  <c r="N54" i="103" s="1"/>
  <c r="N55" i="103" s="1"/>
  <c r="N31" i="103" s="1"/>
  <c r="N37" i="103" s="1"/>
  <c r="M39" i="103"/>
  <c r="O251" i="102"/>
  <c r="O252" i="102" s="1"/>
  <c r="O131" i="102" s="1"/>
  <c r="O132" i="102" s="1"/>
  <c r="O53" i="102" s="1"/>
  <c r="O57" i="102" s="1"/>
  <c r="N252" i="102"/>
  <c r="N131" i="102" s="1"/>
  <c r="N132" i="102" s="1"/>
  <c r="N53" i="102" s="1"/>
  <c r="N57" i="102" s="1"/>
  <c r="O233" i="102"/>
  <c r="O236" i="102" s="1"/>
  <c r="O121" i="102" s="1"/>
  <c r="O122" i="102" s="1"/>
  <c r="O46" i="102" s="1"/>
  <c r="N236" i="102"/>
  <c r="N121" i="102" s="1"/>
  <c r="N122" i="102" s="1"/>
  <c r="N46" i="102" s="1"/>
  <c r="O228" i="102"/>
  <c r="O229" i="102" s="1"/>
  <c r="O115" i="102" s="1"/>
  <c r="N229" i="102"/>
  <c r="N115" i="102" s="1"/>
  <c r="O223" i="102"/>
  <c r="O224" i="102" s="1"/>
  <c r="O116" i="102" s="1"/>
  <c r="N224" i="102"/>
  <c r="N116" i="102" s="1"/>
  <c r="O217" i="102"/>
  <c r="O219" i="102" s="1"/>
  <c r="O110" i="102" s="1"/>
  <c r="O111" i="102" s="1"/>
  <c r="O44" i="102" s="1"/>
  <c r="N219" i="102"/>
  <c r="N110" i="102" s="1"/>
  <c r="N111" i="102" s="1"/>
  <c r="N44" i="102" s="1"/>
  <c r="O207" i="102"/>
  <c r="O208" i="102" s="1"/>
  <c r="O105" i="102" s="1"/>
  <c r="O106" i="102" s="1"/>
  <c r="O43" i="102" s="1"/>
  <c r="N208" i="102"/>
  <c r="N105" i="102" s="1"/>
  <c r="N106" i="102" s="1"/>
  <c r="N43" i="102" s="1"/>
  <c r="O201" i="102"/>
  <c r="O203" i="102" s="1"/>
  <c r="O100" i="102" s="1"/>
  <c r="O101" i="102" s="1"/>
  <c r="O42" i="102" s="1"/>
  <c r="N203" i="102"/>
  <c r="N100" i="102" s="1"/>
  <c r="N101" i="102" s="1"/>
  <c r="N42" i="102" s="1"/>
  <c r="M117" i="102"/>
  <c r="M45" i="102" s="1"/>
  <c r="O125" i="100"/>
  <c r="O129" i="100" s="1"/>
  <c r="O84" i="100" s="1"/>
  <c r="O85" i="100" s="1"/>
  <c r="O52" i="100" s="1"/>
  <c r="N129" i="100"/>
  <c r="N84" i="100" s="1"/>
  <c r="N85" i="100" s="1"/>
  <c r="N52" i="100" s="1"/>
  <c r="O107" i="100"/>
  <c r="O117" i="100" s="1"/>
  <c r="O77" i="100" s="1"/>
  <c r="N117" i="100"/>
  <c r="N77" i="100" s="1"/>
  <c r="O74" i="100"/>
  <c r="O124" i="99"/>
  <c r="O126" i="99" s="1"/>
  <c r="O86" i="99" s="1"/>
  <c r="O87" i="99" s="1"/>
  <c r="O49" i="99" s="1"/>
  <c r="N126" i="99"/>
  <c r="N86" i="99" s="1"/>
  <c r="N87" i="99" s="1"/>
  <c r="N49" i="99" s="1"/>
  <c r="O114" i="99"/>
  <c r="O120" i="99" s="1"/>
  <c r="O81" i="99" s="1"/>
  <c r="O82" i="99" s="1"/>
  <c r="O48" i="99" s="1"/>
  <c r="N120" i="99"/>
  <c r="N81" i="99" s="1"/>
  <c r="N82" i="99" s="1"/>
  <c r="N48" i="99" s="1"/>
  <c r="O107" i="99"/>
  <c r="O110" i="99" s="1"/>
  <c r="O76" i="99" s="1"/>
  <c r="O77" i="99" s="1"/>
  <c r="O47" i="99" s="1"/>
  <c r="N110" i="99"/>
  <c r="N76" i="99" s="1"/>
  <c r="N77" i="99" s="1"/>
  <c r="N47" i="99" s="1"/>
  <c r="O102" i="99"/>
  <c r="O103" i="99" s="1"/>
  <c r="O71" i="99" s="1"/>
  <c r="O72" i="99" s="1"/>
  <c r="O46" i="99" s="1"/>
  <c r="N103" i="99"/>
  <c r="N71" i="99" s="1"/>
  <c r="N72" i="99" s="1"/>
  <c r="N46" i="99" s="1"/>
  <c r="M53" i="99"/>
  <c r="M61" i="99" s="1"/>
  <c r="L29" i="13"/>
  <c r="M29" i="13"/>
  <c r="N29" i="13"/>
  <c r="O29" i="13"/>
  <c r="K193" i="62"/>
  <c r="J141" i="62"/>
  <c r="K141" i="62"/>
  <c r="J109" i="8"/>
  <c r="L109" i="8"/>
  <c r="K109" i="8"/>
  <c r="O109" i="8"/>
  <c r="N109" i="8"/>
  <c r="M109" i="8"/>
  <c r="B127" i="64"/>
  <c r="A127" i="64"/>
  <c r="D44" i="64"/>
  <c r="B132" i="64"/>
  <c r="A132" i="64"/>
  <c r="O132" i="64"/>
  <c r="O133" i="64" s="1"/>
  <c r="O44" i="64" s="1"/>
  <c r="N132" i="64"/>
  <c r="N133" i="64" s="1"/>
  <c r="N44" i="64" s="1"/>
  <c r="M132" i="64"/>
  <c r="M133" i="64" s="1"/>
  <c r="M44" i="64" s="1"/>
  <c r="L132" i="64"/>
  <c r="L133" i="64" s="1"/>
  <c r="L44" i="64" s="1"/>
  <c r="K133" i="64"/>
  <c r="K44" i="64" s="1"/>
  <c r="J132" i="64"/>
  <c r="J133" i="64" s="1"/>
  <c r="J44" i="64" s="1"/>
  <c r="K264" i="64"/>
  <c r="L264" i="64"/>
  <c r="M264" i="64"/>
  <c r="N264" i="64"/>
  <c r="O264" i="64"/>
  <c r="J264" i="64"/>
  <c r="K258" i="64"/>
  <c r="L258" i="64"/>
  <c r="M258" i="64"/>
  <c r="N258" i="64"/>
  <c r="O258" i="64"/>
  <c r="J258" i="64"/>
  <c r="O191" i="102" l="1"/>
  <c r="O193" i="102" s="1"/>
  <c r="O95" i="102" s="1"/>
  <c r="O96" i="102" s="1"/>
  <c r="O41" i="102" s="1"/>
  <c r="M76" i="102"/>
  <c r="M37" i="102" s="1"/>
  <c r="M50" i="102" s="1"/>
  <c r="M59" i="102" s="1"/>
  <c r="N121" i="100"/>
  <c r="N78" i="100" s="1"/>
  <c r="N80" i="100" s="1"/>
  <c r="N51" i="100" s="1"/>
  <c r="N56" i="100" s="1"/>
  <c r="N64" i="100" s="1"/>
  <c r="O33" i="104"/>
  <c r="O42" i="104" s="1"/>
  <c r="O186" i="102"/>
  <c r="O187" i="102" s="1"/>
  <c r="O90" i="102" s="1"/>
  <c r="O91" i="102" s="1"/>
  <c r="O40" i="102" s="1"/>
  <c r="N187" i="102"/>
  <c r="N90" i="102" s="1"/>
  <c r="N91" i="102" s="1"/>
  <c r="N40" i="102" s="1"/>
  <c r="N181" i="102"/>
  <c r="N85" i="102" s="1"/>
  <c r="N86" i="102" s="1"/>
  <c r="N39" i="102" s="1"/>
  <c r="O180" i="102"/>
  <c r="O181" i="102" s="1"/>
  <c r="O85" i="102" s="1"/>
  <c r="O86" i="102" s="1"/>
  <c r="O39" i="102" s="1"/>
  <c r="O169" i="102"/>
  <c r="O171" i="102" s="1"/>
  <c r="O80" i="102" s="1"/>
  <c r="O81" i="102" s="1"/>
  <c r="O38" i="102" s="1"/>
  <c r="N171" i="102"/>
  <c r="N80" i="102" s="1"/>
  <c r="N81" i="102" s="1"/>
  <c r="N38" i="102" s="1"/>
  <c r="O159" i="102"/>
  <c r="O161" i="102" s="1"/>
  <c r="O74" i="102" s="1"/>
  <c r="N161" i="102"/>
  <c r="N74" i="102" s="1"/>
  <c r="N76" i="102" s="1"/>
  <c r="N37" i="102" s="1"/>
  <c r="O155" i="102"/>
  <c r="O157" i="102" s="1"/>
  <c r="O75" i="102" s="1"/>
  <c r="N157" i="102"/>
  <c r="N75" i="102" s="1"/>
  <c r="N144" i="102"/>
  <c r="N69" i="102" s="1"/>
  <c r="N70" i="102" s="1"/>
  <c r="N36" i="102" s="1"/>
  <c r="O140" i="102"/>
  <c r="O144" i="102" s="1"/>
  <c r="O69" i="102" s="1"/>
  <c r="O70" i="102" s="1"/>
  <c r="O36" i="102" s="1"/>
  <c r="O80" i="100"/>
  <c r="O51" i="100" s="1"/>
  <c r="O56" i="100" s="1"/>
  <c r="O64" i="100" s="1"/>
  <c r="O59" i="115"/>
  <c r="O36" i="115" s="1"/>
  <c r="O39" i="115" s="1"/>
  <c r="O47" i="115" s="1"/>
  <c r="O35" i="111"/>
  <c r="O43" i="111" s="1"/>
  <c r="N35" i="111"/>
  <c r="N43" i="111" s="1"/>
  <c r="O47" i="108"/>
  <c r="O58" i="108" s="1"/>
  <c r="N47" i="108"/>
  <c r="N58" i="108" s="1"/>
  <c r="N30" i="105"/>
  <c r="N39" i="105" s="1"/>
  <c r="O39" i="103"/>
  <c r="N39" i="103"/>
  <c r="O117" i="102"/>
  <c r="O45" i="102" s="1"/>
  <c r="N117" i="102"/>
  <c r="N45" i="102" s="1"/>
  <c r="O53" i="99"/>
  <c r="O61" i="99" s="1"/>
  <c r="N53" i="99"/>
  <c r="N61" i="99" s="1"/>
  <c r="K32" i="8"/>
  <c r="K33" i="8"/>
  <c r="K25" i="8"/>
  <c r="K26" i="8"/>
  <c r="O76" i="102" l="1"/>
  <c r="O37" i="102" s="1"/>
  <c r="O50" i="102" s="1"/>
  <c r="O59" i="102" s="1"/>
  <c r="N50" i="102"/>
  <c r="N59" i="102" s="1"/>
  <c r="K190" i="39"/>
  <c r="L190" i="39"/>
  <c r="M190" i="39"/>
  <c r="N190" i="39"/>
  <c r="O190" i="39"/>
  <c r="J190" i="39"/>
  <c r="K59" i="28"/>
  <c r="K50" i="28"/>
  <c r="K57" i="28"/>
  <c r="K54" i="28"/>
  <c r="K55" i="28"/>
  <c r="K38" i="28"/>
  <c r="K39" i="28"/>
  <c r="K40" i="28"/>
  <c r="K41" i="28"/>
  <c r="K42" i="28"/>
  <c r="K43" i="28"/>
  <c r="K44" i="28"/>
  <c r="K45" i="28"/>
  <c r="K46" i="28"/>
  <c r="K47" i="28"/>
  <c r="K48" i="28"/>
  <c r="K120" i="28"/>
  <c r="L120" i="28"/>
  <c r="M120" i="28"/>
  <c r="N120" i="28"/>
  <c r="O120" i="28"/>
  <c r="J120" i="28"/>
  <c r="K118" i="28"/>
  <c r="L118" i="28"/>
  <c r="M118" i="28"/>
  <c r="N118" i="28"/>
  <c r="O118" i="28"/>
  <c r="J118" i="28"/>
  <c r="K172" i="28"/>
  <c r="L172" i="28"/>
  <c r="M172" i="28"/>
  <c r="N172" i="28"/>
  <c r="O172" i="28"/>
  <c r="J172" i="28"/>
  <c r="K199" i="18"/>
  <c r="K198" i="18"/>
  <c r="K635" i="18"/>
  <c r="K499" i="2"/>
  <c r="K152" i="25" l="1"/>
  <c r="K36" i="15" l="1"/>
  <c r="K37" i="15"/>
  <c r="K40" i="15"/>
  <c r="K41" i="15"/>
  <c r="K42" i="15"/>
  <c r="K43" i="15"/>
  <c r="K44" i="15"/>
  <c r="K112" i="15"/>
  <c r="L302" i="15"/>
  <c r="M302" i="15"/>
  <c r="N302" i="15"/>
  <c r="O302" i="15"/>
  <c r="K302" i="15"/>
  <c r="J153" i="66" l="1"/>
  <c r="J142" i="64"/>
  <c r="J143" i="64" s="1"/>
  <c r="J50" i="64" s="1"/>
  <c r="B142" i="64"/>
  <c r="A142" i="64"/>
  <c r="K142" i="64"/>
  <c r="K143" i="64" s="1"/>
  <c r="K50" i="64" s="1"/>
  <c r="L142" i="64"/>
  <c r="L143" i="64" s="1"/>
  <c r="L50" i="64" s="1"/>
  <c r="M142" i="64"/>
  <c r="M143" i="64" s="1"/>
  <c r="M50" i="64" s="1"/>
  <c r="N142" i="64"/>
  <c r="N143" i="64" s="1"/>
  <c r="N50" i="64" s="1"/>
  <c r="O142" i="64"/>
  <c r="O143" i="64" s="1"/>
  <c r="O50" i="64" s="1"/>
  <c r="K248" i="64"/>
  <c r="K127" i="64" s="1"/>
  <c r="L248" i="64"/>
  <c r="L127" i="64" s="1"/>
  <c r="M248" i="64"/>
  <c r="M127" i="64" s="1"/>
  <c r="N248" i="64"/>
  <c r="N127" i="64" s="1"/>
  <c r="O248" i="64"/>
  <c r="O127" i="64" s="1"/>
  <c r="J248" i="64"/>
  <c r="J127" i="64" s="1"/>
  <c r="K207" i="64"/>
  <c r="K99" i="64" s="1"/>
  <c r="L207" i="64"/>
  <c r="L99" i="64" s="1"/>
  <c r="M207" i="64"/>
  <c r="M99" i="64" s="1"/>
  <c r="N207" i="64"/>
  <c r="N99" i="64" s="1"/>
  <c r="O207" i="64"/>
  <c r="O99" i="64" s="1"/>
  <c r="J207" i="64"/>
  <c r="J99" i="64" s="1"/>
  <c r="J100" i="64" s="1"/>
  <c r="B99" i="64"/>
  <c r="A99" i="64"/>
  <c r="K61" i="26"/>
  <c r="K59" i="26"/>
  <c r="K39" i="26"/>
  <c r="K30" i="26"/>
  <c r="K79" i="26"/>
  <c r="K78" i="26"/>
  <c r="K157" i="26"/>
  <c r="K46" i="62"/>
  <c r="L46" i="62"/>
  <c r="M46" i="62"/>
  <c r="N46" i="62"/>
  <c r="O46" i="62"/>
  <c r="J46" i="62"/>
  <c r="K161" i="62"/>
  <c r="O160" i="62"/>
  <c r="O161" i="62" s="1"/>
  <c r="N160" i="62"/>
  <c r="N161" i="62" s="1"/>
  <c r="M160" i="62"/>
  <c r="M161" i="62" s="1"/>
  <c r="L160" i="62"/>
  <c r="L161" i="62" s="1"/>
  <c r="B160" i="62"/>
  <c r="A160" i="62"/>
  <c r="J76" i="62"/>
  <c r="K241" i="62"/>
  <c r="K76" i="62" s="1"/>
  <c r="O241" i="62"/>
  <c r="O76" i="62" s="1"/>
  <c r="N241" i="62"/>
  <c r="N76" i="62" s="1"/>
  <c r="M241" i="62"/>
  <c r="M76" i="62" s="1"/>
  <c r="L241" i="62"/>
  <c r="L76" i="62" s="1"/>
  <c r="B240" i="62"/>
  <c r="A240" i="62"/>
  <c r="J75" i="62"/>
  <c r="O235" i="62"/>
  <c r="O236" i="62" s="1"/>
  <c r="O75" i="62" s="1"/>
  <c r="N235" i="62"/>
  <c r="N236" i="62" s="1"/>
  <c r="N75" i="62" s="1"/>
  <c r="M235" i="62"/>
  <c r="M236" i="62" s="1"/>
  <c r="M75" i="62" s="1"/>
  <c r="L235" i="62"/>
  <c r="L236" i="62" s="1"/>
  <c r="L75" i="62" s="1"/>
  <c r="K236" i="62"/>
  <c r="K75" i="62" s="1"/>
  <c r="B235" i="62"/>
  <c r="A235" i="62"/>
  <c r="J45" i="62"/>
  <c r="O155" i="62"/>
  <c r="O156" i="62" s="1"/>
  <c r="O45" i="62" s="1"/>
  <c r="N155" i="62"/>
  <c r="N156" i="62" s="1"/>
  <c r="N45" i="62" s="1"/>
  <c r="M155" i="62"/>
  <c r="M156" i="62" s="1"/>
  <c r="M45" i="62" s="1"/>
  <c r="L155" i="62"/>
  <c r="L156" i="62" s="1"/>
  <c r="L45" i="62" s="1"/>
  <c r="K156" i="62"/>
  <c r="K45" i="62" s="1"/>
  <c r="B155" i="62"/>
  <c r="A155" i="62"/>
  <c r="O134" i="62"/>
  <c r="N134" i="62"/>
  <c r="M134" i="62"/>
  <c r="L134" i="62"/>
  <c r="K134" i="62"/>
  <c r="B133" i="62"/>
  <c r="A133" i="62"/>
  <c r="L434" i="62"/>
  <c r="M434" i="62"/>
  <c r="N434" i="62"/>
  <c r="O434" i="62"/>
  <c r="K434" i="62"/>
  <c r="K266" i="62"/>
  <c r="K51" i="33"/>
  <c r="D51" i="33"/>
  <c r="K255" i="33"/>
  <c r="L255" i="33"/>
  <c r="L51" i="33" s="1"/>
  <c r="M255" i="33"/>
  <c r="M51" i="33" s="1"/>
  <c r="N255" i="33"/>
  <c r="N51" i="33" s="1"/>
  <c r="O255" i="33"/>
  <c r="O51" i="33" s="1"/>
  <c r="J255" i="33"/>
  <c r="J51" i="33" s="1"/>
  <c r="M109" i="21"/>
  <c r="N109" i="21"/>
  <c r="O109" i="21"/>
  <c r="E197" i="21"/>
  <c r="L197" i="21"/>
  <c r="M197" i="21"/>
  <c r="N197" i="21"/>
  <c r="O197" i="21"/>
  <c r="K197" i="21"/>
  <c r="K46" i="21"/>
  <c r="K47" i="21"/>
  <c r="K29" i="21"/>
  <c r="K30" i="21"/>
  <c r="K31" i="21"/>
  <c r="K32" i="21"/>
  <c r="K33" i="21"/>
  <c r="K34" i="21"/>
  <c r="K35" i="21"/>
  <c r="K36" i="21"/>
  <c r="K37" i="21"/>
  <c r="K38" i="21"/>
  <c r="K40" i="21"/>
  <c r="D39" i="21"/>
  <c r="M110" i="21"/>
  <c r="M39" i="21" s="1"/>
  <c r="N110" i="21"/>
  <c r="N39" i="21" s="1"/>
  <c r="O110" i="21"/>
  <c r="O39" i="21" s="1"/>
  <c r="J110" i="21"/>
  <c r="J39" i="21" s="1"/>
  <c r="K207" i="6"/>
  <c r="K208" i="6" s="1"/>
  <c r="L207" i="6"/>
  <c r="L208" i="6" s="1"/>
  <c r="M207" i="6"/>
  <c r="M208" i="6" s="1"/>
  <c r="N207" i="6"/>
  <c r="O207" i="6"/>
  <c r="J207" i="6"/>
  <c r="J208" i="6" s="1"/>
  <c r="B207" i="6"/>
  <c r="A207" i="6"/>
  <c r="L683" i="6"/>
  <c r="M683" i="6"/>
  <c r="N683" i="6"/>
  <c r="O683" i="6"/>
  <c r="K683" i="6"/>
  <c r="K67" i="6"/>
  <c r="K680" i="6"/>
  <c r="K206" i="6" s="1"/>
  <c r="K23" i="4"/>
  <c r="K24" i="4"/>
  <c r="K25" i="4"/>
  <c r="K26" i="4"/>
  <c r="K27" i="4"/>
  <c r="K28" i="4"/>
  <c r="K29" i="4"/>
  <c r="K30" i="4"/>
  <c r="K31" i="4"/>
  <c r="K32" i="4"/>
  <c r="K33" i="4"/>
  <c r="K34" i="4"/>
  <c r="K35" i="4"/>
  <c r="K36" i="4"/>
  <c r="K37" i="4"/>
  <c r="K50" i="4"/>
  <c r="K51" i="4"/>
  <c r="K52" i="4"/>
  <c r="K53" i="4"/>
  <c r="K54" i="4"/>
  <c r="K55" i="4"/>
  <c r="K56" i="4"/>
  <c r="K57" i="4"/>
  <c r="K260" i="4"/>
  <c r="K78" i="4" s="1"/>
  <c r="K80" i="4" s="1"/>
  <c r="K22" i="4" s="1"/>
  <c r="K232" i="15"/>
  <c r="K91" i="15" s="1"/>
  <c r="L232" i="15"/>
  <c r="L91" i="15" s="1"/>
  <c r="M232" i="15"/>
  <c r="M91" i="15" s="1"/>
  <c r="N232" i="15"/>
  <c r="N91" i="15" s="1"/>
  <c r="O232" i="15"/>
  <c r="O91" i="15" s="1"/>
  <c r="J232" i="15"/>
  <c r="K33" i="2"/>
  <c r="K34" i="2"/>
  <c r="K35" i="2"/>
  <c r="K36" i="2"/>
  <c r="K37" i="2"/>
  <c r="K38" i="2"/>
  <c r="K39" i="2"/>
  <c r="K40" i="2"/>
  <c r="K41" i="2"/>
  <c r="K42" i="2"/>
  <c r="K43" i="2"/>
  <c r="K44" i="2"/>
  <c r="K45" i="2"/>
  <c r="K46" i="2"/>
  <c r="K47" i="2"/>
  <c r="K48" i="2"/>
  <c r="K49" i="2"/>
  <c r="K50" i="2"/>
  <c r="K51" i="2"/>
  <c r="K52" i="2"/>
  <c r="K53" i="2"/>
  <c r="K55" i="2"/>
  <c r="K56" i="2"/>
  <c r="K64" i="2"/>
  <c r="K65" i="2"/>
  <c r="K202" i="2"/>
  <c r="K203" i="2" s="1"/>
  <c r="K54" i="2" s="1"/>
  <c r="K59" i="2" s="1"/>
  <c r="L109" i="21" l="1"/>
  <c r="L110" i="21" s="1"/>
  <c r="L39" i="21" s="1"/>
  <c r="K109" i="21"/>
  <c r="K110" i="21" s="1"/>
  <c r="K39" i="21" s="1"/>
  <c r="K68" i="2"/>
  <c r="K70" i="2" s="1"/>
  <c r="K51" i="21"/>
  <c r="K51" i="6"/>
  <c r="K43" i="21" l="1"/>
  <c r="K53" i="21" s="1"/>
  <c r="O256" i="24"/>
  <c r="O188" i="24" s="1"/>
  <c r="O190" i="24" s="1"/>
  <c r="O58" i="24" s="1"/>
  <c r="N256" i="24"/>
  <c r="N188" i="24" s="1"/>
  <c r="N190" i="24" s="1"/>
  <c r="N58" i="24" s="1"/>
  <c r="M256" i="24"/>
  <c r="M188" i="24" s="1"/>
  <c r="M190" i="24" s="1"/>
  <c r="M58" i="24" s="1"/>
  <c r="L256" i="24"/>
  <c r="L188" i="24" s="1"/>
  <c r="L190" i="24" s="1"/>
  <c r="L58" i="24" s="1"/>
  <c r="K256" i="24"/>
  <c r="K188" i="24" s="1"/>
  <c r="K190" i="24" s="1"/>
  <c r="J190" i="24"/>
  <c r="B188" i="24"/>
  <c r="A188" i="24"/>
  <c r="B176" i="24"/>
  <c r="A176" i="24"/>
  <c r="K56" i="24"/>
  <c r="K57" i="24"/>
  <c r="K26" i="24"/>
  <c r="K27" i="24"/>
  <c r="K28" i="24"/>
  <c r="K29" i="24"/>
  <c r="K30" i="24"/>
  <c r="K31" i="24"/>
  <c r="K32" i="24"/>
  <c r="K33" i="24"/>
  <c r="K34" i="24"/>
  <c r="K35" i="24"/>
  <c r="K36" i="24"/>
  <c r="K37" i="24"/>
  <c r="K38" i="24"/>
  <c r="K39" i="24"/>
  <c r="K40" i="24"/>
  <c r="K41" i="24"/>
  <c r="K42" i="24"/>
  <c r="K43" i="24"/>
  <c r="L251" i="24"/>
  <c r="L176" i="24" s="1"/>
  <c r="L178" i="24" s="1"/>
  <c r="L44" i="24" s="1"/>
  <c r="M251" i="24"/>
  <c r="M176" i="24" s="1"/>
  <c r="M178" i="24" s="1"/>
  <c r="M44" i="24" s="1"/>
  <c r="N251" i="24"/>
  <c r="N176" i="24" s="1"/>
  <c r="N178" i="24" s="1"/>
  <c r="N44" i="24" s="1"/>
  <c r="O251" i="24"/>
  <c r="O176" i="24" s="1"/>
  <c r="O178" i="24" s="1"/>
  <c r="O44" i="24" s="1"/>
  <c r="K251" i="24"/>
  <c r="K176" i="24" s="1"/>
  <c r="K178" i="24" s="1"/>
  <c r="K44" i="24" s="1"/>
  <c r="J178" i="24"/>
  <c r="J44" i="24" s="1"/>
  <c r="K62" i="24" l="1"/>
  <c r="K53" i="24"/>
  <c r="K64" i="24" l="1"/>
  <c r="K46" i="65"/>
  <c r="K53" i="65" s="1"/>
  <c r="K47" i="65"/>
  <c r="K48" i="65"/>
  <c r="K33" i="65"/>
  <c r="K44" i="65" s="1"/>
  <c r="K34" i="65"/>
  <c r="K35" i="65"/>
  <c r="K36" i="65"/>
  <c r="K37" i="65"/>
  <c r="K38" i="65"/>
  <c r="K39" i="65"/>
  <c r="K40" i="65"/>
  <c r="K41" i="65"/>
  <c r="K42" i="65"/>
  <c r="L55" i="65"/>
  <c r="M55" i="65"/>
  <c r="N55" i="65"/>
  <c r="O55" i="65"/>
  <c r="K76" i="65"/>
  <c r="L76" i="65"/>
  <c r="M76" i="65"/>
  <c r="N76" i="65"/>
  <c r="O76" i="65"/>
  <c r="J76" i="65"/>
  <c r="K75" i="65"/>
  <c r="L75" i="65"/>
  <c r="M75" i="65"/>
  <c r="N75" i="65"/>
  <c r="O75" i="65"/>
  <c r="J75" i="65"/>
  <c r="K262" i="65"/>
  <c r="L262" i="65"/>
  <c r="M262" i="65"/>
  <c r="N262" i="65"/>
  <c r="O262" i="65"/>
  <c r="J262" i="65"/>
  <c r="B75" i="65"/>
  <c r="A75" i="65"/>
  <c r="D51" i="64"/>
  <c r="K275" i="64"/>
  <c r="K152" i="64" s="1"/>
  <c r="K153" i="64" s="1"/>
  <c r="K51" i="64" s="1"/>
  <c r="L275" i="64"/>
  <c r="L152" i="64" s="1"/>
  <c r="L153" i="64" s="1"/>
  <c r="L51" i="64" s="1"/>
  <c r="M275" i="64"/>
  <c r="M152" i="64" s="1"/>
  <c r="M153" i="64" s="1"/>
  <c r="M51" i="64" s="1"/>
  <c r="N275" i="64"/>
  <c r="N152" i="64" s="1"/>
  <c r="N153" i="64" s="1"/>
  <c r="N51" i="64" s="1"/>
  <c r="O275" i="64"/>
  <c r="O152" i="64" s="1"/>
  <c r="O153" i="64" s="1"/>
  <c r="O51" i="64" s="1"/>
  <c r="J275" i="64"/>
  <c r="J152" i="64" s="1"/>
  <c r="J153" i="64" s="1"/>
  <c r="J51" i="64" s="1"/>
  <c r="A152" i="64"/>
  <c r="B152" i="64"/>
  <c r="D69" i="62"/>
  <c r="O204" i="62"/>
  <c r="O205" i="62" s="1"/>
  <c r="O69" i="62" s="1"/>
  <c r="K204" i="62"/>
  <c r="K205" i="62" s="1"/>
  <c r="K69" i="62" s="1"/>
  <c r="L204" i="62"/>
  <c r="L205" i="62" s="1"/>
  <c r="L69" i="62" s="1"/>
  <c r="M204" i="62"/>
  <c r="M205" i="62" s="1"/>
  <c r="M69" i="62" s="1"/>
  <c r="N204" i="62"/>
  <c r="N205" i="62" s="1"/>
  <c r="N69" i="62" s="1"/>
  <c r="J204" i="62"/>
  <c r="J205" i="62" s="1"/>
  <c r="J69" i="62" s="1"/>
  <c r="K80" i="39"/>
  <c r="L80" i="39"/>
  <c r="M80" i="39"/>
  <c r="N80" i="39"/>
  <c r="O80" i="39"/>
  <c r="J80" i="39"/>
  <c r="K196" i="39"/>
  <c r="K90" i="39" s="1"/>
  <c r="K91" i="39" s="1"/>
  <c r="K49" i="39" s="1"/>
  <c r="L196" i="39"/>
  <c r="L90" i="39" s="1"/>
  <c r="L91" i="39" s="1"/>
  <c r="L49" i="39" s="1"/>
  <c r="M196" i="39"/>
  <c r="M90" i="39" s="1"/>
  <c r="M91" i="39" s="1"/>
  <c r="M49" i="39" s="1"/>
  <c r="N196" i="39"/>
  <c r="N90" i="39" s="1"/>
  <c r="N91" i="39" s="1"/>
  <c r="N49" i="39" s="1"/>
  <c r="O196" i="39"/>
  <c r="O90" i="39" s="1"/>
  <c r="O91" i="39" s="1"/>
  <c r="O49" i="39" s="1"/>
  <c r="J196" i="39"/>
  <c r="J90" i="39" s="1"/>
  <c r="J91" i="39" s="1"/>
  <c r="J49" i="39" s="1"/>
  <c r="K55" i="37"/>
  <c r="M55" i="37"/>
  <c r="N55" i="37"/>
  <c r="O55" i="37"/>
  <c r="J55" i="37"/>
  <c r="K202" i="37"/>
  <c r="M202" i="37"/>
  <c r="N202" i="37"/>
  <c r="O202" i="37"/>
  <c r="J202" i="37"/>
  <c r="K201" i="37"/>
  <c r="M201" i="37"/>
  <c r="N201" i="37"/>
  <c r="O201" i="37"/>
  <c r="J201" i="37"/>
  <c r="B201" i="37"/>
  <c r="A201" i="37"/>
  <c r="K453" i="37"/>
  <c r="M453" i="37"/>
  <c r="N453" i="37"/>
  <c r="O453" i="37"/>
  <c r="J453" i="37"/>
  <c r="K439" i="37"/>
  <c r="K181" i="37" s="1"/>
  <c r="J439" i="37"/>
  <c r="K467" i="37"/>
  <c r="K265" i="37"/>
  <c r="K161" i="32"/>
  <c r="L161" i="32"/>
  <c r="M161" i="32"/>
  <c r="N161" i="32"/>
  <c r="O161" i="32"/>
  <c r="J161" i="32"/>
  <c r="K413" i="32"/>
  <c r="L413" i="32"/>
  <c r="M413" i="32"/>
  <c r="N413" i="32"/>
  <c r="O413" i="32"/>
  <c r="J413" i="32"/>
  <c r="K477" i="32"/>
  <c r="K28" i="27"/>
  <c r="K29" i="27"/>
  <c r="K30" i="27"/>
  <c r="K31" i="27"/>
  <c r="K32" i="27"/>
  <c r="K37" i="27"/>
  <c r="K38" i="27"/>
  <c r="K39" i="27"/>
  <c r="K40" i="27"/>
  <c r="K41" i="27"/>
  <c r="K42" i="27"/>
  <c r="K45" i="27"/>
  <c r="K47" i="27"/>
  <c r="K48" i="27"/>
  <c r="K49" i="27"/>
  <c r="K50" i="27"/>
  <c r="K51" i="27"/>
  <c r="K52" i="27"/>
  <c r="K55" i="27"/>
  <c r="K58" i="27"/>
  <c r="K60" i="27"/>
  <c r="K61" i="27"/>
  <c r="K69" i="27"/>
  <c r="K70" i="27"/>
  <c r="K71" i="27"/>
  <c r="K72" i="27"/>
  <c r="K73" i="27"/>
  <c r="K74" i="27"/>
  <c r="K77" i="27"/>
  <c r="K78" i="27"/>
  <c r="K79" i="27"/>
  <c r="K80" i="27"/>
  <c r="K81" i="27"/>
  <c r="K82" i="27"/>
  <c r="K85" i="27"/>
  <c r="K86" i="27"/>
  <c r="K88" i="27"/>
  <c r="K89" i="27"/>
  <c r="K90" i="27"/>
  <c r="K91" i="27"/>
  <c r="K95" i="27"/>
  <c r="K97" i="27"/>
  <c r="K358" i="27"/>
  <c r="J358" i="27"/>
  <c r="K354" i="27"/>
  <c r="L354" i="27"/>
  <c r="M354" i="27"/>
  <c r="N354" i="27"/>
  <c r="O354" i="27"/>
  <c r="J354" i="27"/>
  <c r="K1284" i="27"/>
  <c r="L1284" i="27"/>
  <c r="M1284" i="27"/>
  <c r="N1284" i="27"/>
  <c r="O1284" i="27"/>
  <c r="J1284" i="27"/>
  <c r="K55" i="65" l="1"/>
  <c r="J101" i="27" l="1"/>
  <c r="K99" i="27"/>
  <c r="K33" i="25"/>
  <c r="K34" i="25"/>
  <c r="K35" i="25"/>
  <c r="K36" i="25"/>
  <c r="K39" i="25"/>
  <c r="K40" i="25"/>
  <c r="K46" i="25"/>
  <c r="K48" i="25"/>
  <c r="K193" i="25"/>
  <c r="K105" i="25" s="1"/>
  <c r="K106" i="25" s="1"/>
  <c r="K47" i="25" s="1"/>
  <c r="J193" i="25"/>
  <c r="K79" i="25"/>
  <c r="K80" i="25" s="1"/>
  <c r="K37" i="25" s="1"/>
  <c r="K79" i="18"/>
  <c r="K72" i="18"/>
  <c r="K73" i="18"/>
  <c r="K74" i="18"/>
  <c r="K75" i="18"/>
  <c r="K76" i="18"/>
  <c r="K77" i="18"/>
  <c r="K40" i="18"/>
  <c r="K41" i="18"/>
  <c r="K42" i="18"/>
  <c r="K43" i="18"/>
  <c r="K44" i="18"/>
  <c r="K45" i="18"/>
  <c r="K46" i="18"/>
  <c r="K47" i="18"/>
  <c r="K48" i="18"/>
  <c r="K49" i="18"/>
  <c r="K51" i="18"/>
  <c r="K52" i="18"/>
  <c r="K53" i="18"/>
  <c r="K54" i="18"/>
  <c r="K55" i="18"/>
  <c r="K56" i="18"/>
  <c r="K57" i="18"/>
  <c r="K58" i="18"/>
  <c r="K59" i="18"/>
  <c r="K60" i="18"/>
  <c r="K62" i="18"/>
  <c r="K63" i="18"/>
  <c r="K64" i="18"/>
  <c r="K153" i="18"/>
  <c r="K50" i="18" s="1"/>
  <c r="K67" i="18" s="1"/>
  <c r="K81" i="18" s="1"/>
  <c r="J153" i="18"/>
  <c r="L151" i="18"/>
  <c r="M151" i="18"/>
  <c r="N151" i="18"/>
  <c r="O151" i="18"/>
  <c r="K151" i="18"/>
  <c r="K407" i="18"/>
  <c r="L407" i="18"/>
  <c r="M407" i="18"/>
  <c r="N407" i="18"/>
  <c r="O407" i="18"/>
  <c r="J407" i="18"/>
  <c r="K38" i="17"/>
  <c r="K109" i="17"/>
  <c r="K108" i="17"/>
  <c r="K261" i="17"/>
  <c r="K46" i="17"/>
  <c r="K55" i="17" s="1"/>
  <c r="K72" i="17"/>
  <c r="K151" i="17"/>
  <c r="K152" i="17"/>
  <c r="K153" i="17" s="1"/>
  <c r="L152" i="17"/>
  <c r="M152" i="17"/>
  <c r="N152" i="17"/>
  <c r="O152" i="17"/>
  <c r="J152" i="17"/>
  <c r="J153" i="17" s="1"/>
  <c r="J151" i="17"/>
  <c r="L358" i="17"/>
  <c r="M358" i="17"/>
  <c r="N358" i="17"/>
  <c r="O358" i="17"/>
  <c r="K358" i="17"/>
  <c r="K354" i="17"/>
  <c r="J354" i="17"/>
  <c r="K50" i="15"/>
  <c r="K51" i="15"/>
  <c r="K52" i="15"/>
  <c r="K53" i="15"/>
  <c r="K54" i="15"/>
  <c r="K55" i="15"/>
  <c r="K56" i="15"/>
  <c r="K58" i="15"/>
  <c r="K59" i="15"/>
  <c r="K60" i="15"/>
  <c r="K61" i="15"/>
  <c r="K62" i="15"/>
  <c r="K63" i="15"/>
  <c r="K66" i="15"/>
  <c r="K67" i="15"/>
  <c r="K68" i="15"/>
  <c r="K69" i="15"/>
  <c r="K70" i="15"/>
  <c r="K71" i="15"/>
  <c r="K72" i="15"/>
  <c r="K73" i="15"/>
  <c r="K74" i="15"/>
  <c r="K75" i="15"/>
  <c r="K76" i="15"/>
  <c r="K440" i="15"/>
  <c r="K167" i="15" s="1"/>
  <c r="L440" i="15"/>
  <c r="M440" i="15"/>
  <c r="N440" i="15"/>
  <c r="O440" i="15"/>
  <c r="J440" i="15"/>
  <c r="K432" i="15"/>
  <c r="K162" i="15" s="1"/>
  <c r="K64" i="15" s="1"/>
  <c r="M432" i="15"/>
  <c r="N432" i="15"/>
  <c r="O432" i="15"/>
  <c r="J432" i="15"/>
  <c r="J162" i="15" s="1"/>
  <c r="J163" i="15" s="1"/>
  <c r="K65" i="15" l="1"/>
  <c r="K64" i="27"/>
  <c r="K101" i="27" s="1"/>
  <c r="K50" i="25"/>
  <c r="K43" i="25"/>
  <c r="K52" i="25" s="1"/>
  <c r="K163" i="15"/>
  <c r="J19" i="15" l="1"/>
  <c r="K331" i="15"/>
  <c r="K125" i="15" s="1"/>
  <c r="L331" i="15"/>
  <c r="M331" i="15"/>
  <c r="N331" i="15"/>
  <c r="O331" i="15"/>
  <c r="J331" i="15"/>
  <c r="J125" i="15" s="1"/>
  <c r="J127" i="15" s="1"/>
  <c r="K325" i="15"/>
  <c r="L325" i="15"/>
  <c r="M325" i="15"/>
  <c r="N325" i="15"/>
  <c r="O325" i="15"/>
  <c r="J325" i="15"/>
  <c r="K149" i="12"/>
  <c r="L149" i="12"/>
  <c r="M149" i="12"/>
  <c r="N149" i="12"/>
  <c r="O149" i="12"/>
  <c r="J149" i="12"/>
  <c r="K124" i="12"/>
  <c r="K153" i="12" s="1"/>
  <c r="L124" i="12"/>
  <c r="M124" i="12"/>
  <c r="O124" i="12"/>
  <c r="J124" i="12"/>
  <c r="K161" i="12"/>
  <c r="K157" i="12"/>
  <c r="K154" i="12"/>
  <c r="K54" i="12"/>
  <c r="K34" i="12"/>
  <c r="K56" i="12" s="1"/>
  <c r="K127" i="15" l="1"/>
  <c r="K39" i="15"/>
  <c r="K57" i="15"/>
  <c r="K78" i="15" s="1"/>
  <c r="K25" i="15" s="1"/>
  <c r="K27" i="15" s="1"/>
  <c r="K29" i="8"/>
  <c r="K137" i="8"/>
  <c r="K71" i="8" s="1"/>
  <c r="K72" i="8" s="1"/>
  <c r="K34" i="8" s="1"/>
  <c r="K36" i="8" s="1"/>
  <c r="J226" i="6"/>
  <c r="K730" i="6"/>
  <c r="K226" i="6" s="1"/>
  <c r="L730" i="6"/>
  <c r="L226" i="6" s="1"/>
  <c r="M730" i="6"/>
  <c r="M226" i="6" s="1"/>
  <c r="N730" i="6"/>
  <c r="N226" i="6" s="1"/>
  <c r="O730" i="6"/>
  <c r="O226" i="6" s="1"/>
  <c r="J730" i="6"/>
  <c r="K38" i="8" l="1"/>
  <c r="K726" i="6"/>
  <c r="K220" i="6" s="1"/>
  <c r="K227" i="6" s="1"/>
  <c r="K37" i="6" s="1"/>
  <c r="K52" i="6" s="1"/>
  <c r="K69" i="6" s="1"/>
  <c r="L726" i="6"/>
  <c r="L220" i="6" s="1"/>
  <c r="M726" i="6"/>
  <c r="M220" i="6" s="1"/>
  <c r="N726" i="6"/>
  <c r="N220" i="6" s="1"/>
  <c r="O726" i="6"/>
  <c r="O220" i="6" s="1"/>
  <c r="J726" i="6"/>
  <c r="J220" i="6" s="1"/>
  <c r="M269" i="7"/>
  <c r="N269" i="7"/>
  <c r="O269" i="7"/>
  <c r="J269" i="7"/>
  <c r="K269" i="7"/>
  <c r="L269" i="7"/>
  <c r="M261" i="7"/>
  <c r="N261" i="7"/>
  <c r="O261" i="7"/>
  <c r="J261" i="7"/>
  <c r="K261" i="7"/>
  <c r="L261" i="7"/>
  <c r="M253" i="7"/>
  <c r="N253" i="7"/>
  <c r="O253" i="7"/>
  <c r="J253" i="7"/>
  <c r="K253" i="7"/>
  <c r="L253" i="7"/>
  <c r="B106" i="7"/>
  <c r="L355" i="7"/>
  <c r="M355" i="7"/>
  <c r="N355" i="7"/>
  <c r="O355" i="7"/>
  <c r="J355" i="7"/>
  <c r="L106" i="7"/>
  <c r="M106" i="7"/>
  <c r="N106" i="7"/>
  <c r="O106" i="7"/>
  <c r="J106" i="7"/>
  <c r="K41" i="7"/>
  <c r="K54" i="7"/>
  <c r="K331" i="7"/>
  <c r="K106" i="7" s="1"/>
  <c r="K111" i="7" s="1"/>
  <c r="D59" i="4"/>
  <c r="D38" i="4"/>
  <c r="K242" i="4"/>
  <c r="K59" i="4" s="1"/>
  <c r="K62" i="4" s="1"/>
  <c r="L242" i="4"/>
  <c r="L59" i="4" s="1"/>
  <c r="M242" i="4"/>
  <c r="M59" i="4" s="1"/>
  <c r="N242" i="4"/>
  <c r="N59" i="4" s="1"/>
  <c r="O242" i="4"/>
  <c r="O59" i="4" s="1"/>
  <c r="J242" i="4"/>
  <c r="J59" i="4" s="1"/>
  <c r="K185" i="4"/>
  <c r="K38" i="4" s="1"/>
  <c r="K47" i="4" s="1"/>
  <c r="L185" i="4"/>
  <c r="L38" i="4" s="1"/>
  <c r="M185" i="4"/>
  <c r="M38" i="4" s="1"/>
  <c r="N185" i="4"/>
  <c r="N38" i="4" s="1"/>
  <c r="O185" i="4"/>
  <c r="O38" i="4" s="1"/>
  <c r="J185" i="4"/>
  <c r="J38" i="4" s="1"/>
  <c r="K64" i="4" l="1"/>
  <c r="K355" i="7"/>
  <c r="K204" i="39" l="1"/>
  <c r="L105" i="31" l="1"/>
  <c r="M105" i="31"/>
  <c r="N105" i="31"/>
  <c r="O105" i="31"/>
  <c r="K105" i="31"/>
  <c r="L128" i="70" l="1"/>
  <c r="N128" i="70"/>
  <c r="P128" i="70"/>
  <c r="E83" i="70"/>
  <c r="J128" i="70"/>
  <c r="X83" i="70" l="1"/>
  <c r="K83" i="70"/>
  <c r="K468" i="27"/>
  <c r="J468" i="27"/>
  <c r="L100" i="31"/>
  <c r="M100" i="31" s="1"/>
  <c r="N100" i="31" s="1"/>
  <c r="O100" i="31" s="1"/>
  <c r="M1086" i="6"/>
  <c r="P63" i="70"/>
  <c r="N63" i="70"/>
  <c r="L63" i="70"/>
  <c r="J63" i="70"/>
  <c r="E125" i="70"/>
  <c r="F123" i="70"/>
  <c r="G123" i="70"/>
  <c r="H123" i="70"/>
  <c r="I123" i="70"/>
  <c r="E123" i="70"/>
  <c r="F118" i="70"/>
  <c r="G118" i="70"/>
  <c r="H118" i="70"/>
  <c r="I118" i="70"/>
  <c r="E118" i="70"/>
  <c r="F117" i="70"/>
  <c r="G117" i="70"/>
  <c r="H117" i="70"/>
  <c r="I117" i="70"/>
  <c r="E117" i="70"/>
  <c r="F116" i="70"/>
  <c r="G116" i="70"/>
  <c r="H116" i="70"/>
  <c r="I116" i="70"/>
  <c r="E116" i="70"/>
  <c r="F115" i="70"/>
  <c r="G115" i="70"/>
  <c r="H115" i="70"/>
  <c r="I115" i="70"/>
  <c r="E115" i="70"/>
  <c r="F114" i="70"/>
  <c r="G114" i="70"/>
  <c r="H114" i="70"/>
  <c r="I114" i="70"/>
  <c r="E114" i="70"/>
  <c r="F113" i="70"/>
  <c r="G113" i="70"/>
  <c r="H113" i="70"/>
  <c r="I113" i="70"/>
  <c r="E113" i="70"/>
  <c r="F112" i="70"/>
  <c r="G112" i="70"/>
  <c r="H112" i="70"/>
  <c r="I112" i="70"/>
  <c r="E112" i="70"/>
  <c r="F110" i="70"/>
  <c r="G110" i="70"/>
  <c r="H110" i="70"/>
  <c r="I110" i="70"/>
  <c r="E110" i="70"/>
  <c r="F109" i="70"/>
  <c r="G109" i="70"/>
  <c r="H109" i="70"/>
  <c r="I109" i="70"/>
  <c r="E109" i="70"/>
  <c r="E108" i="70"/>
  <c r="E107" i="70"/>
  <c r="E106" i="70"/>
  <c r="E102" i="70"/>
  <c r="F101" i="70"/>
  <c r="G101" i="70"/>
  <c r="H101" i="70"/>
  <c r="I101" i="70"/>
  <c r="E101" i="70"/>
  <c r="E98" i="70"/>
  <c r="F97" i="70"/>
  <c r="G97" i="70"/>
  <c r="H97" i="70"/>
  <c r="I97" i="70"/>
  <c r="E97" i="70"/>
  <c r="F96" i="70"/>
  <c r="G96" i="70"/>
  <c r="H96" i="70"/>
  <c r="I96" i="70"/>
  <c r="E96" i="70"/>
  <c r="E95" i="70"/>
  <c r="E94" i="70"/>
  <c r="E93" i="70"/>
  <c r="E92" i="70"/>
  <c r="E91" i="70"/>
  <c r="E90" i="70"/>
  <c r="F89" i="70"/>
  <c r="G89" i="70"/>
  <c r="H89" i="70"/>
  <c r="I89" i="70"/>
  <c r="E89" i="70"/>
  <c r="E88" i="70"/>
  <c r="F87" i="70"/>
  <c r="G87" i="70"/>
  <c r="H87" i="70"/>
  <c r="I87" i="70"/>
  <c r="E87" i="70"/>
  <c r="E86" i="70"/>
  <c r="E85" i="70"/>
  <c r="E84" i="70"/>
  <c r="F82" i="70"/>
  <c r="G82" i="70"/>
  <c r="H82" i="70"/>
  <c r="I82" i="70"/>
  <c r="E82" i="70"/>
  <c r="E81" i="70"/>
  <c r="F80" i="70"/>
  <c r="G80" i="70"/>
  <c r="H80" i="70"/>
  <c r="I80" i="70"/>
  <c r="E80" i="70"/>
  <c r="E79" i="70"/>
  <c r="E78" i="70"/>
  <c r="E77" i="70"/>
  <c r="E76" i="70"/>
  <c r="E75" i="70"/>
  <c r="E74" i="70"/>
  <c r="E73" i="70"/>
  <c r="E72" i="70"/>
  <c r="E71" i="70"/>
  <c r="E70" i="70"/>
  <c r="E69" i="70"/>
  <c r="E68" i="70"/>
  <c r="J65" i="70" l="1"/>
  <c r="L65" i="70"/>
  <c r="N65" i="70"/>
  <c r="P65" i="70"/>
  <c r="Y123" i="70"/>
  <c r="M123" i="70"/>
  <c r="O123" i="70"/>
  <c r="Z123" i="70"/>
  <c r="Q123" i="70"/>
  <c r="AA123" i="70"/>
  <c r="X123" i="70"/>
  <c r="K123" i="70"/>
  <c r="Y118" i="70"/>
  <c r="M118" i="70"/>
  <c r="Z118" i="70"/>
  <c r="O118" i="70"/>
  <c r="AA118" i="70"/>
  <c r="Q118" i="70"/>
  <c r="X118" i="70"/>
  <c r="K118" i="70"/>
  <c r="Y117" i="70"/>
  <c r="M117" i="70"/>
  <c r="O117" i="70"/>
  <c r="Z117" i="70"/>
  <c r="Q117" i="70"/>
  <c r="AA117" i="70"/>
  <c r="X117" i="70"/>
  <c r="K117" i="70"/>
  <c r="Y116" i="70"/>
  <c r="M116" i="70"/>
  <c r="O116" i="70"/>
  <c r="Z116" i="70"/>
  <c r="Q116" i="70"/>
  <c r="AA116" i="70"/>
  <c r="X116" i="70"/>
  <c r="K116" i="70"/>
  <c r="M115" i="70"/>
  <c r="Y115" i="70"/>
  <c r="O115" i="70"/>
  <c r="Z115" i="70"/>
  <c r="Q115" i="70"/>
  <c r="AA115" i="70"/>
  <c r="X115" i="70"/>
  <c r="K115" i="70"/>
  <c r="M114" i="70"/>
  <c r="Y114" i="70"/>
  <c r="O114" i="70"/>
  <c r="Z114" i="70"/>
  <c r="AA114" i="70"/>
  <c r="Q114" i="70"/>
  <c r="X114" i="70"/>
  <c r="K114" i="70"/>
  <c r="Y113" i="70"/>
  <c r="M113" i="70"/>
  <c r="O113" i="70"/>
  <c r="Z113" i="70"/>
  <c r="AA113" i="70"/>
  <c r="Q113" i="70"/>
  <c r="X113" i="70"/>
  <c r="K113" i="70"/>
  <c r="Y112" i="70"/>
  <c r="M112" i="70"/>
  <c r="Z112" i="70"/>
  <c r="O112" i="70"/>
  <c r="AA112" i="70"/>
  <c r="Q112" i="70"/>
  <c r="X112" i="70"/>
  <c r="K112" i="70"/>
  <c r="Y110" i="70"/>
  <c r="M110" i="70"/>
  <c r="Z110" i="70"/>
  <c r="O110" i="70"/>
  <c r="Q110" i="70"/>
  <c r="AA110" i="70"/>
  <c r="K110" i="70"/>
  <c r="X110" i="70"/>
  <c r="Y109" i="70"/>
  <c r="M109" i="70"/>
  <c r="Z109" i="70"/>
  <c r="O109" i="70"/>
  <c r="Q109" i="70"/>
  <c r="AA109" i="70"/>
  <c r="K109" i="70"/>
  <c r="X109" i="70"/>
  <c r="X108" i="70"/>
  <c r="K108" i="70"/>
  <c r="X107" i="70"/>
  <c r="K107" i="70"/>
  <c r="K106" i="70"/>
  <c r="X106" i="70"/>
  <c r="X102" i="70"/>
  <c r="K102" i="70"/>
  <c r="Y101" i="70"/>
  <c r="M101" i="70"/>
  <c r="Z101" i="70"/>
  <c r="O101" i="70"/>
  <c r="Q101" i="70"/>
  <c r="AA101" i="70"/>
  <c r="X101" i="70"/>
  <c r="K101" i="70"/>
  <c r="M97" i="70"/>
  <c r="Y97" i="70"/>
  <c r="O97" i="70"/>
  <c r="Z97" i="70"/>
  <c r="AA97" i="70"/>
  <c r="Q97" i="70"/>
  <c r="X97" i="70"/>
  <c r="K97" i="70"/>
  <c r="M96" i="70"/>
  <c r="Y96" i="70"/>
  <c r="Z96" i="70"/>
  <c r="O96" i="70"/>
  <c r="AA96" i="70"/>
  <c r="Q96" i="70"/>
  <c r="K96" i="70"/>
  <c r="X96" i="70"/>
  <c r="K90" i="70"/>
  <c r="X90" i="70"/>
  <c r="Y89" i="70"/>
  <c r="M89" i="70"/>
  <c r="Z89" i="70"/>
  <c r="O89" i="70"/>
  <c r="Q89" i="70"/>
  <c r="AA89" i="70"/>
  <c r="K89" i="70"/>
  <c r="X89" i="70"/>
  <c r="Y87" i="70"/>
  <c r="M87" i="70"/>
  <c r="O87" i="70"/>
  <c r="Z87" i="70"/>
  <c r="Q87" i="70"/>
  <c r="AA87" i="70"/>
  <c r="X87" i="70"/>
  <c r="K87" i="70"/>
  <c r="K86" i="70"/>
  <c r="X86" i="70"/>
  <c r="M82" i="70"/>
  <c r="Y82" i="70"/>
  <c r="Z82" i="70"/>
  <c r="O82" i="70"/>
  <c r="Q82" i="70"/>
  <c r="AA82" i="70"/>
  <c r="X82" i="70"/>
  <c r="K82" i="70"/>
  <c r="M80" i="70"/>
  <c r="Y80" i="70"/>
  <c r="O80" i="70"/>
  <c r="Z80" i="70"/>
  <c r="AA80" i="70"/>
  <c r="Q80" i="70"/>
  <c r="K80" i="70"/>
  <c r="X80" i="70"/>
  <c r="K79" i="70"/>
  <c r="X79" i="70"/>
  <c r="X77" i="70"/>
  <c r="K77" i="70"/>
  <c r="X76" i="70"/>
  <c r="K76" i="70"/>
  <c r="X75" i="70"/>
  <c r="K75" i="70"/>
  <c r="K71" i="70"/>
  <c r="X71" i="70"/>
  <c r="X69" i="70"/>
  <c r="K69" i="70"/>
  <c r="X95" i="70"/>
  <c r="K95" i="70"/>
  <c r="K93" i="70"/>
  <c r="X93" i="70"/>
  <c r="K88" i="70"/>
  <c r="X88" i="70"/>
  <c r="X91" i="70"/>
  <c r="K91" i="70"/>
  <c r="K125" i="70"/>
  <c r="X125" i="70"/>
  <c r="X94" i="70"/>
  <c r="K94" i="70"/>
  <c r="X92" i="70"/>
  <c r="K92" i="70"/>
  <c r="K85" i="70"/>
  <c r="X85" i="70"/>
  <c r="X81" i="70"/>
  <c r="K81" i="70"/>
  <c r="X74" i="70"/>
  <c r="K74" i="70"/>
  <c r="K72" i="70"/>
  <c r="X72" i="70"/>
  <c r="X73" i="70"/>
  <c r="K73" i="70"/>
  <c r="K70" i="70"/>
  <c r="X70" i="70"/>
  <c r="X68" i="70"/>
  <c r="K68" i="70"/>
  <c r="K78" i="70"/>
  <c r="X78" i="70"/>
  <c r="K98" i="70"/>
  <c r="X98" i="70"/>
  <c r="K84" i="70"/>
  <c r="X84" i="70"/>
  <c r="E60" i="70"/>
  <c r="E58" i="70"/>
  <c r="E53" i="70"/>
  <c r="E52" i="70"/>
  <c r="E51" i="70"/>
  <c r="E50" i="70"/>
  <c r="E49" i="70"/>
  <c r="E48" i="70"/>
  <c r="E47" i="70"/>
  <c r="E45" i="70"/>
  <c r="E44" i="70"/>
  <c r="E43" i="70"/>
  <c r="E42" i="70"/>
  <c r="E41" i="70"/>
  <c r="E37" i="70"/>
  <c r="E36" i="70"/>
  <c r="E33" i="70"/>
  <c r="E32" i="70"/>
  <c r="E31" i="70"/>
  <c r="E30" i="70"/>
  <c r="E29" i="70"/>
  <c r="E28" i="70"/>
  <c r="E27" i="70"/>
  <c r="E26" i="70"/>
  <c r="E25" i="70"/>
  <c r="E24" i="70"/>
  <c r="E23" i="70"/>
  <c r="E22" i="70"/>
  <c r="E21" i="70"/>
  <c r="E20" i="70"/>
  <c r="E19" i="70"/>
  <c r="E18" i="70"/>
  <c r="F17" i="70"/>
  <c r="G17" i="70"/>
  <c r="H17" i="70"/>
  <c r="I17" i="70"/>
  <c r="E17" i="70"/>
  <c r="F15" i="70"/>
  <c r="G15" i="70"/>
  <c r="H15" i="70"/>
  <c r="I15" i="70"/>
  <c r="E15" i="70"/>
  <c r="E14" i="70"/>
  <c r="E13" i="70"/>
  <c r="E12" i="70"/>
  <c r="E11" i="70"/>
  <c r="E10" i="70"/>
  <c r="E9" i="70"/>
  <c r="E8" i="70"/>
  <c r="E7" i="70"/>
  <c r="E6" i="70"/>
  <c r="E5" i="70"/>
  <c r="E4" i="70"/>
  <c r="E3" i="70"/>
  <c r="X771" i="3"/>
  <c r="X734" i="3"/>
  <c r="X699" i="3"/>
  <c r="X664" i="3"/>
  <c r="X629" i="3"/>
  <c r="O377" i="65"/>
  <c r="W386" i="64"/>
  <c r="W136" i="63"/>
  <c r="W462" i="61"/>
  <c r="O403" i="60"/>
  <c r="N404" i="60"/>
  <c r="N403" i="60"/>
  <c r="O402" i="60"/>
  <c r="N402" i="60"/>
  <c r="O528" i="32"/>
  <c r="O220" i="32" s="1"/>
  <c r="O502" i="32"/>
  <c r="O495" i="32"/>
  <c r="O209" i="32" s="1"/>
  <c r="O210" i="32" s="1"/>
  <c r="O44" i="32" s="1"/>
  <c r="O484" i="32"/>
  <c r="O486" i="32" s="1"/>
  <c r="O254" i="32" s="1"/>
  <c r="O255" i="32" s="1"/>
  <c r="O54" i="32" s="1"/>
  <c r="O477" i="32"/>
  <c r="O402" i="32"/>
  <c r="O149" i="32" s="1"/>
  <c r="O150" i="32" s="1"/>
  <c r="O37" i="32" s="1"/>
  <c r="O336" i="32"/>
  <c r="O120" i="32" s="1"/>
  <c r="O250" i="32"/>
  <c r="O53" i="32" s="1"/>
  <c r="O214" i="32"/>
  <c r="O215" i="32" s="1"/>
  <c r="O39" i="32" s="1"/>
  <c r="O204" i="32"/>
  <c r="O203" i="32"/>
  <c r="O202" i="32"/>
  <c r="O201" i="32"/>
  <c r="O200" i="32"/>
  <c r="O197" i="32"/>
  <c r="O196" i="32"/>
  <c r="O195" i="32"/>
  <c r="O192" i="32"/>
  <c r="O191" i="32"/>
  <c r="O190" i="32"/>
  <c r="O189" i="32"/>
  <c r="O188" i="32"/>
  <c r="O187" i="32"/>
  <c r="O186" i="32"/>
  <c r="O185" i="32"/>
  <c r="O184" i="32"/>
  <c r="O183" i="32"/>
  <c r="O182" i="32"/>
  <c r="O181" i="32"/>
  <c r="O180" i="32"/>
  <c r="O179" i="32"/>
  <c r="O178" i="32"/>
  <c r="O154" i="32"/>
  <c r="O155" i="32" s="1"/>
  <c r="O40" i="32" s="1"/>
  <c r="W3" i="32"/>
  <c r="W2" i="32"/>
  <c r="X58" i="70" l="1"/>
  <c r="K58" i="70"/>
  <c r="X53" i="70"/>
  <c r="K53" i="70"/>
  <c r="X52" i="70"/>
  <c r="K52" i="70"/>
  <c r="X51" i="70"/>
  <c r="K51" i="70"/>
  <c r="X50" i="70"/>
  <c r="K50" i="70"/>
  <c r="X49" i="70"/>
  <c r="K49" i="70"/>
  <c r="X48" i="70"/>
  <c r="K48" i="70"/>
  <c r="X47" i="70"/>
  <c r="K47" i="70"/>
  <c r="X45" i="70"/>
  <c r="K45" i="70"/>
  <c r="X44" i="70"/>
  <c r="K44" i="70"/>
  <c r="X43" i="70"/>
  <c r="K43" i="70"/>
  <c r="X42" i="70"/>
  <c r="K42" i="70"/>
  <c r="X41" i="70"/>
  <c r="K41" i="70"/>
  <c r="X37" i="70"/>
  <c r="K37" i="70"/>
  <c r="X36" i="70"/>
  <c r="K36" i="70"/>
  <c r="X32" i="70"/>
  <c r="K32" i="70"/>
  <c r="X31" i="70"/>
  <c r="K31" i="70"/>
  <c r="X25" i="70"/>
  <c r="K25" i="70"/>
  <c r="X24" i="70"/>
  <c r="K24" i="70"/>
  <c r="X22" i="70"/>
  <c r="K22" i="70"/>
  <c r="X21" i="70"/>
  <c r="K21" i="70"/>
  <c r="X18" i="70"/>
  <c r="K18" i="70"/>
  <c r="X17" i="70"/>
  <c r="K17" i="70"/>
  <c r="X15" i="70"/>
  <c r="K15" i="70"/>
  <c r="X14" i="70"/>
  <c r="K14" i="70"/>
  <c r="X12" i="70"/>
  <c r="K12" i="70"/>
  <c r="X11" i="70"/>
  <c r="K11" i="70"/>
  <c r="X10" i="70"/>
  <c r="K10" i="70"/>
  <c r="X6" i="70"/>
  <c r="K6" i="70"/>
  <c r="X4" i="70"/>
  <c r="K4" i="70"/>
  <c r="X30" i="70"/>
  <c r="K30" i="70"/>
  <c r="X28" i="70"/>
  <c r="K28" i="70"/>
  <c r="X23" i="70"/>
  <c r="K23" i="70"/>
  <c r="X26" i="70"/>
  <c r="K26" i="70"/>
  <c r="X60" i="70"/>
  <c r="K60" i="70"/>
  <c r="K65" i="70" s="1"/>
  <c r="X27" i="70"/>
  <c r="K27" i="70"/>
  <c r="X20" i="70"/>
  <c r="K20" i="70"/>
  <c r="X9" i="70"/>
  <c r="K9" i="70"/>
  <c r="X7" i="70"/>
  <c r="K7" i="70"/>
  <c r="X8" i="70"/>
  <c r="K8" i="70"/>
  <c r="X5" i="70"/>
  <c r="K5" i="70"/>
  <c r="X3" i="70"/>
  <c r="K3" i="70"/>
  <c r="X13" i="70"/>
  <c r="K13" i="70"/>
  <c r="X19" i="70"/>
  <c r="K19" i="70"/>
  <c r="X33" i="70"/>
  <c r="K33" i="70"/>
  <c r="X29" i="70"/>
  <c r="K29" i="70"/>
  <c r="AA17" i="70"/>
  <c r="Q17" i="70"/>
  <c r="Z17" i="70"/>
  <c r="O17" i="70"/>
  <c r="AA15" i="70"/>
  <c r="Q15" i="70"/>
  <c r="Z15" i="70"/>
  <c r="O15" i="70"/>
  <c r="Y15" i="70"/>
  <c r="M15" i="70"/>
  <c r="Y17" i="70"/>
  <c r="M17" i="70"/>
  <c r="O205" i="32"/>
  <c r="O42" i="32" s="1"/>
  <c r="W272" i="23"/>
  <c r="W177" i="22"/>
  <c r="V317" i="21"/>
  <c r="W474" i="17"/>
  <c r="W436" i="17"/>
  <c r="O179" i="13"/>
  <c r="W789" i="18"/>
  <c r="W447" i="60"/>
  <c r="O156" i="13"/>
  <c r="W231" i="10"/>
  <c r="J289" i="7"/>
  <c r="M12" i="68"/>
  <c r="M11" i="68"/>
  <c r="O336" i="66"/>
  <c r="O338" i="66" s="1"/>
  <c r="O308" i="66"/>
  <c r="O235" i="66"/>
  <c r="O121" i="66" s="1"/>
  <c r="O122" i="66" s="1"/>
  <c r="O227" i="66"/>
  <c r="O116" i="66" s="1"/>
  <c r="O117" i="66" s="1"/>
  <c r="O102" i="66"/>
  <c r="O32" i="66" s="1"/>
  <c r="O97" i="66"/>
  <c r="O31" i="66"/>
  <c r="O391" i="65"/>
  <c r="O386" i="65"/>
  <c r="O381" i="65"/>
  <c r="O372" i="65"/>
  <c r="O362" i="65"/>
  <c r="O115" i="65" s="1"/>
  <c r="O359" i="65"/>
  <c r="O348" i="65"/>
  <c r="O129" i="65" s="1"/>
  <c r="O346" i="65"/>
  <c r="O127" i="65" s="1"/>
  <c r="O343" i="65"/>
  <c r="O124" i="65" s="1"/>
  <c r="O339" i="65"/>
  <c r="O325" i="65"/>
  <c r="O326" i="65" s="1"/>
  <c r="O313" i="65"/>
  <c r="O310" i="65"/>
  <c r="O304" i="65"/>
  <c r="O275" i="65"/>
  <c r="O88" i="65" s="1"/>
  <c r="O273" i="65"/>
  <c r="O86" i="65" s="1"/>
  <c r="O267" i="65"/>
  <c r="O258" i="65"/>
  <c r="O74" i="65" s="1"/>
  <c r="O35" i="65" s="1"/>
  <c r="O249" i="65"/>
  <c r="O246" i="65"/>
  <c r="O240" i="65"/>
  <c r="O210" i="65"/>
  <c r="O68" i="65" s="1"/>
  <c r="O208" i="65"/>
  <c r="O66" i="65" s="1"/>
  <c r="O187" i="65"/>
  <c r="O188" i="65" s="1"/>
  <c r="O48" i="65" s="1"/>
  <c r="O182" i="65"/>
  <c r="O181" i="65"/>
  <c r="O180" i="65"/>
  <c r="O175" i="65"/>
  <c r="O174" i="65"/>
  <c r="O176" i="65" s="1"/>
  <c r="O46" i="65" s="1"/>
  <c r="O134" i="65"/>
  <c r="O133" i="65"/>
  <c r="O132" i="65"/>
  <c r="O131" i="65"/>
  <c r="O130" i="65"/>
  <c r="O126" i="65"/>
  <c r="O116" i="65"/>
  <c r="O114" i="65"/>
  <c r="O113" i="65"/>
  <c r="O111" i="65"/>
  <c r="O106" i="65"/>
  <c r="O105" i="65"/>
  <c r="O104" i="65"/>
  <c r="O103" i="65"/>
  <c r="O102" i="65"/>
  <c r="O101" i="65"/>
  <c r="O96" i="65"/>
  <c r="O95" i="65"/>
  <c r="O90" i="65"/>
  <c r="O89" i="65"/>
  <c r="O87" i="65"/>
  <c r="O85" i="65"/>
  <c r="O80" i="65"/>
  <c r="O81" i="65" s="1"/>
  <c r="O36" i="65" s="1"/>
  <c r="O69" i="65"/>
  <c r="O67" i="65"/>
  <c r="O3" i="65"/>
  <c r="O2" i="65"/>
  <c r="Y3" i="65"/>
  <c r="Y2" i="65"/>
  <c r="O346" i="64"/>
  <c r="O186" i="64" s="1"/>
  <c r="O187" i="64" s="1"/>
  <c r="O70" i="64" s="1"/>
  <c r="O334" i="64"/>
  <c r="O305" i="64"/>
  <c r="O283" i="64"/>
  <c r="O269" i="64"/>
  <c r="O147" i="64" s="1"/>
  <c r="O148" i="64" s="1"/>
  <c r="O46" i="64" s="1"/>
  <c r="O137" i="64"/>
  <c r="O138" i="64" s="1"/>
  <c r="O45" i="64" s="1"/>
  <c r="O241" i="64"/>
  <c r="O126" i="64" s="1"/>
  <c r="O234" i="64"/>
  <c r="O158" i="64"/>
  <c r="O120" i="64"/>
  <c r="O119" i="64"/>
  <c r="W3" i="64"/>
  <c r="W2" i="64"/>
  <c r="O112" i="63"/>
  <c r="O106" i="63"/>
  <c r="O64" i="63" s="1"/>
  <c r="O65" i="63" s="1"/>
  <c r="O35" i="63" s="1"/>
  <c r="W3" i="63"/>
  <c r="W2" i="63"/>
  <c r="O481" i="62"/>
  <c r="O245" i="62" s="1"/>
  <c r="O463" i="62"/>
  <c r="O230" i="62" s="1"/>
  <c r="O231" i="62" s="1"/>
  <c r="O74" i="62" s="1"/>
  <c r="O453" i="62"/>
  <c r="O457" i="62" s="1"/>
  <c r="O225" i="62" s="1"/>
  <c r="O226" i="62" s="1"/>
  <c r="O73" i="62" s="1"/>
  <c r="O345" i="62"/>
  <c r="O150" i="62" s="1"/>
  <c r="O151" i="62" s="1"/>
  <c r="O339" i="62"/>
  <c r="O145" i="62" s="1"/>
  <c r="O146" i="62" s="1"/>
  <c r="O43" i="62" s="1"/>
  <c r="O330" i="62"/>
  <c r="O299" i="62"/>
  <c r="O118" i="62" s="1"/>
  <c r="O119" i="62" s="1"/>
  <c r="O39" i="62" s="1"/>
  <c r="O246" i="62"/>
  <c r="O210" i="62"/>
  <c r="O70" i="62" s="1"/>
  <c r="O168" i="62"/>
  <c r="O167" i="62"/>
  <c r="O166" i="62"/>
  <c r="O165" i="62"/>
  <c r="W3" i="62"/>
  <c r="W2" i="62"/>
  <c r="E421" i="61"/>
  <c r="O341" i="61"/>
  <c r="O343" i="61" s="1"/>
  <c r="O138" i="61" s="1"/>
  <c r="O139" i="61" s="1"/>
  <c r="O35" i="61" s="1"/>
  <c r="O143" i="61"/>
  <c r="O73" i="61"/>
  <c r="W3" i="61"/>
  <c r="W2" i="61"/>
  <c r="O319" i="60"/>
  <c r="O240" i="60"/>
  <c r="O217" i="60"/>
  <c r="O406" i="60" s="1"/>
  <c r="W3" i="60"/>
  <c r="W2" i="60"/>
  <c r="O311" i="59"/>
  <c r="O192" i="59" s="1"/>
  <c r="O193" i="59" s="1"/>
  <c r="O66" i="59" s="1"/>
  <c r="O306" i="59"/>
  <c r="O187" i="59" s="1"/>
  <c r="O188" i="59" s="1"/>
  <c r="O65" i="59" s="1"/>
  <c r="O301" i="59"/>
  <c r="O182" i="59" s="1"/>
  <c r="O183" i="59" s="1"/>
  <c r="O64" i="59" s="1"/>
  <c r="O296" i="59"/>
  <c r="O177" i="59" s="1"/>
  <c r="O178" i="59" s="1"/>
  <c r="O63" i="59" s="1"/>
  <c r="O291" i="59"/>
  <c r="O172" i="59" s="1"/>
  <c r="O173" i="59" s="1"/>
  <c r="O62" i="59" s="1"/>
  <c r="O286" i="59"/>
  <c r="O280" i="59"/>
  <c r="O281" i="59" s="1"/>
  <c r="O162" i="59" s="1"/>
  <c r="O163" i="59" s="1"/>
  <c r="O60" i="59" s="1"/>
  <c r="O275" i="59"/>
  <c r="O276" i="59" s="1"/>
  <c r="O157" i="59" s="1"/>
  <c r="O158" i="59" s="1"/>
  <c r="O59" i="59" s="1"/>
  <c r="O258" i="59"/>
  <c r="O152" i="59" s="1"/>
  <c r="O153" i="59" s="1"/>
  <c r="O54" i="59" s="1"/>
  <c r="O253" i="59"/>
  <c r="O248" i="59"/>
  <c r="O142" i="59" s="1"/>
  <c r="O143" i="59" s="1"/>
  <c r="O52" i="59" s="1"/>
  <c r="O243" i="59"/>
  <c r="O137" i="59" s="1"/>
  <c r="O138" i="59" s="1"/>
  <c r="O51" i="59" s="1"/>
  <c r="O238" i="59"/>
  <c r="O132" i="59" s="1"/>
  <c r="O133" i="59" s="1"/>
  <c r="O50" i="59" s="1"/>
  <c r="O233" i="59"/>
  <c r="O228" i="59"/>
  <c r="O122" i="59" s="1"/>
  <c r="O123" i="59" s="1"/>
  <c r="O48" i="59" s="1"/>
  <c r="O223" i="59"/>
  <c r="O117" i="59" s="1"/>
  <c r="O118" i="59" s="1"/>
  <c r="O47" i="59" s="1"/>
  <c r="O167" i="59"/>
  <c r="O168" i="59" s="1"/>
  <c r="O61" i="59" s="1"/>
  <c r="O147" i="59"/>
  <c r="O148" i="59" s="1"/>
  <c r="O53" i="59" s="1"/>
  <c r="O127" i="59"/>
  <c r="O128" i="59" s="1"/>
  <c r="O49" i="59" s="1"/>
  <c r="O112" i="59"/>
  <c r="O102" i="59"/>
  <c r="O44" i="59" s="1"/>
  <c r="W3" i="59"/>
  <c r="W2" i="59"/>
  <c r="O47" i="58"/>
  <c r="W3" i="58"/>
  <c r="W2" i="58"/>
  <c r="O40" i="57"/>
  <c r="W3" i="57"/>
  <c r="W2" i="57"/>
  <c r="I111" i="70"/>
  <c r="O204" i="39"/>
  <c r="O96" i="39" s="1"/>
  <c r="O97" i="39" s="1"/>
  <c r="O48" i="39" s="1"/>
  <c r="O51" i="39" s="1"/>
  <c r="I105" i="70" s="1"/>
  <c r="O120" i="39"/>
  <c r="O122" i="39" s="1"/>
  <c r="O130" i="39" s="1"/>
  <c r="W3" i="39"/>
  <c r="W2" i="39"/>
  <c r="I104" i="70"/>
  <c r="O433" i="37"/>
  <c r="W3" i="37"/>
  <c r="W2" i="37"/>
  <c r="O638" i="33"/>
  <c r="O639" i="33" s="1"/>
  <c r="O389" i="33" s="1"/>
  <c r="O390" i="33" s="1"/>
  <c r="O83" i="33" s="1"/>
  <c r="O634" i="33"/>
  <c r="O384" i="33" s="1"/>
  <c r="O385" i="33" s="1"/>
  <c r="O82" i="33" s="1"/>
  <c r="O628" i="33"/>
  <c r="O629" i="33" s="1"/>
  <c r="O379" i="33" s="1"/>
  <c r="O380" i="33" s="1"/>
  <c r="O81" i="33" s="1"/>
  <c r="O623" i="33"/>
  <c r="O624" i="33" s="1"/>
  <c r="O374" i="33" s="1"/>
  <c r="O375" i="33" s="1"/>
  <c r="O80" i="33" s="1"/>
  <c r="O617" i="33"/>
  <c r="O619" i="33" s="1"/>
  <c r="O369" i="33" s="1"/>
  <c r="O370" i="33" s="1"/>
  <c r="O79" i="33" s="1"/>
  <c r="O525" i="33"/>
  <c r="O279" i="33" s="1"/>
  <c r="O280" i="33" s="1"/>
  <c r="O57" i="33" s="1"/>
  <c r="O520" i="33"/>
  <c r="O274" i="33" s="1"/>
  <c r="O275" i="33" s="1"/>
  <c r="O56" i="33" s="1"/>
  <c r="O515" i="33"/>
  <c r="O269" i="33" s="1"/>
  <c r="O270" i="33" s="1"/>
  <c r="O55" i="33" s="1"/>
  <c r="O510" i="33"/>
  <c r="O264" i="33" s="1"/>
  <c r="O265" i="33" s="1"/>
  <c r="O54" i="33" s="1"/>
  <c r="O505" i="33"/>
  <c r="O259" i="33" s="1"/>
  <c r="O260" i="33" s="1"/>
  <c r="O435" i="33"/>
  <c r="O194" i="33" s="1"/>
  <c r="O53" i="33"/>
  <c r="W3" i="33"/>
  <c r="W2" i="33"/>
  <c r="O706" i="18"/>
  <c r="O115" i="31"/>
  <c r="O111" i="31"/>
  <c r="O67" i="31" s="1"/>
  <c r="O90" i="31"/>
  <c r="O58" i="31" s="1"/>
  <c r="O72" i="31"/>
  <c r="W3" i="31"/>
  <c r="W2" i="31"/>
  <c r="O43" i="30"/>
  <c r="W3" i="30"/>
  <c r="W2" i="30"/>
  <c r="O40" i="29"/>
  <c r="W3" i="29"/>
  <c r="W2" i="29"/>
  <c r="O175" i="28"/>
  <c r="O119" i="28" s="1"/>
  <c r="O47" i="28" s="1"/>
  <c r="W3" i="28"/>
  <c r="W2" i="28"/>
  <c r="O1258" i="27"/>
  <c r="O344" i="27" s="1"/>
  <c r="O981" i="27"/>
  <c r="O875" i="27"/>
  <c r="O767" i="27"/>
  <c r="O722" i="27"/>
  <c r="O647" i="27"/>
  <c r="O208" i="27" s="1"/>
  <c r="O209" i="27" s="1"/>
  <c r="O73" i="27" s="1"/>
  <c r="O609" i="27"/>
  <c r="O610" i="27" s="1"/>
  <c r="O604" i="27"/>
  <c r="O576" i="27"/>
  <c r="O556" i="27"/>
  <c r="O538" i="27"/>
  <c r="O431" i="27"/>
  <c r="O97" i="27" s="1"/>
  <c r="O389" i="27"/>
  <c r="O388" i="27"/>
  <c r="O387" i="27"/>
  <c r="O386" i="27"/>
  <c r="O385" i="27"/>
  <c r="O382" i="27"/>
  <c r="O381" i="27"/>
  <c r="O380" i="27"/>
  <c r="O377" i="27"/>
  <c r="O376" i="27"/>
  <c r="O375" i="27"/>
  <c r="O374" i="27"/>
  <c r="O373" i="27"/>
  <c r="O372" i="27"/>
  <c r="O371" i="27"/>
  <c r="O370" i="27"/>
  <c r="O369" i="27"/>
  <c r="O368" i="27"/>
  <c r="O367" i="27"/>
  <c r="O366" i="27"/>
  <c r="O365" i="27"/>
  <c r="O364" i="27"/>
  <c r="O363" i="27"/>
  <c r="O328" i="27"/>
  <c r="O52" i="27" s="1"/>
  <c r="O237" i="27"/>
  <c r="O80" i="27" s="1"/>
  <c r="O232" i="27"/>
  <c r="O79" i="27" s="1"/>
  <c r="O204" i="27"/>
  <c r="O72" i="27" s="1"/>
  <c r="X3" i="27"/>
  <c r="X2" i="27"/>
  <c r="O199" i="26"/>
  <c r="O107" i="26" s="1"/>
  <c r="O108" i="26" s="1"/>
  <c r="O43" i="26" s="1"/>
  <c r="O195" i="26"/>
  <c r="O181" i="26"/>
  <c r="O93" i="26" s="1"/>
  <c r="O94" i="26" s="1"/>
  <c r="O34" i="26" s="1"/>
  <c r="O168" i="26"/>
  <c r="O169" i="26" s="1"/>
  <c r="O88" i="26" s="1"/>
  <c r="O89" i="26" s="1"/>
  <c r="O32" i="26" s="1"/>
  <c r="O162" i="26"/>
  <c r="O163" i="26" s="1"/>
  <c r="O83" i="26" s="1"/>
  <c r="O84" i="26" s="1"/>
  <c r="O31" i="26" s="1"/>
  <c r="O138" i="26"/>
  <c r="O102" i="26"/>
  <c r="O103" i="26" s="1"/>
  <c r="O42" i="26" s="1"/>
  <c r="W3" i="26"/>
  <c r="W2" i="26"/>
  <c r="O101" i="25"/>
  <c r="O46" i="25" s="1"/>
  <c r="W3" i="25"/>
  <c r="W2" i="25"/>
  <c r="O242" i="24"/>
  <c r="W3" i="24"/>
  <c r="W2" i="24"/>
  <c r="M13" i="68" l="1"/>
  <c r="M6" i="68" s="1"/>
  <c r="O209" i="61"/>
  <c r="O208" i="61"/>
  <c r="O207" i="61"/>
  <c r="O206" i="61"/>
  <c r="O205" i="61"/>
  <c r="O204" i="61"/>
  <c r="O203" i="61"/>
  <c r="O202" i="61"/>
  <c r="O201" i="61"/>
  <c r="O200" i="61"/>
  <c r="O199" i="61"/>
  <c r="O36" i="66"/>
  <c r="O35" i="66"/>
  <c r="O315" i="65"/>
  <c r="O163" i="65" s="1"/>
  <c r="O157" i="65" s="1"/>
  <c r="O364" i="65"/>
  <c r="O212" i="65"/>
  <c r="O278" i="65"/>
  <c r="O91" i="65"/>
  <c r="O37" i="65" s="1"/>
  <c r="O70" i="65"/>
  <c r="O33" i="65" s="1"/>
  <c r="O97" i="65"/>
  <c r="O39" i="65" s="1"/>
  <c r="O344" i="65"/>
  <c r="O125" i="65" s="1"/>
  <c r="O121" i="64"/>
  <c r="O42" i="64" s="1"/>
  <c r="O247" i="62"/>
  <c r="O77" i="62" s="1"/>
  <c r="O44" i="62"/>
  <c r="O169" i="62"/>
  <c r="O47" i="62" s="1"/>
  <c r="O70" i="59"/>
  <c r="I119" i="70" s="1"/>
  <c r="W4" i="24"/>
  <c r="W4" i="64"/>
  <c r="W4" i="59"/>
  <c r="W4" i="30"/>
  <c r="W4" i="57"/>
  <c r="W4" i="58"/>
  <c r="Y4" i="65"/>
  <c r="W4" i="31"/>
  <c r="W4" i="61"/>
  <c r="W4" i="60"/>
  <c r="W4" i="26"/>
  <c r="W4" i="29"/>
  <c r="W4" i="63"/>
  <c r="W4" i="25"/>
  <c r="W4" i="28"/>
  <c r="W4" i="62"/>
  <c r="W4" i="33"/>
  <c r="X4" i="27"/>
  <c r="W4" i="37"/>
  <c r="W4" i="39"/>
  <c r="O341" i="66"/>
  <c r="O163" i="66"/>
  <c r="O164" i="66" s="1"/>
  <c r="O183" i="65"/>
  <c r="O47" i="65" s="1"/>
  <c r="O53" i="65" s="1"/>
  <c r="I125" i="70" s="1"/>
  <c r="O107" i="65"/>
  <c r="O40" i="65" s="1"/>
  <c r="O259" i="65"/>
  <c r="O251" i="65"/>
  <c r="O149" i="65" s="1"/>
  <c r="O143" i="65" s="1"/>
  <c r="O347" i="65"/>
  <c r="O128" i="65" s="1"/>
  <c r="O112" i="65"/>
  <c r="O117" i="65" s="1"/>
  <c r="O41" i="65" s="1"/>
  <c r="O138" i="63"/>
  <c r="O42" i="63"/>
  <c r="O144" i="61"/>
  <c r="O145" i="61" s="1"/>
  <c r="O36" i="61" s="1"/>
  <c r="O390" i="27"/>
  <c r="O60" i="27" s="1"/>
  <c r="O59" i="26"/>
  <c r="I93" i="70" s="1"/>
  <c r="O254" i="23"/>
  <c r="W3" i="23"/>
  <c r="W2" i="23"/>
  <c r="O133" i="22"/>
  <c r="N132" i="22"/>
  <c r="O124" i="22"/>
  <c r="N123" i="22"/>
  <c r="W3" i="22"/>
  <c r="W2" i="22"/>
  <c r="O284" i="21"/>
  <c r="O285" i="21" s="1"/>
  <c r="O121" i="21" s="1"/>
  <c r="O186" i="21"/>
  <c r="O81" i="21" s="1"/>
  <c r="O165" i="21"/>
  <c r="O75" i="21" s="1"/>
  <c r="W3" i="21"/>
  <c r="W2" i="21"/>
  <c r="O136" i="20"/>
  <c r="O73" i="20" s="1"/>
  <c r="O111" i="20"/>
  <c r="O78" i="20"/>
  <c r="O79" i="20" s="1"/>
  <c r="O37" i="20" s="1"/>
  <c r="O40" i="20" s="1"/>
  <c r="W3" i="20"/>
  <c r="W2" i="20"/>
  <c r="W4" i="19"/>
  <c r="W3" i="19"/>
  <c r="W2" i="19"/>
  <c r="O752" i="18"/>
  <c r="O707" i="18"/>
  <c r="O208" i="18" s="1"/>
  <c r="O209" i="18" s="1"/>
  <c r="O72" i="18" s="1"/>
  <c r="O691" i="18"/>
  <c r="O289" i="18" s="1"/>
  <c r="O651" i="18"/>
  <c r="O275" i="18" s="1"/>
  <c r="O276" i="18" s="1"/>
  <c r="O59" i="18" s="1"/>
  <c r="O642" i="18"/>
  <c r="O375" i="18"/>
  <c r="O119" i="18" s="1"/>
  <c r="O120" i="18" s="1"/>
  <c r="O45" i="18" s="1"/>
  <c r="O271" i="18"/>
  <c r="O272" i="18" s="1"/>
  <c r="O58" i="18" s="1"/>
  <c r="O265" i="18"/>
  <c r="O264" i="18"/>
  <c r="O263" i="18"/>
  <c r="O262" i="18"/>
  <c r="O259" i="18"/>
  <c r="O258" i="18"/>
  <c r="O257" i="18"/>
  <c r="O254" i="18"/>
  <c r="O253" i="18"/>
  <c r="O252" i="18"/>
  <c r="O251" i="18"/>
  <c r="O250" i="18"/>
  <c r="O249" i="18"/>
  <c r="O248" i="18"/>
  <c r="O247" i="18"/>
  <c r="O246" i="18"/>
  <c r="O245" i="18"/>
  <c r="O244" i="18"/>
  <c r="O243" i="18"/>
  <c r="O242" i="18"/>
  <c r="O241" i="18"/>
  <c r="O240" i="18"/>
  <c r="W4" i="18"/>
  <c r="W3" i="18"/>
  <c r="W2" i="18"/>
  <c r="O281" i="17"/>
  <c r="O282" i="17" s="1"/>
  <c r="O118" i="17" s="1"/>
  <c r="O119" i="17" s="1"/>
  <c r="O40" i="17" s="1"/>
  <c r="O347" i="17"/>
  <c r="W4" i="17"/>
  <c r="W3" i="17"/>
  <c r="W2" i="17"/>
  <c r="W4" i="16"/>
  <c r="W3" i="16"/>
  <c r="W2" i="16"/>
  <c r="O75" i="67"/>
  <c r="O24" i="67" s="1"/>
  <c r="O37" i="67" s="1"/>
  <c r="O51" i="67" s="1"/>
  <c r="O60" i="67" s="1"/>
  <c r="O70" i="67"/>
  <c r="O56" i="67"/>
  <c r="O49" i="67"/>
  <c r="W4" i="67"/>
  <c r="W3" i="67"/>
  <c r="W2" i="67"/>
  <c r="O535" i="15"/>
  <c r="O218" i="15" s="1"/>
  <c r="O76" i="15" s="1"/>
  <c r="O527" i="15"/>
  <c r="O214" i="15" s="1"/>
  <c r="O75" i="15" s="1"/>
  <c r="O516" i="15"/>
  <c r="O210" i="15" s="1"/>
  <c r="O74" i="15" s="1"/>
  <c r="O507" i="15"/>
  <c r="O204" i="15" s="1"/>
  <c r="O501" i="15"/>
  <c r="O205" i="15" s="1"/>
  <c r="O73" i="15" s="1"/>
  <c r="O491" i="15"/>
  <c r="O199" i="15" s="1"/>
  <c r="O72" i="15" s="1"/>
  <c r="O485" i="15"/>
  <c r="O198" i="15" s="1"/>
  <c r="O43" i="15" s="1"/>
  <c r="O479" i="15"/>
  <c r="O193" i="15" s="1"/>
  <c r="O71" i="15" s="1"/>
  <c r="O473" i="15"/>
  <c r="O188" i="15" s="1"/>
  <c r="O70" i="15" s="1"/>
  <c r="O467" i="15"/>
  <c r="O183" i="15" s="1"/>
  <c r="O69" i="15" s="1"/>
  <c r="O460" i="15"/>
  <c r="O179" i="15" s="1"/>
  <c r="O455" i="15"/>
  <c r="O175" i="15" s="1"/>
  <c r="O67" i="15" s="1"/>
  <c r="O448" i="15"/>
  <c r="O171" i="15" s="1"/>
  <c r="O66" i="15" s="1"/>
  <c r="O167" i="15"/>
  <c r="O64" i="15"/>
  <c r="O423" i="15"/>
  <c r="O161" i="15" s="1"/>
  <c r="O163" i="15" s="1"/>
  <c r="O414" i="15"/>
  <c r="O157" i="15" s="1"/>
  <c r="O63" i="15" s="1"/>
  <c r="O408" i="15"/>
  <c r="O153" i="15" s="1"/>
  <c r="O41" i="15" s="1"/>
  <c r="O402" i="15"/>
  <c r="O148" i="15" s="1"/>
  <c r="O62" i="15" s="1"/>
  <c r="O376" i="15"/>
  <c r="O147" i="15" s="1"/>
  <c r="O40" i="15" s="1"/>
  <c r="O368" i="15"/>
  <c r="O143" i="15" s="1"/>
  <c r="O61" i="15" s="1"/>
  <c r="O360" i="15"/>
  <c r="O139" i="15" s="1"/>
  <c r="O60" i="15" s="1"/>
  <c r="O342" i="15"/>
  <c r="O135" i="15" s="1"/>
  <c r="O59" i="15" s="1"/>
  <c r="O337" i="15"/>
  <c r="O131" i="15" s="1"/>
  <c r="O58" i="15" s="1"/>
  <c r="O125" i="15"/>
  <c r="O126" i="15"/>
  <c r="O313" i="15"/>
  <c r="O121" i="15" s="1"/>
  <c r="O56" i="15" s="1"/>
  <c r="O308" i="15"/>
  <c r="O117" i="15" s="1"/>
  <c r="O55" i="15" s="1"/>
  <c r="O112" i="15"/>
  <c r="O54" i="15" s="1"/>
  <c r="O292" i="15"/>
  <c r="O111" i="15" s="1"/>
  <c r="O285" i="15"/>
  <c r="O106" i="15" s="1"/>
  <c r="O53" i="15" s="1"/>
  <c r="O276" i="15"/>
  <c r="O105" i="15" s="1"/>
  <c r="O270" i="15"/>
  <c r="O100" i="15" s="1"/>
  <c r="O52" i="15" s="1"/>
  <c r="O250" i="15"/>
  <c r="O244" i="15"/>
  <c r="O95" i="15" s="1"/>
  <c r="O50" i="15"/>
  <c r="O68" i="15"/>
  <c r="W4" i="15"/>
  <c r="W3" i="15"/>
  <c r="W2" i="15"/>
  <c r="O66" i="14"/>
  <c r="O52" i="14"/>
  <c r="O42" i="14"/>
  <c r="O61" i="14" s="1"/>
  <c r="O31" i="14"/>
  <c r="O40" i="14" s="1"/>
  <c r="O54" i="14" s="1"/>
  <c r="W4" i="14"/>
  <c r="W3" i="14"/>
  <c r="W2" i="14"/>
  <c r="O186" i="13"/>
  <c r="O189" i="13"/>
  <c r="O157" i="13"/>
  <c r="O81" i="13" s="1"/>
  <c r="O82" i="13" s="1"/>
  <c r="O32" i="13" s="1"/>
  <c r="O145" i="13"/>
  <c r="O78" i="13" s="1"/>
  <c r="O118" i="13"/>
  <c r="O108" i="13"/>
  <c r="O45" i="13" s="1"/>
  <c r="O103" i="13"/>
  <c r="O97" i="13"/>
  <c r="O43" i="13" s="1"/>
  <c r="O87" i="13"/>
  <c r="O44" i="13"/>
  <c r="O30" i="13"/>
  <c r="O28" i="13"/>
  <c r="W4" i="13"/>
  <c r="W3" i="13"/>
  <c r="W2" i="13"/>
  <c r="O145" i="12"/>
  <c r="O158" i="12" s="1"/>
  <c r="O138" i="12"/>
  <c r="O157" i="12" s="1"/>
  <c r="O130" i="12"/>
  <c r="O154" i="12" s="1"/>
  <c r="O153" i="12"/>
  <c r="O106" i="12"/>
  <c r="O101" i="12"/>
  <c r="O96" i="12"/>
  <c r="O91" i="12"/>
  <c r="O86" i="12"/>
  <c r="W4" i="12"/>
  <c r="W3" i="12"/>
  <c r="W2" i="12"/>
  <c r="O64" i="11"/>
  <c r="O59" i="11"/>
  <c r="O32" i="11" s="1"/>
  <c r="W4" i="11"/>
  <c r="W3" i="11"/>
  <c r="W2" i="11"/>
  <c r="O169" i="10"/>
  <c r="O154" i="10"/>
  <c r="O65" i="10" s="1"/>
  <c r="O148" i="10"/>
  <c r="O156" i="10" s="1"/>
  <c r="W4" i="10"/>
  <c r="W3" i="10"/>
  <c r="W2" i="10"/>
  <c r="O198" i="9"/>
  <c r="O65" i="9"/>
  <c r="O66" i="9" s="1"/>
  <c r="O30" i="9" s="1"/>
  <c r="W4" i="9"/>
  <c r="W3" i="9"/>
  <c r="W2" i="9"/>
  <c r="O154" i="8"/>
  <c r="O132" i="8"/>
  <c r="O137" i="8" s="1"/>
  <c r="O122" i="8"/>
  <c r="O159" i="8" s="1"/>
  <c r="O158" i="8"/>
  <c r="O100" i="8"/>
  <c r="O54" i="8" s="1"/>
  <c r="O96" i="8"/>
  <c r="O53" i="8" s="1"/>
  <c r="O89" i="8"/>
  <c r="O78" i="8"/>
  <c r="O27" i="8" s="1"/>
  <c r="O61" i="8"/>
  <c r="O33" i="8" s="1"/>
  <c r="O47" i="8"/>
  <c r="O49" i="8" s="1"/>
  <c r="O32" i="8" s="1"/>
  <c r="W4" i="8"/>
  <c r="W3" i="8"/>
  <c r="W2" i="8"/>
  <c r="E288" i="7"/>
  <c r="W4" i="7"/>
  <c r="W3" i="7"/>
  <c r="W2" i="7"/>
  <c r="O199" i="7"/>
  <c r="O198" i="7"/>
  <c r="O181" i="7"/>
  <c r="O180" i="7"/>
  <c r="O163" i="7"/>
  <c r="O162" i="7"/>
  <c r="O142" i="7"/>
  <c r="O127" i="7"/>
  <c r="O71" i="7"/>
  <c r="O66" i="7"/>
  <c r="O54" i="7"/>
  <c r="I73" i="70" s="1"/>
  <c r="O43" i="7"/>
  <c r="W4" i="5"/>
  <c r="W3" i="5"/>
  <c r="W2" i="5"/>
  <c r="E380" i="5"/>
  <c r="W4" i="32" l="1"/>
  <c r="W4" i="23"/>
  <c r="W4" i="22"/>
  <c r="W4" i="21"/>
  <c r="W4" i="20"/>
  <c r="O147" i="65"/>
  <c r="O141" i="65" s="1"/>
  <c r="O151" i="65"/>
  <c r="O145" i="65" s="1"/>
  <c r="O164" i="65"/>
  <c r="O158" i="65" s="1"/>
  <c r="O165" i="65"/>
  <c r="O159" i="65" s="1"/>
  <c r="O166" i="65"/>
  <c r="O160" i="65" s="1"/>
  <c r="O167" i="65"/>
  <c r="O161" i="65" s="1"/>
  <c r="O168" i="65"/>
  <c r="O162" i="65" s="1"/>
  <c r="O146" i="65"/>
  <c r="O140" i="65" s="1"/>
  <c r="O148" i="65"/>
  <c r="O142" i="65" s="1"/>
  <c r="O150" i="65"/>
  <c r="O144" i="65" s="1"/>
  <c r="O354" i="65"/>
  <c r="O39" i="15"/>
  <c r="O127" i="15"/>
  <c r="O57" i="15" s="1"/>
  <c r="O113" i="15"/>
  <c r="O206" i="15"/>
  <c r="O135" i="65"/>
  <c r="O42" i="65" s="1"/>
  <c r="O169" i="65"/>
  <c r="O38" i="65" s="1"/>
  <c r="O59" i="66"/>
  <c r="O65" i="15"/>
  <c r="O42" i="15"/>
  <c r="O159" i="12"/>
  <c r="O155" i="12"/>
  <c r="O161" i="12" s="1"/>
  <c r="O56" i="8"/>
  <c r="O25" i="8" s="1"/>
  <c r="O267" i="18"/>
  <c r="O60" i="18" s="1"/>
  <c r="O51" i="15"/>
  <c r="O36" i="15"/>
  <c r="O101" i="15"/>
  <c r="O107" i="15"/>
  <c r="O37" i="15"/>
  <c r="O38" i="15"/>
  <c r="O149" i="15"/>
  <c r="O82" i="15"/>
  <c r="O200" i="15"/>
  <c r="O44" i="15"/>
  <c r="O132" i="12"/>
  <c r="O66" i="10"/>
  <c r="O32" i="10" s="1"/>
  <c r="O70" i="10"/>
  <c r="O71" i="10" s="1"/>
  <c r="O33" i="10" s="1"/>
  <c r="O71" i="8"/>
  <c r="O157" i="8"/>
  <c r="O161" i="8" s="1"/>
  <c r="O65" i="8"/>
  <c r="O66" i="8"/>
  <c r="O264" i="7"/>
  <c r="O256" i="7"/>
  <c r="O272" i="7"/>
  <c r="O583" i="5"/>
  <c r="O207" i="5" s="1"/>
  <c r="O543" i="5"/>
  <c r="O273" i="5"/>
  <c r="O96" i="5" s="1"/>
  <c r="O97" i="5" s="1"/>
  <c r="O35" i="5" s="1"/>
  <c r="O258" i="5"/>
  <c r="O189" i="5"/>
  <c r="O55" i="5"/>
  <c r="O1114" i="6"/>
  <c r="O835" i="6"/>
  <c r="O723" i="6"/>
  <c r="O221" i="6" s="1"/>
  <c r="O623" i="6"/>
  <c r="O445" i="6"/>
  <c r="O107" i="6" s="1"/>
  <c r="O375" i="6"/>
  <c r="O374" i="6"/>
  <c r="O239" i="6"/>
  <c r="O245" i="6" s="1"/>
  <c r="O216" i="6"/>
  <c r="O211" i="6"/>
  <c r="O180" i="6"/>
  <c r="O151" i="6"/>
  <c r="O54" i="6"/>
  <c r="W4" i="6"/>
  <c r="W3" i="6"/>
  <c r="O261" i="6" s="1"/>
  <c r="W2" i="6"/>
  <c r="O297" i="4"/>
  <c r="W4" i="4"/>
  <c r="W3" i="4"/>
  <c r="W2" i="4"/>
  <c r="O343" i="3"/>
  <c r="O346" i="3" s="1"/>
  <c r="O145" i="3" s="1"/>
  <c r="W4" i="3"/>
  <c r="W3" i="3"/>
  <c r="W2" i="3"/>
  <c r="O592" i="3"/>
  <c r="O162" i="3" s="1"/>
  <c r="W4" i="2"/>
  <c r="W3" i="2"/>
  <c r="W2" i="2"/>
  <c r="G420" i="2"/>
  <c r="O523" i="2"/>
  <c r="O214" i="2" s="1"/>
  <c r="O503" i="2"/>
  <c r="O489" i="2"/>
  <c r="O197" i="2" s="1"/>
  <c r="O198" i="2" s="1"/>
  <c r="O53" i="2" s="1"/>
  <c r="O344" i="2"/>
  <c r="O345" i="2" s="1"/>
  <c r="O166" i="2" s="1"/>
  <c r="O167" i="2" s="1"/>
  <c r="O65" i="2" s="1"/>
  <c r="O341" i="2"/>
  <c r="O333" i="2"/>
  <c r="O127" i="2" s="1"/>
  <c r="O128" i="2" s="1"/>
  <c r="O42" i="2" s="1"/>
  <c r="O221" i="2"/>
  <c r="O250" i="2" s="1"/>
  <c r="O192" i="2"/>
  <c r="O193" i="2" s="1"/>
  <c r="O52" i="2" s="1"/>
  <c r="O151" i="2"/>
  <c r="O45" i="2" s="1"/>
  <c r="O132" i="2"/>
  <c r="O133" i="2" s="1"/>
  <c r="O43" i="2" s="1"/>
  <c r="O123" i="2"/>
  <c r="O40" i="2" s="1"/>
  <c r="O77" i="2"/>
  <c r="O62" i="2"/>
  <c r="R223" i="59"/>
  <c r="O67" i="8" l="1"/>
  <c r="O26" i="8" s="1"/>
  <c r="O29" i="8" s="1"/>
  <c r="O72" i="8"/>
  <c r="O34" i="8" s="1"/>
  <c r="O36" i="8" s="1"/>
  <c r="I74" i="70" s="1"/>
  <c r="O152" i="65"/>
  <c r="O34" i="65" s="1"/>
  <c r="O44" i="65"/>
  <c r="O78" i="15"/>
  <c r="O80" i="12"/>
  <c r="O81" i="12" s="1"/>
  <c r="O37" i="12" s="1"/>
  <c r="O54" i="12" s="1"/>
  <c r="I78" i="70" s="1"/>
  <c r="O25" i="15"/>
  <c r="O27" i="15" s="1"/>
  <c r="I81" i="70" s="1"/>
  <c r="O81" i="15"/>
  <c r="O45" i="15"/>
  <c r="O266" i="6"/>
  <c r="O265" i="6"/>
  <c r="O262" i="6"/>
  <c r="O305" i="2"/>
  <c r="O320" i="2" s="1"/>
  <c r="O368" i="2" s="1"/>
  <c r="O336" i="2"/>
  <c r="O337" i="2" s="1"/>
  <c r="O161" i="2" s="1"/>
  <c r="O162" i="2" s="1"/>
  <c r="O64" i="2" s="1"/>
  <c r="O68" i="2" s="1"/>
  <c r="I68" i="70" s="1"/>
  <c r="R389" i="32"/>
  <c r="O58" i="65" l="1"/>
  <c r="I60" i="70"/>
  <c r="O38" i="8"/>
  <c r="I9" i="70"/>
  <c r="O19" i="15"/>
  <c r="O22" i="15" s="1"/>
  <c r="O80" i="15"/>
  <c r="O405" i="2"/>
  <c r="O394" i="2"/>
  <c r="A180" i="4"/>
  <c r="A179" i="4"/>
  <c r="A174" i="4"/>
  <c r="A173" i="4"/>
  <c r="E650" i="6"/>
  <c r="P556" i="27"/>
  <c r="S610" i="27"/>
  <c r="J465" i="32"/>
  <c r="A195" i="6"/>
  <c r="R22" i="59"/>
  <c r="S101" i="31"/>
  <c r="T101" i="31"/>
  <c r="R101" i="31"/>
  <c r="O30" i="15" l="1"/>
  <c r="I16" i="70"/>
  <c r="T2" i="37"/>
  <c r="L437" i="37" s="1"/>
  <c r="L439" i="37" l="1"/>
  <c r="L181" i="37" s="1"/>
  <c r="S411" i="61"/>
  <c r="S412" i="61" s="1"/>
  <c r="K545" i="89" l="1"/>
  <c r="L545" i="89"/>
  <c r="M545" i="89"/>
  <c r="J545" i="89"/>
  <c r="J540" i="89"/>
  <c r="K538" i="89"/>
  <c r="K540" i="89" s="1"/>
  <c r="L538" i="89"/>
  <c r="L540" i="89" s="1"/>
  <c r="M538" i="89"/>
  <c r="M540" i="89" s="1"/>
  <c r="J538" i="89"/>
  <c r="R43" i="10" l="1"/>
  <c r="R45" i="10" s="1"/>
  <c r="S43" i="10"/>
  <c r="S45" i="10" s="1"/>
  <c r="T43" i="10"/>
  <c r="T45" i="10" s="1"/>
  <c r="Q43" i="10"/>
  <c r="Q45" i="10" s="1"/>
  <c r="N145" i="13" l="1"/>
  <c r="M145" i="13"/>
  <c r="L145" i="13"/>
  <c r="B54" i="92"/>
  <c r="B51" i="92"/>
  <c r="R106" i="8"/>
  <c r="Q106" i="8"/>
  <c r="P106" i="8"/>
  <c r="D527" i="89"/>
  <c r="D546" i="89" s="1"/>
  <c r="E527" i="89"/>
  <c r="C526" i="89"/>
  <c r="D526" i="89"/>
  <c r="E526" i="89"/>
  <c r="B526" i="89"/>
  <c r="C564" i="89"/>
  <c r="B564" i="89"/>
  <c r="S460" i="5"/>
  <c r="S461" i="5"/>
  <c r="S462" i="5"/>
  <c r="S463" i="5"/>
  <c r="S464" i="5"/>
  <c r="S465" i="5"/>
  <c r="S466" i="5"/>
  <c r="S467" i="5"/>
  <c r="S468" i="5"/>
  <c r="S469" i="5"/>
  <c r="S470" i="5"/>
  <c r="S471" i="5"/>
  <c r="S472" i="5"/>
  <c r="S473" i="5"/>
  <c r="S474" i="5"/>
  <c r="S475" i="5"/>
  <c r="S476" i="5"/>
  <c r="S477" i="5"/>
  <c r="S478" i="5"/>
  <c r="S479" i="5"/>
  <c r="S480" i="5"/>
  <c r="S481" i="5"/>
  <c r="S459" i="5"/>
  <c r="L347" i="17"/>
  <c r="M347" i="17"/>
  <c r="N347" i="17"/>
  <c r="J347" i="17"/>
  <c r="K459" i="33"/>
  <c r="L535" i="15"/>
  <c r="L218" i="15" s="1"/>
  <c r="M535" i="15"/>
  <c r="M218" i="15" s="1"/>
  <c r="N535" i="15"/>
  <c r="N218" i="15" s="1"/>
  <c r="J535" i="15"/>
  <c r="N214" i="32"/>
  <c r="N215" i="32" s="1"/>
  <c r="N39" i="32" s="1"/>
  <c r="M214" i="32"/>
  <c r="M215" i="32" s="1"/>
  <c r="M39" i="32" s="1"/>
  <c r="L214" i="32"/>
  <c r="L215" i="32" s="1"/>
  <c r="L39" i="32" s="1"/>
  <c r="K214" i="32"/>
  <c r="K215" i="32" s="1"/>
  <c r="K39" i="32" s="1"/>
  <c r="J214" i="32"/>
  <c r="J215" i="32" s="1"/>
  <c r="B214" i="32"/>
  <c r="A214" i="32"/>
  <c r="K502" i="32"/>
  <c r="J502" i="32"/>
  <c r="N502" i="32"/>
  <c r="M502" i="32"/>
  <c r="L502" i="32"/>
  <c r="B45" i="92"/>
  <c r="S483" i="5" l="1"/>
  <c r="E546" i="89"/>
  <c r="N5" i="83"/>
  <c r="N12" i="83" s="1"/>
  <c r="C554" i="89"/>
  <c r="C556" i="89"/>
  <c r="B556" i="89"/>
  <c r="C555" i="89"/>
  <c r="B555" i="89"/>
  <c r="C552" i="89"/>
  <c r="B552" i="89"/>
  <c r="S148" i="13"/>
  <c r="T148" i="13"/>
  <c r="U148" i="13"/>
  <c r="R148" i="13"/>
  <c r="P5" i="83" l="1"/>
  <c r="S158" i="13"/>
  <c r="T158" i="13"/>
  <c r="U158" i="13"/>
  <c r="R158" i="13"/>
  <c r="K74" i="58"/>
  <c r="N109" i="7"/>
  <c r="M109" i="7"/>
  <c r="L109" i="7"/>
  <c r="L651" i="18" l="1"/>
  <c r="B557" i="89"/>
  <c r="B121" i="66"/>
  <c r="A121" i="66"/>
  <c r="N235" i="66"/>
  <c r="N121" i="66" s="1"/>
  <c r="M235" i="66"/>
  <c r="M121" i="66" s="1"/>
  <c r="L235" i="66"/>
  <c r="K235" i="66"/>
  <c r="N651" i="18"/>
  <c r="N275" i="18" s="1"/>
  <c r="M651" i="18"/>
  <c r="M275" i="18" s="1"/>
  <c r="B554" i="89"/>
  <c r="L523" i="2"/>
  <c r="L214" i="2" s="1"/>
  <c r="M523" i="2"/>
  <c r="M214" i="2" s="1"/>
  <c r="N523" i="2"/>
  <c r="N214" i="2" s="1"/>
  <c r="B214" i="2"/>
  <c r="A214" i="2"/>
  <c r="K121" i="66" l="1"/>
  <c r="B560" i="89"/>
  <c r="B561" i="89" s="1"/>
  <c r="B527" i="89" s="1"/>
  <c r="B546" i="89" s="1"/>
  <c r="L121" i="66"/>
  <c r="C560" i="89"/>
  <c r="K36" i="66"/>
  <c r="N36" i="66"/>
  <c r="M36" i="66"/>
  <c r="L36" i="66"/>
  <c r="L275" i="18"/>
  <c r="C557" i="89"/>
  <c r="C561" i="89" s="1"/>
  <c r="G226" i="61"/>
  <c r="L169" i="10"/>
  <c r="M169" i="10"/>
  <c r="N169" i="10"/>
  <c r="J169" i="10"/>
  <c r="J170" i="10"/>
  <c r="B563" i="89" l="1"/>
  <c r="B565" i="89" s="1"/>
  <c r="J171" i="10"/>
  <c r="C563" i="89"/>
  <c r="C565" i="89" s="1"/>
  <c r="C527" i="89"/>
  <c r="C546" i="89" s="1"/>
  <c r="R468" i="61"/>
  <c r="A93" i="26"/>
  <c r="B93" i="26"/>
  <c r="Q642" i="3"/>
  <c r="L168" i="26"/>
  <c r="L169" i="26" s="1"/>
  <c r="M168" i="26"/>
  <c r="M169" i="26" s="1"/>
  <c r="N168" i="26"/>
  <c r="N169" i="26" s="1"/>
  <c r="L162" i="26"/>
  <c r="L163" i="26" s="1"/>
  <c r="M162" i="26"/>
  <c r="M163" i="26" s="1"/>
  <c r="N162" i="26"/>
  <c r="N163" i="26" s="1"/>
  <c r="L181" i="26"/>
  <c r="L93" i="26" s="1"/>
  <c r="L94" i="26" s="1"/>
  <c r="L34" i="26" s="1"/>
  <c r="M181" i="26"/>
  <c r="M93" i="26" s="1"/>
  <c r="M94" i="26" s="1"/>
  <c r="M34" i="26" s="1"/>
  <c r="N181" i="26"/>
  <c r="N93" i="26" s="1"/>
  <c r="N94" i="26" s="1"/>
  <c r="N34" i="26" s="1"/>
  <c r="J181" i="26"/>
  <c r="L505" i="33"/>
  <c r="M505" i="33"/>
  <c r="N505" i="33"/>
  <c r="K505" i="33"/>
  <c r="U161" i="26"/>
  <c r="S184" i="26"/>
  <c r="U169" i="26"/>
  <c r="S81" i="63"/>
  <c r="U71" i="63"/>
  <c r="U69" i="63"/>
  <c r="S71" i="63"/>
  <c r="S69" i="63"/>
  <c r="S188" i="3"/>
  <c r="U34" i="23"/>
  <c r="U33" i="23"/>
  <c r="Q34" i="9"/>
  <c r="L122" i="8" l="1"/>
  <c r="M122" i="8"/>
  <c r="N122" i="8"/>
  <c r="S308" i="61" l="1"/>
  <c r="K202" i="61"/>
  <c r="K379" i="61"/>
  <c r="K380" i="61"/>
  <c r="K381" i="61"/>
  <c r="K382" i="61"/>
  <c r="K383" i="61"/>
  <c r="K384" i="61"/>
  <c r="K385" i="61"/>
  <c r="K386" i="61"/>
  <c r="K387" i="61"/>
  <c r="G227" i="61"/>
  <c r="G228" i="61"/>
  <c r="K199" i="61"/>
  <c r="K200" i="61"/>
  <c r="K201" i="61"/>
  <c r="K203" i="61"/>
  <c r="K204" i="61"/>
  <c r="K205" i="61"/>
  <c r="K206" i="61"/>
  <c r="K207" i="61"/>
  <c r="K208" i="61"/>
  <c r="K209" i="61"/>
  <c r="K389" i="61" l="1"/>
  <c r="K211" i="61"/>
  <c r="C72" i="91" l="1"/>
  <c r="D72" i="91"/>
  <c r="E72" i="91"/>
  <c r="B72" i="91"/>
  <c r="E51" i="92"/>
  <c r="D51" i="92"/>
  <c r="D47" i="92"/>
  <c r="C47" i="92"/>
  <c r="C51" i="92" s="1"/>
  <c r="F60" i="91"/>
  <c r="F59" i="91"/>
  <c r="F58" i="91"/>
  <c r="F57" i="91"/>
  <c r="F56" i="91"/>
  <c r="F55" i="91"/>
  <c r="F54" i="91"/>
  <c r="F53" i="91"/>
  <c r="F52" i="91"/>
  <c r="F51" i="91"/>
  <c r="F50" i="91"/>
  <c r="F49" i="91"/>
  <c r="F48" i="91"/>
  <c r="F47" i="91"/>
  <c r="F46" i="91"/>
  <c r="F45" i="91"/>
  <c r="F44" i="91"/>
  <c r="F43" i="91"/>
  <c r="F42" i="91"/>
  <c r="F41" i="91"/>
  <c r="F40" i="91"/>
  <c r="F39" i="91"/>
  <c r="F38" i="91"/>
  <c r="F37" i="91"/>
  <c r="F36" i="91"/>
  <c r="F35" i="91"/>
  <c r="F34" i="91"/>
  <c r="F33" i="91"/>
  <c r="F32" i="91"/>
  <c r="F31" i="91"/>
  <c r="F30" i="91"/>
  <c r="F29" i="91"/>
  <c r="F28" i="91"/>
  <c r="F27" i="91"/>
  <c r="F26" i="91"/>
  <c r="F25" i="91"/>
  <c r="F24" i="91"/>
  <c r="F23" i="91"/>
  <c r="F22" i="91"/>
  <c r="F21" i="91"/>
  <c r="F20" i="91"/>
  <c r="F19" i="91"/>
  <c r="F18" i="91"/>
  <c r="F17" i="91"/>
  <c r="F16" i="91"/>
  <c r="F15" i="91"/>
  <c r="F14" i="91"/>
  <c r="F13" i="91"/>
  <c r="F12" i="91"/>
  <c r="F11" i="91"/>
  <c r="F10" i="91"/>
  <c r="F9" i="91"/>
  <c r="F8" i="91"/>
  <c r="F7" i="91"/>
  <c r="F6" i="91"/>
  <c r="F5" i="91"/>
  <c r="F4" i="91"/>
  <c r="F3" i="91"/>
  <c r="F2" i="91"/>
  <c r="B289" i="33"/>
  <c r="A289" i="33"/>
  <c r="B74" i="39"/>
  <c r="A74" i="39"/>
  <c r="C45" i="92"/>
  <c r="D45" i="92"/>
  <c r="E45" i="92"/>
  <c r="I49" i="70" l="1"/>
  <c r="I48" i="70"/>
  <c r="F49" i="70" l="1"/>
  <c r="Y49" i="70" l="1"/>
  <c r="M49" i="70"/>
  <c r="H49" i="70" l="1"/>
  <c r="G49" i="70"/>
  <c r="Q49" i="70" l="1"/>
  <c r="AA49" i="70"/>
  <c r="O49" i="70"/>
  <c r="Z49" i="70"/>
  <c r="F48" i="70"/>
  <c r="Y48" i="70" l="1"/>
  <c r="M48" i="70"/>
  <c r="G48" i="70"/>
  <c r="H48" i="70"/>
  <c r="O48" i="70" l="1"/>
  <c r="Z48" i="70"/>
  <c r="Q48" i="70"/>
  <c r="AA48" i="70"/>
  <c r="L334" i="64"/>
  <c r="M334" i="64"/>
  <c r="N334" i="64"/>
  <c r="E420" i="61"/>
  <c r="S143" i="12" l="1"/>
  <c r="R181" i="21" l="1"/>
  <c r="L495" i="32" l="1"/>
  <c r="M495" i="32"/>
  <c r="N495" i="32"/>
  <c r="E266" i="62" l="1"/>
  <c r="M330" i="62"/>
  <c r="N330" i="62"/>
  <c r="K324" i="62"/>
  <c r="J245" i="64"/>
  <c r="L385" i="27"/>
  <c r="M385" i="27"/>
  <c r="N385" i="27"/>
  <c r="L386" i="27"/>
  <c r="M386" i="27"/>
  <c r="N386" i="27"/>
  <c r="L387" i="27"/>
  <c r="M387" i="27"/>
  <c r="N387" i="27"/>
  <c r="L388" i="27"/>
  <c r="M388" i="27"/>
  <c r="N388" i="27"/>
  <c r="L389" i="27"/>
  <c r="M389" i="27"/>
  <c r="N389" i="27"/>
  <c r="L380" i="27"/>
  <c r="M380" i="27"/>
  <c r="N380" i="27"/>
  <c r="L381" i="27"/>
  <c r="M381" i="27"/>
  <c r="N381" i="27"/>
  <c r="L382" i="27"/>
  <c r="M382" i="27"/>
  <c r="N382" i="27"/>
  <c r="L364" i="27"/>
  <c r="M364" i="27"/>
  <c r="N364" i="27"/>
  <c r="L365" i="27"/>
  <c r="M365" i="27"/>
  <c r="N365" i="27"/>
  <c r="L366" i="27"/>
  <c r="M366" i="27"/>
  <c r="N366" i="27"/>
  <c r="L367" i="27"/>
  <c r="M367" i="27"/>
  <c r="N367" i="27"/>
  <c r="L368" i="27"/>
  <c r="M368" i="27"/>
  <c r="N368" i="27"/>
  <c r="L369" i="27"/>
  <c r="M369" i="27"/>
  <c r="N369" i="27"/>
  <c r="L370" i="27"/>
  <c r="M370" i="27"/>
  <c r="N370" i="27"/>
  <c r="L371" i="27"/>
  <c r="M371" i="27"/>
  <c r="N371" i="27"/>
  <c r="L372" i="27"/>
  <c r="M372" i="27"/>
  <c r="N372" i="27"/>
  <c r="L373" i="27"/>
  <c r="M373" i="27"/>
  <c r="N373" i="27"/>
  <c r="L374" i="27"/>
  <c r="M374" i="27"/>
  <c r="N374" i="27"/>
  <c r="L375" i="27"/>
  <c r="M375" i="27"/>
  <c r="N375" i="27"/>
  <c r="L376" i="27"/>
  <c r="M376" i="27"/>
  <c r="N376" i="27"/>
  <c r="L377" i="27"/>
  <c r="M377" i="27"/>
  <c r="N377" i="27"/>
  <c r="L363" i="27"/>
  <c r="M363" i="27"/>
  <c r="N363" i="27"/>
  <c r="K329" i="62" l="1"/>
  <c r="K326" i="62"/>
  <c r="K218" i="61"/>
  <c r="K219" i="61"/>
  <c r="K220" i="61"/>
  <c r="K221" i="61"/>
  <c r="K222" i="61"/>
  <c r="K223" i="61"/>
  <c r="K224" i="61"/>
  <c r="K228" i="61"/>
  <c r="S213" i="59"/>
  <c r="K206" i="59"/>
  <c r="S135" i="16"/>
  <c r="I1339" i="27"/>
  <c r="I1340" i="27" s="1"/>
  <c r="I1332" i="27"/>
  <c r="I1333" i="27" s="1"/>
  <c r="I1308" i="27"/>
  <c r="I1309" i="27" s="1"/>
  <c r="I1315" i="27"/>
  <c r="I1316" i="27" s="1"/>
  <c r="I1322" i="27"/>
  <c r="I1323" i="27" s="1"/>
  <c r="E443" i="18"/>
  <c r="J443" i="18"/>
  <c r="B145" i="18"/>
  <c r="B144" i="18"/>
  <c r="B143" i="18"/>
  <c r="B142" i="18"/>
  <c r="B141" i="18"/>
  <c r="B140" i="18"/>
  <c r="J423" i="18"/>
  <c r="J145" i="18" s="1"/>
  <c r="J146" i="18" s="1"/>
  <c r="J49" i="18" s="1"/>
  <c r="I1341" i="27" l="1"/>
  <c r="I1342" i="27" s="1"/>
  <c r="O1342" i="27" s="1"/>
  <c r="M1340" i="27"/>
  <c r="M1333" i="27"/>
  <c r="I1334" i="27"/>
  <c r="I1335" i="27" s="1"/>
  <c r="O1335" i="27" s="1"/>
  <c r="M1316" i="27"/>
  <c r="I1317" i="27"/>
  <c r="I1318" i="27" s="1"/>
  <c r="O1318" i="27" s="1"/>
  <c r="I1324" i="27"/>
  <c r="I1325" i="27" s="1"/>
  <c r="O1325" i="27" s="1"/>
  <c r="M1323" i="27"/>
  <c r="M1309" i="27"/>
  <c r="I1310" i="27"/>
  <c r="I1311" i="27" s="1"/>
  <c r="O1311" i="27" s="1"/>
  <c r="J37" i="4"/>
  <c r="D37" i="4"/>
  <c r="N1317" i="27" l="1"/>
  <c r="N1310" i="27"/>
  <c r="N1334" i="27"/>
  <c r="N1341" i="27"/>
  <c r="N1324" i="27"/>
  <c r="O1349" i="27" l="1"/>
  <c r="O425" i="27" s="1"/>
  <c r="K597" i="33"/>
  <c r="K598" i="33" s="1"/>
  <c r="K349" i="33" s="1"/>
  <c r="K350" i="33" s="1"/>
  <c r="K75" i="33" s="1"/>
  <c r="K607" i="33"/>
  <c r="K602" i="33"/>
  <c r="D77" i="33"/>
  <c r="D76" i="33"/>
  <c r="D75" i="33"/>
  <c r="K608" i="33"/>
  <c r="K359" i="33" s="1"/>
  <c r="E608" i="33"/>
  <c r="E603" i="33"/>
  <c r="K603" i="33"/>
  <c r="K354" i="33" s="1"/>
  <c r="E598" i="33"/>
  <c r="A359" i="33"/>
  <c r="B359" i="33"/>
  <c r="A354" i="33"/>
  <c r="B354" i="33"/>
  <c r="A349" i="33"/>
  <c r="B349" i="33"/>
  <c r="B133" i="4"/>
  <c r="B132" i="4"/>
  <c r="B131" i="4"/>
  <c r="B179" i="4"/>
  <c r="B180" i="4"/>
  <c r="E269" i="24"/>
  <c r="L314" i="4" l="1"/>
  <c r="M314" i="4" s="1"/>
  <c r="N314" i="4" s="1"/>
  <c r="O314" i="4" s="1"/>
  <c r="O315" i="4" s="1"/>
  <c r="O158" i="4" s="1"/>
  <c r="B174" i="4"/>
  <c r="B173" i="4"/>
  <c r="B168" i="4"/>
  <c r="B167" i="4"/>
  <c r="D43" i="24" l="1"/>
  <c r="A170" i="24"/>
  <c r="B170" i="24"/>
  <c r="A171" i="24"/>
  <c r="B171" i="24"/>
  <c r="A157" i="24"/>
  <c r="B157" i="24"/>
  <c r="A158" i="24"/>
  <c r="B158" i="24"/>
  <c r="B146" i="24"/>
  <c r="A146" i="24"/>
  <c r="A140" i="24"/>
  <c r="B140" i="24"/>
  <c r="A134" i="24" l="1"/>
  <c r="B134" i="24"/>
  <c r="A123" i="24"/>
  <c r="B123" i="24"/>
  <c r="A116" i="24"/>
  <c r="B116" i="24"/>
  <c r="A110" i="24"/>
  <c r="B110" i="24"/>
  <c r="A104" i="24"/>
  <c r="B104" i="24"/>
  <c r="A98" i="24"/>
  <c r="B98" i="24"/>
  <c r="R2" i="66" l="1"/>
  <c r="K307" i="66" s="1"/>
  <c r="S2" i="66"/>
  <c r="T2" i="66"/>
  <c r="U2" i="66"/>
  <c r="R3" i="66"/>
  <c r="S3" i="66"/>
  <c r="T3" i="66"/>
  <c r="U3" i="66"/>
  <c r="R4" i="66"/>
  <c r="Q4" i="66"/>
  <c r="Q3" i="66"/>
  <c r="Q2" i="66"/>
  <c r="N216" i="66" l="1"/>
  <c r="N215" i="66"/>
  <c r="K297" i="66"/>
  <c r="K296" i="66"/>
  <c r="K295" i="66"/>
  <c r="K294" i="66"/>
  <c r="K293" i="66"/>
  <c r="K292" i="66"/>
  <c r="K291" i="66"/>
  <c r="K290" i="66"/>
  <c r="K289" i="66"/>
  <c r="K288" i="66"/>
  <c r="K287" i="66"/>
  <c r="K280" i="66"/>
  <c r="K199" i="66"/>
  <c r="K214" i="66"/>
  <c r="K206" i="66"/>
  <c r="K183" i="66"/>
  <c r="K186" i="66" s="1"/>
  <c r="K192" i="66"/>
  <c r="L192" i="66" s="1"/>
  <c r="M192" i="66" s="1"/>
  <c r="N192" i="66" s="1"/>
  <c r="K191" i="66"/>
  <c r="L191" i="66" s="1"/>
  <c r="M191" i="66" s="1"/>
  <c r="N191" i="66" s="1"/>
  <c r="N280" i="17"/>
  <c r="J297" i="17"/>
  <c r="K299" i="66" l="1"/>
  <c r="R317" i="21"/>
  <c r="S317" i="21"/>
  <c r="T317" i="21"/>
  <c r="U317" i="21"/>
  <c r="T474" i="17"/>
  <c r="U474" i="17"/>
  <c r="V474" i="17"/>
  <c r="S474" i="17"/>
  <c r="J532" i="3"/>
  <c r="N342" i="3" l="1"/>
  <c r="N346" i="3" s="1"/>
  <c r="M835" i="6"/>
  <c r="N835" i="6"/>
  <c r="U388" i="66"/>
  <c r="V447" i="60"/>
  <c r="S177" i="22"/>
  <c r="T177" i="22"/>
  <c r="U177" i="22"/>
  <c r="V177" i="22"/>
  <c r="R177" i="22"/>
  <c r="T231" i="10"/>
  <c r="U231" i="10"/>
  <c r="V231" i="10"/>
  <c r="S231" i="10"/>
  <c r="K592" i="33" l="1"/>
  <c r="L165" i="21" l="1"/>
  <c r="M165" i="21"/>
  <c r="N165" i="21"/>
  <c r="N346" i="65" l="1"/>
  <c r="M346" i="65"/>
  <c r="N343" i="65"/>
  <c r="M343" i="65"/>
  <c r="L343" i="65"/>
  <c r="L124" i="65" s="1"/>
  <c r="L385" i="65"/>
  <c r="L187" i="65" s="1"/>
  <c r="N377" i="65"/>
  <c r="M377" i="65"/>
  <c r="L377" i="65"/>
  <c r="L181" i="65" s="1"/>
  <c r="M370" i="65"/>
  <c r="L370" i="65"/>
  <c r="L174" i="65" s="1"/>
  <c r="N362" i="65"/>
  <c r="M362" i="65"/>
  <c r="L362" i="65"/>
  <c r="L115" i="65" s="1"/>
  <c r="L361" i="65"/>
  <c r="L114" i="65" s="1"/>
  <c r="N359" i="65"/>
  <c r="M359" i="65"/>
  <c r="L359" i="65"/>
  <c r="N325" i="65"/>
  <c r="M325" i="65"/>
  <c r="L325" i="65"/>
  <c r="L96" i="65" s="1"/>
  <c r="N313" i="65"/>
  <c r="M313" i="65"/>
  <c r="L312" i="65"/>
  <c r="N310" i="65"/>
  <c r="M310" i="65"/>
  <c r="L310" i="65"/>
  <c r="L277" i="65"/>
  <c r="L90" i="65" s="1"/>
  <c r="N275" i="65"/>
  <c r="N273" i="65"/>
  <c r="M273" i="65"/>
  <c r="L273" i="65"/>
  <c r="L86" i="65" s="1"/>
  <c r="M266" i="65"/>
  <c r="L266" i="65"/>
  <c r="L80" i="65" s="1"/>
  <c r="N258" i="65"/>
  <c r="M258" i="65"/>
  <c r="L258" i="65"/>
  <c r="L74" i="65" s="1"/>
  <c r="L35" i="65" s="1"/>
  <c r="N249" i="65"/>
  <c r="M249" i="65"/>
  <c r="L249" i="65"/>
  <c r="L248" i="65"/>
  <c r="N246" i="65"/>
  <c r="M246" i="65"/>
  <c r="L246" i="65"/>
  <c r="N210" i="65"/>
  <c r="M210" i="65"/>
  <c r="L210" i="65"/>
  <c r="L68" i="65" s="1"/>
  <c r="N208" i="65"/>
  <c r="M208" i="65"/>
  <c r="L208" i="65"/>
  <c r="L66" i="65" s="1"/>
  <c r="L132" i="8"/>
  <c r="M132" i="8"/>
  <c r="N132" i="8"/>
  <c r="N137" i="8" s="1"/>
  <c r="X2" i="65"/>
  <c r="X3" i="65"/>
  <c r="L67" i="65"/>
  <c r="L85" i="65"/>
  <c r="L87" i="65"/>
  <c r="L89" i="65"/>
  <c r="L95" i="65"/>
  <c r="L101" i="65"/>
  <c r="L102" i="65"/>
  <c r="L103" i="65"/>
  <c r="L104" i="65"/>
  <c r="L105" i="65"/>
  <c r="L106" i="65"/>
  <c r="L111" i="65"/>
  <c r="L113" i="65"/>
  <c r="L116" i="65"/>
  <c r="L130" i="65"/>
  <c r="L131" i="65"/>
  <c r="L132" i="65"/>
  <c r="L133" i="65"/>
  <c r="L134" i="65"/>
  <c r="L175" i="65"/>
  <c r="L180" i="65"/>
  <c r="L182" i="65"/>
  <c r="L69" i="65"/>
  <c r="L88" i="65"/>
  <c r="L339" i="65"/>
  <c r="L126" i="65"/>
  <c r="L348" i="65"/>
  <c r="L129" i="65" s="1"/>
  <c r="L391" i="65"/>
  <c r="L96" i="11"/>
  <c r="M96" i="11" s="1"/>
  <c r="N96" i="11" s="1"/>
  <c r="O96" i="11" s="1"/>
  <c r="H176" i="10"/>
  <c r="H179" i="10" s="1"/>
  <c r="H183" i="10"/>
  <c r="H186" i="10" s="1"/>
  <c r="H190" i="10"/>
  <c r="H192" i="10" s="1"/>
  <c r="M344" i="65" l="1"/>
  <c r="M347" i="65"/>
  <c r="N344" i="65"/>
  <c r="N347" i="65"/>
  <c r="L346" i="65"/>
  <c r="L127" i="65" s="1"/>
  <c r="L347" i="65"/>
  <c r="L128" i="65" s="1"/>
  <c r="L344" i="65"/>
  <c r="L386" i="65"/>
  <c r="L381" i="65"/>
  <c r="L267" i="65"/>
  <c r="L326" i="65"/>
  <c r="L183" i="65"/>
  <c r="L47" i="65" s="1"/>
  <c r="L97" i="65"/>
  <c r="L39" i="65" s="1"/>
  <c r="L278" i="65"/>
  <c r="L259" i="65"/>
  <c r="L81" i="65"/>
  <c r="L36" i="65" s="1"/>
  <c r="L176" i="65"/>
  <c r="L46" i="65" s="1"/>
  <c r="L212" i="65"/>
  <c r="L112" i="65"/>
  <c r="L117" i="65" s="1"/>
  <c r="L41" i="65" s="1"/>
  <c r="L364" i="65"/>
  <c r="L315" i="65"/>
  <c r="L188" i="65"/>
  <c r="L48" i="65" s="1"/>
  <c r="L107" i="65"/>
  <c r="L40" i="65" s="1"/>
  <c r="L251" i="65"/>
  <c r="L372" i="65"/>
  <c r="L70" i="65"/>
  <c r="L33" i="65" s="1"/>
  <c r="L91" i="65"/>
  <c r="L37" i="65" s="1"/>
  <c r="L53" i="65" l="1"/>
  <c r="F125" i="70" s="1"/>
  <c r="L125" i="65"/>
  <c r="L135" i="65" s="1"/>
  <c r="L42" i="65" s="1"/>
  <c r="L354" i="65"/>
  <c r="M125" i="70" l="1"/>
  <c r="Y125" i="70"/>
  <c r="J229" i="2"/>
  <c r="K367" i="37" l="1"/>
  <c r="K361" i="37"/>
  <c r="K306" i="37"/>
  <c r="K296" i="37"/>
  <c r="N204" i="39"/>
  <c r="M204" i="39"/>
  <c r="L204" i="39"/>
  <c r="J499" i="2"/>
  <c r="B137" i="64"/>
  <c r="A137" i="64"/>
  <c r="B147" i="64"/>
  <c r="A147" i="64"/>
  <c r="N269" i="64"/>
  <c r="N147" i="64" s="1"/>
  <c r="N148" i="64" s="1"/>
  <c r="N46" i="64" s="1"/>
  <c r="M269" i="64"/>
  <c r="M147" i="64" s="1"/>
  <c r="M148" i="64" s="1"/>
  <c r="M46" i="64" s="1"/>
  <c r="L269" i="64"/>
  <c r="L147" i="64" s="1"/>
  <c r="L148" i="64" s="1"/>
  <c r="L46" i="64" s="1"/>
  <c r="K269" i="64"/>
  <c r="K147" i="64" s="1"/>
  <c r="K148" i="64" s="1"/>
  <c r="K46" i="64" s="1"/>
  <c r="J269" i="64"/>
  <c r="J147" i="64" s="1"/>
  <c r="J148" i="64" s="1"/>
  <c r="J46" i="64" s="1"/>
  <c r="K137" i="64"/>
  <c r="K138" i="64" s="1"/>
  <c r="L137" i="64"/>
  <c r="L138" i="64" s="1"/>
  <c r="M137" i="64"/>
  <c r="M138" i="64" s="1"/>
  <c r="N137" i="64"/>
  <c r="N138" i="64" s="1"/>
  <c r="J137" i="64"/>
  <c r="J138" i="64" s="1"/>
  <c r="J45" i="64" s="1"/>
  <c r="D45" i="64"/>
  <c r="N45" i="64" l="1"/>
  <c r="M45" i="64"/>
  <c r="L45" i="64"/>
  <c r="K45" i="64"/>
  <c r="B168" i="62" l="1"/>
  <c r="B167" i="62"/>
  <c r="B166" i="62"/>
  <c r="B165" i="62"/>
  <c r="A168" i="62"/>
  <c r="A167" i="62"/>
  <c r="A166" i="62"/>
  <c r="A165" i="62"/>
  <c r="B246" i="62"/>
  <c r="A246" i="62"/>
  <c r="B245" i="62"/>
  <c r="A245" i="62"/>
  <c r="K246" i="62"/>
  <c r="L246" i="62"/>
  <c r="M246" i="62"/>
  <c r="N246" i="62"/>
  <c r="J246" i="62"/>
  <c r="D77" i="62"/>
  <c r="D47" i="62"/>
  <c r="K165" i="62"/>
  <c r="L165" i="62"/>
  <c r="M165" i="62"/>
  <c r="N165" i="62"/>
  <c r="K166" i="62"/>
  <c r="L166" i="62"/>
  <c r="M166" i="62"/>
  <c r="N166" i="62"/>
  <c r="K167" i="62"/>
  <c r="L167" i="62"/>
  <c r="M167" i="62"/>
  <c r="N167" i="62"/>
  <c r="K168" i="62"/>
  <c r="L168" i="62"/>
  <c r="M168" i="62"/>
  <c r="N168" i="62"/>
  <c r="J168" i="62"/>
  <c r="J167" i="62"/>
  <c r="J166" i="62"/>
  <c r="J165" i="62"/>
  <c r="N169" i="62" l="1"/>
  <c r="N47" i="62" s="1"/>
  <c r="J169" i="62"/>
  <c r="J47" i="62" s="1"/>
  <c r="K169" i="62"/>
  <c r="K47" i="62" s="1"/>
  <c r="L169" i="62"/>
  <c r="L47" i="62" s="1"/>
  <c r="M169" i="62"/>
  <c r="M47" i="62" s="1"/>
  <c r="K481" i="62"/>
  <c r="K245" i="62" s="1"/>
  <c r="K247" i="62" s="1"/>
  <c r="K77" i="62" s="1"/>
  <c r="L481" i="62"/>
  <c r="M481" i="62"/>
  <c r="M245" i="62" s="1"/>
  <c r="M247" i="62" s="1"/>
  <c r="M77" i="62" s="1"/>
  <c r="N481" i="62"/>
  <c r="N245" i="62" s="1"/>
  <c r="N247" i="62" s="1"/>
  <c r="N77" i="62" s="1"/>
  <c r="J245" i="62"/>
  <c r="J247" i="62" s="1"/>
  <c r="J77" i="62" s="1"/>
  <c r="J84" i="62" s="1"/>
  <c r="M527" i="15"/>
  <c r="N527" i="15"/>
  <c r="L245" i="62" l="1"/>
  <c r="L247" i="62" s="1"/>
  <c r="L77" i="62" s="1"/>
  <c r="J70" i="37"/>
  <c r="D70" i="37"/>
  <c r="K543" i="37"/>
  <c r="K252" i="37" s="1"/>
  <c r="K253" i="37" s="1"/>
  <c r="K70" i="37" s="1"/>
  <c r="B209" i="32"/>
  <c r="A209" i="32"/>
  <c r="D44" i="32"/>
  <c r="J209" i="32"/>
  <c r="J210" i="32" s="1"/>
  <c r="J44" i="32" s="1"/>
  <c r="N209" i="32"/>
  <c r="N210" i="32" s="1"/>
  <c r="N44" i="32" s="1"/>
  <c r="M209" i="32"/>
  <c r="M210" i="32" s="1"/>
  <c r="M44" i="32" s="1"/>
  <c r="L209" i="32"/>
  <c r="L210" i="32" s="1"/>
  <c r="L44" i="32" s="1"/>
  <c r="K495" i="32"/>
  <c r="K209" i="32" s="1"/>
  <c r="K210" i="32" s="1"/>
  <c r="K44" i="32" s="1"/>
  <c r="J158" i="12"/>
  <c r="J138" i="12" l="1"/>
  <c r="J157" i="12" s="1"/>
  <c r="L138" i="12"/>
  <c r="L157" i="12" s="1"/>
  <c r="M138" i="12"/>
  <c r="M157" i="12" s="1"/>
  <c r="N138" i="12"/>
  <c r="N157" i="12" s="1"/>
  <c r="J153" i="12"/>
  <c r="N120" i="12"/>
  <c r="M153" i="12"/>
  <c r="L153" i="12"/>
  <c r="J130" i="12"/>
  <c r="J154" i="12" s="1"/>
  <c r="N124" i="12" l="1"/>
  <c r="N153" i="12" s="1"/>
  <c r="J132" i="12"/>
  <c r="L130" i="12" l="1"/>
  <c r="M130" i="12"/>
  <c r="N130" i="12"/>
  <c r="J159" i="12"/>
  <c r="J155" i="12"/>
  <c r="N145" i="12"/>
  <c r="N158" i="12" s="1"/>
  <c r="N159" i="12" s="1"/>
  <c r="L145" i="12"/>
  <c r="L158" i="12" s="1"/>
  <c r="L159" i="12" s="1"/>
  <c r="M145" i="12"/>
  <c r="M158" i="12" s="1"/>
  <c r="M159" i="12" s="1"/>
  <c r="D59" i="18"/>
  <c r="L276" i="18"/>
  <c r="L59" i="18" s="1"/>
  <c r="M276" i="18"/>
  <c r="M59" i="18" s="1"/>
  <c r="N276" i="18"/>
  <c r="N59" i="18" s="1"/>
  <c r="J276" i="18"/>
  <c r="J59" i="18" s="1"/>
  <c r="L132" i="12" l="1"/>
  <c r="L154" i="12"/>
  <c r="L155" i="12" s="1"/>
  <c r="L161" i="12" s="1"/>
  <c r="N132" i="12"/>
  <c r="N154" i="12"/>
  <c r="N155" i="12" s="1"/>
  <c r="M132" i="12"/>
  <c r="M154" i="12"/>
  <c r="M155" i="12" s="1"/>
  <c r="J161" i="12"/>
  <c r="M161" i="12"/>
  <c r="N161" i="12"/>
  <c r="E287" i="7" l="1"/>
  <c r="U273" i="70"/>
  <c r="F272" i="70"/>
  <c r="G272" i="70"/>
  <c r="H272" i="70"/>
  <c r="E272" i="70"/>
  <c r="I124" i="10"/>
  <c r="I117" i="10"/>
  <c r="I184" i="9"/>
  <c r="N280" i="59" l="1"/>
  <c r="M280" i="59"/>
  <c r="L280" i="59"/>
  <c r="K280" i="59"/>
  <c r="N275" i="59"/>
  <c r="M275" i="59"/>
  <c r="L275" i="59"/>
  <c r="K275" i="59"/>
  <c r="L459" i="33" l="1"/>
  <c r="M459" i="33" s="1"/>
  <c r="N459" i="33" s="1"/>
  <c r="O459" i="33" s="1"/>
  <c r="O460" i="33" s="1"/>
  <c r="O206" i="33" s="1"/>
  <c r="K472" i="33" l="1"/>
  <c r="L472" i="33" s="1"/>
  <c r="M472" i="33" s="1"/>
  <c r="N472" i="33" s="1"/>
  <c r="O472" i="33" s="1"/>
  <c r="K471" i="33"/>
  <c r="L471" i="33" s="1"/>
  <c r="M471" i="33" s="1"/>
  <c r="N471" i="33" s="1"/>
  <c r="O471" i="33" s="1"/>
  <c r="K469" i="33"/>
  <c r="K406" i="33"/>
  <c r="L406" i="33" s="1"/>
  <c r="M406" i="33" s="1"/>
  <c r="N406" i="33" s="1"/>
  <c r="O406" i="33" s="1"/>
  <c r="L638" i="33"/>
  <c r="M638" i="33"/>
  <c r="N638" i="33"/>
  <c r="K638" i="33"/>
  <c r="L628" i="33"/>
  <c r="M628" i="33"/>
  <c r="N628" i="33"/>
  <c r="K628" i="33"/>
  <c r="L623" i="33"/>
  <c r="M623" i="33"/>
  <c r="N623" i="33"/>
  <c r="K623" i="33"/>
  <c r="K360" i="33" s="1"/>
  <c r="K77" i="33" s="1"/>
  <c r="L617" i="33"/>
  <c r="L619" i="33" s="1"/>
  <c r="M617" i="33"/>
  <c r="M619" i="33" s="1"/>
  <c r="N617" i="33"/>
  <c r="N619" i="33" s="1"/>
  <c r="K617" i="33"/>
  <c r="K355" i="33" l="1"/>
  <c r="K76" i="33" s="1"/>
  <c r="K619" i="33"/>
  <c r="L469" i="33"/>
  <c r="K474" i="33"/>
  <c r="N435" i="33"/>
  <c r="N194" i="33" s="1"/>
  <c r="M435" i="33"/>
  <c r="M194" i="33" s="1"/>
  <c r="L435" i="33"/>
  <c r="L194" i="33" s="1"/>
  <c r="K435" i="33"/>
  <c r="E435" i="33"/>
  <c r="J433" i="37"/>
  <c r="L433" i="37"/>
  <c r="M433" i="37"/>
  <c r="N433" i="37"/>
  <c r="K433" i="37"/>
  <c r="D39" i="39"/>
  <c r="F268" i="70"/>
  <c r="G268" i="70"/>
  <c r="H268" i="70"/>
  <c r="E268" i="70"/>
  <c r="E167" i="39"/>
  <c r="K167" i="39"/>
  <c r="K74" i="39" s="1"/>
  <c r="K75" i="39" s="1"/>
  <c r="K39" i="39" s="1"/>
  <c r="M469" i="33" l="1"/>
  <c r="L474" i="33"/>
  <c r="F263" i="70"/>
  <c r="G263" i="70"/>
  <c r="H263" i="70"/>
  <c r="E263" i="70"/>
  <c r="N469" i="33" l="1"/>
  <c r="M474" i="33"/>
  <c r="F259" i="70"/>
  <c r="G259" i="70"/>
  <c r="H259" i="70"/>
  <c r="E259" i="70"/>
  <c r="J120" i="39"/>
  <c r="L120" i="39"/>
  <c r="L122" i="39" s="1"/>
  <c r="L130" i="39" s="1"/>
  <c r="M120" i="39"/>
  <c r="M122" i="39" s="1"/>
  <c r="M130" i="39" s="1"/>
  <c r="N120" i="39"/>
  <c r="N122" i="39" s="1"/>
  <c r="N130" i="39" s="1"/>
  <c r="K120" i="39"/>
  <c r="K122" i="39" s="1"/>
  <c r="K130" i="39" s="1"/>
  <c r="F255" i="70"/>
  <c r="G255" i="70"/>
  <c r="H255" i="70"/>
  <c r="E255" i="70"/>
  <c r="L273" i="5"/>
  <c r="M273" i="5"/>
  <c r="N273" i="5"/>
  <c r="G249" i="70"/>
  <c r="H249" i="70"/>
  <c r="F249" i="70"/>
  <c r="E249" i="70"/>
  <c r="J57" i="30"/>
  <c r="H245" i="70"/>
  <c r="G245" i="70"/>
  <c r="F245" i="70"/>
  <c r="E245" i="70"/>
  <c r="L527" i="15"/>
  <c r="L214" i="15" s="1"/>
  <c r="M214" i="15"/>
  <c r="N214" i="15"/>
  <c r="N516" i="15"/>
  <c r="N210" i="15" s="1"/>
  <c r="M516" i="15"/>
  <c r="M210" i="15" s="1"/>
  <c r="L516" i="15"/>
  <c r="L210" i="15" s="1"/>
  <c r="B204" i="15"/>
  <c r="A204" i="15"/>
  <c r="J507" i="15"/>
  <c r="J204" i="15" s="1"/>
  <c r="N507" i="15"/>
  <c r="N204" i="15" s="1"/>
  <c r="M507" i="15"/>
  <c r="M204" i="15" s="1"/>
  <c r="L507" i="15"/>
  <c r="L204" i="15" s="1"/>
  <c r="B91" i="15"/>
  <c r="A91" i="15"/>
  <c r="N50" i="15"/>
  <c r="M50" i="15"/>
  <c r="J91" i="15"/>
  <c r="J50" i="15" s="1"/>
  <c r="J78" i="15" s="1"/>
  <c r="J71" i="30"/>
  <c r="F239" i="70"/>
  <c r="G239" i="70"/>
  <c r="H239" i="70"/>
  <c r="E239" i="70"/>
  <c r="N474" i="33" l="1"/>
  <c r="O469" i="33"/>
  <c r="O474" i="33" s="1"/>
  <c r="O225" i="33" s="1"/>
  <c r="O226" i="33" s="1"/>
  <c r="O47" i="33" s="1"/>
  <c r="L50" i="15"/>
  <c r="M44" i="15"/>
  <c r="N44" i="15"/>
  <c r="J206" i="15"/>
  <c r="J44" i="15"/>
  <c r="L44" i="15"/>
  <c r="N308" i="66"/>
  <c r="M308" i="66"/>
  <c r="L308" i="66"/>
  <c r="K308" i="66"/>
  <c r="N302" i="64"/>
  <c r="M302" i="64"/>
  <c r="L302" i="64"/>
  <c r="K302" i="64"/>
  <c r="N296" i="62"/>
  <c r="M296" i="62"/>
  <c r="L296" i="62"/>
  <c r="K296" i="62"/>
  <c r="I598" i="6"/>
  <c r="F234" i="70"/>
  <c r="G234" i="70"/>
  <c r="H234" i="70"/>
  <c r="E234" i="70"/>
  <c r="H226" i="70" l="1"/>
  <c r="G226" i="70"/>
  <c r="F226" i="70"/>
  <c r="E226" i="70"/>
  <c r="I376" i="5" l="1"/>
  <c r="I377" i="5" s="1"/>
  <c r="I378" i="5" s="1"/>
  <c r="I379" i="5" s="1"/>
  <c r="I380" i="5" s="1"/>
  <c r="O380" i="5" s="1"/>
  <c r="E379" i="5"/>
  <c r="E378" i="5"/>
  <c r="E377" i="5"/>
  <c r="I374" i="5"/>
  <c r="I373" i="5"/>
  <c r="U76" i="58"/>
  <c r="V76" i="58"/>
  <c r="W76" i="58"/>
  <c r="T76" i="58"/>
  <c r="K426" i="33" l="1"/>
  <c r="K427" i="33" l="1"/>
  <c r="K432" i="33" s="1"/>
  <c r="F220" i="70" l="1"/>
  <c r="G220" i="70"/>
  <c r="H220" i="70"/>
  <c r="E220" i="70"/>
  <c r="G419" i="2"/>
  <c r="G418" i="2"/>
  <c r="G417" i="2"/>
  <c r="G416" i="2"/>
  <c r="G437" i="2" s="1"/>
  <c r="H253" i="2" l="1"/>
  <c r="R256" i="2" s="1"/>
  <c r="H252" i="2"/>
  <c r="R255" i="2" s="1"/>
  <c r="I8" i="68"/>
  <c r="N336" i="66"/>
  <c r="N338" i="66" s="1"/>
  <c r="N341" i="66" s="1"/>
  <c r="N227" i="66"/>
  <c r="J527" i="27"/>
  <c r="J528" i="27"/>
  <c r="J529" i="27"/>
  <c r="J530" i="27"/>
  <c r="J531" i="27"/>
  <c r="J532" i="27"/>
  <c r="J533" i="27"/>
  <c r="J534" i="27"/>
  <c r="J570" i="27"/>
  <c r="J571" i="27"/>
  <c r="J572" i="27"/>
  <c r="J573" i="27"/>
  <c r="J574" i="27"/>
  <c r="J601" i="27"/>
  <c r="J603" i="27"/>
  <c r="J604" i="27"/>
  <c r="J606" i="27"/>
  <c r="J607" i="27"/>
  <c r="J708" i="27"/>
  <c r="J709" i="27"/>
  <c r="J710" i="27"/>
  <c r="J711" i="27"/>
  <c r="J712" i="27"/>
  <c r="J713" i="27"/>
  <c r="J714" i="27"/>
  <c r="J715" i="27"/>
  <c r="J716" i="27"/>
  <c r="J717" i="27"/>
  <c r="J718" i="27"/>
  <c r="J719" i="27"/>
  <c r="J720" i="27"/>
  <c r="J721" i="27"/>
  <c r="J757" i="27"/>
  <c r="J758" i="27"/>
  <c r="J759" i="27"/>
  <c r="J760" i="27"/>
  <c r="J761" i="27"/>
  <c r="J762" i="27"/>
  <c r="J763" i="27"/>
  <c r="J764" i="27"/>
  <c r="J765" i="27"/>
  <c r="J766" i="27"/>
  <c r="N116" i="66" l="1"/>
  <c r="N117" i="66" s="1"/>
  <c r="N122" i="66"/>
  <c r="N35" i="66"/>
  <c r="N163" i="66"/>
  <c r="N164" i="66" s="1"/>
  <c r="S4" i="3"/>
  <c r="S4" i="4"/>
  <c r="S4" i="5"/>
  <c r="S4" i="6"/>
  <c r="S4" i="7"/>
  <c r="S4" i="8"/>
  <c r="S4" i="9"/>
  <c r="S4" i="10"/>
  <c r="S4" i="11"/>
  <c r="S4" i="12"/>
  <c r="S4" i="13"/>
  <c r="S4" i="14"/>
  <c r="S4" i="15"/>
  <c r="S4" i="67"/>
  <c r="S4" i="16"/>
  <c r="S4" i="17"/>
  <c r="S4" i="18"/>
  <c r="S4" i="19"/>
  <c r="S4" i="20"/>
  <c r="S4" i="21"/>
  <c r="S4" i="22"/>
  <c r="S4" i="23"/>
  <c r="S4" i="24"/>
  <c r="S4" i="25"/>
  <c r="S4" i="26"/>
  <c r="T4" i="27"/>
  <c r="S4" i="28"/>
  <c r="S4" i="29"/>
  <c r="S4" i="30"/>
  <c r="S4" i="31"/>
  <c r="S4" i="32"/>
  <c r="S4" i="33"/>
  <c r="S4" i="37"/>
  <c r="S4" i="39"/>
  <c r="S4" i="57"/>
  <c r="S4" i="58"/>
  <c r="S4" i="59"/>
  <c r="S4" i="60"/>
  <c r="S4" i="61"/>
  <c r="S4" i="62"/>
  <c r="S4" i="63"/>
  <c r="S4" i="64"/>
  <c r="S4" i="2"/>
  <c r="S3" i="3"/>
  <c r="S3" i="4"/>
  <c r="S3" i="5"/>
  <c r="S3" i="6"/>
  <c r="S3" i="7"/>
  <c r="S3" i="8"/>
  <c r="S3" i="9"/>
  <c r="S3" i="10"/>
  <c r="S3" i="11"/>
  <c r="S3" i="12"/>
  <c r="S3" i="13"/>
  <c r="S3" i="14"/>
  <c r="S3" i="15"/>
  <c r="S3" i="67"/>
  <c r="S3" i="16"/>
  <c r="S3" i="17"/>
  <c r="S3" i="18"/>
  <c r="S3" i="19"/>
  <c r="S3" i="20"/>
  <c r="S3" i="21"/>
  <c r="S3" i="22"/>
  <c r="S3" i="23"/>
  <c r="S3" i="24"/>
  <c r="S3" i="25"/>
  <c r="S3" i="26"/>
  <c r="T3" i="27"/>
  <c r="S3" i="28"/>
  <c r="S3" i="29"/>
  <c r="S3" i="30"/>
  <c r="S3" i="31"/>
  <c r="Q100" i="31" s="1"/>
  <c r="S3" i="32"/>
  <c r="S3" i="33"/>
  <c r="S3" i="37"/>
  <c r="S3" i="39"/>
  <c r="S3" i="57"/>
  <c r="S3" i="58"/>
  <c r="S3" i="59"/>
  <c r="S3" i="60"/>
  <c r="E352" i="60" s="1"/>
  <c r="H352" i="60" s="1"/>
  <c r="S3" i="61"/>
  <c r="S3" i="62"/>
  <c r="S3" i="63"/>
  <c r="S3" i="64"/>
  <c r="S3" i="2"/>
  <c r="T3" i="3"/>
  <c r="I421" i="3" s="1"/>
  <c r="T3" i="4"/>
  <c r="T3" i="5"/>
  <c r="T3" i="6"/>
  <c r="L838" i="6" s="1"/>
  <c r="T3" i="7"/>
  <c r="T3" i="8"/>
  <c r="T3" i="9"/>
  <c r="T3" i="10"/>
  <c r="T3" i="11"/>
  <c r="T3" i="12"/>
  <c r="T3" i="13"/>
  <c r="T3" i="14"/>
  <c r="T3" i="15"/>
  <c r="T3" i="67"/>
  <c r="T3" i="16"/>
  <c r="T3" i="17"/>
  <c r="T3" i="18"/>
  <c r="T3" i="19"/>
  <c r="T3" i="20"/>
  <c r="T3" i="21"/>
  <c r="T3" i="22"/>
  <c r="L145" i="22" s="1"/>
  <c r="T3" i="23"/>
  <c r="L205" i="23" s="1"/>
  <c r="T3" i="24"/>
  <c r="T3" i="25"/>
  <c r="T3" i="26"/>
  <c r="U3" i="27"/>
  <c r="T3" i="28"/>
  <c r="T3" i="29"/>
  <c r="T3" i="30"/>
  <c r="T3" i="31"/>
  <c r="R100" i="31" s="1"/>
  <c r="T3" i="32"/>
  <c r="L514" i="32" s="1"/>
  <c r="T3" i="33"/>
  <c r="L430" i="33" s="1"/>
  <c r="T3" i="37"/>
  <c r="L452" i="37" s="1"/>
  <c r="L453" i="37" s="1"/>
  <c r="L201" i="37" s="1"/>
  <c r="L202" i="37" s="1"/>
  <c r="L55" i="37" s="1"/>
  <c r="T3" i="39"/>
  <c r="T3" i="57"/>
  <c r="T3" i="58"/>
  <c r="L73" i="58" s="1"/>
  <c r="T3" i="59"/>
  <c r="T3" i="60"/>
  <c r="E358" i="60" s="1"/>
  <c r="H358" i="60" s="1"/>
  <c r="T3" i="61"/>
  <c r="T3" i="62"/>
  <c r="T3" i="63"/>
  <c r="T3" i="64"/>
  <c r="M3" i="65"/>
  <c r="T3" i="2"/>
  <c r="U3" i="3"/>
  <c r="V3" i="3"/>
  <c r="U3" i="4"/>
  <c r="V3" i="4"/>
  <c r="U3" i="5"/>
  <c r="V3" i="5"/>
  <c r="U3" i="6"/>
  <c r="V3" i="6"/>
  <c r="U3" i="7"/>
  <c r="V3" i="7"/>
  <c r="U3" i="8"/>
  <c r="V3" i="8"/>
  <c r="U3" i="9"/>
  <c r="V3" i="9"/>
  <c r="U3" i="10"/>
  <c r="V3" i="10"/>
  <c r="U3" i="11"/>
  <c r="V3" i="11"/>
  <c r="U3" i="12"/>
  <c r="V3" i="12"/>
  <c r="U3" i="13"/>
  <c r="V3" i="13"/>
  <c r="U3" i="14"/>
  <c r="V3" i="14"/>
  <c r="U3" i="15"/>
  <c r="V3" i="15"/>
  <c r="U3" i="67"/>
  <c r="V3" i="67"/>
  <c r="U3" i="16"/>
  <c r="V3" i="16"/>
  <c r="U3" i="17"/>
  <c r="V3" i="17"/>
  <c r="U3" i="18"/>
  <c r="M287" i="18" s="1"/>
  <c r="V3" i="18"/>
  <c r="U3" i="19"/>
  <c r="V3" i="19"/>
  <c r="U3" i="20"/>
  <c r="V3" i="20"/>
  <c r="U3" i="21"/>
  <c r="V3" i="21"/>
  <c r="U3" i="22"/>
  <c r="V3" i="22"/>
  <c r="U3" i="23"/>
  <c r="V3" i="23"/>
  <c r="U3" i="24"/>
  <c r="V3" i="24"/>
  <c r="U3" i="25"/>
  <c r="V3" i="25"/>
  <c r="N146" i="25" s="1"/>
  <c r="O146" i="25" s="1"/>
  <c r="U3" i="26"/>
  <c r="V3" i="26"/>
  <c r="V3" i="27"/>
  <c r="W3" i="27"/>
  <c r="U3" i="28"/>
  <c r="V3" i="28"/>
  <c r="U3" i="29"/>
  <c r="V3" i="29"/>
  <c r="U3" i="30"/>
  <c r="V3" i="30"/>
  <c r="U3" i="31"/>
  <c r="V3" i="31"/>
  <c r="U3" i="32"/>
  <c r="V3" i="32"/>
  <c r="U3" i="33"/>
  <c r="V3" i="33"/>
  <c r="U3" i="37"/>
  <c r="V3" i="37"/>
  <c r="U3" i="39"/>
  <c r="V3" i="39"/>
  <c r="U3" i="57"/>
  <c r="V3" i="57"/>
  <c r="U3" i="58"/>
  <c r="V3" i="58"/>
  <c r="U3" i="59"/>
  <c r="V3" i="59"/>
  <c r="U3" i="60"/>
  <c r="V3" i="60"/>
  <c r="U3" i="61"/>
  <c r="V3" i="61"/>
  <c r="U3" i="62"/>
  <c r="V3" i="62"/>
  <c r="U3" i="63"/>
  <c r="V3" i="63"/>
  <c r="U3" i="64"/>
  <c r="V3" i="64"/>
  <c r="N3" i="65"/>
  <c r="P3" i="65"/>
  <c r="V3" i="66"/>
  <c r="U3" i="2"/>
  <c r="V3" i="2"/>
  <c r="T2" i="3"/>
  <c r="U2" i="3"/>
  <c r="V2" i="3"/>
  <c r="T2" i="4"/>
  <c r="U2" i="4"/>
  <c r="V2" i="4"/>
  <c r="T2" i="5"/>
  <c r="U2" i="5"/>
  <c r="V2" i="5"/>
  <c r="T2" i="6"/>
  <c r="U2" i="6"/>
  <c r="M648" i="6" s="1"/>
  <c r="V2" i="6"/>
  <c r="N676" i="6" s="1"/>
  <c r="O676" i="6" s="1"/>
  <c r="T2" i="7"/>
  <c r="U2" i="7"/>
  <c r="V2" i="7"/>
  <c r="T2" i="8"/>
  <c r="U2" i="8"/>
  <c r="V2" i="8"/>
  <c r="T2" i="9"/>
  <c r="U2" i="9"/>
  <c r="V2" i="9"/>
  <c r="T2" i="10"/>
  <c r="U2" i="10"/>
  <c r="V2" i="10"/>
  <c r="T2" i="11"/>
  <c r="L73" i="11" s="1"/>
  <c r="M73" i="11" s="1"/>
  <c r="N73" i="11" s="1"/>
  <c r="O73" i="11" s="1"/>
  <c r="U2" i="11"/>
  <c r="V2" i="11"/>
  <c r="T2" i="12"/>
  <c r="U2" i="12"/>
  <c r="V2" i="12"/>
  <c r="T2" i="13"/>
  <c r="U2" i="13"/>
  <c r="V2" i="13"/>
  <c r="T2" i="14"/>
  <c r="U2" i="14"/>
  <c r="V2" i="14"/>
  <c r="T2" i="15"/>
  <c r="U2" i="15"/>
  <c r="V2" i="15"/>
  <c r="T2" i="67"/>
  <c r="U2" i="67"/>
  <c r="V2" i="67"/>
  <c r="T2" i="16"/>
  <c r="U2" i="16"/>
  <c r="V2" i="16"/>
  <c r="T2" i="17"/>
  <c r="U2" i="17"/>
  <c r="V2" i="17"/>
  <c r="T2" i="18"/>
  <c r="H507" i="18" s="1"/>
  <c r="U2" i="18"/>
  <c r="V2" i="18"/>
  <c r="T2" i="19"/>
  <c r="U2" i="19"/>
  <c r="V2" i="19"/>
  <c r="T2" i="20"/>
  <c r="U2" i="20"/>
  <c r="V2" i="20"/>
  <c r="T2" i="21"/>
  <c r="U2" i="21"/>
  <c r="V2" i="21"/>
  <c r="T2" i="22"/>
  <c r="U2" i="22"/>
  <c r="V2" i="22"/>
  <c r="T2" i="23"/>
  <c r="U2" i="23"/>
  <c r="V2" i="23"/>
  <c r="T2" i="24"/>
  <c r="U2" i="24"/>
  <c r="V2" i="24"/>
  <c r="T2" i="25"/>
  <c r="U2" i="25"/>
  <c r="V2" i="25"/>
  <c r="T2" i="26"/>
  <c r="U2" i="26"/>
  <c r="V2" i="26"/>
  <c r="U2" i="27"/>
  <c r="L1286" i="27" s="1"/>
  <c r="M1286" i="27" s="1"/>
  <c r="N1286" i="27" s="1"/>
  <c r="O1286" i="27" s="1"/>
  <c r="V2" i="27"/>
  <c r="W2" i="27"/>
  <c r="T2" i="28"/>
  <c r="U2" i="28"/>
  <c r="V2" i="28"/>
  <c r="T2" i="29"/>
  <c r="U2" i="29"/>
  <c r="V2" i="29"/>
  <c r="T2" i="30"/>
  <c r="U2" i="30"/>
  <c r="V2" i="30"/>
  <c r="T2" i="31"/>
  <c r="U2" i="31"/>
  <c r="V2" i="31"/>
  <c r="T2" i="32"/>
  <c r="U2" i="32"/>
  <c r="V2" i="32"/>
  <c r="T2" i="33"/>
  <c r="U2" i="33"/>
  <c r="V2" i="33"/>
  <c r="U2" i="37"/>
  <c r="M437" i="37" s="1"/>
  <c r="V2" i="37"/>
  <c r="T2" i="39"/>
  <c r="U2" i="39"/>
  <c r="V2" i="39"/>
  <c r="T2" i="57"/>
  <c r="U2" i="57"/>
  <c r="V2" i="57"/>
  <c r="T2" i="58"/>
  <c r="U2" i="58"/>
  <c r="V2" i="58"/>
  <c r="T2" i="59"/>
  <c r="U2" i="59"/>
  <c r="V2" i="59"/>
  <c r="T2" i="60"/>
  <c r="E357" i="60" s="1"/>
  <c r="H357" i="60" s="1"/>
  <c r="U2" i="60"/>
  <c r="V2" i="60"/>
  <c r="T2" i="61"/>
  <c r="U2" i="61"/>
  <c r="M250" i="61" s="1"/>
  <c r="V2" i="61"/>
  <c r="T2" i="62"/>
  <c r="U2" i="62"/>
  <c r="V2" i="62"/>
  <c r="T2" i="63"/>
  <c r="U2" i="63"/>
  <c r="V2" i="63"/>
  <c r="T2" i="64"/>
  <c r="U2" i="64"/>
  <c r="V2" i="64"/>
  <c r="M2" i="65"/>
  <c r="N2" i="65"/>
  <c r="P2" i="65"/>
  <c r="V2" i="66"/>
  <c r="T2" i="2"/>
  <c r="U2" i="2"/>
  <c r="V2" i="2"/>
  <c r="S2" i="3"/>
  <c r="S2" i="4"/>
  <c r="S2" i="5"/>
  <c r="S2" i="6"/>
  <c r="S2" i="7"/>
  <c r="S2" i="8"/>
  <c r="S2" i="9"/>
  <c r="S2" i="10"/>
  <c r="S2" i="11"/>
  <c r="S2" i="12"/>
  <c r="S2" i="13"/>
  <c r="S2" i="14"/>
  <c r="S2" i="15"/>
  <c r="S2" i="67"/>
  <c r="S2" i="16"/>
  <c r="S2" i="17"/>
  <c r="S2" i="18"/>
  <c r="S2" i="19"/>
  <c r="S2" i="20"/>
  <c r="S2" i="21"/>
  <c r="S2" i="22"/>
  <c r="S2" i="23"/>
  <c r="S2" i="24"/>
  <c r="S2" i="25"/>
  <c r="S2" i="26"/>
  <c r="T2" i="27"/>
  <c r="S2" i="28"/>
  <c r="S2" i="29"/>
  <c r="S2" i="30"/>
  <c r="S2" i="31"/>
  <c r="S2" i="32"/>
  <c r="S2" i="33"/>
  <c r="S2" i="37"/>
  <c r="S2" i="39"/>
  <c r="S2" i="57"/>
  <c r="S2" i="58"/>
  <c r="S2" i="59"/>
  <c r="S2" i="60"/>
  <c r="E351" i="60" s="1"/>
  <c r="H351" i="60" s="1"/>
  <c r="S2" i="61"/>
  <c r="S2" i="62"/>
  <c r="S2" i="63"/>
  <c r="S2" i="64"/>
  <c r="S2" i="2"/>
  <c r="J11" i="68"/>
  <c r="K11" i="68"/>
  <c r="L11" i="68"/>
  <c r="J12" i="68"/>
  <c r="K12" i="68"/>
  <c r="L12" i="68"/>
  <c r="I6" i="68"/>
  <c r="I12" i="68"/>
  <c r="I11" i="68"/>
  <c r="I13" i="68" s="1"/>
  <c r="M237" i="4" l="1"/>
  <c r="M58" i="4" s="1"/>
  <c r="M379" i="4"/>
  <c r="N379" i="4" s="1"/>
  <c r="O379" i="4" s="1"/>
  <c r="M378" i="4"/>
  <c r="N378" i="4" s="1"/>
  <c r="O378" i="4" s="1"/>
  <c r="M377" i="4"/>
  <c r="M380" i="4"/>
  <c r="N380" i="4" s="1"/>
  <c r="O380" i="4" s="1"/>
  <c r="M59" i="24"/>
  <c r="M145" i="22"/>
  <c r="N145" i="22" s="1"/>
  <c r="O145" i="22" s="1"/>
  <c r="M838" i="6"/>
  <c r="N838" i="6" s="1"/>
  <c r="O838" i="6" s="1"/>
  <c r="I422" i="3"/>
  <c r="I423" i="3" s="1"/>
  <c r="I424" i="3" s="1"/>
  <c r="M205" i="23"/>
  <c r="N205" i="23" s="1"/>
  <c r="O205" i="23" s="1"/>
  <c r="M73" i="58"/>
  <c r="N73" i="58" s="1"/>
  <c r="O73" i="58" s="1"/>
  <c r="K13" i="68"/>
  <c r="K6" i="68" s="1"/>
  <c r="I359" i="60"/>
  <c r="J13" i="68"/>
  <c r="J6" i="68" s="1"/>
  <c r="L140" i="25"/>
  <c r="M140" i="25" s="1"/>
  <c r="N140" i="25" s="1"/>
  <c r="O140" i="25" s="1"/>
  <c r="N250" i="61"/>
  <c r="O250" i="61" s="1"/>
  <c r="N4" i="65"/>
  <c r="U4" i="62"/>
  <c r="U4" i="60"/>
  <c r="U4" i="58"/>
  <c r="U4" i="39"/>
  <c r="U4" i="32"/>
  <c r="U4" i="30"/>
  <c r="U4" i="28"/>
  <c r="V4" i="27"/>
  <c r="U4" i="24"/>
  <c r="U4" i="23"/>
  <c r="U4" i="20"/>
  <c r="U4" i="19"/>
  <c r="U4" i="16"/>
  <c r="U4" i="64"/>
  <c r="U4" i="59"/>
  <c r="U4" i="33"/>
  <c r="U4" i="29"/>
  <c r="U4" i="25"/>
  <c r="U4" i="21"/>
  <c r="T4" i="66"/>
  <c r="U4" i="2"/>
  <c r="U4" i="63"/>
  <c r="U4" i="61"/>
  <c r="U4" i="57"/>
  <c r="U4" i="37"/>
  <c r="U4" i="31"/>
  <c r="U4" i="26"/>
  <c r="U4" i="22"/>
  <c r="U4" i="18"/>
  <c r="U4" i="17"/>
  <c r="U4" i="67"/>
  <c r="U4" i="15"/>
  <c r="U4" i="14"/>
  <c r="U4" i="13"/>
  <c r="U4" i="12"/>
  <c r="U4" i="11"/>
  <c r="U4" i="10"/>
  <c r="U4" i="9"/>
  <c r="U4" i="8"/>
  <c r="U4" i="7"/>
  <c r="U4" i="6"/>
  <c r="U4" i="5"/>
  <c r="U4" i="4"/>
  <c r="U4" i="3"/>
  <c r="I526" i="3"/>
  <c r="I527" i="3" s="1"/>
  <c r="I528" i="3" s="1"/>
  <c r="I529" i="3" s="1"/>
  <c r="I519" i="3"/>
  <c r="I520" i="3" s="1"/>
  <c r="I521" i="3" s="1"/>
  <c r="I522" i="3" s="1"/>
  <c r="I512" i="3"/>
  <c r="I513" i="3" s="1"/>
  <c r="I514" i="3" s="1"/>
  <c r="I515" i="3" s="1"/>
  <c r="I324" i="3"/>
  <c r="I325" i="3" s="1"/>
  <c r="I326" i="3" s="1"/>
  <c r="I327" i="3" s="1"/>
  <c r="I316" i="3"/>
  <c r="I317" i="3" s="1"/>
  <c r="I318" i="3" s="1"/>
  <c r="I319" i="3" s="1"/>
  <c r="L381" i="5"/>
  <c r="M381" i="5" s="1"/>
  <c r="N381" i="5" s="1"/>
  <c r="O381" i="5" s="1"/>
  <c r="L83" i="5"/>
  <c r="M83" i="5" s="1"/>
  <c r="N83" i="5" s="1"/>
  <c r="O83" i="5" s="1"/>
  <c r="L82" i="5"/>
  <c r="M82" i="5" s="1"/>
  <c r="N82" i="5" s="1"/>
  <c r="O82" i="5" s="1"/>
  <c r="L87" i="5"/>
  <c r="M87" i="5" s="1"/>
  <c r="N87" i="5" s="1"/>
  <c r="O87" i="5" s="1"/>
  <c r="L227" i="5"/>
  <c r="M227" i="5" s="1"/>
  <c r="N227" i="5" s="1"/>
  <c r="O227" i="5" s="1"/>
  <c r="L223" i="5"/>
  <c r="M223" i="5" s="1"/>
  <c r="N223" i="5" s="1"/>
  <c r="O223" i="5" s="1"/>
  <c r="L84" i="5"/>
  <c r="M84" i="5" s="1"/>
  <c r="N84" i="5" s="1"/>
  <c r="O84" i="5" s="1"/>
  <c r="L149" i="5"/>
  <c r="M149" i="5" s="1"/>
  <c r="N149" i="5" s="1"/>
  <c r="O149" i="5" s="1"/>
  <c r="L137" i="5"/>
  <c r="M137" i="5" s="1"/>
  <c r="N137" i="5" s="1"/>
  <c r="O137" i="5" s="1"/>
  <c r="M4" i="65"/>
  <c r="T4" i="64"/>
  <c r="T4" i="63"/>
  <c r="T4" i="61"/>
  <c r="T4" i="60"/>
  <c r="T4" i="59"/>
  <c r="T4" i="58"/>
  <c r="T4" i="57"/>
  <c r="T4" i="39"/>
  <c r="T4" i="37"/>
  <c r="T4" i="33"/>
  <c r="T4" i="32"/>
  <c r="T4" i="31"/>
  <c r="T4" i="30"/>
  <c r="T4" i="29"/>
  <c r="T4" i="28"/>
  <c r="U4" i="27"/>
  <c r="T4" i="26"/>
  <c r="T4" i="25"/>
  <c r="T4" i="24"/>
  <c r="T4" i="23"/>
  <c r="T4" i="22"/>
  <c r="T4" i="21"/>
  <c r="T4" i="20"/>
  <c r="T4" i="19"/>
  <c r="T4" i="18"/>
  <c r="T4" i="17"/>
  <c r="T4" i="16"/>
  <c r="L125" i="16" s="1"/>
  <c r="T4" i="67"/>
  <c r="T4" i="15"/>
  <c r="T4" i="14"/>
  <c r="T4" i="13"/>
  <c r="T4" i="12"/>
  <c r="T4" i="11"/>
  <c r="T4" i="10"/>
  <c r="T4" i="9"/>
  <c r="T4" i="8"/>
  <c r="T4" i="7"/>
  <c r="O191" i="66"/>
  <c r="O192" i="66"/>
  <c r="O194" i="66" s="1"/>
  <c r="O86" i="66" s="1"/>
  <c r="O215" i="66"/>
  <c r="O216" i="66"/>
  <c r="L236" i="21"/>
  <c r="M236" i="21" s="1"/>
  <c r="L129" i="24"/>
  <c r="M129" i="24" s="1"/>
  <c r="N129" i="24" s="1"/>
  <c r="O129" i="24" s="1"/>
  <c r="L147" i="24"/>
  <c r="M147" i="24" s="1"/>
  <c r="N147" i="24" s="1"/>
  <c r="O147" i="24" s="1"/>
  <c r="L99" i="24"/>
  <c r="M99" i="24" s="1"/>
  <c r="N99" i="24" s="1"/>
  <c r="O99" i="24" s="1"/>
  <c r="L105" i="24"/>
  <c r="M105" i="24" s="1"/>
  <c r="N105" i="24" s="1"/>
  <c r="O105" i="24" s="1"/>
  <c r="N437" i="37"/>
  <c r="M439" i="37"/>
  <c r="M181" i="37" s="1"/>
  <c r="L435" i="6"/>
  <c r="M435" i="6" s="1"/>
  <c r="L184" i="6"/>
  <c r="M184" i="6" s="1"/>
  <c r="N184" i="6" s="1"/>
  <c r="O184" i="6" s="1"/>
  <c r="L75" i="7"/>
  <c r="M75" i="7" s="1"/>
  <c r="N75" i="7" s="1"/>
  <c r="O75" i="7" s="1"/>
  <c r="L84" i="7"/>
  <c r="M84" i="7" s="1"/>
  <c r="N84" i="7" s="1"/>
  <c r="O84" i="7" s="1"/>
  <c r="L82" i="7"/>
  <c r="M82" i="7" s="1"/>
  <c r="N82" i="7" s="1"/>
  <c r="O82" i="7" s="1"/>
  <c r="L81" i="7"/>
  <c r="M81" i="7" s="1"/>
  <c r="N81" i="7" s="1"/>
  <c r="O81" i="7" s="1"/>
  <c r="L80" i="7"/>
  <c r="M80" i="7" s="1"/>
  <c r="N80" i="7" s="1"/>
  <c r="O80" i="7" s="1"/>
  <c r="L77" i="7"/>
  <c r="M77" i="7" s="1"/>
  <c r="N77" i="7" s="1"/>
  <c r="O77" i="7" s="1"/>
  <c r="L76" i="7"/>
  <c r="M76" i="7" s="1"/>
  <c r="N76" i="7" s="1"/>
  <c r="O76" i="7" s="1"/>
  <c r="L95" i="7"/>
  <c r="M95" i="7" s="1"/>
  <c r="N95" i="7" s="1"/>
  <c r="O95" i="7" s="1"/>
  <c r="L83" i="7"/>
  <c r="M83" i="7" s="1"/>
  <c r="N83" i="7" s="1"/>
  <c r="O83" i="7" s="1"/>
  <c r="L79" i="7"/>
  <c r="M79" i="7" s="1"/>
  <c r="N79" i="7" s="1"/>
  <c r="O79" i="7" s="1"/>
  <c r="M370" i="4"/>
  <c r="N370" i="4" s="1"/>
  <c r="O370" i="4" s="1"/>
  <c r="L133" i="4"/>
  <c r="M133" i="4" s="1"/>
  <c r="N133" i="4" s="1"/>
  <c r="O133" i="4" s="1"/>
  <c r="I409" i="2"/>
  <c r="I410" i="2" s="1"/>
  <c r="I438" i="2"/>
  <c r="I439" i="2" s="1"/>
  <c r="I440" i="2" s="1"/>
  <c r="I441" i="2" s="1"/>
  <c r="I417" i="2"/>
  <c r="I418" i="2" s="1"/>
  <c r="I419" i="2" s="1"/>
  <c r="I420" i="2" s="1"/>
  <c r="L223" i="17"/>
  <c r="M223" i="17" s="1"/>
  <c r="N223" i="17" s="1"/>
  <c r="O223" i="17" s="1"/>
  <c r="L265" i="17"/>
  <c r="M265" i="17" s="1"/>
  <c r="N265" i="17" s="1"/>
  <c r="O265" i="17" s="1"/>
  <c r="L83" i="17"/>
  <c r="M83" i="17" s="1"/>
  <c r="N83" i="17" s="1"/>
  <c r="O83" i="17" s="1"/>
  <c r="R102" i="31"/>
  <c r="L57" i="31"/>
  <c r="M57" i="31" s="1"/>
  <c r="N57" i="31" s="1"/>
  <c r="O57" i="31" s="1"/>
  <c r="L92" i="31"/>
  <c r="L95" i="31"/>
  <c r="M95" i="31" s="1"/>
  <c r="N95" i="31" s="1"/>
  <c r="O95" i="31" s="1"/>
  <c r="K775" i="27"/>
  <c r="L775" i="27" s="1"/>
  <c r="M775" i="27" s="1"/>
  <c r="N775" i="27" s="1"/>
  <c r="K730" i="27"/>
  <c r="L730" i="27" s="1"/>
  <c r="M730" i="27" s="1"/>
  <c r="N730" i="27" s="1"/>
  <c r="K619" i="27"/>
  <c r="L619" i="27" s="1"/>
  <c r="M619" i="27" s="1"/>
  <c r="N619" i="27" s="1"/>
  <c r="K581" i="27"/>
  <c r="L581" i="27" s="1"/>
  <c r="M581" i="27" s="1"/>
  <c r="N581" i="27" s="1"/>
  <c r="K550" i="27"/>
  <c r="L550" i="27" s="1"/>
  <c r="M550" i="27" s="1"/>
  <c r="N550" i="27" s="1"/>
  <c r="K774" i="27"/>
  <c r="L774" i="27" s="1"/>
  <c r="M774" i="27" s="1"/>
  <c r="N774" i="27" s="1"/>
  <c r="K729" i="27"/>
  <c r="L729" i="27" s="1"/>
  <c r="M729" i="27" s="1"/>
  <c r="N729" i="27" s="1"/>
  <c r="K618" i="27"/>
  <c r="L618" i="27" s="1"/>
  <c r="M618" i="27" s="1"/>
  <c r="N618" i="27" s="1"/>
  <c r="K580" i="27"/>
  <c r="L580" i="27" s="1"/>
  <c r="M580" i="27" s="1"/>
  <c r="N580" i="27" s="1"/>
  <c r="K549" i="27"/>
  <c r="L549" i="27" s="1"/>
  <c r="M549" i="27" s="1"/>
  <c r="N549" i="27" s="1"/>
  <c r="K773" i="27"/>
  <c r="L773" i="27" s="1"/>
  <c r="M773" i="27" s="1"/>
  <c r="N773" i="27" s="1"/>
  <c r="K728" i="27"/>
  <c r="L728" i="27" s="1"/>
  <c r="M728" i="27" s="1"/>
  <c r="N728" i="27" s="1"/>
  <c r="K617" i="27"/>
  <c r="L617" i="27" s="1"/>
  <c r="M617" i="27" s="1"/>
  <c r="N617" i="27" s="1"/>
  <c r="K548" i="27"/>
  <c r="L548" i="27" s="1"/>
  <c r="M548" i="27" s="1"/>
  <c r="N548" i="27" s="1"/>
  <c r="K772" i="27"/>
  <c r="L772" i="27" s="1"/>
  <c r="M772" i="27" s="1"/>
  <c r="N772" i="27" s="1"/>
  <c r="K727" i="27"/>
  <c r="L727" i="27" s="1"/>
  <c r="M727" i="27" s="1"/>
  <c r="N727" i="27" s="1"/>
  <c r="K547" i="27"/>
  <c r="L547" i="27" s="1"/>
  <c r="M547" i="27" s="1"/>
  <c r="N547" i="27" s="1"/>
  <c r="K738" i="27"/>
  <c r="L738" i="27" s="1"/>
  <c r="M738" i="27" s="1"/>
  <c r="N738" i="27" s="1"/>
  <c r="K546" i="27"/>
  <c r="L546" i="27" s="1"/>
  <c r="M546" i="27" s="1"/>
  <c r="N546" i="27" s="1"/>
  <c r="K737" i="27"/>
  <c r="L737" i="27" s="1"/>
  <c r="M737" i="27" s="1"/>
  <c r="N737" i="27" s="1"/>
  <c r="K626" i="27"/>
  <c r="L626" i="27" s="1"/>
  <c r="M626" i="27" s="1"/>
  <c r="N626" i="27" s="1"/>
  <c r="K545" i="27"/>
  <c r="L545" i="27" s="1"/>
  <c r="M545" i="27" s="1"/>
  <c r="N545" i="27" s="1"/>
  <c r="K781" i="27"/>
  <c r="L781" i="27" s="1"/>
  <c r="M781" i="27" s="1"/>
  <c r="N781" i="27" s="1"/>
  <c r="K736" i="27"/>
  <c r="L736" i="27" s="1"/>
  <c r="M736" i="27" s="1"/>
  <c r="N736" i="27" s="1"/>
  <c r="K625" i="27"/>
  <c r="L625" i="27" s="1"/>
  <c r="M625" i="27" s="1"/>
  <c r="N625" i="27" s="1"/>
  <c r="K544" i="27"/>
  <c r="L544" i="27" s="1"/>
  <c r="M544" i="27" s="1"/>
  <c r="N544" i="27" s="1"/>
  <c r="K780" i="27"/>
  <c r="L780" i="27" s="1"/>
  <c r="M780" i="27" s="1"/>
  <c r="N780" i="27" s="1"/>
  <c r="K735" i="27"/>
  <c r="L735" i="27" s="1"/>
  <c r="M735" i="27" s="1"/>
  <c r="N735" i="27" s="1"/>
  <c r="K624" i="27"/>
  <c r="L624" i="27" s="1"/>
  <c r="M624" i="27" s="1"/>
  <c r="N624" i="27" s="1"/>
  <c r="K543" i="27"/>
  <c r="L543" i="27" s="1"/>
  <c r="M543" i="27" s="1"/>
  <c r="N543" i="27" s="1"/>
  <c r="K779" i="27"/>
  <c r="L779" i="27" s="1"/>
  <c r="M779" i="27" s="1"/>
  <c r="N779" i="27" s="1"/>
  <c r="K734" i="27"/>
  <c r="L734" i="27" s="1"/>
  <c r="M734" i="27" s="1"/>
  <c r="N734" i="27" s="1"/>
  <c r="K623" i="27"/>
  <c r="L623" i="27" s="1"/>
  <c r="M623" i="27" s="1"/>
  <c r="N623" i="27" s="1"/>
  <c r="K778" i="27"/>
  <c r="L778" i="27" s="1"/>
  <c r="M778" i="27" s="1"/>
  <c r="N778" i="27" s="1"/>
  <c r="K733" i="27"/>
  <c r="L733" i="27" s="1"/>
  <c r="M733" i="27" s="1"/>
  <c r="N733" i="27" s="1"/>
  <c r="K622" i="27"/>
  <c r="L622" i="27" s="1"/>
  <c r="M622" i="27" s="1"/>
  <c r="N622" i="27" s="1"/>
  <c r="K621" i="27"/>
  <c r="L621" i="27" s="1"/>
  <c r="M621" i="27" s="1"/>
  <c r="N621" i="27" s="1"/>
  <c r="K620" i="27"/>
  <c r="L620" i="27" s="1"/>
  <c r="M620" i="27" s="1"/>
  <c r="N620" i="27" s="1"/>
  <c r="K777" i="27"/>
  <c r="L777" i="27" s="1"/>
  <c r="M777" i="27" s="1"/>
  <c r="N777" i="27" s="1"/>
  <c r="K584" i="27"/>
  <c r="L584" i="27" s="1"/>
  <c r="M584" i="27" s="1"/>
  <c r="N584" i="27" s="1"/>
  <c r="K776" i="27"/>
  <c r="L776" i="27" s="1"/>
  <c r="M776" i="27" s="1"/>
  <c r="N776" i="27" s="1"/>
  <c r="K583" i="27"/>
  <c r="L583" i="27" s="1"/>
  <c r="M583" i="27" s="1"/>
  <c r="N583" i="27" s="1"/>
  <c r="K582" i="27"/>
  <c r="L582" i="27" s="1"/>
  <c r="M582" i="27" s="1"/>
  <c r="N582" i="27" s="1"/>
  <c r="K732" i="27"/>
  <c r="L732" i="27" s="1"/>
  <c r="M732" i="27" s="1"/>
  <c r="N732" i="27" s="1"/>
  <c r="K731" i="27"/>
  <c r="L731" i="27" s="1"/>
  <c r="M731" i="27" s="1"/>
  <c r="N731" i="27" s="1"/>
  <c r="L228" i="61"/>
  <c r="M228" i="61" s="1"/>
  <c r="L382" i="61"/>
  <c r="M382" i="61" s="1"/>
  <c r="N382" i="61" s="1"/>
  <c r="O382" i="61" s="1"/>
  <c r="L379" i="61"/>
  <c r="L385" i="61"/>
  <c r="M385" i="61" s="1"/>
  <c r="N385" i="61" s="1"/>
  <c r="O385" i="61" s="1"/>
  <c r="L384" i="61"/>
  <c r="M384" i="61" s="1"/>
  <c r="N384" i="61" s="1"/>
  <c r="O384" i="61" s="1"/>
  <c r="L381" i="61"/>
  <c r="M381" i="61" s="1"/>
  <c r="N381" i="61" s="1"/>
  <c r="O381" i="61" s="1"/>
  <c r="L380" i="61"/>
  <c r="M380" i="61" s="1"/>
  <c r="N380" i="61" s="1"/>
  <c r="O380" i="61" s="1"/>
  <c r="L383" i="61"/>
  <c r="M383" i="61" s="1"/>
  <c r="N383" i="61" s="1"/>
  <c r="O383" i="61" s="1"/>
  <c r="L386" i="61"/>
  <c r="M386" i="61" s="1"/>
  <c r="N386" i="61" s="1"/>
  <c r="O386" i="61" s="1"/>
  <c r="L387" i="61"/>
  <c r="M387" i="61" s="1"/>
  <c r="N387" i="61" s="1"/>
  <c r="O387" i="61" s="1"/>
  <c r="L109" i="19"/>
  <c r="L75" i="12"/>
  <c r="M75" i="12" s="1"/>
  <c r="N75" i="12" s="1"/>
  <c r="O75" i="12" s="1"/>
  <c r="O76" i="12" s="1"/>
  <c r="O27" i="12" s="1"/>
  <c r="O34" i="12" s="1"/>
  <c r="O56" i="12" s="1"/>
  <c r="O680" i="6"/>
  <c r="O206" i="6" s="1"/>
  <c r="O208" i="6" s="1"/>
  <c r="O51" i="6" s="1"/>
  <c r="N236" i="21"/>
  <c r="O236" i="21" s="1"/>
  <c r="I353" i="60"/>
  <c r="H353" i="60"/>
  <c r="M249" i="28"/>
  <c r="N249" i="28" s="1"/>
  <c r="O249" i="28" s="1"/>
  <c r="O250" i="28" s="1"/>
  <c r="O135" i="28" s="1"/>
  <c r="O136" i="28" s="1"/>
  <c r="O54" i="28" s="1"/>
  <c r="L193" i="28"/>
  <c r="M193" i="28" s="1"/>
  <c r="N193" i="28" s="1"/>
  <c r="O193" i="28" s="1"/>
  <c r="N287" i="18"/>
  <c r="O287" i="18" s="1"/>
  <c r="L170" i="10"/>
  <c r="L171" i="10" s="1"/>
  <c r="L591" i="6"/>
  <c r="M591" i="6" s="1"/>
  <c r="N591" i="6" s="1"/>
  <c r="O591" i="6" s="1"/>
  <c r="L609" i="6"/>
  <c r="M609" i="6" s="1"/>
  <c r="N609" i="6" s="1"/>
  <c r="O609" i="6" s="1"/>
  <c r="N228" i="61"/>
  <c r="O228" i="61" s="1"/>
  <c r="L206" i="61"/>
  <c r="M206" i="61" s="1"/>
  <c r="N206" i="61" s="1"/>
  <c r="L207" i="61"/>
  <c r="M207" i="61" s="1"/>
  <c r="N207" i="61" s="1"/>
  <c r="L199" i="61"/>
  <c r="L204" i="61"/>
  <c r="M204" i="61" s="1"/>
  <c r="N204" i="61" s="1"/>
  <c r="L208" i="61"/>
  <c r="M208" i="61" s="1"/>
  <c r="N208" i="61" s="1"/>
  <c r="L203" i="61"/>
  <c r="M203" i="61" s="1"/>
  <c r="N203" i="61" s="1"/>
  <c r="L202" i="61"/>
  <c r="M202" i="61" s="1"/>
  <c r="N202" i="61" s="1"/>
  <c r="L201" i="61"/>
  <c r="M201" i="61" s="1"/>
  <c r="N201" i="61" s="1"/>
  <c r="L200" i="61"/>
  <c r="M200" i="61" s="1"/>
  <c r="N200" i="61" s="1"/>
  <c r="L209" i="61"/>
  <c r="M209" i="61" s="1"/>
  <c r="N209" i="61" s="1"/>
  <c r="L205" i="61"/>
  <c r="M205" i="61" s="1"/>
  <c r="N205" i="61" s="1"/>
  <c r="H267" i="61"/>
  <c r="H268" i="61" s="1"/>
  <c r="H269" i="61" s="1"/>
  <c r="H270" i="61" s="1"/>
  <c r="H271" i="61" s="1"/>
  <c r="O271" i="61" s="1"/>
  <c r="H275" i="61"/>
  <c r="H276" i="61" s="1"/>
  <c r="H277" i="61" s="1"/>
  <c r="H278" i="61" s="1"/>
  <c r="H279" i="61" s="1"/>
  <c r="O279" i="61" s="1"/>
  <c r="K534" i="33"/>
  <c r="K529" i="33"/>
  <c r="K407" i="62"/>
  <c r="K304" i="62"/>
  <c r="K277" i="62"/>
  <c r="K302" i="62"/>
  <c r="K270" i="62"/>
  <c r="K405" i="62"/>
  <c r="K258" i="62"/>
  <c r="L258" i="62" s="1"/>
  <c r="M258" i="62" s="1"/>
  <c r="N258" i="62" s="1"/>
  <c r="O258" i="62" s="1"/>
  <c r="K404" i="62"/>
  <c r="K290" i="62"/>
  <c r="K257" i="62"/>
  <c r="L257" i="62" s="1"/>
  <c r="M257" i="62" s="1"/>
  <c r="N257" i="62" s="1"/>
  <c r="O257" i="62" s="1"/>
  <c r="K403" i="62"/>
  <c r="K289" i="62"/>
  <c r="K256" i="62"/>
  <c r="L256" i="62" s="1"/>
  <c r="M256" i="62" s="1"/>
  <c r="N256" i="62" s="1"/>
  <c r="O256" i="62" s="1"/>
  <c r="K402" i="62"/>
  <c r="K288" i="62"/>
  <c r="K255" i="62"/>
  <c r="K449" i="62"/>
  <c r="K401" i="62"/>
  <c r="K286" i="62"/>
  <c r="K443" i="62"/>
  <c r="K400" i="62"/>
  <c r="K285" i="62"/>
  <c r="K399" i="62"/>
  <c r="K284" i="62"/>
  <c r="K409" i="62"/>
  <c r="K316" i="62"/>
  <c r="K282" i="62"/>
  <c r="K408" i="62"/>
  <c r="K305" i="62"/>
  <c r="K278" i="62"/>
  <c r="K406" i="62"/>
  <c r="K376" i="62"/>
  <c r="K283" i="62"/>
  <c r="K291" i="62"/>
  <c r="K418" i="62"/>
  <c r="M597" i="33"/>
  <c r="N597" i="33" s="1"/>
  <c r="O597" i="33" s="1"/>
  <c r="O598" i="33" s="1"/>
  <c r="O349" i="33" s="1"/>
  <c r="O350" i="33" s="1"/>
  <c r="O75" i="33" s="1"/>
  <c r="K217" i="59"/>
  <c r="L375" i="3"/>
  <c r="M375" i="3" s="1"/>
  <c r="N375" i="3" s="1"/>
  <c r="O375" i="3" s="1"/>
  <c r="L376" i="3"/>
  <c r="M376" i="3" s="1"/>
  <c r="N376" i="3" s="1"/>
  <c r="O376" i="3" s="1"/>
  <c r="H508" i="18"/>
  <c r="H509" i="18" s="1"/>
  <c r="H510" i="18" s="1"/>
  <c r="H511" i="18" s="1"/>
  <c r="L420" i="33"/>
  <c r="M420" i="33" s="1"/>
  <c r="N420" i="33" s="1"/>
  <c r="O420" i="33" s="1"/>
  <c r="L132" i="4"/>
  <c r="M132" i="4" s="1"/>
  <c r="N132" i="4" s="1"/>
  <c r="O132" i="4" s="1"/>
  <c r="L131" i="4"/>
  <c r="M131" i="4" s="1"/>
  <c r="N131" i="4" s="1"/>
  <c r="O131" i="4" s="1"/>
  <c r="L180" i="4"/>
  <c r="M180" i="4" s="1"/>
  <c r="N180" i="4" s="1"/>
  <c r="O180" i="4" s="1"/>
  <c r="L171" i="24"/>
  <c r="M171" i="24" s="1"/>
  <c r="N171" i="24" s="1"/>
  <c r="O171" i="24" s="1"/>
  <c r="L140" i="24"/>
  <c r="L158" i="24"/>
  <c r="M158" i="24" s="1"/>
  <c r="N158" i="24" s="1"/>
  <c r="O158" i="24" s="1"/>
  <c r="L123" i="24"/>
  <c r="L104" i="24"/>
  <c r="G213" i="21"/>
  <c r="L258" i="17"/>
  <c r="L214" i="17"/>
  <c r="M214" i="17" s="1"/>
  <c r="N214" i="17" s="1"/>
  <c r="O214" i="17" s="1"/>
  <c r="L231" i="17"/>
  <c r="M231" i="17" s="1"/>
  <c r="N231" i="17" s="1"/>
  <c r="O231" i="17" s="1"/>
  <c r="L210" i="17"/>
  <c r="M210" i="17" s="1"/>
  <c r="N210" i="17" s="1"/>
  <c r="O210" i="17" s="1"/>
  <c r="O211" i="17" s="1"/>
  <c r="O84" i="17" s="1"/>
  <c r="L244" i="17"/>
  <c r="M244" i="17" s="1"/>
  <c r="N244" i="17" s="1"/>
  <c r="O244" i="17" s="1"/>
  <c r="L259" i="17"/>
  <c r="M259" i="17" s="1"/>
  <c r="N259" i="17" s="1"/>
  <c r="O259" i="17" s="1"/>
  <c r="L246" i="17"/>
  <c r="M246" i="17" s="1"/>
  <c r="N246" i="17" s="1"/>
  <c r="O246" i="17" s="1"/>
  <c r="L355" i="3"/>
  <c r="M355" i="3" s="1"/>
  <c r="N355" i="3" s="1"/>
  <c r="O355" i="3" s="1"/>
  <c r="L358" i="3"/>
  <c r="M358" i="3" s="1"/>
  <c r="N358" i="3" s="1"/>
  <c r="O358" i="3" s="1"/>
  <c r="L356" i="3"/>
  <c r="M356" i="3" s="1"/>
  <c r="N356" i="3" s="1"/>
  <c r="O356" i="3" s="1"/>
  <c r="I323" i="3"/>
  <c r="O327" i="3" s="1"/>
  <c r="I315" i="3"/>
  <c r="I479" i="3"/>
  <c r="I461" i="3"/>
  <c r="I497" i="3"/>
  <c r="H236" i="3"/>
  <c r="H259" i="3"/>
  <c r="H283" i="3"/>
  <c r="H230" i="3"/>
  <c r="H231" i="3" s="1"/>
  <c r="H232" i="3" s="1"/>
  <c r="H233" i="3" s="1"/>
  <c r="H234" i="3" s="1"/>
  <c r="O234" i="3" s="1"/>
  <c r="H222" i="3"/>
  <c r="H223" i="3" s="1"/>
  <c r="H224" i="3" s="1"/>
  <c r="H225" i="3" s="1"/>
  <c r="H226" i="3" s="1"/>
  <c r="O226" i="3" s="1"/>
  <c r="L357" i="3"/>
  <c r="M357" i="3" s="1"/>
  <c r="N357" i="3" s="1"/>
  <c r="O357" i="3" s="1"/>
  <c r="H244" i="3"/>
  <c r="H245" i="3" s="1"/>
  <c r="H246" i="3" s="1"/>
  <c r="H247" i="3" s="1"/>
  <c r="H248" i="3" s="1"/>
  <c r="O248" i="3" s="1"/>
  <c r="H252" i="3"/>
  <c r="H253" i="3" s="1"/>
  <c r="H254" i="3" s="1"/>
  <c r="H255" i="3" s="1"/>
  <c r="H256" i="3" s="1"/>
  <c r="H277" i="3"/>
  <c r="H278" i="3" s="1"/>
  <c r="H279" i="3" s="1"/>
  <c r="H280" i="3" s="1"/>
  <c r="H281" i="3" s="1"/>
  <c r="L343" i="60"/>
  <c r="M343" i="60" s="1"/>
  <c r="N343" i="60" s="1"/>
  <c r="O343" i="60" s="1"/>
  <c r="O170" i="60" s="1"/>
  <c r="O421" i="60" s="1"/>
  <c r="L345" i="60"/>
  <c r="M345" i="60" s="1"/>
  <c r="N345" i="60" s="1"/>
  <c r="O345" i="60" s="1"/>
  <c r="O187" i="60" s="1"/>
  <c r="O188" i="60" s="1"/>
  <c r="I552" i="3"/>
  <c r="I553" i="3" s="1"/>
  <c r="I554" i="3" s="1"/>
  <c r="I555" i="3" s="1"/>
  <c r="I556" i="3" s="1"/>
  <c r="I562" i="3"/>
  <c r="I563" i="3" s="1"/>
  <c r="I564" i="3" s="1"/>
  <c r="I565" i="3" s="1"/>
  <c r="I566" i="3" s="1"/>
  <c r="I543" i="3"/>
  <c r="I544" i="3" s="1"/>
  <c r="I545" i="3" s="1"/>
  <c r="I546" i="3" s="1"/>
  <c r="I547" i="3" s="1"/>
  <c r="I436" i="3"/>
  <c r="I386" i="3"/>
  <c r="I387" i="3" s="1"/>
  <c r="I388" i="3" s="1"/>
  <c r="I389" i="3" s="1"/>
  <c r="I390" i="3" s="1"/>
  <c r="O390" i="3" s="1"/>
  <c r="I411" i="3"/>
  <c r="I412" i="3" s="1"/>
  <c r="I402" i="3"/>
  <c r="I403" i="3" s="1"/>
  <c r="I404" i="3" s="1"/>
  <c r="I405" i="3" s="1"/>
  <c r="I406" i="3" s="1"/>
  <c r="O406" i="3" s="1"/>
  <c r="I420" i="3"/>
  <c r="I426" i="3"/>
  <c r="I394" i="3"/>
  <c r="I395" i="3" s="1"/>
  <c r="I396" i="3" s="1"/>
  <c r="I397" i="3" s="1"/>
  <c r="I398" i="3" s="1"/>
  <c r="O398" i="3" s="1"/>
  <c r="L363" i="3"/>
  <c r="M363" i="3" s="1"/>
  <c r="N363" i="3" s="1"/>
  <c r="O363" i="3" s="1"/>
  <c r="N59" i="66"/>
  <c r="L370" i="61"/>
  <c r="M370" i="61" s="1"/>
  <c r="N370" i="61" s="1"/>
  <c r="O370" i="61" s="1"/>
  <c r="O152" i="61" s="1"/>
  <c r="L372" i="61"/>
  <c r="M372" i="61" s="1"/>
  <c r="N372" i="61" s="1"/>
  <c r="O372" i="61" s="1"/>
  <c r="O153" i="61" s="1"/>
  <c r="M367" i="4"/>
  <c r="N367" i="4" s="1"/>
  <c r="O367" i="4" s="1"/>
  <c r="M369" i="4"/>
  <c r="N369" i="4" s="1"/>
  <c r="O369" i="4" s="1"/>
  <c r="M365" i="4"/>
  <c r="N365" i="4" s="1"/>
  <c r="O365" i="4" s="1"/>
  <c r="M366" i="4"/>
  <c r="N366" i="4" s="1"/>
  <c r="O366" i="4" s="1"/>
  <c r="L672" i="6"/>
  <c r="M672" i="6" s="1"/>
  <c r="N672" i="6" s="1"/>
  <c r="O672" i="6" s="1"/>
  <c r="L148" i="25"/>
  <c r="M148" i="25" s="1"/>
  <c r="N148" i="25" s="1"/>
  <c r="O148" i="25" s="1"/>
  <c r="L168" i="25"/>
  <c r="L169" i="25"/>
  <c r="M169" i="25" s="1"/>
  <c r="N169" i="25" s="1"/>
  <c r="O169" i="25" s="1"/>
  <c r="I108" i="70"/>
  <c r="M430" i="33"/>
  <c r="N430" i="33" s="1"/>
  <c r="O430" i="33" s="1"/>
  <c r="L542" i="37"/>
  <c r="M542" i="37" s="1"/>
  <c r="N542" i="37" s="1"/>
  <c r="O542" i="37" s="1"/>
  <c r="L541" i="37"/>
  <c r="L322" i="37"/>
  <c r="M322" i="37" s="1"/>
  <c r="N322" i="37" s="1"/>
  <c r="O322" i="37" s="1"/>
  <c r="L323" i="37"/>
  <c r="M323" i="37" s="1"/>
  <c r="N323" i="37" s="1"/>
  <c r="O323" i="37" s="1"/>
  <c r="L321" i="37"/>
  <c r="M321" i="37" s="1"/>
  <c r="N321" i="37" s="1"/>
  <c r="O321" i="37" s="1"/>
  <c r="L320" i="37"/>
  <c r="M320" i="37" s="1"/>
  <c r="N320" i="37" s="1"/>
  <c r="O320" i="37" s="1"/>
  <c r="L319" i="37"/>
  <c r="M319" i="37" s="1"/>
  <c r="N319" i="37" s="1"/>
  <c r="O319" i="37" s="1"/>
  <c r="K378" i="37"/>
  <c r="K380" i="37" s="1"/>
  <c r="K273" i="37"/>
  <c r="M514" i="32"/>
  <c r="N514" i="32" s="1"/>
  <c r="O514" i="32" s="1"/>
  <c r="K495" i="33"/>
  <c r="K491" i="33"/>
  <c r="K490" i="33"/>
  <c r="K489" i="33"/>
  <c r="K484" i="33"/>
  <c r="K483" i="33"/>
  <c r="K464" i="33"/>
  <c r="K478" i="33"/>
  <c r="K442" i="33"/>
  <c r="K455" i="33"/>
  <c r="K447" i="33"/>
  <c r="K419" i="33"/>
  <c r="K421" i="33" s="1"/>
  <c r="K439" i="33"/>
  <c r="K400" i="33"/>
  <c r="K413" i="33"/>
  <c r="K408" i="33"/>
  <c r="K315" i="37"/>
  <c r="K314" i="37"/>
  <c r="K372" i="37"/>
  <c r="K316" i="37"/>
  <c r="K317" i="37" s="1"/>
  <c r="K349" i="37"/>
  <c r="K344" i="37"/>
  <c r="K426" i="37"/>
  <c r="K419" i="37"/>
  <c r="K411" i="37"/>
  <c r="K390" i="37"/>
  <c r="K392" i="37" s="1"/>
  <c r="L179" i="39"/>
  <c r="M179" i="39" s="1"/>
  <c r="N179" i="39" s="1"/>
  <c r="O179" i="39" s="1"/>
  <c r="O184" i="39" s="1"/>
  <c r="O85" i="39" s="1"/>
  <c r="O86" i="39" s="1"/>
  <c r="O41" i="39" s="1"/>
  <c r="L166" i="39"/>
  <c r="K280" i="37"/>
  <c r="K275" i="37"/>
  <c r="K274" i="37"/>
  <c r="K272" i="37"/>
  <c r="K135" i="39"/>
  <c r="K133" i="39"/>
  <c r="K160" i="39"/>
  <c r="K143" i="39"/>
  <c r="K139" i="39"/>
  <c r="K136" i="39"/>
  <c r="K150" i="39"/>
  <c r="L150" i="39" s="1"/>
  <c r="M150" i="39" s="1"/>
  <c r="N150" i="39" s="1"/>
  <c r="O150" i="39" s="1"/>
  <c r="K149" i="39"/>
  <c r="L649" i="6"/>
  <c r="M649" i="6" s="1"/>
  <c r="N649" i="6" s="1"/>
  <c r="O649" i="6" s="1"/>
  <c r="O650" i="6" s="1"/>
  <c r="O195" i="6" s="1"/>
  <c r="O196" i="6" s="1"/>
  <c r="O50" i="6" s="1"/>
  <c r="L329" i="6"/>
  <c r="M329" i="6" s="1"/>
  <c r="N329" i="6" s="1"/>
  <c r="O329" i="6" s="1"/>
  <c r="L518" i="6"/>
  <c r="M518" i="6" s="1"/>
  <c r="N518" i="6" s="1"/>
  <c r="O518" i="6" s="1"/>
  <c r="N262" i="6"/>
  <c r="N261" i="6"/>
  <c r="M258" i="6"/>
  <c r="M257" i="6"/>
  <c r="L254" i="6"/>
  <c r="L253" i="6"/>
  <c r="L252" i="2"/>
  <c r="L13" i="68"/>
  <c r="L6" i="68" s="1"/>
  <c r="N377" i="4" l="1"/>
  <c r="M381" i="4"/>
  <c r="N237" i="4"/>
  <c r="N58" i="4" s="1"/>
  <c r="M238" i="4"/>
  <c r="N59" i="24"/>
  <c r="O424" i="3"/>
  <c r="M127" i="16"/>
  <c r="T4" i="2"/>
  <c r="T4" i="6"/>
  <c r="T4" i="5"/>
  <c r="T4" i="4"/>
  <c r="T4" i="3"/>
  <c r="S4" i="66"/>
  <c r="T4" i="62"/>
  <c r="I107" i="70"/>
  <c r="V4" i="39"/>
  <c r="V4" i="37"/>
  <c r="V4" i="32"/>
  <c r="V4" i="30"/>
  <c r="V4" i="28"/>
  <c r="W4" i="27"/>
  <c r="V4" i="26"/>
  <c r="V4" i="25"/>
  <c r="V4" i="23"/>
  <c r="V4" i="21"/>
  <c r="V4" i="19"/>
  <c r="V4" i="17"/>
  <c r="V4" i="16"/>
  <c r="N129" i="16" s="1"/>
  <c r="O131" i="16" s="1"/>
  <c r="O132" i="16" s="1"/>
  <c r="O74" i="16" s="1"/>
  <c r="O75" i="16" s="1"/>
  <c r="O31" i="16" s="1"/>
  <c r="V4" i="15"/>
  <c r="V4" i="13"/>
  <c r="V4" i="11"/>
  <c r="V4" i="2"/>
  <c r="I411" i="2" s="1"/>
  <c r="I412" i="2" s="1"/>
  <c r="O412" i="2" s="1"/>
  <c r="V4" i="66"/>
  <c r="P4" i="65"/>
  <c r="V4" i="64"/>
  <c r="V4" i="63"/>
  <c r="V4" i="62"/>
  <c r="V4" i="61"/>
  <c r="V4" i="60"/>
  <c r="V4" i="59"/>
  <c r="V4" i="58"/>
  <c r="V4" i="57"/>
  <c r="X4" i="65"/>
  <c r="U4" i="66"/>
  <c r="O4" i="65"/>
  <c r="V4" i="33"/>
  <c r="V4" i="31"/>
  <c r="V4" i="29"/>
  <c r="V4" i="24"/>
  <c r="V4" i="22"/>
  <c r="V4" i="20"/>
  <c r="V4" i="18"/>
  <c r="V4" i="67"/>
  <c r="V4" i="14"/>
  <c r="V4" i="12"/>
  <c r="V4" i="10"/>
  <c r="V4" i="9"/>
  <c r="V4" i="8"/>
  <c r="V4" i="7"/>
  <c r="V4" i="6"/>
  <c r="V4" i="5"/>
  <c r="V4" i="4"/>
  <c r="V4" i="3"/>
  <c r="S102" i="31"/>
  <c r="T102" i="31" s="1"/>
  <c r="R106" i="31"/>
  <c r="O437" i="37"/>
  <c r="O439" i="37" s="1"/>
  <c r="O181" i="37" s="1"/>
  <c r="O182" i="37" s="1"/>
  <c r="O51" i="37" s="1"/>
  <c r="N439" i="37"/>
  <c r="N181" i="37" s="1"/>
  <c r="L436" i="6"/>
  <c r="O65" i="12"/>
  <c r="I13" i="70"/>
  <c r="M119" i="31"/>
  <c r="L121" i="31"/>
  <c r="M92" i="31"/>
  <c r="N92" i="31" s="1"/>
  <c r="O92" i="31" s="1"/>
  <c r="L93" i="31"/>
  <c r="N270" i="61"/>
  <c r="O41" i="61"/>
  <c r="O58" i="61"/>
  <c r="O438" i="61"/>
  <c r="N278" i="61"/>
  <c r="L389" i="61"/>
  <c r="M379" i="61"/>
  <c r="O60" i="60"/>
  <c r="O286" i="60"/>
  <c r="L57" i="24"/>
  <c r="O85" i="17"/>
  <c r="O215" i="17"/>
  <c r="O319" i="3"/>
  <c r="O281" i="3"/>
  <c r="O566" i="3"/>
  <c r="O547" i="3"/>
  <c r="O556" i="3"/>
  <c r="M170" i="10"/>
  <c r="M171" i="10" s="1"/>
  <c r="N435" i="6"/>
  <c r="M436" i="6"/>
  <c r="L211" i="61"/>
  <c r="M199" i="61"/>
  <c r="K530" i="33"/>
  <c r="K284" i="33" s="1"/>
  <c r="K285" i="33" s="1"/>
  <c r="K58" i="33" s="1"/>
  <c r="L529" i="33"/>
  <c r="M529" i="33" s="1"/>
  <c r="N529" i="33" s="1"/>
  <c r="O529" i="33" s="1"/>
  <c r="O530" i="33" s="1"/>
  <c r="O284" i="33" s="1"/>
  <c r="O285" i="33" s="1"/>
  <c r="O58" i="33" s="1"/>
  <c r="L534" i="33"/>
  <c r="K535" i="33"/>
  <c r="K289" i="33" s="1"/>
  <c r="K290" i="33" s="1"/>
  <c r="K59" i="33" s="1"/>
  <c r="K411" i="62"/>
  <c r="L255" i="62"/>
  <c r="K259" i="62"/>
  <c r="L235" i="21"/>
  <c r="L598" i="33"/>
  <c r="L349" i="33" s="1"/>
  <c r="M607" i="33"/>
  <c r="L608" i="33"/>
  <c r="L359" i="33" s="1"/>
  <c r="L360" i="33" s="1"/>
  <c r="L77" i="33" s="1"/>
  <c r="L603" i="33"/>
  <c r="L354" i="33" s="1"/>
  <c r="L355" i="33" s="1"/>
  <c r="L76" i="33" s="1"/>
  <c r="M602" i="33"/>
  <c r="L179" i="4"/>
  <c r="L146" i="24"/>
  <c r="M140" i="24"/>
  <c r="L157" i="24"/>
  <c r="M157" i="24" s="1"/>
  <c r="L170" i="24"/>
  <c r="L134" i="24"/>
  <c r="M123" i="24"/>
  <c r="L116" i="24"/>
  <c r="M104" i="24"/>
  <c r="L110" i="24"/>
  <c r="M110" i="24" s="1"/>
  <c r="N110" i="24" s="1"/>
  <c r="O110" i="24" s="1"/>
  <c r="L98" i="24"/>
  <c r="M57" i="24"/>
  <c r="K324" i="37"/>
  <c r="L543" i="37"/>
  <c r="L252" i="37" s="1"/>
  <c r="L253" i="37" s="1"/>
  <c r="L70" i="37" s="1"/>
  <c r="M541" i="37"/>
  <c r="L426" i="37"/>
  <c r="K428" i="37"/>
  <c r="M166" i="39"/>
  <c r="L167" i="39"/>
  <c r="L74" i="39" s="1"/>
  <c r="L75" i="39" s="1"/>
  <c r="L39" i="39" s="1"/>
  <c r="I249" i="6"/>
  <c r="R303" i="32"/>
  <c r="R305" i="32" s="1"/>
  <c r="T287" i="32"/>
  <c r="O237" i="4" l="1"/>
  <c r="N238" i="4"/>
  <c r="O377" i="4"/>
  <c r="O381" i="4" s="1"/>
  <c r="N381" i="4"/>
  <c r="O238" i="4"/>
  <c r="O58" i="4"/>
  <c r="O59" i="24"/>
  <c r="N119" i="31"/>
  <c r="M121" i="31"/>
  <c r="O283" i="61"/>
  <c r="O106" i="61" s="1"/>
  <c r="O107" i="61" s="1"/>
  <c r="O108" i="61" s="1"/>
  <c r="O31" i="61" s="1"/>
  <c r="N379" i="61"/>
  <c r="M389" i="61"/>
  <c r="N57" i="24"/>
  <c r="O57" i="24"/>
  <c r="N436" i="6"/>
  <c r="O435" i="6"/>
  <c r="O436" i="6" s="1"/>
  <c r="N170" i="10"/>
  <c r="N199" i="61"/>
  <c r="M211" i="61"/>
  <c r="M534" i="33"/>
  <c r="L535" i="33"/>
  <c r="L289" i="33" s="1"/>
  <c r="L290" i="33" s="1"/>
  <c r="L59" i="33" s="1"/>
  <c r="M255" i="62"/>
  <c r="L259" i="62"/>
  <c r="M530" i="33"/>
  <c r="M284" i="33" s="1"/>
  <c r="M285" i="33" s="1"/>
  <c r="M58" i="33" s="1"/>
  <c r="N530" i="33"/>
  <c r="N284" i="33" s="1"/>
  <c r="N285" i="33" s="1"/>
  <c r="N58" i="33" s="1"/>
  <c r="M235" i="21"/>
  <c r="L237" i="21"/>
  <c r="N602" i="33"/>
  <c r="M603" i="33"/>
  <c r="M354" i="33" s="1"/>
  <c r="M355" i="33" s="1"/>
  <c r="M76" i="33" s="1"/>
  <c r="N607" i="33"/>
  <c r="M608" i="33"/>
  <c r="M359" i="33" s="1"/>
  <c r="M360" i="33" s="1"/>
  <c r="M77" i="33" s="1"/>
  <c r="N598" i="33"/>
  <c r="N349" i="33" s="1"/>
  <c r="M598" i="33"/>
  <c r="M349" i="33" s="1"/>
  <c r="L181" i="4"/>
  <c r="L37" i="4" s="1"/>
  <c r="M179" i="4"/>
  <c r="M146" i="24"/>
  <c r="L172" i="24"/>
  <c r="L43" i="24" s="1"/>
  <c r="M170" i="24"/>
  <c r="N157" i="24"/>
  <c r="M159" i="24"/>
  <c r="L159" i="24"/>
  <c r="N140" i="24"/>
  <c r="O140" i="24" s="1"/>
  <c r="M116" i="24"/>
  <c r="N123" i="24"/>
  <c r="O123" i="24" s="1"/>
  <c r="M134" i="24"/>
  <c r="N104" i="24"/>
  <c r="O104" i="24" s="1"/>
  <c r="M98" i="24"/>
  <c r="M543" i="37"/>
  <c r="M252" i="37" s="1"/>
  <c r="M253" i="37" s="1"/>
  <c r="M70" i="37" s="1"/>
  <c r="N541" i="37"/>
  <c r="M426" i="37"/>
  <c r="L428" i="37"/>
  <c r="N166" i="39"/>
  <c r="O166" i="39" s="1"/>
  <c r="O167" i="39" s="1"/>
  <c r="O74" i="39" s="1"/>
  <c r="O75" i="39" s="1"/>
  <c r="O39" i="39" s="1"/>
  <c r="M167" i="39"/>
  <c r="M74" i="39" s="1"/>
  <c r="M75" i="39" s="1"/>
  <c r="M39" i="39" s="1"/>
  <c r="V202" i="70"/>
  <c r="V203" i="70"/>
  <c r="V204" i="70"/>
  <c r="V205" i="70"/>
  <c r="V206" i="70"/>
  <c r="W206" i="70" s="1"/>
  <c r="V207" i="70"/>
  <c r="V201" i="70"/>
  <c r="N603" i="33" l="1"/>
  <c r="N354" i="33" s="1"/>
  <c r="N355" i="33" s="1"/>
  <c r="N76" i="33" s="1"/>
  <c r="O602" i="33"/>
  <c r="O603" i="33" s="1"/>
  <c r="O354" i="33" s="1"/>
  <c r="O355" i="33" s="1"/>
  <c r="O76" i="33" s="1"/>
  <c r="N608" i="33"/>
  <c r="N359" i="33" s="1"/>
  <c r="N360" i="33" s="1"/>
  <c r="N77" i="33" s="1"/>
  <c r="O607" i="33"/>
  <c r="O608" i="33" s="1"/>
  <c r="O359" i="33" s="1"/>
  <c r="O360" i="33" s="1"/>
  <c r="O77" i="33" s="1"/>
  <c r="N543" i="37"/>
  <c r="N252" i="37" s="1"/>
  <c r="N253" i="37" s="1"/>
  <c r="N70" i="37" s="1"/>
  <c r="O541" i="37"/>
  <c r="O543" i="37" s="1"/>
  <c r="O252" i="37" s="1"/>
  <c r="O253" i="37" s="1"/>
  <c r="O70" i="37" s="1"/>
  <c r="O119" i="31"/>
  <c r="O121" i="31" s="1"/>
  <c r="N121" i="31"/>
  <c r="N211" i="61"/>
  <c r="O211" i="61"/>
  <c r="N389" i="61"/>
  <c r="O379" i="61"/>
  <c r="O389" i="61" s="1"/>
  <c r="O163" i="61" s="1"/>
  <c r="O164" i="61" s="1"/>
  <c r="O54" i="61" s="1"/>
  <c r="N159" i="24"/>
  <c r="O157" i="24"/>
  <c r="O159" i="24" s="1"/>
  <c r="O41" i="24" s="1"/>
  <c r="N171" i="10"/>
  <c r="O170" i="10"/>
  <c r="O171" i="10" s="1"/>
  <c r="N534" i="33"/>
  <c r="M535" i="33"/>
  <c r="M289" i="33" s="1"/>
  <c r="M290" i="33" s="1"/>
  <c r="M59" i="33" s="1"/>
  <c r="N255" i="62"/>
  <c r="M259" i="62"/>
  <c r="N235" i="21"/>
  <c r="M237" i="21"/>
  <c r="M181" i="4"/>
  <c r="M37" i="4" s="1"/>
  <c r="N179" i="4"/>
  <c r="N146" i="24"/>
  <c r="O146" i="24" s="1"/>
  <c r="M172" i="24"/>
  <c r="M43" i="24" s="1"/>
  <c r="N170" i="24"/>
  <c r="O170" i="24" s="1"/>
  <c r="O172" i="24" s="1"/>
  <c r="O43" i="24" s="1"/>
  <c r="N134" i="24"/>
  <c r="O134" i="24" s="1"/>
  <c r="N116" i="24"/>
  <c r="O116" i="24" s="1"/>
  <c r="N98" i="24"/>
  <c r="O98" i="24" s="1"/>
  <c r="N426" i="37"/>
  <c r="M428" i="37"/>
  <c r="N167" i="39"/>
  <c r="N74" i="39" s="1"/>
  <c r="N75" i="39" s="1"/>
  <c r="N39" i="39" s="1"/>
  <c r="S222" i="6"/>
  <c r="T222" i="6"/>
  <c r="U222" i="6"/>
  <c r="N535" i="33" l="1"/>
  <c r="N289" i="33" s="1"/>
  <c r="N290" i="33" s="1"/>
  <c r="N59" i="33" s="1"/>
  <c r="O534" i="33"/>
  <c r="O535" i="33" s="1"/>
  <c r="O289" i="33" s="1"/>
  <c r="O290" i="33" s="1"/>
  <c r="O59" i="33" s="1"/>
  <c r="N428" i="37"/>
  <c r="O426" i="37"/>
  <c r="O428" i="37" s="1"/>
  <c r="O191" i="37" s="1"/>
  <c r="O192" i="37" s="1"/>
  <c r="O53" i="37" s="1"/>
  <c r="N259" i="62"/>
  <c r="O255" i="62"/>
  <c r="O259" i="62" s="1"/>
  <c r="O96" i="62" s="1"/>
  <c r="O97" i="62" s="1"/>
  <c r="O35" i="62" s="1"/>
  <c r="O98" i="61"/>
  <c r="N237" i="21"/>
  <c r="O235" i="21"/>
  <c r="O237" i="21" s="1"/>
  <c r="O114" i="21" s="1"/>
  <c r="O115" i="21" s="1"/>
  <c r="O40" i="21" s="1"/>
  <c r="N181" i="4"/>
  <c r="N37" i="4" s="1"/>
  <c r="O179" i="4"/>
  <c r="O181" i="4" s="1"/>
  <c r="O37" i="4" s="1"/>
  <c r="N172" i="24"/>
  <c r="N43" i="24" s="1"/>
  <c r="V48" i="64" l="1"/>
  <c r="W48" i="64"/>
  <c r="V49" i="64"/>
  <c r="W49" i="64"/>
  <c r="V55" i="64"/>
  <c r="W55" i="64"/>
  <c r="V56" i="64"/>
  <c r="W56" i="64"/>
  <c r="V57" i="64"/>
  <c r="W57" i="64"/>
  <c r="V58" i="64"/>
  <c r="W58" i="64"/>
  <c r="V59" i="64"/>
  <c r="W59" i="64"/>
  <c r="V60" i="64"/>
  <c r="W60" i="64"/>
  <c r="V61" i="64"/>
  <c r="W61" i="64"/>
  <c r="T71" i="60" l="1"/>
  <c r="T290" i="60"/>
  <c r="T447" i="60"/>
  <c r="E78" i="57" l="1"/>
  <c r="E74" i="57"/>
  <c r="W61" i="18" l="1"/>
  <c r="W65" i="18"/>
  <c r="V61" i="18"/>
  <c r="V65" i="18"/>
  <c r="Q2" i="18"/>
  <c r="R2" i="18"/>
  <c r="Q3" i="18"/>
  <c r="R3" i="18"/>
  <c r="S593" i="18"/>
  <c r="S594" i="18" s="1"/>
  <c r="S595" i="18" s="1"/>
  <c r="T593" i="18"/>
  <c r="T594" i="18" s="1"/>
  <c r="T595" i="18" s="1"/>
  <c r="S600" i="18"/>
  <c r="S603" i="18"/>
  <c r="R610" i="18"/>
  <c r="R789" i="18"/>
  <c r="S789" i="18"/>
  <c r="T789" i="18"/>
  <c r="U789" i="18"/>
  <c r="V789" i="18"/>
  <c r="R139" i="13"/>
  <c r="L156" i="13" l="1"/>
  <c r="L157" i="13" s="1"/>
  <c r="M156" i="13"/>
  <c r="M157" i="13" s="1"/>
  <c r="N156" i="13"/>
  <c r="N157" i="13" s="1"/>
  <c r="E209" i="70"/>
  <c r="N315" i="4"/>
  <c r="N158" i="4" s="1"/>
  <c r="M315" i="4"/>
  <c r="M158" i="4" s="1"/>
  <c r="L315" i="4"/>
  <c r="L158" i="4" s="1"/>
  <c r="L148" i="10"/>
  <c r="M148" i="10"/>
  <c r="N148" i="10"/>
  <c r="L154" i="10"/>
  <c r="M154" i="10"/>
  <c r="N154" i="10"/>
  <c r="B114" i="21"/>
  <c r="A114" i="21"/>
  <c r="L331" i="6" l="1"/>
  <c r="M331" i="6" s="1"/>
  <c r="N331" i="6" s="1"/>
  <c r="O331" i="6" s="1"/>
  <c r="L337" i="6"/>
  <c r="M337" i="6" l="1"/>
  <c r="L338" i="6"/>
  <c r="A206" i="6"/>
  <c r="B206" i="6"/>
  <c r="M338" i="6" l="1"/>
  <c r="N337" i="6"/>
  <c r="L114" i="21"/>
  <c r="N338" i="6" l="1"/>
  <c r="O337" i="6"/>
  <c r="O338" i="6" s="1"/>
  <c r="O93" i="6" s="1"/>
  <c r="M114" i="21"/>
  <c r="N114" i="21"/>
  <c r="B203" i="5"/>
  <c r="A203" i="5"/>
  <c r="M691" i="18" l="1"/>
  <c r="N691" i="18"/>
  <c r="B162" i="3"/>
  <c r="A162" i="3"/>
  <c r="L592" i="3"/>
  <c r="L162" i="3" s="1"/>
  <c r="M592" i="3"/>
  <c r="M162" i="3" s="1"/>
  <c r="N592" i="3"/>
  <c r="N162" i="3" s="1"/>
  <c r="K723" i="6" l="1"/>
  <c r="L723" i="6"/>
  <c r="M723" i="6"/>
  <c r="N723" i="6"/>
  <c r="Y65" i="72" l="1"/>
  <c r="X65" i="72"/>
  <c r="X126" i="72"/>
  <c r="Y126" i="72"/>
  <c r="W65" i="72"/>
  <c r="V65" i="72"/>
  <c r="Q388" i="66"/>
  <c r="R388" i="66"/>
  <c r="S388" i="66"/>
  <c r="T388" i="66"/>
  <c r="M336" i="66"/>
  <c r="M338" i="66" s="1"/>
  <c r="L336" i="66"/>
  <c r="L338" i="66" s="1"/>
  <c r="L341" i="66" s="1"/>
  <c r="K336" i="66"/>
  <c r="K338" i="66" s="1"/>
  <c r="E324" i="66"/>
  <c r="L321" i="66"/>
  <c r="M321" i="66" s="1"/>
  <c r="N321" i="66" s="1"/>
  <c r="O321" i="66" s="1"/>
  <c r="L320" i="66"/>
  <c r="E309" i="66"/>
  <c r="L307" i="66"/>
  <c r="M307" i="66" s="1"/>
  <c r="N307" i="66" s="1"/>
  <c r="O307" i="66" s="1"/>
  <c r="O309" i="66" s="1"/>
  <c r="O158" i="66" s="1"/>
  <c r="O358" i="66" s="1"/>
  <c r="E305" i="66"/>
  <c r="K305" i="66"/>
  <c r="K264" i="66"/>
  <c r="K266" i="66" s="1"/>
  <c r="K136" i="66" s="1"/>
  <c r="K137" i="66" s="1"/>
  <c r="K40" i="66" s="1"/>
  <c r="K239" i="66"/>
  <c r="K241" i="66" s="1"/>
  <c r="K85" i="66" s="1"/>
  <c r="L291" i="66"/>
  <c r="M291" i="66" s="1"/>
  <c r="N291" i="66" s="1"/>
  <c r="O291" i="66" s="1"/>
  <c r="L290" i="66"/>
  <c r="M290" i="66" s="1"/>
  <c r="N290" i="66" s="1"/>
  <c r="O290" i="66" s="1"/>
  <c r="L289" i="66"/>
  <c r="M289" i="66" s="1"/>
  <c r="N289" i="66" s="1"/>
  <c r="O289" i="66" s="1"/>
  <c r="E283" i="66"/>
  <c r="L280" i="66"/>
  <c r="M280" i="66" s="1"/>
  <c r="N280" i="66" s="1"/>
  <c r="O280" i="66" s="1"/>
  <c r="E274" i="66"/>
  <c r="E266" i="66"/>
  <c r="E259" i="66"/>
  <c r="E253" i="66"/>
  <c r="M227" i="66"/>
  <c r="L227" i="66"/>
  <c r="K227" i="66"/>
  <c r="E207" i="66"/>
  <c r="E194" i="66"/>
  <c r="E186" i="66"/>
  <c r="K174" i="66"/>
  <c r="L174" i="66" s="1"/>
  <c r="M174" i="66" s="1"/>
  <c r="B174" i="66"/>
  <c r="A174" i="66"/>
  <c r="K168" i="66"/>
  <c r="K169" i="66" s="1"/>
  <c r="K60" i="66" s="1"/>
  <c r="B168" i="66"/>
  <c r="A168" i="66"/>
  <c r="B163" i="66"/>
  <c r="A163" i="66"/>
  <c r="B158" i="66"/>
  <c r="A158" i="66"/>
  <c r="B157" i="66"/>
  <c r="A157" i="66"/>
  <c r="B151" i="66"/>
  <c r="A151" i="66"/>
  <c r="B146" i="66"/>
  <c r="A146" i="66"/>
  <c r="B141" i="66"/>
  <c r="A141" i="66"/>
  <c r="B136" i="66"/>
  <c r="A136" i="66"/>
  <c r="B131" i="66"/>
  <c r="A131" i="66"/>
  <c r="B126" i="66"/>
  <c r="A126" i="66"/>
  <c r="A116" i="66"/>
  <c r="G114" i="66"/>
  <c r="B116" i="66" s="1"/>
  <c r="B111" i="66"/>
  <c r="A111" i="66"/>
  <c r="B106" i="66"/>
  <c r="A106" i="66"/>
  <c r="B101" i="66"/>
  <c r="A101" i="66"/>
  <c r="B96" i="66"/>
  <c r="A96" i="66"/>
  <c r="B91" i="66"/>
  <c r="A91" i="66"/>
  <c r="B86" i="66"/>
  <c r="A86" i="66"/>
  <c r="B85" i="66"/>
  <c r="A85" i="66"/>
  <c r="B80" i="66"/>
  <c r="A80" i="66"/>
  <c r="D61" i="66"/>
  <c r="D60" i="66"/>
  <c r="D59" i="66"/>
  <c r="D45" i="66"/>
  <c r="D44" i="66"/>
  <c r="D42" i="66"/>
  <c r="D41" i="66"/>
  <c r="D40" i="66"/>
  <c r="D39" i="66"/>
  <c r="D38" i="66"/>
  <c r="D34" i="66"/>
  <c r="D33" i="66"/>
  <c r="D32" i="66"/>
  <c r="D31" i="66"/>
  <c r="D30" i="66"/>
  <c r="D29" i="66"/>
  <c r="D28" i="66"/>
  <c r="K181" i="64"/>
  <c r="L181" i="64"/>
  <c r="M181" i="64"/>
  <c r="W122" i="72"/>
  <c r="W126" i="72" s="1"/>
  <c r="V122" i="72"/>
  <c r="V126" i="72" s="1"/>
  <c r="K120" i="64"/>
  <c r="K116" i="66" l="1"/>
  <c r="K117" i="66" s="1"/>
  <c r="K122" i="66"/>
  <c r="L35" i="66"/>
  <c r="L122" i="66"/>
  <c r="M116" i="66"/>
  <c r="M117" i="66" s="1"/>
  <c r="M122" i="66"/>
  <c r="M175" i="66"/>
  <c r="M61" i="66" s="1"/>
  <c r="N174" i="66"/>
  <c r="V133" i="72"/>
  <c r="X133" i="72"/>
  <c r="Y133" i="72"/>
  <c r="W133" i="72"/>
  <c r="L183" i="66"/>
  <c r="K35" i="66"/>
  <c r="L116" i="66"/>
  <c r="L117" i="66" s="1"/>
  <c r="K324" i="66"/>
  <c r="K151" i="66" s="1"/>
  <c r="K251" i="66"/>
  <c r="K253" i="66" s="1"/>
  <c r="K126" i="66" s="1"/>
  <c r="K127" i="66" s="1"/>
  <c r="K38" i="66" s="1"/>
  <c r="L293" i="66"/>
  <c r="K341" i="66"/>
  <c r="K163" i="66"/>
  <c r="K164" i="66" s="1"/>
  <c r="L304" i="66"/>
  <c r="L305" i="66" s="1"/>
  <c r="M35" i="66"/>
  <c r="K175" i="66"/>
  <c r="K61" i="66" s="1"/>
  <c r="L296" i="66"/>
  <c r="K309" i="66"/>
  <c r="K158" i="66" s="1"/>
  <c r="K358" i="66" s="1"/>
  <c r="M341" i="66"/>
  <c r="M163" i="66"/>
  <c r="M164" i="66" s="1"/>
  <c r="L214" i="66"/>
  <c r="L292" i="66"/>
  <c r="L322" i="66"/>
  <c r="M322" i="66" s="1"/>
  <c r="N322" i="66" s="1"/>
  <c r="O322" i="66" s="1"/>
  <c r="K97" i="66"/>
  <c r="K31" i="66" s="1"/>
  <c r="K102" i="66"/>
  <c r="K32" i="66" s="1"/>
  <c r="L175" i="66"/>
  <c r="L61" i="66" s="1"/>
  <c r="L294" i="66"/>
  <c r="K257" i="66"/>
  <c r="K259" i="66" s="1"/>
  <c r="K131" i="66" s="1"/>
  <c r="K132" i="66" s="1"/>
  <c r="K39" i="66" s="1"/>
  <c r="L168" i="66"/>
  <c r="M320" i="66"/>
  <c r="N320" i="66" s="1"/>
  <c r="O320" i="66" s="1"/>
  <c r="L295" i="66"/>
  <c r="K357" i="66"/>
  <c r="K157" i="66"/>
  <c r="L163" i="66"/>
  <c r="L164" i="66" s="1"/>
  <c r="L287" i="66"/>
  <c r="L288" i="66"/>
  <c r="M288" i="66" s="1"/>
  <c r="N288" i="66" s="1"/>
  <c r="O288" i="66" s="1"/>
  <c r="F128" i="72"/>
  <c r="G128" i="72"/>
  <c r="H128" i="72"/>
  <c r="E128" i="72"/>
  <c r="L467" i="15"/>
  <c r="M467" i="15"/>
  <c r="N467" i="15"/>
  <c r="L455" i="15"/>
  <c r="M455" i="15"/>
  <c r="N455" i="15"/>
  <c r="K153" i="66" l="1"/>
  <c r="K44" i="66" s="1"/>
  <c r="M183" i="66"/>
  <c r="L186" i="66"/>
  <c r="L80" i="66" s="1"/>
  <c r="L81" i="66" s="1"/>
  <c r="L28" i="66" s="1"/>
  <c r="N175" i="66"/>
  <c r="O174" i="66"/>
  <c r="O175" i="66" s="1"/>
  <c r="O324" i="66"/>
  <c r="O151" i="66" s="1"/>
  <c r="K366" i="66"/>
  <c r="K369" i="66"/>
  <c r="K371" i="66"/>
  <c r="K372" i="66"/>
  <c r="K378" i="66"/>
  <c r="K370" i="66"/>
  <c r="K373" i="66"/>
  <c r="K368" i="66"/>
  <c r="K377" i="66"/>
  <c r="K367" i="66"/>
  <c r="K384" i="66"/>
  <c r="N324" i="66"/>
  <c r="N151" i="66" s="1"/>
  <c r="N194" i="66"/>
  <c r="N86" i="66" s="1"/>
  <c r="K159" i="66"/>
  <c r="K45" i="66" s="1"/>
  <c r="K217" i="66"/>
  <c r="K111" i="66" s="1"/>
  <c r="K112" i="66" s="1"/>
  <c r="K34" i="66" s="1"/>
  <c r="K80" i="66"/>
  <c r="K81" i="66" s="1"/>
  <c r="K28" i="66" s="1"/>
  <c r="K272" i="66"/>
  <c r="K274" i="66" s="1"/>
  <c r="K141" i="66" s="1"/>
  <c r="K142" i="66" s="1"/>
  <c r="K41" i="66" s="1"/>
  <c r="K194" i="66"/>
  <c r="K86" i="66" s="1"/>
  <c r="K87" i="66" s="1"/>
  <c r="K29" i="66" s="1"/>
  <c r="M304" i="66"/>
  <c r="L357" i="66"/>
  <c r="L157" i="66"/>
  <c r="K59" i="66"/>
  <c r="K70" i="66" s="1"/>
  <c r="E126" i="70" s="1"/>
  <c r="M293" i="66"/>
  <c r="L251" i="66"/>
  <c r="L253" i="66" s="1"/>
  <c r="L126" i="66" s="1"/>
  <c r="L127" i="66" s="1"/>
  <c r="L38" i="66" s="1"/>
  <c r="K201" i="66"/>
  <c r="K91" i="66" s="1"/>
  <c r="K92" i="66" s="1"/>
  <c r="K30" i="66" s="1"/>
  <c r="L199" i="66"/>
  <c r="L384" i="66"/>
  <c r="L59" i="66"/>
  <c r="L169" i="66"/>
  <c r="L60" i="66" s="1"/>
  <c r="M168" i="66"/>
  <c r="M292" i="66"/>
  <c r="L239" i="66"/>
  <c r="L241" i="66" s="1"/>
  <c r="L85" i="66" s="1"/>
  <c r="L97" i="66"/>
  <c r="L31" i="66" s="1"/>
  <c r="M294" i="66"/>
  <c r="L257" i="66"/>
  <c r="L259" i="66" s="1"/>
  <c r="L131" i="66" s="1"/>
  <c r="L132" i="66" s="1"/>
  <c r="L39" i="66" s="1"/>
  <c r="M295" i="66"/>
  <c r="L264" i="66"/>
  <c r="L266" i="66" s="1"/>
  <c r="L136" i="66" s="1"/>
  <c r="L137" i="66" s="1"/>
  <c r="L40" i="66" s="1"/>
  <c r="L324" i="66"/>
  <c r="L151" i="66" s="1"/>
  <c r="L102" i="66"/>
  <c r="L32" i="66" s="1"/>
  <c r="M324" i="66"/>
  <c r="M151" i="66" s="1"/>
  <c r="M214" i="66"/>
  <c r="N214" i="66" s="1"/>
  <c r="O214" i="66" s="1"/>
  <c r="O217" i="66" s="1"/>
  <c r="O111" i="66" s="1"/>
  <c r="O112" i="66" s="1"/>
  <c r="O34" i="66" s="1"/>
  <c r="M59" i="66"/>
  <c r="M384" i="66"/>
  <c r="M194" i="66"/>
  <c r="M86" i="66" s="1"/>
  <c r="L272" i="66"/>
  <c r="L274" i="66" s="1"/>
  <c r="L141" i="66" s="1"/>
  <c r="L142" i="66" s="1"/>
  <c r="L41" i="66" s="1"/>
  <c r="M296" i="66"/>
  <c r="L194" i="66"/>
  <c r="L86" i="66" s="1"/>
  <c r="K279" i="66"/>
  <c r="K283" i="66" s="1"/>
  <c r="K146" i="66" s="1"/>
  <c r="K147" i="66" s="1"/>
  <c r="K42" i="66" s="1"/>
  <c r="L297" i="66"/>
  <c r="L299" i="66" s="1"/>
  <c r="K207" i="66"/>
  <c r="K106" i="66" s="1"/>
  <c r="K107" i="66" s="1"/>
  <c r="K33" i="66" s="1"/>
  <c r="L206" i="66"/>
  <c r="L309" i="66"/>
  <c r="L158" i="66" s="1"/>
  <c r="M287" i="66"/>
  <c r="N287" i="66" s="1"/>
  <c r="O287" i="66" s="1"/>
  <c r="N61" i="66" l="1"/>
  <c r="N384" i="66"/>
  <c r="M186" i="66"/>
  <c r="M80" i="66" s="1"/>
  <c r="M81" i="66" s="1"/>
  <c r="M28" i="66" s="1"/>
  <c r="N183" i="66"/>
  <c r="N153" i="66"/>
  <c r="N44" i="66" s="1"/>
  <c r="O153" i="66"/>
  <c r="O44" i="66" s="1"/>
  <c r="M153" i="66"/>
  <c r="M44" i="66" s="1"/>
  <c r="L153" i="66"/>
  <c r="L44" i="66" s="1"/>
  <c r="K126" i="70"/>
  <c r="X126" i="70"/>
  <c r="O61" i="66"/>
  <c r="O384" i="66"/>
  <c r="K56" i="66"/>
  <c r="E61" i="70" s="1"/>
  <c r="K342" i="66"/>
  <c r="L369" i="66"/>
  <c r="L370" i="66"/>
  <c r="L378" i="66"/>
  <c r="L372" i="66"/>
  <c r="L373" i="66"/>
  <c r="L377" i="66"/>
  <c r="L367" i="66"/>
  <c r="L366" i="66"/>
  <c r="L368" i="66"/>
  <c r="L371" i="66"/>
  <c r="L217" i="66"/>
  <c r="L111" i="66" s="1"/>
  <c r="L112" i="66" s="1"/>
  <c r="L34" i="66" s="1"/>
  <c r="M264" i="66"/>
  <c r="M266" i="66" s="1"/>
  <c r="M136" i="66" s="1"/>
  <c r="M137" i="66" s="1"/>
  <c r="M40" i="66" s="1"/>
  <c r="N295" i="66"/>
  <c r="N217" i="66"/>
  <c r="N111" i="66" s="1"/>
  <c r="N112" i="66" s="1"/>
  <c r="N34" i="66" s="1"/>
  <c r="M251" i="66"/>
  <c r="M253" i="66" s="1"/>
  <c r="M126" i="66" s="1"/>
  <c r="M127" i="66" s="1"/>
  <c r="M38" i="66" s="1"/>
  <c r="N293" i="66"/>
  <c r="M257" i="66"/>
  <c r="M259" i="66" s="1"/>
  <c r="M131" i="66" s="1"/>
  <c r="M132" i="66" s="1"/>
  <c r="M39" i="66" s="1"/>
  <c r="N294" i="66"/>
  <c r="M102" i="66"/>
  <c r="M32" i="66" s="1"/>
  <c r="N102" i="66"/>
  <c r="N32" i="66" s="1"/>
  <c r="M239" i="66"/>
  <c r="M241" i="66" s="1"/>
  <c r="M85" i="66" s="1"/>
  <c r="M87" i="66" s="1"/>
  <c r="M29" i="66" s="1"/>
  <c r="N292" i="66"/>
  <c r="M272" i="66"/>
  <c r="M274" i="66" s="1"/>
  <c r="M141" i="66" s="1"/>
  <c r="M142" i="66" s="1"/>
  <c r="M41" i="66" s="1"/>
  <c r="N296" i="66"/>
  <c r="M97" i="66"/>
  <c r="M31" i="66" s="1"/>
  <c r="N97" i="66"/>
  <c r="N31" i="66" s="1"/>
  <c r="M169" i="66"/>
  <c r="M60" i="66" s="1"/>
  <c r="M70" i="66" s="1"/>
  <c r="G126" i="70" s="1"/>
  <c r="N168" i="66"/>
  <c r="M309" i="66"/>
  <c r="M158" i="66" s="1"/>
  <c r="M358" i="66" s="1"/>
  <c r="N309" i="66"/>
  <c r="N158" i="66" s="1"/>
  <c r="N358" i="66" s="1"/>
  <c r="M305" i="66"/>
  <c r="M157" i="66" s="1"/>
  <c r="N304" i="66"/>
  <c r="M217" i="66"/>
  <c r="M111" i="66" s="1"/>
  <c r="M112" i="66" s="1"/>
  <c r="M34" i="66" s="1"/>
  <c r="K359" i="66"/>
  <c r="K360" i="66" s="1"/>
  <c r="K382" i="66" s="1"/>
  <c r="K380" i="66"/>
  <c r="L87" i="66"/>
  <c r="L358" i="66"/>
  <c r="L159" i="66"/>
  <c r="L45" i="66" s="1"/>
  <c r="L70" i="66"/>
  <c r="F126" i="70" s="1"/>
  <c r="M199" i="66"/>
  <c r="L201" i="66"/>
  <c r="L91" i="66" s="1"/>
  <c r="L92" i="66" s="1"/>
  <c r="L30" i="66" s="1"/>
  <c r="L207" i="66"/>
  <c r="L106" i="66" s="1"/>
  <c r="L107" i="66" s="1"/>
  <c r="L33" i="66" s="1"/>
  <c r="M206" i="66"/>
  <c r="M297" i="66"/>
  <c r="L279" i="66"/>
  <c r="L283" i="66" s="1"/>
  <c r="L146" i="66" s="1"/>
  <c r="L147" i="66" s="1"/>
  <c r="L42" i="66" s="1"/>
  <c r="N186" i="66" l="1"/>
  <c r="N80" i="66" s="1"/>
  <c r="N81" i="66" s="1"/>
  <c r="N28" i="66" s="1"/>
  <c r="O183" i="66"/>
  <c r="O186" i="66" s="1"/>
  <c r="O80" i="66" s="1"/>
  <c r="O81" i="66" s="1"/>
  <c r="O28" i="66" s="1"/>
  <c r="K72" i="66"/>
  <c r="N305" i="66"/>
  <c r="O304" i="66"/>
  <c r="O305" i="66" s="1"/>
  <c r="O126" i="70"/>
  <c r="Z126" i="70"/>
  <c r="N257" i="66"/>
  <c r="N259" i="66" s="1"/>
  <c r="N131" i="66" s="1"/>
  <c r="N132" i="66" s="1"/>
  <c r="N39" i="66" s="1"/>
  <c r="O294" i="66"/>
  <c r="O257" i="66" s="1"/>
  <c r="O259" i="66" s="1"/>
  <c r="O131" i="66" s="1"/>
  <c r="O132" i="66" s="1"/>
  <c r="O39" i="66" s="1"/>
  <c r="N272" i="66"/>
  <c r="N274" i="66" s="1"/>
  <c r="N141" i="66" s="1"/>
  <c r="N142" i="66" s="1"/>
  <c r="N41" i="66" s="1"/>
  <c r="O296" i="66"/>
  <c r="O272" i="66" s="1"/>
  <c r="O274" i="66" s="1"/>
  <c r="O141" i="66" s="1"/>
  <c r="O142" i="66" s="1"/>
  <c r="O41" i="66" s="1"/>
  <c r="Y126" i="70"/>
  <c r="M126" i="70"/>
  <c r="N264" i="66"/>
  <c r="N266" i="66" s="1"/>
  <c r="N136" i="66" s="1"/>
  <c r="N137" i="66" s="1"/>
  <c r="N40" i="66" s="1"/>
  <c r="O295" i="66"/>
  <c r="O264" i="66" s="1"/>
  <c r="O266" i="66" s="1"/>
  <c r="O136" i="66" s="1"/>
  <c r="O137" i="66" s="1"/>
  <c r="O40" i="66" s="1"/>
  <c r="N239" i="66"/>
  <c r="N241" i="66" s="1"/>
  <c r="N85" i="66" s="1"/>
  <c r="N87" i="66" s="1"/>
  <c r="N29" i="66" s="1"/>
  <c r="O292" i="66"/>
  <c r="N169" i="66"/>
  <c r="N60" i="66" s="1"/>
  <c r="N70" i="66" s="1"/>
  <c r="H126" i="70" s="1"/>
  <c r="O168" i="66"/>
  <c r="O169" i="66" s="1"/>
  <c r="O60" i="66" s="1"/>
  <c r="O70" i="66" s="1"/>
  <c r="I126" i="70" s="1"/>
  <c r="N251" i="66"/>
  <c r="N253" i="66" s="1"/>
  <c r="N126" i="66" s="1"/>
  <c r="N127" i="66" s="1"/>
  <c r="N38" i="66" s="1"/>
  <c r="O293" i="66"/>
  <c r="O251" i="66" s="1"/>
  <c r="O253" i="66" s="1"/>
  <c r="O126" i="66" s="1"/>
  <c r="O127" i="66" s="1"/>
  <c r="O38" i="66" s="1"/>
  <c r="X61" i="70"/>
  <c r="K61" i="70"/>
  <c r="L380" i="66"/>
  <c r="L383" i="66" s="1"/>
  <c r="K383" i="66"/>
  <c r="K387" i="66" s="1"/>
  <c r="K344" i="66"/>
  <c r="K346" i="66" s="1"/>
  <c r="M159" i="66"/>
  <c r="M45" i="66" s="1"/>
  <c r="M342" i="66" s="1"/>
  <c r="M207" i="66"/>
  <c r="M106" i="66" s="1"/>
  <c r="M107" i="66" s="1"/>
  <c r="M33" i="66" s="1"/>
  <c r="N206" i="66"/>
  <c r="M201" i="66"/>
  <c r="M91" i="66" s="1"/>
  <c r="M92" i="66" s="1"/>
  <c r="M30" i="66" s="1"/>
  <c r="N199" i="66"/>
  <c r="M279" i="66"/>
  <c r="M283" i="66" s="1"/>
  <c r="M146" i="66" s="1"/>
  <c r="M147" i="66" s="1"/>
  <c r="M42" i="66" s="1"/>
  <c r="N297" i="66"/>
  <c r="M357" i="66"/>
  <c r="M359" i="66"/>
  <c r="M299" i="66"/>
  <c r="L29" i="66"/>
  <c r="L359" i="66"/>
  <c r="L360" i="66" s="1"/>
  <c r="L382" i="66" s="1"/>
  <c r="E169" i="70"/>
  <c r="F169" i="70"/>
  <c r="G169" i="70"/>
  <c r="B164" i="70"/>
  <c r="C164" i="70"/>
  <c r="H184" i="70"/>
  <c r="H163" i="70" s="1"/>
  <c r="G184" i="70"/>
  <c r="G163" i="70" s="1"/>
  <c r="F184" i="70"/>
  <c r="F163" i="70" s="1"/>
  <c r="E184" i="70"/>
  <c r="E163" i="70" s="1"/>
  <c r="A169" i="70"/>
  <c r="N157" i="66" l="1"/>
  <c r="N159" i="66" s="1"/>
  <c r="N45" i="66" s="1"/>
  <c r="N342" i="66" s="1"/>
  <c r="N357" i="66"/>
  <c r="K388" i="66"/>
  <c r="M56" i="66"/>
  <c r="M72" i="66" s="1"/>
  <c r="G61" i="70"/>
  <c r="N201" i="66"/>
  <c r="N91" i="66" s="1"/>
  <c r="N92" i="66" s="1"/>
  <c r="N30" i="66" s="1"/>
  <c r="O199" i="66"/>
  <c r="O201" i="66" s="1"/>
  <c r="O91" i="66" s="1"/>
  <c r="O92" i="66" s="1"/>
  <c r="O30" i="66" s="1"/>
  <c r="N279" i="66"/>
  <c r="N283" i="66" s="1"/>
  <c r="N146" i="66" s="1"/>
  <c r="N147" i="66" s="1"/>
  <c r="N42" i="66" s="1"/>
  <c r="O297" i="66"/>
  <c r="O279" i="66" s="1"/>
  <c r="O283" i="66" s="1"/>
  <c r="O146" i="66" s="1"/>
  <c r="O147" i="66" s="1"/>
  <c r="O42" i="66" s="1"/>
  <c r="N207" i="66"/>
  <c r="N106" i="66" s="1"/>
  <c r="N107" i="66" s="1"/>
  <c r="N33" i="66" s="1"/>
  <c r="O206" i="66"/>
  <c r="O207" i="66" s="1"/>
  <c r="O106" i="66" s="1"/>
  <c r="O107" i="66" s="1"/>
  <c r="O33" i="66" s="1"/>
  <c r="N359" i="66"/>
  <c r="L344" i="66"/>
  <c r="O357" i="66"/>
  <c r="O157" i="66"/>
  <c r="O159" i="66" s="1"/>
  <c r="O45" i="66" s="1"/>
  <c r="AA126" i="70"/>
  <c r="Q126" i="70"/>
  <c r="O239" i="66"/>
  <c r="O241" i="66" s="1"/>
  <c r="O85" i="66" s="1"/>
  <c r="O87" i="66" s="1"/>
  <c r="E207" i="70"/>
  <c r="E164" i="70" s="1"/>
  <c r="M378" i="66"/>
  <c r="M369" i="66"/>
  <c r="M371" i="66"/>
  <c r="M372" i="66"/>
  <c r="M366" i="66"/>
  <c r="M368" i="66"/>
  <c r="M370" i="66"/>
  <c r="M373" i="66"/>
  <c r="M377" i="66"/>
  <c r="M367" i="66"/>
  <c r="N299" i="66"/>
  <c r="M360" i="66"/>
  <c r="M382" i="66" s="1"/>
  <c r="G209" i="70"/>
  <c r="F209" i="70"/>
  <c r="H209" i="70"/>
  <c r="L387" i="66"/>
  <c r="L388" i="66"/>
  <c r="L342" i="66"/>
  <c r="L56" i="66"/>
  <c r="H207" i="70"/>
  <c r="G207" i="70"/>
  <c r="F207" i="70"/>
  <c r="N360" i="66" l="1"/>
  <c r="N382" i="66" s="1"/>
  <c r="O378" i="66"/>
  <c r="O377" i="66"/>
  <c r="O373" i="66"/>
  <c r="O370" i="66"/>
  <c r="O366" i="66"/>
  <c r="O372" i="66"/>
  <c r="O371" i="66"/>
  <c r="O369" i="66"/>
  <c r="O367" i="66"/>
  <c r="O368" i="66"/>
  <c r="N372" i="66"/>
  <c r="N373" i="66"/>
  <c r="N368" i="66"/>
  <c r="N377" i="66"/>
  <c r="N367" i="66"/>
  <c r="N369" i="66"/>
  <c r="N370" i="66"/>
  <c r="N371" i="66"/>
  <c r="N378" i="66"/>
  <c r="N366" i="66"/>
  <c r="N56" i="66"/>
  <c r="L72" i="66"/>
  <c r="F61" i="70"/>
  <c r="O299" i="66"/>
  <c r="L346" i="66"/>
  <c r="O29" i="66"/>
  <c r="O359" i="66"/>
  <c r="O360" i="66" s="1"/>
  <c r="O382" i="66" s="1"/>
  <c r="O61" i="70"/>
  <c r="Z61" i="70"/>
  <c r="W201" i="70"/>
  <c r="M380" i="66"/>
  <c r="F164" i="70"/>
  <c r="W202" i="70"/>
  <c r="G164" i="70"/>
  <c r="W203" i="70"/>
  <c r="H164" i="70"/>
  <c r="W204" i="70"/>
  <c r="F211" i="70"/>
  <c r="H211" i="70"/>
  <c r="E211" i="70"/>
  <c r="W205" i="70" s="1"/>
  <c r="G211" i="70"/>
  <c r="L119" i="64"/>
  <c r="M119" i="64"/>
  <c r="N119" i="64"/>
  <c r="L120" i="64"/>
  <c r="M120" i="64"/>
  <c r="N120" i="64"/>
  <c r="K234" i="64"/>
  <c r="L234" i="64"/>
  <c r="M234" i="64"/>
  <c r="N234" i="64"/>
  <c r="K334" i="64"/>
  <c r="N380" i="66" l="1"/>
  <c r="O380" i="66"/>
  <c r="N72" i="66"/>
  <c r="H61" i="70"/>
  <c r="O342" i="66"/>
  <c r="O56" i="66"/>
  <c r="Y61" i="70"/>
  <c r="M61" i="70"/>
  <c r="M383" i="66"/>
  <c r="M344" i="66"/>
  <c r="M346" i="66" s="1"/>
  <c r="N121" i="64"/>
  <c r="N42" i="64" s="1"/>
  <c r="M121" i="64"/>
  <c r="M42" i="64" s="1"/>
  <c r="K121" i="64"/>
  <c r="K42" i="64" s="1"/>
  <c r="V42" i="64" s="1"/>
  <c r="L121" i="64"/>
  <c r="L42" i="64" s="1"/>
  <c r="W42" i="64" s="1"/>
  <c r="N344" i="66" l="1"/>
  <c r="N346" i="66" s="1"/>
  <c r="N383" i="66"/>
  <c r="O344" i="66"/>
  <c r="O383" i="66"/>
  <c r="N387" i="66"/>
  <c r="N388" i="66"/>
  <c r="Q61" i="70"/>
  <c r="AA61" i="70"/>
  <c r="O387" i="66"/>
  <c r="O388" i="66"/>
  <c r="O72" i="66"/>
  <c r="I61" i="70"/>
  <c r="O346" i="66"/>
  <c r="M387" i="66"/>
  <c r="M388" i="66"/>
  <c r="H157" i="70"/>
  <c r="N391" i="65"/>
  <c r="N386" i="65"/>
  <c r="N381" i="65"/>
  <c r="N372" i="65"/>
  <c r="N115" i="65"/>
  <c r="N364" i="65"/>
  <c r="N348" i="65"/>
  <c r="N129" i="65" s="1"/>
  <c r="N127" i="65"/>
  <c r="N124" i="65"/>
  <c r="N339" i="65"/>
  <c r="N326" i="65"/>
  <c r="N88" i="65"/>
  <c r="N278" i="65"/>
  <c r="N267" i="65"/>
  <c r="N259" i="65"/>
  <c r="N68" i="65"/>
  <c r="N187" i="65"/>
  <c r="N182" i="65"/>
  <c r="N180" i="65"/>
  <c r="N175" i="65"/>
  <c r="N174" i="65"/>
  <c r="N134" i="65"/>
  <c r="N133" i="65"/>
  <c r="N132" i="65"/>
  <c r="N131" i="65"/>
  <c r="N130" i="65"/>
  <c r="N126" i="65"/>
  <c r="N116" i="65"/>
  <c r="N114" i="65"/>
  <c r="N113" i="65"/>
  <c r="N111" i="65"/>
  <c r="N106" i="65"/>
  <c r="N105" i="65"/>
  <c r="N104" i="65"/>
  <c r="N103" i="65"/>
  <c r="N102" i="65"/>
  <c r="N101" i="65"/>
  <c r="N95" i="65"/>
  <c r="N90" i="65"/>
  <c r="N89" i="65"/>
  <c r="N87" i="65"/>
  <c r="N85" i="65"/>
  <c r="N69" i="65"/>
  <c r="N67" i="65"/>
  <c r="V386" i="64"/>
  <c r="V136" i="63"/>
  <c r="V519" i="62"/>
  <c r="V462" i="61"/>
  <c r="N341" i="61"/>
  <c r="K320" i="61"/>
  <c r="V272" i="23"/>
  <c r="V436" i="17"/>
  <c r="N282" i="17"/>
  <c r="N118" i="17" s="1"/>
  <c r="N119" i="17" s="1"/>
  <c r="N40" i="17" s="1"/>
  <c r="W771" i="3"/>
  <c r="W734" i="3"/>
  <c r="W699" i="3"/>
  <c r="W664" i="3"/>
  <c r="W629" i="3"/>
  <c r="N145" i="3"/>
  <c r="N297" i="4"/>
  <c r="N583" i="5"/>
  <c r="N207" i="5" s="1"/>
  <c r="N543" i="5"/>
  <c r="N96" i="5"/>
  <c r="N97" i="5" s="1"/>
  <c r="N35" i="5" s="1"/>
  <c r="N258" i="5"/>
  <c r="N189" i="5"/>
  <c r="N55" i="5"/>
  <c r="N221" i="6"/>
  <c r="N650" i="6"/>
  <c r="N195" i="6" s="1"/>
  <c r="N196" i="6" s="1"/>
  <c r="N50" i="6" s="1"/>
  <c r="N180" i="6"/>
  <c r="N623" i="6"/>
  <c r="N445" i="6"/>
  <c r="N107" i="6" s="1"/>
  <c r="N375" i="6"/>
  <c r="N374" i="6"/>
  <c r="N93" i="6"/>
  <c r="N239" i="6"/>
  <c r="N245" i="6" s="1"/>
  <c r="N216" i="6"/>
  <c r="N211" i="6"/>
  <c r="N151" i="6"/>
  <c r="N54" i="6"/>
  <c r="N272" i="7"/>
  <c r="N264" i="7"/>
  <c r="N256" i="7"/>
  <c r="N199" i="7"/>
  <c r="N198" i="7"/>
  <c r="N181" i="7"/>
  <c r="N180" i="7"/>
  <c r="N163" i="7"/>
  <c r="N162" i="7"/>
  <c r="N142" i="7"/>
  <c r="N127" i="7"/>
  <c r="N71" i="7"/>
  <c r="N66" i="7"/>
  <c r="N54" i="7"/>
  <c r="H73" i="70" s="1"/>
  <c r="N43" i="7"/>
  <c r="N154" i="8"/>
  <c r="N71" i="8"/>
  <c r="N100" i="8"/>
  <c r="N54" i="8" s="1"/>
  <c r="N96" i="8"/>
  <c r="N53" i="8" s="1"/>
  <c r="N89" i="8"/>
  <c r="N47" i="8" s="1"/>
  <c r="N49" i="8" s="1"/>
  <c r="N32" i="8" s="1"/>
  <c r="N78" i="8"/>
  <c r="N27" i="8" s="1"/>
  <c r="N61" i="8"/>
  <c r="N198" i="9"/>
  <c r="N65" i="9" s="1"/>
  <c r="N66" i="9" s="1"/>
  <c r="N30" i="9" s="1"/>
  <c r="N65" i="10"/>
  <c r="N64" i="11"/>
  <c r="N59" i="11"/>
  <c r="N32" i="11" s="1"/>
  <c r="N106" i="12"/>
  <c r="N101" i="12"/>
  <c r="N96" i="12"/>
  <c r="N91" i="12"/>
  <c r="N86" i="12"/>
  <c r="N186" i="13"/>
  <c r="N81" i="13"/>
  <c r="N82" i="13" s="1"/>
  <c r="N32" i="13" s="1"/>
  <c r="N118" i="13"/>
  <c r="N28" i="13" s="1"/>
  <c r="N108" i="13"/>
  <c r="N45" i="13" s="1"/>
  <c r="N103" i="13"/>
  <c r="N44" i="13" s="1"/>
  <c r="N97" i="13"/>
  <c r="N43" i="13" s="1"/>
  <c r="N87" i="13"/>
  <c r="N30" i="13" s="1"/>
  <c r="N78" i="13"/>
  <c r="N66" i="14"/>
  <c r="N31" i="14" s="1"/>
  <c r="N40" i="14" s="1"/>
  <c r="N52" i="14"/>
  <c r="N42" i="14"/>
  <c r="N61" i="14" s="1"/>
  <c r="N76" i="15"/>
  <c r="N75" i="15"/>
  <c r="N74" i="15"/>
  <c r="N501" i="15"/>
  <c r="N205" i="15" s="1"/>
  <c r="N491" i="15"/>
  <c r="N199" i="15" s="1"/>
  <c r="N72" i="15" s="1"/>
  <c r="N485" i="15"/>
  <c r="N198" i="15" s="1"/>
  <c r="N479" i="15"/>
  <c r="N193" i="15" s="1"/>
  <c r="N71" i="15" s="1"/>
  <c r="N473" i="15"/>
  <c r="N188" i="15" s="1"/>
  <c r="N70" i="15" s="1"/>
  <c r="N183" i="15"/>
  <c r="N69" i="15" s="1"/>
  <c r="N460" i="15"/>
  <c r="N179" i="15" s="1"/>
  <c r="N175" i="15"/>
  <c r="N67" i="15" s="1"/>
  <c r="N448" i="15"/>
  <c r="N171" i="15" s="1"/>
  <c r="N66" i="15" s="1"/>
  <c r="N162" i="15"/>
  <c r="N64" i="15" s="1"/>
  <c r="N423" i="15"/>
  <c r="N161" i="15" s="1"/>
  <c r="N414" i="15"/>
  <c r="N157" i="15" s="1"/>
  <c r="N63" i="15" s="1"/>
  <c r="N408" i="15"/>
  <c r="N153" i="15" s="1"/>
  <c r="N402" i="15"/>
  <c r="N148" i="15" s="1"/>
  <c r="N62" i="15" s="1"/>
  <c r="N376" i="15"/>
  <c r="N147" i="15" s="1"/>
  <c r="N40" i="15" s="1"/>
  <c r="N368" i="15"/>
  <c r="N143" i="15" s="1"/>
  <c r="N61" i="15" s="1"/>
  <c r="N360" i="15"/>
  <c r="N139" i="15" s="1"/>
  <c r="N60" i="15" s="1"/>
  <c r="N342" i="15"/>
  <c r="N135" i="15" s="1"/>
  <c r="N59" i="15" s="1"/>
  <c r="N337" i="15"/>
  <c r="N131" i="15" s="1"/>
  <c r="N58" i="15" s="1"/>
  <c r="N125" i="15"/>
  <c r="N126" i="15"/>
  <c r="N313" i="15"/>
  <c r="N121" i="15" s="1"/>
  <c r="N56" i="15" s="1"/>
  <c r="N308" i="15"/>
  <c r="N117" i="15" s="1"/>
  <c r="N55" i="15" s="1"/>
  <c r="N112" i="15"/>
  <c r="N54" i="15" s="1"/>
  <c r="N292" i="15"/>
  <c r="N111" i="15" s="1"/>
  <c r="N285" i="15"/>
  <c r="N106" i="15" s="1"/>
  <c r="N53" i="15" s="1"/>
  <c r="N276" i="15"/>
  <c r="N105" i="15" s="1"/>
  <c r="N37" i="15" s="1"/>
  <c r="N270" i="15"/>
  <c r="N100" i="15" s="1"/>
  <c r="N52" i="15" s="1"/>
  <c r="N250" i="15"/>
  <c r="N244" i="15"/>
  <c r="N68" i="15"/>
  <c r="N75" i="67"/>
  <c r="N24" i="67" s="1"/>
  <c r="N37" i="67" s="1"/>
  <c r="N70" i="67"/>
  <c r="N56" i="67"/>
  <c r="N49" i="67"/>
  <c r="N752" i="18"/>
  <c r="N706" i="18"/>
  <c r="N707" i="18" s="1"/>
  <c r="N208" i="18" s="1"/>
  <c r="N209" i="18" s="1"/>
  <c r="N72" i="18" s="1"/>
  <c r="N289" i="18"/>
  <c r="N642" i="18"/>
  <c r="N375" i="18"/>
  <c r="N119" i="18" s="1"/>
  <c r="N120" i="18" s="1"/>
  <c r="N45" i="18" s="1"/>
  <c r="N271" i="18"/>
  <c r="N272" i="18" s="1"/>
  <c r="N58" i="18" s="1"/>
  <c r="N265" i="18"/>
  <c r="N264" i="18"/>
  <c r="N263" i="18"/>
  <c r="N262" i="18"/>
  <c r="N259" i="18"/>
  <c r="N258" i="18"/>
  <c r="N257" i="18"/>
  <c r="N254" i="18"/>
  <c r="N253" i="18"/>
  <c r="N252" i="18"/>
  <c r="N251" i="18"/>
  <c r="N250" i="18"/>
  <c r="N249" i="18"/>
  <c r="N248" i="18"/>
  <c r="N247" i="18"/>
  <c r="N246" i="18"/>
  <c r="N245" i="18"/>
  <c r="N244" i="18"/>
  <c r="N243" i="18"/>
  <c r="N242" i="18"/>
  <c r="N241" i="18"/>
  <c r="N240" i="18"/>
  <c r="N136" i="20"/>
  <c r="N73" i="20" s="1"/>
  <c r="N111" i="20"/>
  <c r="N78" i="20"/>
  <c r="N79" i="20" s="1"/>
  <c r="N37" i="20" s="1"/>
  <c r="N40" i="20" s="1"/>
  <c r="N284" i="21"/>
  <c r="N285" i="21" s="1"/>
  <c r="N121" i="21" s="1"/>
  <c r="N186" i="21"/>
  <c r="N81" i="21" s="1"/>
  <c r="N254" i="23"/>
  <c r="N242" i="24"/>
  <c r="N93" i="24" s="1"/>
  <c r="N41" i="24"/>
  <c r="N101" i="25"/>
  <c r="N46" i="25" s="1"/>
  <c r="N199" i="26"/>
  <c r="N107" i="26" s="1"/>
  <c r="N108" i="26" s="1"/>
  <c r="N43" i="26" s="1"/>
  <c r="N195" i="26"/>
  <c r="N102" i="26" s="1"/>
  <c r="N103" i="26" s="1"/>
  <c r="N42" i="26" s="1"/>
  <c r="N83" i="26"/>
  <c r="N84" i="26" s="1"/>
  <c r="N31" i="26" s="1"/>
  <c r="N138" i="26"/>
  <c r="N88" i="26"/>
  <c r="N89" i="26" s="1"/>
  <c r="N32" i="26" s="1"/>
  <c r="N1258" i="27"/>
  <c r="N344" i="27" s="1"/>
  <c r="N981" i="27"/>
  <c r="N328" i="27" s="1"/>
  <c r="N52" i="27" s="1"/>
  <c r="N875" i="27"/>
  <c r="P767" i="27"/>
  <c r="P722" i="27"/>
  <c r="N647" i="27"/>
  <c r="N208" i="27" s="1"/>
  <c r="N209" i="27" s="1"/>
  <c r="N73" i="27" s="1"/>
  <c r="P609" i="27"/>
  <c r="P610" i="27" s="1"/>
  <c r="P604" i="27"/>
  <c r="P576" i="27"/>
  <c r="P538" i="27"/>
  <c r="N431" i="27"/>
  <c r="N97" i="27" s="1"/>
  <c r="N237" i="27"/>
  <c r="N80" i="27" s="1"/>
  <c r="N232" i="27"/>
  <c r="N79" i="27" s="1"/>
  <c r="N204" i="27"/>
  <c r="N72" i="27" s="1"/>
  <c r="N250" i="28"/>
  <c r="N135" i="28" s="1"/>
  <c r="N136" i="28" s="1"/>
  <c r="N54" i="28" s="1"/>
  <c r="N175" i="28"/>
  <c r="N119" i="28" s="1"/>
  <c r="N40" i="29"/>
  <c r="N43" i="30"/>
  <c r="N115" i="31"/>
  <c r="N111" i="31"/>
  <c r="N67" i="31" s="1"/>
  <c r="N90" i="31"/>
  <c r="N58" i="31" s="1"/>
  <c r="N72" i="31"/>
  <c r="N528" i="32"/>
  <c r="N220" i="32" s="1"/>
  <c r="N484" i="32"/>
  <c r="N477" i="32"/>
  <c r="N154" i="32" s="1"/>
  <c r="N155" i="32" s="1"/>
  <c r="N40" i="32" s="1"/>
  <c r="N402" i="32"/>
  <c r="N149" i="32" s="1"/>
  <c r="N150" i="32" s="1"/>
  <c r="N37" i="32" s="1"/>
  <c r="N336" i="32"/>
  <c r="N120" i="32" s="1"/>
  <c r="N250" i="32"/>
  <c r="N53" i="32" s="1"/>
  <c r="N204" i="32"/>
  <c r="N203" i="32"/>
  <c r="N202" i="32"/>
  <c r="N201" i="32"/>
  <c r="N200" i="32"/>
  <c r="N197" i="32"/>
  <c r="N196" i="32"/>
  <c r="N195" i="32"/>
  <c r="N192" i="32"/>
  <c r="N191" i="32"/>
  <c r="N190" i="32"/>
  <c r="N189" i="32"/>
  <c r="N188" i="32"/>
  <c r="N187" i="32"/>
  <c r="N186" i="32"/>
  <c r="N185" i="32"/>
  <c r="N184" i="32"/>
  <c r="N183" i="32"/>
  <c r="N182" i="32"/>
  <c r="N181" i="32"/>
  <c r="N180" i="32"/>
  <c r="N179" i="32"/>
  <c r="N178" i="32"/>
  <c r="N639" i="33"/>
  <c r="N389" i="33" s="1"/>
  <c r="N390" i="33" s="1"/>
  <c r="N83" i="33" s="1"/>
  <c r="N634" i="33"/>
  <c r="N384" i="33" s="1"/>
  <c r="N385" i="33" s="1"/>
  <c r="N82" i="33" s="1"/>
  <c r="N629" i="33"/>
  <c r="N379" i="33" s="1"/>
  <c r="N380" i="33" s="1"/>
  <c r="N81" i="33" s="1"/>
  <c r="N624" i="33"/>
  <c r="N374" i="33" s="1"/>
  <c r="N375" i="33" s="1"/>
  <c r="N80" i="33" s="1"/>
  <c r="N369" i="33"/>
  <c r="N370" i="33" s="1"/>
  <c r="N79" i="33" s="1"/>
  <c r="N525" i="33"/>
  <c r="N279" i="33" s="1"/>
  <c r="N280" i="33" s="1"/>
  <c r="N57" i="33" s="1"/>
  <c r="N520" i="33"/>
  <c r="N274" i="33" s="1"/>
  <c r="N275" i="33" s="1"/>
  <c r="N56" i="33" s="1"/>
  <c r="N515" i="33"/>
  <c r="N269" i="33" s="1"/>
  <c r="N270" i="33" s="1"/>
  <c r="N55" i="33" s="1"/>
  <c r="N510" i="33"/>
  <c r="N264" i="33" s="1"/>
  <c r="N265" i="33" s="1"/>
  <c r="N54" i="33" s="1"/>
  <c r="H104" i="70"/>
  <c r="N96" i="39"/>
  <c r="N97" i="39" s="1"/>
  <c r="N48" i="39" s="1"/>
  <c r="N51" i="39" s="1"/>
  <c r="H105" i="70" s="1"/>
  <c r="N40" i="57"/>
  <c r="N47" i="58"/>
  <c r="N311" i="59"/>
  <c r="N192" i="59" s="1"/>
  <c r="N193" i="59" s="1"/>
  <c r="N66" i="59" s="1"/>
  <c r="N306" i="59"/>
  <c r="N187" i="59" s="1"/>
  <c r="N188" i="59" s="1"/>
  <c r="N65" i="59" s="1"/>
  <c r="N301" i="59"/>
  <c r="N182" i="59" s="1"/>
  <c r="N183" i="59" s="1"/>
  <c r="N64" i="59" s="1"/>
  <c r="N296" i="59"/>
  <c r="N291" i="59"/>
  <c r="N172" i="59" s="1"/>
  <c r="N173" i="59" s="1"/>
  <c r="N62" i="59" s="1"/>
  <c r="N286" i="59"/>
  <c r="N167" i="59" s="1"/>
  <c r="N168" i="59" s="1"/>
  <c r="N61" i="59" s="1"/>
  <c r="N281" i="59"/>
  <c r="N162" i="59" s="1"/>
  <c r="N163" i="59" s="1"/>
  <c r="N60" i="59" s="1"/>
  <c r="N276" i="59"/>
  <c r="N157" i="59" s="1"/>
  <c r="N158" i="59" s="1"/>
  <c r="N59" i="59" s="1"/>
  <c r="N258" i="59"/>
  <c r="N152" i="59" s="1"/>
  <c r="N153" i="59" s="1"/>
  <c r="N54" i="59" s="1"/>
  <c r="N253" i="59"/>
  <c r="N147" i="59" s="1"/>
  <c r="N148" i="59" s="1"/>
  <c r="N53" i="59" s="1"/>
  <c r="N248" i="59"/>
  <c r="N142" i="59" s="1"/>
  <c r="N143" i="59" s="1"/>
  <c r="N52" i="59" s="1"/>
  <c r="N243" i="59"/>
  <c r="N137" i="59" s="1"/>
  <c r="N138" i="59" s="1"/>
  <c r="N51" i="59" s="1"/>
  <c r="N238" i="59"/>
  <c r="N132" i="59" s="1"/>
  <c r="N133" i="59" s="1"/>
  <c r="N50" i="59" s="1"/>
  <c r="N233" i="59"/>
  <c r="N127" i="59" s="1"/>
  <c r="N128" i="59" s="1"/>
  <c r="N49" i="59" s="1"/>
  <c r="N228" i="59"/>
  <c r="N122" i="59" s="1"/>
  <c r="N123" i="59" s="1"/>
  <c r="N48" i="59" s="1"/>
  <c r="N223" i="59"/>
  <c r="N117" i="59" s="1"/>
  <c r="N177" i="59"/>
  <c r="N178" i="59" s="1"/>
  <c r="N63" i="59" s="1"/>
  <c r="N118" i="59"/>
  <c r="N47" i="59" s="1"/>
  <c r="N112" i="59"/>
  <c r="N319" i="60"/>
  <c r="N217" i="60" s="1"/>
  <c r="N406" i="60" s="1"/>
  <c r="N179" i="13" s="1"/>
  <c r="N189" i="13" s="1"/>
  <c r="N240" i="60"/>
  <c r="N187" i="60"/>
  <c r="N188" i="60" s="1"/>
  <c r="N286" i="60" s="1"/>
  <c r="N170" i="60"/>
  <c r="N421" i="60" s="1"/>
  <c r="N143" i="61"/>
  <c r="N343" i="61"/>
  <c r="N138" i="61" s="1"/>
  <c r="N139" i="61" s="1"/>
  <c r="N35" i="61" s="1"/>
  <c r="N153" i="61"/>
  <c r="N152" i="61"/>
  <c r="N438" i="61" s="1"/>
  <c r="N73" i="61"/>
  <c r="N463" i="62"/>
  <c r="N230" i="62" s="1"/>
  <c r="N231" i="62" s="1"/>
  <c r="N74" i="62" s="1"/>
  <c r="N453" i="62"/>
  <c r="N457" i="62" s="1"/>
  <c r="N225" i="62" s="1"/>
  <c r="N226" i="62" s="1"/>
  <c r="N73" i="62" s="1"/>
  <c r="N345" i="62"/>
  <c r="N150" i="62" s="1"/>
  <c r="N151" i="62" s="1"/>
  <c r="N339" i="62"/>
  <c r="N145" i="62" s="1"/>
  <c r="N146" i="62" s="1"/>
  <c r="N43" i="62" s="1"/>
  <c r="N299" i="62"/>
  <c r="N118" i="62" s="1"/>
  <c r="N119" i="62" s="1"/>
  <c r="N39" i="62" s="1"/>
  <c r="N210" i="62"/>
  <c r="N70" i="62" s="1"/>
  <c r="N112" i="63"/>
  <c r="N106" i="63"/>
  <c r="N64" i="63" s="1"/>
  <c r="N65" i="63" s="1"/>
  <c r="N35" i="63" s="1"/>
  <c r="N42" i="63" s="1"/>
  <c r="N283" i="64"/>
  <c r="N241" i="64"/>
  <c r="N126" i="64" s="1"/>
  <c r="N503" i="2"/>
  <c r="N489" i="2"/>
  <c r="N197" i="2" s="1"/>
  <c r="N198" i="2" s="1"/>
  <c r="N53" i="2" s="1"/>
  <c r="N344" i="2"/>
  <c r="N345" i="2" s="1"/>
  <c r="N166" i="2" s="1"/>
  <c r="N167" i="2" s="1"/>
  <c r="N65" i="2" s="1"/>
  <c r="N341" i="2"/>
  <c r="N333" i="2"/>
  <c r="N336" i="2" s="1"/>
  <c r="N337" i="2" s="1"/>
  <c r="N161" i="2" s="1"/>
  <c r="N162" i="2" s="1"/>
  <c r="N64" i="2" s="1"/>
  <c r="N221" i="2"/>
  <c r="N305" i="2" s="1"/>
  <c r="N320" i="2" s="1"/>
  <c r="N368" i="2" s="1"/>
  <c r="N192" i="2"/>
  <c r="N193" i="2" s="1"/>
  <c r="N52" i="2" s="1"/>
  <c r="N151" i="2"/>
  <c r="N45" i="2" s="1"/>
  <c r="N132" i="2"/>
  <c r="N133" i="2" s="1"/>
  <c r="N43" i="2" s="1"/>
  <c r="N123" i="2"/>
  <c r="N40" i="2" s="1"/>
  <c r="N77" i="2"/>
  <c r="N62" i="2"/>
  <c r="N33" i="8" l="1"/>
  <c r="N72" i="8"/>
  <c r="N34" i="8" s="1"/>
  <c r="N36" i="8" s="1"/>
  <c r="H74" i="70" s="1"/>
  <c r="N163" i="15"/>
  <c r="N39" i="15"/>
  <c r="N127" i="15"/>
  <c r="N57" i="15" s="1"/>
  <c r="AA73" i="70"/>
  <c r="Q73" i="70"/>
  <c r="AA105" i="70"/>
  <c r="Q105" i="70"/>
  <c r="AA104" i="70"/>
  <c r="Q104" i="70"/>
  <c r="N58" i="61"/>
  <c r="N41" i="61"/>
  <c r="N95" i="15"/>
  <c r="N51" i="15" s="1"/>
  <c r="N78" i="15" s="1"/>
  <c r="N82" i="15"/>
  <c r="N59" i="26"/>
  <c r="H93" i="70" s="1"/>
  <c r="N51" i="67"/>
  <c r="N60" i="67" s="1"/>
  <c r="N1349" i="27"/>
  <c r="N425" i="27" s="1"/>
  <c r="N188" i="65"/>
  <c r="N48" i="65" s="1"/>
  <c r="N251" i="65"/>
  <c r="N212" i="65"/>
  <c r="N315" i="65"/>
  <c r="N176" i="65"/>
  <c r="N46" i="65" s="1"/>
  <c r="N107" i="65"/>
  <c r="N40" i="65" s="1"/>
  <c r="N86" i="65"/>
  <c r="N91" i="65" s="1"/>
  <c r="N37" i="65" s="1"/>
  <c r="N125" i="65"/>
  <c r="N96" i="65"/>
  <c r="N97" i="65" s="1"/>
  <c r="N39" i="65" s="1"/>
  <c r="N44" i="62"/>
  <c r="N486" i="32"/>
  <c r="N254" i="32" s="1"/>
  <c r="N255" i="32" s="1"/>
  <c r="N54" i="32" s="1"/>
  <c r="N73" i="15"/>
  <c r="N206" i="15"/>
  <c r="N144" i="61"/>
  <c r="N145" i="61" s="1"/>
  <c r="N36" i="61" s="1"/>
  <c r="N70" i="59"/>
  <c r="H119" i="70" s="1"/>
  <c r="N56" i="8"/>
  <c r="N25" i="8" s="1"/>
  <c r="N157" i="8"/>
  <c r="N54" i="14"/>
  <c r="N68" i="2"/>
  <c r="H68" i="70" s="1"/>
  <c r="N200" i="15"/>
  <c r="N107" i="15"/>
  <c r="N43" i="15"/>
  <c r="N128" i="65"/>
  <c r="N74" i="65"/>
  <c r="N35" i="65" s="1"/>
  <c r="N112" i="65"/>
  <c r="N117" i="65" s="1"/>
  <c r="N41" i="65" s="1"/>
  <c r="N181" i="65"/>
  <c r="N183" i="65" s="1"/>
  <c r="N47" i="65" s="1"/>
  <c r="N80" i="65"/>
  <c r="N81" i="65" s="1"/>
  <c r="N36" i="65" s="1"/>
  <c r="N66" i="65"/>
  <c r="N70" i="65" s="1"/>
  <c r="N33" i="65" s="1"/>
  <c r="N205" i="32"/>
  <c r="N42" i="32" s="1"/>
  <c r="N267" i="18"/>
  <c r="N60" i="18" s="1"/>
  <c r="N250" i="2"/>
  <c r="N394" i="2"/>
  <c r="N405" i="2"/>
  <c r="N127" i="2"/>
  <c r="N128" i="2" s="1"/>
  <c r="N42" i="2" s="1"/>
  <c r="N138" i="63"/>
  <c r="N53" i="33"/>
  <c r="N259" i="33"/>
  <c r="N260" i="33" s="1"/>
  <c r="N60" i="60"/>
  <c r="N390" i="27"/>
  <c r="N60" i="27" s="1"/>
  <c r="N66" i="10"/>
  <c r="N32" i="10" s="1"/>
  <c r="N167" i="15"/>
  <c r="N65" i="15"/>
  <c r="N156" i="10"/>
  <c r="N70" i="10"/>
  <c r="N71" i="10" s="1"/>
  <c r="N33" i="10" s="1"/>
  <c r="N42" i="15"/>
  <c r="N38" i="15"/>
  <c r="N113" i="15"/>
  <c r="N41" i="15"/>
  <c r="N158" i="8"/>
  <c r="N65" i="8"/>
  <c r="N159" i="8"/>
  <c r="N66" i="8"/>
  <c r="N149" i="15"/>
  <c r="N99" i="15"/>
  <c r="T128" i="70"/>
  <c r="U128" i="70"/>
  <c r="V128" i="70"/>
  <c r="S128" i="70"/>
  <c r="AA93" i="70" l="1"/>
  <c r="Q93" i="70"/>
  <c r="AA74" i="70"/>
  <c r="Q74" i="70"/>
  <c r="Q68" i="70"/>
  <c r="AA68" i="70"/>
  <c r="Q119" i="70"/>
  <c r="AA119" i="70"/>
  <c r="N80" i="12"/>
  <c r="N81" i="12" s="1"/>
  <c r="N37" i="12" s="1"/>
  <c r="N54" i="12" s="1"/>
  <c r="H78" i="70" s="1"/>
  <c r="N25" i="15"/>
  <c r="N27" i="15" s="1"/>
  <c r="H81" i="70" s="1"/>
  <c r="N161" i="8"/>
  <c r="N53" i="65"/>
  <c r="H125" i="70" s="1"/>
  <c r="N135" i="65"/>
  <c r="N42" i="65" s="1"/>
  <c r="N67" i="8"/>
  <c r="N26" i="8" s="1"/>
  <c r="N29" i="8" s="1"/>
  <c r="H9" i="70" s="1"/>
  <c r="N354" i="65"/>
  <c r="N101" i="15"/>
  <c r="N81" i="15" s="1"/>
  <c r="N36" i="15"/>
  <c r="N45" i="15" s="1"/>
  <c r="Q125" i="70" l="1"/>
  <c r="AA125" i="70"/>
  <c r="Q81" i="70"/>
  <c r="AA81" i="70"/>
  <c r="AA9" i="70"/>
  <c r="Q9" i="70"/>
  <c r="Q78" i="70"/>
  <c r="AA78" i="70"/>
  <c r="N38" i="8"/>
  <c r="N19" i="15"/>
  <c r="N22" i="15" s="1"/>
  <c r="H16" i="70" s="1"/>
  <c r="N80" i="15"/>
  <c r="Q16" i="70" l="1"/>
  <c r="AA16" i="70"/>
  <c r="N30" i="15"/>
  <c r="F13" i="68"/>
  <c r="F12" i="68"/>
  <c r="F11" i="68"/>
  <c r="T45" i="61" l="1"/>
  <c r="H272" i="9" l="1"/>
  <c r="H271" i="9"/>
  <c r="S3" i="65" l="1"/>
  <c r="T3" i="65"/>
  <c r="U3" i="65"/>
  <c r="V3" i="65"/>
  <c r="W3" i="65"/>
  <c r="S4" i="65"/>
  <c r="T4" i="65"/>
  <c r="U4" i="65"/>
  <c r="V4" i="65"/>
  <c r="W4" i="65"/>
  <c r="T2" i="65"/>
  <c r="U2" i="65"/>
  <c r="V2" i="65"/>
  <c r="W2" i="65"/>
  <c r="S2" i="65"/>
  <c r="R4" i="64"/>
  <c r="Q4" i="64"/>
  <c r="L294" i="64"/>
  <c r="R3" i="64"/>
  <c r="Q3" i="64"/>
  <c r="R2" i="64"/>
  <c r="Q2" i="64"/>
  <c r="R4" i="63"/>
  <c r="Q4" i="63"/>
  <c r="R3" i="63"/>
  <c r="Q3" i="63"/>
  <c r="R2" i="63"/>
  <c r="Q2" i="63"/>
  <c r="R4" i="62"/>
  <c r="Q4" i="62"/>
  <c r="R3" i="62"/>
  <c r="Q3" i="62"/>
  <c r="R2" i="62"/>
  <c r="Q2" i="62"/>
  <c r="R4" i="61"/>
  <c r="Q4" i="61"/>
  <c r="R3" i="61"/>
  <c r="Q3" i="61"/>
  <c r="R2" i="61"/>
  <c r="Q2" i="61"/>
  <c r="L282" i="65" l="1"/>
  <c r="L217" i="65"/>
  <c r="M217" i="65" s="1"/>
  <c r="N217" i="65" s="1"/>
  <c r="O217" i="65" s="1"/>
  <c r="L219" i="65"/>
  <c r="M219" i="65" s="1"/>
  <c r="N219" i="65" s="1"/>
  <c r="O219" i="65" s="1"/>
  <c r="L218" i="65"/>
  <c r="M218" i="65" s="1"/>
  <c r="N218" i="65" s="1"/>
  <c r="O218" i="65" s="1"/>
  <c r="L220" i="65"/>
  <c r="M220" i="65" s="1"/>
  <c r="N220" i="65" s="1"/>
  <c r="O220" i="65" s="1"/>
  <c r="L221" i="65"/>
  <c r="M221" i="65" s="1"/>
  <c r="N221" i="65" s="1"/>
  <c r="O221" i="65" s="1"/>
  <c r="L216" i="65"/>
  <c r="M216" i="65" s="1"/>
  <c r="K318" i="61"/>
  <c r="L318" i="61" s="1"/>
  <c r="M318" i="61" s="1"/>
  <c r="N318" i="61" s="1"/>
  <c r="O318" i="61" s="1"/>
  <c r="L362" i="61"/>
  <c r="M362" i="61" s="1"/>
  <c r="N362" i="61" s="1"/>
  <c r="O362" i="61" s="1"/>
  <c r="L359" i="61"/>
  <c r="M359" i="61" s="1"/>
  <c r="N359" i="61" s="1"/>
  <c r="O359" i="61" s="1"/>
  <c r="K311" i="61"/>
  <c r="L311" i="61" s="1"/>
  <c r="M311" i="61" s="1"/>
  <c r="N311" i="61" s="1"/>
  <c r="O311" i="61" s="1"/>
  <c r="L360" i="61"/>
  <c r="M360" i="61" s="1"/>
  <c r="N360" i="61" s="1"/>
  <c r="O360" i="61" s="1"/>
  <c r="L361" i="61"/>
  <c r="M361" i="61" s="1"/>
  <c r="N361" i="61" s="1"/>
  <c r="O361" i="61" s="1"/>
  <c r="L358" i="61"/>
  <c r="M358" i="61" s="1"/>
  <c r="N358" i="61" s="1"/>
  <c r="O358" i="61" s="1"/>
  <c r="K312" i="61"/>
  <c r="L312" i="61" s="1"/>
  <c r="M312" i="61" s="1"/>
  <c r="N312" i="61" s="1"/>
  <c r="O312" i="61" s="1"/>
  <c r="K241" i="61"/>
  <c r="L241" i="61" s="1"/>
  <c r="M241" i="61" s="1"/>
  <c r="N241" i="61" s="1"/>
  <c r="O241" i="61" s="1"/>
  <c r="L220" i="61"/>
  <c r="M220" i="61" s="1"/>
  <c r="N220" i="61" s="1"/>
  <c r="O220" i="61" s="1"/>
  <c r="K123" i="61"/>
  <c r="L123" i="61" s="1"/>
  <c r="M123" i="61" s="1"/>
  <c r="N123" i="61" s="1"/>
  <c r="O123" i="61" s="1"/>
  <c r="K242" i="61"/>
  <c r="L242" i="61" s="1"/>
  <c r="M242" i="61" s="1"/>
  <c r="N242" i="61" s="1"/>
  <c r="O242" i="61" s="1"/>
  <c r="L221" i="61"/>
  <c r="M221" i="61" s="1"/>
  <c r="N221" i="61" s="1"/>
  <c r="O221" i="61" s="1"/>
  <c r="K395" i="61"/>
  <c r="L395" i="61" s="1"/>
  <c r="M395" i="61" s="1"/>
  <c r="N395" i="61" s="1"/>
  <c r="O395" i="61" s="1"/>
  <c r="K305" i="61"/>
  <c r="L305" i="61" s="1"/>
  <c r="M305" i="61" s="1"/>
  <c r="N305" i="61" s="1"/>
  <c r="O305" i="61" s="1"/>
  <c r="K246" i="61"/>
  <c r="L246" i="61" s="1"/>
  <c r="M246" i="61" s="1"/>
  <c r="N246" i="61" s="1"/>
  <c r="O246" i="61" s="1"/>
  <c r="K289" i="61"/>
  <c r="L289" i="61" s="1"/>
  <c r="M289" i="61" s="1"/>
  <c r="N289" i="61" s="1"/>
  <c r="O289" i="61" s="1"/>
  <c r="O290" i="61" s="1"/>
  <c r="O112" i="61" s="1"/>
  <c r="O113" i="61" s="1"/>
  <c r="O114" i="61" s="1"/>
  <c r="O32" i="61" s="1"/>
  <c r="K118" i="61"/>
  <c r="L118" i="61" s="1"/>
  <c r="M118" i="61" s="1"/>
  <c r="N118" i="61" s="1"/>
  <c r="O118" i="61" s="1"/>
  <c r="K247" i="61"/>
  <c r="L247" i="61" s="1"/>
  <c r="M247" i="61" s="1"/>
  <c r="N247" i="61" s="1"/>
  <c r="O247" i="61" s="1"/>
  <c r="K319" i="61"/>
  <c r="L319" i="61" s="1"/>
  <c r="M319" i="61" s="1"/>
  <c r="N319" i="61" s="1"/>
  <c r="O319" i="61" s="1"/>
  <c r="K236" i="61"/>
  <c r="L236" i="61" s="1"/>
  <c r="M236" i="61" s="1"/>
  <c r="N236" i="61" s="1"/>
  <c r="O236" i="61" s="1"/>
  <c r="L218" i="61"/>
  <c r="K119" i="61"/>
  <c r="L119" i="61" s="1"/>
  <c r="M119" i="61" s="1"/>
  <c r="N119" i="61" s="1"/>
  <c r="O119" i="61" s="1"/>
  <c r="K243" i="61"/>
  <c r="L243" i="61" s="1"/>
  <c r="M243" i="61" s="1"/>
  <c r="N243" i="61" s="1"/>
  <c r="O243" i="61" s="1"/>
  <c r="L222" i="61"/>
  <c r="M222" i="61" s="1"/>
  <c r="N222" i="61" s="1"/>
  <c r="O222" i="61" s="1"/>
  <c r="K120" i="61"/>
  <c r="L120" i="61" s="1"/>
  <c r="M120" i="61" s="1"/>
  <c r="N120" i="61" s="1"/>
  <c r="O120" i="61" s="1"/>
  <c r="K396" i="61"/>
  <c r="L396" i="61" s="1"/>
  <c r="M396" i="61" s="1"/>
  <c r="N396" i="61" s="1"/>
  <c r="O396" i="61" s="1"/>
  <c r="K244" i="61"/>
  <c r="L244" i="61" s="1"/>
  <c r="M244" i="61" s="1"/>
  <c r="N244" i="61" s="1"/>
  <c r="O244" i="61" s="1"/>
  <c r="L223" i="61"/>
  <c r="M223" i="61" s="1"/>
  <c r="N223" i="61" s="1"/>
  <c r="O223" i="61" s="1"/>
  <c r="K121" i="61"/>
  <c r="L121" i="61" s="1"/>
  <c r="M121" i="61" s="1"/>
  <c r="N121" i="61" s="1"/>
  <c r="O121" i="61" s="1"/>
  <c r="K397" i="61"/>
  <c r="L397" i="61" s="1"/>
  <c r="M397" i="61" s="1"/>
  <c r="N397" i="61" s="1"/>
  <c r="O397" i="61" s="1"/>
  <c r="K245" i="61"/>
  <c r="L245" i="61" s="1"/>
  <c r="M245" i="61" s="1"/>
  <c r="N245" i="61" s="1"/>
  <c r="O245" i="61" s="1"/>
  <c r="L224" i="61"/>
  <c r="M224" i="61" s="1"/>
  <c r="N224" i="61" s="1"/>
  <c r="O224" i="61" s="1"/>
  <c r="K122" i="61"/>
  <c r="L122" i="61" s="1"/>
  <c r="M122" i="61" s="1"/>
  <c r="N122" i="61" s="1"/>
  <c r="O122" i="61" s="1"/>
  <c r="K248" i="61"/>
  <c r="L248" i="61" s="1"/>
  <c r="M248" i="61" s="1"/>
  <c r="N248" i="61" s="1"/>
  <c r="O248" i="61" s="1"/>
  <c r="K240" i="61"/>
  <c r="L240" i="61" s="1"/>
  <c r="M240" i="61" s="1"/>
  <c r="N240" i="61" s="1"/>
  <c r="O240" i="61" s="1"/>
  <c r="K249" i="61"/>
  <c r="L249" i="61" s="1"/>
  <c r="M249" i="61" s="1"/>
  <c r="N249" i="61" s="1"/>
  <c r="O249" i="61" s="1"/>
  <c r="K235" i="61"/>
  <c r="L235" i="61" s="1"/>
  <c r="M235" i="61" s="1"/>
  <c r="N235" i="61" s="1"/>
  <c r="O235" i="61" s="1"/>
  <c r="K192" i="61"/>
  <c r="L192" i="61" s="1"/>
  <c r="M192" i="61" s="1"/>
  <c r="N192" i="61" s="1"/>
  <c r="O192" i="61" s="1"/>
  <c r="O90" i="61" s="1"/>
  <c r="K317" i="61"/>
  <c r="L317" i="61" s="1"/>
  <c r="M317" i="61" s="1"/>
  <c r="N317" i="61" s="1"/>
  <c r="O317" i="61" s="1"/>
  <c r="K133" i="61"/>
  <c r="L133" i="61" s="1"/>
  <c r="M133" i="61" s="1"/>
  <c r="N133" i="61" s="1"/>
  <c r="O133" i="61" s="1"/>
  <c r="O134" i="61" s="1"/>
  <c r="O34" i="61" s="1"/>
  <c r="K316" i="61"/>
  <c r="L316" i="61" s="1"/>
  <c r="M316" i="61" s="1"/>
  <c r="N316" i="61" s="1"/>
  <c r="O316" i="61" s="1"/>
  <c r="K313" i="61"/>
  <c r="L313" i="61" s="1"/>
  <c r="M313" i="61" s="1"/>
  <c r="N313" i="61" s="1"/>
  <c r="O313" i="61" s="1"/>
  <c r="K237" i="61"/>
  <c r="L237" i="61" s="1"/>
  <c r="M237" i="61" s="1"/>
  <c r="N237" i="61" s="1"/>
  <c r="O237" i="61" s="1"/>
  <c r="K238" i="61"/>
  <c r="L238" i="61" s="1"/>
  <c r="M238" i="61" s="1"/>
  <c r="N238" i="61" s="1"/>
  <c r="O238" i="61" s="1"/>
  <c r="K239" i="61"/>
  <c r="L239" i="61" s="1"/>
  <c r="M239" i="61" s="1"/>
  <c r="N239" i="61" s="1"/>
  <c r="O239" i="61" s="1"/>
  <c r="L219" i="61"/>
  <c r="M219" i="61" s="1"/>
  <c r="N219" i="61" s="1"/>
  <c r="O219" i="61" s="1"/>
  <c r="H301" i="61"/>
  <c r="R4" i="60"/>
  <c r="Q4" i="60"/>
  <c r="R3" i="60"/>
  <c r="Q3" i="60"/>
  <c r="K323" i="60"/>
  <c r="L323" i="60" s="1"/>
  <c r="M323" i="60" s="1"/>
  <c r="N323" i="60" s="1"/>
  <c r="R2" i="60"/>
  <c r="Q2" i="60"/>
  <c r="R4" i="59"/>
  <c r="Q4" i="59"/>
  <c r="R3" i="59"/>
  <c r="Q3" i="59"/>
  <c r="R2" i="59"/>
  <c r="Q2" i="59"/>
  <c r="R4" i="58"/>
  <c r="Q4" i="58"/>
  <c r="R3" i="58"/>
  <c r="Q3" i="58"/>
  <c r="R2" i="58"/>
  <c r="Q2" i="58"/>
  <c r="R4" i="57"/>
  <c r="Q4" i="57"/>
  <c r="R3" i="57"/>
  <c r="Q3" i="57"/>
  <c r="R2" i="57"/>
  <c r="Q2" i="57"/>
  <c r="R4" i="39"/>
  <c r="Q4" i="39"/>
  <c r="R3" i="39"/>
  <c r="Q3" i="39"/>
  <c r="R2" i="39"/>
  <c r="Q2" i="39"/>
  <c r="R4" i="37"/>
  <c r="Q4" i="37"/>
  <c r="R3" i="37"/>
  <c r="Q3" i="37"/>
  <c r="R2" i="37"/>
  <c r="Q2" i="37"/>
  <c r="R4" i="33"/>
  <c r="Q4" i="33"/>
  <c r="R3" i="33"/>
  <c r="Q3" i="33"/>
  <c r="R2" i="33"/>
  <c r="Q2" i="33"/>
  <c r="R4" i="32"/>
  <c r="Q4" i="32"/>
  <c r="R3" i="32"/>
  <c r="Q3" i="32"/>
  <c r="R2" i="32"/>
  <c r="Q2" i="32"/>
  <c r="R4" i="31"/>
  <c r="Q4" i="31"/>
  <c r="R3" i="31"/>
  <c r="Q3" i="31"/>
  <c r="R2" i="31"/>
  <c r="Q2" i="31"/>
  <c r="R4" i="30"/>
  <c r="Q4" i="30"/>
  <c r="R3" i="30"/>
  <c r="Q3" i="30"/>
  <c r="R2" i="30"/>
  <c r="Q2" i="30"/>
  <c r="R4" i="29"/>
  <c r="Q4" i="29"/>
  <c r="R3" i="29"/>
  <c r="Q3" i="29"/>
  <c r="R2" i="29"/>
  <c r="Q2" i="29"/>
  <c r="R4" i="28"/>
  <c r="Q4" i="28"/>
  <c r="R3" i="28"/>
  <c r="Q3" i="28"/>
  <c r="R2" i="28"/>
  <c r="Q2" i="28"/>
  <c r="S4" i="27"/>
  <c r="R4" i="27"/>
  <c r="S3" i="27"/>
  <c r="R3" i="27"/>
  <c r="S2" i="27"/>
  <c r="Q765" i="27" s="1"/>
  <c r="R2" i="27"/>
  <c r="R4" i="26"/>
  <c r="Q4" i="26"/>
  <c r="R3" i="26"/>
  <c r="Q3" i="26"/>
  <c r="R2" i="26"/>
  <c r="Q2" i="26"/>
  <c r="R4" i="25"/>
  <c r="Q4" i="25"/>
  <c r="R3" i="25"/>
  <c r="Q3" i="25"/>
  <c r="R2" i="25"/>
  <c r="Q2" i="25"/>
  <c r="R4" i="24"/>
  <c r="Q4" i="24"/>
  <c r="R3" i="24"/>
  <c r="Q3" i="24"/>
  <c r="R2" i="24"/>
  <c r="Q2" i="24"/>
  <c r="R4" i="23"/>
  <c r="Q3" i="23"/>
  <c r="Q4" i="23"/>
  <c r="R3" i="23"/>
  <c r="R2" i="23"/>
  <c r="Q2" i="23"/>
  <c r="R3" i="22"/>
  <c r="Q3" i="22"/>
  <c r="R2" i="22"/>
  <c r="Q2" i="22"/>
  <c r="R3" i="21"/>
  <c r="Q3" i="21"/>
  <c r="L225" i="21"/>
  <c r="M225" i="21" s="1"/>
  <c r="N225" i="21" s="1"/>
  <c r="O225" i="21" s="1"/>
  <c r="R2" i="21"/>
  <c r="Q2" i="21"/>
  <c r="R3" i="20"/>
  <c r="Q3" i="20"/>
  <c r="R2" i="20"/>
  <c r="Q2" i="20"/>
  <c r="R3" i="19"/>
  <c r="Q3" i="19"/>
  <c r="R2" i="19"/>
  <c r="Q2" i="19"/>
  <c r="R3" i="17"/>
  <c r="Q3" i="17"/>
  <c r="R2" i="17"/>
  <c r="Q2" i="17"/>
  <c r="R4" i="16"/>
  <c r="Q4" i="16"/>
  <c r="R3" i="16"/>
  <c r="Q3" i="16"/>
  <c r="R2" i="16"/>
  <c r="Q2" i="16"/>
  <c r="R4" i="67"/>
  <c r="Q4" i="67"/>
  <c r="R3" i="67"/>
  <c r="Q3" i="67"/>
  <c r="R2" i="67"/>
  <c r="Q2" i="67"/>
  <c r="R4" i="15"/>
  <c r="Q4" i="15"/>
  <c r="R3" i="15"/>
  <c r="Q3" i="15"/>
  <c r="R2" i="15"/>
  <c r="Q2" i="15"/>
  <c r="R4" i="14"/>
  <c r="Q4" i="14"/>
  <c r="R3" i="14"/>
  <c r="Q3" i="14"/>
  <c r="R2" i="14"/>
  <c r="Q2" i="14"/>
  <c r="R4" i="13"/>
  <c r="Q4" i="13"/>
  <c r="R3" i="13"/>
  <c r="Q3" i="13"/>
  <c r="R2" i="13"/>
  <c r="Q2" i="13"/>
  <c r="R4" i="12"/>
  <c r="R3" i="12"/>
  <c r="R2" i="12"/>
  <c r="R2" i="11"/>
  <c r="R3" i="11"/>
  <c r="R4" i="11"/>
  <c r="Q3" i="11"/>
  <c r="Q4" i="11"/>
  <c r="Q2" i="11"/>
  <c r="R3" i="10"/>
  <c r="Q3" i="10"/>
  <c r="R2" i="10"/>
  <c r="Q2" i="10"/>
  <c r="R3" i="9"/>
  <c r="Q3" i="9"/>
  <c r="R2" i="9"/>
  <c r="Q2" i="9"/>
  <c r="R3" i="8"/>
  <c r="Q3" i="8"/>
  <c r="R2" i="8"/>
  <c r="Q2" i="8"/>
  <c r="N216" i="65" l="1"/>
  <c r="O216" i="65" s="1"/>
  <c r="O222" i="65" s="1"/>
  <c r="O225" i="65" s="1"/>
  <c r="O242" i="65" s="1"/>
  <c r="O253" i="65" s="1"/>
  <c r="O319" i="65" s="1"/>
  <c r="O398" i="61"/>
  <c r="O168" i="61" s="1"/>
  <c r="O169" i="61" s="1"/>
  <c r="O55" i="61" s="1"/>
  <c r="O91" i="61"/>
  <c r="O92" i="61" s="1"/>
  <c r="O252" i="61"/>
  <c r="N324" i="60"/>
  <c r="N161" i="60" s="1"/>
  <c r="N162" i="60" s="1"/>
  <c r="N163" i="60" s="1"/>
  <c r="O323" i="60"/>
  <c r="O324" i="60" s="1"/>
  <c r="O161" i="60" s="1"/>
  <c r="O162" i="60" s="1"/>
  <c r="O163" i="60" s="1"/>
  <c r="M218" i="61"/>
  <c r="L304" i="65"/>
  <c r="N304" i="65"/>
  <c r="L283" i="65"/>
  <c r="M282" i="65"/>
  <c r="L222" i="65"/>
  <c r="L225" i="65" s="1"/>
  <c r="L273" i="37"/>
  <c r="K77" i="57"/>
  <c r="L73" i="57"/>
  <c r="M73" i="57" s="1"/>
  <c r="N73" i="57" s="1"/>
  <c r="O73" i="57" s="1"/>
  <c r="N120" i="60"/>
  <c r="O120" i="60" s="1"/>
  <c r="K206" i="60"/>
  <c r="L206" i="60" s="1"/>
  <c r="M206" i="60" s="1"/>
  <c r="N206" i="60" s="1"/>
  <c r="O206" i="60" s="1"/>
  <c r="K227" i="60"/>
  <c r="L227" i="60" s="1"/>
  <c r="M227" i="60" s="1"/>
  <c r="N227" i="60" s="1"/>
  <c r="O227" i="60" s="1"/>
  <c r="N119" i="60"/>
  <c r="O119" i="60" s="1"/>
  <c r="N121" i="60"/>
  <c r="N112" i="60"/>
  <c r="O112" i="60" s="1"/>
  <c r="K229" i="60"/>
  <c r="L229" i="60" s="1"/>
  <c r="M229" i="60" s="1"/>
  <c r="N229" i="60" s="1"/>
  <c r="O229" i="60" s="1"/>
  <c r="K245" i="60"/>
  <c r="L245" i="60" s="1"/>
  <c r="M245" i="60" s="1"/>
  <c r="N245" i="60" s="1"/>
  <c r="O245" i="60" s="1"/>
  <c r="K207" i="60"/>
  <c r="L207" i="60" s="1"/>
  <c r="M207" i="60" s="1"/>
  <c r="N207" i="60" s="1"/>
  <c r="O207" i="60" s="1"/>
  <c r="N139" i="60"/>
  <c r="O139" i="60" s="1"/>
  <c r="O140" i="60" s="1"/>
  <c r="O141" i="60" s="1"/>
  <c r="N118" i="60"/>
  <c r="O118" i="60" s="1"/>
  <c r="N145" i="60"/>
  <c r="O145" i="60" s="1"/>
  <c r="O146" i="60" s="1"/>
  <c r="O147" i="60" s="1"/>
  <c r="K244" i="60"/>
  <c r="L244" i="60" s="1"/>
  <c r="M244" i="60" s="1"/>
  <c r="N244" i="60" s="1"/>
  <c r="O244" i="60" s="1"/>
  <c r="N99" i="60"/>
  <c r="O99" i="60" s="1"/>
  <c r="K208" i="60"/>
  <c r="L208" i="60" s="1"/>
  <c r="M208" i="60" s="1"/>
  <c r="N208" i="60" s="1"/>
  <c r="O208" i="60" s="1"/>
  <c r="K242" i="60"/>
  <c r="L242" i="60" s="1"/>
  <c r="M242" i="60" s="1"/>
  <c r="N242" i="60" s="1"/>
  <c r="O242" i="60" s="1"/>
  <c r="K211" i="60"/>
  <c r="L211" i="60" s="1"/>
  <c r="M211" i="60" s="1"/>
  <c r="N211" i="60" s="1"/>
  <c r="O211" i="60" s="1"/>
  <c r="K243" i="60"/>
  <c r="L243" i="60" s="1"/>
  <c r="M243" i="60" s="1"/>
  <c r="N243" i="60" s="1"/>
  <c r="O243" i="60" s="1"/>
  <c r="N100" i="60"/>
  <c r="O100" i="60" s="1"/>
  <c r="K209" i="60"/>
  <c r="L209" i="60" s="1"/>
  <c r="M209" i="60" s="1"/>
  <c r="N209" i="60" s="1"/>
  <c r="O209" i="60" s="1"/>
  <c r="N98" i="60"/>
  <c r="O98" i="60" s="1"/>
  <c r="O101" i="60" s="1"/>
  <c r="N91" i="60"/>
  <c r="O91" i="60" s="1"/>
  <c r="N127" i="60"/>
  <c r="O127" i="60" s="1"/>
  <c r="O128" i="60" s="1"/>
  <c r="O129" i="60" s="1"/>
  <c r="K228" i="60"/>
  <c r="L228" i="60" s="1"/>
  <c r="M228" i="60" s="1"/>
  <c r="N228" i="60" s="1"/>
  <c r="O228" i="60" s="1"/>
  <c r="N133" i="60"/>
  <c r="O133" i="60" s="1"/>
  <c r="K205" i="60"/>
  <c r="L205" i="60" s="1"/>
  <c r="M205" i="60" s="1"/>
  <c r="N205" i="60" s="1"/>
  <c r="O205" i="60" s="1"/>
  <c r="L334" i="60"/>
  <c r="M334" i="60" s="1"/>
  <c r="N334" i="60" s="1"/>
  <c r="O334" i="60" s="1"/>
  <c r="L335" i="60"/>
  <c r="M335" i="60" s="1"/>
  <c r="N335" i="60" s="1"/>
  <c r="O335" i="60" s="1"/>
  <c r="R3" i="7"/>
  <c r="Q3" i="7"/>
  <c r="R2" i="7"/>
  <c r="Q2" i="7"/>
  <c r="R3" i="6"/>
  <c r="Q3" i="6"/>
  <c r="R2" i="6"/>
  <c r="I386" i="6" s="1"/>
  <c r="Q2" i="6"/>
  <c r="R3" i="5"/>
  <c r="Q3" i="5"/>
  <c r="L570" i="5"/>
  <c r="L571" i="5" s="1"/>
  <c r="L203" i="5" s="1"/>
  <c r="R2" i="5"/>
  <c r="I527" i="5" s="1"/>
  <c r="Q2" i="5"/>
  <c r="R3" i="4"/>
  <c r="Q3" i="4"/>
  <c r="R2" i="4"/>
  <c r="Q2" i="4"/>
  <c r="R3" i="3"/>
  <c r="Q3" i="3"/>
  <c r="R2" i="3"/>
  <c r="Q2" i="3"/>
  <c r="R2" i="2"/>
  <c r="R3" i="2"/>
  <c r="Q3" i="2"/>
  <c r="Q2" i="2"/>
  <c r="G6" i="68"/>
  <c r="F6" i="68"/>
  <c r="E6" i="68"/>
  <c r="M75" i="67"/>
  <c r="M24" i="67" s="1"/>
  <c r="M37" i="67" s="1"/>
  <c r="L75" i="67"/>
  <c r="L24" i="67" s="1"/>
  <c r="L37" i="67" s="1"/>
  <c r="J75" i="67"/>
  <c r="J24" i="67" s="1"/>
  <c r="J37" i="67" s="1"/>
  <c r="M70" i="67"/>
  <c r="L70" i="67"/>
  <c r="J70" i="67"/>
  <c r="B69" i="67"/>
  <c r="A69" i="67"/>
  <c r="M56" i="67"/>
  <c r="L56" i="67"/>
  <c r="J56" i="67"/>
  <c r="M49" i="67"/>
  <c r="L49" i="67"/>
  <c r="J49" i="67"/>
  <c r="D23" i="67"/>
  <c r="N163" i="65" l="1"/>
  <c r="N168" i="65"/>
  <c r="N166" i="65"/>
  <c r="N165" i="65"/>
  <c r="N167" i="65"/>
  <c r="N164" i="65"/>
  <c r="N282" i="65"/>
  <c r="O282" i="65" s="1"/>
  <c r="O283" i="65" s="1"/>
  <c r="O306" i="65" s="1"/>
  <c r="O317" i="65" s="1"/>
  <c r="O320" i="65" s="1"/>
  <c r="O29" i="61"/>
  <c r="O97" i="61"/>
  <c r="O257" i="61"/>
  <c r="O41" i="60"/>
  <c r="O298" i="60"/>
  <c r="O38" i="60"/>
  <c r="O295" i="60"/>
  <c r="O177" i="60"/>
  <c r="O178" i="60" s="1"/>
  <c r="O40" i="60"/>
  <c r="O297" i="60"/>
  <c r="O113" i="60"/>
  <c r="O114" i="60" s="1"/>
  <c r="N122" i="60"/>
  <c r="N123" i="60" s="1"/>
  <c r="N294" i="60" s="1"/>
  <c r="O121" i="60"/>
  <c r="O122" i="60" s="1"/>
  <c r="O247" i="60"/>
  <c r="O106" i="60" s="1"/>
  <c r="O107" i="60" s="1"/>
  <c r="O231" i="60"/>
  <c r="O291" i="60"/>
  <c r="O34" i="60"/>
  <c r="O213" i="60"/>
  <c r="O92" i="60" s="1"/>
  <c r="O216" i="60" s="1"/>
  <c r="O218" i="60" s="1"/>
  <c r="O93" i="60" s="1"/>
  <c r="O43" i="60"/>
  <c r="O300" i="60"/>
  <c r="O134" i="60"/>
  <c r="O135" i="60" s="1"/>
  <c r="N1290" i="27"/>
  <c r="N356" i="27" s="1"/>
  <c r="O1290" i="27"/>
  <c r="O356" i="27" s="1"/>
  <c r="N218" i="61"/>
  <c r="O218" i="61" s="1"/>
  <c r="I511" i="3"/>
  <c r="I525" i="3"/>
  <c r="L306" i="65"/>
  <c r="L317" i="65" s="1"/>
  <c r="L168" i="65"/>
  <c r="L162" i="65" s="1"/>
  <c r="L163" i="65"/>
  <c r="L157" i="65" s="1"/>
  <c r="L166" i="65"/>
  <c r="L160" i="65" s="1"/>
  <c r="L165" i="65"/>
  <c r="L159" i="65" s="1"/>
  <c r="L167" i="65"/>
  <c r="L161" i="65" s="1"/>
  <c r="L164" i="65"/>
  <c r="L158" i="65" s="1"/>
  <c r="L204" i="5"/>
  <c r="L52" i="5"/>
  <c r="N101" i="60"/>
  <c r="N291" i="60" s="1"/>
  <c r="L72" i="57"/>
  <c r="K74" i="57"/>
  <c r="K78" i="57"/>
  <c r="L76" i="57"/>
  <c r="M570" i="5"/>
  <c r="M571" i="5" s="1"/>
  <c r="M203" i="5" s="1"/>
  <c r="L82" i="72"/>
  <c r="Q82" i="72" s="1"/>
  <c r="M82" i="72"/>
  <c r="R82" i="72" s="1"/>
  <c r="N82" i="72"/>
  <c r="S82" i="72" s="1"/>
  <c r="N20" i="72"/>
  <c r="S20" i="72" s="1"/>
  <c r="K82" i="72"/>
  <c r="P82" i="72" s="1"/>
  <c r="L51" i="67"/>
  <c r="L60" i="67" s="1"/>
  <c r="N43" i="60"/>
  <c r="N300" i="60"/>
  <c r="N231" i="60"/>
  <c r="N213" i="60"/>
  <c r="N92" i="60" s="1"/>
  <c r="N216" i="60" s="1"/>
  <c r="N218" i="60" s="1"/>
  <c r="N93" i="60" s="1"/>
  <c r="N94" i="60" s="1"/>
  <c r="J51" i="67"/>
  <c r="J60" i="67" s="1"/>
  <c r="N247" i="60"/>
  <c r="N106" i="60" s="1"/>
  <c r="N107" i="60" s="1"/>
  <c r="N134" i="60"/>
  <c r="N135" i="60" s="1"/>
  <c r="N128" i="60"/>
  <c r="N129" i="60" s="1"/>
  <c r="N140" i="60"/>
  <c r="N141" i="60" s="1"/>
  <c r="N113" i="60"/>
  <c r="N114" i="60" s="1"/>
  <c r="N146" i="60"/>
  <c r="N147" i="60" s="1"/>
  <c r="M51" i="67"/>
  <c r="M60" i="67" s="1"/>
  <c r="M391" i="65"/>
  <c r="M386" i="65"/>
  <c r="M372" i="65"/>
  <c r="M115" i="65"/>
  <c r="M112" i="65"/>
  <c r="M348" i="65"/>
  <c r="M129" i="65" s="1"/>
  <c r="M127" i="65"/>
  <c r="M126" i="65"/>
  <c r="M124" i="65"/>
  <c r="M339" i="65"/>
  <c r="M96" i="65"/>
  <c r="T315" i="65"/>
  <c r="M304" i="65"/>
  <c r="F283" i="65"/>
  <c r="M88" i="65"/>
  <c r="M267" i="65"/>
  <c r="F240" i="65"/>
  <c r="X222" i="65"/>
  <c r="X226" i="65" s="1"/>
  <c r="M187" i="65"/>
  <c r="B187" i="65"/>
  <c r="A187" i="65"/>
  <c r="M182" i="65"/>
  <c r="B182" i="65"/>
  <c r="A182" i="65"/>
  <c r="B181" i="65"/>
  <c r="A181" i="65"/>
  <c r="M180" i="65"/>
  <c r="B180" i="65"/>
  <c r="A180" i="65"/>
  <c r="M175" i="65"/>
  <c r="B175" i="65"/>
  <c r="A175" i="65"/>
  <c r="M174" i="65"/>
  <c r="B174" i="65"/>
  <c r="A174" i="65"/>
  <c r="B160" i="65"/>
  <c r="A160" i="65"/>
  <c r="B159" i="65"/>
  <c r="A159" i="65"/>
  <c r="B158" i="65"/>
  <c r="A158" i="65"/>
  <c r="B157" i="65"/>
  <c r="A157" i="65"/>
  <c r="B143" i="65"/>
  <c r="A143" i="65"/>
  <c r="B142" i="65"/>
  <c r="A142" i="65"/>
  <c r="B141" i="65"/>
  <c r="A141" i="65"/>
  <c r="B140" i="65"/>
  <c r="A140" i="65"/>
  <c r="M134" i="65"/>
  <c r="M133" i="65"/>
  <c r="M132" i="65"/>
  <c r="M131" i="65"/>
  <c r="M130" i="65"/>
  <c r="B127" i="65"/>
  <c r="A127" i="65"/>
  <c r="B126" i="65"/>
  <c r="A126" i="65"/>
  <c r="B125" i="65"/>
  <c r="A125" i="65"/>
  <c r="B124" i="65"/>
  <c r="A124" i="65"/>
  <c r="M116" i="65"/>
  <c r="B116" i="65"/>
  <c r="A116" i="65"/>
  <c r="B115" i="65"/>
  <c r="A115" i="65"/>
  <c r="M114" i="65"/>
  <c r="B114" i="65"/>
  <c r="A114" i="65"/>
  <c r="M113" i="65"/>
  <c r="B113" i="65"/>
  <c r="A113" i="65"/>
  <c r="B112" i="65"/>
  <c r="A112" i="65"/>
  <c r="M111" i="65"/>
  <c r="B111" i="65"/>
  <c r="A111" i="65"/>
  <c r="M106" i="65"/>
  <c r="B106" i="65"/>
  <c r="A106" i="65"/>
  <c r="M105" i="65"/>
  <c r="M104" i="65"/>
  <c r="B104" i="65"/>
  <c r="A104" i="65"/>
  <c r="M103" i="65"/>
  <c r="B103" i="65"/>
  <c r="A103" i="65"/>
  <c r="M102" i="65"/>
  <c r="B102" i="65"/>
  <c r="A102" i="65"/>
  <c r="M101" i="65"/>
  <c r="B101" i="65"/>
  <c r="A101" i="65"/>
  <c r="B96" i="65"/>
  <c r="A96" i="65"/>
  <c r="M95" i="65"/>
  <c r="B95" i="65"/>
  <c r="A95" i="65"/>
  <c r="M90" i="65"/>
  <c r="B90" i="65"/>
  <c r="A90" i="65"/>
  <c r="M89" i="65"/>
  <c r="B89" i="65"/>
  <c r="A89" i="65"/>
  <c r="B88" i="65"/>
  <c r="A88" i="65"/>
  <c r="M87" i="65"/>
  <c r="B87" i="65"/>
  <c r="A87" i="65"/>
  <c r="B86" i="65"/>
  <c r="A86" i="65"/>
  <c r="M85" i="65"/>
  <c r="B85" i="65"/>
  <c r="A85" i="65"/>
  <c r="B80" i="65"/>
  <c r="A80" i="65"/>
  <c r="B74" i="65"/>
  <c r="A74" i="65"/>
  <c r="M69" i="65"/>
  <c r="B69" i="65"/>
  <c r="B68" i="65"/>
  <c r="A68" i="65"/>
  <c r="M67" i="65"/>
  <c r="B67" i="65"/>
  <c r="A67" i="65"/>
  <c r="B66" i="65"/>
  <c r="A66" i="65"/>
  <c r="D48" i="65"/>
  <c r="D47" i="65"/>
  <c r="D46" i="65"/>
  <c r="C37" i="65"/>
  <c r="C36" i="65"/>
  <c r="C35" i="65"/>
  <c r="U386" i="64"/>
  <c r="T386" i="64"/>
  <c r="S386" i="64"/>
  <c r="R386" i="64"/>
  <c r="U360" i="64"/>
  <c r="T290" i="64"/>
  <c r="T293" i="64" s="1"/>
  <c r="T301" i="64" s="1"/>
  <c r="E320" i="64"/>
  <c r="S319" i="64"/>
  <c r="E313" i="64"/>
  <c r="E305" i="64"/>
  <c r="E298" i="64"/>
  <c r="M283" i="64"/>
  <c r="M241" i="64"/>
  <c r="M126" i="64" s="1"/>
  <c r="E198" i="64"/>
  <c r="B186" i="64"/>
  <c r="A186" i="64"/>
  <c r="B180" i="64"/>
  <c r="A180" i="64"/>
  <c r="B174" i="64"/>
  <c r="A174" i="64"/>
  <c r="B169" i="64"/>
  <c r="A169" i="64"/>
  <c r="B164" i="64"/>
  <c r="A164" i="64"/>
  <c r="B159" i="64"/>
  <c r="A159" i="64"/>
  <c r="B158" i="64"/>
  <c r="A158" i="64"/>
  <c r="B157" i="64"/>
  <c r="A157" i="64"/>
  <c r="B126" i="64"/>
  <c r="A126" i="64"/>
  <c r="B125" i="64"/>
  <c r="A125" i="64"/>
  <c r="B114" i="64"/>
  <c r="A114" i="64"/>
  <c r="B109" i="64"/>
  <c r="A109" i="64"/>
  <c r="B104" i="64"/>
  <c r="A104" i="64"/>
  <c r="B98" i="64"/>
  <c r="A98" i="64"/>
  <c r="B93" i="64"/>
  <c r="A93" i="64"/>
  <c r="D70" i="64"/>
  <c r="D69" i="64"/>
  <c r="D68" i="64"/>
  <c r="D54" i="64"/>
  <c r="D53" i="64"/>
  <c r="D52" i="64"/>
  <c r="D47" i="64"/>
  <c r="D43" i="64"/>
  <c r="D41" i="64"/>
  <c r="D40" i="64"/>
  <c r="D39" i="64"/>
  <c r="D38" i="64"/>
  <c r="L290" i="64"/>
  <c r="K196" i="64"/>
  <c r="O36" i="60" l="1"/>
  <c r="O293" i="60"/>
  <c r="O296" i="60"/>
  <c r="O39" i="60"/>
  <c r="O285" i="60"/>
  <c r="O56" i="60"/>
  <c r="O94" i="60"/>
  <c r="O123" i="60"/>
  <c r="N37" i="60"/>
  <c r="L169" i="65"/>
  <c r="L38" i="65" s="1"/>
  <c r="M315" i="65"/>
  <c r="M166" i="65" s="1"/>
  <c r="M160" i="65" s="1"/>
  <c r="M188" i="65"/>
  <c r="M48" i="65" s="1"/>
  <c r="M212" i="65"/>
  <c r="M204" i="5"/>
  <c r="M52" i="5"/>
  <c r="N34" i="60"/>
  <c r="M76" i="57"/>
  <c r="L78" i="57"/>
  <c r="M72" i="57"/>
  <c r="L74" i="57"/>
  <c r="L680" i="6"/>
  <c r="L206" i="6" s="1"/>
  <c r="L51" i="6" s="1"/>
  <c r="N570" i="5"/>
  <c r="L20" i="72"/>
  <c r="Q20" i="72" s="1"/>
  <c r="K20" i="72"/>
  <c r="P20" i="72" s="1"/>
  <c r="M20" i="72"/>
  <c r="R20" i="72" s="1"/>
  <c r="M251" i="65"/>
  <c r="M80" i="65"/>
  <c r="M81" i="65" s="1"/>
  <c r="M36" i="65" s="1"/>
  <c r="M283" i="65"/>
  <c r="M306" i="65" s="1"/>
  <c r="N283" i="65"/>
  <c r="N306" i="65" s="1"/>
  <c r="N317" i="65" s="1"/>
  <c r="N177" i="60"/>
  <c r="N178" i="60" s="1"/>
  <c r="N40" i="60"/>
  <c r="N297" i="60"/>
  <c r="N296" i="60"/>
  <c r="N39" i="60"/>
  <c r="N293" i="60"/>
  <c r="N36" i="60"/>
  <c r="N295" i="60"/>
  <c r="N38" i="60"/>
  <c r="M66" i="65"/>
  <c r="N33" i="60"/>
  <c r="N290" i="60"/>
  <c r="M326" i="65"/>
  <c r="M97" i="65"/>
  <c r="M39" i="65" s="1"/>
  <c r="N41" i="60"/>
  <c r="N298" i="60"/>
  <c r="M176" i="65"/>
  <c r="M46" i="65" s="1"/>
  <c r="L286" i="64"/>
  <c r="M286" i="64" s="1"/>
  <c r="N286" i="64" s="1"/>
  <c r="O286" i="64" s="1"/>
  <c r="L293" i="64"/>
  <c r="M293" i="64" s="1"/>
  <c r="N293" i="64" s="1"/>
  <c r="O293" i="64" s="1"/>
  <c r="K217" i="64"/>
  <c r="L217" i="64" s="1"/>
  <c r="M217" i="64" s="1"/>
  <c r="N217" i="64" s="1"/>
  <c r="O217" i="64" s="1"/>
  <c r="K320" i="64"/>
  <c r="K337" i="64" s="1"/>
  <c r="K180" i="64" s="1"/>
  <c r="L292" i="64"/>
  <c r="M292" i="64" s="1"/>
  <c r="N292" i="64" s="1"/>
  <c r="O292" i="64" s="1"/>
  <c r="M290" i="64"/>
  <c r="N290" i="64" s="1"/>
  <c r="O290" i="64" s="1"/>
  <c r="K240" i="64"/>
  <c r="L240" i="64" s="1"/>
  <c r="L283" i="64" s="1"/>
  <c r="L312" i="64"/>
  <c r="L355" i="64" s="1"/>
  <c r="L196" i="64"/>
  <c r="M196" i="64" s="1"/>
  <c r="N196" i="64" s="1"/>
  <c r="O196" i="64" s="1"/>
  <c r="L285" i="64"/>
  <c r="M285" i="64" s="1"/>
  <c r="N285" i="64" s="1"/>
  <c r="O285" i="64" s="1"/>
  <c r="M107" i="65"/>
  <c r="M40" i="65" s="1"/>
  <c r="M74" i="65"/>
  <c r="M35" i="65" s="1"/>
  <c r="M259" i="65"/>
  <c r="M117" i="65"/>
  <c r="M41" i="65" s="1"/>
  <c r="M364" i="65"/>
  <c r="M68" i="65"/>
  <c r="M128" i="65"/>
  <c r="M125" i="65"/>
  <c r="M278" i="65"/>
  <c r="M86" i="65"/>
  <c r="M91" i="65" s="1"/>
  <c r="M37" i="65" s="1"/>
  <c r="M381" i="65"/>
  <c r="M181" i="65"/>
  <c r="M183" i="65" s="1"/>
  <c r="M47" i="65" s="1"/>
  <c r="L310" i="64"/>
  <c r="K203" i="64"/>
  <c r="K325" i="64"/>
  <c r="K216" i="64"/>
  <c r="L311" i="64"/>
  <c r="M311" i="64" s="1"/>
  <c r="N311" i="64" s="1"/>
  <c r="O311" i="64" s="1"/>
  <c r="L289" i="64"/>
  <c r="M289" i="64" s="1"/>
  <c r="N289" i="64" s="1"/>
  <c r="O289" i="64" s="1"/>
  <c r="L284" i="64"/>
  <c r="M284" i="64" s="1"/>
  <c r="S321" i="64"/>
  <c r="S323" i="64" s="1"/>
  <c r="O294" i="60" l="1"/>
  <c r="O37" i="60"/>
  <c r="O33" i="60"/>
  <c r="O290" i="60"/>
  <c r="N571" i="5"/>
  <c r="N203" i="5" s="1"/>
  <c r="O570" i="5"/>
  <c r="O571" i="5" s="1"/>
  <c r="O203" i="5" s="1"/>
  <c r="L526" i="3"/>
  <c r="L240" i="65"/>
  <c r="M165" i="65"/>
  <c r="M159" i="65" s="1"/>
  <c r="M317" i="65"/>
  <c r="M164" i="65"/>
  <c r="M158" i="65" s="1"/>
  <c r="N158" i="65"/>
  <c r="M163" i="65"/>
  <c r="M157" i="65" s="1"/>
  <c r="N161" i="65"/>
  <c r="N162" i="65"/>
  <c r="M168" i="65"/>
  <c r="M162" i="65" s="1"/>
  <c r="N157" i="65"/>
  <c r="M167" i="65"/>
  <c r="M161" i="65" s="1"/>
  <c r="N159" i="65"/>
  <c r="N160" i="65"/>
  <c r="L123" i="72"/>
  <c r="Q123" i="72" s="1"/>
  <c r="N284" i="64"/>
  <c r="M298" i="64"/>
  <c r="M157" i="64" s="1"/>
  <c r="L298" i="64"/>
  <c r="L157" i="64" s="1"/>
  <c r="N204" i="5"/>
  <c r="N52" i="5"/>
  <c r="H111" i="70"/>
  <c r="M74" i="57"/>
  <c r="N72" i="57"/>
  <c r="M78" i="57"/>
  <c r="N76" i="57"/>
  <c r="M680" i="6"/>
  <c r="M206" i="6" s="1"/>
  <c r="M51" i="6" s="1"/>
  <c r="K169" i="64"/>
  <c r="K170" i="64" s="1"/>
  <c r="K54" i="64" s="1"/>
  <c r="V54" i="64" s="1"/>
  <c r="L318" i="64"/>
  <c r="L320" i="64" s="1"/>
  <c r="K355" i="64"/>
  <c r="M135" i="65"/>
  <c r="M42" i="65" s="1"/>
  <c r="M53" i="65"/>
  <c r="G125" i="70" s="1"/>
  <c r="M70" i="65"/>
  <c r="M33" i="65" s="1"/>
  <c r="N285" i="60"/>
  <c r="N56" i="60"/>
  <c r="M312" i="64"/>
  <c r="L241" i="64"/>
  <c r="L126" i="64" s="1"/>
  <c r="K283" i="64"/>
  <c r="K241" i="64"/>
  <c r="K126" i="64" s="1"/>
  <c r="M354" i="65"/>
  <c r="L203" i="64"/>
  <c r="K204" i="64"/>
  <c r="K98" i="64" s="1"/>
  <c r="K243" i="64"/>
  <c r="K245" i="64" s="1"/>
  <c r="K125" i="64" s="1"/>
  <c r="K128" i="64" s="1"/>
  <c r="K354" i="64"/>
  <c r="K313" i="64"/>
  <c r="K164" i="64" s="1"/>
  <c r="K165" i="64" s="1"/>
  <c r="K53" i="64" s="1"/>
  <c r="V53" i="64" s="1"/>
  <c r="L313" i="64"/>
  <c r="L164" i="64" s="1"/>
  <c r="L165" i="64" s="1"/>
  <c r="L53" i="64" s="1"/>
  <c r="W53" i="64" s="1"/>
  <c r="L354" i="64"/>
  <c r="M310" i="64"/>
  <c r="N310" i="64" s="1"/>
  <c r="O310" i="64" s="1"/>
  <c r="K219" i="64"/>
  <c r="K104" i="64" s="1"/>
  <c r="K105" i="64" s="1"/>
  <c r="K39" i="64" s="1"/>
  <c r="V39" i="64" s="1"/>
  <c r="L216" i="64"/>
  <c r="K223" i="64"/>
  <c r="K195" i="64"/>
  <c r="K198" i="64" s="1"/>
  <c r="K211" i="64"/>
  <c r="K326" i="64"/>
  <c r="K174" i="64"/>
  <c r="K175" i="64" s="1"/>
  <c r="L325" i="64"/>
  <c r="N74" i="57" l="1"/>
  <c r="O72" i="57"/>
  <c r="O74" i="57" s="1"/>
  <c r="N78" i="57"/>
  <c r="O76" i="57"/>
  <c r="O78" i="57" s="1"/>
  <c r="Q111" i="70"/>
  <c r="AA111" i="70"/>
  <c r="K100" i="64"/>
  <c r="K40" i="64" s="1"/>
  <c r="V40" i="64" s="1"/>
  <c r="O125" i="70"/>
  <c r="Z125" i="70"/>
  <c r="N298" i="64"/>
  <c r="N157" i="64" s="1"/>
  <c r="O284" i="64"/>
  <c r="O298" i="64" s="1"/>
  <c r="O157" i="64" s="1"/>
  <c r="O160" i="64" s="1"/>
  <c r="O52" i="64" s="1"/>
  <c r="O354" i="64"/>
  <c r="O204" i="5"/>
  <c r="O52" i="5"/>
  <c r="L357" i="64"/>
  <c r="L359" i="64" s="1"/>
  <c r="L374" i="64"/>
  <c r="L380" i="64"/>
  <c r="L372" i="64"/>
  <c r="L368" i="64"/>
  <c r="L373" i="64"/>
  <c r="L371" i="64"/>
  <c r="L375" i="64"/>
  <c r="L379" i="64"/>
  <c r="L369" i="64"/>
  <c r="L370" i="64"/>
  <c r="K371" i="64"/>
  <c r="K374" i="64"/>
  <c r="K380" i="64"/>
  <c r="K372" i="64"/>
  <c r="K370" i="64"/>
  <c r="K379" i="64"/>
  <c r="K369" i="64"/>
  <c r="K375" i="64"/>
  <c r="K368" i="64"/>
  <c r="K373" i="64"/>
  <c r="M527" i="3"/>
  <c r="L146" i="65"/>
  <c r="L140" i="65" s="1"/>
  <c r="L151" i="65"/>
  <c r="L145" i="65" s="1"/>
  <c r="L149" i="65"/>
  <c r="L143" i="65" s="1"/>
  <c r="L150" i="65"/>
  <c r="L144" i="65" s="1"/>
  <c r="L148" i="65"/>
  <c r="L142" i="65" s="1"/>
  <c r="L147" i="65"/>
  <c r="L141" i="65" s="1"/>
  <c r="L242" i="65"/>
  <c r="L253" i="65" s="1"/>
  <c r="L319" i="65" s="1"/>
  <c r="L320" i="65" s="1"/>
  <c r="N240" i="65"/>
  <c r="M240" i="65"/>
  <c r="M150" i="65" s="1"/>
  <c r="M169" i="65"/>
  <c r="M38" i="65" s="1"/>
  <c r="N169" i="65"/>
  <c r="N38" i="65" s="1"/>
  <c r="M318" i="64"/>
  <c r="N318" i="64" s="1"/>
  <c r="K298" i="64"/>
  <c r="K157" i="64" s="1"/>
  <c r="N680" i="6"/>
  <c r="N206" i="6" s="1"/>
  <c r="N208" i="6" s="1"/>
  <c r="N51" i="6" s="1"/>
  <c r="K123" i="72"/>
  <c r="P123" i="72" s="1"/>
  <c r="N123" i="72"/>
  <c r="S123" i="72" s="1"/>
  <c r="M123" i="72"/>
  <c r="R123" i="72" s="1"/>
  <c r="K182" i="64"/>
  <c r="K69" i="64" s="1"/>
  <c r="K357" i="64"/>
  <c r="M222" i="65"/>
  <c r="M225" i="65" s="1"/>
  <c r="N222" i="65"/>
  <c r="N225" i="65" s="1"/>
  <c r="N354" i="64"/>
  <c r="N368" i="64" s="1"/>
  <c r="M355" i="64"/>
  <c r="N312" i="64"/>
  <c r="K386" i="64"/>
  <c r="K68" i="64"/>
  <c r="L337" i="64"/>
  <c r="L180" i="64" s="1"/>
  <c r="L169" i="64"/>
  <c r="L170" i="64" s="1"/>
  <c r="L54" i="64" s="1"/>
  <c r="W54" i="64" s="1"/>
  <c r="L243" i="64"/>
  <c r="L245" i="64" s="1"/>
  <c r="L125" i="64" s="1"/>
  <c r="L128" i="64" s="1"/>
  <c r="K346" i="64"/>
  <c r="K186" i="64" s="1"/>
  <c r="K187" i="64" s="1"/>
  <c r="K70" i="64" s="1"/>
  <c r="K43" i="64"/>
  <c r="V43" i="64" s="1"/>
  <c r="K226" i="64"/>
  <c r="K114" i="64" s="1"/>
  <c r="K115" i="64" s="1"/>
  <c r="K41" i="64" s="1"/>
  <c r="V41" i="64" s="1"/>
  <c r="L223" i="64"/>
  <c r="M203" i="64"/>
  <c r="L204" i="64"/>
  <c r="L98" i="64" s="1"/>
  <c r="K305" i="64"/>
  <c r="K158" i="64"/>
  <c r="M313" i="64"/>
  <c r="M164" i="64" s="1"/>
  <c r="M165" i="64" s="1"/>
  <c r="M53" i="64" s="1"/>
  <c r="M354" i="64"/>
  <c r="K212" i="64"/>
  <c r="K109" i="64" s="1"/>
  <c r="K110" i="64" s="1"/>
  <c r="K47" i="64" s="1"/>
  <c r="V47" i="64" s="1"/>
  <c r="L211" i="64"/>
  <c r="L195" i="64"/>
  <c r="L198" i="64" s="1"/>
  <c r="K93" i="64"/>
  <c r="K94" i="64" s="1"/>
  <c r="K38" i="64" s="1"/>
  <c r="V38" i="64" s="1"/>
  <c r="L219" i="64"/>
  <c r="L104" i="64" s="1"/>
  <c r="L105" i="64" s="1"/>
  <c r="L39" i="64" s="1"/>
  <c r="W39" i="64" s="1"/>
  <c r="M216" i="64"/>
  <c r="L174" i="64"/>
  <c r="L175" i="64" s="1"/>
  <c r="L326" i="64"/>
  <c r="M325" i="64"/>
  <c r="N325" i="64" s="1"/>
  <c r="O325" i="64" s="1"/>
  <c r="L100" i="64" l="1"/>
  <c r="L40" i="64" s="1"/>
  <c r="W40" i="64" s="1"/>
  <c r="N146" i="65"/>
  <c r="N140" i="65" s="1"/>
  <c r="N148" i="65"/>
  <c r="N142" i="65" s="1"/>
  <c r="N149" i="65"/>
  <c r="N143" i="65" s="1"/>
  <c r="N151" i="65"/>
  <c r="N145" i="65" s="1"/>
  <c r="N147" i="65"/>
  <c r="N141" i="65" s="1"/>
  <c r="N150" i="65"/>
  <c r="N144" i="65" s="1"/>
  <c r="O174" i="64"/>
  <c r="O175" i="64" s="1"/>
  <c r="O326" i="64"/>
  <c r="N355" i="64"/>
  <c r="N357" i="64" s="1"/>
  <c r="O312" i="64"/>
  <c r="N320" i="64"/>
  <c r="N337" i="64" s="1"/>
  <c r="N180" i="64" s="1"/>
  <c r="O318" i="64"/>
  <c r="O320" i="64" s="1"/>
  <c r="O380" i="64"/>
  <c r="O379" i="64"/>
  <c r="O375" i="64"/>
  <c r="O374" i="64"/>
  <c r="O373" i="64"/>
  <c r="O372" i="64"/>
  <c r="O371" i="64"/>
  <c r="O368" i="64"/>
  <c r="O370" i="64"/>
  <c r="O369" i="64"/>
  <c r="N528" i="3"/>
  <c r="O529" i="3"/>
  <c r="K382" i="64"/>
  <c r="K385" i="64" s="1"/>
  <c r="N374" i="64"/>
  <c r="N380" i="64"/>
  <c r="N375" i="64"/>
  <c r="N370" i="64"/>
  <c r="N369" i="64"/>
  <c r="N379" i="64"/>
  <c r="N371" i="64"/>
  <c r="N372" i="64"/>
  <c r="N373" i="64"/>
  <c r="L382" i="64"/>
  <c r="L385" i="64" s="1"/>
  <c r="M374" i="64"/>
  <c r="M380" i="64"/>
  <c r="M368" i="64"/>
  <c r="M372" i="64"/>
  <c r="M370" i="64"/>
  <c r="M379" i="64"/>
  <c r="M371" i="64"/>
  <c r="M369" i="64"/>
  <c r="M375" i="64"/>
  <c r="M373" i="64"/>
  <c r="M320" i="64"/>
  <c r="M337" i="64" s="1"/>
  <c r="M180" i="64" s="1"/>
  <c r="M182" i="64" s="1"/>
  <c r="N242" i="65"/>
  <c r="N253" i="65" s="1"/>
  <c r="N319" i="65" s="1"/>
  <c r="N320" i="65" s="1"/>
  <c r="M242" i="65"/>
  <c r="M253" i="65" s="1"/>
  <c r="M319" i="65" s="1"/>
  <c r="M320" i="65" s="1"/>
  <c r="M148" i="65"/>
  <c r="M142" i="65" s="1"/>
  <c r="M147" i="65"/>
  <c r="M141" i="65" s="1"/>
  <c r="M149" i="65"/>
  <c r="M143" i="65" s="1"/>
  <c r="M146" i="65"/>
  <c r="M140" i="65" s="1"/>
  <c r="M151" i="65"/>
  <c r="M145" i="65" s="1"/>
  <c r="M144" i="65"/>
  <c r="L152" i="65"/>
  <c r="L34" i="65" s="1"/>
  <c r="L44" i="65" s="1"/>
  <c r="F60" i="70" s="1"/>
  <c r="K160" i="64"/>
  <c r="K52" i="64" s="1"/>
  <c r="V52" i="64" s="1"/>
  <c r="K124" i="72"/>
  <c r="P124" i="72" s="1"/>
  <c r="K60" i="72"/>
  <c r="L182" i="64"/>
  <c r="K359" i="64"/>
  <c r="K384" i="64" s="1"/>
  <c r="N313" i="64"/>
  <c r="N164" i="64" s="1"/>
  <c r="N165" i="64" s="1"/>
  <c r="N53" i="64" s="1"/>
  <c r="N326" i="64"/>
  <c r="N174" i="64"/>
  <c r="N175" i="64" s="1"/>
  <c r="M219" i="64"/>
  <c r="M104" i="64" s="1"/>
  <c r="M105" i="64" s="1"/>
  <c r="M39" i="64" s="1"/>
  <c r="N216" i="64"/>
  <c r="M204" i="64"/>
  <c r="M98" i="64" s="1"/>
  <c r="N203" i="64"/>
  <c r="M357" i="64"/>
  <c r="L365" i="64"/>
  <c r="L384" i="64"/>
  <c r="L226" i="64"/>
  <c r="L114" i="64" s="1"/>
  <c r="L115" i="64" s="1"/>
  <c r="L41" i="64" s="1"/>
  <c r="W41" i="64" s="1"/>
  <c r="M223" i="64"/>
  <c r="M326" i="64"/>
  <c r="M174" i="64"/>
  <c r="M175" i="64" s="1"/>
  <c r="M243" i="64"/>
  <c r="L346" i="64"/>
  <c r="L186" i="64" s="1"/>
  <c r="L187" i="64" s="1"/>
  <c r="L70" i="64" s="1"/>
  <c r="L43" i="64"/>
  <c r="W43" i="64" s="1"/>
  <c r="K79" i="64"/>
  <c r="E124" i="70" s="1"/>
  <c r="L386" i="64"/>
  <c r="L68" i="64"/>
  <c r="L93" i="64"/>
  <c r="L94" i="64" s="1"/>
  <c r="L38" i="64" s="1"/>
  <c r="W38" i="64" s="1"/>
  <c r="M195" i="64"/>
  <c r="M198" i="64" s="1"/>
  <c r="L212" i="64"/>
  <c r="L109" i="64" s="1"/>
  <c r="L110" i="64" s="1"/>
  <c r="L47" i="64" s="1"/>
  <c r="W47" i="64" s="1"/>
  <c r="M211" i="64"/>
  <c r="L305" i="64"/>
  <c r="L158" i="64"/>
  <c r="L160" i="64" s="1"/>
  <c r="L52" i="64" s="1"/>
  <c r="W52" i="64" s="1"/>
  <c r="M100" i="64" l="1"/>
  <c r="M40" i="64" s="1"/>
  <c r="Y60" i="70"/>
  <c r="M60" i="70"/>
  <c r="N219" i="64"/>
  <c r="N104" i="64" s="1"/>
  <c r="N105" i="64" s="1"/>
  <c r="N39" i="64" s="1"/>
  <c r="O216" i="64"/>
  <c r="O219" i="64" s="1"/>
  <c r="O104" i="64" s="1"/>
  <c r="O105" i="64" s="1"/>
  <c r="O39" i="64" s="1"/>
  <c r="N169" i="64"/>
  <c r="N170" i="64" s="1"/>
  <c r="N54" i="64" s="1"/>
  <c r="O355" i="64"/>
  <c r="O357" i="64" s="1"/>
  <c r="O359" i="64" s="1"/>
  <c r="O313" i="64"/>
  <c r="O164" i="64" s="1"/>
  <c r="O165" i="64" s="1"/>
  <c r="O53" i="64" s="1"/>
  <c r="K389" i="64"/>
  <c r="O169" i="64"/>
  <c r="O170" i="64" s="1"/>
  <c r="O54" i="64" s="1"/>
  <c r="O337" i="64"/>
  <c r="O180" i="64" s="1"/>
  <c r="O182" i="64" s="1"/>
  <c r="O69" i="64" s="1"/>
  <c r="N204" i="64"/>
  <c r="N98" i="64" s="1"/>
  <c r="O203" i="64"/>
  <c r="O204" i="64" s="1"/>
  <c r="O98" i="64" s="1"/>
  <c r="O382" i="64"/>
  <c r="O385" i="64" s="1"/>
  <c r="X124" i="70"/>
  <c r="K124" i="70"/>
  <c r="O386" i="64"/>
  <c r="O68" i="64"/>
  <c r="M169" i="64"/>
  <c r="M170" i="64" s="1"/>
  <c r="M54" i="64" s="1"/>
  <c r="N382" i="64"/>
  <c r="N385" i="64" s="1"/>
  <c r="M382" i="64"/>
  <c r="M385" i="64" s="1"/>
  <c r="N243" i="64"/>
  <c r="M245" i="64"/>
  <c r="M125" i="64" s="1"/>
  <c r="L58" i="65"/>
  <c r="K65" i="64"/>
  <c r="E59" i="70" s="1"/>
  <c r="N152" i="65"/>
  <c r="N34" i="65" s="1"/>
  <c r="N44" i="65" s="1"/>
  <c r="H60" i="70" s="1"/>
  <c r="M152" i="65"/>
  <c r="M34" i="65" s="1"/>
  <c r="M44" i="65" s="1"/>
  <c r="G60" i="70" s="1"/>
  <c r="L62" i="72"/>
  <c r="Q62" i="72" s="1"/>
  <c r="L124" i="72"/>
  <c r="Q124" i="72" s="1"/>
  <c r="K122" i="72"/>
  <c r="P60" i="72"/>
  <c r="L69" i="64"/>
  <c r="M69" i="64"/>
  <c r="K365" i="64"/>
  <c r="N182" i="64"/>
  <c r="N305" i="64"/>
  <c r="N158" i="64"/>
  <c r="N160" i="64" s="1"/>
  <c r="N52" i="64" s="1"/>
  <c r="M226" i="64"/>
  <c r="M114" i="64" s="1"/>
  <c r="M115" i="64" s="1"/>
  <c r="M41" i="64" s="1"/>
  <c r="N223" i="64"/>
  <c r="N359" i="64"/>
  <c r="M212" i="64"/>
  <c r="M109" i="64" s="1"/>
  <c r="M110" i="64" s="1"/>
  <c r="M47" i="64" s="1"/>
  <c r="N211" i="64"/>
  <c r="M359" i="64"/>
  <c r="M365" i="64" s="1"/>
  <c r="N68" i="64"/>
  <c r="N386" i="64"/>
  <c r="M93" i="64"/>
  <c r="M94" i="64" s="1"/>
  <c r="M38" i="64" s="1"/>
  <c r="N195" i="64"/>
  <c r="O195" i="64" s="1"/>
  <c r="O198" i="64" s="1"/>
  <c r="O93" i="64" s="1"/>
  <c r="O94" i="64" s="1"/>
  <c r="O38" i="64" s="1"/>
  <c r="L389" i="64"/>
  <c r="L65" i="64"/>
  <c r="F59" i="70" s="1"/>
  <c r="K390" i="64"/>
  <c r="L390" i="64"/>
  <c r="M346" i="64"/>
  <c r="M186" i="64" s="1"/>
  <c r="M187" i="64" s="1"/>
  <c r="M70" i="64" s="1"/>
  <c r="M386" i="64"/>
  <c r="M68" i="64"/>
  <c r="M305" i="64"/>
  <c r="M158" i="64"/>
  <c r="M160" i="64" s="1"/>
  <c r="M52" i="64" s="1"/>
  <c r="M128" i="64" l="1"/>
  <c r="M43" i="64" s="1"/>
  <c r="M65" i="64" s="1"/>
  <c r="G59" i="70" s="1"/>
  <c r="O100" i="64"/>
  <c r="O40" i="64" s="1"/>
  <c r="N100" i="64"/>
  <c r="N40" i="64" s="1"/>
  <c r="O60" i="70"/>
  <c r="Z60" i="70"/>
  <c r="AA60" i="70"/>
  <c r="Q60" i="70"/>
  <c r="Y59" i="70"/>
  <c r="M59" i="70"/>
  <c r="N245" i="64"/>
  <c r="N125" i="64" s="1"/>
  <c r="O243" i="64"/>
  <c r="O245" i="64" s="1"/>
  <c r="O125" i="64" s="1"/>
  <c r="O384" i="64"/>
  <c r="O389" i="64" s="1"/>
  <c r="O365" i="64"/>
  <c r="N226" i="64"/>
  <c r="N114" i="64" s="1"/>
  <c r="N115" i="64" s="1"/>
  <c r="N41" i="64" s="1"/>
  <c r="O223" i="64"/>
  <c r="O226" i="64" s="1"/>
  <c r="O114" i="64" s="1"/>
  <c r="O115" i="64" s="1"/>
  <c r="O41" i="64" s="1"/>
  <c r="N212" i="64"/>
  <c r="N109" i="64" s="1"/>
  <c r="N110" i="64" s="1"/>
  <c r="N47" i="64" s="1"/>
  <c r="O211" i="64"/>
  <c r="O212" i="64" s="1"/>
  <c r="O109" i="64" s="1"/>
  <c r="O110" i="64" s="1"/>
  <c r="O47" i="64" s="1"/>
  <c r="O79" i="64"/>
  <c r="I124" i="70" s="1"/>
  <c r="X59" i="70"/>
  <c r="K59" i="70"/>
  <c r="N346" i="64"/>
  <c r="N186" i="64" s="1"/>
  <c r="N187" i="64" s="1"/>
  <c r="N70" i="64" s="1"/>
  <c r="K81" i="64"/>
  <c r="M62" i="72"/>
  <c r="R62" i="72" s="1"/>
  <c r="N58" i="65"/>
  <c r="L60" i="72"/>
  <c r="Q60" i="72" s="1"/>
  <c r="M58" i="65"/>
  <c r="N198" i="64"/>
  <c r="N93" i="64" s="1"/>
  <c r="N94" i="64" s="1"/>
  <c r="N38" i="64" s="1"/>
  <c r="K62" i="72"/>
  <c r="P62" i="72" s="1"/>
  <c r="M60" i="72"/>
  <c r="R60" i="72" s="1"/>
  <c r="K63" i="72"/>
  <c r="M124" i="72"/>
  <c r="R124" i="72" s="1"/>
  <c r="L79" i="64"/>
  <c r="L122" i="72"/>
  <c r="P122" i="72"/>
  <c r="N69" i="64"/>
  <c r="M384" i="64"/>
  <c r="M389" i="64" s="1"/>
  <c r="N384" i="64"/>
  <c r="N389" i="64" s="1"/>
  <c r="N365" i="64"/>
  <c r="M79" i="64"/>
  <c r="G124" i="70" s="1"/>
  <c r="O128" i="64" l="1"/>
  <c r="O43" i="64" s="1"/>
  <c r="O65" i="64" s="1"/>
  <c r="I59" i="70" s="1"/>
  <c r="N128" i="64"/>
  <c r="N43" i="64" s="1"/>
  <c r="N65" i="64" s="1"/>
  <c r="H59" i="70" s="1"/>
  <c r="O124" i="70"/>
  <c r="Z124" i="70"/>
  <c r="O59" i="70"/>
  <c r="Z59" i="70"/>
  <c r="O390" i="64"/>
  <c r="F124" i="70"/>
  <c r="N79" i="64"/>
  <c r="H124" i="70" s="1"/>
  <c r="N62" i="72"/>
  <c r="S62" i="72" s="1"/>
  <c r="L81" i="64"/>
  <c r="P63" i="72"/>
  <c r="N124" i="72"/>
  <c r="S124" i="72" s="1"/>
  <c r="L63" i="72"/>
  <c r="Q63" i="72" s="1"/>
  <c r="Q122" i="72"/>
  <c r="N60" i="72"/>
  <c r="M390" i="64"/>
  <c r="N390" i="64"/>
  <c r="M81" i="64"/>
  <c r="Q59" i="70" l="1"/>
  <c r="AA59" i="70"/>
  <c r="O81" i="64"/>
  <c r="M124" i="70"/>
  <c r="Y124" i="70"/>
  <c r="Q124" i="70"/>
  <c r="AA124" i="70"/>
  <c r="M122" i="72"/>
  <c r="R122" i="72" s="1"/>
  <c r="N81" i="64"/>
  <c r="N63" i="72"/>
  <c r="S63" i="72" s="1"/>
  <c r="M63" i="72"/>
  <c r="R63" i="72" s="1"/>
  <c r="N122" i="72"/>
  <c r="S60" i="72"/>
  <c r="U136" i="63"/>
  <c r="T136" i="63"/>
  <c r="S136" i="63"/>
  <c r="R136" i="63"/>
  <c r="M112" i="63"/>
  <c r="L112" i="63"/>
  <c r="K112" i="63"/>
  <c r="M106" i="63"/>
  <c r="M64" i="63" s="1"/>
  <c r="M65" i="63" s="1"/>
  <c r="M35" i="63" s="1"/>
  <c r="L106" i="63"/>
  <c r="L64" i="63" s="1"/>
  <c r="L65" i="63" s="1"/>
  <c r="L35" i="63" s="1"/>
  <c r="K106" i="63"/>
  <c r="K64" i="63" s="1"/>
  <c r="K65" i="63" s="1"/>
  <c r="K35" i="63" s="1"/>
  <c r="E90" i="63"/>
  <c r="E84" i="63"/>
  <c r="B64" i="63"/>
  <c r="A64" i="63"/>
  <c r="B59" i="63"/>
  <c r="A59" i="63"/>
  <c r="B58" i="63"/>
  <c r="A58" i="63"/>
  <c r="B53" i="63"/>
  <c r="A53" i="63"/>
  <c r="D35" i="63"/>
  <c r="D25" i="63"/>
  <c r="D24" i="63"/>
  <c r="K77" i="63"/>
  <c r="U519" i="62"/>
  <c r="T519" i="62"/>
  <c r="S519" i="62"/>
  <c r="R519" i="62"/>
  <c r="M463" i="62"/>
  <c r="M230" i="62" s="1"/>
  <c r="M231" i="62" s="1"/>
  <c r="M74" i="62" s="1"/>
  <c r="L463" i="62"/>
  <c r="L230" i="62" s="1"/>
  <c r="L231" i="62" s="1"/>
  <c r="L74" i="62" s="1"/>
  <c r="K463" i="62"/>
  <c r="K230" i="62" s="1"/>
  <c r="K231" i="62" s="1"/>
  <c r="K74" i="62" s="1"/>
  <c r="E463" i="62"/>
  <c r="E457" i="62"/>
  <c r="M453" i="62"/>
  <c r="M457" i="62" s="1"/>
  <c r="M225" i="62" s="1"/>
  <c r="M226" i="62" s="1"/>
  <c r="M73" i="62" s="1"/>
  <c r="L453" i="62"/>
  <c r="L457" i="62" s="1"/>
  <c r="L225" i="62" s="1"/>
  <c r="L226" i="62" s="1"/>
  <c r="L73" i="62" s="1"/>
  <c r="K453" i="62"/>
  <c r="K457" i="62" s="1"/>
  <c r="K225" i="62" s="1"/>
  <c r="K226" i="62" s="1"/>
  <c r="K73" i="62" s="1"/>
  <c r="E427" i="62"/>
  <c r="E419" i="62"/>
  <c r="E394" i="62"/>
  <c r="E387" i="62"/>
  <c r="E378" i="62"/>
  <c r="E371" i="62"/>
  <c r="M345" i="62"/>
  <c r="M150" i="62" s="1"/>
  <c r="M151" i="62" s="1"/>
  <c r="L345" i="62"/>
  <c r="L150" i="62" s="1"/>
  <c r="L151" i="62" s="1"/>
  <c r="K345" i="62"/>
  <c r="K150" i="62" s="1"/>
  <c r="K151" i="62" s="1"/>
  <c r="E345" i="62"/>
  <c r="M339" i="62"/>
  <c r="M145" i="62" s="1"/>
  <c r="M146" i="62" s="1"/>
  <c r="M43" i="62" s="1"/>
  <c r="L339" i="62"/>
  <c r="L145" i="62" s="1"/>
  <c r="L146" i="62" s="1"/>
  <c r="L43" i="62" s="1"/>
  <c r="K339" i="62"/>
  <c r="K145" i="62" s="1"/>
  <c r="K146" i="62" s="1"/>
  <c r="K43" i="62" s="1"/>
  <c r="E339" i="62"/>
  <c r="E317" i="62"/>
  <c r="E306" i="62"/>
  <c r="M299" i="62"/>
  <c r="M118" i="62" s="1"/>
  <c r="M119" i="62" s="1"/>
  <c r="M39" i="62" s="1"/>
  <c r="L299" i="62"/>
  <c r="L118" i="62" s="1"/>
  <c r="L119" i="62" s="1"/>
  <c r="L39" i="62" s="1"/>
  <c r="K299" i="62"/>
  <c r="K118" i="62" s="1"/>
  <c r="K119" i="62" s="1"/>
  <c r="K39" i="62" s="1"/>
  <c r="E299" i="62"/>
  <c r="E293" i="62"/>
  <c r="E273" i="62"/>
  <c r="E259" i="62"/>
  <c r="B230" i="62"/>
  <c r="A230" i="62"/>
  <c r="B225" i="62"/>
  <c r="A225" i="62"/>
  <c r="B219" i="62"/>
  <c r="A219" i="62"/>
  <c r="B214" i="62"/>
  <c r="A214" i="62"/>
  <c r="M210" i="62"/>
  <c r="M70" i="62" s="1"/>
  <c r="L210" i="62"/>
  <c r="L70" i="62" s="1"/>
  <c r="K210" i="62"/>
  <c r="K70" i="62" s="1"/>
  <c r="B209" i="62"/>
  <c r="A209" i="62"/>
  <c r="B199" i="62"/>
  <c r="A199" i="62"/>
  <c r="B194" i="62"/>
  <c r="A194" i="62"/>
  <c r="B193" i="62"/>
  <c r="A193" i="62"/>
  <c r="B188" i="62"/>
  <c r="A188" i="62"/>
  <c r="B183" i="62"/>
  <c r="A183" i="62"/>
  <c r="B178" i="62"/>
  <c r="A178" i="62"/>
  <c r="B173" i="62"/>
  <c r="A173" i="62"/>
  <c r="B150" i="62"/>
  <c r="A150" i="62"/>
  <c r="B145" i="62"/>
  <c r="A145" i="62"/>
  <c r="B139" i="62"/>
  <c r="A139" i="62"/>
  <c r="B140" i="62"/>
  <c r="A140" i="62"/>
  <c r="B128" i="62"/>
  <c r="A128" i="62"/>
  <c r="B123" i="62"/>
  <c r="A123" i="62"/>
  <c r="B118" i="62"/>
  <c r="A118" i="62"/>
  <c r="B113" i="62"/>
  <c r="A113" i="62"/>
  <c r="B112" i="62"/>
  <c r="A112" i="62"/>
  <c r="B106" i="62"/>
  <c r="A106" i="62"/>
  <c r="B101" i="62"/>
  <c r="A101" i="62"/>
  <c r="B96" i="62"/>
  <c r="A96" i="62"/>
  <c r="D74" i="62"/>
  <c r="D73" i="62"/>
  <c r="D72" i="62"/>
  <c r="D71" i="62"/>
  <c r="D70" i="62"/>
  <c r="D55" i="62"/>
  <c r="D54" i="62"/>
  <c r="D52" i="62"/>
  <c r="D51" i="62"/>
  <c r="D50" i="62"/>
  <c r="D49" i="62"/>
  <c r="D44" i="62"/>
  <c r="D43" i="62"/>
  <c r="D42" i="62"/>
  <c r="D41" i="62"/>
  <c r="D40" i="62"/>
  <c r="D39" i="62"/>
  <c r="D38" i="62"/>
  <c r="D37" i="62"/>
  <c r="D36" i="62"/>
  <c r="D35" i="62"/>
  <c r="K330" i="62"/>
  <c r="K333" i="62" s="1"/>
  <c r="U462" i="61"/>
  <c r="T462" i="61"/>
  <c r="S462" i="61"/>
  <c r="R462" i="61"/>
  <c r="T428" i="61"/>
  <c r="T426" i="61"/>
  <c r="T429" i="61" s="1"/>
  <c r="T432" i="61" s="1"/>
  <c r="V425" i="61"/>
  <c r="T425" i="61"/>
  <c r="E423" i="61"/>
  <c r="T422" i="61"/>
  <c r="E419" i="61"/>
  <c r="O409" i="61" s="1"/>
  <c r="E418" i="61"/>
  <c r="E417" i="61"/>
  <c r="E416" i="61"/>
  <c r="U422" i="61"/>
  <c r="Q409" i="61"/>
  <c r="E363" i="61"/>
  <c r="M143" i="61"/>
  <c r="L143" i="61"/>
  <c r="K143" i="61"/>
  <c r="E343" i="61"/>
  <c r="M341" i="61"/>
  <c r="M343" i="61" s="1"/>
  <c r="M138" i="61" s="1"/>
  <c r="M139" i="61" s="1"/>
  <c r="M35" i="61" s="1"/>
  <c r="L340" i="61"/>
  <c r="L343" i="61" s="1"/>
  <c r="L138" i="61" s="1"/>
  <c r="L139" i="61" s="1"/>
  <c r="L35" i="61" s="1"/>
  <c r="K339" i="61"/>
  <c r="K343" i="61" s="1"/>
  <c r="K138" i="61" s="1"/>
  <c r="K139" i="61" s="1"/>
  <c r="K35" i="61" s="1"/>
  <c r="E322" i="61"/>
  <c r="L320" i="61"/>
  <c r="M320" i="61" s="1"/>
  <c r="N320" i="61" s="1"/>
  <c r="O320" i="61" s="1"/>
  <c r="O322" i="61" s="1"/>
  <c r="E307" i="61"/>
  <c r="E283" i="61"/>
  <c r="E259" i="61"/>
  <c r="E252" i="61"/>
  <c r="K227" i="61"/>
  <c r="L227" i="61" s="1"/>
  <c r="M227" i="61" s="1"/>
  <c r="N227" i="61" s="1"/>
  <c r="O227" i="61" s="1"/>
  <c r="K226" i="61"/>
  <c r="S206" i="61"/>
  <c r="T206" i="61" s="1"/>
  <c r="S205" i="61"/>
  <c r="T205" i="61" s="1"/>
  <c r="S204" i="61"/>
  <c r="T204" i="61" s="1"/>
  <c r="S203" i="61"/>
  <c r="T203" i="61" s="1"/>
  <c r="S202" i="61"/>
  <c r="T202" i="61" s="1"/>
  <c r="S201" i="61"/>
  <c r="T201" i="61" s="1"/>
  <c r="T200" i="61"/>
  <c r="S199" i="61"/>
  <c r="T199" i="61" s="1"/>
  <c r="B173" i="61"/>
  <c r="A173" i="61"/>
  <c r="B168" i="61"/>
  <c r="A168" i="61"/>
  <c r="B163" i="61"/>
  <c r="A163" i="61"/>
  <c r="B158" i="61"/>
  <c r="A158" i="61"/>
  <c r="M153" i="61"/>
  <c r="L153" i="61"/>
  <c r="K153" i="61"/>
  <c r="M152" i="61"/>
  <c r="L152" i="61"/>
  <c r="K152" i="61"/>
  <c r="B149" i="61"/>
  <c r="A149" i="61"/>
  <c r="B144" i="61"/>
  <c r="A144" i="61"/>
  <c r="B143" i="61"/>
  <c r="A143" i="61"/>
  <c r="B138" i="61"/>
  <c r="A138" i="61"/>
  <c r="B133" i="61"/>
  <c r="A133" i="61"/>
  <c r="B118" i="61"/>
  <c r="A118" i="61"/>
  <c r="B112" i="61"/>
  <c r="A112" i="61"/>
  <c r="B106" i="61"/>
  <c r="A106" i="61"/>
  <c r="B96" i="61"/>
  <c r="A96" i="61"/>
  <c r="B91" i="61"/>
  <c r="A91" i="61"/>
  <c r="B90" i="61"/>
  <c r="A90" i="61"/>
  <c r="B85" i="61"/>
  <c r="A85" i="61"/>
  <c r="B84" i="61"/>
  <c r="A84" i="61"/>
  <c r="U83" i="61"/>
  <c r="M73" i="61"/>
  <c r="L73" i="61"/>
  <c r="K73" i="61"/>
  <c r="U71" i="61"/>
  <c r="T71" i="61"/>
  <c r="S71" i="61"/>
  <c r="D56" i="61"/>
  <c r="D55" i="61"/>
  <c r="D54" i="61"/>
  <c r="D37" i="61"/>
  <c r="D36" i="61"/>
  <c r="D35" i="61"/>
  <c r="D34" i="61"/>
  <c r="D33" i="61"/>
  <c r="D32" i="61"/>
  <c r="D31" i="61"/>
  <c r="D30" i="61"/>
  <c r="D29" i="61"/>
  <c r="D28" i="61"/>
  <c r="L357" i="61"/>
  <c r="M357" i="61" s="1"/>
  <c r="N357" i="61" s="1"/>
  <c r="O357" i="61" s="1"/>
  <c r="H300" i="61"/>
  <c r="U447" i="60"/>
  <c r="S447" i="60"/>
  <c r="R447" i="60"/>
  <c r="K404" i="60"/>
  <c r="L404" i="60" s="1"/>
  <c r="M404" i="60" s="1"/>
  <c r="O404" i="60" s="1"/>
  <c r="K403" i="60"/>
  <c r="L403" i="60" s="1"/>
  <c r="M403" i="60" s="1"/>
  <c r="K402" i="60"/>
  <c r="G389" i="60"/>
  <c r="G395" i="60" s="1"/>
  <c r="X387" i="60"/>
  <c r="U387" i="60"/>
  <c r="R387" i="60"/>
  <c r="X386" i="60"/>
  <c r="R386" i="60"/>
  <c r="W385" i="60"/>
  <c r="X385" i="60" s="1"/>
  <c r="R385" i="60"/>
  <c r="W384" i="60"/>
  <c r="X384" i="60" s="1"/>
  <c r="R384" i="60"/>
  <c r="R383" i="60"/>
  <c r="V382" i="60"/>
  <c r="W382" i="60" s="1"/>
  <c r="X382" i="60" s="1"/>
  <c r="R382" i="60"/>
  <c r="W381" i="60"/>
  <c r="X381" i="60" s="1"/>
  <c r="R381" i="60"/>
  <c r="W380" i="60"/>
  <c r="X380" i="60" s="1"/>
  <c r="R380" i="60"/>
  <c r="R379" i="60"/>
  <c r="I370" i="60"/>
  <c r="I372" i="60" s="1"/>
  <c r="H392" i="60" s="1"/>
  <c r="I392" i="60" s="1"/>
  <c r="I363" i="60"/>
  <c r="I364" i="60" s="1"/>
  <c r="I365" i="60" s="1"/>
  <c r="H378" i="60" s="1"/>
  <c r="I378" i="60" s="1"/>
  <c r="E336" i="60"/>
  <c r="M319" i="60"/>
  <c r="M217" i="60" s="1"/>
  <c r="M406" i="60" s="1"/>
  <c r="M179" i="13" s="1"/>
  <c r="L319" i="60"/>
  <c r="L217" i="60" s="1"/>
  <c r="L406" i="60" s="1"/>
  <c r="L179" i="13" s="1"/>
  <c r="K319" i="60"/>
  <c r="K217" i="60" s="1"/>
  <c r="K406" i="60" s="1"/>
  <c r="U290" i="60"/>
  <c r="S290" i="60"/>
  <c r="E247" i="60"/>
  <c r="M240" i="60"/>
  <c r="L240" i="60"/>
  <c r="L105" i="60" s="1"/>
  <c r="M105" i="60" s="1"/>
  <c r="N105" i="60" s="1"/>
  <c r="K240" i="60"/>
  <c r="K105" i="60" s="1"/>
  <c r="E240" i="60"/>
  <c r="E231" i="60"/>
  <c r="E213" i="60"/>
  <c r="M187" i="60"/>
  <c r="M188" i="60" s="1"/>
  <c r="M60" i="60" s="1"/>
  <c r="L187" i="60"/>
  <c r="L188" i="60" s="1"/>
  <c r="L60" i="60" s="1"/>
  <c r="K187" i="60"/>
  <c r="K188" i="60" s="1"/>
  <c r="K286" i="60" s="1"/>
  <c r="B187" i="60"/>
  <c r="A187" i="60"/>
  <c r="B183" i="60"/>
  <c r="A183" i="60"/>
  <c r="B182" i="60"/>
  <c r="A182" i="60"/>
  <c r="B177" i="60"/>
  <c r="A177" i="60"/>
  <c r="B171" i="60"/>
  <c r="A171" i="60"/>
  <c r="M170" i="60"/>
  <c r="M421" i="60" s="1"/>
  <c r="L170" i="60"/>
  <c r="L421" i="60" s="1"/>
  <c r="K170" i="60"/>
  <c r="K421" i="60" s="1"/>
  <c r="B170" i="60"/>
  <c r="A170" i="60"/>
  <c r="B169" i="60"/>
  <c r="A169" i="60"/>
  <c r="B168" i="60"/>
  <c r="A168" i="60"/>
  <c r="B162" i="60"/>
  <c r="A162" i="60"/>
  <c r="B161" i="60"/>
  <c r="A161" i="60"/>
  <c r="B156" i="60"/>
  <c r="A156" i="60"/>
  <c r="B151" i="60"/>
  <c r="A151" i="60"/>
  <c r="B146" i="60"/>
  <c r="A146" i="60"/>
  <c r="B145" i="60"/>
  <c r="A145" i="60"/>
  <c r="B140" i="60"/>
  <c r="A140" i="60"/>
  <c r="B139" i="60"/>
  <c r="A139" i="60"/>
  <c r="B134" i="60"/>
  <c r="A134" i="60"/>
  <c r="B133" i="60"/>
  <c r="A133" i="60"/>
  <c r="B128" i="60"/>
  <c r="A128" i="60"/>
  <c r="B127" i="60"/>
  <c r="A127" i="60"/>
  <c r="B122" i="60"/>
  <c r="A122" i="60"/>
  <c r="B121" i="60"/>
  <c r="A121" i="60"/>
  <c r="B120" i="60"/>
  <c r="A120" i="60"/>
  <c r="B119" i="60"/>
  <c r="A119" i="60"/>
  <c r="B118" i="60"/>
  <c r="A118" i="60"/>
  <c r="B113" i="60"/>
  <c r="A113" i="60"/>
  <c r="B112" i="60"/>
  <c r="A112" i="60"/>
  <c r="B107" i="60"/>
  <c r="A107" i="60"/>
  <c r="B106" i="60"/>
  <c r="A106" i="60"/>
  <c r="B105" i="60"/>
  <c r="A105" i="60"/>
  <c r="W103" i="60"/>
  <c r="B100" i="60"/>
  <c r="A100" i="60"/>
  <c r="B99" i="60"/>
  <c r="A99" i="60"/>
  <c r="B98" i="60"/>
  <c r="A98" i="60"/>
  <c r="W96" i="60"/>
  <c r="B93" i="60"/>
  <c r="A93" i="60"/>
  <c r="B92" i="60"/>
  <c r="A92" i="60"/>
  <c r="B91" i="60"/>
  <c r="A91" i="60"/>
  <c r="B86" i="60"/>
  <c r="A86" i="60"/>
  <c r="B85" i="60"/>
  <c r="A85" i="60"/>
  <c r="U71" i="60"/>
  <c r="D57" i="60"/>
  <c r="D56" i="60"/>
  <c r="D44" i="60"/>
  <c r="D43" i="60"/>
  <c r="D42" i="60"/>
  <c r="D41" i="60"/>
  <c r="D40" i="60"/>
  <c r="D39" i="60"/>
  <c r="D38" i="60"/>
  <c r="D37" i="60"/>
  <c r="D36" i="60"/>
  <c r="D35" i="60"/>
  <c r="D34" i="60"/>
  <c r="D33" i="60"/>
  <c r="D32" i="60"/>
  <c r="K332" i="60"/>
  <c r="M311" i="59"/>
  <c r="M192" i="59" s="1"/>
  <c r="M193" i="59" s="1"/>
  <c r="M66" i="59" s="1"/>
  <c r="L311" i="59"/>
  <c r="L192" i="59" s="1"/>
  <c r="L193" i="59" s="1"/>
  <c r="L66" i="59" s="1"/>
  <c r="K311" i="59"/>
  <c r="K192" i="59" s="1"/>
  <c r="K193" i="59" s="1"/>
  <c r="K66" i="59" s="1"/>
  <c r="E311" i="59"/>
  <c r="M306" i="59"/>
  <c r="M187" i="59" s="1"/>
  <c r="M188" i="59" s="1"/>
  <c r="M65" i="59" s="1"/>
  <c r="L306" i="59"/>
  <c r="L187" i="59" s="1"/>
  <c r="L188" i="59" s="1"/>
  <c r="L65" i="59" s="1"/>
  <c r="K306" i="59"/>
  <c r="K187" i="59" s="1"/>
  <c r="K188" i="59" s="1"/>
  <c r="K65" i="59" s="1"/>
  <c r="E306" i="59"/>
  <c r="M301" i="59"/>
  <c r="M182" i="59" s="1"/>
  <c r="M183" i="59" s="1"/>
  <c r="M64" i="59" s="1"/>
  <c r="L301" i="59"/>
  <c r="L182" i="59" s="1"/>
  <c r="L183" i="59" s="1"/>
  <c r="L64" i="59" s="1"/>
  <c r="K301" i="59"/>
  <c r="K182" i="59" s="1"/>
  <c r="K183" i="59" s="1"/>
  <c r="K64" i="59" s="1"/>
  <c r="E301" i="59"/>
  <c r="M296" i="59"/>
  <c r="M177" i="59" s="1"/>
  <c r="M178" i="59" s="1"/>
  <c r="M63" i="59" s="1"/>
  <c r="L296" i="59"/>
  <c r="L177" i="59" s="1"/>
  <c r="L178" i="59" s="1"/>
  <c r="L63" i="59" s="1"/>
  <c r="K296" i="59"/>
  <c r="K177" i="59" s="1"/>
  <c r="K178" i="59" s="1"/>
  <c r="K63" i="59" s="1"/>
  <c r="E296" i="59"/>
  <c r="M291" i="59"/>
  <c r="M172" i="59" s="1"/>
  <c r="M173" i="59" s="1"/>
  <c r="M62" i="59" s="1"/>
  <c r="L291" i="59"/>
  <c r="L172" i="59" s="1"/>
  <c r="L173" i="59" s="1"/>
  <c r="L62" i="59" s="1"/>
  <c r="K291" i="59"/>
  <c r="K172" i="59" s="1"/>
  <c r="K173" i="59" s="1"/>
  <c r="K62" i="59" s="1"/>
  <c r="E291" i="59"/>
  <c r="M286" i="59"/>
  <c r="M167" i="59" s="1"/>
  <c r="M168" i="59" s="1"/>
  <c r="M61" i="59" s="1"/>
  <c r="L286" i="59"/>
  <c r="L167" i="59" s="1"/>
  <c r="L168" i="59" s="1"/>
  <c r="L61" i="59" s="1"/>
  <c r="K286" i="59"/>
  <c r="K167" i="59" s="1"/>
  <c r="K168" i="59" s="1"/>
  <c r="K61" i="59" s="1"/>
  <c r="E286" i="59"/>
  <c r="M281" i="59"/>
  <c r="M162" i="59" s="1"/>
  <c r="M163" i="59" s="1"/>
  <c r="M60" i="59" s="1"/>
  <c r="L281" i="59"/>
  <c r="L162" i="59" s="1"/>
  <c r="L163" i="59" s="1"/>
  <c r="L60" i="59" s="1"/>
  <c r="K281" i="59"/>
  <c r="K162" i="59" s="1"/>
  <c r="K163" i="59" s="1"/>
  <c r="K60" i="59" s="1"/>
  <c r="E281" i="59"/>
  <c r="M276" i="59"/>
  <c r="M157" i="59" s="1"/>
  <c r="M158" i="59" s="1"/>
  <c r="M59" i="59" s="1"/>
  <c r="L276" i="59"/>
  <c r="L157" i="59" s="1"/>
  <c r="L158" i="59" s="1"/>
  <c r="L59" i="59" s="1"/>
  <c r="K276" i="59"/>
  <c r="K157" i="59" s="1"/>
  <c r="K158" i="59" s="1"/>
  <c r="K59" i="59" s="1"/>
  <c r="E276" i="59"/>
  <c r="E271" i="59"/>
  <c r="E265" i="59"/>
  <c r="M258" i="59"/>
  <c r="M152" i="59" s="1"/>
  <c r="M153" i="59" s="1"/>
  <c r="M54" i="59" s="1"/>
  <c r="L258" i="59"/>
  <c r="L152" i="59" s="1"/>
  <c r="L153" i="59" s="1"/>
  <c r="L54" i="59" s="1"/>
  <c r="K258" i="59"/>
  <c r="K152" i="59" s="1"/>
  <c r="K153" i="59" s="1"/>
  <c r="K54" i="59" s="1"/>
  <c r="E258" i="59"/>
  <c r="M253" i="59"/>
  <c r="M147" i="59" s="1"/>
  <c r="M148" i="59" s="1"/>
  <c r="M53" i="59" s="1"/>
  <c r="L253" i="59"/>
  <c r="L147" i="59" s="1"/>
  <c r="L148" i="59" s="1"/>
  <c r="L53" i="59" s="1"/>
  <c r="K253" i="59"/>
  <c r="K147" i="59" s="1"/>
  <c r="K148" i="59" s="1"/>
  <c r="K53" i="59" s="1"/>
  <c r="E253" i="59"/>
  <c r="M248" i="59"/>
  <c r="M142" i="59" s="1"/>
  <c r="M143" i="59" s="1"/>
  <c r="M52" i="59" s="1"/>
  <c r="L248" i="59"/>
  <c r="L142" i="59" s="1"/>
  <c r="L143" i="59" s="1"/>
  <c r="L52" i="59" s="1"/>
  <c r="K248" i="59"/>
  <c r="K142" i="59" s="1"/>
  <c r="K143" i="59" s="1"/>
  <c r="K52" i="59" s="1"/>
  <c r="E248" i="59"/>
  <c r="M243" i="59"/>
  <c r="M137" i="59" s="1"/>
  <c r="M138" i="59" s="1"/>
  <c r="M51" i="59" s="1"/>
  <c r="L243" i="59"/>
  <c r="L137" i="59" s="1"/>
  <c r="L138" i="59" s="1"/>
  <c r="L51" i="59" s="1"/>
  <c r="K243" i="59"/>
  <c r="K137" i="59" s="1"/>
  <c r="K138" i="59" s="1"/>
  <c r="K51" i="59" s="1"/>
  <c r="E243" i="59"/>
  <c r="M238" i="59"/>
  <c r="M132" i="59" s="1"/>
  <c r="M133" i="59" s="1"/>
  <c r="M50" i="59" s="1"/>
  <c r="L238" i="59"/>
  <c r="L132" i="59" s="1"/>
  <c r="L133" i="59" s="1"/>
  <c r="L50" i="59" s="1"/>
  <c r="K238" i="59"/>
  <c r="K132" i="59" s="1"/>
  <c r="K133" i="59" s="1"/>
  <c r="K50" i="59" s="1"/>
  <c r="E238" i="59"/>
  <c r="M233" i="59"/>
  <c r="M127" i="59" s="1"/>
  <c r="M128" i="59" s="1"/>
  <c r="M49" i="59" s="1"/>
  <c r="L233" i="59"/>
  <c r="L127" i="59" s="1"/>
  <c r="L128" i="59" s="1"/>
  <c r="L49" i="59" s="1"/>
  <c r="K233" i="59"/>
  <c r="K127" i="59" s="1"/>
  <c r="K128" i="59" s="1"/>
  <c r="K49" i="59" s="1"/>
  <c r="E233" i="59"/>
  <c r="M228" i="59"/>
  <c r="M122" i="59" s="1"/>
  <c r="M123" i="59" s="1"/>
  <c r="M48" i="59" s="1"/>
  <c r="L228" i="59"/>
  <c r="L122" i="59" s="1"/>
  <c r="L123" i="59" s="1"/>
  <c r="L48" i="59" s="1"/>
  <c r="K228" i="59"/>
  <c r="K122" i="59" s="1"/>
  <c r="K123" i="59" s="1"/>
  <c r="K48" i="59" s="1"/>
  <c r="E228" i="59"/>
  <c r="M223" i="59"/>
  <c r="M117" i="59" s="1"/>
  <c r="M118" i="59" s="1"/>
  <c r="M47" i="59" s="1"/>
  <c r="L223" i="59"/>
  <c r="L117" i="59" s="1"/>
  <c r="L118" i="59" s="1"/>
  <c r="L47" i="59" s="1"/>
  <c r="K223" i="59"/>
  <c r="K117" i="59" s="1"/>
  <c r="K118" i="59" s="1"/>
  <c r="K47" i="59" s="1"/>
  <c r="E223" i="59"/>
  <c r="E218" i="59"/>
  <c r="E212" i="59"/>
  <c r="B192" i="59"/>
  <c r="A192" i="59"/>
  <c r="B187" i="59"/>
  <c r="A187" i="59"/>
  <c r="B182" i="59"/>
  <c r="A182" i="59"/>
  <c r="B177" i="59"/>
  <c r="A177" i="59"/>
  <c r="B172" i="59"/>
  <c r="A172" i="59"/>
  <c r="B167" i="59"/>
  <c r="A167" i="59"/>
  <c r="B162" i="59"/>
  <c r="A162" i="59"/>
  <c r="B157" i="59"/>
  <c r="A157" i="59"/>
  <c r="B152" i="59"/>
  <c r="A152" i="59"/>
  <c r="B147" i="59"/>
  <c r="A147" i="59"/>
  <c r="B142" i="59"/>
  <c r="A142" i="59"/>
  <c r="B137" i="59"/>
  <c r="A137" i="59"/>
  <c r="B132" i="59"/>
  <c r="A132" i="59"/>
  <c r="B127" i="59"/>
  <c r="A127" i="59"/>
  <c r="B122" i="59"/>
  <c r="A122" i="59"/>
  <c r="B117" i="59"/>
  <c r="A117" i="59"/>
  <c r="M112" i="59"/>
  <c r="L112" i="59"/>
  <c r="K112" i="59"/>
  <c r="B112" i="59"/>
  <c r="A112" i="59"/>
  <c r="B111" i="59"/>
  <c r="A111" i="59"/>
  <c r="B106" i="59"/>
  <c r="A106" i="59"/>
  <c r="B101" i="59"/>
  <c r="A101" i="59"/>
  <c r="B96" i="59"/>
  <c r="A96" i="59"/>
  <c r="B91" i="59"/>
  <c r="A91" i="59"/>
  <c r="D66" i="59"/>
  <c r="D65" i="59"/>
  <c r="D64" i="59"/>
  <c r="D63" i="59"/>
  <c r="D62" i="59"/>
  <c r="D61" i="59"/>
  <c r="D60" i="59"/>
  <c r="D59" i="59"/>
  <c r="D54" i="59"/>
  <c r="D53" i="59"/>
  <c r="D52" i="59"/>
  <c r="D51" i="59"/>
  <c r="D50" i="59"/>
  <c r="D49" i="59"/>
  <c r="D48" i="59"/>
  <c r="D47" i="59"/>
  <c r="D46" i="59"/>
  <c r="D45" i="59"/>
  <c r="D44" i="59"/>
  <c r="D43" i="59"/>
  <c r="D42" i="59"/>
  <c r="K140" i="62" l="1"/>
  <c r="O126" i="61"/>
  <c r="L58" i="61"/>
  <c r="L41" i="61"/>
  <c r="K58" i="61"/>
  <c r="K41" i="61"/>
  <c r="M58" i="61"/>
  <c r="M41" i="61"/>
  <c r="N108" i="60"/>
  <c r="O105" i="60"/>
  <c r="O108" i="60" s="1"/>
  <c r="K70" i="59"/>
  <c r="E119" i="70" s="1"/>
  <c r="L402" i="60"/>
  <c r="M402" i="60" s="1"/>
  <c r="L438" i="61"/>
  <c r="K438" i="61"/>
  <c r="K229" i="61"/>
  <c r="L226" i="61"/>
  <c r="M409" i="61"/>
  <c r="N409" i="61"/>
  <c r="S122" i="72"/>
  <c r="N292" i="60"/>
  <c r="N35" i="60"/>
  <c r="M70" i="59"/>
  <c r="G119" i="70" s="1"/>
  <c r="L44" i="62"/>
  <c r="M44" i="62"/>
  <c r="M438" i="61"/>
  <c r="V383" i="60"/>
  <c r="H390" i="60"/>
  <c r="I390" i="60" s="1"/>
  <c r="L324" i="60"/>
  <c r="L161" i="60" s="1"/>
  <c r="L162" i="60" s="1"/>
  <c r="L163" i="60" s="1"/>
  <c r="K80" i="63"/>
  <c r="L80" i="63" s="1"/>
  <c r="M80" i="63" s="1"/>
  <c r="N80" i="63" s="1"/>
  <c r="O80" i="63" s="1"/>
  <c r="L278" i="62"/>
  <c r="M278" i="62" s="1"/>
  <c r="N278" i="62" s="1"/>
  <c r="O278" i="62" s="1"/>
  <c r="L409" i="62"/>
  <c r="M409" i="62" s="1"/>
  <c r="N409" i="62" s="1"/>
  <c r="O409" i="62" s="1"/>
  <c r="L290" i="62"/>
  <c r="L330" i="62" s="1"/>
  <c r="L304" i="62"/>
  <c r="M304" i="62" s="1"/>
  <c r="N304" i="62" s="1"/>
  <c r="O304" i="62" s="1"/>
  <c r="L283" i="62"/>
  <c r="M283" i="62" s="1"/>
  <c r="N283" i="62" s="1"/>
  <c r="O283" i="62" s="1"/>
  <c r="L286" i="62"/>
  <c r="M286" i="62" s="1"/>
  <c r="N286" i="62" s="1"/>
  <c r="O286" i="62" s="1"/>
  <c r="K330" i="60"/>
  <c r="L330" i="60" s="1"/>
  <c r="K331" i="60"/>
  <c r="L331" i="60" s="1"/>
  <c r="M331" i="60" s="1"/>
  <c r="N331" i="60" s="1"/>
  <c r="O331" i="60" s="1"/>
  <c r="L399" i="62"/>
  <c r="M399" i="62" s="1"/>
  <c r="N399" i="62" s="1"/>
  <c r="O399" i="62" s="1"/>
  <c r="L77" i="63"/>
  <c r="M77" i="63" s="1"/>
  <c r="N77" i="63" s="1"/>
  <c r="O77" i="63" s="1"/>
  <c r="K353" i="61"/>
  <c r="L209" i="59"/>
  <c r="M209" i="59" s="1"/>
  <c r="N209" i="59" s="1"/>
  <c r="O209" i="59" s="1"/>
  <c r="L206" i="59"/>
  <c r="L332" i="60"/>
  <c r="M332" i="60" s="1"/>
  <c r="N332" i="60" s="1"/>
  <c r="O332" i="60" s="1"/>
  <c r="L305" i="62"/>
  <c r="M305" i="62" s="1"/>
  <c r="N305" i="62" s="1"/>
  <c r="O305" i="62" s="1"/>
  <c r="K369" i="62"/>
  <c r="K371" i="62" s="1"/>
  <c r="K173" i="62" s="1"/>
  <c r="L404" i="62"/>
  <c r="M404" i="62" s="1"/>
  <c r="N404" i="62" s="1"/>
  <c r="O404" i="62" s="1"/>
  <c r="L405" i="62"/>
  <c r="M405" i="62" s="1"/>
  <c r="N405" i="62" s="1"/>
  <c r="O405" i="62" s="1"/>
  <c r="L407" i="62"/>
  <c r="M407" i="62" s="1"/>
  <c r="N407" i="62" s="1"/>
  <c r="O407" i="62" s="1"/>
  <c r="K354" i="61"/>
  <c r="L354" i="61" s="1"/>
  <c r="M354" i="61" s="1"/>
  <c r="N354" i="61" s="1"/>
  <c r="O354" i="61" s="1"/>
  <c r="L408" i="62"/>
  <c r="M408" i="62" s="1"/>
  <c r="N408" i="62" s="1"/>
  <c r="O408" i="62" s="1"/>
  <c r="K42" i="63"/>
  <c r="K138" i="63"/>
  <c r="L138" i="63"/>
  <c r="L42" i="63"/>
  <c r="M138" i="63"/>
  <c r="M42" i="63"/>
  <c r="L89" i="63"/>
  <c r="K90" i="63"/>
  <c r="K58" i="63" s="1"/>
  <c r="L291" i="62"/>
  <c r="L417" i="62"/>
  <c r="K44" i="62"/>
  <c r="K419" i="62"/>
  <c r="L285" i="62"/>
  <c r="M285" i="62" s="1"/>
  <c r="N285" i="62" s="1"/>
  <c r="O285" i="62" s="1"/>
  <c r="L289" i="62"/>
  <c r="M289" i="62" s="1"/>
  <c r="N289" i="62" s="1"/>
  <c r="O289" i="62" s="1"/>
  <c r="L284" i="62"/>
  <c r="M284" i="62" s="1"/>
  <c r="N284" i="62" s="1"/>
  <c r="O284" i="62" s="1"/>
  <c r="L288" i="62"/>
  <c r="M288" i="62" s="1"/>
  <c r="N288" i="62" s="1"/>
  <c r="O288" i="62" s="1"/>
  <c r="L406" i="62"/>
  <c r="M406" i="62" s="1"/>
  <c r="N406" i="62" s="1"/>
  <c r="O406" i="62" s="1"/>
  <c r="K144" i="61"/>
  <c r="K145" i="61" s="1"/>
  <c r="K36" i="61" s="1"/>
  <c r="M144" i="61"/>
  <c r="M145" i="61" s="1"/>
  <c r="M36" i="61" s="1"/>
  <c r="L144" i="61"/>
  <c r="L145" i="61" s="1"/>
  <c r="L36" i="61" s="1"/>
  <c r="K409" i="61"/>
  <c r="L409" i="61"/>
  <c r="H303" i="61"/>
  <c r="H302" i="61"/>
  <c r="K302" i="61" s="1"/>
  <c r="H299" i="61"/>
  <c r="K355" i="61"/>
  <c r="L355" i="61" s="1"/>
  <c r="M355" i="61" s="1"/>
  <c r="N355" i="61" s="1"/>
  <c r="O355" i="61" s="1"/>
  <c r="K356" i="61"/>
  <c r="L356" i="61" s="1"/>
  <c r="M356" i="61" s="1"/>
  <c r="N356" i="61" s="1"/>
  <c r="O356" i="61" s="1"/>
  <c r="K306" i="61"/>
  <c r="L306" i="61" s="1"/>
  <c r="M306" i="61" s="1"/>
  <c r="N306" i="61" s="1"/>
  <c r="O306" i="61" s="1"/>
  <c r="X388" i="60"/>
  <c r="L286" i="60"/>
  <c r="M286" i="60"/>
  <c r="K60" i="60"/>
  <c r="W383" i="60"/>
  <c r="W388" i="60" s="1"/>
  <c r="I367" i="60"/>
  <c r="H381" i="60" s="1"/>
  <c r="I381" i="60" s="1"/>
  <c r="Q365" i="60"/>
  <c r="H391" i="60"/>
  <c r="I391" i="60" s="1"/>
  <c r="K324" i="60"/>
  <c r="K161" i="60" s="1"/>
  <c r="P367" i="60"/>
  <c r="L70" i="59"/>
  <c r="F119" i="70" s="1"/>
  <c r="L264" i="59"/>
  <c r="M264" i="59" s="1"/>
  <c r="N264" i="59" s="1"/>
  <c r="O264" i="59" s="1"/>
  <c r="L208" i="59"/>
  <c r="M208" i="59" s="1"/>
  <c r="N208" i="59" s="1"/>
  <c r="O208" i="59" s="1"/>
  <c r="K263" i="59"/>
  <c r="X119" i="70" l="1"/>
  <c r="K119" i="70"/>
  <c r="O119" i="70"/>
  <c r="Z119" i="70"/>
  <c r="Y119" i="70"/>
  <c r="M119" i="70"/>
  <c r="N303" i="61"/>
  <c r="O303" i="61"/>
  <c r="O307" i="61" s="1"/>
  <c r="O292" i="60"/>
  <c r="O35" i="60"/>
  <c r="M226" i="61"/>
  <c r="L229" i="61"/>
  <c r="M417" i="62"/>
  <c r="L324" i="62"/>
  <c r="L353" i="61"/>
  <c r="M353" i="61" s="1"/>
  <c r="N353" i="61" s="1"/>
  <c r="K363" i="61"/>
  <c r="K149" i="61" s="1"/>
  <c r="N307" i="61"/>
  <c r="N124" i="61" s="1"/>
  <c r="K121" i="72"/>
  <c r="P121" i="72" s="1"/>
  <c r="M121" i="72"/>
  <c r="R121" i="72" s="1"/>
  <c r="M117" i="72"/>
  <c r="R117" i="72" s="1"/>
  <c r="N117" i="72"/>
  <c r="S117" i="72" s="1"/>
  <c r="N121" i="72"/>
  <c r="S121" i="72" s="1"/>
  <c r="L117" i="72"/>
  <c r="Q117" i="72" s="1"/>
  <c r="L121" i="72"/>
  <c r="Q121" i="72" s="1"/>
  <c r="K117" i="72"/>
  <c r="P117" i="72" s="1"/>
  <c r="K76" i="63"/>
  <c r="K84" i="63" s="1"/>
  <c r="K53" i="63" s="1"/>
  <c r="K54" i="63" s="1"/>
  <c r="K24" i="63" s="1"/>
  <c r="H385" i="60"/>
  <c r="I385" i="60" s="1"/>
  <c r="M324" i="60"/>
  <c r="M161" i="60" s="1"/>
  <c r="M162" i="60" s="1"/>
  <c r="M163" i="60" s="1"/>
  <c r="M300" i="60" s="1"/>
  <c r="K290" i="61"/>
  <c r="K112" i="61" s="1"/>
  <c r="K113" i="61" s="1"/>
  <c r="K114" i="61" s="1"/>
  <c r="K32" i="61" s="1"/>
  <c r="L401" i="62"/>
  <c r="L369" i="62" s="1"/>
  <c r="L371" i="62" s="1"/>
  <c r="L173" i="62" s="1"/>
  <c r="L376" i="62"/>
  <c r="K267" i="61"/>
  <c r="K102" i="59"/>
  <c r="K44" i="59" s="1"/>
  <c r="K134" i="60"/>
  <c r="K135" i="60" s="1"/>
  <c r="K445" i="62"/>
  <c r="K219" i="62" s="1"/>
  <c r="L90" i="61"/>
  <c r="L91" i="61" s="1"/>
  <c r="L92" i="61" s="1"/>
  <c r="K98" i="61"/>
  <c r="K336" i="60"/>
  <c r="K168" i="60" s="1"/>
  <c r="K420" i="60" s="1"/>
  <c r="L270" i="62"/>
  <c r="K90" i="61"/>
  <c r="K91" i="61" s="1"/>
  <c r="K92" i="61" s="1"/>
  <c r="K29" i="61" s="1"/>
  <c r="K269" i="59"/>
  <c r="M89" i="63"/>
  <c r="L90" i="63"/>
  <c r="L58" i="63" s="1"/>
  <c r="K60" i="63"/>
  <c r="K25" i="63" s="1"/>
  <c r="K111" i="63"/>
  <c r="K306" i="62"/>
  <c r="K123" i="62" s="1"/>
  <c r="K124" i="62" s="1"/>
  <c r="K40" i="62" s="1"/>
  <c r="L302" i="62"/>
  <c r="K293" i="62"/>
  <c r="L402" i="62"/>
  <c r="K385" i="62"/>
  <c r="K387" i="62" s="1"/>
  <c r="K183" i="62" s="1"/>
  <c r="K184" i="62" s="1"/>
  <c r="K51" i="62" s="1"/>
  <c r="K139" i="62"/>
  <c r="L426" i="62"/>
  <c r="K427" i="62"/>
  <c r="K199" i="62" s="1"/>
  <c r="K174" i="62"/>
  <c r="K49" i="62" s="1"/>
  <c r="L416" i="62"/>
  <c r="K195" i="62"/>
  <c r="K54" i="62" s="1"/>
  <c r="K307" i="61"/>
  <c r="K124" i="61" s="1"/>
  <c r="K99" i="61"/>
  <c r="K322" i="61"/>
  <c r="M303" i="61"/>
  <c r="M307" i="61" s="1"/>
  <c r="M124" i="61" s="1"/>
  <c r="L303" i="61"/>
  <c r="L307" i="61" s="1"/>
  <c r="L124" i="61" s="1"/>
  <c r="K163" i="61"/>
  <c r="K164" i="61" s="1"/>
  <c r="K54" i="61" s="1"/>
  <c r="K395" i="60"/>
  <c r="K162" i="60"/>
  <c r="K163" i="60" s="1"/>
  <c r="H384" i="60"/>
  <c r="I384" i="60" s="1"/>
  <c r="L43" i="60"/>
  <c r="L300" i="60"/>
  <c r="H386" i="60"/>
  <c r="I386" i="60" s="1"/>
  <c r="H383" i="60"/>
  <c r="I383" i="60" s="1"/>
  <c r="H379" i="60"/>
  <c r="L336" i="60"/>
  <c r="L168" i="60" s="1"/>
  <c r="M330" i="60"/>
  <c r="H382" i="60"/>
  <c r="I382" i="60" s="1"/>
  <c r="H387" i="60"/>
  <c r="I387" i="60" s="1"/>
  <c r="L263" i="59"/>
  <c r="K265" i="59"/>
  <c r="K106" i="59" s="1"/>
  <c r="K107" i="59" s="1"/>
  <c r="K45" i="59" s="1"/>
  <c r="M206" i="59"/>
  <c r="L212" i="59"/>
  <c r="L91" i="59" s="1"/>
  <c r="L92" i="59" s="1"/>
  <c r="L42" i="59" s="1"/>
  <c r="K212" i="59"/>
  <c r="K91" i="59" s="1"/>
  <c r="K92" i="59" s="1"/>
  <c r="K42" i="59" s="1"/>
  <c r="L329" i="62" l="1"/>
  <c r="L333" i="62" s="1"/>
  <c r="L326" i="62"/>
  <c r="K123" i="63"/>
  <c r="K124" i="63"/>
  <c r="K125" i="63"/>
  <c r="K126" i="63"/>
  <c r="K127" i="63"/>
  <c r="K131" i="63"/>
  <c r="K132" i="63"/>
  <c r="K120" i="63"/>
  <c r="K121" i="63"/>
  <c r="K122" i="63"/>
  <c r="N363" i="61"/>
  <c r="N149" i="61" s="1"/>
  <c r="O353" i="61"/>
  <c r="O363" i="61" s="1"/>
  <c r="O149" i="61" s="1"/>
  <c r="O124" i="61"/>
  <c r="O127" i="61" s="1"/>
  <c r="O129" i="61" s="1"/>
  <c r="O33" i="61" s="1"/>
  <c r="O324" i="61"/>
  <c r="K435" i="60"/>
  <c r="K436" i="60"/>
  <c r="K434" i="60"/>
  <c r="K432" i="60"/>
  <c r="K433" i="60"/>
  <c r="K441" i="60"/>
  <c r="K442" i="60"/>
  <c r="K431" i="60"/>
  <c r="K430" i="60"/>
  <c r="K437" i="60"/>
  <c r="N226" i="61"/>
  <c r="M229" i="61"/>
  <c r="L363" i="61"/>
  <c r="L149" i="61" s="1"/>
  <c r="M363" i="61"/>
  <c r="M149" i="61" s="1"/>
  <c r="M154" i="61" s="1"/>
  <c r="M37" i="61" s="1"/>
  <c r="N417" i="62"/>
  <c r="M324" i="62"/>
  <c r="L76" i="63"/>
  <c r="M76" i="63" s="1"/>
  <c r="K120" i="72"/>
  <c r="P120" i="72" s="1"/>
  <c r="L84" i="63"/>
  <c r="L53" i="63" s="1"/>
  <c r="M336" i="60"/>
  <c r="M168" i="60" s="1"/>
  <c r="M420" i="60" s="1"/>
  <c r="N330" i="60"/>
  <c r="K113" i="63"/>
  <c r="K114" i="63" s="1"/>
  <c r="K136" i="63" s="1"/>
  <c r="N437" i="61"/>
  <c r="N154" i="61"/>
  <c r="N37" i="61" s="1"/>
  <c r="M90" i="61"/>
  <c r="M91" i="61" s="1"/>
  <c r="M92" i="61" s="1"/>
  <c r="M29" i="61" s="1"/>
  <c r="N90" i="61"/>
  <c r="M98" i="61"/>
  <c r="M212" i="59"/>
  <c r="M91" i="59" s="1"/>
  <c r="M92" i="59" s="1"/>
  <c r="M42" i="59" s="1"/>
  <c r="N206" i="59"/>
  <c r="M90" i="63"/>
  <c r="M58" i="63" s="1"/>
  <c r="M60" i="63" s="1"/>
  <c r="M25" i="63" s="1"/>
  <c r="N89" i="63"/>
  <c r="M401" i="62"/>
  <c r="L443" i="62"/>
  <c r="M443" i="62" s="1"/>
  <c r="M43" i="60"/>
  <c r="L268" i="61"/>
  <c r="K378" i="62"/>
  <c r="K178" i="62" s="1"/>
  <c r="K179" i="62" s="1"/>
  <c r="K50" i="62" s="1"/>
  <c r="L290" i="61"/>
  <c r="L112" i="61" s="1"/>
  <c r="L113" i="61" s="1"/>
  <c r="L114" i="61" s="1"/>
  <c r="L32" i="61" s="1"/>
  <c r="K398" i="60"/>
  <c r="L398" i="60" s="1"/>
  <c r="M398" i="60" s="1"/>
  <c r="N398" i="60" s="1"/>
  <c r="O398" i="60" s="1"/>
  <c r="K273" i="62"/>
  <c r="K106" i="62" s="1"/>
  <c r="K108" i="62" s="1"/>
  <c r="K37" i="62" s="1"/>
  <c r="K173" i="60"/>
  <c r="K299" i="60" s="1"/>
  <c r="K32" i="63"/>
  <c r="L263" i="62"/>
  <c r="L266" i="62" s="1"/>
  <c r="K101" i="62"/>
  <c r="K102" i="62" s="1"/>
  <c r="K36" i="62" s="1"/>
  <c r="K317" i="62"/>
  <c r="K128" i="62" s="1"/>
  <c r="K129" i="62" s="1"/>
  <c r="K41" i="62" s="1"/>
  <c r="L316" i="62"/>
  <c r="L217" i="59"/>
  <c r="K218" i="59"/>
  <c r="K96" i="59" s="1"/>
  <c r="K97" i="59" s="1"/>
  <c r="K43" i="59" s="1"/>
  <c r="K232" i="61"/>
  <c r="K256" i="61" s="1"/>
  <c r="L269" i="59"/>
  <c r="K270" i="59"/>
  <c r="K271" i="59" s="1"/>
  <c r="K111" i="59" s="1"/>
  <c r="K113" i="59" s="1"/>
  <c r="K46" i="59" s="1"/>
  <c r="L111" i="63"/>
  <c r="L60" i="63"/>
  <c r="L25" i="63" s="1"/>
  <c r="K134" i="63"/>
  <c r="K137" i="63" s="1"/>
  <c r="K279" i="62"/>
  <c r="K112" i="62" s="1"/>
  <c r="L277" i="62"/>
  <c r="K392" i="62"/>
  <c r="K394" i="62" s="1"/>
  <c r="K188" i="62" s="1"/>
  <c r="K189" i="62" s="1"/>
  <c r="K52" i="62" s="1"/>
  <c r="L403" i="62"/>
  <c r="K451" i="62"/>
  <c r="K214" i="62" s="1"/>
  <c r="K215" i="62" s="1"/>
  <c r="K71" i="62" s="1"/>
  <c r="L449" i="62"/>
  <c r="K220" i="62"/>
  <c r="K72" i="62" s="1"/>
  <c r="K522" i="62"/>
  <c r="L378" i="62"/>
  <c r="L178" i="62" s="1"/>
  <c r="L179" i="62" s="1"/>
  <c r="L50" i="62" s="1"/>
  <c r="M376" i="62"/>
  <c r="L427" i="62"/>
  <c r="L199" i="62" s="1"/>
  <c r="M426" i="62"/>
  <c r="L306" i="62"/>
  <c r="L123" i="62" s="1"/>
  <c r="L124" i="62" s="1"/>
  <c r="L40" i="62" s="1"/>
  <c r="M302" i="62"/>
  <c r="K96" i="62"/>
  <c r="K97" i="62" s="1"/>
  <c r="K35" i="62" s="1"/>
  <c r="K42" i="62"/>
  <c r="M416" i="62"/>
  <c r="L419" i="62"/>
  <c r="L193" i="62" s="1"/>
  <c r="L282" i="62"/>
  <c r="L293" i="62" s="1"/>
  <c r="K113" i="62"/>
  <c r="M270" i="62"/>
  <c r="L273" i="62"/>
  <c r="L106" i="62" s="1"/>
  <c r="L108" i="62" s="1"/>
  <c r="L37" i="62" s="1"/>
  <c r="K499" i="62"/>
  <c r="K200" i="62"/>
  <c r="K55" i="62" s="1"/>
  <c r="L139" i="62"/>
  <c r="L400" i="62"/>
  <c r="L174" i="62"/>
  <c r="L49" i="62" s="1"/>
  <c r="M402" i="62"/>
  <c r="L385" i="62"/>
  <c r="L387" i="62" s="1"/>
  <c r="L183" i="62" s="1"/>
  <c r="L184" i="62" s="1"/>
  <c r="L51" i="62" s="1"/>
  <c r="L99" i="61"/>
  <c r="L98" i="61"/>
  <c r="L163" i="61"/>
  <c r="L164" i="61" s="1"/>
  <c r="L54" i="61" s="1"/>
  <c r="K275" i="61"/>
  <c r="K283" i="61" s="1"/>
  <c r="K106" i="61" s="1"/>
  <c r="K398" i="61"/>
  <c r="K168" i="61" s="1"/>
  <c r="K169" i="61" s="1"/>
  <c r="K55" i="61" s="1"/>
  <c r="K324" i="61"/>
  <c r="K126" i="61"/>
  <c r="L322" i="61"/>
  <c r="K437" i="61"/>
  <c r="K154" i="61"/>
  <c r="K37" i="61" s="1"/>
  <c r="K252" i="61"/>
  <c r="K134" i="61"/>
  <c r="K34" i="61" s="1"/>
  <c r="L29" i="61"/>
  <c r="K300" i="60"/>
  <c r="K43" i="60"/>
  <c r="K140" i="60"/>
  <c r="K141" i="60" s="1"/>
  <c r="K114" i="60"/>
  <c r="L420" i="60"/>
  <c r="L173" i="60"/>
  <c r="H380" i="60"/>
  <c r="I380" i="60" s="1"/>
  <c r="I379" i="60"/>
  <c r="K123" i="60"/>
  <c r="K146" i="60"/>
  <c r="K147" i="60" s="1"/>
  <c r="K128" i="60"/>
  <c r="K129" i="60" s="1"/>
  <c r="L395" i="60"/>
  <c r="K247" i="60"/>
  <c r="K106" i="60" s="1"/>
  <c r="L134" i="60"/>
  <c r="L135" i="60" s="1"/>
  <c r="K296" i="60"/>
  <c r="K39" i="60"/>
  <c r="K213" i="60"/>
  <c r="K92" i="60" s="1"/>
  <c r="K231" i="60"/>
  <c r="L102" i="59"/>
  <c r="L44" i="59" s="1"/>
  <c r="M263" i="59"/>
  <c r="L265" i="59"/>
  <c r="L106" i="59" s="1"/>
  <c r="L107" i="59" s="1"/>
  <c r="L45" i="59" s="1"/>
  <c r="L437" i="61" l="1"/>
  <c r="L154" i="61"/>
  <c r="L37" i="61" s="1"/>
  <c r="N90" i="63"/>
  <c r="N58" i="63" s="1"/>
  <c r="O89" i="63"/>
  <c r="O90" i="63" s="1"/>
  <c r="O58" i="63" s="1"/>
  <c r="N76" i="63"/>
  <c r="M84" i="63"/>
  <c r="M53" i="63" s="1"/>
  <c r="L195" i="62"/>
  <c r="L54" i="62" s="1"/>
  <c r="L140" i="62"/>
  <c r="L141" i="62" s="1"/>
  <c r="L42" i="62" s="1"/>
  <c r="K84" i="62"/>
  <c r="E122" i="70" s="1"/>
  <c r="M329" i="62"/>
  <c r="M333" i="62" s="1"/>
  <c r="M326" i="62"/>
  <c r="N324" i="62"/>
  <c r="N139" i="62" s="1"/>
  <c r="O417" i="62"/>
  <c r="O324" i="62" s="1"/>
  <c r="O326" i="62" s="1"/>
  <c r="N212" i="59"/>
  <c r="N91" i="59" s="1"/>
  <c r="N92" i="59" s="1"/>
  <c r="N42" i="59" s="1"/>
  <c r="O206" i="59"/>
  <c r="O212" i="59" s="1"/>
  <c r="O91" i="59" s="1"/>
  <c r="O92" i="59" s="1"/>
  <c r="O42" i="59" s="1"/>
  <c r="K56" i="59"/>
  <c r="E54" i="70" s="1"/>
  <c r="L54" i="63"/>
  <c r="L24" i="63" s="1"/>
  <c r="L113" i="63"/>
  <c r="L121" i="63"/>
  <c r="L122" i="63"/>
  <c r="L123" i="63"/>
  <c r="L124" i="63"/>
  <c r="L125" i="63"/>
  <c r="L126" i="63"/>
  <c r="L127" i="63"/>
  <c r="L131" i="63"/>
  <c r="L132" i="63"/>
  <c r="L120" i="63"/>
  <c r="L134" i="63" s="1"/>
  <c r="L137" i="63" s="1"/>
  <c r="O154" i="61"/>
  <c r="O37" i="61" s="1"/>
  <c r="O437" i="61"/>
  <c r="N229" i="61"/>
  <c r="N99" i="61" s="1"/>
  <c r="O226" i="61"/>
  <c r="O229" i="61" s="1"/>
  <c r="O183" i="60"/>
  <c r="N336" i="60"/>
  <c r="N168" i="60" s="1"/>
  <c r="O330" i="60"/>
  <c r="O336" i="60" s="1"/>
  <c r="O168" i="60" s="1"/>
  <c r="M436" i="60"/>
  <c r="M431" i="60"/>
  <c r="M432" i="60"/>
  <c r="M435" i="60"/>
  <c r="M441" i="60"/>
  <c r="M430" i="60"/>
  <c r="M434" i="60"/>
  <c r="M442" i="60"/>
  <c r="M433" i="60"/>
  <c r="M437" i="60"/>
  <c r="L433" i="60"/>
  <c r="L441" i="60"/>
  <c r="L437" i="60"/>
  <c r="L434" i="60"/>
  <c r="L436" i="60"/>
  <c r="L442" i="60"/>
  <c r="L430" i="60"/>
  <c r="L435" i="60"/>
  <c r="L432" i="60"/>
  <c r="L431" i="60"/>
  <c r="K444" i="60"/>
  <c r="M437" i="61"/>
  <c r="M457" i="61" s="1"/>
  <c r="N449" i="61"/>
  <c r="N452" i="61"/>
  <c r="N450" i="61"/>
  <c r="N458" i="61"/>
  <c r="N446" i="61"/>
  <c r="N448" i="61"/>
  <c r="N453" i="61"/>
  <c r="N451" i="61"/>
  <c r="N457" i="61"/>
  <c r="N447" i="61"/>
  <c r="K457" i="61"/>
  <c r="K446" i="61"/>
  <c r="K449" i="61"/>
  <c r="K447" i="61"/>
  <c r="K450" i="61"/>
  <c r="K453" i="61"/>
  <c r="K448" i="61"/>
  <c r="K451" i="61"/>
  <c r="K458" i="61"/>
  <c r="K452" i="61"/>
  <c r="L447" i="61"/>
  <c r="L452" i="61"/>
  <c r="L450" i="61"/>
  <c r="L453" i="61"/>
  <c r="L446" i="61"/>
  <c r="L448" i="61"/>
  <c r="L451" i="61"/>
  <c r="L458" i="61"/>
  <c r="L449" i="61"/>
  <c r="L457" i="61"/>
  <c r="K515" i="62"/>
  <c r="K506" i="62"/>
  <c r="K509" i="62"/>
  <c r="K512" i="62"/>
  <c r="K505" i="62"/>
  <c r="K511" i="62"/>
  <c r="K508" i="62"/>
  <c r="K507" i="62"/>
  <c r="K510" i="62"/>
  <c r="K516" i="62"/>
  <c r="K44" i="60"/>
  <c r="M173" i="60"/>
  <c r="M299" i="60" s="1"/>
  <c r="M306" i="62"/>
  <c r="M123" i="62" s="1"/>
  <c r="M124" i="62" s="1"/>
  <c r="M40" i="62" s="1"/>
  <c r="N302" i="62"/>
  <c r="N98" i="61"/>
  <c r="M99" i="61"/>
  <c r="M265" i="59"/>
  <c r="M106" i="59" s="1"/>
  <c r="M107" i="59" s="1"/>
  <c r="M45" i="59" s="1"/>
  <c r="N263" i="59"/>
  <c r="M369" i="62"/>
  <c r="M371" i="62" s="1"/>
  <c r="M173" i="62" s="1"/>
  <c r="M174" i="62" s="1"/>
  <c r="M49" i="62" s="1"/>
  <c r="N401" i="62"/>
  <c r="N102" i="59"/>
  <c r="N44" i="59" s="1"/>
  <c r="N60" i="63"/>
  <c r="N25" i="63" s="1"/>
  <c r="N111" i="63"/>
  <c r="M385" i="62"/>
  <c r="M387" i="62" s="1"/>
  <c r="M183" i="62" s="1"/>
  <c r="M184" i="62" s="1"/>
  <c r="M51" i="62" s="1"/>
  <c r="N402" i="62"/>
  <c r="M378" i="62"/>
  <c r="M178" i="62" s="1"/>
  <c r="M179" i="62" s="1"/>
  <c r="M50" i="62" s="1"/>
  <c r="N376" i="62"/>
  <c r="M419" i="62"/>
  <c r="M193" i="62" s="1"/>
  <c r="N416" i="62"/>
  <c r="K399" i="60"/>
  <c r="K182" i="60" s="1"/>
  <c r="M163" i="61"/>
  <c r="M164" i="61" s="1"/>
  <c r="M54" i="61" s="1"/>
  <c r="N163" i="61"/>
  <c r="N164" i="61" s="1"/>
  <c r="N54" i="61" s="1"/>
  <c r="M427" i="62"/>
  <c r="M199" i="62" s="1"/>
  <c r="M499" i="62" s="1"/>
  <c r="N426" i="62"/>
  <c r="M111" i="63"/>
  <c r="K44" i="63"/>
  <c r="M445" i="62"/>
  <c r="M219" i="62" s="1"/>
  <c r="M220" i="62" s="1"/>
  <c r="M72" i="62" s="1"/>
  <c r="N443" i="62"/>
  <c r="N91" i="61"/>
  <c r="M273" i="62"/>
  <c r="M106" i="62" s="1"/>
  <c r="M108" i="62" s="1"/>
  <c r="M37" i="62" s="1"/>
  <c r="N270" i="62"/>
  <c r="M322" i="61"/>
  <c r="M126" i="61" s="1"/>
  <c r="N322" i="61"/>
  <c r="L445" i="62"/>
  <c r="L219" i="62" s="1"/>
  <c r="L220" i="62" s="1"/>
  <c r="L72" i="62" s="1"/>
  <c r="K500" i="62"/>
  <c r="K501" i="62" s="1"/>
  <c r="K520" i="62" s="1"/>
  <c r="S128" i="61"/>
  <c r="M269" i="61"/>
  <c r="K183" i="60"/>
  <c r="L32" i="63"/>
  <c r="F58" i="70" s="1"/>
  <c r="L232" i="61"/>
  <c r="L256" i="61" s="1"/>
  <c r="M269" i="59"/>
  <c r="L270" i="59"/>
  <c r="L271" i="59" s="1"/>
  <c r="L111" i="59" s="1"/>
  <c r="L113" i="59" s="1"/>
  <c r="L46" i="59" s="1"/>
  <c r="M217" i="59"/>
  <c r="L218" i="59"/>
  <c r="L96" i="59" s="1"/>
  <c r="L97" i="59" s="1"/>
  <c r="L43" i="59" s="1"/>
  <c r="M316" i="62"/>
  <c r="L317" i="62"/>
  <c r="L128" i="62" s="1"/>
  <c r="L129" i="62" s="1"/>
  <c r="L41" i="62" s="1"/>
  <c r="M263" i="62"/>
  <c r="M266" i="62" s="1"/>
  <c r="L101" i="62"/>
  <c r="L102" i="62" s="1"/>
  <c r="L36" i="62" s="1"/>
  <c r="K141" i="63"/>
  <c r="K142" i="63"/>
  <c r="L114" i="63"/>
  <c r="L136" i="63" s="1"/>
  <c r="M400" i="62"/>
  <c r="N400" i="62" s="1"/>
  <c r="O400" i="62" s="1"/>
  <c r="L411" i="62"/>
  <c r="L451" i="62"/>
  <c r="L214" i="62" s="1"/>
  <c r="L215" i="62" s="1"/>
  <c r="L71" i="62" s="1"/>
  <c r="M449" i="62"/>
  <c r="L96" i="62"/>
  <c r="L97" i="62" s="1"/>
  <c r="L35" i="62" s="1"/>
  <c r="L500" i="62"/>
  <c r="M403" i="62"/>
  <c r="L392" i="62"/>
  <c r="L394" i="62" s="1"/>
  <c r="L188" i="62" s="1"/>
  <c r="L189" i="62" s="1"/>
  <c r="L52" i="62" s="1"/>
  <c r="M139" i="62"/>
  <c r="M277" i="62"/>
  <c r="L279" i="62"/>
  <c r="L112" i="62" s="1"/>
  <c r="L113" i="62"/>
  <c r="M282" i="62"/>
  <c r="M293" i="62" s="1"/>
  <c r="L499" i="62"/>
  <c r="L200" i="62"/>
  <c r="L55" i="62" s="1"/>
  <c r="K114" i="62"/>
  <c r="K38" i="62" s="1"/>
  <c r="L252" i="61"/>
  <c r="K257" i="61"/>
  <c r="K259" i="61" s="1"/>
  <c r="K100" i="61" s="1"/>
  <c r="K97" i="61"/>
  <c r="K107" i="61"/>
  <c r="K108" i="61" s="1"/>
  <c r="K31" i="61" s="1"/>
  <c r="L134" i="61"/>
  <c r="L34" i="61" s="1"/>
  <c r="L398" i="61"/>
  <c r="L168" i="61" s="1"/>
  <c r="L169" i="61" s="1"/>
  <c r="L55" i="61" s="1"/>
  <c r="K127" i="61"/>
  <c r="K129" i="61" s="1"/>
  <c r="K33" i="61" s="1"/>
  <c r="L276" i="61"/>
  <c r="L283" i="61" s="1"/>
  <c r="L106" i="61" s="1"/>
  <c r="L324" i="61"/>
  <c r="L126" i="61"/>
  <c r="K293" i="60"/>
  <c r="K36" i="60"/>
  <c r="K41" i="60"/>
  <c r="K298" i="60"/>
  <c r="L213" i="60"/>
  <c r="L92" i="60" s="1"/>
  <c r="M213" i="60"/>
  <c r="M92" i="60" s="1"/>
  <c r="K216" i="60"/>
  <c r="K218" i="60" s="1"/>
  <c r="L231" i="60"/>
  <c r="M231" i="60"/>
  <c r="M101" i="60" s="1"/>
  <c r="L114" i="60"/>
  <c r="K107" i="60"/>
  <c r="K108" i="60" s="1"/>
  <c r="K294" i="60"/>
  <c r="K37" i="60"/>
  <c r="V290" i="60"/>
  <c r="L128" i="60"/>
  <c r="L129" i="60" s="1"/>
  <c r="L123" i="60"/>
  <c r="K297" i="60"/>
  <c r="K40" i="60"/>
  <c r="K177" i="60"/>
  <c r="K178" i="60" s="1"/>
  <c r="L299" i="60"/>
  <c r="L44" i="60"/>
  <c r="L183" i="60"/>
  <c r="L146" i="60"/>
  <c r="L147" i="60" s="1"/>
  <c r="M134" i="60"/>
  <c r="M135" i="60" s="1"/>
  <c r="I389" i="60"/>
  <c r="I395" i="60" s="1"/>
  <c r="L296" i="60"/>
  <c r="L39" i="60"/>
  <c r="K295" i="60"/>
  <c r="K38" i="60"/>
  <c r="L140" i="60"/>
  <c r="L141" i="60" s="1"/>
  <c r="K101" i="60"/>
  <c r="L399" i="60"/>
  <c r="L182" i="60" s="1"/>
  <c r="M395" i="60"/>
  <c r="N395" i="60" s="1"/>
  <c r="O395" i="60" s="1"/>
  <c r="L247" i="60"/>
  <c r="L106" i="60" s="1"/>
  <c r="M247" i="60"/>
  <c r="M106" i="60" s="1"/>
  <c r="M102" i="59"/>
  <c r="M44" i="59" s="1"/>
  <c r="N173" i="60" l="1"/>
  <c r="N420" i="60"/>
  <c r="O111" i="63"/>
  <c r="O60" i="63"/>
  <c r="O25" i="63" s="1"/>
  <c r="O131" i="63"/>
  <c r="O126" i="63"/>
  <c r="O123" i="63"/>
  <c r="O122" i="63"/>
  <c r="O127" i="63"/>
  <c r="O124" i="63"/>
  <c r="O120" i="63"/>
  <c r="O132" i="63"/>
  <c r="O125" i="63"/>
  <c r="O121" i="63"/>
  <c r="O76" i="63"/>
  <c r="O84" i="63" s="1"/>
  <c r="O53" i="63" s="1"/>
  <c r="N84" i="63"/>
  <c r="N53" i="63" s="1"/>
  <c r="M54" i="63"/>
  <c r="M24" i="63" s="1"/>
  <c r="M32" i="63" s="1"/>
  <c r="M113" i="63"/>
  <c r="M114" i="63" s="1"/>
  <c r="M136" i="63" s="1"/>
  <c r="Y58" i="70"/>
  <c r="M58" i="70"/>
  <c r="M140" i="62"/>
  <c r="M141" i="62" s="1"/>
  <c r="M42" i="62" s="1"/>
  <c r="L84" i="62"/>
  <c r="N329" i="62"/>
  <c r="N333" i="62" s="1"/>
  <c r="N326" i="62"/>
  <c r="M195" i="62"/>
  <c r="M54" i="62" s="1"/>
  <c r="N378" i="62"/>
  <c r="N178" i="62" s="1"/>
  <c r="N179" i="62" s="1"/>
  <c r="N50" i="62" s="1"/>
  <c r="O376" i="62"/>
  <c r="O378" i="62" s="1"/>
  <c r="O178" i="62" s="1"/>
  <c r="O179" i="62" s="1"/>
  <c r="O50" i="62" s="1"/>
  <c r="X122" i="70"/>
  <c r="K122" i="70"/>
  <c r="N419" i="62"/>
  <c r="N193" i="62" s="1"/>
  <c r="O416" i="62"/>
  <c r="O419" i="62" s="1"/>
  <c r="O193" i="62" s="1"/>
  <c r="N445" i="62"/>
  <c r="N219" i="62" s="1"/>
  <c r="N522" i="62" s="1"/>
  <c r="O443" i="62"/>
  <c r="O445" i="62" s="1"/>
  <c r="O219" i="62" s="1"/>
  <c r="N369" i="62"/>
  <c r="N371" i="62" s="1"/>
  <c r="N173" i="62" s="1"/>
  <c r="O401" i="62"/>
  <c r="O369" i="62" s="1"/>
  <c r="O371" i="62" s="1"/>
  <c r="O173" i="62" s="1"/>
  <c r="N306" i="62"/>
  <c r="N123" i="62" s="1"/>
  <c r="N124" i="62" s="1"/>
  <c r="N40" i="62" s="1"/>
  <c r="O302" i="62"/>
  <c r="O306" i="62" s="1"/>
  <c r="O123" i="62" s="1"/>
  <c r="O124" i="62" s="1"/>
  <c r="O40" i="62" s="1"/>
  <c r="O139" i="62"/>
  <c r="O329" i="62"/>
  <c r="O333" i="62" s="1"/>
  <c r="N385" i="62"/>
  <c r="N387" i="62" s="1"/>
  <c r="N183" i="62" s="1"/>
  <c r="N184" i="62" s="1"/>
  <c r="N51" i="62" s="1"/>
  <c r="O402" i="62"/>
  <c r="O385" i="62" s="1"/>
  <c r="O387" i="62" s="1"/>
  <c r="O183" i="62" s="1"/>
  <c r="O184" i="62" s="1"/>
  <c r="O51" i="62" s="1"/>
  <c r="N427" i="62"/>
  <c r="N199" i="62" s="1"/>
  <c r="N200" i="62" s="1"/>
  <c r="N55" i="62" s="1"/>
  <c r="O426" i="62"/>
  <c r="O427" i="62" s="1"/>
  <c r="O199" i="62" s="1"/>
  <c r="N273" i="62"/>
  <c r="N106" i="62" s="1"/>
  <c r="N108" i="62" s="1"/>
  <c r="N37" i="62" s="1"/>
  <c r="O270" i="62"/>
  <c r="O273" i="62" s="1"/>
  <c r="O106" i="62" s="1"/>
  <c r="O108" i="62" s="1"/>
  <c r="O37" i="62" s="1"/>
  <c r="N265" i="59"/>
  <c r="N106" i="59" s="1"/>
  <c r="N107" i="59" s="1"/>
  <c r="N45" i="59" s="1"/>
  <c r="O263" i="59"/>
  <c r="O265" i="59" s="1"/>
  <c r="O106" i="59" s="1"/>
  <c r="O107" i="59" s="1"/>
  <c r="O45" i="59" s="1"/>
  <c r="X54" i="70"/>
  <c r="K54" i="70"/>
  <c r="M125" i="63"/>
  <c r="M126" i="63"/>
  <c r="M121" i="63"/>
  <c r="M127" i="63"/>
  <c r="M122" i="63"/>
  <c r="M131" i="63"/>
  <c r="M123" i="63"/>
  <c r="M132" i="63"/>
  <c r="M124" i="63"/>
  <c r="M120" i="63"/>
  <c r="M134" i="63" s="1"/>
  <c r="M137" i="63" s="1"/>
  <c r="N125" i="63"/>
  <c r="N126" i="63"/>
  <c r="N121" i="63"/>
  <c r="N127" i="63"/>
  <c r="N122" i="63"/>
  <c r="N131" i="63"/>
  <c r="N123" i="63"/>
  <c r="N132" i="63"/>
  <c r="N120" i="63"/>
  <c r="N124" i="63"/>
  <c r="K66" i="62"/>
  <c r="E57" i="70" s="1"/>
  <c r="M452" i="61"/>
  <c r="M451" i="61"/>
  <c r="M453" i="61"/>
  <c r="M448" i="61"/>
  <c r="M458" i="61"/>
  <c r="M446" i="61"/>
  <c r="M450" i="61"/>
  <c r="O449" i="61"/>
  <c r="O448" i="61"/>
  <c r="O447" i="61"/>
  <c r="O446" i="61"/>
  <c r="O458" i="61"/>
  <c r="O457" i="61"/>
  <c r="O453" i="61"/>
  <c r="O452" i="61"/>
  <c r="O451" i="61"/>
  <c r="O450" i="61"/>
  <c r="O99" i="61"/>
  <c r="O232" i="61"/>
  <c r="O256" i="61" s="1"/>
  <c r="O259" i="61" s="1"/>
  <c r="O100" i="61" s="1"/>
  <c r="M447" i="61"/>
  <c r="M449" i="61"/>
  <c r="O173" i="60"/>
  <c r="O420" i="60"/>
  <c r="N441" i="60"/>
  <c r="N434" i="60"/>
  <c r="N442" i="60"/>
  <c r="N432" i="60"/>
  <c r="N436" i="60"/>
  <c r="N430" i="60"/>
  <c r="N431" i="60"/>
  <c r="N433" i="60"/>
  <c r="N435" i="60"/>
  <c r="N437" i="60"/>
  <c r="M444" i="60"/>
  <c r="L444" i="60"/>
  <c r="K74" i="60"/>
  <c r="K303" i="60"/>
  <c r="K447" i="60"/>
  <c r="K460" i="61"/>
  <c r="K463" i="61" s="1"/>
  <c r="N460" i="61"/>
  <c r="L460" i="61"/>
  <c r="L509" i="62"/>
  <c r="L512" i="62"/>
  <c r="L507" i="62"/>
  <c r="L516" i="62"/>
  <c r="L508" i="62"/>
  <c r="L506" i="62"/>
  <c r="L511" i="62"/>
  <c r="L505" i="62"/>
  <c r="L510" i="62"/>
  <c r="L515" i="62"/>
  <c r="K518" i="62"/>
  <c r="K521" i="62" s="1"/>
  <c r="K525" i="62" s="1"/>
  <c r="M505" i="62"/>
  <c r="M511" i="62"/>
  <c r="M510" i="62"/>
  <c r="M508" i="62"/>
  <c r="M506" i="62"/>
  <c r="M509" i="62"/>
  <c r="M512" i="62"/>
  <c r="M516" i="62"/>
  <c r="M507" i="62"/>
  <c r="M515" i="62"/>
  <c r="M200" i="62"/>
  <c r="M55" i="62" s="1"/>
  <c r="M44" i="60"/>
  <c r="R36" i="61"/>
  <c r="K184" i="60"/>
  <c r="K57" i="60" s="1"/>
  <c r="K400" i="60"/>
  <c r="K55" i="72"/>
  <c r="P55" i="72" s="1"/>
  <c r="L59" i="72"/>
  <c r="Q59" i="72" s="1"/>
  <c r="L120" i="72"/>
  <c r="Q120" i="72" s="1"/>
  <c r="K59" i="72"/>
  <c r="P59" i="72" s="1"/>
  <c r="K58" i="72"/>
  <c r="P58" i="72" s="1"/>
  <c r="M324" i="61"/>
  <c r="M232" i="61"/>
  <c r="M256" i="61" s="1"/>
  <c r="M134" i="61"/>
  <c r="M34" i="61" s="1"/>
  <c r="N134" i="61"/>
  <c r="N34" i="61" s="1"/>
  <c r="L44" i="63"/>
  <c r="K72" i="59"/>
  <c r="K81" i="59" s="1"/>
  <c r="M96" i="62"/>
  <c r="M97" i="62" s="1"/>
  <c r="M35" i="62" s="1"/>
  <c r="N96" i="62"/>
  <c r="N97" i="62" s="1"/>
  <c r="N35" i="62" s="1"/>
  <c r="N324" i="61"/>
  <c r="N126" i="61"/>
  <c r="M270" i="59"/>
  <c r="M271" i="59" s="1"/>
  <c r="M111" i="59" s="1"/>
  <c r="M113" i="59" s="1"/>
  <c r="M46" i="59" s="1"/>
  <c r="N269" i="59"/>
  <c r="O269" i="59" s="1"/>
  <c r="K93" i="60"/>
  <c r="K94" i="60" s="1"/>
  <c r="M252" i="61"/>
  <c r="M257" i="61" s="1"/>
  <c r="N252" i="61"/>
  <c r="M101" i="62"/>
  <c r="M102" i="62" s="1"/>
  <c r="M36" i="62" s="1"/>
  <c r="N263" i="62"/>
  <c r="N266" i="62" s="1"/>
  <c r="N232" i="61"/>
  <c r="N256" i="61" s="1"/>
  <c r="M113" i="62"/>
  <c r="N282" i="62"/>
  <c r="O282" i="62" s="1"/>
  <c r="O293" i="62" s="1"/>
  <c r="O113" i="62" s="1"/>
  <c r="M392" i="62"/>
  <c r="M394" i="62" s="1"/>
  <c r="M188" i="62" s="1"/>
  <c r="M189" i="62" s="1"/>
  <c r="M52" i="62" s="1"/>
  <c r="N403" i="62"/>
  <c r="M451" i="62"/>
  <c r="M214" i="62" s="1"/>
  <c r="M215" i="62" s="1"/>
  <c r="M71" i="62" s="1"/>
  <c r="N449" i="62"/>
  <c r="M317" i="62"/>
  <c r="M128" i="62" s="1"/>
  <c r="M129" i="62" s="1"/>
  <c r="M41" i="62" s="1"/>
  <c r="N316" i="62"/>
  <c r="M290" i="61"/>
  <c r="M112" i="61" s="1"/>
  <c r="M113" i="61" s="1"/>
  <c r="M114" i="61" s="1"/>
  <c r="M32" i="61" s="1"/>
  <c r="N290" i="61"/>
  <c r="N112" i="61" s="1"/>
  <c r="M398" i="61"/>
  <c r="M168" i="61" s="1"/>
  <c r="M169" i="61" s="1"/>
  <c r="M55" i="61" s="1"/>
  <c r="N398" i="61"/>
  <c r="N168" i="61" s="1"/>
  <c r="N169" i="61" s="1"/>
  <c r="N55" i="61" s="1"/>
  <c r="M277" i="61"/>
  <c r="M522" i="62"/>
  <c r="M218" i="59"/>
  <c r="M96" i="59" s="1"/>
  <c r="M97" i="59" s="1"/>
  <c r="M43" i="59" s="1"/>
  <c r="N217" i="59"/>
  <c r="N183" i="60"/>
  <c r="M279" i="62"/>
  <c r="M112" i="62" s="1"/>
  <c r="N277" i="62"/>
  <c r="M500" i="62"/>
  <c r="M501" i="62" s="1"/>
  <c r="M520" i="62" s="1"/>
  <c r="N92" i="61"/>
  <c r="L522" i="62"/>
  <c r="K102" i="61"/>
  <c r="K30" i="61" s="1"/>
  <c r="L400" i="60"/>
  <c r="L56" i="59"/>
  <c r="F54" i="70" s="1"/>
  <c r="L141" i="63"/>
  <c r="L142" i="63"/>
  <c r="F122" i="70"/>
  <c r="L114" i="62"/>
  <c r="L38" i="62" s="1"/>
  <c r="L66" i="62" s="1"/>
  <c r="F57" i="70" s="1"/>
  <c r="L501" i="62"/>
  <c r="L520" i="62" s="1"/>
  <c r="M411" i="62"/>
  <c r="L127" i="61"/>
  <c r="L129" i="61" s="1"/>
  <c r="L33" i="61" s="1"/>
  <c r="L107" i="61"/>
  <c r="L108" i="61" s="1"/>
  <c r="L31" i="61" s="1"/>
  <c r="L257" i="61"/>
  <c r="L259" i="61" s="1"/>
  <c r="L100" i="61" s="1"/>
  <c r="L97" i="61"/>
  <c r="M127" i="61"/>
  <c r="M129" i="61" s="1"/>
  <c r="M33" i="61" s="1"/>
  <c r="L37" i="60"/>
  <c r="L294" i="60"/>
  <c r="L41" i="60"/>
  <c r="L298" i="60"/>
  <c r="M291" i="60"/>
  <c r="M34" i="60"/>
  <c r="L38" i="60"/>
  <c r="L295" i="60"/>
  <c r="L293" i="60"/>
  <c r="L36" i="60"/>
  <c r="K291" i="60"/>
  <c r="K34" i="60"/>
  <c r="L177" i="60"/>
  <c r="L178" i="60" s="1"/>
  <c r="L40" i="60"/>
  <c r="L297" i="60"/>
  <c r="M123" i="60"/>
  <c r="M140" i="60"/>
  <c r="M141" i="60" s="1"/>
  <c r="M107" i="60"/>
  <c r="M108" i="60" s="1"/>
  <c r="L101" i="60"/>
  <c r="L107" i="60"/>
  <c r="L108" i="60" s="1"/>
  <c r="M128" i="60"/>
  <c r="M129" i="60" s="1"/>
  <c r="M216" i="60"/>
  <c r="M218" i="60" s="1"/>
  <c r="M93" i="60" s="1"/>
  <c r="M114" i="60"/>
  <c r="M296" i="60"/>
  <c r="M39" i="60"/>
  <c r="K285" i="60"/>
  <c r="K56" i="60"/>
  <c r="K68" i="60" s="1"/>
  <c r="E120" i="70" s="1"/>
  <c r="K292" i="60"/>
  <c r="K35" i="60"/>
  <c r="L216" i="60"/>
  <c r="L218" i="60" s="1"/>
  <c r="M146" i="60"/>
  <c r="M147" i="60" s="1"/>
  <c r="M183" i="60"/>
  <c r="M399" i="60"/>
  <c r="M182" i="60" s="1"/>
  <c r="L184" i="60"/>
  <c r="N299" i="60" l="1"/>
  <c r="N44" i="60"/>
  <c r="O134" i="63"/>
  <c r="O137" i="63" s="1"/>
  <c r="N54" i="63"/>
  <c r="N24" i="63" s="1"/>
  <c r="N32" i="63" s="1"/>
  <c r="N113" i="63"/>
  <c r="N114" i="63" s="1"/>
  <c r="N136" i="63" s="1"/>
  <c r="G58" i="70"/>
  <c r="M44" i="63"/>
  <c r="O113" i="63"/>
  <c r="O114" i="63" s="1"/>
  <c r="O136" i="63" s="1"/>
  <c r="O54" i="63"/>
  <c r="O24" i="63" s="1"/>
  <c r="O32" i="63" s="1"/>
  <c r="K120" i="70"/>
  <c r="X120" i="70"/>
  <c r="N195" i="62"/>
  <c r="N54" i="62" s="1"/>
  <c r="N140" i="62"/>
  <c r="N141" i="62" s="1"/>
  <c r="N42" i="62" s="1"/>
  <c r="M84" i="62"/>
  <c r="G122" i="70" s="1"/>
  <c r="N500" i="62"/>
  <c r="N499" i="62"/>
  <c r="N505" i="62" s="1"/>
  <c r="N220" i="62"/>
  <c r="N72" i="62" s="1"/>
  <c r="X57" i="70"/>
  <c r="K57" i="70"/>
  <c r="K86" i="62"/>
  <c r="N451" i="62"/>
  <c r="N214" i="62" s="1"/>
  <c r="N215" i="62" s="1"/>
  <c r="N71" i="62" s="1"/>
  <c r="O449" i="62"/>
  <c r="O451" i="62" s="1"/>
  <c r="O214" i="62" s="1"/>
  <c r="O215" i="62" s="1"/>
  <c r="O71" i="62" s="1"/>
  <c r="O174" i="62"/>
  <c r="O49" i="62" s="1"/>
  <c r="O500" i="62"/>
  <c r="N392" i="62"/>
  <c r="N394" i="62" s="1"/>
  <c r="N188" i="62" s="1"/>
  <c r="N189" i="62" s="1"/>
  <c r="N52" i="62" s="1"/>
  <c r="O403" i="62"/>
  <c r="O200" i="62"/>
  <c r="O55" i="62" s="1"/>
  <c r="O499" i="62"/>
  <c r="O522" i="62"/>
  <c r="O220" i="62"/>
  <c r="O72" i="62" s="1"/>
  <c r="N174" i="62"/>
  <c r="N49" i="62" s="1"/>
  <c r="N317" i="62"/>
  <c r="N128" i="62" s="1"/>
  <c r="N129" i="62" s="1"/>
  <c r="N41" i="62" s="1"/>
  <c r="O316" i="62"/>
  <c r="O317" i="62" s="1"/>
  <c r="O128" i="62" s="1"/>
  <c r="O129" i="62" s="1"/>
  <c r="O41" i="62" s="1"/>
  <c r="N101" i="62"/>
  <c r="N102" i="62" s="1"/>
  <c r="N36" i="62" s="1"/>
  <c r="O263" i="62"/>
  <c r="O266" i="62" s="1"/>
  <c r="Y57" i="70"/>
  <c r="M57" i="70"/>
  <c r="M122" i="70"/>
  <c r="Y122" i="70"/>
  <c r="N279" i="62"/>
  <c r="N112" i="62" s="1"/>
  <c r="O277" i="62"/>
  <c r="O279" i="62" s="1"/>
  <c r="O112" i="62" s="1"/>
  <c r="O114" i="62" s="1"/>
  <c r="O38" i="62" s="1"/>
  <c r="O270" i="59"/>
  <c r="O271" i="59"/>
  <c r="O111" i="59" s="1"/>
  <c r="O113" i="59" s="1"/>
  <c r="O46" i="59" s="1"/>
  <c r="Y54" i="70"/>
  <c r="M54" i="70"/>
  <c r="N218" i="59"/>
  <c r="N96" i="59" s="1"/>
  <c r="N97" i="59" s="1"/>
  <c r="N43" i="59" s="1"/>
  <c r="O217" i="59"/>
  <c r="O218" i="59" s="1"/>
  <c r="O96" i="59" s="1"/>
  <c r="O97" i="59" s="1"/>
  <c r="O43" i="59" s="1"/>
  <c r="N134" i="63"/>
  <c r="N137" i="63" s="1"/>
  <c r="M141" i="63"/>
  <c r="L58" i="72"/>
  <c r="Q58" i="72" s="1"/>
  <c r="K407" i="61"/>
  <c r="K72" i="61"/>
  <c r="O102" i="61"/>
  <c r="O460" i="61"/>
  <c r="M460" i="61"/>
  <c r="N399" i="60"/>
  <c r="O399" i="60"/>
  <c r="O437" i="60"/>
  <c r="O442" i="60"/>
  <c r="O435" i="60"/>
  <c r="O433" i="60"/>
  <c r="O432" i="60"/>
  <c r="O431" i="60"/>
  <c r="O430" i="60"/>
  <c r="O441" i="60"/>
  <c r="O436" i="60"/>
  <c r="O434" i="60"/>
  <c r="O299" i="60"/>
  <c r="O44" i="60"/>
  <c r="N444" i="60"/>
  <c r="M447" i="60"/>
  <c r="M74" i="60"/>
  <c r="M303" i="60"/>
  <c r="L74" i="60"/>
  <c r="L303" i="60"/>
  <c r="L447" i="60"/>
  <c r="L72" i="61"/>
  <c r="L463" i="61"/>
  <c r="L407" i="61"/>
  <c r="N463" i="61"/>
  <c r="N407" i="61"/>
  <c r="N72" i="61"/>
  <c r="K524" i="62"/>
  <c r="L518" i="62"/>
  <c r="L521" i="62" s="1"/>
  <c r="L525" i="62" s="1"/>
  <c r="M518" i="62"/>
  <c r="M521" i="62" s="1"/>
  <c r="M525" i="62" s="1"/>
  <c r="M56" i="59"/>
  <c r="N182" i="60"/>
  <c r="N184" i="60" s="1"/>
  <c r="N287" i="60" s="1"/>
  <c r="N400" i="60"/>
  <c r="N411" i="62"/>
  <c r="M283" i="61"/>
  <c r="M106" i="61" s="1"/>
  <c r="M107" i="61" s="1"/>
  <c r="M108" i="61" s="1"/>
  <c r="M31" i="61" s="1"/>
  <c r="N293" i="62"/>
  <c r="N113" i="62" s="1"/>
  <c r="K287" i="60"/>
  <c r="M58" i="72"/>
  <c r="R58" i="72" s="1"/>
  <c r="L55" i="72"/>
  <c r="Q55" i="72" s="1"/>
  <c r="M120" i="72"/>
  <c r="R120" i="72" s="1"/>
  <c r="M59" i="72"/>
  <c r="M142" i="63"/>
  <c r="M114" i="62"/>
  <c r="M38" i="62" s="1"/>
  <c r="M66" i="62" s="1"/>
  <c r="G57" i="70" s="1"/>
  <c r="M259" i="61"/>
  <c r="M100" i="61" s="1"/>
  <c r="K290" i="60"/>
  <c r="K33" i="60"/>
  <c r="L93" i="60"/>
  <c r="L94" i="60" s="1"/>
  <c r="L72" i="59"/>
  <c r="L81" i="59" s="1"/>
  <c r="N270" i="59"/>
  <c r="N271" i="59" s="1"/>
  <c r="N111" i="59" s="1"/>
  <c r="N113" i="59" s="1"/>
  <c r="N46" i="59" s="1"/>
  <c r="N113" i="61"/>
  <c r="N114" i="61" s="1"/>
  <c r="N32" i="61" s="1"/>
  <c r="N127" i="61"/>
  <c r="N129" i="61" s="1"/>
  <c r="N33" i="61" s="1"/>
  <c r="N257" i="61"/>
  <c r="N259" i="61" s="1"/>
  <c r="N100" i="61" s="1"/>
  <c r="N97" i="61"/>
  <c r="M97" i="61"/>
  <c r="N283" i="61"/>
  <c r="N106" i="61" s="1"/>
  <c r="N29" i="61"/>
  <c r="K404" i="61"/>
  <c r="L102" i="61"/>
  <c r="L404" i="61" s="1"/>
  <c r="L86" i="62"/>
  <c r="M184" i="60"/>
  <c r="M57" i="60" s="1"/>
  <c r="M293" i="60"/>
  <c r="M36" i="60"/>
  <c r="M177" i="60"/>
  <c r="M178" i="60" s="1"/>
  <c r="M40" i="60"/>
  <c r="M297" i="60"/>
  <c r="L291" i="60"/>
  <c r="L34" i="60"/>
  <c r="M292" i="60"/>
  <c r="M35" i="60"/>
  <c r="L35" i="60"/>
  <c r="L292" i="60"/>
  <c r="M400" i="60"/>
  <c r="L287" i="60"/>
  <c r="L57" i="60"/>
  <c r="M294" i="60"/>
  <c r="M37" i="60"/>
  <c r="L56" i="60"/>
  <c r="L285" i="60"/>
  <c r="M41" i="60"/>
  <c r="M298" i="60"/>
  <c r="M94" i="60"/>
  <c r="M295" i="60"/>
  <c r="M38" i="60"/>
  <c r="M72" i="61" l="1"/>
  <c r="M407" i="61"/>
  <c r="M463" i="61"/>
  <c r="N59" i="72"/>
  <c r="Z58" i="70"/>
  <c r="O58" i="70"/>
  <c r="N44" i="63"/>
  <c r="H58" i="70"/>
  <c r="N56" i="59"/>
  <c r="N141" i="63"/>
  <c r="N142" i="63"/>
  <c r="O142" i="63"/>
  <c r="O141" i="63"/>
  <c r="I58" i="70"/>
  <c r="O44" i="63"/>
  <c r="O195" i="62"/>
  <c r="O54" i="62" s="1"/>
  <c r="O140" i="62"/>
  <c r="O141" i="62" s="1"/>
  <c r="O42" i="62" s="1"/>
  <c r="N84" i="62"/>
  <c r="H122" i="70" s="1"/>
  <c r="Q122" i="70" s="1"/>
  <c r="Z122" i="70"/>
  <c r="O122" i="70"/>
  <c r="N120" i="72"/>
  <c r="S120" i="72" s="1"/>
  <c r="O84" i="62"/>
  <c r="I122" i="70" s="1"/>
  <c r="N114" i="62"/>
  <c r="N38" i="62" s="1"/>
  <c r="O101" i="62"/>
  <c r="O102" i="62" s="1"/>
  <c r="O36" i="62" s="1"/>
  <c r="N512" i="62"/>
  <c r="N515" i="62"/>
  <c r="N510" i="62"/>
  <c r="N506" i="62"/>
  <c r="N507" i="62"/>
  <c r="N511" i="62"/>
  <c r="N501" i="62"/>
  <c r="N520" i="62" s="1"/>
  <c r="N516" i="62"/>
  <c r="N509" i="62"/>
  <c r="N508" i="62"/>
  <c r="O57" i="70"/>
  <c r="Z57" i="70"/>
  <c r="O501" i="62"/>
  <c r="O520" i="62" s="1"/>
  <c r="O516" i="62"/>
  <c r="O507" i="62"/>
  <c r="O506" i="62"/>
  <c r="O511" i="62"/>
  <c r="O510" i="62"/>
  <c r="O509" i="62"/>
  <c r="O515" i="62"/>
  <c r="O512" i="62"/>
  <c r="O508" i="62"/>
  <c r="O505" i="62"/>
  <c r="N66" i="62"/>
  <c r="H57" i="70" s="1"/>
  <c r="O392" i="62"/>
  <c r="O394" i="62" s="1"/>
  <c r="O188" i="62" s="1"/>
  <c r="O189" i="62" s="1"/>
  <c r="O52" i="62" s="1"/>
  <c r="O411" i="62"/>
  <c r="M72" i="59"/>
  <c r="M81" i="59" s="1"/>
  <c r="G54" i="70"/>
  <c r="O56" i="59"/>
  <c r="O404" i="61"/>
  <c r="O30" i="61"/>
  <c r="O463" i="61"/>
  <c r="O72" i="61"/>
  <c r="O407" i="61"/>
  <c r="O444" i="60"/>
  <c r="O182" i="60"/>
  <c r="O184" i="60" s="1"/>
  <c r="O400" i="60"/>
  <c r="N303" i="60"/>
  <c r="N447" i="60"/>
  <c r="N74" i="60"/>
  <c r="L524" i="62"/>
  <c r="M524" i="62"/>
  <c r="N57" i="60"/>
  <c r="N68" i="60" s="1"/>
  <c r="H120" i="70" s="1"/>
  <c r="M287" i="60"/>
  <c r="K118" i="72"/>
  <c r="P118" i="72" s="1"/>
  <c r="M55" i="72"/>
  <c r="R55" i="72" s="1"/>
  <c r="S59" i="72"/>
  <c r="R59" i="72"/>
  <c r="M102" i="61"/>
  <c r="M404" i="61" s="1"/>
  <c r="L290" i="60"/>
  <c r="L33" i="60"/>
  <c r="N107" i="61"/>
  <c r="N108" i="61" s="1"/>
  <c r="N31" i="61" s="1"/>
  <c r="N102" i="61"/>
  <c r="M86" i="62"/>
  <c r="K448" i="60"/>
  <c r="L30" i="61"/>
  <c r="M33" i="60"/>
  <c r="M290" i="60"/>
  <c r="M285" i="60"/>
  <c r="M56" i="60"/>
  <c r="M68" i="60" s="1"/>
  <c r="G120" i="70" s="1"/>
  <c r="L68" i="60"/>
  <c r="F120" i="70" s="1"/>
  <c r="AA58" i="70" l="1"/>
  <c r="Q58" i="70"/>
  <c r="H54" i="70"/>
  <c r="N72" i="59"/>
  <c r="N81" i="59" s="1"/>
  <c r="AA120" i="70"/>
  <c r="Q120" i="70"/>
  <c r="Z120" i="70"/>
  <c r="O120" i="70"/>
  <c r="M120" i="70"/>
  <c r="Y120" i="70"/>
  <c r="AA122" i="70"/>
  <c r="N55" i="72"/>
  <c r="S55" i="72" s="1"/>
  <c r="N86" i="62"/>
  <c r="N518" i="62"/>
  <c r="N521" i="62" s="1"/>
  <c r="N524" i="62" s="1"/>
  <c r="O66" i="62"/>
  <c r="O86" i="62" s="1"/>
  <c r="AA57" i="70"/>
  <c r="Q57" i="70"/>
  <c r="O518" i="62"/>
  <c r="O521" i="62" s="1"/>
  <c r="O524" i="62" s="1"/>
  <c r="O72" i="59"/>
  <c r="O81" i="59" s="1"/>
  <c r="I54" i="70"/>
  <c r="Z54" i="70"/>
  <c r="O54" i="70"/>
  <c r="N448" i="60"/>
  <c r="O287" i="60"/>
  <c r="O57" i="60"/>
  <c r="O68" i="60" s="1"/>
  <c r="O74" i="60"/>
  <c r="O447" i="60"/>
  <c r="O303" i="60"/>
  <c r="N58" i="72"/>
  <c r="S58" i="72" s="1"/>
  <c r="L118" i="72"/>
  <c r="Q118" i="72" s="1"/>
  <c r="M30" i="61"/>
  <c r="N404" i="61"/>
  <c r="N30" i="61"/>
  <c r="L448" i="60"/>
  <c r="M448" i="60"/>
  <c r="AA54" i="70" l="1"/>
  <c r="Q54" i="70"/>
  <c r="O448" i="60"/>
  <c r="I120" i="70"/>
  <c r="I57" i="70"/>
  <c r="N525" i="62"/>
  <c r="O525" i="62"/>
  <c r="M118" i="72"/>
  <c r="R118" i="72" s="1"/>
  <c r="N118" i="72"/>
  <c r="S118" i="72" s="1"/>
  <c r="E74" i="58"/>
  <c r="D59" i="58"/>
  <c r="G57" i="58"/>
  <c r="B59" i="58" s="1"/>
  <c r="D57" i="58"/>
  <c r="A59" i="58" s="1"/>
  <c r="M47" i="58"/>
  <c r="L47" i="58"/>
  <c r="K47" i="58"/>
  <c r="E68" i="57"/>
  <c r="D52" i="57"/>
  <c r="G50" i="57"/>
  <c r="B52" i="57" s="1"/>
  <c r="D50" i="57"/>
  <c r="A52" i="57" s="1"/>
  <c r="M40" i="57"/>
  <c r="L40" i="57"/>
  <c r="K40" i="57"/>
  <c r="K116" i="72" l="1"/>
  <c r="P116" i="72" s="1"/>
  <c r="L116" i="72"/>
  <c r="Q116" i="72" s="1"/>
  <c r="K115" i="72"/>
  <c r="P115" i="72" s="1"/>
  <c r="M116" i="72"/>
  <c r="R116" i="72" s="1"/>
  <c r="N116" i="72"/>
  <c r="S116" i="72" s="1"/>
  <c r="N115" i="72"/>
  <c r="S115" i="72" s="1"/>
  <c r="L115" i="72"/>
  <c r="Q115" i="72" s="1"/>
  <c r="M115" i="72"/>
  <c r="R115" i="72" s="1"/>
  <c r="D29" i="57"/>
  <c r="L70" i="58"/>
  <c r="L71" i="58"/>
  <c r="M71" i="58" s="1"/>
  <c r="N71" i="58" s="1"/>
  <c r="O71" i="58" s="1"/>
  <c r="D36" i="58"/>
  <c r="L72" i="58"/>
  <c r="M72" i="58" s="1"/>
  <c r="N72" i="58" s="1"/>
  <c r="O72" i="58" s="1"/>
  <c r="L65" i="57"/>
  <c r="L67" i="57"/>
  <c r="M67" i="57" s="1"/>
  <c r="N67" i="57" s="1"/>
  <c r="O67" i="57" s="1"/>
  <c r="L66" i="57"/>
  <c r="M66" i="57" s="1"/>
  <c r="N66" i="57" s="1"/>
  <c r="O66" i="57" s="1"/>
  <c r="L74" i="58" l="1"/>
  <c r="L59" i="58" s="1"/>
  <c r="L60" i="58" s="1"/>
  <c r="L36" i="58" s="1"/>
  <c r="L40" i="58" s="1"/>
  <c r="F53" i="70" s="1"/>
  <c r="K59" i="58"/>
  <c r="K60" i="58" s="1"/>
  <c r="K36" i="58" s="1"/>
  <c r="K40" i="58" s="1"/>
  <c r="K53" i="72"/>
  <c r="P53" i="72" s="1"/>
  <c r="K54" i="72"/>
  <c r="P54" i="72" s="1"/>
  <c r="M70" i="58"/>
  <c r="M74" i="58" s="1"/>
  <c r="L68" i="57"/>
  <c r="L52" i="57" s="1"/>
  <c r="M65" i="57"/>
  <c r="K68" i="57"/>
  <c r="K52" i="57" s="1"/>
  <c r="Y53" i="70" l="1"/>
  <c r="M53" i="70"/>
  <c r="K53" i="57"/>
  <c r="K29" i="57" s="1"/>
  <c r="L53" i="57"/>
  <c r="L29" i="57" s="1"/>
  <c r="M59" i="58"/>
  <c r="M60" i="58" s="1"/>
  <c r="M36" i="58" s="1"/>
  <c r="M40" i="58" s="1"/>
  <c r="N70" i="58"/>
  <c r="O70" i="58" s="1"/>
  <c r="O74" i="58" s="1"/>
  <c r="O59" i="58" s="1"/>
  <c r="O60" i="58" s="1"/>
  <c r="O36" i="58" s="1"/>
  <c r="O40" i="58" s="1"/>
  <c r="M68" i="57"/>
  <c r="M52" i="57" s="1"/>
  <c r="N65" i="57"/>
  <c r="L49" i="58"/>
  <c r="K49" i="58"/>
  <c r="M49" i="58" l="1"/>
  <c r="G53" i="70"/>
  <c r="I53" i="70"/>
  <c r="O49" i="58"/>
  <c r="N68" i="57"/>
  <c r="N52" i="57" s="1"/>
  <c r="N53" i="57" s="1"/>
  <c r="N29" i="57" s="1"/>
  <c r="O65" i="57"/>
  <c r="O68" i="57" s="1"/>
  <c r="O52" i="57" s="1"/>
  <c r="O53" i="57" s="1"/>
  <c r="O29" i="57" s="1"/>
  <c r="O33" i="57" s="1"/>
  <c r="M53" i="57"/>
  <c r="M29" i="57" s="1"/>
  <c r="N74" i="58"/>
  <c r="N59" i="58" s="1"/>
  <c r="N60" i="58" s="1"/>
  <c r="N36" i="58" s="1"/>
  <c r="N40" i="58" s="1"/>
  <c r="H53" i="70" s="1"/>
  <c r="L33" i="57"/>
  <c r="F52" i="70" s="1"/>
  <c r="K33" i="57"/>
  <c r="L54" i="72"/>
  <c r="Q54" i="72" s="1"/>
  <c r="K114" i="72"/>
  <c r="P114" i="72" s="1"/>
  <c r="M54" i="72"/>
  <c r="R54" i="72" s="1"/>
  <c r="L113" i="72"/>
  <c r="Q113" i="72" s="1"/>
  <c r="N113" i="72"/>
  <c r="S113" i="72" s="1"/>
  <c r="L114" i="72"/>
  <c r="Q114" i="72" s="1"/>
  <c r="M114" i="72"/>
  <c r="R114" i="72" s="1"/>
  <c r="K113" i="72"/>
  <c r="P113" i="72" s="1"/>
  <c r="M113" i="72"/>
  <c r="R113" i="72" s="1"/>
  <c r="N114" i="72"/>
  <c r="S114" i="72" s="1"/>
  <c r="O53" i="70" l="1"/>
  <c r="Z53" i="70"/>
  <c r="I52" i="70"/>
  <c r="O42" i="57"/>
  <c r="Q53" i="70"/>
  <c r="AA53" i="70"/>
  <c r="M52" i="70"/>
  <c r="Y52" i="70"/>
  <c r="N54" i="72"/>
  <c r="S54" i="72" s="1"/>
  <c r="N49" i="58"/>
  <c r="K42" i="57"/>
  <c r="L42" i="57"/>
  <c r="M33" i="57"/>
  <c r="G52" i="70" s="1"/>
  <c r="N33" i="57"/>
  <c r="H52" i="70" s="1"/>
  <c r="O52" i="70" l="1"/>
  <c r="Z52" i="70"/>
  <c r="Q52" i="70"/>
  <c r="AA52" i="70"/>
  <c r="N42" i="57"/>
  <c r="M42" i="57"/>
  <c r="M53" i="72"/>
  <c r="R53" i="72" s="1"/>
  <c r="L53" i="72"/>
  <c r="Q53" i="72" s="1"/>
  <c r="K52" i="72"/>
  <c r="P52" i="72" s="1"/>
  <c r="F51" i="70"/>
  <c r="M51" i="70" l="1"/>
  <c r="Y51" i="70"/>
  <c r="N53" i="72"/>
  <c r="S53" i="72" s="1"/>
  <c r="K51" i="72"/>
  <c r="P51" i="72" s="1"/>
  <c r="F50" i="70"/>
  <c r="G51" i="70" l="1"/>
  <c r="I51" i="70"/>
  <c r="M50" i="70"/>
  <c r="Y50" i="70"/>
  <c r="H51" i="70"/>
  <c r="L52" i="72"/>
  <c r="Q52" i="72" s="1"/>
  <c r="M52" i="72"/>
  <c r="R52" i="72" s="1"/>
  <c r="L51" i="72"/>
  <c r="Q51" i="72" s="1"/>
  <c r="O51" i="70" l="1"/>
  <c r="Z51" i="70"/>
  <c r="Q51" i="70"/>
  <c r="AA51" i="70"/>
  <c r="G50" i="70"/>
  <c r="N52" i="72"/>
  <c r="S52" i="72" s="1"/>
  <c r="M51" i="72"/>
  <c r="R51" i="72" s="1"/>
  <c r="H50" i="70" l="1"/>
  <c r="O50" i="70"/>
  <c r="Z50" i="70"/>
  <c r="I50" i="70"/>
  <c r="N51" i="72"/>
  <c r="S51" i="72" s="1"/>
  <c r="K112" i="72"/>
  <c r="P112" i="72" s="1"/>
  <c r="L112" i="72"/>
  <c r="Q112" i="72" s="1"/>
  <c r="M112" i="72"/>
  <c r="R112" i="72" s="1"/>
  <c r="N112" i="72"/>
  <c r="S112" i="72" s="1"/>
  <c r="AA50" i="70" l="1"/>
  <c r="Q50" i="70"/>
  <c r="K50" i="72" l="1"/>
  <c r="P50" i="72" s="1"/>
  <c r="F47" i="70"/>
  <c r="G111" i="70"/>
  <c r="F111" i="70"/>
  <c r="E111" i="70"/>
  <c r="Y47" i="70" l="1"/>
  <c r="M47" i="70"/>
  <c r="O111" i="70"/>
  <c r="Z111" i="70"/>
  <c r="K111" i="70"/>
  <c r="X111" i="70"/>
  <c r="Y111" i="70"/>
  <c r="M111" i="70"/>
  <c r="N111" i="72"/>
  <c r="S111" i="72" s="1"/>
  <c r="L50" i="72"/>
  <c r="Q50" i="72" s="1"/>
  <c r="K111" i="72"/>
  <c r="P111" i="72" s="1"/>
  <c r="L111" i="72"/>
  <c r="Q111" i="72" s="1"/>
  <c r="M111" i="72"/>
  <c r="R111" i="72" s="1"/>
  <c r="I47" i="70" l="1"/>
  <c r="G47" i="70"/>
  <c r="M50" i="72"/>
  <c r="R50" i="72" s="1"/>
  <c r="H47" i="70" l="1"/>
  <c r="Q47" i="70" s="1"/>
  <c r="O47" i="70"/>
  <c r="Z47" i="70"/>
  <c r="AA47" i="70"/>
  <c r="N50" i="72"/>
  <c r="S50" i="72" s="1"/>
  <c r="E46" i="70" l="1"/>
  <c r="X46" i="70" l="1"/>
  <c r="K46" i="70"/>
  <c r="K108" i="72"/>
  <c r="P108" i="72" s="1"/>
  <c r="K109" i="72"/>
  <c r="P109" i="72" s="1"/>
  <c r="L109" i="72"/>
  <c r="Q109" i="72" s="1"/>
  <c r="M109" i="72"/>
  <c r="R109" i="72" s="1"/>
  <c r="N109" i="72"/>
  <c r="S109" i="72" s="1"/>
  <c r="K110" i="72"/>
  <c r="P110" i="72" s="1"/>
  <c r="L110" i="72"/>
  <c r="Q110" i="72" s="1"/>
  <c r="M110" i="72"/>
  <c r="R110" i="72" s="1"/>
  <c r="K49" i="72"/>
  <c r="P49" i="72" s="1"/>
  <c r="N110" i="72"/>
  <c r="S110" i="72" s="1"/>
  <c r="F46" i="70"/>
  <c r="Y46" i="70" l="1"/>
  <c r="M46" i="70"/>
  <c r="L108" i="72"/>
  <c r="Q108" i="72" s="1"/>
  <c r="L49" i="72"/>
  <c r="Q49" i="72" s="1"/>
  <c r="K45" i="72"/>
  <c r="P45" i="72" s="1"/>
  <c r="K107" i="72"/>
  <c r="P107" i="72" s="1"/>
  <c r="F108" i="70"/>
  <c r="Y108" i="70" l="1"/>
  <c r="M108" i="70"/>
  <c r="G46" i="70"/>
  <c r="I46" i="70"/>
  <c r="H46" i="70"/>
  <c r="L107" i="72"/>
  <c r="Q107" i="72" s="1"/>
  <c r="M108" i="72"/>
  <c r="R108" i="72" s="1"/>
  <c r="K48" i="72"/>
  <c r="P48" i="72" s="1"/>
  <c r="M49" i="72"/>
  <c r="R49" i="72" s="1"/>
  <c r="H108" i="70"/>
  <c r="F45" i="70"/>
  <c r="F44" i="70"/>
  <c r="G108" i="70"/>
  <c r="F107" i="70"/>
  <c r="F42" i="70"/>
  <c r="Q108" i="70" l="1"/>
  <c r="AA108" i="70"/>
  <c r="M45" i="70"/>
  <c r="Y45" i="70"/>
  <c r="M44" i="70"/>
  <c r="Y44" i="70"/>
  <c r="O108" i="70"/>
  <c r="Z108" i="70"/>
  <c r="M107" i="70"/>
  <c r="Y107" i="70"/>
  <c r="M42" i="70"/>
  <c r="Y42" i="70"/>
  <c r="N49" i="72"/>
  <c r="S49" i="72" s="1"/>
  <c r="AA46" i="70"/>
  <c r="Q46" i="70"/>
  <c r="Z46" i="70"/>
  <c r="O46" i="70"/>
  <c r="M107" i="72"/>
  <c r="R107" i="72" s="1"/>
  <c r="K47" i="72"/>
  <c r="P47" i="72" s="1"/>
  <c r="L45" i="72"/>
  <c r="Q45" i="72" s="1"/>
  <c r="L48" i="72"/>
  <c r="Q48" i="72" s="1"/>
  <c r="K46" i="72"/>
  <c r="P46" i="72" s="1"/>
  <c r="N108" i="72"/>
  <c r="S108" i="72" s="1"/>
  <c r="G42" i="70"/>
  <c r="G44" i="70"/>
  <c r="H107" i="70"/>
  <c r="F43" i="70"/>
  <c r="G107" i="70"/>
  <c r="I44" i="70" l="1"/>
  <c r="O42" i="70"/>
  <c r="Z42" i="70"/>
  <c r="I42" i="70"/>
  <c r="G45" i="70"/>
  <c r="N48" i="72" s="1"/>
  <c r="S48" i="72" s="1"/>
  <c r="O44" i="70"/>
  <c r="Z44" i="70"/>
  <c r="O107" i="70"/>
  <c r="Z107" i="70"/>
  <c r="Q107" i="70"/>
  <c r="AA107" i="70"/>
  <c r="M43" i="70"/>
  <c r="Y43" i="70"/>
  <c r="H44" i="70"/>
  <c r="H42" i="70"/>
  <c r="N107" i="72"/>
  <c r="S107" i="72" s="1"/>
  <c r="N45" i="72"/>
  <c r="S45" i="72" s="1"/>
  <c r="M45" i="72"/>
  <c r="R45" i="72" s="1"/>
  <c r="M47" i="72"/>
  <c r="R47" i="72" s="1"/>
  <c r="L46" i="72"/>
  <c r="Q46" i="72" s="1"/>
  <c r="M48" i="72"/>
  <c r="R48" i="72" s="1"/>
  <c r="L47" i="72"/>
  <c r="Q47" i="72" s="1"/>
  <c r="G43" i="70"/>
  <c r="M96" i="39"/>
  <c r="M97" i="39" s="1"/>
  <c r="M48" i="39" s="1"/>
  <c r="M51" i="39" s="1"/>
  <c r="G105" i="70" s="1"/>
  <c r="L96" i="39"/>
  <c r="L97" i="39" s="1"/>
  <c r="L48" i="39" s="1"/>
  <c r="L51" i="39" s="1"/>
  <c r="F105" i="70" s="1"/>
  <c r="K96" i="39"/>
  <c r="K97" i="39" s="1"/>
  <c r="K48" i="39" s="1"/>
  <c r="K51" i="39" s="1"/>
  <c r="E105" i="70" s="1"/>
  <c r="E204" i="39"/>
  <c r="E184" i="39"/>
  <c r="E174" i="39"/>
  <c r="E161" i="39"/>
  <c r="T117" i="39"/>
  <c r="B96" i="39"/>
  <c r="A96" i="39"/>
  <c r="B85" i="39"/>
  <c r="A85" i="39"/>
  <c r="B79" i="39"/>
  <c r="A79" i="39"/>
  <c r="B69" i="39"/>
  <c r="A69" i="39"/>
  <c r="B64" i="39"/>
  <c r="A64" i="39"/>
  <c r="D48" i="39"/>
  <c r="D40" i="39"/>
  <c r="D38" i="39"/>
  <c r="D37" i="39"/>
  <c r="G104" i="70"/>
  <c r="F104" i="70"/>
  <c r="E104" i="70"/>
  <c r="E535" i="37"/>
  <c r="E530" i="37"/>
  <c r="K530" i="37"/>
  <c r="K242" i="37" s="1"/>
  <c r="K243" i="37" s="1"/>
  <c r="K68" i="37" s="1"/>
  <c r="E525" i="37"/>
  <c r="K525" i="37"/>
  <c r="K237" i="37" s="1"/>
  <c r="K238" i="37" s="1"/>
  <c r="K67" i="37" s="1"/>
  <c r="E519" i="37"/>
  <c r="D519" i="37"/>
  <c r="E517" i="37"/>
  <c r="K517" i="37"/>
  <c r="K232" i="37" s="1"/>
  <c r="K233" i="37" s="1"/>
  <c r="K66" i="37" s="1"/>
  <c r="E506" i="37"/>
  <c r="K506" i="37"/>
  <c r="K227" i="37" s="1"/>
  <c r="K228" i="37" s="1"/>
  <c r="K65" i="37" s="1"/>
  <c r="E495" i="37"/>
  <c r="L494" i="37"/>
  <c r="E486" i="37"/>
  <c r="E477" i="37"/>
  <c r="K477" i="37"/>
  <c r="K212" i="37" s="1"/>
  <c r="K213" i="37" s="1"/>
  <c r="K62" i="37" s="1"/>
  <c r="E467" i="37"/>
  <c r="E446" i="37"/>
  <c r="K446" i="37"/>
  <c r="K196" i="37" s="1"/>
  <c r="K197" i="37" s="1"/>
  <c r="K54" i="37" s="1"/>
  <c r="E428" i="37"/>
  <c r="E421" i="37"/>
  <c r="E412" i="37"/>
  <c r="E403" i="37"/>
  <c r="L402" i="37"/>
  <c r="M402" i="37" s="1"/>
  <c r="E392" i="37"/>
  <c r="E380" i="37"/>
  <c r="E373" i="37"/>
  <c r="E367" i="37"/>
  <c r="E361" i="37"/>
  <c r="L359" i="37"/>
  <c r="E355" i="37"/>
  <c r="L354" i="37"/>
  <c r="M354" i="37" s="1"/>
  <c r="E350" i="37"/>
  <c r="E345" i="37"/>
  <c r="E340" i="37"/>
  <c r="K340" i="37"/>
  <c r="K121" i="37" s="1"/>
  <c r="K122" i="37" s="1"/>
  <c r="K39" i="37" s="1"/>
  <c r="E335" i="37"/>
  <c r="L334" i="37"/>
  <c r="E330" i="37"/>
  <c r="K330" i="37"/>
  <c r="K111" i="37" s="1"/>
  <c r="K112" i="37" s="1"/>
  <c r="K37" i="37" s="1"/>
  <c r="E324" i="37"/>
  <c r="E306" i="37"/>
  <c r="E296" i="37"/>
  <c r="E281" i="37"/>
  <c r="E276" i="37"/>
  <c r="E265" i="37"/>
  <c r="B247" i="37"/>
  <c r="A247" i="37"/>
  <c r="B242" i="37"/>
  <c r="A242" i="37"/>
  <c r="B237" i="37"/>
  <c r="A237" i="37"/>
  <c r="B232" i="37"/>
  <c r="A232" i="37"/>
  <c r="B227" i="37"/>
  <c r="A227" i="37"/>
  <c r="B222" i="37"/>
  <c r="A222" i="37"/>
  <c r="B217" i="37"/>
  <c r="A217" i="37"/>
  <c r="B212" i="37"/>
  <c r="A212" i="37"/>
  <c r="B207" i="37"/>
  <c r="A207" i="37"/>
  <c r="B196" i="37"/>
  <c r="A196" i="37"/>
  <c r="B191" i="37"/>
  <c r="A191" i="37"/>
  <c r="B186" i="37"/>
  <c r="A186" i="37"/>
  <c r="B181" i="37"/>
  <c r="A181" i="37"/>
  <c r="B176" i="37"/>
  <c r="A176" i="37"/>
  <c r="B171" i="37"/>
  <c r="A171" i="37"/>
  <c r="B166" i="37"/>
  <c r="A166" i="37"/>
  <c r="B161" i="37"/>
  <c r="A161" i="37"/>
  <c r="B156" i="37"/>
  <c r="A156" i="37"/>
  <c r="B151" i="37"/>
  <c r="A151" i="37"/>
  <c r="B146" i="37"/>
  <c r="A146" i="37"/>
  <c r="B141" i="37"/>
  <c r="A141" i="37"/>
  <c r="B136" i="37"/>
  <c r="A136" i="37"/>
  <c r="B131" i="37"/>
  <c r="A131" i="37"/>
  <c r="B126" i="37"/>
  <c r="A126" i="37"/>
  <c r="B121" i="37"/>
  <c r="A121" i="37"/>
  <c r="B116" i="37"/>
  <c r="A116" i="37"/>
  <c r="B111" i="37"/>
  <c r="A111" i="37"/>
  <c r="B106" i="37"/>
  <c r="A106" i="37"/>
  <c r="B101" i="37"/>
  <c r="A101" i="37"/>
  <c r="B96" i="37"/>
  <c r="A96" i="37"/>
  <c r="B91" i="37"/>
  <c r="A91" i="37"/>
  <c r="B86" i="37"/>
  <c r="A86" i="37"/>
  <c r="D69" i="37"/>
  <c r="D68" i="37"/>
  <c r="D67" i="37"/>
  <c r="D66" i="37"/>
  <c r="D65" i="37"/>
  <c r="D64" i="37"/>
  <c r="D63" i="37"/>
  <c r="D62" i="37"/>
  <c r="D61" i="37"/>
  <c r="D54" i="37"/>
  <c r="D53" i="37"/>
  <c r="D52" i="37"/>
  <c r="D51" i="37"/>
  <c r="D50" i="37"/>
  <c r="D49" i="37"/>
  <c r="D48" i="37"/>
  <c r="D47" i="37"/>
  <c r="D46" i="37"/>
  <c r="D45" i="37"/>
  <c r="D44" i="37"/>
  <c r="D43" i="37"/>
  <c r="D42" i="37"/>
  <c r="D41" i="37"/>
  <c r="D40" i="37"/>
  <c r="D39" i="37"/>
  <c r="D38" i="37"/>
  <c r="D37" i="37"/>
  <c r="D36" i="37"/>
  <c r="D35" i="37"/>
  <c r="D34" i="37"/>
  <c r="D33" i="37"/>
  <c r="D32" i="37"/>
  <c r="M639" i="33"/>
  <c r="M389" i="33" s="1"/>
  <c r="M390" i="33" s="1"/>
  <c r="M83" i="33" s="1"/>
  <c r="L639" i="33"/>
  <c r="L389" i="33" s="1"/>
  <c r="L390" i="33" s="1"/>
  <c r="L83" i="33" s="1"/>
  <c r="K639" i="33"/>
  <c r="K389" i="33" s="1"/>
  <c r="K390" i="33" s="1"/>
  <c r="K83" i="33" s="1"/>
  <c r="M634" i="33"/>
  <c r="M384" i="33" s="1"/>
  <c r="M385" i="33" s="1"/>
  <c r="M82" i="33" s="1"/>
  <c r="L634" i="33"/>
  <c r="L384" i="33" s="1"/>
  <c r="L385" i="33" s="1"/>
  <c r="L82" i="33" s="1"/>
  <c r="K634" i="33"/>
  <c r="K384" i="33" s="1"/>
  <c r="K385" i="33" s="1"/>
  <c r="K82" i="33" s="1"/>
  <c r="M629" i="33"/>
  <c r="M379" i="33" s="1"/>
  <c r="M380" i="33" s="1"/>
  <c r="M81" i="33" s="1"/>
  <c r="L629" i="33"/>
  <c r="L379" i="33" s="1"/>
  <c r="L380" i="33" s="1"/>
  <c r="L81" i="33" s="1"/>
  <c r="K629" i="33"/>
  <c r="K379" i="33" s="1"/>
  <c r="K380" i="33" s="1"/>
  <c r="K81" i="33" s="1"/>
  <c r="M624" i="33"/>
  <c r="M374" i="33" s="1"/>
  <c r="M375" i="33" s="1"/>
  <c r="M80" i="33" s="1"/>
  <c r="L624" i="33"/>
  <c r="L374" i="33" s="1"/>
  <c r="L375" i="33" s="1"/>
  <c r="L80" i="33" s="1"/>
  <c r="K624" i="33"/>
  <c r="K374" i="33" s="1"/>
  <c r="K375" i="33" s="1"/>
  <c r="K80" i="33" s="1"/>
  <c r="M369" i="33"/>
  <c r="M370" i="33" s="1"/>
  <c r="M79" i="33" s="1"/>
  <c r="L369" i="33"/>
  <c r="L370" i="33" s="1"/>
  <c r="L79" i="33" s="1"/>
  <c r="K369" i="33"/>
  <c r="K370" i="33" s="1"/>
  <c r="K79" i="33" s="1"/>
  <c r="E593" i="33"/>
  <c r="E588" i="33"/>
  <c r="E583" i="33"/>
  <c r="E578" i="33"/>
  <c r="E555" i="33"/>
  <c r="E550" i="33"/>
  <c r="E545" i="33"/>
  <c r="E540" i="33"/>
  <c r="M525" i="33"/>
  <c r="M279" i="33" s="1"/>
  <c r="M280" i="33" s="1"/>
  <c r="M57" i="33" s="1"/>
  <c r="L525" i="33"/>
  <c r="L279" i="33" s="1"/>
  <c r="L280" i="33" s="1"/>
  <c r="L57" i="33" s="1"/>
  <c r="K525" i="33"/>
  <c r="K279" i="33" s="1"/>
  <c r="K280" i="33" s="1"/>
  <c r="K57" i="33" s="1"/>
  <c r="M520" i="33"/>
  <c r="M274" i="33" s="1"/>
  <c r="M275" i="33" s="1"/>
  <c r="M56" i="33" s="1"/>
  <c r="L520" i="33"/>
  <c r="L274" i="33" s="1"/>
  <c r="L275" i="33" s="1"/>
  <c r="L56" i="33" s="1"/>
  <c r="K520" i="33"/>
  <c r="K274" i="33" s="1"/>
  <c r="K275" i="33" s="1"/>
  <c r="K56" i="33" s="1"/>
  <c r="M515" i="33"/>
  <c r="M269" i="33" s="1"/>
  <c r="M270" i="33" s="1"/>
  <c r="M55" i="33" s="1"/>
  <c r="L515" i="33"/>
  <c r="L269" i="33" s="1"/>
  <c r="L270" i="33" s="1"/>
  <c r="L55" i="33" s="1"/>
  <c r="K515" i="33"/>
  <c r="K269" i="33" s="1"/>
  <c r="K270" i="33" s="1"/>
  <c r="K55" i="33" s="1"/>
  <c r="M510" i="33"/>
  <c r="M264" i="33" s="1"/>
  <c r="M265" i="33" s="1"/>
  <c r="M54" i="33" s="1"/>
  <c r="L510" i="33"/>
  <c r="L264" i="33" s="1"/>
  <c r="L265" i="33" s="1"/>
  <c r="L54" i="33" s="1"/>
  <c r="K510" i="33"/>
  <c r="K264" i="33" s="1"/>
  <c r="K265" i="33" s="1"/>
  <c r="K54" i="33" s="1"/>
  <c r="M53" i="33"/>
  <c r="L259" i="33"/>
  <c r="L260" i="33" s="1"/>
  <c r="E496" i="33"/>
  <c r="E485" i="33"/>
  <c r="E479" i="33"/>
  <c r="E474" i="33"/>
  <c r="E465" i="33"/>
  <c r="E460" i="33"/>
  <c r="E457" i="33"/>
  <c r="E443" i="33"/>
  <c r="E440" i="33"/>
  <c r="E432" i="33"/>
  <c r="E421" i="33"/>
  <c r="E414" i="33"/>
  <c r="E409" i="33"/>
  <c r="E401" i="33"/>
  <c r="B389" i="33"/>
  <c r="A389" i="33"/>
  <c r="B384" i="33"/>
  <c r="A384" i="33"/>
  <c r="B379" i="33"/>
  <c r="A379" i="33"/>
  <c r="B374" i="33"/>
  <c r="A374" i="33"/>
  <c r="B369" i="33"/>
  <c r="A369" i="33"/>
  <c r="B364" i="33"/>
  <c r="A364" i="33"/>
  <c r="B344" i="33"/>
  <c r="A344" i="33"/>
  <c r="B339" i="33"/>
  <c r="A339" i="33"/>
  <c r="B334" i="33"/>
  <c r="A334" i="33"/>
  <c r="B329" i="33"/>
  <c r="A329" i="33"/>
  <c r="B324" i="33"/>
  <c r="A324" i="33"/>
  <c r="B319" i="33"/>
  <c r="A319" i="33"/>
  <c r="B314" i="33"/>
  <c r="A314" i="33"/>
  <c r="B309" i="33"/>
  <c r="A309" i="33"/>
  <c r="B304" i="33"/>
  <c r="A304" i="33"/>
  <c r="B299" i="33"/>
  <c r="A299" i="33"/>
  <c r="B294" i="33"/>
  <c r="A294" i="33"/>
  <c r="B279" i="33"/>
  <c r="A279" i="33"/>
  <c r="B274" i="33"/>
  <c r="A274" i="33"/>
  <c r="B269" i="33"/>
  <c r="A269" i="33"/>
  <c r="B264" i="33"/>
  <c r="A264" i="33"/>
  <c r="B259" i="33"/>
  <c r="A259" i="33"/>
  <c r="B249" i="33"/>
  <c r="A249" i="33"/>
  <c r="B241" i="33"/>
  <c r="A241" i="33"/>
  <c r="B236" i="33"/>
  <c r="A236" i="33"/>
  <c r="B231" i="33"/>
  <c r="A231" i="33"/>
  <c r="B230" i="33"/>
  <c r="A230" i="33"/>
  <c r="B225" i="33"/>
  <c r="A225" i="33"/>
  <c r="B220" i="33"/>
  <c r="A220" i="33"/>
  <c r="B219" i="33"/>
  <c r="A219" i="33"/>
  <c r="B218" i="33"/>
  <c r="A218" i="33"/>
  <c r="B217" i="33"/>
  <c r="A217" i="33"/>
  <c r="B212" i="33"/>
  <c r="A212" i="33"/>
  <c r="B211" i="33"/>
  <c r="A211" i="33"/>
  <c r="B206" i="33"/>
  <c r="A206" i="33"/>
  <c r="B205" i="33"/>
  <c r="A205" i="33"/>
  <c r="B200" i="33"/>
  <c r="A200" i="33"/>
  <c r="B199" i="33"/>
  <c r="A199" i="33"/>
  <c r="B194" i="33"/>
  <c r="A194" i="33"/>
  <c r="B193" i="33"/>
  <c r="A193" i="33"/>
  <c r="B188" i="33"/>
  <c r="A188" i="33"/>
  <c r="B187" i="33"/>
  <c r="A187" i="33"/>
  <c r="B182" i="33"/>
  <c r="A182" i="33"/>
  <c r="B177" i="33"/>
  <c r="A177" i="33"/>
  <c r="B172" i="33"/>
  <c r="A172" i="33"/>
  <c r="B167" i="33"/>
  <c r="A167" i="33"/>
  <c r="B161" i="33"/>
  <c r="A161" i="33"/>
  <c r="B160" i="33"/>
  <c r="A160" i="33"/>
  <c r="B155" i="33"/>
  <c r="A155" i="33"/>
  <c r="B154" i="33"/>
  <c r="A154" i="33"/>
  <c r="B149" i="33"/>
  <c r="A149" i="33"/>
  <c r="B148" i="33"/>
  <c r="A148" i="33"/>
  <c r="B143" i="33"/>
  <c r="A143" i="33"/>
  <c r="B142" i="33"/>
  <c r="A142" i="33"/>
  <c r="B141" i="33"/>
  <c r="A141" i="33"/>
  <c r="B136" i="33"/>
  <c r="A136" i="33"/>
  <c r="B135" i="33"/>
  <c r="A135" i="33"/>
  <c r="B134" i="33"/>
  <c r="A134" i="33"/>
  <c r="B133" i="33"/>
  <c r="A133" i="33"/>
  <c r="B128" i="33"/>
  <c r="A128" i="33"/>
  <c r="B127" i="33"/>
  <c r="A127" i="33"/>
  <c r="B126" i="33"/>
  <c r="A126" i="33"/>
  <c r="B125" i="33"/>
  <c r="A125" i="33"/>
  <c r="B120" i="33"/>
  <c r="A120" i="33"/>
  <c r="B119" i="33"/>
  <c r="A119" i="33"/>
  <c r="B118" i="33"/>
  <c r="A118" i="33"/>
  <c r="B117" i="33"/>
  <c r="A117" i="33"/>
  <c r="B112" i="33"/>
  <c r="A112" i="33"/>
  <c r="B107" i="33"/>
  <c r="A107" i="33"/>
  <c r="B106" i="33"/>
  <c r="A106" i="33"/>
  <c r="B105" i="33"/>
  <c r="A105" i="33"/>
  <c r="B104" i="33"/>
  <c r="A104" i="33"/>
  <c r="B99" i="33"/>
  <c r="A99" i="33"/>
  <c r="B98" i="33"/>
  <c r="A98" i="33"/>
  <c r="B97" i="33"/>
  <c r="A97" i="33"/>
  <c r="B96" i="33"/>
  <c r="A96" i="33"/>
  <c r="D83" i="33"/>
  <c r="D82" i="33"/>
  <c r="D81" i="33"/>
  <c r="D80" i="33"/>
  <c r="D79" i="33"/>
  <c r="D74" i="33"/>
  <c r="D73" i="33"/>
  <c r="D72" i="33"/>
  <c r="D71" i="33"/>
  <c r="D70" i="33"/>
  <c r="D69" i="33"/>
  <c r="D68" i="33"/>
  <c r="D67" i="33"/>
  <c r="D66" i="33"/>
  <c r="D65" i="33"/>
  <c r="D64" i="33"/>
  <c r="D57" i="33"/>
  <c r="D56" i="33"/>
  <c r="D55" i="33"/>
  <c r="D54" i="33"/>
  <c r="D53" i="33"/>
  <c r="D52" i="33"/>
  <c r="D50" i="33"/>
  <c r="D49" i="33"/>
  <c r="D48" i="33"/>
  <c r="D47" i="33"/>
  <c r="D46" i="33"/>
  <c r="D45" i="33"/>
  <c r="D44" i="33"/>
  <c r="D43" i="33"/>
  <c r="D42" i="33"/>
  <c r="D41" i="33"/>
  <c r="D40" i="33"/>
  <c r="D39" i="33"/>
  <c r="D38" i="33"/>
  <c r="D36" i="33"/>
  <c r="D35" i="33"/>
  <c r="D34" i="33"/>
  <c r="D33" i="33"/>
  <c r="D32" i="33"/>
  <c r="D31" i="33"/>
  <c r="D30" i="33"/>
  <c r="D29" i="33"/>
  <c r="D28" i="33"/>
  <c r="D27" i="33"/>
  <c r="H45" i="70" l="1"/>
  <c r="O45" i="70"/>
  <c r="Z45" i="70"/>
  <c r="I45" i="70"/>
  <c r="Q44" i="70"/>
  <c r="AA44" i="70"/>
  <c r="Q42" i="70"/>
  <c r="AA42" i="70"/>
  <c r="O43" i="70"/>
  <c r="Z43" i="70"/>
  <c r="K105" i="70"/>
  <c r="X105" i="70"/>
  <c r="Y105" i="70"/>
  <c r="M105" i="70"/>
  <c r="Z105" i="70"/>
  <c r="O105" i="70"/>
  <c r="X104" i="70"/>
  <c r="K104" i="70"/>
  <c r="Y104" i="70"/>
  <c r="M104" i="70"/>
  <c r="Z104" i="70"/>
  <c r="O104" i="70"/>
  <c r="M359" i="37"/>
  <c r="L361" i="37"/>
  <c r="L146" i="37" s="1"/>
  <c r="L147" i="37" s="1"/>
  <c r="L44" i="37" s="1"/>
  <c r="M259" i="33"/>
  <c r="M260" i="33" s="1"/>
  <c r="L463" i="37"/>
  <c r="L467" i="37" s="1"/>
  <c r="K207" i="37"/>
  <c r="K208" i="37" s="1"/>
  <c r="K61" i="37" s="1"/>
  <c r="M101" i="72"/>
  <c r="R101" i="72" s="1"/>
  <c r="K105" i="72"/>
  <c r="P105" i="72" s="1"/>
  <c r="L105" i="72"/>
  <c r="Q105" i="72" s="1"/>
  <c r="M105" i="72"/>
  <c r="R105" i="72" s="1"/>
  <c r="K102" i="72"/>
  <c r="P102" i="72" s="1"/>
  <c r="K106" i="72"/>
  <c r="P106" i="72" s="1"/>
  <c r="M46" i="72"/>
  <c r="R46" i="72" s="1"/>
  <c r="N101" i="72"/>
  <c r="S101" i="72" s="1"/>
  <c r="N105" i="72"/>
  <c r="S105" i="72" s="1"/>
  <c r="K104" i="72"/>
  <c r="P104" i="72" s="1"/>
  <c r="N47" i="72"/>
  <c r="S47" i="72" s="1"/>
  <c r="L104" i="72"/>
  <c r="Q104" i="72" s="1"/>
  <c r="K101" i="72"/>
  <c r="P101" i="72" s="1"/>
  <c r="M104" i="72"/>
  <c r="R104" i="72" s="1"/>
  <c r="L101" i="72"/>
  <c r="Q101" i="72" s="1"/>
  <c r="N104" i="72"/>
  <c r="S104" i="72" s="1"/>
  <c r="L53" i="33"/>
  <c r="M403" i="37"/>
  <c r="M171" i="37" s="1"/>
  <c r="M172" i="37" s="1"/>
  <c r="M49" i="37" s="1"/>
  <c r="N402" i="37"/>
  <c r="M355" i="37"/>
  <c r="M136" i="37" s="1"/>
  <c r="M137" i="37" s="1"/>
  <c r="M42" i="37" s="1"/>
  <c r="N354" i="37"/>
  <c r="L339" i="37"/>
  <c r="M339" i="37" s="1"/>
  <c r="K146" i="37"/>
  <c r="K147" i="37" s="1"/>
  <c r="K44" i="37" s="1"/>
  <c r="M494" i="37"/>
  <c r="L495" i="37"/>
  <c r="L222" i="37" s="1"/>
  <c r="L223" i="37" s="1"/>
  <c r="L64" i="37" s="1"/>
  <c r="K86" i="37"/>
  <c r="K87" i="37" s="1"/>
  <c r="K32" i="37" s="1"/>
  <c r="L261" i="37"/>
  <c r="L265" i="37" s="1"/>
  <c r="K335" i="37"/>
  <c r="K116" i="37" s="1"/>
  <c r="K117" i="37" s="1"/>
  <c r="K38" i="37" s="1"/>
  <c r="K403" i="37"/>
  <c r="K171" i="37" s="1"/>
  <c r="K172" i="37" s="1"/>
  <c r="K49" i="37" s="1"/>
  <c r="K495" i="37"/>
  <c r="K222" i="37" s="1"/>
  <c r="K223" i="37" s="1"/>
  <c r="K64" i="37" s="1"/>
  <c r="L403" i="37"/>
  <c r="L171" i="37" s="1"/>
  <c r="L172" i="37" s="1"/>
  <c r="L49" i="37" s="1"/>
  <c r="L445" i="37"/>
  <c r="L303" i="37"/>
  <c r="L306" i="37" s="1"/>
  <c r="L355" i="37"/>
  <c r="L136" i="37" s="1"/>
  <c r="L137" i="37" s="1"/>
  <c r="L42" i="37" s="1"/>
  <c r="L529" i="37"/>
  <c r="K355" i="37"/>
  <c r="K136" i="37" s="1"/>
  <c r="K137" i="37" s="1"/>
  <c r="K42" i="37" s="1"/>
  <c r="L516" i="37"/>
  <c r="L517" i="37" s="1"/>
  <c r="L232" i="37" s="1"/>
  <c r="L233" i="37" s="1"/>
  <c r="L66" i="37" s="1"/>
  <c r="L143" i="39"/>
  <c r="M143" i="39" s="1"/>
  <c r="N143" i="39" s="1"/>
  <c r="O143" i="39" s="1"/>
  <c r="N273" i="37"/>
  <c r="L274" i="37"/>
  <c r="M274" i="37" s="1"/>
  <c r="N274" i="37" s="1"/>
  <c r="O274" i="37" s="1"/>
  <c r="L149" i="39"/>
  <c r="M149" i="39" s="1"/>
  <c r="N149" i="39" s="1"/>
  <c r="O149" i="39" s="1"/>
  <c r="K161" i="39"/>
  <c r="K69" i="39" s="1"/>
  <c r="K70" i="39" s="1"/>
  <c r="K38" i="39" s="1"/>
  <c r="L313" i="37"/>
  <c r="M313" i="37" s="1"/>
  <c r="N313" i="37" s="1"/>
  <c r="O313" i="37" s="1"/>
  <c r="K105" i="33"/>
  <c r="L105" i="33" s="1"/>
  <c r="M105" i="33" s="1"/>
  <c r="N105" i="33" s="1"/>
  <c r="O105" i="33" s="1"/>
  <c r="L133" i="39"/>
  <c r="K161" i="33"/>
  <c r="L161" i="33" s="1"/>
  <c r="M161" i="33" s="1"/>
  <c r="N161" i="33" s="1"/>
  <c r="O161" i="33" s="1"/>
  <c r="K560" i="33"/>
  <c r="K314" i="33" s="1"/>
  <c r="K315" i="33" s="1"/>
  <c r="K70" i="33" s="1"/>
  <c r="L135" i="39"/>
  <c r="M135" i="39" s="1"/>
  <c r="N135" i="39" s="1"/>
  <c r="O135" i="39" s="1"/>
  <c r="L484" i="33"/>
  <c r="M484" i="33" s="1"/>
  <c r="N484" i="33" s="1"/>
  <c r="O484" i="33" s="1"/>
  <c r="L173" i="39"/>
  <c r="M173" i="39" s="1"/>
  <c r="N173" i="39" s="1"/>
  <c r="O173" i="39" s="1"/>
  <c r="L139" i="39"/>
  <c r="M139" i="39" s="1"/>
  <c r="N139" i="39" s="1"/>
  <c r="O139" i="39" s="1"/>
  <c r="L311" i="37"/>
  <c r="L428" i="33"/>
  <c r="M428" i="33" s="1"/>
  <c r="N428" i="33" s="1"/>
  <c r="O428" i="33" s="1"/>
  <c r="M570" i="33"/>
  <c r="N570" i="33" s="1"/>
  <c r="O570" i="33" s="1"/>
  <c r="K126" i="33"/>
  <c r="L126" i="33" s="1"/>
  <c r="M126" i="33" s="1"/>
  <c r="N126" i="33" s="1"/>
  <c r="O126" i="33" s="1"/>
  <c r="L429" i="33"/>
  <c r="M429" i="33" s="1"/>
  <c r="N429" i="33" s="1"/>
  <c r="O429" i="33" s="1"/>
  <c r="K155" i="33"/>
  <c r="L155" i="33" s="1"/>
  <c r="M155" i="33" s="1"/>
  <c r="N155" i="33" s="1"/>
  <c r="O155" i="33" s="1"/>
  <c r="L425" i="33"/>
  <c r="L408" i="33"/>
  <c r="M408" i="33" s="1"/>
  <c r="N408" i="33" s="1"/>
  <c r="O408" i="33" s="1"/>
  <c r="O409" i="33" s="1"/>
  <c r="O172" i="33" s="1"/>
  <c r="O173" i="33" s="1"/>
  <c r="O39" i="33" s="1"/>
  <c r="L172" i="39"/>
  <c r="M172" i="39" s="1"/>
  <c r="N172" i="39" s="1"/>
  <c r="O172" i="39" s="1"/>
  <c r="L136" i="39"/>
  <c r="M136" i="39" s="1"/>
  <c r="N136" i="39" s="1"/>
  <c r="O136" i="39" s="1"/>
  <c r="L314" i="37"/>
  <c r="L335" i="37"/>
  <c r="L116" i="37" s="1"/>
  <c r="L117" i="37" s="1"/>
  <c r="L38" i="37" s="1"/>
  <c r="M334" i="37"/>
  <c r="K101" i="37"/>
  <c r="K102" i="37" s="1"/>
  <c r="K35" i="37" s="1"/>
  <c r="L294" i="37"/>
  <c r="L296" i="37" s="1"/>
  <c r="L365" i="37"/>
  <c r="L367" i="37" s="1"/>
  <c r="K151" i="37"/>
  <c r="K152" i="37" s="1"/>
  <c r="K45" i="37" s="1"/>
  <c r="L329" i="37"/>
  <c r="K535" i="37"/>
  <c r="K247" i="37" s="1"/>
  <c r="K248" i="37" s="1"/>
  <c r="K69" i="37" s="1"/>
  <c r="L534" i="37"/>
  <c r="M273" i="37"/>
  <c r="O273" i="37" s="1"/>
  <c r="L275" i="37"/>
  <c r="M275" i="37" s="1"/>
  <c r="N275" i="37" s="1"/>
  <c r="O275" i="37" s="1"/>
  <c r="L521" i="37"/>
  <c r="L316" i="37"/>
  <c r="L476" i="37"/>
  <c r="L312" i="37"/>
  <c r="M312" i="37" s="1"/>
  <c r="N312" i="37" s="1"/>
  <c r="O312" i="37" s="1"/>
  <c r="L505" i="37"/>
  <c r="L447" i="33"/>
  <c r="M447" i="33" s="1"/>
  <c r="N447" i="33" s="1"/>
  <c r="O447" i="33" s="1"/>
  <c r="K218" i="33"/>
  <c r="L218" i="33" s="1"/>
  <c r="M218" i="33" s="1"/>
  <c r="N218" i="33" s="1"/>
  <c r="O218" i="33" s="1"/>
  <c r="K106" i="33"/>
  <c r="L106" i="33" s="1"/>
  <c r="M106" i="33" s="1"/>
  <c r="N106" i="33" s="1"/>
  <c r="O106" i="33" s="1"/>
  <c r="K98" i="33"/>
  <c r="L98" i="33" s="1"/>
  <c r="M98" i="33" s="1"/>
  <c r="N98" i="33" s="1"/>
  <c r="O98" i="33" s="1"/>
  <c r="L571" i="33"/>
  <c r="M571" i="33" s="1"/>
  <c r="N571" i="33" s="1"/>
  <c r="O571" i="33" s="1"/>
  <c r="K149" i="33"/>
  <c r="L149" i="33" s="1"/>
  <c r="M149" i="33" s="1"/>
  <c r="N149" i="33" s="1"/>
  <c r="O149" i="33" s="1"/>
  <c r="K135" i="33"/>
  <c r="L135" i="33" s="1"/>
  <c r="M135" i="33" s="1"/>
  <c r="N135" i="33" s="1"/>
  <c r="O135" i="33" s="1"/>
  <c r="K127" i="33"/>
  <c r="L127" i="33" s="1"/>
  <c r="M127" i="33" s="1"/>
  <c r="N127" i="33" s="1"/>
  <c r="O127" i="33" s="1"/>
  <c r="K119" i="33"/>
  <c r="L119" i="33" s="1"/>
  <c r="M119" i="33" s="1"/>
  <c r="N119" i="33" s="1"/>
  <c r="O119" i="33" s="1"/>
  <c r="L455" i="33"/>
  <c r="M455" i="33" s="1"/>
  <c r="N455" i="33" s="1"/>
  <c r="O455" i="33" s="1"/>
  <c r="K134" i="33"/>
  <c r="L134" i="33" s="1"/>
  <c r="M134" i="33" s="1"/>
  <c r="N134" i="33" s="1"/>
  <c r="O134" i="33" s="1"/>
  <c r="K118" i="33"/>
  <c r="L118" i="33" s="1"/>
  <c r="M118" i="33" s="1"/>
  <c r="N118" i="33" s="1"/>
  <c r="O118" i="33" s="1"/>
  <c r="M572" i="33"/>
  <c r="N572" i="33" s="1"/>
  <c r="O572" i="33" s="1"/>
  <c r="L142" i="33"/>
  <c r="M142" i="33" s="1"/>
  <c r="N142" i="33" s="1"/>
  <c r="O142" i="33" s="1"/>
  <c r="K212" i="33"/>
  <c r="L212" i="33" s="1"/>
  <c r="M212" i="33" s="1"/>
  <c r="N212" i="33" s="1"/>
  <c r="O212" i="33" s="1"/>
  <c r="K219" i="33"/>
  <c r="L219" i="33" s="1"/>
  <c r="M219" i="33" s="1"/>
  <c r="N219" i="33" s="1"/>
  <c r="O219" i="33" s="1"/>
  <c r="K97" i="33"/>
  <c r="L97" i="33" s="1"/>
  <c r="M97" i="33" s="1"/>
  <c r="N97" i="33" s="1"/>
  <c r="O97" i="33" s="1"/>
  <c r="L426" i="33"/>
  <c r="M426" i="33" s="1"/>
  <c r="N426" i="33" s="1"/>
  <c r="O426" i="33" s="1"/>
  <c r="K259" i="33"/>
  <c r="K260" i="33" s="1"/>
  <c r="K53" i="33"/>
  <c r="L427" i="33"/>
  <c r="M427" i="33" s="1"/>
  <c r="N427" i="33" s="1"/>
  <c r="O427" i="33" s="1"/>
  <c r="Q45" i="70" l="1"/>
  <c r="AA45" i="70"/>
  <c r="O174" i="39"/>
  <c r="O79" i="39" s="1"/>
  <c r="O457" i="33"/>
  <c r="O205" i="33" s="1"/>
  <c r="O207" i="33" s="1"/>
  <c r="O44" i="33" s="1"/>
  <c r="I43" i="70"/>
  <c r="H43" i="70"/>
  <c r="I102" i="70"/>
  <c r="O81" i="39"/>
  <c r="O40" i="39" s="1"/>
  <c r="N403" i="37"/>
  <c r="N171" i="37" s="1"/>
  <c r="N172" i="37" s="1"/>
  <c r="N49" i="37" s="1"/>
  <c r="O402" i="37"/>
  <c r="O403" i="37" s="1"/>
  <c r="O171" i="37" s="1"/>
  <c r="O172" i="37" s="1"/>
  <c r="O49" i="37" s="1"/>
  <c r="N355" i="37"/>
  <c r="N136" i="37" s="1"/>
  <c r="N137" i="37" s="1"/>
  <c r="N42" i="37" s="1"/>
  <c r="O354" i="37"/>
  <c r="O355" i="37" s="1"/>
  <c r="O136" i="37" s="1"/>
  <c r="O137" i="37" s="1"/>
  <c r="O42" i="37" s="1"/>
  <c r="N359" i="37"/>
  <c r="M361" i="37"/>
  <c r="M146" i="37" s="1"/>
  <c r="M147" i="37" s="1"/>
  <c r="M44" i="37" s="1"/>
  <c r="M425" i="33"/>
  <c r="L432" i="33"/>
  <c r="L193" i="33" s="1"/>
  <c r="M311" i="37"/>
  <c r="M316" i="37"/>
  <c r="L317" i="37"/>
  <c r="L324" i="37" s="1"/>
  <c r="M314" i="37"/>
  <c r="M261" i="37"/>
  <c r="M265" i="37" s="1"/>
  <c r="L86" i="37"/>
  <c r="L87" i="37" s="1"/>
  <c r="L32" i="37" s="1"/>
  <c r="M463" i="37"/>
  <c r="M467" i="37" s="1"/>
  <c r="L207" i="37"/>
  <c r="L208" i="37" s="1"/>
  <c r="L61" i="37" s="1"/>
  <c r="H102" i="70"/>
  <c r="K191" i="37"/>
  <c r="K192" i="37" s="1"/>
  <c r="K53" i="37" s="1"/>
  <c r="L141" i="37"/>
  <c r="L142" i="37" s="1"/>
  <c r="L43" i="37" s="1"/>
  <c r="N46" i="72"/>
  <c r="S46" i="72" s="1"/>
  <c r="K103" i="72"/>
  <c r="P103" i="72" s="1"/>
  <c r="N174" i="39"/>
  <c r="N79" i="39" s="1"/>
  <c r="M495" i="37"/>
  <c r="M222" i="37" s="1"/>
  <c r="M223" i="37" s="1"/>
  <c r="M64" i="37" s="1"/>
  <c r="N494" i="37"/>
  <c r="M335" i="37"/>
  <c r="M116" i="37" s="1"/>
  <c r="M117" i="37" s="1"/>
  <c r="M38" i="37" s="1"/>
  <c r="N334" i="37"/>
  <c r="L340" i="37"/>
  <c r="L121" i="37" s="1"/>
  <c r="L122" i="37" s="1"/>
  <c r="L39" i="37" s="1"/>
  <c r="M340" i="37"/>
  <c r="M121" i="37" s="1"/>
  <c r="M122" i="37" s="1"/>
  <c r="M39" i="37" s="1"/>
  <c r="N339" i="37"/>
  <c r="M303" i="37"/>
  <c r="M306" i="37" s="1"/>
  <c r="M529" i="37"/>
  <c r="L530" i="37"/>
  <c r="L242" i="37" s="1"/>
  <c r="L243" i="37" s="1"/>
  <c r="L68" i="37" s="1"/>
  <c r="L446" i="37"/>
  <c r="L196" i="37" s="1"/>
  <c r="L197" i="37" s="1"/>
  <c r="L54" i="37" s="1"/>
  <c r="M445" i="37"/>
  <c r="M516" i="37"/>
  <c r="F102" i="70"/>
  <c r="G102" i="70"/>
  <c r="K421" i="37"/>
  <c r="K186" i="37" s="1"/>
  <c r="K187" i="37" s="1"/>
  <c r="K52" i="37" s="1"/>
  <c r="L344" i="37"/>
  <c r="L160" i="39"/>
  <c r="L161" i="39" s="1"/>
  <c r="L69" i="39" s="1"/>
  <c r="L70" i="39" s="1"/>
  <c r="L38" i="39" s="1"/>
  <c r="L378" i="37"/>
  <c r="L380" i="37" s="1"/>
  <c r="K350" i="37"/>
  <c r="K131" i="37" s="1"/>
  <c r="K132" i="37" s="1"/>
  <c r="K41" i="37" s="1"/>
  <c r="M559" i="33"/>
  <c r="M133" i="39"/>
  <c r="L137" i="39"/>
  <c r="K174" i="39"/>
  <c r="K79" i="39" s="1"/>
  <c r="M174" i="39"/>
  <c r="M79" i="39" s="1"/>
  <c r="L174" i="39"/>
  <c r="L79" i="39" s="1"/>
  <c r="K137" i="39"/>
  <c r="K145" i="39" s="1"/>
  <c r="M505" i="37"/>
  <c r="L506" i="37"/>
  <c r="L227" i="37" s="1"/>
  <c r="L228" i="37" s="1"/>
  <c r="L65" i="37" s="1"/>
  <c r="M365" i="37"/>
  <c r="M367" i="37" s="1"/>
  <c r="L151" i="37"/>
  <c r="L152" i="37" s="1"/>
  <c r="L45" i="37" s="1"/>
  <c r="L477" i="37"/>
  <c r="L212" i="37" s="1"/>
  <c r="L213" i="37" s="1"/>
  <c r="L62" i="37" s="1"/>
  <c r="M476" i="37"/>
  <c r="K486" i="37"/>
  <c r="K217" i="37" s="1"/>
  <c r="K218" i="37" s="1"/>
  <c r="K63" i="37" s="1"/>
  <c r="K73" i="37" s="1"/>
  <c r="E103" i="70" s="1"/>
  <c r="L485" i="37"/>
  <c r="L535" i="37"/>
  <c r="L247" i="37" s="1"/>
  <c r="L248" i="37" s="1"/>
  <c r="L69" i="37" s="1"/>
  <c r="M534" i="37"/>
  <c r="K373" i="37"/>
  <c r="K156" i="37" s="1"/>
  <c r="K157" i="37" s="1"/>
  <c r="K46" i="37" s="1"/>
  <c r="L372" i="37"/>
  <c r="L101" i="37"/>
  <c r="L102" i="37" s="1"/>
  <c r="L35" i="37" s="1"/>
  <c r="M294" i="37"/>
  <c r="M296" i="37" s="1"/>
  <c r="L525" i="37"/>
  <c r="L237" i="37" s="1"/>
  <c r="L238" i="37" s="1"/>
  <c r="L67" i="37" s="1"/>
  <c r="M521" i="37"/>
  <c r="K106" i="37"/>
  <c r="K107" i="37" s="1"/>
  <c r="K36" i="37" s="1"/>
  <c r="M329" i="37"/>
  <c r="L330" i="37"/>
  <c r="L111" i="37" s="1"/>
  <c r="L112" i="37" s="1"/>
  <c r="L37" i="37" s="1"/>
  <c r="K211" i="33"/>
  <c r="K154" i="33"/>
  <c r="K550" i="33"/>
  <c r="K304" i="33" s="1"/>
  <c r="K305" i="33" s="1"/>
  <c r="K68" i="33" s="1"/>
  <c r="K217" i="33"/>
  <c r="K583" i="33"/>
  <c r="K334" i="33" s="1"/>
  <c r="K335" i="33" s="1"/>
  <c r="K72" i="33" s="1"/>
  <c r="K187" i="33"/>
  <c r="K193" i="33"/>
  <c r="K565" i="33"/>
  <c r="K319" i="33" s="1"/>
  <c r="K320" i="33" s="1"/>
  <c r="K71" i="33" s="1"/>
  <c r="L564" i="33"/>
  <c r="K555" i="33"/>
  <c r="K309" i="33" s="1"/>
  <c r="K310" i="33" s="1"/>
  <c r="K69" i="33" s="1"/>
  <c r="K117" i="33"/>
  <c r="K96" i="33"/>
  <c r="K588" i="33"/>
  <c r="K339" i="33" s="1"/>
  <c r="K340" i="33" s="1"/>
  <c r="K73" i="33" s="1"/>
  <c r="K593" i="33"/>
  <c r="K344" i="33" s="1"/>
  <c r="K345" i="33" s="1"/>
  <c r="K74" i="33" s="1"/>
  <c r="L350" i="33"/>
  <c r="L75" i="33" s="1"/>
  <c r="K125" i="33"/>
  <c r="K104" i="33"/>
  <c r="L489" i="33"/>
  <c r="K241" i="33"/>
  <c r="K540" i="33"/>
  <c r="K294" i="33" s="1"/>
  <c r="K295" i="33" s="1"/>
  <c r="K66" i="33" s="1"/>
  <c r="K578" i="33"/>
  <c r="K329" i="33" s="1"/>
  <c r="K330" i="33" s="1"/>
  <c r="K65" i="33" s="1"/>
  <c r="K148" i="33"/>
  <c r="K133" i="33"/>
  <c r="K545" i="33"/>
  <c r="K299" i="33" s="1"/>
  <c r="K300" i="33" s="1"/>
  <c r="K67" i="33" s="1"/>
  <c r="K160" i="33"/>
  <c r="L442" i="33"/>
  <c r="K443" i="33"/>
  <c r="K200" i="33" s="1"/>
  <c r="K460" i="33"/>
  <c r="K206" i="33" s="1"/>
  <c r="Q43" i="70" l="1"/>
  <c r="AA43" i="70"/>
  <c r="Q102" i="70"/>
  <c r="AA102" i="70"/>
  <c r="Y102" i="70"/>
  <c r="M102" i="70"/>
  <c r="O102" i="70"/>
  <c r="Z102" i="70"/>
  <c r="L81" i="39"/>
  <c r="L40" i="39" s="1"/>
  <c r="M81" i="39"/>
  <c r="M40" i="39" s="1"/>
  <c r="K81" i="39"/>
  <c r="K40" i="39" s="1"/>
  <c r="N81" i="39"/>
  <c r="N40" i="39" s="1"/>
  <c r="X103" i="70"/>
  <c r="K103" i="70"/>
  <c r="N340" i="37"/>
  <c r="N121" i="37" s="1"/>
  <c r="N122" i="37" s="1"/>
  <c r="N39" i="37" s="1"/>
  <c r="O339" i="37"/>
  <c r="O340" i="37" s="1"/>
  <c r="O121" i="37" s="1"/>
  <c r="O122" i="37" s="1"/>
  <c r="O39" i="37" s="1"/>
  <c r="N361" i="37"/>
  <c r="N146" i="37" s="1"/>
  <c r="N147" i="37" s="1"/>
  <c r="N44" i="37" s="1"/>
  <c r="O359" i="37"/>
  <c r="O361" i="37" s="1"/>
  <c r="O146" i="37" s="1"/>
  <c r="O147" i="37" s="1"/>
  <c r="O44" i="37" s="1"/>
  <c r="N335" i="37"/>
  <c r="N116" i="37" s="1"/>
  <c r="N117" i="37" s="1"/>
  <c r="N38" i="37" s="1"/>
  <c r="O334" i="37"/>
  <c r="O335" i="37" s="1"/>
  <c r="O116" i="37" s="1"/>
  <c r="O117" i="37" s="1"/>
  <c r="O38" i="37" s="1"/>
  <c r="N495" i="37"/>
  <c r="N222" i="37" s="1"/>
  <c r="N223" i="37" s="1"/>
  <c r="N64" i="37" s="1"/>
  <c r="O494" i="37"/>
  <c r="O495" i="37" s="1"/>
  <c r="O222" i="37" s="1"/>
  <c r="O223" i="37" s="1"/>
  <c r="O64" i="37" s="1"/>
  <c r="K152" i="39"/>
  <c r="K64" i="39" s="1"/>
  <c r="K65" i="39" s="1"/>
  <c r="K37" i="39" s="1"/>
  <c r="L145" i="39"/>
  <c r="L152" i="39" s="1"/>
  <c r="L64" i="39" s="1"/>
  <c r="L65" i="39" s="1"/>
  <c r="L37" i="39" s="1"/>
  <c r="N425" i="33"/>
  <c r="M432" i="33"/>
  <c r="M193" i="33" s="1"/>
  <c r="N311" i="37"/>
  <c r="O311" i="37" s="1"/>
  <c r="L102" i="72"/>
  <c r="Q102" i="72" s="1"/>
  <c r="N102" i="72"/>
  <c r="S102" i="72" s="1"/>
  <c r="M102" i="72"/>
  <c r="R102" i="72" s="1"/>
  <c r="N316" i="37"/>
  <c r="M317" i="37"/>
  <c r="M324" i="37" s="1"/>
  <c r="N314" i="37"/>
  <c r="O314" i="37" s="1"/>
  <c r="N463" i="37"/>
  <c r="M207" i="37"/>
  <c r="M208" i="37" s="1"/>
  <c r="M61" i="37" s="1"/>
  <c r="N261" i="37"/>
  <c r="O261" i="37" s="1"/>
  <c r="O265" i="37" s="1"/>
  <c r="O86" i="37" s="1"/>
  <c r="O87" i="37" s="1"/>
  <c r="O32" i="37" s="1"/>
  <c r="M86" i="37"/>
  <c r="M87" i="37" s="1"/>
  <c r="M32" i="37" s="1"/>
  <c r="L103" i="72"/>
  <c r="Q103" i="72" s="1"/>
  <c r="M151" i="37"/>
  <c r="M152" i="37" s="1"/>
  <c r="M45" i="37" s="1"/>
  <c r="N365" i="37"/>
  <c r="O365" i="37" s="1"/>
  <c r="O367" i="37" s="1"/>
  <c r="O151" i="37" s="1"/>
  <c r="O152" i="37" s="1"/>
  <c r="O45" i="37" s="1"/>
  <c r="M530" i="37"/>
  <c r="M242" i="37" s="1"/>
  <c r="M243" i="37" s="1"/>
  <c r="M68" i="37" s="1"/>
  <c r="N529" i="37"/>
  <c r="M535" i="37"/>
  <c r="M247" i="37" s="1"/>
  <c r="M248" i="37" s="1"/>
  <c r="M69" i="37" s="1"/>
  <c r="N534" i="37"/>
  <c r="M141" i="37"/>
  <c r="M142" i="37" s="1"/>
  <c r="M43" i="37" s="1"/>
  <c r="N303" i="37"/>
  <c r="M477" i="37"/>
  <c r="M212" i="37" s="1"/>
  <c r="M213" i="37" s="1"/>
  <c r="M62" i="37" s="1"/>
  <c r="N476" i="37"/>
  <c r="M517" i="37"/>
  <c r="M232" i="37" s="1"/>
  <c r="M233" i="37" s="1"/>
  <c r="M66" i="37" s="1"/>
  <c r="N516" i="37"/>
  <c r="M506" i="37"/>
  <c r="M227" i="37" s="1"/>
  <c r="M228" i="37" s="1"/>
  <c r="M65" i="37" s="1"/>
  <c r="N505" i="37"/>
  <c r="M560" i="33"/>
  <c r="M314" i="33" s="1"/>
  <c r="M315" i="33" s="1"/>
  <c r="M70" i="33" s="1"/>
  <c r="N559" i="33"/>
  <c r="M330" i="37"/>
  <c r="M111" i="37" s="1"/>
  <c r="M112" i="37" s="1"/>
  <c r="M37" i="37" s="1"/>
  <c r="N329" i="37"/>
  <c r="M137" i="39"/>
  <c r="N133" i="39"/>
  <c r="M101" i="37"/>
  <c r="M102" i="37" s="1"/>
  <c r="M35" i="37" s="1"/>
  <c r="N294" i="37"/>
  <c r="O294" i="37" s="1"/>
  <c r="O296" i="37" s="1"/>
  <c r="O101" i="37" s="1"/>
  <c r="O102" i="37" s="1"/>
  <c r="O35" i="37" s="1"/>
  <c r="M446" i="37"/>
  <c r="M196" i="37" s="1"/>
  <c r="M197" i="37" s="1"/>
  <c r="M54" i="37" s="1"/>
  <c r="N445" i="37"/>
  <c r="M525" i="37"/>
  <c r="M237" i="37" s="1"/>
  <c r="M238" i="37" s="1"/>
  <c r="M67" i="37" s="1"/>
  <c r="N521" i="37"/>
  <c r="E39" i="70"/>
  <c r="K161" i="37"/>
  <c r="K162" i="37" s="1"/>
  <c r="K47" i="37" s="1"/>
  <c r="L419" i="37"/>
  <c r="L421" i="37" s="1"/>
  <c r="L186" i="37" s="1"/>
  <c r="L187" i="37" s="1"/>
  <c r="L52" i="37" s="1"/>
  <c r="M160" i="39"/>
  <c r="K345" i="37"/>
  <c r="K126" i="37" s="1"/>
  <c r="K127" i="37" s="1"/>
  <c r="K40" i="37" s="1"/>
  <c r="L560" i="33"/>
  <c r="L314" i="33" s="1"/>
  <c r="L315" i="33" s="1"/>
  <c r="L70" i="33" s="1"/>
  <c r="L349" i="37"/>
  <c r="L350" i="37" s="1"/>
  <c r="L131" i="37" s="1"/>
  <c r="L132" i="37" s="1"/>
  <c r="L41" i="37" s="1"/>
  <c r="K184" i="39"/>
  <c r="K85" i="39" s="1"/>
  <c r="K86" i="39" s="1"/>
  <c r="K41" i="39" s="1"/>
  <c r="L373" i="37"/>
  <c r="L156" i="37" s="1"/>
  <c r="L157" i="37" s="1"/>
  <c r="L46" i="37" s="1"/>
  <c r="M372" i="37"/>
  <c r="K412" i="37"/>
  <c r="K176" i="37" s="1"/>
  <c r="K177" i="37" s="1"/>
  <c r="K50" i="37" s="1"/>
  <c r="L411" i="37"/>
  <c r="K182" i="37"/>
  <c r="K51" i="37" s="1"/>
  <c r="L486" i="37"/>
  <c r="L217" i="37" s="1"/>
  <c r="L218" i="37" s="1"/>
  <c r="L63" i="37" s="1"/>
  <c r="L73" i="37" s="1"/>
  <c r="F103" i="70" s="1"/>
  <c r="M485" i="37"/>
  <c r="L161" i="37"/>
  <c r="L162" i="37" s="1"/>
  <c r="L47" i="37" s="1"/>
  <c r="M378" i="37"/>
  <c r="M380" i="37" s="1"/>
  <c r="L390" i="37"/>
  <c r="L392" i="37" s="1"/>
  <c r="K166" i="37"/>
  <c r="K167" i="37" s="1"/>
  <c r="K48" i="37" s="1"/>
  <c r="L272" i="37"/>
  <c r="K276" i="37"/>
  <c r="K91" i="37" s="1"/>
  <c r="K92" i="37" s="1"/>
  <c r="K33" i="37" s="1"/>
  <c r="L345" i="37"/>
  <c r="L126" i="37" s="1"/>
  <c r="L127" i="37" s="1"/>
  <c r="L40" i="37" s="1"/>
  <c r="M344" i="37"/>
  <c r="K281" i="37"/>
  <c r="K96" i="37" s="1"/>
  <c r="K97" i="37" s="1"/>
  <c r="K34" i="37" s="1"/>
  <c r="L280" i="37"/>
  <c r="L106" i="37"/>
  <c r="L107" i="37" s="1"/>
  <c r="L36" i="37" s="1"/>
  <c r="L191" i="37"/>
  <c r="L192" i="37" s="1"/>
  <c r="L53" i="37" s="1"/>
  <c r="M577" i="33"/>
  <c r="L578" i="33"/>
  <c r="L329" i="33" s="1"/>
  <c r="L330" i="33" s="1"/>
  <c r="L65" i="33" s="1"/>
  <c r="K440" i="33"/>
  <c r="K199" i="33" s="1"/>
  <c r="K201" i="33" s="1"/>
  <c r="K43" i="33" s="1"/>
  <c r="L439" i="33"/>
  <c r="K613" i="33"/>
  <c r="K364" i="33" s="1"/>
  <c r="K365" i="33" s="1"/>
  <c r="K78" i="33" s="1"/>
  <c r="M564" i="33"/>
  <c r="L565" i="33"/>
  <c r="L319" i="33" s="1"/>
  <c r="L320" i="33" s="1"/>
  <c r="L71" i="33" s="1"/>
  <c r="L460" i="33"/>
  <c r="L206" i="33" s="1"/>
  <c r="K113" i="33"/>
  <c r="K29" i="33" s="1"/>
  <c r="L112" i="33"/>
  <c r="L154" i="33"/>
  <c r="K156" i="33"/>
  <c r="K35" i="33" s="1"/>
  <c r="M592" i="33"/>
  <c r="L593" i="33"/>
  <c r="L344" i="33" s="1"/>
  <c r="L345" i="33" s="1"/>
  <c r="L74" i="33" s="1"/>
  <c r="L583" i="33"/>
  <c r="L334" i="33" s="1"/>
  <c r="L335" i="33" s="1"/>
  <c r="L72" i="33" s="1"/>
  <c r="M582" i="33"/>
  <c r="K401" i="33"/>
  <c r="K167" i="33" s="1"/>
  <c r="K168" i="33" s="1"/>
  <c r="K38" i="33" s="1"/>
  <c r="L400" i="33"/>
  <c r="L555" i="33"/>
  <c r="L309" i="33" s="1"/>
  <c r="L310" i="33" s="1"/>
  <c r="L69" i="33" s="1"/>
  <c r="M554" i="33"/>
  <c r="L483" i="33"/>
  <c r="K485" i="33"/>
  <c r="K236" i="33" s="1"/>
  <c r="K237" i="33" s="1"/>
  <c r="K49" i="33" s="1"/>
  <c r="K414" i="33"/>
  <c r="K177" i="33" s="1"/>
  <c r="K178" i="33" s="1"/>
  <c r="K40" i="33" s="1"/>
  <c r="L413" i="33"/>
  <c r="K225" i="33"/>
  <c r="K226" i="33" s="1"/>
  <c r="K47" i="33" s="1"/>
  <c r="K100" i="33"/>
  <c r="K27" i="33" s="1"/>
  <c r="L96" i="33"/>
  <c r="M549" i="33"/>
  <c r="N549" i="33" s="1"/>
  <c r="L550" i="33"/>
  <c r="L304" i="33" s="1"/>
  <c r="L305" i="33" s="1"/>
  <c r="L68" i="33" s="1"/>
  <c r="L613" i="33"/>
  <c r="L364" i="33" s="1"/>
  <c r="L365" i="33" s="1"/>
  <c r="L78" i="33" s="1"/>
  <c r="M612" i="33"/>
  <c r="M350" i="33" s="1"/>
  <c r="M75" i="33" s="1"/>
  <c r="K189" i="33"/>
  <c r="K42" i="33" s="1"/>
  <c r="L187" i="33"/>
  <c r="L117" i="33"/>
  <c r="K121" i="33"/>
  <c r="K30" i="33" s="1"/>
  <c r="L141" i="33"/>
  <c r="K144" i="33"/>
  <c r="K33" i="33" s="1"/>
  <c r="L133" i="33"/>
  <c r="K137" i="33"/>
  <c r="K32" i="33" s="1"/>
  <c r="M489" i="33"/>
  <c r="N489" i="33" s="1"/>
  <c r="O489" i="33" s="1"/>
  <c r="O241" i="33" s="1"/>
  <c r="L241" i="33"/>
  <c r="L419" i="33"/>
  <c r="L421" i="33" s="1"/>
  <c r="K182" i="33"/>
  <c r="K183" i="33" s="1"/>
  <c r="K41" i="33" s="1"/>
  <c r="K242" i="33"/>
  <c r="L490" i="33"/>
  <c r="K465" i="33"/>
  <c r="L464" i="33"/>
  <c r="L125" i="33"/>
  <c r="K129" i="33"/>
  <c r="K31" i="33" s="1"/>
  <c r="K221" i="33"/>
  <c r="K46" i="33" s="1"/>
  <c r="L217" i="33"/>
  <c r="K457" i="33"/>
  <c r="K205" i="33" s="1"/>
  <c r="K207" i="33" s="1"/>
  <c r="K44" i="33" s="1"/>
  <c r="L495" i="33"/>
  <c r="K496" i="33"/>
  <c r="K249" i="33" s="1"/>
  <c r="K250" i="33" s="1"/>
  <c r="K50" i="33" s="1"/>
  <c r="L540" i="33"/>
  <c r="L294" i="33" s="1"/>
  <c r="L295" i="33" s="1"/>
  <c r="L66" i="33" s="1"/>
  <c r="M539" i="33"/>
  <c r="L478" i="33"/>
  <c r="K479" i="33"/>
  <c r="K231" i="33" s="1"/>
  <c r="K232" i="33" s="1"/>
  <c r="K48" i="33" s="1"/>
  <c r="M544" i="33"/>
  <c r="N544" i="33" s="1"/>
  <c r="L545" i="33"/>
  <c r="L299" i="33" s="1"/>
  <c r="L300" i="33" s="1"/>
  <c r="L67" i="33" s="1"/>
  <c r="K150" i="33"/>
  <c r="K34" i="33" s="1"/>
  <c r="L148" i="33"/>
  <c r="L104" i="33"/>
  <c r="K108" i="33"/>
  <c r="K28" i="33" s="1"/>
  <c r="K409" i="33"/>
  <c r="K172" i="33" s="1"/>
  <c r="K173" i="33" s="1"/>
  <c r="K39" i="33" s="1"/>
  <c r="L491" i="33"/>
  <c r="K243" i="33"/>
  <c r="M442" i="33"/>
  <c r="L443" i="33"/>
  <c r="L200" i="33" s="1"/>
  <c r="K573" i="33"/>
  <c r="K324" i="33" s="1"/>
  <c r="K325" i="33" s="1"/>
  <c r="K64" i="33" s="1"/>
  <c r="L569" i="33"/>
  <c r="L211" i="33"/>
  <c r="K213" i="33"/>
  <c r="K45" i="33" s="1"/>
  <c r="K162" i="33"/>
  <c r="K36" i="33" s="1"/>
  <c r="L160" i="33"/>
  <c r="M587" i="33"/>
  <c r="L588" i="33"/>
  <c r="L339" i="33" s="1"/>
  <c r="L340" i="33" s="1"/>
  <c r="L73" i="33" s="1"/>
  <c r="N560" i="33" l="1"/>
  <c r="N314" i="33" s="1"/>
  <c r="N315" i="33" s="1"/>
  <c r="N70" i="33" s="1"/>
  <c r="O559" i="33"/>
  <c r="O560" i="33" s="1"/>
  <c r="O314" i="33" s="1"/>
  <c r="O315" i="33" s="1"/>
  <c r="O70" i="33" s="1"/>
  <c r="N550" i="33"/>
  <c r="N304" i="33" s="1"/>
  <c r="N305" i="33" s="1"/>
  <c r="N68" i="33" s="1"/>
  <c r="O549" i="33"/>
  <c r="O550" i="33" s="1"/>
  <c r="O304" i="33" s="1"/>
  <c r="O305" i="33" s="1"/>
  <c r="O68" i="33" s="1"/>
  <c r="N545" i="33"/>
  <c r="N299" i="33" s="1"/>
  <c r="N300" i="33" s="1"/>
  <c r="N67" i="33" s="1"/>
  <c r="O544" i="33"/>
  <c r="O545" i="33" s="1"/>
  <c r="O299" i="33" s="1"/>
  <c r="O300" i="33" s="1"/>
  <c r="O67" i="33" s="1"/>
  <c r="N432" i="33"/>
  <c r="N193" i="33" s="1"/>
  <c r="O425" i="33"/>
  <c r="O432" i="33" s="1"/>
  <c r="O193" i="33" s="1"/>
  <c r="O195" i="33" s="1"/>
  <c r="O52" i="33" s="1"/>
  <c r="N530" i="37"/>
  <c r="N242" i="37" s="1"/>
  <c r="N243" i="37" s="1"/>
  <c r="N68" i="37" s="1"/>
  <c r="O529" i="37"/>
  <c r="O530" i="37" s="1"/>
  <c r="O242" i="37" s="1"/>
  <c r="O243" i="37" s="1"/>
  <c r="O68" i="37" s="1"/>
  <c r="N506" i="37"/>
  <c r="N227" i="37" s="1"/>
  <c r="N228" i="37" s="1"/>
  <c r="N65" i="37" s="1"/>
  <c r="O505" i="37"/>
  <c r="O506" i="37" s="1"/>
  <c r="O227" i="37" s="1"/>
  <c r="O228" i="37" s="1"/>
  <c r="O65" i="37" s="1"/>
  <c r="N525" i="37"/>
  <c r="N237" i="37" s="1"/>
  <c r="N238" i="37" s="1"/>
  <c r="N67" i="37" s="1"/>
  <c r="O521" i="37"/>
  <c r="O525" i="37" s="1"/>
  <c r="O237" i="37" s="1"/>
  <c r="O238" i="37" s="1"/>
  <c r="O67" i="37" s="1"/>
  <c r="N477" i="37"/>
  <c r="N212" i="37" s="1"/>
  <c r="N213" i="37" s="1"/>
  <c r="N62" i="37" s="1"/>
  <c r="O476" i="37"/>
  <c r="O477" i="37" s="1"/>
  <c r="O212" i="37" s="1"/>
  <c r="O213" i="37" s="1"/>
  <c r="O62" i="37" s="1"/>
  <c r="N467" i="37"/>
  <c r="N207" i="37" s="1"/>
  <c r="N208" i="37" s="1"/>
  <c r="N61" i="37" s="1"/>
  <c r="O463" i="37"/>
  <c r="O467" i="37" s="1"/>
  <c r="O207" i="37" s="1"/>
  <c r="O208" i="37" s="1"/>
  <c r="O61" i="37" s="1"/>
  <c r="M103" i="70"/>
  <c r="Y103" i="70"/>
  <c r="N517" i="37"/>
  <c r="N232" i="37" s="1"/>
  <c r="N233" i="37" s="1"/>
  <c r="N66" i="37" s="1"/>
  <c r="O516" i="37"/>
  <c r="O517" i="37" s="1"/>
  <c r="O232" i="37" s="1"/>
  <c r="O233" i="37" s="1"/>
  <c r="O66" i="37" s="1"/>
  <c r="N535" i="37"/>
  <c r="N247" i="37" s="1"/>
  <c r="N248" i="37" s="1"/>
  <c r="N69" i="37" s="1"/>
  <c r="O534" i="37"/>
  <c r="O535" i="37" s="1"/>
  <c r="O247" i="37" s="1"/>
  <c r="O248" i="37" s="1"/>
  <c r="O69" i="37" s="1"/>
  <c r="N317" i="37"/>
  <c r="N324" i="37" s="1"/>
  <c r="N106" i="37" s="1"/>
  <c r="N107" i="37" s="1"/>
  <c r="N36" i="37" s="1"/>
  <c r="O316" i="37"/>
  <c r="O317" i="37" s="1"/>
  <c r="O324" i="37" s="1"/>
  <c r="O106" i="37" s="1"/>
  <c r="O107" i="37" s="1"/>
  <c r="O36" i="37" s="1"/>
  <c r="N446" i="37"/>
  <c r="N196" i="37" s="1"/>
  <c r="N197" i="37" s="1"/>
  <c r="N54" i="37" s="1"/>
  <c r="O445" i="37"/>
  <c r="O446" i="37" s="1"/>
  <c r="O196" i="37" s="1"/>
  <c r="O197" i="37" s="1"/>
  <c r="O54" i="37" s="1"/>
  <c r="N330" i="37"/>
  <c r="N111" i="37" s="1"/>
  <c r="N112" i="37" s="1"/>
  <c r="N37" i="37" s="1"/>
  <c r="O329" i="37"/>
  <c r="O330" i="37" s="1"/>
  <c r="O111" i="37" s="1"/>
  <c r="O112" i="37" s="1"/>
  <c r="O37" i="37" s="1"/>
  <c r="N306" i="37"/>
  <c r="N141" i="37" s="1"/>
  <c r="N142" i="37" s="1"/>
  <c r="N43" i="37" s="1"/>
  <c r="O303" i="37"/>
  <c r="O306" i="37" s="1"/>
  <c r="O141" i="37" s="1"/>
  <c r="O142" i="37" s="1"/>
  <c r="O43" i="37" s="1"/>
  <c r="N137" i="39"/>
  <c r="N145" i="39" s="1"/>
  <c r="N152" i="39" s="1"/>
  <c r="N64" i="39" s="1"/>
  <c r="N65" i="39" s="1"/>
  <c r="N37" i="39" s="1"/>
  <c r="O133" i="39"/>
  <c r="O137" i="39" s="1"/>
  <c r="O145" i="39" s="1"/>
  <c r="O152" i="39" s="1"/>
  <c r="O64" i="39" s="1"/>
  <c r="O65" i="39" s="1"/>
  <c r="O37" i="39" s="1"/>
  <c r="X39" i="70"/>
  <c r="K39" i="70"/>
  <c r="I39" i="70"/>
  <c r="M145" i="39"/>
  <c r="M152" i="39" s="1"/>
  <c r="M64" i="39" s="1"/>
  <c r="M65" i="39" s="1"/>
  <c r="M37" i="39" s="1"/>
  <c r="K45" i="39"/>
  <c r="E40" i="70" s="1"/>
  <c r="L106" i="72"/>
  <c r="Q106" i="72" s="1"/>
  <c r="N367" i="37"/>
  <c r="N151" i="37" s="1"/>
  <c r="N152" i="37" s="1"/>
  <c r="N45" i="37" s="1"/>
  <c r="N296" i="37"/>
  <c r="N101" i="37" s="1"/>
  <c r="N102" i="37" s="1"/>
  <c r="N35" i="37" s="1"/>
  <c r="N265" i="37"/>
  <c r="N86" i="37" s="1"/>
  <c r="N87" i="37" s="1"/>
  <c r="N32" i="37" s="1"/>
  <c r="K100" i="72"/>
  <c r="P100" i="72" s="1"/>
  <c r="K39" i="72"/>
  <c r="P39" i="72" s="1"/>
  <c r="K42" i="72"/>
  <c r="P42" i="72" s="1"/>
  <c r="M103" i="72"/>
  <c r="R103" i="72" s="1"/>
  <c r="K40" i="72"/>
  <c r="P40" i="72" s="1"/>
  <c r="M578" i="33"/>
  <c r="M329" i="33" s="1"/>
  <c r="M330" i="33" s="1"/>
  <c r="M65" i="33" s="1"/>
  <c r="N577" i="33"/>
  <c r="M191" i="37"/>
  <c r="M192" i="37" s="1"/>
  <c r="M53" i="37" s="1"/>
  <c r="M540" i="33"/>
  <c r="M294" i="33" s="1"/>
  <c r="M295" i="33" s="1"/>
  <c r="M66" i="33" s="1"/>
  <c r="N539" i="33"/>
  <c r="M443" i="33"/>
  <c r="M200" i="33" s="1"/>
  <c r="N442" i="33"/>
  <c r="M486" i="37"/>
  <c r="M217" i="37" s="1"/>
  <c r="M218" i="37" s="1"/>
  <c r="M63" i="37" s="1"/>
  <c r="M73" i="37" s="1"/>
  <c r="G103" i="70" s="1"/>
  <c r="N485" i="37"/>
  <c r="N241" i="33"/>
  <c r="M565" i="33"/>
  <c r="M319" i="33" s="1"/>
  <c r="M320" i="33" s="1"/>
  <c r="M71" i="33" s="1"/>
  <c r="N564" i="33"/>
  <c r="M555" i="33"/>
  <c r="M309" i="33" s="1"/>
  <c r="M310" i="33" s="1"/>
  <c r="M69" i="33" s="1"/>
  <c r="N554" i="33"/>
  <c r="M460" i="33"/>
  <c r="M206" i="33" s="1"/>
  <c r="N460" i="33"/>
  <c r="N206" i="33" s="1"/>
  <c r="M583" i="33"/>
  <c r="M334" i="33" s="1"/>
  <c r="M335" i="33" s="1"/>
  <c r="M72" i="33" s="1"/>
  <c r="N582" i="33"/>
  <c r="M373" i="37"/>
  <c r="M156" i="37" s="1"/>
  <c r="M157" i="37" s="1"/>
  <c r="M46" i="37" s="1"/>
  <c r="N372" i="37"/>
  <c r="M161" i="39"/>
  <c r="M69" i="39" s="1"/>
  <c r="M70" i="39" s="1"/>
  <c r="M38" i="39" s="1"/>
  <c r="N160" i="39"/>
  <c r="M106" i="37"/>
  <c r="M107" i="37" s="1"/>
  <c r="M36" i="37" s="1"/>
  <c r="M613" i="33"/>
  <c r="M364" i="33" s="1"/>
  <c r="M365" i="33" s="1"/>
  <c r="M78" i="33" s="1"/>
  <c r="N612" i="33"/>
  <c r="O612" i="33" s="1"/>
  <c r="O613" i="33" s="1"/>
  <c r="O364" i="33" s="1"/>
  <c r="O365" i="33" s="1"/>
  <c r="O78" i="33" s="1"/>
  <c r="M588" i="33"/>
  <c r="M339" i="33" s="1"/>
  <c r="M340" i="33" s="1"/>
  <c r="M73" i="33" s="1"/>
  <c r="N587" i="33"/>
  <c r="M345" i="37"/>
  <c r="M126" i="37" s="1"/>
  <c r="M127" i="37" s="1"/>
  <c r="M40" i="37" s="1"/>
  <c r="N344" i="37"/>
  <c r="M593" i="33"/>
  <c r="M344" i="33" s="1"/>
  <c r="M345" i="33" s="1"/>
  <c r="M74" i="33" s="1"/>
  <c r="N592" i="33"/>
  <c r="M161" i="37"/>
  <c r="M162" i="37" s="1"/>
  <c r="M47" i="37" s="1"/>
  <c r="N378" i="37"/>
  <c r="O378" i="37" s="1"/>
  <c r="O380" i="37" s="1"/>
  <c r="O161" i="37" s="1"/>
  <c r="O162" i="37" s="1"/>
  <c r="O47" i="37" s="1"/>
  <c r="G39" i="70"/>
  <c r="M419" i="37"/>
  <c r="K85" i="33"/>
  <c r="E100" i="70" s="1"/>
  <c r="M349" i="37"/>
  <c r="K245" i="33"/>
  <c r="K37" i="33" s="1"/>
  <c r="F39" i="70"/>
  <c r="F106" i="70"/>
  <c r="L184" i="39"/>
  <c r="L85" i="39" s="1"/>
  <c r="L86" i="39" s="1"/>
  <c r="L41" i="39" s="1"/>
  <c r="L45" i="39" s="1"/>
  <c r="F40" i="70" s="1"/>
  <c r="M272" i="37"/>
  <c r="L276" i="37"/>
  <c r="L91" i="37" s="1"/>
  <c r="L92" i="37" s="1"/>
  <c r="L33" i="37" s="1"/>
  <c r="M411" i="37"/>
  <c r="L412" i="37"/>
  <c r="L176" i="37" s="1"/>
  <c r="L177" i="37" s="1"/>
  <c r="L50" i="37" s="1"/>
  <c r="L182" i="37"/>
  <c r="L51" i="37" s="1"/>
  <c r="L281" i="37"/>
  <c r="L96" i="37" s="1"/>
  <c r="L97" i="37" s="1"/>
  <c r="L34" i="37" s="1"/>
  <c r="M280" i="37"/>
  <c r="L166" i="37"/>
  <c r="L167" i="37" s="1"/>
  <c r="L48" i="37" s="1"/>
  <c r="M390" i="37"/>
  <c r="M392" i="37" s="1"/>
  <c r="F37" i="70"/>
  <c r="F36" i="70"/>
  <c r="L409" i="33"/>
  <c r="L172" i="33" s="1"/>
  <c r="L173" i="33" s="1"/>
  <c r="L39" i="33" s="1"/>
  <c r="L113" i="33"/>
  <c r="L29" i="33" s="1"/>
  <c r="M112" i="33"/>
  <c r="L150" i="33"/>
  <c r="L34" i="33" s="1"/>
  <c r="M148" i="33"/>
  <c r="M550" i="33"/>
  <c r="M304" i="33" s="1"/>
  <c r="M305" i="33" s="1"/>
  <c r="M68" i="33" s="1"/>
  <c r="M211" i="33"/>
  <c r="L213" i="33"/>
  <c r="L45" i="33" s="1"/>
  <c r="M545" i="33"/>
  <c r="M299" i="33" s="1"/>
  <c r="M300" i="33" s="1"/>
  <c r="M67" i="33" s="1"/>
  <c r="L496" i="33"/>
  <c r="L249" i="33" s="1"/>
  <c r="L250" i="33" s="1"/>
  <c r="L50" i="33" s="1"/>
  <c r="M495" i="33"/>
  <c r="L457" i="33"/>
  <c r="L205" i="33" s="1"/>
  <c r="L207" i="33" s="1"/>
  <c r="L44" i="33" s="1"/>
  <c r="M104" i="33"/>
  <c r="L108" i="33"/>
  <c r="L28" i="33" s="1"/>
  <c r="M217" i="33"/>
  <c r="L221" i="33"/>
  <c r="L46" i="33" s="1"/>
  <c r="M96" i="33"/>
  <c r="L100" i="33"/>
  <c r="L27" i="33" s="1"/>
  <c r="L137" i="33"/>
  <c r="L32" i="33" s="1"/>
  <c r="M133" i="33"/>
  <c r="M125" i="33"/>
  <c r="L129" i="33"/>
  <c r="L31" i="33" s="1"/>
  <c r="L465" i="33"/>
  <c r="M464" i="33"/>
  <c r="L144" i="33"/>
  <c r="L33" i="33" s="1"/>
  <c r="M141" i="33"/>
  <c r="L225" i="33"/>
  <c r="L226" i="33" s="1"/>
  <c r="L47" i="33" s="1"/>
  <c r="L440" i="33"/>
  <c r="L199" i="33" s="1"/>
  <c r="L201" i="33" s="1"/>
  <c r="L43" i="33" s="1"/>
  <c r="M439" i="33"/>
  <c r="M478" i="33"/>
  <c r="L479" i="33"/>
  <c r="L231" i="33" s="1"/>
  <c r="L232" i="33" s="1"/>
  <c r="L48" i="33" s="1"/>
  <c r="L414" i="33"/>
  <c r="L177" i="33" s="1"/>
  <c r="L178" i="33" s="1"/>
  <c r="L40" i="33" s="1"/>
  <c r="M413" i="33"/>
  <c r="M483" i="33"/>
  <c r="L485" i="33"/>
  <c r="L236" i="33" s="1"/>
  <c r="L237" i="33" s="1"/>
  <c r="L49" i="33" s="1"/>
  <c r="M419" i="33"/>
  <c r="M421" i="33" s="1"/>
  <c r="L182" i="33"/>
  <c r="L183" i="33" s="1"/>
  <c r="L41" i="33" s="1"/>
  <c r="L162" i="33"/>
  <c r="L36" i="33" s="1"/>
  <c r="M160" i="33"/>
  <c r="M241" i="33"/>
  <c r="L401" i="33"/>
  <c r="L167" i="33" s="1"/>
  <c r="L168" i="33" s="1"/>
  <c r="L38" i="33" s="1"/>
  <c r="M400" i="33"/>
  <c r="L573" i="33"/>
  <c r="L324" i="33" s="1"/>
  <c r="L325" i="33" s="1"/>
  <c r="L64" i="33" s="1"/>
  <c r="L85" i="33" s="1"/>
  <c r="F100" i="70" s="1"/>
  <c r="M569" i="33"/>
  <c r="L242" i="33"/>
  <c r="M490" i="33"/>
  <c r="L121" i="33"/>
  <c r="L30" i="33" s="1"/>
  <c r="M117" i="33"/>
  <c r="M491" i="33"/>
  <c r="L243" i="33"/>
  <c r="L189" i="33"/>
  <c r="L42" i="33" s="1"/>
  <c r="M187" i="33"/>
  <c r="M154" i="33"/>
  <c r="L156" i="33"/>
  <c r="L35" i="33" s="1"/>
  <c r="M106" i="70" l="1"/>
  <c r="Y106" i="70"/>
  <c r="M37" i="70"/>
  <c r="Y37" i="70"/>
  <c r="M36" i="70"/>
  <c r="Y36" i="70"/>
  <c r="N578" i="33"/>
  <c r="N329" i="33" s="1"/>
  <c r="N330" i="33" s="1"/>
  <c r="N65" i="33" s="1"/>
  <c r="O577" i="33"/>
  <c r="O578" i="33" s="1"/>
  <c r="O329" i="33" s="1"/>
  <c r="O330" i="33" s="1"/>
  <c r="O65" i="33" s="1"/>
  <c r="N555" i="33"/>
  <c r="N309" i="33" s="1"/>
  <c r="N310" i="33" s="1"/>
  <c r="N69" i="33" s="1"/>
  <c r="O554" i="33"/>
  <c r="O555" i="33" s="1"/>
  <c r="O309" i="33" s="1"/>
  <c r="O310" i="33" s="1"/>
  <c r="O69" i="33" s="1"/>
  <c r="M100" i="70"/>
  <c r="Y100" i="70"/>
  <c r="N540" i="33"/>
  <c r="N294" i="33" s="1"/>
  <c r="N295" i="33" s="1"/>
  <c r="N66" i="33" s="1"/>
  <c r="O539" i="33"/>
  <c r="O540" i="33" s="1"/>
  <c r="O294" i="33" s="1"/>
  <c r="O295" i="33" s="1"/>
  <c r="O66" i="33" s="1"/>
  <c r="N443" i="33"/>
  <c r="N200" i="33" s="1"/>
  <c r="O442" i="33"/>
  <c r="O443" i="33" s="1"/>
  <c r="O200" i="33" s="1"/>
  <c r="X100" i="70"/>
  <c r="K100" i="70"/>
  <c r="N565" i="33"/>
  <c r="N319" i="33" s="1"/>
  <c r="N320" i="33" s="1"/>
  <c r="N71" i="33" s="1"/>
  <c r="O564" i="33"/>
  <c r="O565" i="33" s="1"/>
  <c r="O319" i="33" s="1"/>
  <c r="O320" i="33" s="1"/>
  <c r="O71" i="33" s="1"/>
  <c r="N588" i="33"/>
  <c r="N339" i="33" s="1"/>
  <c r="N340" i="33" s="1"/>
  <c r="N73" i="33" s="1"/>
  <c r="O587" i="33"/>
  <c r="O588" i="33" s="1"/>
  <c r="O339" i="33" s="1"/>
  <c r="O340" i="33" s="1"/>
  <c r="O73" i="33" s="1"/>
  <c r="N583" i="33"/>
  <c r="N334" i="33" s="1"/>
  <c r="N335" i="33" s="1"/>
  <c r="N72" i="33" s="1"/>
  <c r="O582" i="33"/>
  <c r="O583" i="33" s="1"/>
  <c r="O334" i="33" s="1"/>
  <c r="O335" i="33" s="1"/>
  <c r="O72" i="33" s="1"/>
  <c r="N593" i="33"/>
  <c r="N344" i="33" s="1"/>
  <c r="N345" i="33" s="1"/>
  <c r="N74" i="33" s="1"/>
  <c r="O592" i="33"/>
  <c r="O593" i="33" s="1"/>
  <c r="O344" i="33" s="1"/>
  <c r="O345" i="33" s="1"/>
  <c r="O74" i="33" s="1"/>
  <c r="N345" i="37"/>
  <c r="N126" i="37" s="1"/>
  <c r="N127" i="37" s="1"/>
  <c r="N40" i="37" s="1"/>
  <c r="O344" i="37"/>
  <c r="O345" i="37" s="1"/>
  <c r="O126" i="37" s="1"/>
  <c r="O127" i="37" s="1"/>
  <c r="O40" i="37" s="1"/>
  <c r="O103" i="70"/>
  <c r="Z103" i="70"/>
  <c r="N486" i="37"/>
  <c r="N217" i="37" s="1"/>
  <c r="N218" i="37" s="1"/>
  <c r="N63" i="37" s="1"/>
  <c r="N73" i="37" s="1"/>
  <c r="H103" i="70" s="1"/>
  <c r="O485" i="37"/>
  <c r="O486" i="37" s="1"/>
  <c r="O217" i="37" s="1"/>
  <c r="O218" i="37" s="1"/>
  <c r="O63" i="37" s="1"/>
  <c r="O73" i="37" s="1"/>
  <c r="N373" i="37"/>
  <c r="N156" i="37" s="1"/>
  <c r="N157" i="37" s="1"/>
  <c r="N46" i="37" s="1"/>
  <c r="O372" i="37"/>
  <c r="O373" i="37" s="1"/>
  <c r="O156" i="37" s="1"/>
  <c r="O157" i="37" s="1"/>
  <c r="O46" i="37" s="1"/>
  <c r="K53" i="39"/>
  <c r="N161" i="39"/>
  <c r="N69" i="39" s="1"/>
  <c r="N70" i="39" s="1"/>
  <c r="N38" i="39" s="1"/>
  <c r="O160" i="39"/>
  <c r="O161" i="39" s="1"/>
  <c r="O69" i="39" s="1"/>
  <c r="O70" i="39" s="1"/>
  <c r="O38" i="39" s="1"/>
  <c r="O45" i="39" s="1"/>
  <c r="Y39" i="70"/>
  <c r="M39" i="70"/>
  <c r="Z39" i="70"/>
  <c r="O39" i="70"/>
  <c r="X40" i="70"/>
  <c r="K40" i="70"/>
  <c r="Y40" i="70"/>
  <c r="M40" i="70"/>
  <c r="N613" i="33"/>
  <c r="N364" i="33" s="1"/>
  <c r="N365" i="33" s="1"/>
  <c r="N78" i="33" s="1"/>
  <c r="N350" i="33"/>
  <c r="N75" i="33" s="1"/>
  <c r="M106" i="72"/>
  <c r="R106" i="72" s="1"/>
  <c r="N380" i="37"/>
  <c r="N161" i="37" s="1"/>
  <c r="N162" i="37" s="1"/>
  <c r="N47" i="37" s="1"/>
  <c r="N191" i="37"/>
  <c r="N192" i="37" s="1"/>
  <c r="N53" i="37" s="1"/>
  <c r="G37" i="70"/>
  <c r="L39" i="72"/>
  <c r="Q39" i="72" s="1"/>
  <c r="M100" i="72"/>
  <c r="R100" i="72" s="1"/>
  <c r="L42" i="72"/>
  <c r="Q42" i="72" s="1"/>
  <c r="L100" i="72"/>
  <c r="Q100" i="72" s="1"/>
  <c r="L43" i="72"/>
  <c r="Q43" i="72" s="1"/>
  <c r="K38" i="72"/>
  <c r="P38" i="72" s="1"/>
  <c r="K41" i="72"/>
  <c r="P41" i="72" s="1"/>
  <c r="K44" i="72"/>
  <c r="P44" i="72" s="1"/>
  <c r="L40" i="72"/>
  <c r="Q40" i="72" s="1"/>
  <c r="K43" i="72"/>
  <c r="P43" i="72" s="1"/>
  <c r="N103" i="72"/>
  <c r="S103" i="72" s="1"/>
  <c r="H39" i="70"/>
  <c r="M573" i="33"/>
  <c r="M324" i="33" s="1"/>
  <c r="M325" i="33" s="1"/>
  <c r="M64" i="33" s="1"/>
  <c r="M85" i="33" s="1"/>
  <c r="G100" i="70" s="1"/>
  <c r="N569" i="33"/>
  <c r="M479" i="33"/>
  <c r="M231" i="33" s="1"/>
  <c r="M232" i="33" s="1"/>
  <c r="M48" i="33" s="1"/>
  <c r="N478" i="33"/>
  <c r="M276" i="37"/>
  <c r="M91" i="37" s="1"/>
  <c r="M92" i="37" s="1"/>
  <c r="M33" i="37" s="1"/>
  <c r="N272" i="37"/>
  <c r="M242" i="33"/>
  <c r="N490" i="33"/>
  <c r="O490" i="33" s="1"/>
  <c r="O242" i="33" s="1"/>
  <c r="M485" i="33"/>
  <c r="M236" i="33" s="1"/>
  <c r="M237" i="33" s="1"/>
  <c r="M49" i="33" s="1"/>
  <c r="N483" i="33"/>
  <c r="M414" i="33"/>
  <c r="M177" i="33" s="1"/>
  <c r="M178" i="33" s="1"/>
  <c r="M40" i="33" s="1"/>
  <c r="N413" i="33"/>
  <c r="M496" i="33"/>
  <c r="M249" i="33" s="1"/>
  <c r="M250" i="33" s="1"/>
  <c r="M50" i="33" s="1"/>
  <c r="N495" i="33"/>
  <c r="M409" i="33"/>
  <c r="M172" i="33" s="1"/>
  <c r="M173" i="33" s="1"/>
  <c r="M39" i="33" s="1"/>
  <c r="N409" i="33"/>
  <c r="N172" i="33" s="1"/>
  <c r="N173" i="33" s="1"/>
  <c r="N39" i="33" s="1"/>
  <c r="G106" i="70"/>
  <c r="M401" i="33"/>
  <c r="M167" i="33" s="1"/>
  <c r="M168" i="33" s="1"/>
  <c r="M38" i="33" s="1"/>
  <c r="N400" i="33"/>
  <c r="M184" i="39"/>
  <c r="M85" i="39" s="1"/>
  <c r="M86" i="39" s="1"/>
  <c r="M41" i="39" s="1"/>
  <c r="M45" i="39" s="1"/>
  <c r="G40" i="70" s="1"/>
  <c r="N184" i="39"/>
  <c r="N85" i="39" s="1"/>
  <c r="N86" i="39" s="1"/>
  <c r="N41" i="39" s="1"/>
  <c r="M213" i="33"/>
  <c r="M45" i="33" s="1"/>
  <c r="N211" i="33"/>
  <c r="M440" i="33"/>
  <c r="M199" i="33" s="1"/>
  <c r="M201" i="33" s="1"/>
  <c r="M43" i="33" s="1"/>
  <c r="N439" i="33"/>
  <c r="M100" i="33"/>
  <c r="M27" i="33" s="1"/>
  <c r="N96" i="33"/>
  <c r="M162" i="33"/>
  <c r="M36" i="33" s="1"/>
  <c r="N160" i="33"/>
  <c r="M281" i="37"/>
  <c r="M96" i="37" s="1"/>
  <c r="M97" i="37" s="1"/>
  <c r="M34" i="37" s="1"/>
  <c r="N280" i="37"/>
  <c r="M421" i="37"/>
  <c r="M186" i="37" s="1"/>
  <c r="M187" i="37" s="1"/>
  <c r="M52" i="37" s="1"/>
  <c r="N419" i="37"/>
  <c r="M129" i="33"/>
  <c r="M31" i="33" s="1"/>
  <c r="N125" i="33"/>
  <c r="M412" i="37"/>
  <c r="M176" i="37" s="1"/>
  <c r="M177" i="37" s="1"/>
  <c r="M50" i="37" s="1"/>
  <c r="N411" i="37"/>
  <c r="M350" i="37"/>
  <c r="M131" i="37" s="1"/>
  <c r="M132" i="37" s="1"/>
  <c r="M41" i="37" s="1"/>
  <c r="N349" i="37"/>
  <c r="M156" i="33"/>
  <c r="M35" i="33" s="1"/>
  <c r="N154" i="33"/>
  <c r="M166" i="37"/>
  <c r="M167" i="37" s="1"/>
  <c r="M48" i="37" s="1"/>
  <c r="N390" i="37"/>
  <c r="O390" i="37" s="1"/>
  <c r="O392" i="37" s="1"/>
  <c r="O166" i="37" s="1"/>
  <c r="O167" i="37" s="1"/>
  <c r="O48" i="37" s="1"/>
  <c r="M243" i="33"/>
  <c r="N491" i="33"/>
  <c r="M150" i="33"/>
  <c r="M34" i="33" s="1"/>
  <c r="N148" i="33"/>
  <c r="M189" i="33"/>
  <c r="M42" i="33" s="1"/>
  <c r="N187" i="33"/>
  <c r="L53" i="39"/>
  <c r="M225" i="33"/>
  <c r="M226" i="33" s="1"/>
  <c r="M47" i="33" s="1"/>
  <c r="N225" i="33"/>
  <c r="N226" i="33" s="1"/>
  <c r="N47" i="33" s="1"/>
  <c r="M144" i="33"/>
  <c r="M33" i="33" s="1"/>
  <c r="N141" i="33"/>
  <c r="M121" i="33"/>
  <c r="M30" i="33" s="1"/>
  <c r="N117" i="33"/>
  <c r="M182" i="33"/>
  <c r="M183" i="33" s="1"/>
  <c r="M41" i="33" s="1"/>
  <c r="N419" i="33"/>
  <c r="O419" i="33" s="1"/>
  <c r="O421" i="33" s="1"/>
  <c r="O182" i="33" s="1"/>
  <c r="O183" i="33" s="1"/>
  <c r="O41" i="33" s="1"/>
  <c r="M108" i="33"/>
  <c r="M28" i="33" s="1"/>
  <c r="N104" i="33"/>
  <c r="M137" i="33"/>
  <c r="M32" i="33" s="1"/>
  <c r="N133" i="33"/>
  <c r="G36" i="70"/>
  <c r="M221" i="33"/>
  <c r="M46" i="33" s="1"/>
  <c r="N217" i="33"/>
  <c r="M182" i="37"/>
  <c r="M51" i="37" s="1"/>
  <c r="N182" i="37"/>
  <c r="N51" i="37" s="1"/>
  <c r="M465" i="33"/>
  <c r="N464" i="33"/>
  <c r="M457" i="33"/>
  <c r="M205" i="33" s="1"/>
  <c r="M207" i="33" s="1"/>
  <c r="M44" i="33" s="1"/>
  <c r="N457" i="33"/>
  <c r="N205" i="33" s="1"/>
  <c r="N207" i="33" s="1"/>
  <c r="N44" i="33" s="1"/>
  <c r="M113" i="33"/>
  <c r="M29" i="33" s="1"/>
  <c r="N112" i="33"/>
  <c r="L245" i="33"/>
  <c r="L37" i="33" s="1"/>
  <c r="F41" i="70"/>
  <c r="L58" i="37"/>
  <c r="F38" i="70" s="1"/>
  <c r="I36" i="70" l="1"/>
  <c r="I37" i="70"/>
  <c r="O37" i="70"/>
  <c r="Z37" i="70"/>
  <c r="O106" i="70"/>
  <c r="Z106" i="70"/>
  <c r="H106" i="70"/>
  <c r="I106" i="70"/>
  <c r="Z36" i="70"/>
  <c r="O36" i="70"/>
  <c r="M41" i="70"/>
  <c r="Y41" i="70"/>
  <c r="N129" i="33"/>
  <c r="N31" i="33" s="1"/>
  <c r="O125" i="33"/>
  <c r="O129" i="33" s="1"/>
  <c r="O31" i="33" s="1"/>
  <c r="N150" i="33"/>
  <c r="N34" i="33" s="1"/>
  <c r="O148" i="33"/>
  <c r="O150" i="33" s="1"/>
  <c r="O34" i="33" s="1"/>
  <c r="N479" i="33"/>
  <c r="N231" i="33" s="1"/>
  <c r="N232" i="33" s="1"/>
  <c r="N48" i="33" s="1"/>
  <c r="O478" i="33"/>
  <c r="O479" i="33" s="1"/>
  <c r="O231" i="33" s="1"/>
  <c r="O232" i="33" s="1"/>
  <c r="O48" i="33" s="1"/>
  <c r="N221" i="33"/>
  <c r="N46" i="33" s="1"/>
  <c r="O217" i="33"/>
  <c r="O221" i="33" s="1"/>
  <c r="O46" i="33" s="1"/>
  <c r="N401" i="33"/>
  <c r="N167" i="33" s="1"/>
  <c r="N168" i="33" s="1"/>
  <c r="N38" i="33" s="1"/>
  <c r="O400" i="33"/>
  <c r="O401" i="33" s="1"/>
  <c r="O167" i="33" s="1"/>
  <c r="O168" i="33" s="1"/>
  <c r="O38" i="33" s="1"/>
  <c r="N100" i="33"/>
  <c r="N27" i="33" s="1"/>
  <c r="O96" i="33"/>
  <c r="O100" i="33" s="1"/>
  <c r="O27" i="33" s="1"/>
  <c r="N243" i="33"/>
  <c r="O491" i="33"/>
  <c r="O243" i="33" s="1"/>
  <c r="O245" i="33" s="1"/>
  <c r="O37" i="33" s="1"/>
  <c r="N573" i="33"/>
  <c r="N324" i="33" s="1"/>
  <c r="N325" i="33" s="1"/>
  <c r="N64" i="33" s="1"/>
  <c r="N85" i="33" s="1"/>
  <c r="H100" i="70" s="1"/>
  <c r="O569" i="33"/>
  <c r="O573" i="33" s="1"/>
  <c r="O324" i="33" s="1"/>
  <c r="O325" i="33" s="1"/>
  <c r="O64" i="33" s="1"/>
  <c r="O85" i="33" s="1"/>
  <c r="I100" i="70" s="1"/>
  <c r="N414" i="33"/>
  <c r="N177" i="33" s="1"/>
  <c r="N178" i="33" s="1"/>
  <c r="N40" i="33" s="1"/>
  <c r="O413" i="33"/>
  <c r="O414" i="33" s="1"/>
  <c r="O177" i="33" s="1"/>
  <c r="O178" i="33" s="1"/>
  <c r="O40" i="33" s="1"/>
  <c r="N465" i="33"/>
  <c r="O464" i="33"/>
  <c r="O465" i="33" s="1"/>
  <c r="N121" i="33"/>
  <c r="N30" i="33" s="1"/>
  <c r="O117" i="33"/>
  <c r="O121" i="33" s="1"/>
  <c r="O30" i="33" s="1"/>
  <c r="N440" i="33"/>
  <c r="N199" i="33" s="1"/>
  <c r="N201" i="33" s="1"/>
  <c r="N43" i="33" s="1"/>
  <c r="O439" i="33"/>
  <c r="O440" i="33" s="1"/>
  <c r="O199" i="33" s="1"/>
  <c r="O201" i="33" s="1"/>
  <c r="O43" i="33" s="1"/>
  <c r="N156" i="33"/>
  <c r="N35" i="33" s="1"/>
  <c r="O154" i="33"/>
  <c r="O156" i="33" s="1"/>
  <c r="O35" i="33" s="1"/>
  <c r="N496" i="33"/>
  <c r="N249" i="33" s="1"/>
  <c r="N250" i="33" s="1"/>
  <c r="N50" i="33" s="1"/>
  <c r="O495" i="33"/>
  <c r="O496" i="33" s="1"/>
  <c r="O249" i="33" s="1"/>
  <c r="O250" i="33" s="1"/>
  <c r="O50" i="33" s="1"/>
  <c r="N213" i="33"/>
  <c r="N45" i="33" s="1"/>
  <c r="O211" i="33"/>
  <c r="O213" i="33" s="1"/>
  <c r="O45" i="33" s="1"/>
  <c r="N162" i="33"/>
  <c r="N36" i="33" s="1"/>
  <c r="O160" i="33"/>
  <c r="O162" i="33" s="1"/>
  <c r="O36" i="33" s="1"/>
  <c r="N144" i="33"/>
  <c r="N33" i="33" s="1"/>
  <c r="O141" i="33"/>
  <c r="O144" i="33" s="1"/>
  <c r="O33" i="33" s="1"/>
  <c r="O100" i="70"/>
  <c r="Z100" i="70"/>
  <c r="N113" i="33"/>
  <c r="N29" i="33" s="1"/>
  <c r="O112" i="33"/>
  <c r="O113" i="33" s="1"/>
  <c r="O29" i="33" s="1"/>
  <c r="N137" i="33"/>
  <c r="N32" i="33" s="1"/>
  <c r="O133" i="33"/>
  <c r="O137" i="33" s="1"/>
  <c r="O32" i="33" s="1"/>
  <c r="N189" i="33"/>
  <c r="N42" i="33" s="1"/>
  <c r="O187" i="33"/>
  <c r="O189" i="33" s="1"/>
  <c r="O42" i="33" s="1"/>
  <c r="N485" i="33"/>
  <c r="N236" i="33" s="1"/>
  <c r="N237" i="33" s="1"/>
  <c r="N49" i="33" s="1"/>
  <c r="O483" i="33"/>
  <c r="O485" i="33" s="1"/>
  <c r="O236" i="33" s="1"/>
  <c r="O237" i="33" s="1"/>
  <c r="O49" i="33" s="1"/>
  <c r="N108" i="33"/>
  <c r="N28" i="33" s="1"/>
  <c r="O104" i="33"/>
  <c r="O108" i="33" s="1"/>
  <c r="O28" i="33" s="1"/>
  <c r="N45" i="39"/>
  <c r="H40" i="70" s="1"/>
  <c r="AA40" i="70" s="1"/>
  <c r="I103" i="70"/>
  <c r="AA103" i="70"/>
  <c r="Q103" i="70"/>
  <c r="N421" i="37"/>
  <c r="N186" i="37" s="1"/>
  <c r="N187" i="37" s="1"/>
  <c r="N52" i="37" s="1"/>
  <c r="O419" i="37"/>
  <c r="O421" i="37" s="1"/>
  <c r="O186" i="37" s="1"/>
  <c r="O187" i="37" s="1"/>
  <c r="O52" i="37" s="1"/>
  <c r="N281" i="37"/>
  <c r="N96" i="37" s="1"/>
  <c r="N97" i="37" s="1"/>
  <c r="N34" i="37" s="1"/>
  <c r="O280" i="37"/>
  <c r="O281" i="37" s="1"/>
  <c r="O96" i="37" s="1"/>
  <c r="O97" i="37" s="1"/>
  <c r="O34" i="37" s="1"/>
  <c r="N350" i="37"/>
  <c r="N131" i="37" s="1"/>
  <c r="N132" i="37" s="1"/>
  <c r="N41" i="37" s="1"/>
  <c r="O349" i="37"/>
  <c r="O350" i="37" s="1"/>
  <c r="O131" i="37" s="1"/>
  <c r="O132" i="37" s="1"/>
  <c r="O41" i="37" s="1"/>
  <c r="N412" i="37"/>
  <c r="N176" i="37" s="1"/>
  <c r="N177" i="37" s="1"/>
  <c r="N50" i="37" s="1"/>
  <c r="O411" i="37"/>
  <c r="O412" i="37" s="1"/>
  <c r="O176" i="37" s="1"/>
  <c r="O177" i="37" s="1"/>
  <c r="O50" i="37" s="1"/>
  <c r="Y38" i="70"/>
  <c r="M38" i="70"/>
  <c r="N276" i="37"/>
  <c r="N91" i="37" s="1"/>
  <c r="N92" i="37" s="1"/>
  <c r="N33" i="37" s="1"/>
  <c r="O272" i="37"/>
  <c r="O276" i="37" s="1"/>
  <c r="O91" i="37" s="1"/>
  <c r="O92" i="37" s="1"/>
  <c r="O33" i="37" s="1"/>
  <c r="O53" i="39"/>
  <c r="I40" i="70"/>
  <c r="Z40" i="70"/>
  <c r="O40" i="70"/>
  <c r="Q39" i="70"/>
  <c r="AA39" i="70"/>
  <c r="N421" i="33"/>
  <c r="N182" i="33" s="1"/>
  <c r="N183" i="33" s="1"/>
  <c r="N41" i="33" s="1"/>
  <c r="N106" i="72"/>
  <c r="S106" i="72" s="1"/>
  <c r="N392" i="37"/>
  <c r="N166" i="37" s="1"/>
  <c r="N167" i="37" s="1"/>
  <c r="N48" i="37" s="1"/>
  <c r="M245" i="33"/>
  <c r="M37" i="33" s="1"/>
  <c r="M58" i="37"/>
  <c r="G38" i="70" s="1"/>
  <c r="N100" i="72"/>
  <c r="S100" i="72" s="1"/>
  <c r="M42" i="72"/>
  <c r="R42" i="72" s="1"/>
  <c r="M40" i="72"/>
  <c r="R40" i="72" s="1"/>
  <c r="M39" i="72"/>
  <c r="R39" i="72" s="1"/>
  <c r="M43" i="72"/>
  <c r="R43" i="72" s="1"/>
  <c r="L44" i="72"/>
  <c r="Q44" i="72" s="1"/>
  <c r="N42" i="72"/>
  <c r="S42" i="72" s="1"/>
  <c r="N40" i="72"/>
  <c r="S40" i="72" s="1"/>
  <c r="N242" i="33"/>
  <c r="M53" i="39"/>
  <c r="L75" i="37"/>
  <c r="M528" i="32"/>
  <c r="M220" i="32" s="1"/>
  <c r="L528" i="32"/>
  <c r="L220" i="32" s="1"/>
  <c r="K528" i="32"/>
  <c r="K220" i="32" s="1"/>
  <c r="E521" i="32"/>
  <c r="M484" i="32"/>
  <c r="L484" i="32"/>
  <c r="K484" i="32"/>
  <c r="M477" i="32"/>
  <c r="M154" i="32" s="1"/>
  <c r="M155" i="32" s="1"/>
  <c r="M40" i="32" s="1"/>
  <c r="L477" i="32"/>
  <c r="L154" i="32" s="1"/>
  <c r="L155" i="32" s="1"/>
  <c r="L40" i="32" s="1"/>
  <c r="K154" i="32"/>
  <c r="K155" i="32" s="1"/>
  <c r="K40" i="32" s="1"/>
  <c r="E468" i="32"/>
  <c r="E465" i="32"/>
  <c r="E447" i="32"/>
  <c r="E434" i="32"/>
  <c r="E416" i="32"/>
  <c r="E408" i="32"/>
  <c r="M402" i="32"/>
  <c r="M149" i="32" s="1"/>
  <c r="M150" i="32" s="1"/>
  <c r="M37" i="32" s="1"/>
  <c r="L402" i="32"/>
  <c r="L149" i="32" s="1"/>
  <c r="L150" i="32" s="1"/>
  <c r="L37" i="32" s="1"/>
  <c r="K402" i="32"/>
  <c r="K149" i="32" s="1"/>
  <c r="K150" i="32" s="1"/>
  <c r="K37" i="32" s="1"/>
  <c r="E395" i="32"/>
  <c r="E380" i="32"/>
  <c r="E370" i="32"/>
  <c r="E362" i="32"/>
  <c r="E359" i="32"/>
  <c r="E348" i="32"/>
  <c r="M336" i="32"/>
  <c r="M120" i="32" s="1"/>
  <c r="L336" i="32"/>
  <c r="L120" i="32" s="1"/>
  <c r="K336" i="32"/>
  <c r="K120" i="32" s="1"/>
  <c r="E336" i="32"/>
  <c r="E328" i="32"/>
  <c r="E317" i="32"/>
  <c r="E311" i="32"/>
  <c r="E269" i="32"/>
  <c r="B254" i="32"/>
  <c r="A254" i="32"/>
  <c r="M250" i="32"/>
  <c r="M53" i="32" s="1"/>
  <c r="L250" i="32"/>
  <c r="L53" i="32" s="1"/>
  <c r="K250" i="32"/>
  <c r="K53" i="32" s="1"/>
  <c r="B249" i="32"/>
  <c r="A249" i="32"/>
  <c r="B244" i="32"/>
  <c r="A244" i="32"/>
  <c r="B239" i="32"/>
  <c r="A239" i="32"/>
  <c r="B234" i="32"/>
  <c r="A234" i="32"/>
  <c r="B233" i="32"/>
  <c r="A233" i="32"/>
  <c r="B228" i="32"/>
  <c r="A228" i="32"/>
  <c r="B220" i="32"/>
  <c r="A220" i="32"/>
  <c r="B219" i="32"/>
  <c r="A219" i="32"/>
  <c r="M204" i="32"/>
  <c r="L204" i="32"/>
  <c r="K204" i="32"/>
  <c r="M203" i="32"/>
  <c r="L203" i="32"/>
  <c r="K203" i="32"/>
  <c r="M202" i="32"/>
  <c r="L202" i="32"/>
  <c r="K202" i="32"/>
  <c r="M201" i="32"/>
  <c r="L201" i="32"/>
  <c r="K201" i="32"/>
  <c r="M200" i="32"/>
  <c r="L200" i="32"/>
  <c r="K200" i="32"/>
  <c r="M197" i="32"/>
  <c r="L197" i="32"/>
  <c r="K197" i="32"/>
  <c r="M196" i="32"/>
  <c r="L196" i="32"/>
  <c r="K196" i="32"/>
  <c r="M195" i="32"/>
  <c r="L195" i="32"/>
  <c r="K195" i="32"/>
  <c r="M192" i="32"/>
  <c r="L192" i="32"/>
  <c r="K192" i="32"/>
  <c r="M191" i="32"/>
  <c r="L191" i="32"/>
  <c r="K191" i="32"/>
  <c r="M190" i="32"/>
  <c r="L190" i="32"/>
  <c r="K190" i="32"/>
  <c r="M189" i="32"/>
  <c r="L189" i="32"/>
  <c r="K189" i="32"/>
  <c r="M188" i="32"/>
  <c r="L188" i="32"/>
  <c r="K188" i="32"/>
  <c r="M187" i="32"/>
  <c r="L187" i="32"/>
  <c r="K187" i="32"/>
  <c r="M186" i="32"/>
  <c r="L186" i="32"/>
  <c r="K186" i="32"/>
  <c r="M185" i="32"/>
  <c r="L185" i="32"/>
  <c r="K185" i="32"/>
  <c r="M184" i="32"/>
  <c r="L184" i="32"/>
  <c r="K184" i="32"/>
  <c r="M183" i="32"/>
  <c r="L183" i="32"/>
  <c r="K183" i="32"/>
  <c r="M182" i="32"/>
  <c r="L182" i="32"/>
  <c r="K182" i="32"/>
  <c r="M181" i="32"/>
  <c r="L181" i="32"/>
  <c r="K181" i="32"/>
  <c r="M180" i="32"/>
  <c r="L180" i="32"/>
  <c r="K180" i="32"/>
  <c r="M179" i="32"/>
  <c r="L179" i="32"/>
  <c r="K179" i="32"/>
  <c r="M178" i="32"/>
  <c r="L178" i="32"/>
  <c r="K178" i="32"/>
  <c r="B178" i="32"/>
  <c r="A178" i="32"/>
  <c r="B172" i="32"/>
  <c r="A172" i="32"/>
  <c r="B171" i="32"/>
  <c r="B170" i="32"/>
  <c r="B169" i="32"/>
  <c r="B168" i="32"/>
  <c r="B163" i="32"/>
  <c r="A163" i="32"/>
  <c r="B162" i="32"/>
  <c r="A162" i="32"/>
  <c r="B160" i="32"/>
  <c r="A160" i="32"/>
  <c r="B159" i="32"/>
  <c r="A159" i="32"/>
  <c r="B154" i="32"/>
  <c r="A154" i="32"/>
  <c r="B149" i="32"/>
  <c r="A149" i="32"/>
  <c r="B143" i="32"/>
  <c r="A143" i="32"/>
  <c r="B142" i="32"/>
  <c r="A142" i="32"/>
  <c r="B137" i="32"/>
  <c r="B136" i="32"/>
  <c r="B135" i="32"/>
  <c r="B134" i="32"/>
  <c r="B133" i="32"/>
  <c r="B132" i="32"/>
  <c r="A132" i="32"/>
  <c r="B131" i="32"/>
  <c r="A131" i="32"/>
  <c r="B126" i="32"/>
  <c r="A126" i="32"/>
  <c r="B121" i="32"/>
  <c r="A121" i="32"/>
  <c r="B120" i="32"/>
  <c r="A120" i="32"/>
  <c r="B115" i="32"/>
  <c r="A115" i="32"/>
  <c r="B114" i="32"/>
  <c r="A114" i="32"/>
  <c r="B109" i="32"/>
  <c r="A109" i="32"/>
  <c r="B108" i="32"/>
  <c r="A108" i="32"/>
  <c r="B107" i="32"/>
  <c r="A107" i="32"/>
  <c r="B102" i="32"/>
  <c r="A102" i="32"/>
  <c r="B101" i="32"/>
  <c r="A101" i="32"/>
  <c r="B100" i="32"/>
  <c r="A100" i="32"/>
  <c r="B95" i="32"/>
  <c r="A95" i="32"/>
  <c r="B90" i="32"/>
  <c r="A90" i="32"/>
  <c r="B89" i="32"/>
  <c r="A89" i="32"/>
  <c r="B88" i="32"/>
  <c r="A88" i="32"/>
  <c r="B87" i="32"/>
  <c r="A87" i="32"/>
  <c r="B81" i="32"/>
  <c r="A81" i="32"/>
  <c r="B80" i="32"/>
  <c r="A80" i="32"/>
  <c r="D53" i="32"/>
  <c r="D52" i="32"/>
  <c r="D51" i="32"/>
  <c r="D50" i="32"/>
  <c r="D49" i="32"/>
  <c r="D43" i="32"/>
  <c r="D37" i="32"/>
  <c r="D35" i="32"/>
  <c r="D34" i="32"/>
  <c r="D33" i="32"/>
  <c r="D32" i="32"/>
  <c r="D31" i="32"/>
  <c r="D30" i="32"/>
  <c r="D29" i="32"/>
  <c r="D28" i="32"/>
  <c r="D26" i="32"/>
  <c r="D25" i="32"/>
  <c r="K162" i="32"/>
  <c r="M115" i="31"/>
  <c r="L115" i="31"/>
  <c r="E115" i="31"/>
  <c r="M111" i="31"/>
  <c r="M67" i="31" s="1"/>
  <c r="L111" i="31"/>
  <c r="L67" i="31" s="1"/>
  <c r="E111" i="31"/>
  <c r="M90" i="31"/>
  <c r="M58" i="31" s="1"/>
  <c r="L90" i="31"/>
  <c r="L58" i="31" s="1"/>
  <c r="B76" i="31"/>
  <c r="M72" i="31"/>
  <c r="L72" i="31"/>
  <c r="B71" i="31"/>
  <c r="A71" i="31"/>
  <c r="B68" i="31"/>
  <c r="A68" i="31"/>
  <c r="B67" i="31"/>
  <c r="A67" i="31"/>
  <c r="B62" i="31"/>
  <c r="B61" i="31"/>
  <c r="B60" i="31"/>
  <c r="B59" i="31"/>
  <c r="B58" i="31"/>
  <c r="B57" i="31"/>
  <c r="D36" i="31"/>
  <c r="D22" i="31"/>
  <c r="D21" i="31"/>
  <c r="E107" i="30"/>
  <c r="E101" i="30"/>
  <c r="E96" i="30"/>
  <c r="E89" i="30"/>
  <c r="E85" i="30"/>
  <c r="B75" i="30"/>
  <c r="A75" i="30"/>
  <c r="B70" i="30"/>
  <c r="A70" i="30"/>
  <c r="B62" i="30"/>
  <c r="A62" i="30"/>
  <c r="B55" i="30"/>
  <c r="A55" i="30"/>
  <c r="M43" i="30"/>
  <c r="L43" i="30"/>
  <c r="D26" i="30"/>
  <c r="D24" i="30"/>
  <c r="D23" i="30"/>
  <c r="B53" i="29"/>
  <c r="A53" i="29"/>
  <c r="M40" i="29"/>
  <c r="L40" i="29"/>
  <c r="D27" i="29"/>
  <c r="M250" i="28"/>
  <c r="M135" i="28" s="1"/>
  <c r="M136" i="28" s="1"/>
  <c r="M54" i="28" s="1"/>
  <c r="L250" i="28"/>
  <c r="L135" i="28" s="1"/>
  <c r="L136" i="28" s="1"/>
  <c r="L54" i="28" s="1"/>
  <c r="E250" i="28"/>
  <c r="S218" i="28"/>
  <c r="S217" i="28"/>
  <c r="S211" i="28"/>
  <c r="P209" i="28"/>
  <c r="E201" i="28"/>
  <c r="E196" i="28"/>
  <c r="S190" i="28"/>
  <c r="S191" i="28" s="1"/>
  <c r="E182" i="28"/>
  <c r="M175" i="28"/>
  <c r="M119" i="28" s="1"/>
  <c r="L175" i="28"/>
  <c r="L119" i="28" s="1"/>
  <c r="E175" i="28"/>
  <c r="E165" i="28"/>
  <c r="E160" i="28"/>
  <c r="Q152" i="28"/>
  <c r="E152" i="28"/>
  <c r="B135" i="28"/>
  <c r="A135" i="28"/>
  <c r="B125" i="28"/>
  <c r="A125" i="28"/>
  <c r="B111" i="28"/>
  <c r="D46" i="28" s="1"/>
  <c r="B103" i="28"/>
  <c r="A103" i="28"/>
  <c r="B98" i="28"/>
  <c r="A98" i="28"/>
  <c r="B93" i="28"/>
  <c r="A93" i="28"/>
  <c r="B88" i="28"/>
  <c r="A88" i="28"/>
  <c r="B83" i="28"/>
  <c r="A83" i="28"/>
  <c r="B82" i="28"/>
  <c r="A82" i="28"/>
  <c r="B76" i="28"/>
  <c r="A76" i="28"/>
  <c r="B71" i="28"/>
  <c r="A71" i="28"/>
  <c r="D54" i="28"/>
  <c r="D45" i="28"/>
  <c r="D44" i="28"/>
  <c r="D43" i="28"/>
  <c r="D42" i="28"/>
  <c r="D40" i="28"/>
  <c r="D39" i="28"/>
  <c r="D38" i="28"/>
  <c r="L1339" i="27"/>
  <c r="L1332" i="27"/>
  <c r="L1322" i="27"/>
  <c r="L1315" i="27"/>
  <c r="L1308" i="27"/>
  <c r="E1290" i="27"/>
  <c r="E1275" i="27"/>
  <c r="M1258" i="27"/>
  <c r="M344" i="27" s="1"/>
  <c r="L1258" i="27"/>
  <c r="L344" i="27" s="1"/>
  <c r="E1258" i="27"/>
  <c r="E1255" i="27"/>
  <c r="E1238" i="27"/>
  <c r="E1235" i="27"/>
  <c r="E1232" i="27"/>
  <c r="G1217" i="27"/>
  <c r="E1187" i="27"/>
  <c r="E1160" i="27"/>
  <c r="E1135" i="27"/>
  <c r="E1106" i="27"/>
  <c r="W1010" i="27"/>
  <c r="M981" i="27"/>
  <c r="M328" i="27" s="1"/>
  <c r="M52" i="27" s="1"/>
  <c r="L981" i="27"/>
  <c r="L327" i="27" s="1"/>
  <c r="L328" i="27" s="1"/>
  <c r="L52" i="27" s="1"/>
  <c r="E974" i="27"/>
  <c r="E961" i="27"/>
  <c r="E949" i="27"/>
  <c r="E940" i="27"/>
  <c r="E929" i="27"/>
  <c r="E920" i="27"/>
  <c r="E912" i="27"/>
  <c r="E902" i="27"/>
  <c r="E890" i="27"/>
  <c r="M875" i="27"/>
  <c r="L875" i="27"/>
  <c r="E866" i="27"/>
  <c r="E840" i="27"/>
  <c r="E837" i="27"/>
  <c r="E798" i="27"/>
  <c r="V789" i="27"/>
  <c r="U789" i="27"/>
  <c r="V788" i="27"/>
  <c r="U788" i="27"/>
  <c r="V787" i="27"/>
  <c r="W784" i="27"/>
  <c r="U787" i="27" s="1"/>
  <c r="H783" i="27"/>
  <c r="N767" i="27"/>
  <c r="L766" i="27"/>
  <c r="M766" i="27" s="1"/>
  <c r="L765" i="27"/>
  <c r="M765" i="27" s="1"/>
  <c r="L764" i="27"/>
  <c r="M764" i="27" s="1"/>
  <c r="Q764" i="27" s="1"/>
  <c r="L763" i="27"/>
  <c r="M763" i="27" s="1"/>
  <c r="Q763" i="27" s="1"/>
  <c r="L762" i="27"/>
  <c r="M762" i="27" s="1"/>
  <c r="Q762" i="27" s="1"/>
  <c r="L761" i="27"/>
  <c r="M761" i="27" s="1"/>
  <c r="L760" i="27"/>
  <c r="M760" i="27" s="1"/>
  <c r="L759" i="27"/>
  <c r="M759" i="27" s="1"/>
  <c r="L758" i="27"/>
  <c r="M758" i="27" s="1"/>
  <c r="L757" i="27"/>
  <c r="M757" i="27" s="1"/>
  <c r="H740" i="27"/>
  <c r="N722" i="27"/>
  <c r="L721" i="27"/>
  <c r="L720" i="27"/>
  <c r="M720" i="27" s="1"/>
  <c r="L719" i="27"/>
  <c r="M719" i="27" s="1"/>
  <c r="L718" i="27"/>
  <c r="M718" i="27" s="1"/>
  <c r="L717" i="27"/>
  <c r="M717" i="27" s="1"/>
  <c r="L716" i="27"/>
  <c r="M716" i="27" s="1"/>
  <c r="L715" i="27"/>
  <c r="M715" i="27" s="1"/>
  <c r="L714" i="27"/>
  <c r="M714" i="27" s="1"/>
  <c r="L713" i="27"/>
  <c r="M713" i="27" s="1"/>
  <c r="L712" i="27"/>
  <c r="M712" i="27" s="1"/>
  <c r="L711" i="27"/>
  <c r="M711" i="27" s="1"/>
  <c r="L710" i="27"/>
  <c r="M710" i="27" s="1"/>
  <c r="L709" i="27"/>
  <c r="M709" i="27" s="1"/>
  <c r="L708" i="27"/>
  <c r="M708" i="27" s="1"/>
  <c r="E676" i="27"/>
  <c r="M647" i="27"/>
  <c r="M208" i="27" s="1"/>
  <c r="M209" i="27" s="1"/>
  <c r="M73" i="27" s="1"/>
  <c r="L647" i="27"/>
  <c r="L208" i="27" s="1"/>
  <c r="L209" i="27" s="1"/>
  <c r="L73" i="27" s="1"/>
  <c r="K647" i="27"/>
  <c r="G647" i="27"/>
  <c r="I642" i="27"/>
  <c r="H628" i="27"/>
  <c r="N609" i="27"/>
  <c r="L607" i="27"/>
  <c r="M607" i="27" s="1"/>
  <c r="N607" i="27" s="1"/>
  <c r="O607" i="27" s="1"/>
  <c r="O608" i="27" s="1"/>
  <c r="L606" i="27"/>
  <c r="M606" i="27" s="1"/>
  <c r="N606" i="27" s="1"/>
  <c r="L605" i="27"/>
  <c r="M605" i="27" s="1"/>
  <c r="N605" i="27" s="1"/>
  <c r="N604" i="27"/>
  <c r="L604" i="27"/>
  <c r="M604" i="27" s="1"/>
  <c r="L603" i="27"/>
  <c r="M603" i="27" s="1"/>
  <c r="L602" i="27"/>
  <c r="M602" i="27" s="1"/>
  <c r="N602" i="27" s="1"/>
  <c r="L601" i="27"/>
  <c r="M601" i="27" s="1"/>
  <c r="H586" i="27"/>
  <c r="N576" i="27"/>
  <c r="L574" i="27"/>
  <c r="M574" i="27" s="1"/>
  <c r="L573" i="27"/>
  <c r="M573" i="27" s="1"/>
  <c r="L572" i="27"/>
  <c r="M572" i="27" s="1"/>
  <c r="L571" i="27"/>
  <c r="M571" i="27" s="1"/>
  <c r="L570" i="27"/>
  <c r="M570" i="27" s="1"/>
  <c r="N556" i="27"/>
  <c r="M556" i="27"/>
  <c r="L556" i="27"/>
  <c r="H554" i="27"/>
  <c r="N538" i="27"/>
  <c r="L534" i="27"/>
  <c r="M534" i="27" s="1"/>
  <c r="L533" i="27"/>
  <c r="M533" i="27" s="1"/>
  <c r="L532" i="27"/>
  <c r="M532" i="27" s="1"/>
  <c r="L531" i="27"/>
  <c r="M531" i="27" s="1"/>
  <c r="L530" i="27"/>
  <c r="M530" i="27" s="1"/>
  <c r="L529" i="27"/>
  <c r="M529" i="27" s="1"/>
  <c r="L528" i="27"/>
  <c r="M528" i="27" s="1"/>
  <c r="L527" i="27"/>
  <c r="M527" i="27" s="1"/>
  <c r="E468" i="27"/>
  <c r="B436" i="27"/>
  <c r="B435" i="27"/>
  <c r="M431" i="27"/>
  <c r="M97" i="27" s="1"/>
  <c r="L431" i="27"/>
  <c r="L97" i="27" s="1"/>
  <c r="B430" i="27"/>
  <c r="A430" i="27"/>
  <c r="B425" i="27"/>
  <c r="A425" i="27"/>
  <c r="B424" i="27"/>
  <c r="A424" i="27"/>
  <c r="B419" i="27"/>
  <c r="A419" i="27"/>
  <c r="B414" i="27"/>
  <c r="A414" i="27"/>
  <c r="B409" i="27"/>
  <c r="A409" i="27"/>
  <c r="B404" i="27"/>
  <c r="A404" i="27"/>
  <c r="B399" i="27"/>
  <c r="A399" i="27"/>
  <c r="B394" i="27"/>
  <c r="A394" i="27"/>
  <c r="B363" i="27"/>
  <c r="A363" i="27"/>
  <c r="B357" i="27"/>
  <c r="A357" i="27"/>
  <c r="B356" i="27"/>
  <c r="A356" i="27"/>
  <c r="B355" i="27"/>
  <c r="A355" i="27"/>
  <c r="B353" i="27"/>
  <c r="B354" i="27" s="1"/>
  <c r="A353" i="27"/>
  <c r="A354" i="27" s="1"/>
  <c r="B352" i="27"/>
  <c r="A352" i="27"/>
  <c r="B345" i="27"/>
  <c r="B344" i="27"/>
  <c r="B343" i="27"/>
  <c r="B342" i="27"/>
  <c r="B341" i="27"/>
  <c r="B340" i="27"/>
  <c r="B339" i="27"/>
  <c r="B338" i="27"/>
  <c r="B337" i="27"/>
  <c r="B336" i="27"/>
  <c r="B335" i="27"/>
  <c r="B327" i="27"/>
  <c r="B322" i="27"/>
  <c r="B321" i="27"/>
  <c r="B320" i="27"/>
  <c r="B315" i="27"/>
  <c r="B314" i="27"/>
  <c r="B313" i="27"/>
  <c r="B312" i="27"/>
  <c r="B311" i="27"/>
  <c r="B310" i="27"/>
  <c r="B309" i="27"/>
  <c r="B308" i="27"/>
  <c r="B303" i="27"/>
  <c r="B302" i="27"/>
  <c r="B301" i="27"/>
  <c r="B300" i="27"/>
  <c r="B299" i="27"/>
  <c r="B298" i="27"/>
  <c r="B297" i="27"/>
  <c r="B292" i="27"/>
  <c r="B291" i="27"/>
  <c r="B290" i="27"/>
  <c r="B289" i="27"/>
  <c r="B288" i="27"/>
  <c r="B287" i="27"/>
  <c r="B286" i="27"/>
  <c r="B285" i="27"/>
  <c r="B280" i="27"/>
  <c r="B279" i="27"/>
  <c r="B278" i="27"/>
  <c r="B277" i="27"/>
  <c r="B276" i="27"/>
  <c r="B275" i="27"/>
  <c r="B274" i="27"/>
  <c r="B273" i="27"/>
  <c r="B268" i="27"/>
  <c r="B267" i="27"/>
  <c r="B266" i="27"/>
  <c r="B265" i="27"/>
  <c r="B264" i="27"/>
  <c r="B263" i="27"/>
  <c r="B262" i="27"/>
  <c r="B261" i="27"/>
  <c r="B260" i="27"/>
  <c r="B259" i="27"/>
  <c r="B258" i="27"/>
  <c r="B257" i="27"/>
  <c r="B256" i="27"/>
  <c r="B255" i="27"/>
  <c r="B254" i="27"/>
  <c r="B246" i="27"/>
  <c r="B241" i="27"/>
  <c r="M237" i="27"/>
  <c r="M80" i="27" s="1"/>
  <c r="L237" i="27"/>
  <c r="L80" i="27" s="1"/>
  <c r="B236" i="27"/>
  <c r="M232" i="27"/>
  <c r="M79" i="27" s="1"/>
  <c r="L232" i="27"/>
  <c r="L79" i="27" s="1"/>
  <c r="B231" i="27"/>
  <c r="B226" i="27"/>
  <c r="B221" i="27"/>
  <c r="B213" i="27"/>
  <c r="B208" i="27"/>
  <c r="M204" i="27"/>
  <c r="M72" i="27" s="1"/>
  <c r="L204" i="27"/>
  <c r="L72" i="27" s="1"/>
  <c r="B203" i="27"/>
  <c r="B198" i="27"/>
  <c r="B193" i="27"/>
  <c r="B188" i="27"/>
  <c r="B180" i="27"/>
  <c r="A180" i="27"/>
  <c r="B179" i="27"/>
  <c r="A179" i="27"/>
  <c r="B178" i="27"/>
  <c r="A178" i="27"/>
  <c r="B173" i="27"/>
  <c r="A173" i="27"/>
  <c r="B168" i="27"/>
  <c r="A168" i="27"/>
  <c r="B167" i="27"/>
  <c r="A167" i="27"/>
  <c r="B162" i="27"/>
  <c r="A162" i="27"/>
  <c r="B157" i="27"/>
  <c r="A157" i="27"/>
  <c r="B156" i="27"/>
  <c r="A156" i="27"/>
  <c r="B155" i="27"/>
  <c r="A155" i="27"/>
  <c r="B150" i="27"/>
  <c r="A150" i="27"/>
  <c r="B149" i="27"/>
  <c r="A149" i="27"/>
  <c r="B140" i="27"/>
  <c r="A140" i="27"/>
  <c r="B139" i="27"/>
  <c r="A139" i="27"/>
  <c r="B138" i="27"/>
  <c r="A138" i="27"/>
  <c r="B133" i="27"/>
  <c r="A133" i="27"/>
  <c r="B128" i="27"/>
  <c r="A128" i="27"/>
  <c r="B127" i="27"/>
  <c r="A127" i="27"/>
  <c r="B122" i="27"/>
  <c r="A122" i="27"/>
  <c r="B121" i="27"/>
  <c r="A121" i="27"/>
  <c r="B120" i="27"/>
  <c r="A120" i="27"/>
  <c r="B119" i="27"/>
  <c r="A119" i="27"/>
  <c r="B114" i="27"/>
  <c r="A114" i="27"/>
  <c r="B113" i="27"/>
  <c r="A113" i="27"/>
  <c r="D82" i="27"/>
  <c r="D81" i="27"/>
  <c r="D80" i="27"/>
  <c r="D79" i="27"/>
  <c r="D78" i="27"/>
  <c r="D77" i="27"/>
  <c r="D74" i="27"/>
  <c r="D73" i="27"/>
  <c r="D72" i="27"/>
  <c r="D71" i="27"/>
  <c r="D70" i="27"/>
  <c r="D69" i="27"/>
  <c r="D61" i="27"/>
  <c r="Y56" i="27"/>
  <c r="Y62" i="27" s="1"/>
  <c r="D52" i="27"/>
  <c r="D42" i="27"/>
  <c r="D41" i="27"/>
  <c r="D40" i="27"/>
  <c r="D39" i="27"/>
  <c r="D38" i="27"/>
  <c r="D37" i="27"/>
  <c r="D32" i="27"/>
  <c r="D31" i="27"/>
  <c r="D30" i="27"/>
  <c r="D29" i="27"/>
  <c r="D28" i="27"/>
  <c r="G1057" i="27"/>
  <c r="M199" i="26"/>
  <c r="M107" i="26" s="1"/>
  <c r="M108" i="26" s="1"/>
  <c r="M43" i="26" s="1"/>
  <c r="L199" i="26"/>
  <c r="L107" i="26" s="1"/>
  <c r="L108" i="26" s="1"/>
  <c r="L43" i="26" s="1"/>
  <c r="E199" i="26"/>
  <c r="M195" i="26"/>
  <c r="M102" i="26" s="1"/>
  <c r="M103" i="26" s="1"/>
  <c r="M42" i="26" s="1"/>
  <c r="L195" i="26"/>
  <c r="L102" i="26" s="1"/>
  <c r="L103" i="26" s="1"/>
  <c r="L42" i="26" s="1"/>
  <c r="E190" i="26"/>
  <c r="M88" i="26"/>
  <c r="M89" i="26" s="1"/>
  <c r="M32" i="26" s="1"/>
  <c r="L88" i="26"/>
  <c r="L89" i="26" s="1"/>
  <c r="L32" i="26" s="1"/>
  <c r="E169" i="26"/>
  <c r="M83" i="26"/>
  <c r="M84" i="26" s="1"/>
  <c r="M31" i="26" s="1"/>
  <c r="L83" i="26"/>
  <c r="L84" i="26" s="1"/>
  <c r="L31" i="26" s="1"/>
  <c r="E163" i="26"/>
  <c r="E157" i="26"/>
  <c r="P154" i="26"/>
  <c r="M138" i="26"/>
  <c r="L138" i="26"/>
  <c r="E138" i="26"/>
  <c r="E125" i="26"/>
  <c r="B107" i="26"/>
  <c r="A107" i="26"/>
  <c r="B102" i="26"/>
  <c r="A102" i="26"/>
  <c r="B97" i="26"/>
  <c r="A97" i="26"/>
  <c r="B88" i="26"/>
  <c r="A88" i="26"/>
  <c r="B83" i="26"/>
  <c r="A83" i="26"/>
  <c r="B78" i="26"/>
  <c r="A78" i="26"/>
  <c r="B73" i="26"/>
  <c r="A73" i="26"/>
  <c r="B72" i="26"/>
  <c r="A72" i="26"/>
  <c r="D43" i="26"/>
  <c r="D42" i="26"/>
  <c r="D33" i="26"/>
  <c r="D32" i="26"/>
  <c r="D31" i="26"/>
  <c r="D30" i="26"/>
  <c r="D29" i="26"/>
  <c r="M187" i="26"/>
  <c r="N187" i="26" s="1"/>
  <c r="O187" i="26" s="1"/>
  <c r="H37" i="70" l="1"/>
  <c r="N245" i="33"/>
  <c r="N37" i="33" s="1"/>
  <c r="Q106" i="70"/>
  <c r="AA106" i="70"/>
  <c r="H36" i="70"/>
  <c r="H41" i="70"/>
  <c r="G41" i="70"/>
  <c r="Q40" i="70"/>
  <c r="N53" i="39"/>
  <c r="AA100" i="70"/>
  <c r="Q100" i="70"/>
  <c r="O61" i="33"/>
  <c r="Z38" i="70"/>
  <c r="O38" i="70"/>
  <c r="N58" i="37"/>
  <c r="H38" i="70" s="1"/>
  <c r="O58" i="37"/>
  <c r="P606" i="27"/>
  <c r="O606" i="27"/>
  <c r="P602" i="27"/>
  <c r="O602" i="27"/>
  <c r="P605" i="27"/>
  <c r="O605" i="27"/>
  <c r="N610" i="27"/>
  <c r="R608" i="27" s="1"/>
  <c r="Q767" i="27"/>
  <c r="L1349" i="27"/>
  <c r="L425" i="27" s="1"/>
  <c r="M1349" i="27"/>
  <c r="M425" i="27" s="1"/>
  <c r="K486" i="32"/>
  <c r="K254" i="32" s="1"/>
  <c r="K255" i="32" s="1"/>
  <c r="K54" i="32" s="1"/>
  <c r="M75" i="37"/>
  <c r="M97" i="72"/>
  <c r="R97" i="72" s="1"/>
  <c r="K93" i="72"/>
  <c r="P93" i="72" s="1"/>
  <c r="N97" i="72"/>
  <c r="S97" i="72" s="1"/>
  <c r="K96" i="72"/>
  <c r="P96" i="72" s="1"/>
  <c r="M44" i="72"/>
  <c r="R44" i="72" s="1"/>
  <c r="K97" i="72"/>
  <c r="P97" i="72" s="1"/>
  <c r="L97" i="72"/>
  <c r="Q97" i="72" s="1"/>
  <c r="N96" i="72"/>
  <c r="S96" i="72" s="1"/>
  <c r="K95" i="72"/>
  <c r="P95" i="72" s="1"/>
  <c r="N41" i="72"/>
  <c r="S41" i="72" s="1"/>
  <c r="N39" i="72"/>
  <c r="S39" i="72" s="1"/>
  <c r="M41" i="72"/>
  <c r="R41" i="72" s="1"/>
  <c r="K98" i="72"/>
  <c r="P98" i="72" s="1"/>
  <c r="L96" i="72"/>
  <c r="Q96" i="72" s="1"/>
  <c r="M96" i="72"/>
  <c r="R96" i="72" s="1"/>
  <c r="N43" i="72"/>
  <c r="S43" i="72" s="1"/>
  <c r="M721" i="27"/>
  <c r="N608" i="27"/>
  <c r="P607" i="27"/>
  <c r="P608" i="27" s="1"/>
  <c r="L486" i="32"/>
  <c r="L254" i="32" s="1"/>
  <c r="L255" i="32" s="1"/>
  <c r="L54" i="32" s="1"/>
  <c r="M486" i="32"/>
  <c r="M254" i="32" s="1"/>
  <c r="M255" i="32" s="1"/>
  <c r="M54" i="32" s="1"/>
  <c r="W788" i="27"/>
  <c r="X788" i="27" s="1"/>
  <c r="K205" i="32"/>
  <c r="K42" i="32" s="1"/>
  <c r="L205" i="32"/>
  <c r="L42" i="32" s="1"/>
  <c r="M205" i="32"/>
  <c r="M42" i="32" s="1"/>
  <c r="W787" i="27"/>
  <c r="X787" i="27" s="1"/>
  <c r="L390" i="27"/>
  <c r="L60" i="27" s="1"/>
  <c r="M390" i="27"/>
  <c r="M60" i="27" s="1"/>
  <c r="L513" i="32"/>
  <c r="M513" i="32" s="1"/>
  <c r="N513" i="32" s="1"/>
  <c r="O513" i="32" s="1"/>
  <c r="L151" i="26"/>
  <c r="M151" i="26" s="1"/>
  <c r="N151" i="26" s="1"/>
  <c r="O151" i="26" s="1"/>
  <c r="L292" i="32"/>
  <c r="M292" i="32" s="1"/>
  <c r="N292" i="32" s="1"/>
  <c r="O292" i="32" s="1"/>
  <c r="L162" i="32"/>
  <c r="M162" i="32" s="1"/>
  <c r="N162" i="32" s="1"/>
  <c r="O162" i="32" s="1"/>
  <c r="L190" i="28"/>
  <c r="M190" i="28" s="1"/>
  <c r="N190" i="28" s="1"/>
  <c r="O190" i="28" s="1"/>
  <c r="K276" i="32"/>
  <c r="L276" i="32" s="1"/>
  <c r="M276" i="32" s="1"/>
  <c r="N276" i="32" s="1"/>
  <c r="O276" i="32" s="1"/>
  <c r="K506" i="32"/>
  <c r="K509" i="32"/>
  <c r="L509" i="32" s="1"/>
  <c r="M509" i="32" s="1"/>
  <c r="N509" i="32" s="1"/>
  <c r="O509" i="32" s="1"/>
  <c r="K107" i="32"/>
  <c r="K133" i="32"/>
  <c r="L133" i="32" s="1"/>
  <c r="M133" i="32" s="1"/>
  <c r="N133" i="32" s="1"/>
  <c r="O133" i="32" s="1"/>
  <c r="L510" i="32"/>
  <c r="M510" i="32" s="1"/>
  <c r="N510" i="32" s="1"/>
  <c r="O510" i="32" s="1"/>
  <c r="L82" i="28"/>
  <c r="L88" i="30"/>
  <c r="M88" i="30" s="1"/>
  <c r="N88" i="30" s="1"/>
  <c r="O88" i="30" s="1"/>
  <c r="K421" i="32"/>
  <c r="K368" i="32"/>
  <c r="L368" i="32" s="1"/>
  <c r="M368" i="32" s="1"/>
  <c r="N368" i="32" s="1"/>
  <c r="O368" i="32" s="1"/>
  <c r="L212" i="28"/>
  <c r="M212" i="28" s="1"/>
  <c r="N212" i="28" s="1"/>
  <c r="O212" i="28" s="1"/>
  <c r="K159" i="32"/>
  <c r="K433" i="32"/>
  <c r="L433" i="32" s="1"/>
  <c r="M433" i="32" s="1"/>
  <c r="N433" i="32" s="1"/>
  <c r="O433" i="32" s="1"/>
  <c r="K432" i="32"/>
  <c r="L432" i="32" s="1"/>
  <c r="M432" i="32" s="1"/>
  <c r="N432" i="32" s="1"/>
  <c r="O432" i="32" s="1"/>
  <c r="K377" i="32"/>
  <c r="L377" i="32" s="1"/>
  <c r="M377" i="32" s="1"/>
  <c r="N377" i="32" s="1"/>
  <c r="O377" i="32" s="1"/>
  <c r="K135" i="32"/>
  <c r="L135" i="32" s="1"/>
  <c r="M135" i="32" s="1"/>
  <c r="N135" i="32" s="1"/>
  <c r="O135" i="32" s="1"/>
  <c r="K459" i="32"/>
  <c r="K87" i="32"/>
  <c r="K100" i="32"/>
  <c r="L100" i="32" s="1"/>
  <c r="K460" i="32"/>
  <c r="L460" i="32" s="1"/>
  <c r="M460" i="32" s="1"/>
  <c r="N460" i="32" s="1"/>
  <c r="O460" i="32" s="1"/>
  <c r="K462" i="32"/>
  <c r="L462" i="32" s="1"/>
  <c r="M462" i="32" s="1"/>
  <c r="N462" i="32" s="1"/>
  <c r="O462" i="32" s="1"/>
  <c r="K355" i="32"/>
  <c r="L355" i="32" s="1"/>
  <c r="M355" i="32" s="1"/>
  <c r="N355" i="32" s="1"/>
  <c r="O355" i="32" s="1"/>
  <c r="L180" i="28"/>
  <c r="M180" i="28" s="1"/>
  <c r="N180" i="28" s="1"/>
  <c r="O180" i="28" s="1"/>
  <c r="L290" i="27"/>
  <c r="M290" i="27" s="1"/>
  <c r="N290" i="27" s="1"/>
  <c r="O290" i="27" s="1"/>
  <c r="K366" i="32"/>
  <c r="L127" i="27"/>
  <c r="L308" i="27"/>
  <c r="L320" i="27"/>
  <c r="M320" i="27" s="1"/>
  <c r="N320" i="27" s="1"/>
  <c r="O320" i="27" s="1"/>
  <c r="L917" i="27"/>
  <c r="M917" i="27" s="1"/>
  <c r="N917" i="27" s="1"/>
  <c r="O917" i="27" s="1"/>
  <c r="L228" i="28"/>
  <c r="M228" i="28" s="1"/>
  <c r="N228" i="28" s="1"/>
  <c r="O228" i="28" s="1"/>
  <c r="L149" i="27"/>
  <c r="L194" i="28"/>
  <c r="M194" i="28" s="1"/>
  <c r="N194" i="28" s="1"/>
  <c r="O194" i="28" s="1"/>
  <c r="L233" i="28"/>
  <c r="M233" i="28" s="1"/>
  <c r="N233" i="28" s="1"/>
  <c r="O233" i="28" s="1"/>
  <c r="K266" i="32"/>
  <c r="L266" i="32" s="1"/>
  <c r="K427" i="32"/>
  <c r="L427" i="32" s="1"/>
  <c r="M427" i="32" s="1"/>
  <c r="N427" i="32" s="1"/>
  <c r="O427" i="32" s="1"/>
  <c r="K463" i="32"/>
  <c r="L463" i="32" s="1"/>
  <c r="M463" i="32" s="1"/>
  <c r="N463" i="32" s="1"/>
  <c r="O463" i="32" s="1"/>
  <c r="L959" i="27"/>
  <c r="M959" i="27" s="1"/>
  <c r="N959" i="27" s="1"/>
  <c r="O959" i="27" s="1"/>
  <c r="L123" i="26"/>
  <c r="M123" i="26" s="1"/>
  <c r="N123" i="26" s="1"/>
  <c r="O123" i="26" s="1"/>
  <c r="L288" i="27"/>
  <c r="M288" i="27" s="1"/>
  <c r="N288" i="27" s="1"/>
  <c r="O288" i="27" s="1"/>
  <c r="L311" i="27"/>
  <c r="M311" i="27" s="1"/>
  <c r="N311" i="27" s="1"/>
  <c r="O311" i="27" s="1"/>
  <c r="L352" i="27"/>
  <c r="L673" i="27"/>
  <c r="M673" i="27" s="1"/>
  <c r="N673" i="27" s="1"/>
  <c r="O673" i="27" s="1"/>
  <c r="L1242" i="27"/>
  <c r="M1242" i="27" s="1"/>
  <c r="N1242" i="27" s="1"/>
  <c r="O1242" i="27" s="1"/>
  <c r="L235" i="28"/>
  <c r="M235" i="28" s="1"/>
  <c r="N235" i="28" s="1"/>
  <c r="O235" i="28" s="1"/>
  <c r="K101" i="32"/>
  <c r="L101" i="32" s="1"/>
  <c r="M101" i="32" s="1"/>
  <c r="N101" i="32" s="1"/>
  <c r="O101" i="32" s="1"/>
  <c r="K388" i="32"/>
  <c r="K430" i="32"/>
  <c r="L430" i="32" s="1"/>
  <c r="M430" i="32" s="1"/>
  <c r="N430" i="32" s="1"/>
  <c r="O430" i="32" s="1"/>
  <c r="L960" i="27"/>
  <c r="M960" i="27" s="1"/>
  <c r="N960" i="27" s="1"/>
  <c r="O960" i="27" s="1"/>
  <c r="L119" i="27"/>
  <c r="L355" i="27"/>
  <c r="M355" i="27" s="1"/>
  <c r="N355" i="27" s="1"/>
  <c r="O355" i="27" s="1"/>
  <c r="L916" i="27"/>
  <c r="M916" i="27" s="1"/>
  <c r="N916" i="27" s="1"/>
  <c r="O916" i="27" s="1"/>
  <c r="L299" i="32"/>
  <c r="M299" i="32" s="1"/>
  <c r="N299" i="32" s="1"/>
  <c r="O299" i="32" s="1"/>
  <c r="L298" i="27"/>
  <c r="M298" i="27" s="1"/>
  <c r="N298" i="27" s="1"/>
  <c r="O298" i="27" s="1"/>
  <c r="L919" i="27"/>
  <c r="M919" i="27" s="1"/>
  <c r="N919" i="27" s="1"/>
  <c r="O919" i="27" s="1"/>
  <c r="L231" i="28"/>
  <c r="M231" i="28" s="1"/>
  <c r="N231" i="28" s="1"/>
  <c r="O231" i="28" s="1"/>
  <c r="L121" i="27"/>
  <c r="M121" i="27" s="1"/>
  <c r="N121" i="27" s="1"/>
  <c r="O121" i="27" s="1"/>
  <c r="L263" i="27"/>
  <c r="M263" i="27" s="1"/>
  <c r="N263" i="27" s="1"/>
  <c r="O263" i="27" s="1"/>
  <c r="L300" i="27"/>
  <c r="M300" i="27" s="1"/>
  <c r="N300" i="27" s="1"/>
  <c r="O300" i="27" s="1"/>
  <c r="P618" i="27"/>
  <c r="L1245" i="27"/>
  <c r="M1245" i="27" s="1"/>
  <c r="N1245" i="27" s="1"/>
  <c r="O1245" i="27" s="1"/>
  <c r="K274" i="32"/>
  <c r="K354" i="32"/>
  <c r="L354" i="32" s="1"/>
  <c r="M354" i="32" s="1"/>
  <c r="N354" i="32" s="1"/>
  <c r="O354" i="32" s="1"/>
  <c r="K392" i="32"/>
  <c r="L392" i="32" s="1"/>
  <c r="M392" i="32" s="1"/>
  <c r="N392" i="32" s="1"/>
  <c r="O392" i="32" s="1"/>
  <c r="L148" i="26"/>
  <c r="M148" i="26" s="1"/>
  <c r="N148" i="26" s="1"/>
  <c r="O148" i="26" s="1"/>
  <c r="L255" i="27"/>
  <c r="M255" i="27" s="1"/>
  <c r="N255" i="27" s="1"/>
  <c r="O255" i="27" s="1"/>
  <c r="L1248" i="27"/>
  <c r="M1248" i="27" s="1"/>
  <c r="N1248" i="27" s="1"/>
  <c r="O1248" i="27" s="1"/>
  <c r="L1300" i="27"/>
  <c r="M1300" i="27" s="1"/>
  <c r="N1300" i="27" s="1"/>
  <c r="O1300" i="27" s="1"/>
  <c r="L205" i="28"/>
  <c r="L150" i="26"/>
  <c r="M150" i="26" s="1"/>
  <c r="N150" i="26" s="1"/>
  <c r="O150" i="26" s="1"/>
  <c r="L278" i="27"/>
  <c r="M278" i="27" s="1"/>
  <c r="N278" i="27" s="1"/>
  <c r="O278" i="27" s="1"/>
  <c r="L313" i="27"/>
  <c r="M313" i="27" s="1"/>
  <c r="N313" i="27" s="1"/>
  <c r="O313" i="27" s="1"/>
  <c r="L353" i="27"/>
  <c r="M353" i="27" s="1"/>
  <c r="N353" i="27" s="1"/>
  <c r="O353" i="27" s="1"/>
  <c r="L69" i="30"/>
  <c r="M69" i="30" s="1"/>
  <c r="N69" i="30" s="1"/>
  <c r="O69" i="30" s="1"/>
  <c r="K168" i="32"/>
  <c r="L168" i="32" s="1"/>
  <c r="K277" i="32"/>
  <c r="L277" i="32" s="1"/>
  <c r="M277" i="32" s="1"/>
  <c r="N277" i="32" s="1"/>
  <c r="O277" i="32" s="1"/>
  <c r="K320" i="32"/>
  <c r="L320" i="32" s="1"/>
  <c r="M320" i="32" s="1"/>
  <c r="N320" i="32" s="1"/>
  <c r="O320" i="32" s="1"/>
  <c r="K357" i="32"/>
  <c r="L357" i="32" s="1"/>
  <c r="M357" i="32" s="1"/>
  <c r="N357" i="32" s="1"/>
  <c r="O357" i="32" s="1"/>
  <c r="L286" i="27"/>
  <c r="M286" i="27" s="1"/>
  <c r="N286" i="27" s="1"/>
  <c r="O286" i="27" s="1"/>
  <c r="L189" i="26"/>
  <c r="M189" i="26" s="1"/>
  <c r="N189" i="26" s="1"/>
  <c r="O189" i="26" s="1"/>
  <c r="L114" i="27"/>
  <c r="M114" i="27" s="1"/>
  <c r="N114" i="27" s="1"/>
  <c r="O114" i="27" s="1"/>
  <c r="L256" i="27"/>
  <c r="M256" i="27" s="1"/>
  <c r="N256" i="27" s="1"/>
  <c r="O256" i="27" s="1"/>
  <c r="P625" i="27"/>
  <c r="L956" i="27"/>
  <c r="M956" i="27" s="1"/>
  <c r="N956" i="27" s="1"/>
  <c r="O956" i="27" s="1"/>
  <c r="K80" i="32"/>
  <c r="L80" i="32" s="1"/>
  <c r="K132" i="32"/>
  <c r="L132" i="32" s="1"/>
  <c r="M132" i="32" s="1"/>
  <c r="N132" i="32" s="1"/>
  <c r="O132" i="32" s="1"/>
  <c r="K322" i="32"/>
  <c r="L322" i="32" s="1"/>
  <c r="M322" i="32" s="1"/>
  <c r="N322" i="32" s="1"/>
  <c r="O322" i="32" s="1"/>
  <c r="L512" i="32"/>
  <c r="M512" i="32" s="1"/>
  <c r="N512" i="32" s="1"/>
  <c r="O512" i="32" s="1"/>
  <c r="K508" i="32"/>
  <c r="L508" i="32" s="1"/>
  <c r="M508" i="32" s="1"/>
  <c r="N508" i="32" s="1"/>
  <c r="O508" i="32" s="1"/>
  <c r="L511" i="32"/>
  <c r="M511" i="32" s="1"/>
  <c r="N511" i="32" s="1"/>
  <c r="O511" i="32" s="1"/>
  <c r="K507" i="32"/>
  <c r="L507" i="32" s="1"/>
  <c r="M507" i="32" s="1"/>
  <c r="N507" i="32" s="1"/>
  <c r="O507" i="32" s="1"/>
  <c r="L296" i="32"/>
  <c r="M296" i="32" s="1"/>
  <c r="N296" i="32" s="1"/>
  <c r="O296" i="32" s="1"/>
  <c r="K467" i="32"/>
  <c r="K88" i="32"/>
  <c r="L88" i="32" s="1"/>
  <c r="M88" i="32" s="1"/>
  <c r="N88" i="32" s="1"/>
  <c r="O88" i="32" s="1"/>
  <c r="K425" i="32"/>
  <c r="L425" i="32" s="1"/>
  <c r="M425" i="32" s="1"/>
  <c r="N425" i="32" s="1"/>
  <c r="O425" i="32" s="1"/>
  <c r="K428" i="32"/>
  <c r="L428" i="32" s="1"/>
  <c r="M428" i="32" s="1"/>
  <c r="N428" i="32" s="1"/>
  <c r="O428" i="32" s="1"/>
  <c r="K431" i="32"/>
  <c r="L431" i="32" s="1"/>
  <c r="M431" i="32" s="1"/>
  <c r="N431" i="32" s="1"/>
  <c r="O431" i="32" s="1"/>
  <c r="K275" i="32"/>
  <c r="L275" i="32" s="1"/>
  <c r="M275" i="32" s="1"/>
  <c r="N275" i="32" s="1"/>
  <c r="O275" i="32" s="1"/>
  <c r="K323" i="32"/>
  <c r="L323" i="32" s="1"/>
  <c r="M323" i="32" s="1"/>
  <c r="N323" i="32" s="1"/>
  <c r="O323" i="32" s="1"/>
  <c r="K356" i="32"/>
  <c r="L356" i="32" s="1"/>
  <c r="M356" i="32" s="1"/>
  <c r="N356" i="32" s="1"/>
  <c r="O356" i="32" s="1"/>
  <c r="K393" i="32"/>
  <c r="L393" i="32" s="1"/>
  <c r="M393" i="32" s="1"/>
  <c r="N393" i="32" s="1"/>
  <c r="O393" i="32" s="1"/>
  <c r="K136" i="32"/>
  <c r="L136" i="32" s="1"/>
  <c r="M136" i="32" s="1"/>
  <c r="N136" i="32" s="1"/>
  <c r="O136" i="32" s="1"/>
  <c r="K461" i="32"/>
  <c r="L461" i="32" s="1"/>
  <c r="M461" i="32" s="1"/>
  <c r="N461" i="32" s="1"/>
  <c r="O461" i="32" s="1"/>
  <c r="K367" i="32"/>
  <c r="L367" i="32" s="1"/>
  <c r="M367" i="32" s="1"/>
  <c r="N367" i="32" s="1"/>
  <c r="O367" i="32" s="1"/>
  <c r="K134" i="32"/>
  <c r="L134" i="32" s="1"/>
  <c r="M134" i="32" s="1"/>
  <c r="N134" i="32" s="1"/>
  <c r="O134" i="32" s="1"/>
  <c r="K426" i="32"/>
  <c r="L426" i="32" s="1"/>
  <c r="M426" i="32" s="1"/>
  <c r="N426" i="32" s="1"/>
  <c r="O426" i="32" s="1"/>
  <c r="K429" i="32"/>
  <c r="L429" i="32" s="1"/>
  <c r="M429" i="32" s="1"/>
  <c r="N429" i="32" s="1"/>
  <c r="O429" i="32" s="1"/>
  <c r="L68" i="31"/>
  <c r="M68" i="31" s="1"/>
  <c r="L106" i="30"/>
  <c r="L68" i="30"/>
  <c r="M68" i="30" s="1"/>
  <c r="N68" i="30" s="1"/>
  <c r="O68" i="30" s="1"/>
  <c r="L95" i="30"/>
  <c r="M95" i="30" s="1"/>
  <c r="N95" i="30" s="1"/>
  <c r="O95" i="30" s="1"/>
  <c r="L78" i="29"/>
  <c r="M78" i="29" s="1"/>
  <c r="N78" i="29" s="1"/>
  <c r="O78" i="29" s="1"/>
  <c r="L79" i="29"/>
  <c r="M79" i="29" s="1"/>
  <c r="N79" i="29" s="1"/>
  <c r="O79" i="29" s="1"/>
  <c r="L80" i="29"/>
  <c r="M80" i="29" s="1"/>
  <c r="N80" i="29" s="1"/>
  <c r="O80" i="29" s="1"/>
  <c r="L187" i="28"/>
  <c r="L230" i="28"/>
  <c r="M230" i="28" s="1"/>
  <c r="N230" i="28" s="1"/>
  <c r="O230" i="28" s="1"/>
  <c r="L226" i="28"/>
  <c r="L234" i="28"/>
  <c r="M234" i="28" s="1"/>
  <c r="N234" i="28" s="1"/>
  <c r="O234" i="28" s="1"/>
  <c r="L188" i="28"/>
  <c r="M188" i="28" s="1"/>
  <c r="N188" i="28" s="1"/>
  <c r="O188" i="28" s="1"/>
  <c r="L214" i="28"/>
  <c r="M214" i="28" s="1"/>
  <c r="N214" i="28" s="1"/>
  <c r="O214" i="28" s="1"/>
  <c r="L227" i="28"/>
  <c r="M227" i="28" s="1"/>
  <c r="N227" i="28" s="1"/>
  <c r="O227" i="28" s="1"/>
  <c r="L157" i="28"/>
  <c r="M157" i="28" s="1"/>
  <c r="N157" i="28" s="1"/>
  <c r="O157" i="28" s="1"/>
  <c r="L179" i="28"/>
  <c r="M179" i="28" s="1"/>
  <c r="N179" i="28" s="1"/>
  <c r="O179" i="28" s="1"/>
  <c r="L192" i="28"/>
  <c r="M192" i="28" s="1"/>
  <c r="N192" i="28" s="1"/>
  <c r="O192" i="28" s="1"/>
  <c r="L232" i="28"/>
  <c r="M232" i="28" s="1"/>
  <c r="N232" i="28" s="1"/>
  <c r="O232" i="28" s="1"/>
  <c r="L237" i="28"/>
  <c r="L206" i="28"/>
  <c r="M206" i="28" s="1"/>
  <c r="N206" i="28" s="1"/>
  <c r="O206" i="28" s="1"/>
  <c r="L229" i="28"/>
  <c r="M229" i="28" s="1"/>
  <c r="N229" i="28" s="1"/>
  <c r="O229" i="28" s="1"/>
  <c r="L1266" i="27"/>
  <c r="M1266" i="27" s="1"/>
  <c r="N1266" i="27" s="1"/>
  <c r="O1266" i="27" s="1"/>
  <c r="L1265" i="27"/>
  <c r="M1265" i="27" s="1"/>
  <c r="N1265" i="27" s="1"/>
  <c r="O1265" i="27" s="1"/>
  <c r="L1272" i="27"/>
  <c r="M1272" i="27" s="1"/>
  <c r="N1272" i="27" s="1"/>
  <c r="O1272" i="27" s="1"/>
  <c r="L1268" i="27"/>
  <c r="M1268" i="27" s="1"/>
  <c r="N1268" i="27" s="1"/>
  <c r="O1268" i="27" s="1"/>
  <c r="L1269" i="27"/>
  <c r="M1269" i="27" s="1"/>
  <c r="N1269" i="27" s="1"/>
  <c r="O1269" i="27" s="1"/>
  <c r="L1271" i="27"/>
  <c r="M1271" i="27" s="1"/>
  <c r="N1271" i="27" s="1"/>
  <c r="O1271" i="27" s="1"/>
  <c r="L1267" i="27"/>
  <c r="M1267" i="27" s="1"/>
  <c r="N1267" i="27" s="1"/>
  <c r="O1267" i="27" s="1"/>
  <c r="G462" i="27"/>
  <c r="L1270" i="27"/>
  <c r="M1270" i="27" s="1"/>
  <c r="N1270" i="27" s="1"/>
  <c r="O1270" i="27" s="1"/>
  <c r="G1058" i="27"/>
  <c r="G1059" i="27" s="1"/>
  <c r="G1060" i="27" s="1"/>
  <c r="G1061" i="27" s="1"/>
  <c r="G1062" i="27" s="1"/>
  <c r="M1028" i="27"/>
  <c r="N1028" i="27" s="1"/>
  <c r="O1028" i="27" s="1"/>
  <c r="L262" i="27"/>
  <c r="M262" i="27" s="1"/>
  <c r="N262" i="27" s="1"/>
  <c r="O262" i="27" s="1"/>
  <c r="L289" i="27"/>
  <c r="M289" i="27" s="1"/>
  <c r="N289" i="27" s="1"/>
  <c r="O289" i="27" s="1"/>
  <c r="P619" i="27"/>
  <c r="L862" i="27"/>
  <c r="M862" i="27" s="1"/>
  <c r="N862" i="27" s="1"/>
  <c r="O862" i="27" s="1"/>
  <c r="L122" i="27"/>
  <c r="M122" i="27" s="1"/>
  <c r="N122" i="27" s="1"/>
  <c r="O122" i="27" s="1"/>
  <c r="L938" i="27"/>
  <c r="M938" i="27" s="1"/>
  <c r="N938" i="27" s="1"/>
  <c r="O938" i="27" s="1"/>
  <c r="M1026" i="27"/>
  <c r="N1026" i="27" s="1"/>
  <c r="O1026" i="27" s="1"/>
  <c r="L1252" i="27"/>
  <c r="M1252" i="27" s="1"/>
  <c r="N1252" i="27" s="1"/>
  <c r="O1252" i="27" s="1"/>
  <c r="L1249" i="27"/>
  <c r="M1249" i="27" s="1"/>
  <c r="N1249" i="27" s="1"/>
  <c r="O1249" i="27" s="1"/>
  <c r="L1246" i="27"/>
  <c r="M1246" i="27" s="1"/>
  <c r="N1246" i="27" s="1"/>
  <c r="O1246" i="27" s="1"/>
  <c r="L1243" i="27"/>
  <c r="M1243" i="27" s="1"/>
  <c r="N1243" i="27" s="1"/>
  <c r="O1243" i="27" s="1"/>
  <c r="I1117" i="27"/>
  <c r="I1099" i="27"/>
  <c r="L939" i="27"/>
  <c r="M939" i="27" s="1"/>
  <c r="N939" i="27" s="1"/>
  <c r="O939" i="27" s="1"/>
  <c r="L936" i="27"/>
  <c r="M936" i="27" s="1"/>
  <c r="N936" i="27" s="1"/>
  <c r="O936" i="27" s="1"/>
  <c r="L899" i="27"/>
  <c r="M899" i="27" s="1"/>
  <c r="N899" i="27" s="1"/>
  <c r="O899" i="27" s="1"/>
  <c r="L1051" i="27"/>
  <c r="M1051" i="27" s="1"/>
  <c r="N1051" i="27" s="1"/>
  <c r="O1051" i="27" s="1"/>
  <c r="H1013" i="27"/>
  <c r="L973" i="27"/>
  <c r="M973" i="27" s="1"/>
  <c r="N973" i="27" s="1"/>
  <c r="O973" i="27" s="1"/>
  <c r="P626" i="27"/>
  <c r="P623" i="27"/>
  <c r="P620" i="27"/>
  <c r="I1200" i="27"/>
  <c r="I1178" i="27"/>
  <c r="G1036" i="27"/>
  <c r="G1037" i="27" s="1"/>
  <c r="G1038" i="27" s="1"/>
  <c r="G1039" i="27" s="1"/>
  <c r="G1040" i="27" s="1"/>
  <c r="L674" i="27"/>
  <c r="M674" i="27" s="1"/>
  <c r="N674" i="27" s="1"/>
  <c r="O674" i="27" s="1"/>
  <c r="I644" i="27"/>
  <c r="I645" i="27" s="1"/>
  <c r="I646" i="27" s="1"/>
  <c r="I1210" i="27"/>
  <c r="L958" i="27"/>
  <c r="M958" i="27" s="1"/>
  <c r="N958" i="27" s="1"/>
  <c r="O958" i="27" s="1"/>
  <c r="L1244" i="27"/>
  <c r="M1244" i="27" s="1"/>
  <c r="N1244" i="27" s="1"/>
  <c r="O1244" i="27" s="1"/>
  <c r="H999" i="27"/>
  <c r="L957" i="27"/>
  <c r="M957" i="27" s="1"/>
  <c r="N957" i="27" s="1"/>
  <c r="O957" i="27" s="1"/>
  <c r="L901" i="27"/>
  <c r="M901" i="27" s="1"/>
  <c r="N901" i="27" s="1"/>
  <c r="O901" i="27" s="1"/>
  <c r="L864" i="27"/>
  <c r="M864" i="27" s="1"/>
  <c r="N864" i="27" s="1"/>
  <c r="O864" i="27" s="1"/>
  <c r="P621" i="27"/>
  <c r="L918" i="27"/>
  <c r="M918" i="27" s="1"/>
  <c r="N918" i="27" s="1"/>
  <c r="O918" i="27" s="1"/>
  <c r="L341" i="27"/>
  <c r="M341" i="27" s="1"/>
  <c r="N341" i="27" s="1"/>
  <c r="O341" i="27" s="1"/>
  <c r="L274" i="27"/>
  <c r="M274" i="27" s="1"/>
  <c r="N274" i="27" s="1"/>
  <c r="O274" i="27" s="1"/>
  <c r="L1251" i="27"/>
  <c r="M1251" i="27" s="1"/>
  <c r="N1251" i="27" s="1"/>
  <c r="O1251" i="27" s="1"/>
  <c r="I1088" i="27"/>
  <c r="H1066" i="27"/>
  <c r="L1032" i="27"/>
  <c r="M1032" i="27" s="1"/>
  <c r="N1032" i="27" s="1"/>
  <c r="O1032" i="27" s="1"/>
  <c r="I1144" i="27"/>
  <c r="P622" i="27"/>
  <c r="G1044" i="27"/>
  <c r="L321" i="27"/>
  <c r="M321" i="27" s="1"/>
  <c r="N321" i="27" s="1"/>
  <c r="O321" i="27" s="1"/>
  <c r="L276" i="27"/>
  <c r="M276" i="27" s="1"/>
  <c r="N276" i="27" s="1"/>
  <c r="O276" i="27" s="1"/>
  <c r="L1250" i="27"/>
  <c r="M1250" i="27" s="1"/>
  <c r="N1250" i="27" s="1"/>
  <c r="O1250" i="27" s="1"/>
  <c r="L1008" i="27"/>
  <c r="M1008" i="27" s="1"/>
  <c r="N1008" i="27" s="1"/>
  <c r="O1008" i="27" s="1"/>
  <c r="L937" i="27"/>
  <c r="M937" i="27" s="1"/>
  <c r="N937" i="27" s="1"/>
  <c r="O937" i="27" s="1"/>
  <c r="L863" i="27"/>
  <c r="M863" i="27" s="1"/>
  <c r="N863" i="27" s="1"/>
  <c r="O863" i="27" s="1"/>
  <c r="L1247" i="27"/>
  <c r="M1247" i="27" s="1"/>
  <c r="N1247" i="27" s="1"/>
  <c r="O1247" i="27" s="1"/>
  <c r="I1153" i="27"/>
  <c r="L257" i="27"/>
  <c r="M257" i="27" s="1"/>
  <c r="N257" i="27" s="1"/>
  <c r="O257" i="27" s="1"/>
  <c r="L265" i="27"/>
  <c r="M265" i="27" s="1"/>
  <c r="N265" i="27" s="1"/>
  <c r="O265" i="27" s="1"/>
  <c r="L336" i="27"/>
  <c r="M336" i="27" s="1"/>
  <c r="N336" i="27" s="1"/>
  <c r="O336" i="27" s="1"/>
  <c r="L898" i="27"/>
  <c r="M898" i="27" s="1"/>
  <c r="N898" i="27" s="1"/>
  <c r="O898" i="27" s="1"/>
  <c r="M1027" i="27"/>
  <c r="N1027" i="27" s="1"/>
  <c r="O1027" i="27" s="1"/>
  <c r="M1029" i="27"/>
  <c r="N1029" i="27" s="1"/>
  <c r="O1029" i="27" s="1"/>
  <c r="L128" i="27"/>
  <c r="M128" i="27" s="1"/>
  <c r="N128" i="27" s="1"/>
  <c r="O128" i="27" s="1"/>
  <c r="L156" i="27"/>
  <c r="M156" i="27" s="1"/>
  <c r="N156" i="27" s="1"/>
  <c r="O156" i="27" s="1"/>
  <c r="L342" i="27"/>
  <c r="M342" i="27" s="1"/>
  <c r="N342" i="27" s="1"/>
  <c r="O342" i="27" s="1"/>
  <c r="I1169" i="27"/>
  <c r="W789" i="27"/>
  <c r="X789" i="27" s="1"/>
  <c r="L900" i="27"/>
  <c r="M900" i="27" s="1"/>
  <c r="N900" i="27" s="1"/>
  <c r="O900" i="27" s="1"/>
  <c r="I1128" i="27"/>
  <c r="L1253" i="27"/>
  <c r="M1253" i="27" s="1"/>
  <c r="N1253" i="27" s="1"/>
  <c r="O1253" i="27" s="1"/>
  <c r="M59" i="26"/>
  <c r="G93" i="70" s="1"/>
  <c r="L188" i="26"/>
  <c r="L59" i="26"/>
  <c r="F93" i="70" s="1"/>
  <c r="L124" i="26"/>
  <c r="M124" i="26" s="1"/>
  <c r="N124" i="26" s="1"/>
  <c r="O124" i="26" s="1"/>
  <c r="P159" i="26"/>
  <c r="R157" i="26" s="1"/>
  <c r="L122" i="26"/>
  <c r="M122" i="26" s="1"/>
  <c r="N122" i="26" s="1"/>
  <c r="O122" i="26" s="1"/>
  <c r="AA37" i="70" l="1"/>
  <c r="Q37" i="70"/>
  <c r="I41" i="70"/>
  <c r="AA36" i="70"/>
  <c r="Q36" i="70"/>
  <c r="Q41" i="70"/>
  <c r="AA41" i="70"/>
  <c r="Z41" i="70"/>
  <c r="O41" i="70"/>
  <c r="Z93" i="70"/>
  <c r="O93" i="70"/>
  <c r="Y93" i="70"/>
  <c r="M93" i="70"/>
  <c r="O87" i="33"/>
  <c r="I35" i="70"/>
  <c r="N75" i="37"/>
  <c r="Q38" i="70"/>
  <c r="AA38" i="70"/>
  <c r="I38" i="70"/>
  <c r="O75" i="37"/>
  <c r="O612" i="27"/>
  <c r="N612" i="27"/>
  <c r="N633" i="27"/>
  <c r="P624" i="27"/>
  <c r="P617" i="27"/>
  <c r="R607" i="27"/>
  <c r="R610" i="27" s="1"/>
  <c r="L76" i="28"/>
  <c r="L78" i="28" s="1"/>
  <c r="L43" i="28" s="1"/>
  <c r="K521" i="32"/>
  <c r="K219" i="32" s="1"/>
  <c r="K224" i="32" s="1"/>
  <c r="K43" i="32" s="1"/>
  <c r="P612" i="27"/>
  <c r="L93" i="72"/>
  <c r="Q93" i="72" s="1"/>
  <c r="X791" i="27"/>
  <c r="L506" i="32"/>
  <c r="L521" i="32" s="1"/>
  <c r="L219" i="32" s="1"/>
  <c r="L224" i="32" s="1"/>
  <c r="L43" i="32" s="1"/>
  <c r="N44" i="72"/>
  <c r="S44" i="72" s="1"/>
  <c r="L67" i="30"/>
  <c r="K465" i="32"/>
  <c r="K142" i="32" s="1"/>
  <c r="L189" i="28"/>
  <c r="M189" i="28" s="1"/>
  <c r="N189" i="28" s="1"/>
  <c r="O189" i="28" s="1"/>
  <c r="L95" i="72"/>
  <c r="Q95" i="72" s="1"/>
  <c r="K34" i="72"/>
  <c r="P34" i="72" s="1"/>
  <c r="M93" i="72"/>
  <c r="R93" i="72" s="1"/>
  <c r="N93" i="72"/>
  <c r="S93" i="72" s="1"/>
  <c r="M69" i="31"/>
  <c r="M22" i="31" s="1"/>
  <c r="N68" i="31"/>
  <c r="L164" i="28"/>
  <c r="K415" i="32"/>
  <c r="K416" i="32" s="1"/>
  <c r="K163" i="32" s="1"/>
  <c r="L103" i="28"/>
  <c r="L104" i="28" s="1"/>
  <c r="L45" i="28" s="1"/>
  <c r="K445" i="32"/>
  <c r="L445" i="32" s="1"/>
  <c r="L173" i="27"/>
  <c r="K245" i="32"/>
  <c r="K52" i="32" s="1"/>
  <c r="K438" i="32"/>
  <c r="L438" i="32" s="1"/>
  <c r="L247" i="27"/>
  <c r="L82" i="27" s="1"/>
  <c r="L69" i="31"/>
  <c r="L22" i="31" s="1"/>
  <c r="K310" i="32"/>
  <c r="L310" i="32" s="1"/>
  <c r="K344" i="32"/>
  <c r="M168" i="32"/>
  <c r="N168" i="32" s="1"/>
  <c r="O168" i="32" s="1"/>
  <c r="K315" i="32"/>
  <c r="K319" i="32"/>
  <c r="L87" i="32"/>
  <c r="K170" i="32"/>
  <c r="K282" i="32"/>
  <c r="K89" i="32" s="1"/>
  <c r="L274" i="32"/>
  <c r="K434" i="32"/>
  <c r="K228" i="32" s="1"/>
  <c r="K229" i="32" s="1"/>
  <c r="K49" i="32" s="1"/>
  <c r="L421" i="32"/>
  <c r="K395" i="32"/>
  <c r="L388" i="32"/>
  <c r="M266" i="32"/>
  <c r="N266" i="32" s="1"/>
  <c r="O266" i="32" s="1"/>
  <c r="K361" i="32"/>
  <c r="K441" i="32"/>
  <c r="K370" i="32"/>
  <c r="K102" i="32" s="1"/>
  <c r="K103" i="32" s="1"/>
  <c r="K33" i="32" s="1"/>
  <c r="L366" i="32"/>
  <c r="K305" i="32"/>
  <c r="K90" i="32" s="1"/>
  <c r="L287" i="32"/>
  <c r="K267" i="32"/>
  <c r="M100" i="32"/>
  <c r="N100" i="32" s="1"/>
  <c r="O100" i="32" s="1"/>
  <c r="L159" i="32"/>
  <c r="K407" i="32"/>
  <c r="K131" i="32"/>
  <c r="K468" i="32"/>
  <c r="K143" i="32" s="1"/>
  <c r="L467" i="32"/>
  <c r="L459" i="32"/>
  <c r="L465" i="32" s="1"/>
  <c r="M80" i="32"/>
  <c r="N80" i="32" s="1"/>
  <c r="O80" i="32" s="1"/>
  <c r="K375" i="32"/>
  <c r="K353" i="32"/>
  <c r="L107" i="32"/>
  <c r="L107" i="30"/>
  <c r="L75" i="30" s="1"/>
  <c r="L76" i="30" s="1"/>
  <c r="L26" i="30" s="1"/>
  <c r="M106" i="30"/>
  <c r="L82" i="29"/>
  <c r="L53" i="29" s="1"/>
  <c r="L54" i="29" s="1"/>
  <c r="L27" i="29" s="1"/>
  <c r="L34" i="29" s="1"/>
  <c r="F31" i="70" s="1"/>
  <c r="L200" i="28"/>
  <c r="L191" i="28"/>
  <c r="M191" i="28" s="1"/>
  <c r="N191" i="28" s="1"/>
  <c r="O191" i="28" s="1"/>
  <c r="M237" i="28"/>
  <c r="L242" i="28"/>
  <c r="L244" i="28" s="1"/>
  <c r="L130" i="28" s="1"/>
  <c r="M205" i="28"/>
  <c r="L207" i="28"/>
  <c r="L71" i="28" s="1"/>
  <c r="L72" i="28" s="1"/>
  <c r="L42" i="28" s="1"/>
  <c r="L239" i="28"/>
  <c r="L125" i="28" s="1"/>
  <c r="M226" i="28"/>
  <c r="N226" i="28" s="1"/>
  <c r="O226" i="28" s="1"/>
  <c r="M187" i="28"/>
  <c r="N187" i="28" s="1"/>
  <c r="O187" i="28" s="1"/>
  <c r="M82" i="28"/>
  <c r="N82" i="28" s="1"/>
  <c r="O82" i="28" s="1"/>
  <c r="H1000" i="27"/>
  <c r="H1001" i="27" s="1"/>
  <c r="H1002" i="27" s="1"/>
  <c r="I1179" i="27"/>
  <c r="I1180" i="27" s="1"/>
  <c r="I1181" i="27" s="1"/>
  <c r="I1182" i="27" s="1"/>
  <c r="I1183" i="27" s="1"/>
  <c r="L155" i="27"/>
  <c r="L150" i="27"/>
  <c r="M150" i="27" s="1"/>
  <c r="N150" i="27" s="1"/>
  <c r="O150" i="27" s="1"/>
  <c r="L273" i="27"/>
  <c r="L309" i="27"/>
  <c r="M309" i="27" s="1"/>
  <c r="N309" i="27" s="1"/>
  <c r="O309" i="27" s="1"/>
  <c r="L189" i="27"/>
  <c r="L69" i="27" s="1"/>
  <c r="H1067" i="27"/>
  <c r="H1068" i="27" s="1"/>
  <c r="H1069" i="27" s="1"/>
  <c r="H1070" i="27" s="1"/>
  <c r="H1071" i="27" s="1"/>
  <c r="M149" i="27"/>
  <c r="N149" i="27" s="1"/>
  <c r="O149" i="27" s="1"/>
  <c r="I1089" i="27"/>
  <c r="I1090" i="27" s="1"/>
  <c r="I1091" i="27" s="1"/>
  <c r="I1092" i="27" s="1"/>
  <c r="I1093" i="27" s="1"/>
  <c r="H991" i="27"/>
  <c r="H992" i="27" s="1"/>
  <c r="H993" i="27" s="1"/>
  <c r="G463" i="27"/>
  <c r="M127" i="27"/>
  <c r="L129" i="27"/>
  <c r="L30" i="27" s="1"/>
  <c r="I1118" i="27"/>
  <c r="I1119" i="27" s="1"/>
  <c r="I1120" i="27" s="1"/>
  <c r="I1121" i="27" s="1"/>
  <c r="I1122" i="27" s="1"/>
  <c r="L797" i="27"/>
  <c r="L279" i="27"/>
  <c r="M279" i="27" s="1"/>
  <c r="N279" i="27" s="1"/>
  <c r="O279" i="27" s="1"/>
  <c r="I1201" i="27"/>
  <c r="I1202" i="27" s="1"/>
  <c r="I1203" i="27" s="1"/>
  <c r="I1204" i="27" s="1"/>
  <c r="I1205" i="27" s="1"/>
  <c r="M308" i="27"/>
  <c r="N308" i="27" s="1"/>
  <c r="O308" i="27" s="1"/>
  <c r="I1170" i="27"/>
  <c r="I1171" i="27" s="1"/>
  <c r="I1172" i="27" s="1"/>
  <c r="I1173" i="27" s="1"/>
  <c r="I1174" i="27" s="1"/>
  <c r="I1145" i="27"/>
  <c r="I1146" i="27" s="1"/>
  <c r="I1147" i="27" s="1"/>
  <c r="I1148" i="27" s="1"/>
  <c r="I1149" i="27" s="1"/>
  <c r="I1211" i="27"/>
  <c r="I1212" i="27" s="1"/>
  <c r="I1213" i="27" s="1"/>
  <c r="I1214" i="27" s="1"/>
  <c r="I1215" i="27" s="1"/>
  <c r="L1264" i="27"/>
  <c r="I1129" i="27"/>
  <c r="I1130" i="27" s="1"/>
  <c r="I1131" i="27" s="1"/>
  <c r="I1132" i="27" s="1"/>
  <c r="I1133" i="27" s="1"/>
  <c r="I1154" i="27"/>
  <c r="I1155" i="27" s="1"/>
  <c r="I1156" i="27" s="1"/>
  <c r="I1157" i="27" s="1"/>
  <c r="I1158" i="27" s="1"/>
  <c r="L113" i="27"/>
  <c r="I1100" i="27"/>
  <c r="I1101" i="27" s="1"/>
  <c r="I1102" i="27" s="1"/>
  <c r="I1103" i="27" s="1"/>
  <c r="I1104" i="27" s="1"/>
  <c r="H1014" i="27"/>
  <c r="H1015" i="27" s="1"/>
  <c r="H1016" i="27" s="1"/>
  <c r="H1017" i="27" s="1"/>
  <c r="H1018" i="27" s="1"/>
  <c r="G1045" i="27"/>
  <c r="G1046" i="27" s="1"/>
  <c r="G1047" i="27" s="1"/>
  <c r="G1048" i="27" s="1"/>
  <c r="G1049" i="27" s="1"/>
  <c r="L335" i="27"/>
  <c r="M352" i="27"/>
  <c r="M119" i="27"/>
  <c r="N119" i="27" s="1"/>
  <c r="O119" i="27" s="1"/>
  <c r="M188" i="26"/>
  <c r="L190" i="26"/>
  <c r="L97" i="26" s="1"/>
  <c r="L98" i="26" s="1"/>
  <c r="L33" i="26" s="1"/>
  <c r="L143" i="26"/>
  <c r="L157" i="26" s="1"/>
  <c r="R154" i="26"/>
  <c r="M31" i="70" l="1"/>
  <c r="Y31" i="70"/>
  <c r="N352" i="27"/>
  <c r="N358" i="27" s="1"/>
  <c r="O196" i="28"/>
  <c r="O93" i="28" s="1"/>
  <c r="O94" i="28" s="1"/>
  <c r="O40" i="28" s="1"/>
  <c r="L415" i="32"/>
  <c r="K137" i="32"/>
  <c r="K138" i="32" s="1"/>
  <c r="K35" i="32" s="1"/>
  <c r="R395" i="32"/>
  <c r="N69" i="31"/>
  <c r="N22" i="31" s="1"/>
  <c r="O68" i="31"/>
  <c r="O69" i="31" s="1"/>
  <c r="O22" i="31" s="1"/>
  <c r="S100" i="31"/>
  <c r="S106" i="31" s="1"/>
  <c r="P100" i="31"/>
  <c r="M1060" i="27"/>
  <c r="O151" i="27"/>
  <c r="O37" i="27" s="1"/>
  <c r="O633" i="27"/>
  <c r="N58" i="27"/>
  <c r="O352" i="27"/>
  <c r="O358" i="27" s="1"/>
  <c r="O58" i="27" s="1"/>
  <c r="Q625" i="27"/>
  <c r="R625" i="27"/>
  <c r="Q619" i="27"/>
  <c r="R619" i="27"/>
  <c r="R618" i="27"/>
  <c r="Q618" i="27"/>
  <c r="R620" i="27"/>
  <c r="Q620" i="27"/>
  <c r="Q617" i="27"/>
  <c r="R617" i="27"/>
  <c r="R621" i="27"/>
  <c r="Q621" i="27"/>
  <c r="R623" i="27"/>
  <c r="Q623" i="27"/>
  <c r="P633" i="27"/>
  <c r="Q624" i="27"/>
  <c r="R624" i="27"/>
  <c r="R626" i="27"/>
  <c r="Q626" i="27"/>
  <c r="R622" i="27"/>
  <c r="Q622" i="27"/>
  <c r="M506" i="32"/>
  <c r="N506" i="32" s="1"/>
  <c r="L131" i="28"/>
  <c r="L55" i="28" s="1"/>
  <c r="L57" i="28" s="1"/>
  <c r="F95" i="70" s="1"/>
  <c r="M211" i="28"/>
  <c r="M217" i="28" s="1"/>
  <c r="M76" i="28" s="1"/>
  <c r="M78" i="28" s="1"/>
  <c r="M43" i="28" s="1"/>
  <c r="U157" i="26"/>
  <c r="U172" i="26" s="1"/>
  <c r="U187" i="26" s="1"/>
  <c r="R180" i="26"/>
  <c r="R184" i="26" s="1"/>
  <c r="U184" i="26" s="1"/>
  <c r="H994" i="27"/>
  <c r="M993" i="27"/>
  <c r="M1002" i="27"/>
  <c r="H1003" i="27"/>
  <c r="M67" i="30"/>
  <c r="L868" i="27"/>
  <c r="M868" i="27" s="1"/>
  <c r="N151" i="27"/>
  <c r="N37" i="27" s="1"/>
  <c r="M188" i="27"/>
  <c r="M189" i="27" s="1"/>
  <c r="M69" i="27" s="1"/>
  <c r="L98" i="72"/>
  <c r="Q98" i="72" s="1"/>
  <c r="M242" i="28"/>
  <c r="M244" i="28" s="1"/>
  <c r="M130" i="28" s="1"/>
  <c r="N237" i="28"/>
  <c r="N196" i="28"/>
  <c r="N93" i="28" s="1"/>
  <c r="N94" i="28" s="1"/>
  <c r="N40" i="28" s="1"/>
  <c r="M82" i="29"/>
  <c r="M53" i="29" s="1"/>
  <c r="M54" i="29" s="1"/>
  <c r="M27" i="29" s="1"/>
  <c r="M34" i="29" s="1"/>
  <c r="G31" i="70" s="1"/>
  <c r="M190" i="26"/>
  <c r="M97" i="26" s="1"/>
  <c r="M98" i="26" s="1"/>
  <c r="M33" i="26" s="1"/>
  <c r="N188" i="26"/>
  <c r="M207" i="28"/>
  <c r="M71" i="28" s="1"/>
  <c r="M72" i="28" s="1"/>
  <c r="M42" i="28" s="1"/>
  <c r="N205" i="28"/>
  <c r="L42" i="29"/>
  <c r="M107" i="30"/>
  <c r="M75" i="30" s="1"/>
  <c r="M76" i="30" s="1"/>
  <c r="M26" i="30" s="1"/>
  <c r="N106" i="30"/>
  <c r="M129" i="27"/>
  <c r="M30" i="27" s="1"/>
  <c r="N127" i="27"/>
  <c r="M103" i="28"/>
  <c r="K447" i="32"/>
  <c r="K239" i="32" s="1"/>
  <c r="K240" i="32" s="1"/>
  <c r="K51" i="32" s="1"/>
  <c r="M244" i="32"/>
  <c r="K439" i="32"/>
  <c r="K233" i="32" s="1"/>
  <c r="K311" i="32"/>
  <c r="K95" i="32" s="1"/>
  <c r="K96" i="32" s="1"/>
  <c r="K28" i="32" s="1"/>
  <c r="L1230" i="27"/>
  <c r="L1232" i="27" s="1"/>
  <c r="L339" i="27" s="1"/>
  <c r="K91" i="32"/>
  <c r="K25" i="32" s="1"/>
  <c r="M239" i="28"/>
  <c r="M125" i="28" s="1"/>
  <c r="M196" i="28"/>
  <c r="M93" i="28" s="1"/>
  <c r="M94" i="28" s="1"/>
  <c r="M40" i="28" s="1"/>
  <c r="L196" i="28"/>
  <c r="L93" i="28" s="1"/>
  <c r="L94" i="28" s="1"/>
  <c r="L40" i="28" s="1"/>
  <c r="L126" i="28"/>
  <c r="L44" i="28" s="1"/>
  <c r="M151" i="27"/>
  <c r="M37" i="27" s="1"/>
  <c r="K144" i="32"/>
  <c r="K38" i="32" s="1"/>
  <c r="L892" i="27"/>
  <c r="M892" i="27" s="1"/>
  <c r="N892" i="27" s="1"/>
  <c r="O892" i="27" s="1"/>
  <c r="M246" i="27"/>
  <c r="L162" i="27"/>
  <c r="L170" i="32"/>
  <c r="K173" i="32"/>
  <c r="M87" i="32"/>
  <c r="N87" i="32" s="1"/>
  <c r="O87" i="32" s="1"/>
  <c r="M459" i="32"/>
  <c r="M465" i="32" s="1"/>
  <c r="L142" i="32"/>
  <c r="L447" i="32"/>
  <c r="L239" i="32" s="1"/>
  <c r="L240" i="32" s="1"/>
  <c r="L51" i="32" s="1"/>
  <c r="M445" i="32"/>
  <c r="L370" i="32"/>
  <c r="L102" i="32" s="1"/>
  <c r="L103" i="32" s="1"/>
  <c r="L33" i="32" s="1"/>
  <c r="M366" i="32"/>
  <c r="K316" i="32"/>
  <c r="K108" i="32" s="1"/>
  <c r="L315" i="32"/>
  <c r="L311" i="32"/>
  <c r="L95" i="32" s="1"/>
  <c r="L96" i="32" s="1"/>
  <c r="L28" i="32" s="1"/>
  <c r="M310" i="32"/>
  <c r="L468" i="32"/>
  <c r="L143" i="32" s="1"/>
  <c r="M467" i="32"/>
  <c r="L434" i="32"/>
  <c r="L228" i="32" s="1"/>
  <c r="L229" i="32" s="1"/>
  <c r="L49" i="32" s="1"/>
  <c r="M421" i="32"/>
  <c r="L267" i="32"/>
  <c r="K269" i="32"/>
  <c r="K81" i="32" s="1"/>
  <c r="K82" i="32" s="1"/>
  <c r="K29" i="32" s="1"/>
  <c r="L305" i="32"/>
  <c r="L90" i="32" s="1"/>
  <c r="M287" i="32"/>
  <c r="M107" i="32"/>
  <c r="N107" i="32" s="1"/>
  <c r="O107" i="32" s="1"/>
  <c r="L407" i="32"/>
  <c r="K408" i="32"/>
  <c r="K160" i="32" s="1"/>
  <c r="K164" i="32" s="1"/>
  <c r="M159" i="32"/>
  <c r="N159" i="32" s="1"/>
  <c r="O159" i="32" s="1"/>
  <c r="L395" i="32"/>
  <c r="L137" i="32" s="1"/>
  <c r="M388" i="32"/>
  <c r="L441" i="32"/>
  <c r="K442" i="32"/>
  <c r="K234" i="32" s="1"/>
  <c r="L282" i="32"/>
  <c r="L89" i="32" s="1"/>
  <c r="M274" i="32"/>
  <c r="L353" i="32"/>
  <c r="K359" i="32"/>
  <c r="K114" i="32" s="1"/>
  <c r="L439" i="32"/>
  <c r="L233" i="32" s="1"/>
  <c r="M438" i="32"/>
  <c r="L344" i="32"/>
  <c r="K348" i="32"/>
  <c r="K121" i="32" s="1"/>
  <c r="K122" i="32" s="1"/>
  <c r="K30" i="32" s="1"/>
  <c r="L131" i="32"/>
  <c r="L319" i="32"/>
  <c r="K327" i="32"/>
  <c r="K109" i="32" s="1"/>
  <c r="K380" i="32"/>
  <c r="K126" i="32" s="1"/>
  <c r="K127" i="32" s="1"/>
  <c r="K34" i="32" s="1"/>
  <c r="L375" i="32"/>
  <c r="L361" i="32"/>
  <c r="K362" i="32"/>
  <c r="K115" i="32" s="1"/>
  <c r="L97" i="31"/>
  <c r="L60" i="31" s="1"/>
  <c r="L76" i="31"/>
  <c r="L77" i="31" s="1"/>
  <c r="L36" i="31" s="1"/>
  <c r="L43" i="31" s="1"/>
  <c r="F98" i="70" s="1"/>
  <c r="L84" i="30"/>
  <c r="L100" i="30"/>
  <c r="L87" i="30"/>
  <c r="L94" i="30"/>
  <c r="M200" i="28"/>
  <c r="L201" i="28"/>
  <c r="L98" i="28" s="1"/>
  <c r="L99" i="28" s="1"/>
  <c r="L41" i="28" s="1"/>
  <c r="L156" i="28"/>
  <c r="L160" i="28" s="1"/>
  <c r="M164" i="28"/>
  <c r="L165" i="28"/>
  <c r="L111" i="28" s="1"/>
  <c r="L112" i="28" s="1"/>
  <c r="L46" i="28" s="1"/>
  <c r="L181" i="28"/>
  <c r="L911" i="27"/>
  <c r="L935" i="27"/>
  <c r="L951" i="27"/>
  <c r="L133" i="27"/>
  <c r="L931" i="27"/>
  <c r="L1290" i="27"/>
  <c r="L356" i="27" s="1"/>
  <c r="L358" i="27" s="1"/>
  <c r="L58" i="27" s="1"/>
  <c r="M1290" i="27"/>
  <c r="M356" i="27" s="1"/>
  <c r="M358" i="27" s="1"/>
  <c r="L285" i="27"/>
  <c r="M113" i="27"/>
  <c r="L115" i="27"/>
  <c r="L28" i="27" s="1"/>
  <c r="L839" i="27"/>
  <c r="L889" i="27"/>
  <c r="L871" i="27"/>
  <c r="L672" i="27"/>
  <c r="L1234" i="27"/>
  <c r="M173" i="27"/>
  <c r="L174" i="27"/>
  <c r="L41" i="27" s="1"/>
  <c r="L492" i="27"/>
  <c r="L151" i="27"/>
  <c r="L37" i="27" s="1"/>
  <c r="L254" i="27"/>
  <c r="L1237" i="27"/>
  <c r="L928" i="27"/>
  <c r="M1025" i="27"/>
  <c r="L1030" i="27"/>
  <c r="M155" i="27"/>
  <c r="N155" i="27" s="1"/>
  <c r="O155" i="27" s="1"/>
  <c r="L972" i="27"/>
  <c r="M1264" i="27"/>
  <c r="L1275" i="27"/>
  <c r="L436" i="27" s="1"/>
  <c r="L441" i="27" s="1"/>
  <c r="L61" i="27" s="1"/>
  <c r="L661" i="27"/>
  <c r="L955" i="27"/>
  <c r="L213" i="27"/>
  <c r="L689" i="27"/>
  <c r="L1225" i="27"/>
  <c r="G464" i="27"/>
  <c r="L463" i="27"/>
  <c r="L948" i="27"/>
  <c r="L854" i="27"/>
  <c r="L167" i="27"/>
  <c r="L897" i="27"/>
  <c r="L1059" i="27"/>
  <c r="M273" i="27"/>
  <c r="N273" i="27" s="1"/>
  <c r="O273" i="27" s="1"/>
  <c r="L684" i="27"/>
  <c r="L845" i="27"/>
  <c r="L1241" i="27"/>
  <c r="L915" i="27"/>
  <c r="L836" i="27"/>
  <c r="L489" i="27"/>
  <c r="L851" i="27"/>
  <c r="L681" i="27"/>
  <c r="L497" i="27"/>
  <c r="L842" i="27"/>
  <c r="M335" i="27"/>
  <c r="N335" i="27" s="1"/>
  <c r="O335" i="27" s="1"/>
  <c r="M797" i="27"/>
  <c r="L798" i="27"/>
  <c r="L242" i="27" s="1"/>
  <c r="L81" i="27" s="1"/>
  <c r="M143" i="26"/>
  <c r="M157" i="26" s="1"/>
  <c r="L78" i="26"/>
  <c r="L79" i="26" s="1"/>
  <c r="L30" i="26" s="1"/>
  <c r="L121" i="26"/>
  <c r="O31" i="70" l="1"/>
  <c r="Z31" i="70"/>
  <c r="M58" i="27"/>
  <c r="M415" i="32"/>
  <c r="L416" i="32"/>
  <c r="L163" i="32" s="1"/>
  <c r="Y95" i="70"/>
  <c r="M95" i="70"/>
  <c r="N521" i="32"/>
  <c r="N219" i="32" s="1"/>
  <c r="N224" i="32" s="1"/>
  <c r="N43" i="32" s="1"/>
  <c r="O506" i="32"/>
  <c r="O521" i="32" s="1"/>
  <c r="O219" i="32" s="1"/>
  <c r="O224" i="32" s="1"/>
  <c r="O43" i="32" s="1"/>
  <c r="M521" i="32"/>
  <c r="M219" i="32" s="1"/>
  <c r="M224" i="32" s="1"/>
  <c r="M43" i="32" s="1"/>
  <c r="L468" i="27"/>
  <c r="L120" i="27" s="1"/>
  <c r="L123" i="27" s="1"/>
  <c r="L29" i="27" s="1"/>
  <c r="M98" i="70"/>
  <c r="Y98" i="70"/>
  <c r="H1004" i="27"/>
  <c r="O1004" i="27" s="1"/>
  <c r="G465" i="27"/>
  <c r="H995" i="27"/>
  <c r="O995" i="27" s="1"/>
  <c r="O61" i="31"/>
  <c r="T100" i="31"/>
  <c r="T106" i="31" s="1"/>
  <c r="M61" i="31"/>
  <c r="L61" i="31"/>
  <c r="S109" i="31"/>
  <c r="N107" i="30"/>
  <c r="N75" i="30" s="1"/>
  <c r="N76" i="30" s="1"/>
  <c r="N26" i="30" s="1"/>
  <c r="O106" i="30"/>
  <c r="O107" i="30" s="1"/>
  <c r="O75" i="30" s="1"/>
  <c r="O76" i="30" s="1"/>
  <c r="O26" i="30" s="1"/>
  <c r="N82" i="29"/>
  <c r="N53" i="29" s="1"/>
  <c r="N54" i="29" s="1"/>
  <c r="N27" i="29" s="1"/>
  <c r="N34" i="29" s="1"/>
  <c r="O82" i="29"/>
  <c r="O53" i="29" s="1"/>
  <c r="O54" i="29" s="1"/>
  <c r="O27" i="29" s="1"/>
  <c r="O34" i="29" s="1"/>
  <c r="N242" i="28"/>
  <c r="N244" i="28" s="1"/>
  <c r="N130" i="28" s="1"/>
  <c r="N131" i="28" s="1"/>
  <c r="N55" i="28" s="1"/>
  <c r="N57" i="28" s="1"/>
  <c r="H95" i="70" s="1"/>
  <c r="O237" i="28"/>
  <c r="N207" i="28"/>
  <c r="N71" i="28" s="1"/>
  <c r="N72" i="28" s="1"/>
  <c r="N42" i="28" s="1"/>
  <c r="O205" i="28"/>
  <c r="O207" i="28" s="1"/>
  <c r="O71" i="28" s="1"/>
  <c r="O72" i="28" s="1"/>
  <c r="O42" i="28" s="1"/>
  <c r="M1213" i="27"/>
  <c r="M1181" i="27"/>
  <c r="M1172" i="27"/>
  <c r="M1156" i="27"/>
  <c r="M1147" i="27"/>
  <c r="M1131" i="27"/>
  <c r="M1120" i="27"/>
  <c r="M1102" i="27"/>
  <c r="M1091" i="27"/>
  <c r="M1069" i="27"/>
  <c r="O1062" i="27"/>
  <c r="N1061" i="27"/>
  <c r="M1047" i="27"/>
  <c r="N994" i="27"/>
  <c r="N188" i="27"/>
  <c r="N189" i="27" s="1"/>
  <c r="N69" i="27" s="1"/>
  <c r="O188" i="27"/>
  <c r="O189" i="27" s="1"/>
  <c r="O69" i="27" s="1"/>
  <c r="N1003" i="27"/>
  <c r="O277" i="27"/>
  <c r="O893" i="27"/>
  <c r="N129" i="27"/>
  <c r="N30" i="27" s="1"/>
  <c r="O127" i="27"/>
  <c r="O129" i="27" s="1"/>
  <c r="O30" i="27" s="1"/>
  <c r="J558" i="27"/>
  <c r="N190" i="26"/>
  <c r="N97" i="26" s="1"/>
  <c r="N98" i="26" s="1"/>
  <c r="N33" i="26" s="1"/>
  <c r="O188" i="26"/>
  <c r="O190" i="26" s="1"/>
  <c r="O97" i="26" s="1"/>
  <c r="O98" i="26" s="1"/>
  <c r="O33" i="26" s="1"/>
  <c r="M95" i="72"/>
  <c r="R95" i="72" s="1"/>
  <c r="M131" i="28"/>
  <c r="M55" i="28" s="1"/>
  <c r="M57" i="28" s="1"/>
  <c r="G95" i="70" s="1"/>
  <c r="N211" i="28"/>
  <c r="L869" i="27"/>
  <c r="L266" i="27" s="1"/>
  <c r="M1016" i="27"/>
  <c r="N67" i="30"/>
  <c r="O67" i="30" s="1"/>
  <c r="M126" i="28"/>
  <c r="M44" i="28" s="1"/>
  <c r="L1202" i="27"/>
  <c r="N239" i="28"/>
  <c r="N125" i="28" s="1"/>
  <c r="N126" i="28" s="1"/>
  <c r="N44" i="28" s="1"/>
  <c r="K99" i="72"/>
  <c r="P99" i="72" s="1"/>
  <c r="L34" i="72"/>
  <c r="Q34" i="72" s="1"/>
  <c r="M98" i="72"/>
  <c r="R98" i="72" s="1"/>
  <c r="M34" i="72"/>
  <c r="R34" i="72" s="1"/>
  <c r="N277" i="27"/>
  <c r="N893" i="27"/>
  <c r="M439" i="32"/>
  <c r="M233" i="32" s="1"/>
  <c r="N438" i="32"/>
  <c r="M395" i="32"/>
  <c r="M137" i="32" s="1"/>
  <c r="N388" i="32"/>
  <c r="M434" i="32"/>
  <c r="M228" i="32" s="1"/>
  <c r="M229" i="32" s="1"/>
  <c r="M49" i="32" s="1"/>
  <c r="N421" i="32"/>
  <c r="M447" i="32"/>
  <c r="M239" i="32" s="1"/>
  <c r="M240" i="32" s="1"/>
  <c r="M51" i="32" s="1"/>
  <c r="N445" i="32"/>
  <c r="M1030" i="27"/>
  <c r="N1025" i="27"/>
  <c r="M97" i="31"/>
  <c r="M60" i="31" s="1"/>
  <c r="M142" i="32"/>
  <c r="N459" i="32"/>
  <c r="O459" i="32" s="1"/>
  <c r="O465" i="32" s="1"/>
  <c r="O142" i="32" s="1"/>
  <c r="M416" i="32"/>
  <c r="M163" i="32" s="1"/>
  <c r="N415" i="32"/>
  <c r="M104" i="28"/>
  <c r="M45" i="28" s="1"/>
  <c r="N103" i="28"/>
  <c r="M174" i="27"/>
  <c r="M41" i="27" s="1"/>
  <c r="N173" i="27"/>
  <c r="M468" i="32"/>
  <c r="M143" i="32" s="1"/>
  <c r="N467" i="32"/>
  <c r="M311" i="32"/>
  <c r="M95" i="32" s="1"/>
  <c r="M96" i="32" s="1"/>
  <c r="M28" i="32" s="1"/>
  <c r="N310" i="32"/>
  <c r="M42" i="29"/>
  <c r="M78" i="26"/>
  <c r="M79" i="26" s="1"/>
  <c r="M30" i="26" s="1"/>
  <c r="N143" i="26"/>
  <c r="M282" i="32"/>
  <c r="M89" i="32" s="1"/>
  <c r="N274" i="32"/>
  <c r="M305" i="32"/>
  <c r="M90" i="32" s="1"/>
  <c r="N287" i="32"/>
  <c r="M370" i="32"/>
  <c r="M102" i="32" s="1"/>
  <c r="M103" i="32" s="1"/>
  <c r="M33" i="32" s="1"/>
  <c r="N366" i="32"/>
  <c r="M245" i="32"/>
  <c r="M52" i="32" s="1"/>
  <c r="N244" i="32"/>
  <c r="M464" i="27"/>
  <c r="M468" i="27" s="1"/>
  <c r="M869" i="27"/>
  <c r="M266" i="27" s="1"/>
  <c r="N868" i="27"/>
  <c r="M165" i="28"/>
  <c r="M111" i="28" s="1"/>
  <c r="M112" i="28" s="1"/>
  <c r="M46" i="28" s="1"/>
  <c r="N164" i="28"/>
  <c r="M1275" i="27"/>
  <c r="M436" i="27" s="1"/>
  <c r="M441" i="27" s="1"/>
  <c r="M61" i="27" s="1"/>
  <c r="N1264" i="27"/>
  <c r="M798" i="27"/>
  <c r="M241" i="27" s="1"/>
  <c r="M242" i="27" s="1"/>
  <c r="M81" i="27" s="1"/>
  <c r="N797" i="27"/>
  <c r="M115" i="27"/>
  <c r="M28" i="27" s="1"/>
  <c r="N113" i="27"/>
  <c r="L245" i="32"/>
  <c r="L52" i="32" s="1"/>
  <c r="M247" i="27"/>
  <c r="M82" i="27" s="1"/>
  <c r="N246" i="27"/>
  <c r="M201" i="28"/>
  <c r="M98" i="28" s="1"/>
  <c r="M99" i="28" s="1"/>
  <c r="M41" i="28" s="1"/>
  <c r="N200" i="28"/>
  <c r="M76" i="31"/>
  <c r="M77" i="31" s="1"/>
  <c r="M36" i="31" s="1"/>
  <c r="M43" i="31" s="1"/>
  <c r="G98" i="70" s="1"/>
  <c r="K235" i="32"/>
  <c r="K50" i="32" s="1"/>
  <c r="K66" i="32" s="1"/>
  <c r="E99" i="70" s="1"/>
  <c r="M1230" i="27"/>
  <c r="L91" i="32"/>
  <c r="L25" i="32" s="1"/>
  <c r="L893" i="27"/>
  <c r="L277" i="27"/>
  <c r="K31" i="32"/>
  <c r="L163" i="27"/>
  <c r="L39" i="27" s="1"/>
  <c r="M162" i="27"/>
  <c r="K116" i="32"/>
  <c r="K32" i="32" s="1"/>
  <c r="L380" i="32"/>
  <c r="L126" i="32" s="1"/>
  <c r="L127" i="32" s="1"/>
  <c r="L34" i="32" s="1"/>
  <c r="M375" i="32"/>
  <c r="L144" i="32"/>
  <c r="L38" i="32" s="1"/>
  <c r="M319" i="32"/>
  <c r="L327" i="32"/>
  <c r="L109" i="32" s="1"/>
  <c r="M441" i="32"/>
  <c r="L442" i="32"/>
  <c r="L234" i="32" s="1"/>
  <c r="L235" i="32" s="1"/>
  <c r="L50" i="32" s="1"/>
  <c r="L316" i="32"/>
  <c r="L108" i="32" s="1"/>
  <c r="M315" i="32"/>
  <c r="M131" i="32"/>
  <c r="L138" i="32"/>
  <c r="L35" i="32" s="1"/>
  <c r="K110" i="32"/>
  <c r="K26" i="32" s="1"/>
  <c r="M353" i="32"/>
  <c r="L359" i="32"/>
  <c r="L114" i="32" s="1"/>
  <c r="L362" i="32"/>
  <c r="L115" i="32" s="1"/>
  <c r="M361" i="32"/>
  <c r="L348" i="32"/>
  <c r="L121" i="32" s="1"/>
  <c r="L122" i="32" s="1"/>
  <c r="L30" i="32" s="1"/>
  <c r="M344" i="32"/>
  <c r="M267" i="32"/>
  <c r="L269" i="32"/>
  <c r="L81" i="32" s="1"/>
  <c r="L82" i="32" s="1"/>
  <c r="L29" i="32" s="1"/>
  <c r="M170" i="32"/>
  <c r="L173" i="32"/>
  <c r="L408" i="32"/>
  <c r="L160" i="32" s="1"/>
  <c r="L164" i="32" s="1"/>
  <c r="M407" i="32"/>
  <c r="L59" i="31"/>
  <c r="L96" i="30"/>
  <c r="L62" i="30" s="1"/>
  <c r="L63" i="30" s="1"/>
  <c r="L24" i="30" s="1"/>
  <c r="M94" i="30"/>
  <c r="L89" i="30"/>
  <c r="L56" i="30" s="1"/>
  <c r="M87" i="30"/>
  <c r="M100" i="30"/>
  <c r="L101" i="30"/>
  <c r="L70" i="30" s="1"/>
  <c r="M84" i="30"/>
  <c r="L85" i="30"/>
  <c r="L55" i="30" s="1"/>
  <c r="M156" i="28"/>
  <c r="M160" i="28" s="1"/>
  <c r="L107" i="28"/>
  <c r="L108" i="28" s="1"/>
  <c r="L48" i="28" s="1"/>
  <c r="L149" i="28"/>
  <c r="M145" i="28"/>
  <c r="L182" i="28"/>
  <c r="L88" i="28" s="1"/>
  <c r="L89" i="28" s="1"/>
  <c r="L39" i="28" s="1"/>
  <c r="M181" i="28"/>
  <c r="L1212" i="27"/>
  <c r="L1180" i="27"/>
  <c r="L961" i="27"/>
  <c r="L314" i="27" s="1"/>
  <c r="M955" i="27"/>
  <c r="M492" i="27"/>
  <c r="L138" i="27"/>
  <c r="L843" i="27"/>
  <c r="L260" i="27" s="1"/>
  <c r="M842" i="27"/>
  <c r="L193" i="27"/>
  <c r="L194" i="27" s="1"/>
  <c r="L70" i="27" s="1"/>
  <c r="M889" i="27"/>
  <c r="L890" i="27"/>
  <c r="L275" i="27" s="1"/>
  <c r="L992" i="27"/>
  <c r="M689" i="27"/>
  <c r="L180" i="27"/>
  <c r="M928" i="27"/>
  <c r="L929" i="27"/>
  <c r="L297" i="27" s="1"/>
  <c r="L140" i="27"/>
  <c r="M497" i="27"/>
  <c r="L1255" i="27"/>
  <c r="L343" i="27" s="1"/>
  <c r="M1241" i="27"/>
  <c r="M897" i="27"/>
  <c r="L902" i="27"/>
  <c r="M854" i="27"/>
  <c r="L866" i="27"/>
  <c r="L264" i="27" s="1"/>
  <c r="L1130" i="27"/>
  <c r="L222" i="27"/>
  <c r="L77" i="27" s="1"/>
  <c r="L226" i="27"/>
  <c r="L227" i="27" s="1"/>
  <c r="L78" i="27" s="1"/>
  <c r="L920" i="27"/>
  <c r="L291" i="27" s="1"/>
  <c r="M915" i="27"/>
  <c r="L974" i="27"/>
  <c r="L322" i="27" s="1"/>
  <c r="L323" i="27" s="1"/>
  <c r="L51" i="27" s="1"/>
  <c r="M972" i="27"/>
  <c r="L1015" i="27"/>
  <c r="M851" i="27"/>
  <c r="L852" i="27"/>
  <c r="L952" i="27"/>
  <c r="L312" i="27" s="1"/>
  <c r="M951" i="27"/>
  <c r="L662" i="27"/>
  <c r="L157" i="27" s="1"/>
  <c r="L158" i="27" s="1"/>
  <c r="L38" i="27" s="1"/>
  <c r="M661" i="27"/>
  <c r="M133" i="27"/>
  <c r="L134" i="27"/>
  <c r="L31" i="27" s="1"/>
  <c r="L1119" i="27"/>
  <c r="L1146" i="27"/>
  <c r="M285" i="27"/>
  <c r="N285" i="27" s="1"/>
  <c r="O285" i="27" s="1"/>
  <c r="M836" i="27"/>
  <c r="L837" i="27"/>
  <c r="L258" i="27" s="1"/>
  <c r="L846" i="27"/>
  <c r="L261" i="27" s="1"/>
  <c r="M845" i="27"/>
  <c r="L1068" i="27"/>
  <c r="M681" i="27"/>
  <c r="L179" i="27"/>
  <c r="L199" i="27"/>
  <c r="L71" i="27" s="1"/>
  <c r="M213" i="27"/>
  <c r="L214" i="27"/>
  <c r="L74" i="27" s="1"/>
  <c r="M1234" i="27"/>
  <c r="L1235" i="27"/>
  <c r="L340" i="27" s="1"/>
  <c r="M839" i="27"/>
  <c r="L840" i="27"/>
  <c r="L259" i="27" s="1"/>
  <c r="M931" i="27"/>
  <c r="L932" i="27"/>
  <c r="L299" i="27" s="1"/>
  <c r="L1101" i="27"/>
  <c r="L1046" i="27"/>
  <c r="M277" i="27"/>
  <c r="M893" i="27"/>
  <c r="L1155" i="27"/>
  <c r="M489" i="27"/>
  <c r="L139" i="27"/>
  <c r="L1228" i="27"/>
  <c r="L338" i="27" s="1"/>
  <c r="M1225" i="27"/>
  <c r="L872" i="27"/>
  <c r="L267" i="27" s="1"/>
  <c r="M871" i="27"/>
  <c r="M935" i="27"/>
  <c r="L940" i="27"/>
  <c r="L301" i="27" s="1"/>
  <c r="M167" i="27"/>
  <c r="N167" i="27" s="1"/>
  <c r="O167" i="27" s="1"/>
  <c r="M948" i="27"/>
  <c r="L949" i="27"/>
  <c r="L310" i="27" s="1"/>
  <c r="M1237" i="27"/>
  <c r="L1238" i="27"/>
  <c r="L337" i="27" s="1"/>
  <c r="L912" i="27"/>
  <c r="L287" i="27" s="1"/>
  <c r="M911" i="27"/>
  <c r="L1090" i="27"/>
  <c r="L1001" i="27"/>
  <c r="M684" i="27"/>
  <c r="L178" i="27"/>
  <c r="M254" i="27"/>
  <c r="N254" i="27" s="1"/>
  <c r="O254" i="27" s="1"/>
  <c r="L676" i="27"/>
  <c r="L168" i="27" s="1"/>
  <c r="L169" i="27" s="1"/>
  <c r="L40" i="27" s="1"/>
  <c r="M672" i="27"/>
  <c r="L1171" i="27"/>
  <c r="L1301" i="27"/>
  <c r="L424" i="27" s="1"/>
  <c r="L426" i="27" s="1"/>
  <c r="L95" i="27" s="1"/>
  <c r="M1299" i="27"/>
  <c r="L125" i="26"/>
  <c r="L73" i="26" s="1"/>
  <c r="L74" i="26" s="1"/>
  <c r="L29" i="26" s="1"/>
  <c r="L39" i="26" s="1"/>
  <c r="F28" i="70" s="1"/>
  <c r="M121" i="26"/>
  <c r="N42" i="29" l="1"/>
  <c r="H31" i="70"/>
  <c r="O42" i="29"/>
  <c r="I31" i="70"/>
  <c r="O143" i="26"/>
  <c r="O157" i="26" s="1"/>
  <c r="O78" i="26" s="1"/>
  <c r="O79" i="26" s="1"/>
  <c r="O30" i="26" s="1"/>
  <c r="N157" i="26"/>
  <c r="N78" i="26" s="1"/>
  <c r="N79" i="26" s="1"/>
  <c r="N30" i="26" s="1"/>
  <c r="Q95" i="70"/>
  <c r="AA95" i="70"/>
  <c r="Z95" i="70"/>
  <c r="O95" i="70"/>
  <c r="M28" i="70"/>
  <c r="Y28" i="70"/>
  <c r="N305" i="32"/>
  <c r="N90" i="32" s="1"/>
  <c r="O287" i="32"/>
  <c r="O305" i="32" s="1"/>
  <c r="O90" i="32" s="1"/>
  <c r="N416" i="32"/>
  <c r="N163" i="32" s="1"/>
  <c r="O415" i="32"/>
  <c r="O416" i="32" s="1"/>
  <c r="O163" i="32" s="1"/>
  <c r="N282" i="32"/>
  <c r="N89" i="32" s="1"/>
  <c r="N91" i="32" s="1"/>
  <c r="N25" i="32" s="1"/>
  <c r="O274" i="32"/>
  <c r="O282" i="32" s="1"/>
  <c r="O89" i="32" s="1"/>
  <c r="N311" i="32"/>
  <c r="N95" i="32" s="1"/>
  <c r="N96" i="32" s="1"/>
  <c r="N28" i="32" s="1"/>
  <c r="O310" i="32"/>
  <c r="O311" i="32" s="1"/>
  <c r="O95" i="32" s="1"/>
  <c r="O96" i="32" s="1"/>
  <c r="O28" i="32" s="1"/>
  <c r="X99" i="70"/>
  <c r="K99" i="70"/>
  <c r="N434" i="32"/>
  <c r="N228" i="32" s="1"/>
  <c r="N229" i="32" s="1"/>
  <c r="N49" i="32" s="1"/>
  <c r="O421" i="32"/>
  <c r="O434" i="32" s="1"/>
  <c r="O228" i="32" s="1"/>
  <c r="O229" i="32" s="1"/>
  <c r="O49" i="32" s="1"/>
  <c r="N395" i="32"/>
  <c r="N137" i="32" s="1"/>
  <c r="O388" i="32"/>
  <c r="O395" i="32" s="1"/>
  <c r="O137" i="32" s="1"/>
  <c r="N439" i="32"/>
  <c r="N233" i="32" s="1"/>
  <c r="O438" i="32"/>
  <c r="O439" i="32" s="1"/>
  <c r="O233" i="32" s="1"/>
  <c r="N245" i="32"/>
  <c r="N52" i="32" s="1"/>
  <c r="O244" i="32"/>
  <c r="O245" i="32" s="1"/>
  <c r="O52" i="32" s="1"/>
  <c r="N468" i="32"/>
  <c r="N143" i="32" s="1"/>
  <c r="O467" i="32"/>
  <c r="O468" i="32" s="1"/>
  <c r="O143" i="32" s="1"/>
  <c r="O144" i="32" s="1"/>
  <c r="O38" i="32" s="1"/>
  <c r="N370" i="32"/>
  <c r="N102" i="32" s="1"/>
  <c r="N103" i="32" s="1"/>
  <c r="N33" i="32" s="1"/>
  <c r="O366" i="32"/>
  <c r="O370" i="32" s="1"/>
  <c r="O102" i="32" s="1"/>
  <c r="O103" i="32" s="1"/>
  <c r="O33" i="32" s="1"/>
  <c r="N447" i="32"/>
  <c r="N239" i="32" s="1"/>
  <c r="N240" i="32" s="1"/>
  <c r="N51" i="32" s="1"/>
  <c r="O445" i="32"/>
  <c r="O447" i="32" s="1"/>
  <c r="O239" i="32" s="1"/>
  <c r="O240" i="32" s="1"/>
  <c r="O51" i="32" s="1"/>
  <c r="O98" i="70"/>
  <c r="Z98" i="70"/>
  <c r="G466" i="27"/>
  <c r="O466" i="27" s="1"/>
  <c r="N465" i="27"/>
  <c r="N468" i="27" s="1"/>
  <c r="N76" i="31"/>
  <c r="N77" i="31" s="1"/>
  <c r="N36" i="31" s="1"/>
  <c r="N43" i="31" s="1"/>
  <c r="H98" i="70" s="1"/>
  <c r="O76" i="31"/>
  <c r="O77" i="31" s="1"/>
  <c r="O36" i="31" s="1"/>
  <c r="O43" i="31" s="1"/>
  <c r="I98" i="70" s="1"/>
  <c r="N97" i="31"/>
  <c r="N60" i="31" s="1"/>
  <c r="O97" i="31"/>
  <c r="O60" i="31" s="1"/>
  <c r="L63" i="31"/>
  <c r="L21" i="31" s="1"/>
  <c r="L33" i="31" s="1"/>
  <c r="F33" i="70" s="1"/>
  <c r="T109" i="31"/>
  <c r="O242" i="28"/>
  <c r="O244" i="28" s="1"/>
  <c r="O130" i="28" s="1"/>
  <c r="O131" i="28" s="1"/>
  <c r="O55" i="28" s="1"/>
  <c r="O57" i="28" s="1"/>
  <c r="I95" i="70" s="1"/>
  <c r="O239" i="28"/>
  <c r="O125" i="28" s="1"/>
  <c r="O126" i="28" s="1"/>
  <c r="O44" i="28" s="1"/>
  <c r="N217" i="28"/>
  <c r="N76" i="28" s="1"/>
  <c r="N78" i="28" s="1"/>
  <c r="N43" i="28" s="1"/>
  <c r="O211" i="28"/>
  <c r="O217" i="28" s="1"/>
  <c r="O76" i="28" s="1"/>
  <c r="O78" i="28" s="1"/>
  <c r="O43" i="28" s="1"/>
  <c r="N201" i="28"/>
  <c r="N98" i="28" s="1"/>
  <c r="N99" i="28" s="1"/>
  <c r="N41" i="28" s="1"/>
  <c r="O200" i="28"/>
  <c r="O201" i="28" s="1"/>
  <c r="O98" i="28" s="1"/>
  <c r="O99" i="28" s="1"/>
  <c r="O41" i="28" s="1"/>
  <c r="N165" i="28"/>
  <c r="N111" i="28" s="1"/>
  <c r="N112" i="28" s="1"/>
  <c r="N46" i="28" s="1"/>
  <c r="O164" i="28"/>
  <c r="O165" i="28" s="1"/>
  <c r="O111" i="28" s="1"/>
  <c r="O112" i="28" s="1"/>
  <c r="O46" i="28" s="1"/>
  <c r="N104" i="28"/>
  <c r="N45" i="28" s="1"/>
  <c r="O103" i="28"/>
  <c r="O104" i="28" s="1"/>
  <c r="O45" i="28" s="1"/>
  <c r="O1215" i="27"/>
  <c r="N1214" i="27"/>
  <c r="O1205" i="27"/>
  <c r="N1204" i="27"/>
  <c r="O1183" i="27"/>
  <c r="N1182" i="27"/>
  <c r="O1174" i="27"/>
  <c r="N1173" i="27"/>
  <c r="O1158" i="27"/>
  <c r="N1157" i="27"/>
  <c r="O1149" i="27"/>
  <c r="N1148" i="27"/>
  <c r="O1133" i="27"/>
  <c r="N1132" i="27"/>
  <c r="O1122" i="27"/>
  <c r="N1121" i="27"/>
  <c r="O1104" i="27"/>
  <c r="N1103" i="27"/>
  <c r="O1093" i="27"/>
  <c r="N1092" i="27"/>
  <c r="O1071" i="27"/>
  <c r="N1070" i="27"/>
  <c r="N1006" i="27"/>
  <c r="O1049" i="27"/>
  <c r="N1048" i="27"/>
  <c r="M1203" i="27"/>
  <c r="M1217" i="27" s="1"/>
  <c r="M419" i="27" s="1"/>
  <c r="M420" i="27" s="1"/>
  <c r="M91" i="27" s="1"/>
  <c r="N1017" i="27"/>
  <c r="O1018" i="27"/>
  <c r="O1006" i="27"/>
  <c r="N1275" i="27"/>
  <c r="N436" i="27" s="1"/>
  <c r="N441" i="27" s="1"/>
  <c r="N61" i="27" s="1"/>
  <c r="O1264" i="27"/>
  <c r="O1275" i="27" s="1"/>
  <c r="O436" i="27" s="1"/>
  <c r="O441" i="27" s="1"/>
  <c r="O61" i="27" s="1"/>
  <c r="N1030" i="27"/>
  <c r="O1025" i="27"/>
  <c r="O1030" i="27" s="1"/>
  <c r="N869" i="27"/>
  <c r="N266" i="27" s="1"/>
  <c r="O868" i="27"/>
  <c r="O869" i="27" s="1"/>
  <c r="O266" i="27" s="1"/>
  <c r="N798" i="27"/>
  <c r="N241" i="27" s="1"/>
  <c r="N242" i="27" s="1"/>
  <c r="N81" i="27" s="1"/>
  <c r="O797" i="27"/>
  <c r="O798" i="27" s="1"/>
  <c r="O241" i="27" s="1"/>
  <c r="O242" i="27" s="1"/>
  <c r="O81" i="27" s="1"/>
  <c r="N247" i="27"/>
  <c r="N82" i="27" s="1"/>
  <c r="O246" i="27"/>
  <c r="O247" i="27" s="1"/>
  <c r="O82" i="27" s="1"/>
  <c r="N174" i="27"/>
  <c r="N41" i="27" s="1"/>
  <c r="O173" i="27"/>
  <c r="O174" i="27" s="1"/>
  <c r="O41" i="27" s="1"/>
  <c r="N115" i="27"/>
  <c r="N28" i="27" s="1"/>
  <c r="O113" i="27"/>
  <c r="O115" i="27" s="1"/>
  <c r="O28" i="27" s="1"/>
  <c r="N95" i="72"/>
  <c r="S95" i="72" s="1"/>
  <c r="N145" i="28"/>
  <c r="L152" i="28"/>
  <c r="L83" i="28" s="1"/>
  <c r="L84" i="28" s="1"/>
  <c r="L38" i="28" s="1"/>
  <c r="L57" i="30"/>
  <c r="L71" i="30"/>
  <c r="L25" i="30" s="1"/>
  <c r="L586" i="27"/>
  <c r="M193" i="27" s="1"/>
  <c r="M194" i="27" s="1"/>
  <c r="M70" i="27" s="1"/>
  <c r="L628" i="27"/>
  <c r="M199" i="27" s="1"/>
  <c r="M71" i="27" s="1"/>
  <c r="M144" i="32"/>
  <c r="M38" i="32" s="1"/>
  <c r="N61" i="31"/>
  <c r="N465" i="32"/>
  <c r="N142" i="32" s="1"/>
  <c r="M226" i="27"/>
  <c r="M227" i="27" s="1"/>
  <c r="M78" i="27" s="1"/>
  <c r="L740" i="27"/>
  <c r="M222" i="27" s="1"/>
  <c r="M77" i="27" s="1"/>
  <c r="M91" i="32"/>
  <c r="M25" i="32" s="1"/>
  <c r="L31" i="72"/>
  <c r="Q31" i="72" s="1"/>
  <c r="K36" i="72"/>
  <c r="P36" i="72" s="1"/>
  <c r="K32" i="72"/>
  <c r="P32" i="72" s="1"/>
  <c r="K35" i="72"/>
  <c r="P35" i="72" s="1"/>
  <c r="K33" i="72"/>
  <c r="P33" i="72" s="1"/>
  <c r="N98" i="72"/>
  <c r="S98" i="72" s="1"/>
  <c r="K31" i="72"/>
  <c r="P31" i="72" s="1"/>
  <c r="N34" i="72"/>
  <c r="S34" i="72" s="1"/>
  <c r="K94" i="72"/>
  <c r="P94" i="72" s="1"/>
  <c r="L99" i="72"/>
  <c r="Q99" i="72" s="1"/>
  <c r="M139" i="27"/>
  <c r="N489" i="27"/>
  <c r="M408" i="32"/>
  <c r="M160" i="32" s="1"/>
  <c r="M164" i="32" s="1"/>
  <c r="N407" i="32"/>
  <c r="M902" i="27"/>
  <c r="N897" i="27"/>
  <c r="M1228" i="27"/>
  <c r="M338" i="27" s="1"/>
  <c r="N1225" i="27"/>
  <c r="M180" i="27"/>
  <c r="N689" i="27"/>
  <c r="M327" i="32"/>
  <c r="M109" i="32" s="1"/>
  <c r="N319" i="32"/>
  <c r="M138" i="27"/>
  <c r="N492" i="27"/>
  <c r="M93" i="31"/>
  <c r="M59" i="31" s="1"/>
  <c r="M63" i="31" s="1"/>
  <c r="M21" i="31" s="1"/>
  <c r="M33" i="31" s="1"/>
  <c r="G33" i="70" s="1"/>
  <c r="M380" i="32"/>
  <c r="M126" i="32" s="1"/>
  <c r="M127" i="32" s="1"/>
  <c r="M34" i="32" s="1"/>
  <c r="N375" i="32"/>
  <c r="M932" i="27"/>
  <c r="M299" i="27" s="1"/>
  <c r="N931" i="27"/>
  <c r="M920" i="27"/>
  <c r="M291" i="27" s="1"/>
  <c r="N915" i="27"/>
  <c r="M846" i="27"/>
  <c r="M261" i="27" s="1"/>
  <c r="N845" i="27"/>
  <c r="M140" i="27"/>
  <c r="N497" i="27"/>
  <c r="M316" i="32"/>
  <c r="M108" i="32" s="1"/>
  <c r="N315" i="32"/>
  <c r="M163" i="27"/>
  <c r="M39" i="27" s="1"/>
  <c r="N162" i="27"/>
  <c r="M125" i="26"/>
  <c r="M73" i="26" s="1"/>
  <c r="M74" i="26" s="1"/>
  <c r="M29" i="26" s="1"/>
  <c r="M39" i="26" s="1"/>
  <c r="G28" i="70" s="1"/>
  <c r="N121" i="26"/>
  <c r="M940" i="27"/>
  <c r="M301" i="27" s="1"/>
  <c r="N935" i="27"/>
  <c r="M1235" i="27"/>
  <c r="M340" i="27" s="1"/>
  <c r="N1234" i="27"/>
  <c r="M952" i="27"/>
  <c r="M312" i="27" s="1"/>
  <c r="N951" i="27"/>
  <c r="M101" i="30"/>
  <c r="M70" i="30" s="1"/>
  <c r="N100" i="30"/>
  <c r="M269" i="32"/>
  <c r="M81" i="32" s="1"/>
  <c r="M82" i="32" s="1"/>
  <c r="M29" i="32" s="1"/>
  <c r="N267" i="32"/>
  <c r="M1238" i="27"/>
  <c r="M337" i="27" s="1"/>
  <c r="N1237" i="27"/>
  <c r="M974" i="27"/>
  <c r="M322" i="27" s="1"/>
  <c r="M323" i="27" s="1"/>
  <c r="M51" i="27" s="1"/>
  <c r="N972" i="27"/>
  <c r="M359" i="32"/>
  <c r="M114" i="32" s="1"/>
  <c r="N353" i="32"/>
  <c r="M949" i="27"/>
  <c r="M310" i="27" s="1"/>
  <c r="N948" i="27"/>
  <c r="M890" i="27"/>
  <c r="M275" i="27" s="1"/>
  <c r="M281" i="27" s="1"/>
  <c r="M47" i="27" s="1"/>
  <c r="N889" i="27"/>
  <c r="M840" i="27"/>
  <c r="M259" i="27" s="1"/>
  <c r="N839" i="27"/>
  <c r="M173" i="32"/>
  <c r="N170" i="32"/>
  <c r="M182" i="28"/>
  <c r="M88" i="28" s="1"/>
  <c r="M89" i="28" s="1"/>
  <c r="M39" i="28" s="1"/>
  <c r="N181" i="28"/>
  <c r="M89" i="30"/>
  <c r="M56" i="30" s="1"/>
  <c r="N87" i="30"/>
  <c r="M348" i="32"/>
  <c r="M121" i="32" s="1"/>
  <c r="M122" i="32" s="1"/>
  <c r="M30" i="32" s="1"/>
  <c r="N344" i="32"/>
  <c r="L66" i="32"/>
  <c r="F99" i="70" s="1"/>
  <c r="M961" i="27"/>
  <c r="M314" i="27" s="1"/>
  <c r="N955" i="27"/>
  <c r="M179" i="27"/>
  <c r="N681" i="27"/>
  <c r="M134" i="27"/>
  <c r="M31" i="27" s="1"/>
  <c r="N133" i="27"/>
  <c r="M1255" i="27"/>
  <c r="M343" i="27" s="1"/>
  <c r="N1241" i="27"/>
  <c r="L61" i="26"/>
  <c r="M1301" i="27"/>
  <c r="M424" i="27" s="1"/>
  <c r="M426" i="27" s="1"/>
  <c r="M95" i="27" s="1"/>
  <c r="N1299" i="27"/>
  <c r="M872" i="27"/>
  <c r="M267" i="27" s="1"/>
  <c r="N871" i="27"/>
  <c r="M837" i="27"/>
  <c r="M258" i="27" s="1"/>
  <c r="N836" i="27"/>
  <c r="M929" i="27"/>
  <c r="M297" i="27" s="1"/>
  <c r="N928" i="27"/>
  <c r="M843" i="27"/>
  <c r="M260" i="27" s="1"/>
  <c r="N842" i="27"/>
  <c r="M442" i="32"/>
  <c r="M234" i="32" s="1"/>
  <c r="M235" i="32" s="1"/>
  <c r="M50" i="32" s="1"/>
  <c r="M66" i="32" s="1"/>
  <c r="G99" i="70" s="1"/>
  <c r="N441" i="32"/>
  <c r="M1232" i="27"/>
  <c r="M339" i="27" s="1"/>
  <c r="N1230" i="27"/>
  <c r="M676" i="27"/>
  <c r="M168" i="27" s="1"/>
  <c r="M169" i="27" s="1"/>
  <c r="M40" i="27" s="1"/>
  <c r="N672" i="27"/>
  <c r="M866" i="27"/>
  <c r="M264" i="27" s="1"/>
  <c r="N854" i="27"/>
  <c r="M107" i="28"/>
  <c r="M108" i="28" s="1"/>
  <c r="M48" i="28" s="1"/>
  <c r="N156" i="28"/>
  <c r="O156" i="28" s="1"/>
  <c r="O160" i="28" s="1"/>
  <c r="O107" i="28" s="1"/>
  <c r="O108" i="28" s="1"/>
  <c r="O48" i="28" s="1"/>
  <c r="M178" i="27"/>
  <c r="N684" i="27"/>
  <c r="M662" i="27"/>
  <c r="M157" i="27" s="1"/>
  <c r="M158" i="27" s="1"/>
  <c r="M38" i="27" s="1"/>
  <c r="N661" i="27"/>
  <c r="M85" i="30"/>
  <c r="M55" i="30" s="1"/>
  <c r="N84" i="30"/>
  <c r="M138" i="32"/>
  <c r="M35" i="32" s="1"/>
  <c r="N131" i="32"/>
  <c r="M912" i="27"/>
  <c r="M287" i="27" s="1"/>
  <c r="N911" i="27"/>
  <c r="M214" i="27"/>
  <c r="M74" i="27" s="1"/>
  <c r="N213" i="27"/>
  <c r="M852" i="27"/>
  <c r="N851" i="27"/>
  <c r="M96" i="30"/>
  <c r="M62" i="30" s="1"/>
  <c r="M63" i="30" s="1"/>
  <c r="M24" i="30" s="1"/>
  <c r="N94" i="30"/>
  <c r="M362" i="32"/>
  <c r="M115" i="32" s="1"/>
  <c r="N361" i="32"/>
  <c r="L281" i="27"/>
  <c r="L47" i="27" s="1"/>
  <c r="M1052" i="27"/>
  <c r="M1072" i="27" s="1"/>
  <c r="L293" i="27"/>
  <c r="L48" i="27" s="1"/>
  <c r="L31" i="32"/>
  <c r="K46" i="32"/>
  <c r="E34" i="70" s="1"/>
  <c r="L110" i="32"/>
  <c r="L26" i="32" s="1"/>
  <c r="M1006" i="27"/>
  <c r="M1020" i="27" s="1"/>
  <c r="L1106" i="27"/>
  <c r="L399" i="27" s="1"/>
  <c r="L400" i="27" s="1"/>
  <c r="L1052" i="27"/>
  <c r="L1072" i="27" s="1"/>
  <c r="M1106" i="27"/>
  <c r="M399" i="27" s="1"/>
  <c r="M400" i="27" s="1"/>
  <c r="L316" i="27"/>
  <c r="L50" i="27" s="1"/>
  <c r="L346" i="27"/>
  <c r="L55" i="27" s="1"/>
  <c r="L1160" i="27"/>
  <c r="L409" i="27" s="1"/>
  <c r="L410" i="27" s="1"/>
  <c r="L89" i="27" s="1"/>
  <c r="L142" i="27"/>
  <c r="L32" i="27" s="1"/>
  <c r="M1187" i="27"/>
  <c r="M414" i="27" s="1"/>
  <c r="M415" i="27" s="1"/>
  <c r="M90" i="27" s="1"/>
  <c r="L1187" i="27"/>
  <c r="L414" i="27" s="1"/>
  <c r="L415" i="27" s="1"/>
  <c r="L90" i="27" s="1"/>
  <c r="M1135" i="27"/>
  <c r="M404" i="27" s="1"/>
  <c r="M405" i="27" s="1"/>
  <c r="M88" i="27" s="1"/>
  <c r="L1217" i="27"/>
  <c r="L419" i="27" s="1"/>
  <c r="L420" i="27" s="1"/>
  <c r="L91" i="27" s="1"/>
  <c r="L269" i="27"/>
  <c r="L45" i="27" s="1"/>
  <c r="L116" i="32"/>
  <c r="L32" i="32" s="1"/>
  <c r="M149" i="28"/>
  <c r="M152" i="28" s="1"/>
  <c r="L1135" i="27"/>
  <c r="L404" i="27" s="1"/>
  <c r="L405" i="27" s="1"/>
  <c r="L88" i="27" s="1"/>
  <c r="L182" i="27"/>
  <c r="L42" i="27" s="1"/>
  <c r="L304" i="27"/>
  <c r="L49" i="27" s="1"/>
  <c r="M1160" i="27"/>
  <c r="M409" i="27" s="1"/>
  <c r="M410" i="27" s="1"/>
  <c r="M89" i="27" s="1"/>
  <c r="L1006" i="27"/>
  <c r="L1020" i="27" s="1"/>
  <c r="O91" i="32" l="1"/>
  <c r="O25" i="32" s="1"/>
  <c r="Q31" i="70"/>
  <c r="AA31" i="70"/>
  <c r="O28" i="70"/>
  <c r="Z28" i="70"/>
  <c r="N138" i="32"/>
  <c r="N35" i="32" s="1"/>
  <c r="O131" i="32"/>
  <c r="O138" i="32" s="1"/>
  <c r="O35" i="32" s="1"/>
  <c r="N316" i="32"/>
  <c r="N108" i="32" s="1"/>
  <c r="O315" i="32"/>
  <c r="O316" i="32" s="1"/>
  <c r="O108" i="32" s="1"/>
  <c r="N173" i="32"/>
  <c r="O170" i="32"/>
  <c r="O173" i="32" s="1"/>
  <c r="X34" i="70"/>
  <c r="K34" i="70"/>
  <c r="N269" i="32"/>
  <c r="N81" i="32" s="1"/>
  <c r="N82" i="32" s="1"/>
  <c r="N29" i="32" s="1"/>
  <c r="O267" i="32"/>
  <c r="O269" i="32" s="1"/>
  <c r="O81" i="32" s="1"/>
  <c r="O82" i="32" s="1"/>
  <c r="O29" i="32" s="1"/>
  <c r="N408" i="32"/>
  <c r="N160" i="32" s="1"/>
  <c r="N164" i="32" s="1"/>
  <c r="N31" i="32" s="1"/>
  <c r="O407" i="32"/>
  <c r="O408" i="32" s="1"/>
  <c r="O160" i="32" s="1"/>
  <c r="O164" i="32" s="1"/>
  <c r="N362" i="32"/>
  <c r="N115" i="32" s="1"/>
  <c r="O361" i="32"/>
  <c r="O362" i="32" s="1"/>
  <c r="O115" i="32" s="1"/>
  <c r="N380" i="32"/>
  <c r="N126" i="32" s="1"/>
  <c r="N127" i="32" s="1"/>
  <c r="N34" i="32" s="1"/>
  <c r="O375" i="32"/>
  <c r="O380" i="32" s="1"/>
  <c r="O126" i="32" s="1"/>
  <c r="O127" i="32" s="1"/>
  <c r="O34" i="32" s="1"/>
  <c r="M99" i="70"/>
  <c r="Y99" i="70"/>
  <c r="N348" i="32"/>
  <c r="N121" i="32" s="1"/>
  <c r="N122" i="32" s="1"/>
  <c r="N30" i="32" s="1"/>
  <c r="O344" i="32"/>
  <c r="O348" i="32" s="1"/>
  <c r="O121" i="32" s="1"/>
  <c r="O122" i="32" s="1"/>
  <c r="O30" i="32" s="1"/>
  <c r="N327" i="32"/>
  <c r="N109" i="32" s="1"/>
  <c r="O319" i="32"/>
  <c r="O327" i="32" s="1"/>
  <c r="O109" i="32" s="1"/>
  <c r="N442" i="32"/>
  <c r="N234" i="32" s="1"/>
  <c r="N235" i="32" s="1"/>
  <c r="N50" i="32" s="1"/>
  <c r="N66" i="32" s="1"/>
  <c r="H99" i="70" s="1"/>
  <c r="O441" i="32"/>
  <c r="O442" i="32" s="1"/>
  <c r="O234" i="32" s="1"/>
  <c r="O235" i="32" s="1"/>
  <c r="O50" i="32" s="1"/>
  <c r="O66" i="32" s="1"/>
  <c r="I99" i="70" s="1"/>
  <c r="N359" i="32"/>
  <c r="N114" i="32" s="1"/>
  <c r="O353" i="32"/>
  <c r="O359" i="32" s="1"/>
  <c r="O114" i="32" s="1"/>
  <c r="N144" i="32"/>
  <c r="N38" i="32" s="1"/>
  <c r="O99" i="70"/>
  <c r="Z99" i="70"/>
  <c r="O468" i="27"/>
  <c r="O120" i="27" s="1"/>
  <c r="O123" i="27" s="1"/>
  <c r="O29" i="27" s="1"/>
  <c r="Q98" i="70"/>
  <c r="AA98" i="70"/>
  <c r="L45" i="31"/>
  <c r="Z33" i="70"/>
  <c r="O33" i="70"/>
  <c r="Y33" i="70"/>
  <c r="M33" i="70"/>
  <c r="O1160" i="27"/>
  <c r="O409" i="27" s="1"/>
  <c r="O410" i="27" s="1"/>
  <c r="O89" i="27" s="1"/>
  <c r="N1160" i="27"/>
  <c r="N409" i="27" s="1"/>
  <c r="N410" i="27" s="1"/>
  <c r="N89" i="27" s="1"/>
  <c r="N1187" i="27"/>
  <c r="N414" i="27" s="1"/>
  <c r="N415" i="27" s="1"/>
  <c r="N90" i="27" s="1"/>
  <c r="O1187" i="27"/>
  <c r="O414" i="27" s="1"/>
  <c r="O415" i="27" s="1"/>
  <c r="O90" i="27" s="1"/>
  <c r="N93" i="31"/>
  <c r="N59" i="31" s="1"/>
  <c r="N63" i="31" s="1"/>
  <c r="N21" i="31" s="1"/>
  <c r="N33" i="31" s="1"/>
  <c r="O93" i="31"/>
  <c r="O59" i="31" s="1"/>
  <c r="O63" i="31" s="1"/>
  <c r="O21" i="31" s="1"/>
  <c r="O33" i="31" s="1"/>
  <c r="N101" i="30"/>
  <c r="N70" i="30" s="1"/>
  <c r="O100" i="30"/>
  <c r="O101" i="30" s="1"/>
  <c r="O70" i="30" s="1"/>
  <c r="O71" i="30" s="1"/>
  <c r="O25" i="30" s="1"/>
  <c r="N89" i="30"/>
  <c r="N56" i="30" s="1"/>
  <c r="O87" i="30"/>
  <c r="O89" i="30" s="1"/>
  <c r="O56" i="30" s="1"/>
  <c r="N96" i="30"/>
  <c r="N62" i="30" s="1"/>
  <c r="N63" i="30" s="1"/>
  <c r="N24" i="30" s="1"/>
  <c r="O94" i="30"/>
  <c r="O96" i="30" s="1"/>
  <c r="O62" i="30" s="1"/>
  <c r="O63" i="30" s="1"/>
  <c r="O24" i="30" s="1"/>
  <c r="N85" i="30"/>
  <c r="N55" i="30" s="1"/>
  <c r="N57" i="30" s="1"/>
  <c r="O84" i="30"/>
  <c r="O85" i="30" s="1"/>
  <c r="O55" i="30" s="1"/>
  <c r="O57" i="30" s="1"/>
  <c r="O23" i="30" s="1"/>
  <c r="N182" i="28"/>
  <c r="N88" i="28" s="1"/>
  <c r="N89" i="28" s="1"/>
  <c r="N39" i="28" s="1"/>
  <c r="O181" i="28"/>
  <c r="O182" i="28" s="1"/>
  <c r="O88" i="28" s="1"/>
  <c r="O89" i="28" s="1"/>
  <c r="O39" i="28" s="1"/>
  <c r="N149" i="28"/>
  <c r="N152" i="28" s="1"/>
  <c r="N83" i="28" s="1"/>
  <c r="N84" i="28" s="1"/>
  <c r="N38" i="28" s="1"/>
  <c r="O145" i="28"/>
  <c r="O149" i="28" s="1"/>
  <c r="O152" i="28" s="1"/>
  <c r="O83" i="28" s="1"/>
  <c r="O84" i="28" s="1"/>
  <c r="O38" i="28" s="1"/>
  <c r="N1217" i="27"/>
  <c r="N419" i="27" s="1"/>
  <c r="N420" i="27" s="1"/>
  <c r="N91" i="27" s="1"/>
  <c r="O1217" i="27"/>
  <c r="O419" i="27" s="1"/>
  <c r="O420" i="27" s="1"/>
  <c r="O91" i="27" s="1"/>
  <c r="N1135" i="27"/>
  <c r="N404" i="27" s="1"/>
  <c r="N405" i="27" s="1"/>
  <c r="N88" i="27" s="1"/>
  <c r="O1135" i="27"/>
  <c r="O404" i="27" s="1"/>
  <c r="O405" i="27" s="1"/>
  <c r="O88" i="27" s="1"/>
  <c r="O1052" i="27"/>
  <c r="O1072" i="27" s="1"/>
  <c r="N1106" i="27"/>
  <c r="N399" i="27" s="1"/>
  <c r="N400" i="27" s="1"/>
  <c r="O1106" i="27"/>
  <c r="O399" i="27" s="1"/>
  <c r="O400" i="27" s="1"/>
  <c r="N1052" i="27"/>
  <c r="N1072" i="27" s="1"/>
  <c r="N1020" i="27"/>
  <c r="O1020" i="27"/>
  <c r="M628" i="27"/>
  <c r="N199" i="27" s="1"/>
  <c r="N71" i="27" s="1"/>
  <c r="N628" i="27"/>
  <c r="O199" i="27" s="1"/>
  <c r="O71" i="27" s="1"/>
  <c r="M586" i="27"/>
  <c r="N193" i="27" s="1"/>
  <c r="N194" i="27" s="1"/>
  <c r="N70" i="27" s="1"/>
  <c r="N586" i="27"/>
  <c r="O193" i="27" s="1"/>
  <c r="O194" i="27" s="1"/>
  <c r="O70" i="27" s="1"/>
  <c r="M740" i="27"/>
  <c r="N222" i="27" s="1"/>
  <c r="N77" i="27" s="1"/>
  <c r="N740" i="27"/>
  <c r="O222" i="27" s="1"/>
  <c r="O77" i="27" s="1"/>
  <c r="N226" i="27"/>
  <c r="N227" i="27" s="1"/>
  <c r="N78" i="27" s="1"/>
  <c r="N1301" i="27"/>
  <c r="N424" i="27" s="1"/>
  <c r="N426" i="27" s="1"/>
  <c r="N95" i="27" s="1"/>
  <c r="O1299" i="27"/>
  <c r="O1301" i="27" s="1"/>
  <c r="O424" i="27" s="1"/>
  <c r="O426" i="27" s="1"/>
  <c r="O95" i="27" s="1"/>
  <c r="N1235" i="27"/>
  <c r="N340" i="27" s="1"/>
  <c r="O1234" i="27"/>
  <c r="O1235" i="27" s="1"/>
  <c r="O340" i="27" s="1"/>
  <c r="N1255" i="27"/>
  <c r="N343" i="27" s="1"/>
  <c r="O1241" i="27"/>
  <c r="O1255" i="27" s="1"/>
  <c r="O343" i="27" s="1"/>
  <c r="N1238" i="27"/>
  <c r="N337" i="27" s="1"/>
  <c r="O1237" i="27"/>
  <c r="O1238" i="27" s="1"/>
  <c r="O337" i="27" s="1"/>
  <c r="N1228" i="27"/>
  <c r="N338" i="27" s="1"/>
  <c r="O1225" i="27"/>
  <c r="O1228" i="27" s="1"/>
  <c r="O338" i="27" s="1"/>
  <c r="N1232" i="27"/>
  <c r="N339" i="27" s="1"/>
  <c r="O1230" i="27"/>
  <c r="O1232" i="27" s="1"/>
  <c r="O339" i="27" s="1"/>
  <c r="N974" i="27"/>
  <c r="N322" i="27" s="1"/>
  <c r="N323" i="27" s="1"/>
  <c r="N51" i="27" s="1"/>
  <c r="O972" i="27"/>
  <c r="O974" i="27" s="1"/>
  <c r="O322" i="27" s="1"/>
  <c r="O323" i="27" s="1"/>
  <c r="O51" i="27" s="1"/>
  <c r="N949" i="27"/>
  <c r="N310" i="27" s="1"/>
  <c r="O948" i="27"/>
  <c r="O949" i="27" s="1"/>
  <c r="O310" i="27" s="1"/>
  <c r="N952" i="27"/>
  <c r="N312" i="27" s="1"/>
  <c r="O951" i="27"/>
  <c r="O952" i="27" s="1"/>
  <c r="O312" i="27" s="1"/>
  <c r="N961" i="27"/>
  <c r="N314" i="27" s="1"/>
  <c r="O955" i="27"/>
  <c r="O961" i="27" s="1"/>
  <c r="O314" i="27" s="1"/>
  <c r="N940" i="27"/>
  <c r="N301" i="27" s="1"/>
  <c r="O935" i="27"/>
  <c r="O940" i="27" s="1"/>
  <c r="O301" i="27" s="1"/>
  <c r="N929" i="27"/>
  <c r="N297" i="27" s="1"/>
  <c r="O928" i="27"/>
  <c r="O929" i="27" s="1"/>
  <c r="O297" i="27" s="1"/>
  <c r="N932" i="27"/>
  <c r="N299" i="27" s="1"/>
  <c r="O931" i="27"/>
  <c r="O932" i="27" s="1"/>
  <c r="O299" i="27" s="1"/>
  <c r="N920" i="27"/>
  <c r="N291" i="27" s="1"/>
  <c r="O915" i="27"/>
  <c r="O920" i="27" s="1"/>
  <c r="O291" i="27" s="1"/>
  <c r="N912" i="27"/>
  <c r="N287" i="27" s="1"/>
  <c r="O911" i="27"/>
  <c r="O912" i="27" s="1"/>
  <c r="O287" i="27" s="1"/>
  <c r="N902" i="27"/>
  <c r="O897" i="27"/>
  <c r="O902" i="27" s="1"/>
  <c r="N890" i="27"/>
  <c r="N275" i="27" s="1"/>
  <c r="N281" i="27" s="1"/>
  <c r="N47" i="27" s="1"/>
  <c r="O889" i="27"/>
  <c r="O890" i="27" s="1"/>
  <c r="O275" i="27" s="1"/>
  <c r="O281" i="27" s="1"/>
  <c r="O47" i="27" s="1"/>
  <c r="N872" i="27"/>
  <c r="N267" i="27" s="1"/>
  <c r="O871" i="27"/>
  <c r="O872" i="27" s="1"/>
  <c r="O267" i="27" s="1"/>
  <c r="N866" i="27"/>
  <c r="N264" i="27" s="1"/>
  <c r="O854" i="27"/>
  <c r="O866" i="27" s="1"/>
  <c r="O264" i="27" s="1"/>
  <c r="N852" i="27"/>
  <c r="O851" i="27"/>
  <c r="O852" i="27" s="1"/>
  <c r="N846" i="27"/>
  <c r="N261" i="27" s="1"/>
  <c r="O845" i="27"/>
  <c r="O846" i="27" s="1"/>
  <c r="O261" i="27" s="1"/>
  <c r="N843" i="27"/>
  <c r="N260" i="27" s="1"/>
  <c r="O842" i="27"/>
  <c r="O843" i="27" s="1"/>
  <c r="O260" i="27" s="1"/>
  <c r="N837" i="27"/>
  <c r="N258" i="27" s="1"/>
  <c r="O836" i="27"/>
  <c r="O837" i="27" s="1"/>
  <c r="O258" i="27" s="1"/>
  <c r="N840" i="27"/>
  <c r="N259" i="27" s="1"/>
  <c r="O839" i="27"/>
  <c r="O840" i="27" s="1"/>
  <c r="O259" i="27" s="1"/>
  <c r="N180" i="27"/>
  <c r="O689" i="27"/>
  <c r="O180" i="27" s="1"/>
  <c r="N179" i="27"/>
  <c r="O681" i="27"/>
  <c r="O179" i="27" s="1"/>
  <c r="N178" i="27"/>
  <c r="O684" i="27"/>
  <c r="O178" i="27" s="1"/>
  <c r="N676" i="27"/>
  <c r="N168" i="27" s="1"/>
  <c r="N169" i="27" s="1"/>
  <c r="N40" i="27" s="1"/>
  <c r="O672" i="27"/>
  <c r="O676" i="27" s="1"/>
  <c r="O168" i="27" s="1"/>
  <c r="O169" i="27" s="1"/>
  <c r="O40" i="27" s="1"/>
  <c r="N662" i="27"/>
  <c r="N157" i="27" s="1"/>
  <c r="N158" i="27" s="1"/>
  <c r="N38" i="27" s="1"/>
  <c r="O661" i="27"/>
  <c r="O662" i="27" s="1"/>
  <c r="O157" i="27" s="1"/>
  <c r="O158" i="27" s="1"/>
  <c r="O38" i="27" s="1"/>
  <c r="N139" i="27"/>
  <c r="O489" i="27"/>
  <c r="O139" i="27" s="1"/>
  <c r="N140" i="27"/>
  <c r="O497" i="27"/>
  <c r="O140" i="27" s="1"/>
  <c r="N138" i="27"/>
  <c r="O492" i="27"/>
  <c r="O138" i="27" s="1"/>
  <c r="N214" i="27"/>
  <c r="N74" i="27" s="1"/>
  <c r="O213" i="27"/>
  <c r="O214" i="27" s="1"/>
  <c r="O74" i="27" s="1"/>
  <c r="N134" i="27"/>
  <c r="N31" i="27" s="1"/>
  <c r="O133" i="27"/>
  <c r="O134" i="27" s="1"/>
  <c r="O31" i="27" s="1"/>
  <c r="N163" i="27"/>
  <c r="N39" i="27" s="1"/>
  <c r="O162" i="27"/>
  <c r="O163" i="27" s="1"/>
  <c r="O39" i="27" s="1"/>
  <c r="N125" i="26"/>
  <c r="N73" i="26" s="1"/>
  <c r="N74" i="26" s="1"/>
  <c r="N29" i="26" s="1"/>
  <c r="N39" i="26" s="1"/>
  <c r="O121" i="26"/>
  <c r="O125" i="26" s="1"/>
  <c r="O73" i="26" s="1"/>
  <c r="O74" i="26" s="1"/>
  <c r="O29" i="26" s="1"/>
  <c r="O39" i="26" s="1"/>
  <c r="N160" i="28"/>
  <c r="N107" i="28" s="1"/>
  <c r="N108" i="28" s="1"/>
  <c r="N48" i="28" s="1"/>
  <c r="M83" i="28"/>
  <c r="M84" i="28" s="1"/>
  <c r="M38" i="28" s="1"/>
  <c r="M57" i="30"/>
  <c r="M71" i="30"/>
  <c r="M25" i="30" s="1"/>
  <c r="N71" i="30"/>
  <c r="N25" i="30" s="1"/>
  <c r="M142" i="27"/>
  <c r="M32" i="27" s="1"/>
  <c r="M293" i="27"/>
  <c r="M48" i="27" s="1"/>
  <c r="M116" i="32"/>
  <c r="M32" i="32" s="1"/>
  <c r="M31" i="32"/>
  <c r="M304" i="27"/>
  <c r="M49" i="27" s="1"/>
  <c r="M269" i="27"/>
  <c r="M45" i="27" s="1"/>
  <c r="M316" i="27"/>
  <c r="M50" i="27" s="1"/>
  <c r="M346" i="27"/>
  <c r="M55" i="27" s="1"/>
  <c r="M1075" i="27"/>
  <c r="M394" i="27" s="1"/>
  <c r="M395" i="27" s="1"/>
  <c r="M85" i="27" s="1"/>
  <c r="M182" i="27"/>
  <c r="M42" i="27" s="1"/>
  <c r="M110" i="32"/>
  <c r="M26" i="32" s="1"/>
  <c r="L32" i="72"/>
  <c r="Q32" i="72" s="1"/>
  <c r="L33" i="72"/>
  <c r="Q33" i="72" s="1"/>
  <c r="K37" i="72"/>
  <c r="P37" i="72" s="1"/>
  <c r="L94" i="72"/>
  <c r="Q94" i="72" s="1"/>
  <c r="M36" i="72"/>
  <c r="R36" i="72" s="1"/>
  <c r="M31" i="72"/>
  <c r="R31" i="72" s="1"/>
  <c r="M99" i="72"/>
  <c r="R99" i="72" s="1"/>
  <c r="N99" i="72"/>
  <c r="S99" i="72" s="1"/>
  <c r="L36" i="72"/>
  <c r="M61" i="26"/>
  <c r="M45" i="31"/>
  <c r="K68" i="32"/>
  <c r="L1075" i="27"/>
  <c r="L394" i="27" s="1"/>
  <c r="L395" i="27" s="1"/>
  <c r="L85" i="27" s="1"/>
  <c r="L86" i="27"/>
  <c r="L46" i="32"/>
  <c r="F34" i="70" s="1"/>
  <c r="M86" i="27"/>
  <c r="L64" i="27"/>
  <c r="N110" i="32" l="1"/>
  <c r="N26" i="32" s="1"/>
  <c r="N116" i="32"/>
  <c r="N32" i="32" s="1"/>
  <c r="O116" i="32"/>
  <c r="O32" i="32" s="1"/>
  <c r="N61" i="26"/>
  <c r="H28" i="70"/>
  <c r="O61" i="26"/>
  <c r="I28" i="70"/>
  <c r="O110" i="32"/>
  <c r="O26" i="32" s="1"/>
  <c r="M34" i="70"/>
  <c r="Y34" i="70"/>
  <c r="AA99" i="70"/>
  <c r="Q99" i="70"/>
  <c r="O31" i="32"/>
  <c r="O46" i="32" s="1"/>
  <c r="F29" i="70"/>
  <c r="Y29" i="70" s="1"/>
  <c r="N45" i="31"/>
  <c r="H33" i="70"/>
  <c r="O45" i="31"/>
  <c r="I33" i="70"/>
  <c r="O1075" i="27"/>
  <c r="O394" i="27" s="1"/>
  <c r="O395" i="27" s="1"/>
  <c r="O85" i="27" s="1"/>
  <c r="N1075" i="27"/>
  <c r="N394" i="27" s="1"/>
  <c r="N395" i="27" s="1"/>
  <c r="N85" i="27" s="1"/>
  <c r="O226" i="27"/>
  <c r="O227" i="27" s="1"/>
  <c r="O78" i="27" s="1"/>
  <c r="O50" i="28"/>
  <c r="O33" i="30"/>
  <c r="O86" i="27"/>
  <c r="N86" i="27"/>
  <c r="N304" i="27"/>
  <c r="N49" i="27" s="1"/>
  <c r="N293" i="27"/>
  <c r="N48" i="27" s="1"/>
  <c r="N142" i="27"/>
  <c r="N32" i="27" s="1"/>
  <c r="N182" i="27"/>
  <c r="N42" i="27" s="1"/>
  <c r="N316" i="27"/>
  <c r="N50" i="27" s="1"/>
  <c r="N346" i="27"/>
  <c r="N55" i="27" s="1"/>
  <c r="N269" i="27"/>
  <c r="N45" i="27" s="1"/>
  <c r="O182" i="27"/>
  <c r="O42" i="27" s="1"/>
  <c r="O293" i="27"/>
  <c r="O48" i="27" s="1"/>
  <c r="O346" i="27"/>
  <c r="O55" i="27" s="1"/>
  <c r="O316" i="27"/>
  <c r="O50" i="27" s="1"/>
  <c r="O304" i="27"/>
  <c r="O49" i="27" s="1"/>
  <c r="O269" i="27"/>
  <c r="O45" i="27" s="1"/>
  <c r="O142" i="27"/>
  <c r="O32" i="27" s="1"/>
  <c r="M99" i="27"/>
  <c r="M46" i="32"/>
  <c r="N46" i="32"/>
  <c r="H34" i="70" s="1"/>
  <c r="L37" i="72"/>
  <c r="Q37" i="72" s="1"/>
  <c r="N36" i="72"/>
  <c r="S36" i="72" s="1"/>
  <c r="N31" i="72"/>
  <c r="S31" i="72" s="1"/>
  <c r="Q36" i="72"/>
  <c r="L68" i="32"/>
  <c r="L99" i="27"/>
  <c r="F94" i="70" s="1"/>
  <c r="G261" i="25"/>
  <c r="G242" i="25"/>
  <c r="G203" i="25"/>
  <c r="E193" i="25"/>
  <c r="L191" i="25"/>
  <c r="L193" i="25" s="1"/>
  <c r="E182" i="25"/>
  <c r="E176" i="25"/>
  <c r="E170" i="25"/>
  <c r="E163" i="25"/>
  <c r="E152" i="25"/>
  <c r="E129" i="25"/>
  <c r="B110" i="25"/>
  <c r="A110" i="25"/>
  <c r="B105" i="25"/>
  <c r="A105" i="25"/>
  <c r="M101" i="25"/>
  <c r="M46" i="25" s="1"/>
  <c r="L101" i="25"/>
  <c r="L46" i="25" s="1"/>
  <c r="B100" i="25"/>
  <c r="A100" i="25"/>
  <c r="B94" i="25"/>
  <c r="A94" i="25"/>
  <c r="B89" i="25"/>
  <c r="A89" i="25"/>
  <c r="B79" i="25"/>
  <c r="A79" i="25"/>
  <c r="B84" i="25"/>
  <c r="A84" i="25"/>
  <c r="B74" i="25"/>
  <c r="A74" i="25"/>
  <c r="B69" i="25"/>
  <c r="A69" i="25"/>
  <c r="B64" i="25"/>
  <c r="A64" i="25"/>
  <c r="D47" i="25"/>
  <c r="D46" i="25"/>
  <c r="D40" i="25"/>
  <c r="D39" i="25"/>
  <c r="D37" i="25"/>
  <c r="D36" i="25"/>
  <c r="D35" i="25"/>
  <c r="D34" i="25"/>
  <c r="D33" i="25"/>
  <c r="E278" i="24"/>
  <c r="M242" i="24"/>
  <c r="M93" i="24" s="1"/>
  <c r="L242" i="24"/>
  <c r="L93" i="24" s="1"/>
  <c r="E242" i="24"/>
  <c r="E239" i="24"/>
  <c r="E209" i="24"/>
  <c r="B195" i="24"/>
  <c r="A195" i="24"/>
  <c r="B194" i="24"/>
  <c r="A194" i="24"/>
  <c r="B182" i="24"/>
  <c r="A182" i="24"/>
  <c r="B165" i="24"/>
  <c r="A165" i="24"/>
  <c r="B164" i="24"/>
  <c r="A164" i="24"/>
  <c r="B163" i="24"/>
  <c r="A163" i="24"/>
  <c r="M41" i="24"/>
  <c r="L41" i="24"/>
  <c r="B152" i="24"/>
  <c r="A152" i="24"/>
  <c r="B147" i="24"/>
  <c r="A147" i="24"/>
  <c r="B141" i="24"/>
  <c r="A141" i="24"/>
  <c r="B135" i="24"/>
  <c r="A135" i="24"/>
  <c r="B129" i="24"/>
  <c r="A129" i="24"/>
  <c r="B124" i="24"/>
  <c r="A124" i="24"/>
  <c r="B117" i="24"/>
  <c r="A117" i="24"/>
  <c r="B111" i="24"/>
  <c r="A111" i="24"/>
  <c r="B105" i="24"/>
  <c r="A105" i="24"/>
  <c r="B99" i="24"/>
  <c r="A99" i="24"/>
  <c r="B93" i="24"/>
  <c r="A93" i="24"/>
  <c r="B92" i="24"/>
  <c r="A92" i="24"/>
  <c r="B87" i="24"/>
  <c r="A87" i="24"/>
  <c r="B86" i="24"/>
  <c r="A86" i="24"/>
  <c r="B81" i="24"/>
  <c r="A81" i="24"/>
  <c r="B76" i="24"/>
  <c r="A76" i="24"/>
  <c r="D56" i="24"/>
  <c r="D42" i="24"/>
  <c r="D41" i="24"/>
  <c r="D40" i="24"/>
  <c r="D39" i="24"/>
  <c r="D38" i="24"/>
  <c r="D37" i="24"/>
  <c r="D36" i="24"/>
  <c r="D35" i="24"/>
  <c r="D34" i="24"/>
  <c r="D33" i="24"/>
  <c r="D32" i="24"/>
  <c r="D31" i="24"/>
  <c r="D30" i="24"/>
  <c r="D29" i="24"/>
  <c r="D28" i="24"/>
  <c r="D27" i="24"/>
  <c r="D26" i="24"/>
  <c r="U272" i="23"/>
  <c r="T272" i="23"/>
  <c r="S272" i="23"/>
  <c r="R272" i="23"/>
  <c r="M254" i="23"/>
  <c r="S230" i="23"/>
  <c r="E230" i="23"/>
  <c r="E222" i="23"/>
  <c r="E206" i="23"/>
  <c r="E193" i="23"/>
  <c r="R181" i="23"/>
  <c r="E126" i="23"/>
  <c r="B115" i="23"/>
  <c r="A115" i="23"/>
  <c r="B110" i="23"/>
  <c r="A110" i="23"/>
  <c r="B104" i="23"/>
  <c r="A104" i="23"/>
  <c r="B103" i="23"/>
  <c r="A103" i="23"/>
  <c r="B98" i="23"/>
  <c r="A98" i="23"/>
  <c r="B93" i="23"/>
  <c r="A93" i="23"/>
  <c r="B88" i="23"/>
  <c r="A88" i="23"/>
  <c r="B87" i="23"/>
  <c r="A87" i="23"/>
  <c r="B86" i="23"/>
  <c r="A86" i="23"/>
  <c r="B85" i="23"/>
  <c r="A85" i="23"/>
  <c r="Q62" i="23"/>
  <c r="D59" i="23"/>
  <c r="D58" i="23"/>
  <c r="D43" i="23"/>
  <c r="D40" i="23"/>
  <c r="E137" i="22"/>
  <c r="M131" i="22"/>
  <c r="L130" i="22"/>
  <c r="M122" i="22"/>
  <c r="L121" i="22"/>
  <c r="E101" i="22"/>
  <c r="E92" i="22"/>
  <c r="B75" i="22"/>
  <c r="A75" i="22"/>
  <c r="B69" i="22"/>
  <c r="A69" i="22"/>
  <c r="B64" i="22"/>
  <c r="A64" i="22"/>
  <c r="B59" i="22"/>
  <c r="A59" i="22"/>
  <c r="B58" i="22"/>
  <c r="A58" i="22"/>
  <c r="D42" i="22"/>
  <c r="D32" i="22"/>
  <c r="D31" i="22"/>
  <c r="E285" i="21"/>
  <c r="M284" i="21"/>
  <c r="M285" i="21" s="1"/>
  <c r="M121" i="21" s="1"/>
  <c r="L284" i="21"/>
  <c r="L285" i="21" s="1"/>
  <c r="L121" i="21" s="1"/>
  <c r="E282" i="21"/>
  <c r="E275" i="21"/>
  <c r="E259" i="21"/>
  <c r="E203" i="21"/>
  <c r="E192" i="21"/>
  <c r="M186" i="21"/>
  <c r="M81" i="21" s="1"/>
  <c r="L186" i="21"/>
  <c r="L81" i="21" s="1"/>
  <c r="E186" i="21"/>
  <c r="E172" i="21"/>
  <c r="E165" i="21"/>
  <c r="B137" i="21"/>
  <c r="B131" i="21"/>
  <c r="B126" i="21"/>
  <c r="B121" i="21"/>
  <c r="B120" i="21"/>
  <c r="B104" i="21"/>
  <c r="A104" i="21"/>
  <c r="B99" i="21"/>
  <c r="A99" i="21"/>
  <c r="B94" i="21"/>
  <c r="B93" i="21"/>
  <c r="B92" i="21"/>
  <c r="B91" i="21"/>
  <c r="B86" i="21"/>
  <c r="B81" i="21"/>
  <c r="B80" i="21"/>
  <c r="B75" i="21"/>
  <c r="B74" i="21"/>
  <c r="A74" i="21"/>
  <c r="B69" i="21"/>
  <c r="B64" i="21"/>
  <c r="D33" i="21"/>
  <c r="D32" i="21"/>
  <c r="D31" i="21"/>
  <c r="D30" i="21"/>
  <c r="D29" i="21"/>
  <c r="O45" i="30" l="1"/>
  <c r="I32" i="70"/>
  <c r="M32" i="72"/>
  <c r="R32" i="72" s="1"/>
  <c r="O59" i="28"/>
  <c r="I30" i="70"/>
  <c r="AA28" i="70"/>
  <c r="Q28" i="70"/>
  <c r="AA34" i="70"/>
  <c r="Q34" i="70"/>
  <c r="M68" i="32"/>
  <c r="G34" i="70"/>
  <c r="N37" i="72" s="1"/>
  <c r="S37" i="72" s="1"/>
  <c r="O68" i="32"/>
  <c r="I34" i="70"/>
  <c r="M29" i="70"/>
  <c r="M94" i="70"/>
  <c r="Y94" i="70"/>
  <c r="L101" i="27"/>
  <c r="G94" i="70"/>
  <c r="N99" i="27"/>
  <c r="H94" i="70" s="1"/>
  <c r="AA33" i="70"/>
  <c r="Q33" i="70"/>
  <c r="O99" i="27"/>
  <c r="I94" i="70" s="1"/>
  <c r="O64" i="27"/>
  <c r="N68" i="32"/>
  <c r="M37" i="72"/>
  <c r="R37" i="72" s="1"/>
  <c r="L264" i="24"/>
  <c r="M264" i="24" s="1"/>
  <c r="N264" i="24" s="1"/>
  <c r="O264" i="24" s="1"/>
  <c r="G214" i="21"/>
  <c r="G215" i="21" s="1"/>
  <c r="L89" i="22"/>
  <c r="M89" i="22" s="1"/>
  <c r="N89" i="22" s="1"/>
  <c r="O89" i="22" s="1"/>
  <c r="L99" i="22"/>
  <c r="M99" i="22" s="1"/>
  <c r="N99" i="22" s="1"/>
  <c r="O99" i="22" s="1"/>
  <c r="L202" i="21"/>
  <c r="M202" i="21" s="1"/>
  <c r="N202" i="21" s="1"/>
  <c r="O202" i="21" s="1"/>
  <c r="O203" i="21" s="1"/>
  <c r="O131" i="21" s="1"/>
  <c r="O133" i="21" s="1"/>
  <c r="O33" i="21" s="1"/>
  <c r="L204" i="23"/>
  <c r="M204" i="23" s="1"/>
  <c r="N204" i="23" s="1"/>
  <c r="O204" i="23" s="1"/>
  <c r="L235" i="24"/>
  <c r="M235" i="24" s="1"/>
  <c r="N235" i="24" s="1"/>
  <c r="O235" i="24" s="1"/>
  <c r="L135" i="22"/>
  <c r="M135" i="22" s="1"/>
  <c r="L267" i="24"/>
  <c r="M267" i="24" s="1"/>
  <c r="N267" i="24" s="1"/>
  <c r="O267" i="24" s="1"/>
  <c r="L157" i="25"/>
  <c r="M157" i="25" s="1"/>
  <c r="N157" i="25" s="1"/>
  <c r="O157" i="25" s="1"/>
  <c r="L158" i="25"/>
  <c r="M158" i="25" s="1"/>
  <c r="N158" i="25" s="1"/>
  <c r="O158" i="25" s="1"/>
  <c r="L159" i="25"/>
  <c r="M159" i="25" s="1"/>
  <c r="N159" i="25" s="1"/>
  <c r="O159" i="25" s="1"/>
  <c r="L165" i="24"/>
  <c r="M165" i="24" s="1"/>
  <c r="N165" i="24" s="1"/>
  <c r="O165" i="24" s="1"/>
  <c r="L233" i="24"/>
  <c r="M233" i="24" s="1"/>
  <c r="N233" i="24" s="1"/>
  <c r="O233" i="24" s="1"/>
  <c r="L160" i="25"/>
  <c r="M160" i="25" s="1"/>
  <c r="N160" i="25" s="1"/>
  <c r="O160" i="25" s="1"/>
  <c r="L199" i="23"/>
  <c r="M199" i="23" s="1"/>
  <c r="N199" i="23" s="1"/>
  <c r="O199" i="23" s="1"/>
  <c r="L202" i="23"/>
  <c r="M202" i="23" s="1"/>
  <c r="N202" i="23" s="1"/>
  <c r="O202" i="23" s="1"/>
  <c r="L236" i="24"/>
  <c r="M236" i="24" s="1"/>
  <c r="N236" i="24" s="1"/>
  <c r="O236" i="24" s="1"/>
  <c r="L280" i="21"/>
  <c r="M280" i="21" s="1"/>
  <c r="N280" i="21" s="1"/>
  <c r="O280" i="21" s="1"/>
  <c r="L272" i="21"/>
  <c r="M272" i="21" s="1"/>
  <c r="N272" i="21" s="1"/>
  <c r="O272" i="21" s="1"/>
  <c r="L161" i="25"/>
  <c r="M161" i="25" s="1"/>
  <c r="N161" i="25" s="1"/>
  <c r="O161" i="25" s="1"/>
  <c r="L93" i="21"/>
  <c r="M93" i="21" s="1"/>
  <c r="N93" i="21" s="1"/>
  <c r="O93" i="21" s="1"/>
  <c r="L124" i="23"/>
  <c r="M124" i="23" s="1"/>
  <c r="N124" i="23" s="1"/>
  <c r="O124" i="23" s="1"/>
  <c r="L181" i="25"/>
  <c r="M181" i="25" s="1"/>
  <c r="N181" i="25" s="1"/>
  <c r="O181" i="25" s="1"/>
  <c r="L148" i="21"/>
  <c r="M148" i="21" s="1"/>
  <c r="N148" i="21" s="1"/>
  <c r="O148" i="21" s="1"/>
  <c r="L100" i="22"/>
  <c r="M100" i="22" s="1"/>
  <c r="N100" i="22" s="1"/>
  <c r="O100" i="22" s="1"/>
  <c r="L146" i="22"/>
  <c r="M146" i="22" s="1"/>
  <c r="N146" i="22" s="1"/>
  <c r="O146" i="22" s="1"/>
  <c r="L94" i="21"/>
  <c r="M94" i="21" s="1"/>
  <c r="N94" i="21" s="1"/>
  <c r="O94" i="21" s="1"/>
  <c r="L224" i="21"/>
  <c r="M224" i="21" s="1"/>
  <c r="N224" i="21" s="1"/>
  <c r="O224" i="21" s="1"/>
  <c r="L201" i="23"/>
  <c r="M201" i="23" s="1"/>
  <c r="N201" i="23" s="1"/>
  <c r="O201" i="23" s="1"/>
  <c r="L175" i="25"/>
  <c r="M175" i="25" s="1"/>
  <c r="N175" i="25" s="1"/>
  <c r="O175" i="25" s="1"/>
  <c r="L97" i="22"/>
  <c r="M97" i="22" s="1"/>
  <c r="N97" i="22" s="1"/>
  <c r="O97" i="22" s="1"/>
  <c r="L227" i="23"/>
  <c r="M227" i="23" s="1"/>
  <c r="N227" i="23" s="1"/>
  <c r="O227" i="23" s="1"/>
  <c r="L98" i="22"/>
  <c r="M98" i="22" s="1"/>
  <c r="N98" i="22" s="1"/>
  <c r="O98" i="22" s="1"/>
  <c r="L190" i="23"/>
  <c r="M190" i="23" s="1"/>
  <c r="N190" i="23" s="1"/>
  <c r="O190" i="23" s="1"/>
  <c r="L207" i="24"/>
  <c r="L209" i="24" s="1"/>
  <c r="L263" i="24"/>
  <c r="M263" i="24" s="1"/>
  <c r="N263" i="24" s="1"/>
  <c r="O263" i="24" s="1"/>
  <c r="M191" i="25"/>
  <c r="M193" i="25" s="1"/>
  <c r="L174" i="25"/>
  <c r="L138" i="25"/>
  <c r="M138" i="25" s="1"/>
  <c r="N138" i="25" s="1"/>
  <c r="O138" i="25" s="1"/>
  <c r="L234" i="24"/>
  <c r="M234" i="24" s="1"/>
  <c r="N234" i="24" s="1"/>
  <c r="O234" i="24" s="1"/>
  <c r="L237" i="24"/>
  <c r="M237" i="24" s="1"/>
  <c r="N237" i="24" s="1"/>
  <c r="O237" i="24" s="1"/>
  <c r="L265" i="24"/>
  <c r="M265" i="24" s="1"/>
  <c r="N265" i="24" s="1"/>
  <c r="O265" i="24" s="1"/>
  <c r="L268" i="24"/>
  <c r="M268" i="24" s="1"/>
  <c r="N268" i="24" s="1"/>
  <c r="O268" i="24" s="1"/>
  <c r="L164" i="24"/>
  <c r="M164" i="24" s="1"/>
  <c r="N164" i="24" s="1"/>
  <c r="O164" i="24" s="1"/>
  <c r="L266" i="24"/>
  <c r="M266" i="24" s="1"/>
  <c r="N266" i="24" s="1"/>
  <c r="O266" i="24" s="1"/>
  <c r="L220" i="23"/>
  <c r="L86" i="23"/>
  <c r="M86" i="23" s="1"/>
  <c r="N86" i="23" s="1"/>
  <c r="O86" i="23" s="1"/>
  <c r="L88" i="23"/>
  <c r="M88" i="23" s="1"/>
  <c r="N88" i="23" s="1"/>
  <c r="O88" i="23" s="1"/>
  <c r="L125" i="23"/>
  <c r="M125" i="23" s="1"/>
  <c r="N125" i="23" s="1"/>
  <c r="O125" i="23" s="1"/>
  <c r="L191" i="23"/>
  <c r="M191" i="23" s="1"/>
  <c r="N191" i="23" s="1"/>
  <c r="O191" i="23" s="1"/>
  <c r="L90" i="22"/>
  <c r="M90" i="22" s="1"/>
  <c r="N90" i="22" s="1"/>
  <c r="O90" i="22" s="1"/>
  <c r="L64" i="22"/>
  <c r="L88" i="22"/>
  <c r="M88" i="22" s="1"/>
  <c r="N88" i="22" s="1"/>
  <c r="O88" i="22" s="1"/>
  <c r="L281" i="21"/>
  <c r="M281" i="21" s="1"/>
  <c r="N281" i="21" s="1"/>
  <c r="O281" i="21" s="1"/>
  <c r="L279" i="21"/>
  <c r="M279" i="21" s="1"/>
  <c r="N279" i="21" s="1"/>
  <c r="O279" i="21" s="1"/>
  <c r="G216" i="21" l="1"/>
  <c r="G217" i="21" s="1"/>
  <c r="O217" i="21" s="1"/>
  <c r="O218" i="21" s="1"/>
  <c r="O92" i="21" s="1"/>
  <c r="O269" i="24"/>
  <c r="O194" i="24" s="1"/>
  <c r="O196" i="24" s="1"/>
  <c r="O30" i="24" s="1"/>
  <c r="O34" i="70"/>
  <c r="Z34" i="70"/>
  <c r="I29" i="70"/>
  <c r="O101" i="27"/>
  <c r="Q94" i="70"/>
  <c r="AA94" i="70"/>
  <c r="N94" i="72"/>
  <c r="S94" i="72" s="1"/>
  <c r="Z94" i="70"/>
  <c r="O94" i="70"/>
  <c r="O101" i="22"/>
  <c r="O69" i="22" s="1"/>
  <c r="O70" i="22" s="1"/>
  <c r="O32" i="22" s="1"/>
  <c r="L139" i="25"/>
  <c r="M139" i="25" s="1"/>
  <c r="N139" i="25" s="1"/>
  <c r="O139" i="25" s="1"/>
  <c r="L257" i="21"/>
  <c r="M215" i="21"/>
  <c r="M218" i="21" s="1"/>
  <c r="M92" i="21" s="1"/>
  <c r="K92" i="72"/>
  <c r="P92" i="72" s="1"/>
  <c r="M94" i="72"/>
  <c r="R94" i="72" s="1"/>
  <c r="K91" i="72"/>
  <c r="P91" i="72" s="1"/>
  <c r="N101" i="22"/>
  <c r="N69" i="22" s="1"/>
  <c r="N70" i="22" s="1"/>
  <c r="N32" i="22" s="1"/>
  <c r="M137" i="25"/>
  <c r="N191" i="25"/>
  <c r="N193" i="25" s="1"/>
  <c r="L214" i="21"/>
  <c r="L218" i="21" s="1"/>
  <c r="L92" i="21" s="1"/>
  <c r="M137" i="22"/>
  <c r="M75" i="22" s="1"/>
  <c r="M76" i="22" s="1"/>
  <c r="M42" i="22" s="1"/>
  <c r="M46" i="22" s="1"/>
  <c r="N135" i="22"/>
  <c r="L141" i="24"/>
  <c r="L142" i="24" s="1"/>
  <c r="L191" i="21"/>
  <c r="L192" i="21" s="1"/>
  <c r="L86" i="21" s="1"/>
  <c r="L87" i="21" s="1"/>
  <c r="L32" i="21" s="1"/>
  <c r="L189" i="23"/>
  <c r="L81" i="24"/>
  <c r="L137" i="22"/>
  <c r="L75" i="22" s="1"/>
  <c r="L76" i="22" s="1"/>
  <c r="L42" i="22" s="1"/>
  <c r="L46" i="22" s="1"/>
  <c r="L117" i="24"/>
  <c r="L277" i="24"/>
  <c r="M277" i="24" s="1"/>
  <c r="N277" i="24" s="1"/>
  <c r="O277" i="24" s="1"/>
  <c r="L152" i="24"/>
  <c r="L153" i="24" s="1"/>
  <c r="L40" i="24" s="1"/>
  <c r="L202" i="25"/>
  <c r="M101" i="22"/>
  <c r="M69" i="22" s="1"/>
  <c r="M70" i="22" s="1"/>
  <c r="M32" i="22" s="1"/>
  <c r="L167" i="25"/>
  <c r="L101" i="22"/>
  <c r="L69" i="22" s="1"/>
  <c r="L70" i="22" s="1"/>
  <c r="L32" i="22" s="1"/>
  <c r="L103" i="23"/>
  <c r="L176" i="25"/>
  <c r="M174" i="25"/>
  <c r="L156" i="25"/>
  <c r="L180" i="25"/>
  <c r="L137" i="25"/>
  <c r="L105" i="25"/>
  <c r="L76" i="24"/>
  <c r="L77" i="24" s="1"/>
  <c r="L26" i="24" s="1"/>
  <c r="M207" i="24"/>
  <c r="M209" i="24" s="1"/>
  <c r="L163" i="24"/>
  <c r="M276" i="24"/>
  <c r="N276" i="24" s="1"/>
  <c r="O276" i="24" s="1"/>
  <c r="L123" i="23"/>
  <c r="L200" i="23"/>
  <c r="L222" i="23"/>
  <c r="L110" i="23" s="1"/>
  <c r="L111" i="23" s="1"/>
  <c r="M220" i="23"/>
  <c r="L182" i="23"/>
  <c r="L226" i="23"/>
  <c r="L230" i="23" s="1"/>
  <c r="L58" i="22"/>
  <c r="M64" i="22"/>
  <c r="L65" i="22"/>
  <c r="L33" i="22" s="1"/>
  <c r="L170" i="21"/>
  <c r="L256" i="21"/>
  <c r="L278" i="21"/>
  <c r="O278" i="24" l="1"/>
  <c r="O182" i="24" s="1"/>
  <c r="O183" i="24" s="1"/>
  <c r="O56" i="24" s="1"/>
  <c r="O62" i="24" s="1"/>
  <c r="I91" i="70" s="1"/>
  <c r="N216" i="21"/>
  <c r="N218" i="21" s="1"/>
  <c r="N92" i="21" s="1"/>
  <c r="L106" i="25"/>
  <c r="L47" i="25" s="1"/>
  <c r="N137" i="25"/>
  <c r="N141" i="25" s="1"/>
  <c r="N152" i="25" s="1"/>
  <c r="O191" i="25"/>
  <c r="O193" i="25" s="1"/>
  <c r="N137" i="22"/>
  <c r="N75" i="22" s="1"/>
  <c r="N76" i="22" s="1"/>
  <c r="N180" i="22" s="1"/>
  <c r="O135" i="22"/>
  <c r="O137" i="22" s="1"/>
  <c r="O75" i="22" s="1"/>
  <c r="O76" i="22" s="1"/>
  <c r="M117" i="24"/>
  <c r="M118" i="24" s="1"/>
  <c r="M34" i="24" s="1"/>
  <c r="L118" i="24"/>
  <c r="L34" i="24" s="1"/>
  <c r="M167" i="25"/>
  <c r="M170" i="25" s="1"/>
  <c r="L170" i="25"/>
  <c r="L84" i="25" s="1"/>
  <c r="L85" i="25" s="1"/>
  <c r="L40" i="25" s="1"/>
  <c r="L141" i="25"/>
  <c r="L152" i="25" s="1"/>
  <c r="M141" i="25"/>
  <c r="M152" i="25" s="1"/>
  <c r="M105" i="25"/>
  <c r="L211" i="23"/>
  <c r="M211" i="23" s="1"/>
  <c r="N278" i="24"/>
  <c r="N182" i="24" s="1"/>
  <c r="N183" i="24" s="1"/>
  <c r="N56" i="24" s="1"/>
  <c r="N62" i="24" s="1"/>
  <c r="H91" i="70" s="1"/>
  <c r="M257" i="21"/>
  <c r="L115" i="21"/>
  <c r="L40" i="21" s="1"/>
  <c r="L90" i="72"/>
  <c r="Q90" i="72" s="1"/>
  <c r="N89" i="72"/>
  <c r="S89" i="72" s="1"/>
  <c r="K90" i="72"/>
  <c r="P90" i="72" s="1"/>
  <c r="M89" i="72"/>
  <c r="R89" i="72" s="1"/>
  <c r="M76" i="24"/>
  <c r="M77" i="24" s="1"/>
  <c r="M26" i="24" s="1"/>
  <c r="N207" i="24"/>
  <c r="N42" i="22"/>
  <c r="N46" i="22" s="1"/>
  <c r="M65" i="22"/>
  <c r="M33" i="22" s="1"/>
  <c r="N64" i="22"/>
  <c r="N105" i="25"/>
  <c r="M176" i="25"/>
  <c r="N174" i="25"/>
  <c r="M180" i="22"/>
  <c r="M222" i="23"/>
  <c r="M110" i="23" s="1"/>
  <c r="M111" i="23" s="1"/>
  <c r="M275" i="23" s="1"/>
  <c r="N220" i="23"/>
  <c r="M191" i="21"/>
  <c r="L229" i="21"/>
  <c r="L230" i="21" s="1"/>
  <c r="L104" i="21" s="1"/>
  <c r="L105" i="21" s="1"/>
  <c r="L38" i="21" s="1"/>
  <c r="L278" i="24"/>
  <c r="L223" i="21"/>
  <c r="M152" i="24"/>
  <c r="L128" i="25"/>
  <c r="M128" i="25" s="1"/>
  <c r="L180" i="22"/>
  <c r="M278" i="24"/>
  <c r="M182" i="24" s="1"/>
  <c r="M183" i="24" s="1"/>
  <c r="M56" i="24" s="1"/>
  <c r="M62" i="24" s="1"/>
  <c r="G91" i="70" s="1"/>
  <c r="L111" i="24"/>
  <c r="L135" i="24"/>
  <c r="L136" i="24" s="1"/>
  <c r="L147" i="21"/>
  <c r="L124" i="24"/>
  <c r="L163" i="25"/>
  <c r="L89" i="25" s="1"/>
  <c r="L90" i="25" s="1"/>
  <c r="L39" i="25" s="1"/>
  <c r="M156" i="25"/>
  <c r="L69" i="25"/>
  <c r="M180" i="25"/>
  <c r="L182" i="25"/>
  <c r="L94" i="25" s="1"/>
  <c r="L95" i="25" s="1"/>
  <c r="L36" i="25" s="1"/>
  <c r="L64" i="25"/>
  <c r="M202" i="25"/>
  <c r="L203" i="25"/>
  <c r="L110" i="25" s="1"/>
  <c r="L111" i="25" s="1"/>
  <c r="L48" i="25" s="1"/>
  <c r="L82" i="24"/>
  <c r="L27" i="24" s="1"/>
  <c r="M81" i="24"/>
  <c r="L232" i="24"/>
  <c r="M141" i="24"/>
  <c r="M142" i="24" s="1"/>
  <c r="L38" i="24"/>
  <c r="L166" i="24"/>
  <c r="L42" i="24" s="1"/>
  <c r="M163" i="24"/>
  <c r="L269" i="24"/>
  <c r="L194" i="24" s="1"/>
  <c r="L196" i="24" s="1"/>
  <c r="L30" i="24" s="1"/>
  <c r="L86" i="24"/>
  <c r="L58" i="23"/>
  <c r="L275" i="23"/>
  <c r="M103" i="23"/>
  <c r="N103" i="23" s="1"/>
  <c r="O103" i="23" s="1"/>
  <c r="M200" i="23"/>
  <c r="L206" i="23"/>
  <c r="L98" i="23" s="1"/>
  <c r="M189" i="23"/>
  <c r="L193" i="23"/>
  <c r="L93" i="23" s="1"/>
  <c r="L94" i="23" s="1"/>
  <c r="L41" i="23" s="1"/>
  <c r="M226" i="23"/>
  <c r="M230" i="23" s="1"/>
  <c r="L115" i="23"/>
  <c r="L116" i="23" s="1"/>
  <c r="L59" i="23" s="1"/>
  <c r="L126" i="23"/>
  <c r="L85" i="23" s="1"/>
  <c r="M123" i="23"/>
  <c r="L184" i="23"/>
  <c r="L87" i="23" s="1"/>
  <c r="M182" i="23"/>
  <c r="L149" i="22"/>
  <c r="L87" i="22"/>
  <c r="M58" i="22"/>
  <c r="N58" i="22" s="1"/>
  <c r="O58" i="22" s="1"/>
  <c r="M278" i="21"/>
  <c r="L282" i="21"/>
  <c r="L120" i="21" s="1"/>
  <c r="L122" i="21" s="1"/>
  <c r="L47" i="21" s="1"/>
  <c r="L153" i="21"/>
  <c r="L156" i="21" s="1"/>
  <c r="L266" i="21"/>
  <c r="L274" i="21"/>
  <c r="L259" i="21"/>
  <c r="L137" i="21" s="1"/>
  <c r="M256" i="21"/>
  <c r="L91" i="21"/>
  <c r="L203" i="21"/>
  <c r="L131" i="21" s="1"/>
  <c r="L133" i="21" s="1"/>
  <c r="L33" i="21" s="1"/>
  <c r="M170" i="21"/>
  <c r="L172" i="21"/>
  <c r="L80" i="21" s="1"/>
  <c r="L82" i="21" s="1"/>
  <c r="L31" i="21" s="1"/>
  <c r="L182" i="24" l="1"/>
  <c r="L183" i="24" s="1"/>
  <c r="L56" i="24" s="1"/>
  <c r="N117" i="24"/>
  <c r="O117" i="24" s="1"/>
  <c r="O118" i="24" s="1"/>
  <c r="O34" i="24" s="1"/>
  <c r="O91" i="70"/>
  <c r="Z91" i="70"/>
  <c r="Q91" i="70"/>
  <c r="AA91" i="70"/>
  <c r="L79" i="25"/>
  <c r="L80" i="25" s="1"/>
  <c r="L37" i="25" s="1"/>
  <c r="M79" i="25"/>
  <c r="M80" i="25" s="1"/>
  <c r="M37" i="25" s="1"/>
  <c r="L50" i="25"/>
  <c r="N106" i="25"/>
  <c r="N47" i="25" s="1"/>
  <c r="F92" i="70"/>
  <c r="M92" i="70" s="1"/>
  <c r="M106" i="25"/>
  <c r="M47" i="25" s="1"/>
  <c r="O137" i="25"/>
  <c r="O141" i="25" s="1"/>
  <c r="O152" i="25" s="1"/>
  <c r="O105" i="25"/>
  <c r="N176" i="25"/>
  <c r="O174" i="25"/>
  <c r="O176" i="25" s="1"/>
  <c r="N209" i="24"/>
  <c r="N76" i="24" s="1"/>
  <c r="N77" i="24" s="1"/>
  <c r="N26" i="24" s="1"/>
  <c r="O207" i="24"/>
  <c r="N222" i="23"/>
  <c r="N110" i="23" s="1"/>
  <c r="N111" i="23" s="1"/>
  <c r="O220" i="23"/>
  <c r="O222" i="23" s="1"/>
  <c r="O110" i="23" s="1"/>
  <c r="O111" i="23" s="1"/>
  <c r="O180" i="22"/>
  <c r="O42" i="22"/>
  <c r="O46" i="22" s="1"/>
  <c r="N65" i="22"/>
  <c r="N33" i="22" s="1"/>
  <c r="O64" i="22"/>
  <c r="O65" i="22" s="1"/>
  <c r="O33" i="22" s="1"/>
  <c r="L168" i="22"/>
  <c r="L173" i="22"/>
  <c r="L163" i="22"/>
  <c r="L166" i="22"/>
  <c r="L169" i="22"/>
  <c r="L165" i="22"/>
  <c r="L162" i="22"/>
  <c r="L164" i="22"/>
  <c r="L167" i="22"/>
  <c r="L174" i="22"/>
  <c r="L100" i="24"/>
  <c r="L31" i="24" s="1"/>
  <c r="L148" i="24"/>
  <c r="L39" i="24" s="1"/>
  <c r="L125" i="24"/>
  <c r="L35" i="24" s="1"/>
  <c r="L106" i="24"/>
  <c r="L32" i="24" s="1"/>
  <c r="M111" i="24"/>
  <c r="M112" i="24" s="1"/>
  <c r="M33" i="24" s="1"/>
  <c r="L112" i="24"/>
  <c r="L33" i="24" s="1"/>
  <c r="L212" i="23"/>
  <c r="L104" i="23" s="1"/>
  <c r="L105" i="23" s="1"/>
  <c r="L43" i="23" s="1"/>
  <c r="M58" i="23"/>
  <c r="N79" i="25"/>
  <c r="L75" i="21"/>
  <c r="L226" i="21"/>
  <c r="L99" i="21" s="1"/>
  <c r="L100" i="21" s="1"/>
  <c r="L37" i="21" s="1"/>
  <c r="M229" i="21"/>
  <c r="M230" i="21" s="1"/>
  <c r="M104" i="21" s="1"/>
  <c r="M105" i="21" s="1"/>
  <c r="M38" i="21" s="1"/>
  <c r="N257" i="21"/>
  <c r="M115" i="21"/>
  <c r="M40" i="21" s="1"/>
  <c r="K88" i="72"/>
  <c r="P88" i="72" s="1"/>
  <c r="L89" i="72"/>
  <c r="Q89" i="72" s="1"/>
  <c r="K27" i="72"/>
  <c r="P27" i="72" s="1"/>
  <c r="N91" i="72"/>
  <c r="S91" i="72" s="1"/>
  <c r="L92" i="72"/>
  <c r="Q92" i="72" s="1"/>
  <c r="L91" i="72"/>
  <c r="Q91" i="72" s="1"/>
  <c r="K89" i="72"/>
  <c r="P89" i="72" s="1"/>
  <c r="M172" i="21"/>
  <c r="M80" i="21" s="1"/>
  <c r="M82" i="21" s="1"/>
  <c r="M31" i="21" s="1"/>
  <c r="N170" i="21"/>
  <c r="M149" i="22"/>
  <c r="M115" i="23"/>
  <c r="M116" i="23" s="1"/>
  <c r="M59" i="23" s="1"/>
  <c r="M73" i="23" s="1"/>
  <c r="G90" i="70" s="1"/>
  <c r="N226" i="23"/>
  <c r="O226" i="23" s="1"/>
  <c r="O230" i="23" s="1"/>
  <c r="O115" i="23" s="1"/>
  <c r="O116" i="23" s="1"/>
  <c r="O59" i="23" s="1"/>
  <c r="M82" i="24"/>
  <c r="M27" i="24" s="1"/>
  <c r="N81" i="24"/>
  <c r="M182" i="25"/>
  <c r="M94" i="25" s="1"/>
  <c r="M95" i="25" s="1"/>
  <c r="M36" i="25" s="1"/>
  <c r="N180" i="25"/>
  <c r="M163" i="25"/>
  <c r="M89" i="25" s="1"/>
  <c r="M90" i="25" s="1"/>
  <c r="M39" i="25" s="1"/>
  <c r="N156" i="25"/>
  <c r="M203" i="25"/>
  <c r="M110" i="25" s="1"/>
  <c r="M111" i="25" s="1"/>
  <c r="M48" i="25" s="1"/>
  <c r="N202" i="25"/>
  <c r="M269" i="24"/>
  <c r="M194" i="24" s="1"/>
  <c r="M196" i="24" s="1"/>
  <c r="M30" i="24" s="1"/>
  <c r="N269" i="24"/>
  <c r="N194" i="24" s="1"/>
  <c r="N196" i="24" s="1"/>
  <c r="N30" i="24" s="1"/>
  <c r="M166" i="24"/>
  <c r="M42" i="24" s="1"/>
  <c r="N163" i="24"/>
  <c r="M206" i="23"/>
  <c r="M98" i="23" s="1"/>
  <c r="M236" i="23" s="1"/>
  <c r="N200" i="23"/>
  <c r="M84" i="25"/>
  <c r="M85" i="25" s="1"/>
  <c r="M40" i="25" s="1"/>
  <c r="N167" i="25"/>
  <c r="O167" i="25" s="1"/>
  <c r="O170" i="25" s="1"/>
  <c r="O84" i="25" s="1"/>
  <c r="O85" i="25" s="1"/>
  <c r="O40" i="25" s="1"/>
  <c r="M192" i="21"/>
  <c r="M86" i="21" s="1"/>
  <c r="M87" i="21" s="1"/>
  <c r="M32" i="21" s="1"/>
  <c r="N191" i="21"/>
  <c r="M184" i="23"/>
  <c r="M87" i="23" s="1"/>
  <c r="N182" i="23"/>
  <c r="M212" i="23"/>
  <c r="M104" i="23" s="1"/>
  <c r="M105" i="23" s="1"/>
  <c r="M43" i="23" s="1"/>
  <c r="N211" i="23"/>
  <c r="M38" i="24"/>
  <c r="N141" i="24"/>
  <c r="O141" i="24" s="1"/>
  <c r="O142" i="24" s="1"/>
  <c r="O38" i="24" s="1"/>
  <c r="M126" i="23"/>
  <c r="M85" i="23" s="1"/>
  <c r="N123" i="23"/>
  <c r="M193" i="23"/>
  <c r="M93" i="23" s="1"/>
  <c r="M94" i="23" s="1"/>
  <c r="M41" i="23" s="1"/>
  <c r="N189" i="23"/>
  <c r="M129" i="25"/>
  <c r="M74" i="25" s="1"/>
  <c r="M75" i="25" s="1"/>
  <c r="M35" i="25" s="1"/>
  <c r="N128" i="25"/>
  <c r="M203" i="21"/>
  <c r="M131" i="21" s="1"/>
  <c r="M133" i="21" s="1"/>
  <c r="M33" i="21" s="1"/>
  <c r="N203" i="21"/>
  <c r="N131" i="21" s="1"/>
  <c r="N133" i="21" s="1"/>
  <c r="N33" i="21" s="1"/>
  <c r="M153" i="24"/>
  <c r="M40" i="24" s="1"/>
  <c r="N152" i="24"/>
  <c r="M259" i="21"/>
  <c r="M137" i="21" s="1"/>
  <c r="M138" i="21" s="1"/>
  <c r="M35" i="21" s="1"/>
  <c r="N256" i="21"/>
  <c r="O256" i="21" s="1"/>
  <c r="M282" i="21"/>
  <c r="M120" i="21" s="1"/>
  <c r="M122" i="21" s="1"/>
  <c r="M47" i="21" s="1"/>
  <c r="N278" i="21"/>
  <c r="M223" i="21"/>
  <c r="N223" i="21" s="1"/>
  <c r="M106" i="24"/>
  <c r="M148" i="24"/>
  <c r="L129" i="25"/>
  <c r="L74" i="25" s="1"/>
  <c r="L75" i="25" s="1"/>
  <c r="L35" i="25" s="1"/>
  <c r="M135" i="24"/>
  <c r="M136" i="24" s="1"/>
  <c r="L37" i="24"/>
  <c r="M124" i="24"/>
  <c r="M125" i="24" s="1"/>
  <c r="L149" i="21"/>
  <c r="L69" i="21" s="1"/>
  <c r="L70" i="21" s="1"/>
  <c r="L29" i="21" s="1"/>
  <c r="M147" i="21"/>
  <c r="L70" i="25"/>
  <c r="L34" i="25" s="1"/>
  <c r="M69" i="25"/>
  <c r="L65" i="25"/>
  <c r="L33" i="25" s="1"/>
  <c r="M64" i="25"/>
  <c r="L88" i="24"/>
  <c r="L28" i="24" s="1"/>
  <c r="M86" i="24"/>
  <c r="L239" i="24"/>
  <c r="L92" i="24" s="1"/>
  <c r="L94" i="24" s="1"/>
  <c r="L29" i="24" s="1"/>
  <c r="M232" i="24"/>
  <c r="L130" i="24"/>
  <c r="L36" i="24" s="1"/>
  <c r="L89" i="23"/>
  <c r="L99" i="23"/>
  <c r="L42" i="23" s="1"/>
  <c r="L236" i="23"/>
  <c r="L73" i="23"/>
  <c r="F90" i="70" s="1"/>
  <c r="L92" i="22"/>
  <c r="L59" i="22" s="1"/>
  <c r="L60" i="22" s="1"/>
  <c r="M87" i="22"/>
  <c r="M153" i="21"/>
  <c r="M156" i="21" s="1"/>
  <c r="L74" i="21"/>
  <c r="L138" i="21"/>
  <c r="L35" i="21" s="1"/>
  <c r="L291" i="21"/>
  <c r="L293" i="21" s="1"/>
  <c r="L95" i="21"/>
  <c r="L34" i="21" s="1"/>
  <c r="M91" i="21"/>
  <c r="M274" i="21"/>
  <c r="L275" i="21"/>
  <c r="L267" i="21"/>
  <c r="L126" i="21" s="1"/>
  <c r="L127" i="21" s="1"/>
  <c r="M266" i="21"/>
  <c r="L62" i="24" l="1"/>
  <c r="F91" i="70" s="1"/>
  <c r="N58" i="23"/>
  <c r="N275" i="23"/>
  <c r="O90" i="70"/>
  <c r="Z90" i="70"/>
  <c r="M90" i="70"/>
  <c r="Y90" i="70"/>
  <c r="O223" i="21"/>
  <c r="O226" i="21" s="1"/>
  <c r="O99" i="21" s="1"/>
  <c r="O100" i="21" s="1"/>
  <c r="O37" i="21" s="1"/>
  <c r="L53" i="24"/>
  <c r="F26" i="70" s="1"/>
  <c r="N118" i="24"/>
  <c r="N34" i="24" s="1"/>
  <c r="O208" i="24"/>
  <c r="O209" i="24" s="1"/>
  <c r="O76" i="24" s="1"/>
  <c r="O77" i="24" s="1"/>
  <c r="O26" i="24" s="1"/>
  <c r="M92" i="72"/>
  <c r="R92" i="72" s="1"/>
  <c r="Y92" i="70"/>
  <c r="M50" i="25"/>
  <c r="O79" i="25"/>
  <c r="O80" i="25" s="1"/>
  <c r="O37" i="25" s="1"/>
  <c r="G92" i="70"/>
  <c r="Z92" i="70" s="1"/>
  <c r="N80" i="25"/>
  <c r="N37" i="25" s="1"/>
  <c r="L43" i="25"/>
  <c r="F27" i="70" s="1"/>
  <c r="O106" i="25"/>
  <c r="O47" i="25" s="1"/>
  <c r="N203" i="25"/>
  <c r="N110" i="25" s="1"/>
  <c r="N111" i="25" s="1"/>
  <c r="N48" i="25" s="1"/>
  <c r="O202" i="25"/>
  <c r="O203" i="25" s="1"/>
  <c r="O110" i="25" s="1"/>
  <c r="O111" i="25" s="1"/>
  <c r="O48" i="25" s="1"/>
  <c r="N182" i="25"/>
  <c r="N94" i="25" s="1"/>
  <c r="N95" i="25" s="1"/>
  <c r="N36" i="25" s="1"/>
  <c r="O180" i="25"/>
  <c r="O182" i="25" s="1"/>
  <c r="O94" i="25" s="1"/>
  <c r="O95" i="25" s="1"/>
  <c r="O36" i="25" s="1"/>
  <c r="N163" i="25"/>
  <c r="N89" i="25" s="1"/>
  <c r="N90" i="25" s="1"/>
  <c r="N39" i="25" s="1"/>
  <c r="O156" i="25"/>
  <c r="O163" i="25" s="1"/>
  <c r="O89" i="25" s="1"/>
  <c r="O90" i="25" s="1"/>
  <c r="O39" i="25" s="1"/>
  <c r="N129" i="25"/>
  <c r="N74" i="25" s="1"/>
  <c r="N75" i="25" s="1"/>
  <c r="N35" i="25" s="1"/>
  <c r="O128" i="25"/>
  <c r="O129" i="25" s="1"/>
  <c r="O74" i="25" s="1"/>
  <c r="O75" i="25" s="1"/>
  <c r="O35" i="25" s="1"/>
  <c r="N153" i="24"/>
  <c r="N40" i="24" s="1"/>
  <c r="O152" i="24"/>
  <c r="O153" i="24" s="1"/>
  <c r="O40" i="24" s="1"/>
  <c r="N166" i="24"/>
  <c r="N42" i="24" s="1"/>
  <c r="O163" i="24"/>
  <c r="O166" i="24" s="1"/>
  <c r="O42" i="24" s="1"/>
  <c r="N82" i="24"/>
  <c r="N27" i="24" s="1"/>
  <c r="O81" i="24"/>
  <c r="O82" i="24" s="1"/>
  <c r="O27" i="24" s="1"/>
  <c r="O275" i="23"/>
  <c r="O58" i="23"/>
  <c r="O73" i="23" s="1"/>
  <c r="I90" i="70" s="1"/>
  <c r="N212" i="23"/>
  <c r="N104" i="23" s="1"/>
  <c r="N105" i="23" s="1"/>
  <c r="N43" i="23" s="1"/>
  <c r="O211" i="23"/>
  <c r="O212" i="23" s="1"/>
  <c r="O104" i="23" s="1"/>
  <c r="O105" i="23" s="1"/>
  <c r="O43" i="23" s="1"/>
  <c r="N206" i="23"/>
  <c r="N98" i="23" s="1"/>
  <c r="N99" i="23" s="1"/>
  <c r="N42" i="23" s="1"/>
  <c r="O200" i="23"/>
  <c r="O206" i="23" s="1"/>
  <c r="O98" i="23" s="1"/>
  <c r="N193" i="23"/>
  <c r="N93" i="23" s="1"/>
  <c r="N94" i="23" s="1"/>
  <c r="N41" i="23" s="1"/>
  <c r="O189" i="23"/>
  <c r="O193" i="23" s="1"/>
  <c r="O93" i="23" s="1"/>
  <c r="O94" i="23" s="1"/>
  <c r="O41" i="23" s="1"/>
  <c r="N126" i="23"/>
  <c r="N85" i="23" s="1"/>
  <c r="O123" i="23"/>
  <c r="O126" i="23" s="1"/>
  <c r="O85" i="23" s="1"/>
  <c r="N184" i="23"/>
  <c r="N87" i="23" s="1"/>
  <c r="O182" i="23"/>
  <c r="O184" i="23" s="1"/>
  <c r="O87" i="23" s="1"/>
  <c r="N149" i="22"/>
  <c r="N169" i="22" s="1"/>
  <c r="O149" i="22"/>
  <c r="N282" i="21"/>
  <c r="N120" i="21" s="1"/>
  <c r="N122" i="21" s="1"/>
  <c r="N47" i="21" s="1"/>
  <c r="O278" i="21"/>
  <c r="O282" i="21" s="1"/>
  <c r="O120" i="21" s="1"/>
  <c r="O122" i="21" s="1"/>
  <c r="O47" i="21" s="1"/>
  <c r="N115" i="21"/>
  <c r="N40" i="21" s="1"/>
  <c r="O257" i="21"/>
  <c r="O259" i="21" s="1"/>
  <c r="O137" i="21" s="1"/>
  <c r="N192" i="21"/>
  <c r="N86" i="21" s="1"/>
  <c r="N87" i="21" s="1"/>
  <c r="N32" i="21" s="1"/>
  <c r="O191" i="21"/>
  <c r="O192" i="21" s="1"/>
  <c r="O86" i="21" s="1"/>
  <c r="O87" i="21" s="1"/>
  <c r="O32" i="21" s="1"/>
  <c r="N172" i="21"/>
  <c r="N80" i="21" s="1"/>
  <c r="N82" i="21" s="1"/>
  <c r="N31" i="21" s="1"/>
  <c r="O170" i="21"/>
  <c r="O172" i="21" s="1"/>
  <c r="O80" i="21" s="1"/>
  <c r="O82" i="21" s="1"/>
  <c r="O31" i="21" s="1"/>
  <c r="L257" i="23"/>
  <c r="L259" i="23"/>
  <c r="L262" i="23"/>
  <c r="L269" i="23"/>
  <c r="L268" i="23"/>
  <c r="L258" i="23"/>
  <c r="L264" i="23"/>
  <c r="L261" i="23"/>
  <c r="L260" i="23"/>
  <c r="L263" i="23"/>
  <c r="N89" i="23"/>
  <c r="N40" i="23" s="1"/>
  <c r="M257" i="23"/>
  <c r="M259" i="23"/>
  <c r="M262" i="23"/>
  <c r="M261" i="23"/>
  <c r="M268" i="23"/>
  <c r="M260" i="23"/>
  <c r="M269" i="23"/>
  <c r="M263" i="23"/>
  <c r="M258" i="23"/>
  <c r="M264" i="23"/>
  <c r="L176" i="22"/>
  <c r="L179" i="22" s="1"/>
  <c r="M166" i="22"/>
  <c r="M173" i="22"/>
  <c r="M168" i="22"/>
  <c r="M169" i="22"/>
  <c r="M163" i="22"/>
  <c r="M165" i="22"/>
  <c r="M162" i="22"/>
  <c r="M164" i="22"/>
  <c r="M167" i="22"/>
  <c r="M174" i="22"/>
  <c r="M100" i="24"/>
  <c r="M31" i="24" s="1"/>
  <c r="N142" i="24"/>
  <c r="N38" i="24" s="1"/>
  <c r="N111" i="24"/>
  <c r="L76" i="21"/>
  <c r="L30" i="21" s="1"/>
  <c r="L306" i="21"/>
  <c r="L309" i="21"/>
  <c r="L302" i="21"/>
  <c r="L304" i="21"/>
  <c r="L307" i="21"/>
  <c r="L305" i="21"/>
  <c r="L308" i="21"/>
  <c r="L303" i="21"/>
  <c r="L314" i="21"/>
  <c r="L313" i="21"/>
  <c r="N170" i="25"/>
  <c r="N84" i="25" s="1"/>
  <c r="N85" i="25" s="1"/>
  <c r="N40" i="25" s="1"/>
  <c r="N230" i="23"/>
  <c r="N115" i="23" s="1"/>
  <c r="N116" i="23" s="1"/>
  <c r="N59" i="23" s="1"/>
  <c r="M291" i="21"/>
  <c r="M293" i="21" s="1"/>
  <c r="M75" i="21"/>
  <c r="M226" i="21"/>
  <c r="M99" i="21" s="1"/>
  <c r="M100" i="21" s="1"/>
  <c r="M37" i="21" s="1"/>
  <c r="N229" i="21"/>
  <c r="N259" i="21"/>
  <c r="N137" i="21" s="1"/>
  <c r="N138" i="21" s="1"/>
  <c r="N35" i="21" s="1"/>
  <c r="K30" i="72"/>
  <c r="P30" i="72" s="1"/>
  <c r="M90" i="72"/>
  <c r="R90" i="72" s="1"/>
  <c r="K29" i="72"/>
  <c r="P29" i="72" s="1"/>
  <c r="N90" i="72"/>
  <c r="S90" i="72" s="1"/>
  <c r="L88" i="72"/>
  <c r="Q88" i="72" s="1"/>
  <c r="M70" i="25"/>
  <c r="M34" i="25" s="1"/>
  <c r="N69" i="25"/>
  <c r="M99" i="23"/>
  <c r="M42" i="23" s="1"/>
  <c r="M65" i="25"/>
  <c r="M33" i="25" s="1"/>
  <c r="N64" i="25"/>
  <c r="M35" i="24"/>
  <c r="N124" i="24"/>
  <c r="O124" i="24" s="1"/>
  <c r="O125" i="24" s="1"/>
  <c r="O35" i="24" s="1"/>
  <c r="M74" i="21"/>
  <c r="N153" i="21"/>
  <c r="O153" i="21" s="1"/>
  <c r="N226" i="21"/>
  <c r="M37" i="24"/>
  <c r="N135" i="24"/>
  <c r="O135" i="24" s="1"/>
  <c r="O136" i="24" s="1"/>
  <c r="O37" i="24" s="1"/>
  <c r="M149" i="21"/>
  <c r="M69" i="21" s="1"/>
  <c r="M70" i="21" s="1"/>
  <c r="M29" i="21" s="1"/>
  <c r="N147" i="21"/>
  <c r="M39" i="24"/>
  <c r="O148" i="24"/>
  <c r="O39" i="24" s="1"/>
  <c r="M267" i="21"/>
  <c r="M126" i="21" s="1"/>
  <c r="M127" i="21" s="1"/>
  <c r="M46" i="21" s="1"/>
  <c r="M51" i="21" s="1"/>
  <c r="G88" i="70" s="1"/>
  <c r="N266" i="21"/>
  <c r="M130" i="24"/>
  <c r="M36" i="24" s="1"/>
  <c r="M92" i="22"/>
  <c r="M59" i="22" s="1"/>
  <c r="M60" i="22" s="1"/>
  <c r="M31" i="22" s="1"/>
  <c r="M39" i="22" s="1"/>
  <c r="G24" i="70" s="1"/>
  <c r="N87" i="22"/>
  <c r="M239" i="24"/>
  <c r="M92" i="24" s="1"/>
  <c r="M94" i="24" s="1"/>
  <c r="M29" i="24" s="1"/>
  <c r="N232" i="24"/>
  <c r="M275" i="21"/>
  <c r="M64" i="21" s="1"/>
  <c r="M65" i="21" s="1"/>
  <c r="N274" i="21"/>
  <c r="M95" i="21"/>
  <c r="M34" i="21" s="1"/>
  <c r="N91" i="21"/>
  <c r="M88" i="24"/>
  <c r="M28" i="24" s="1"/>
  <c r="N86" i="24"/>
  <c r="O100" i="24"/>
  <c r="O31" i="24" s="1"/>
  <c r="M32" i="24"/>
  <c r="O106" i="24"/>
  <c r="O32" i="24" s="1"/>
  <c r="M89" i="23"/>
  <c r="M253" i="23"/>
  <c r="M246" i="23"/>
  <c r="M248" i="23"/>
  <c r="M245" i="23"/>
  <c r="M247" i="23"/>
  <c r="M244" i="23"/>
  <c r="L253" i="23"/>
  <c r="L246" i="23"/>
  <c r="L248" i="23"/>
  <c r="L245" i="23"/>
  <c r="L247" i="23"/>
  <c r="L244" i="23"/>
  <c r="L40" i="23"/>
  <c r="L55" i="23" s="1"/>
  <c r="F25" i="70" s="1"/>
  <c r="L238" i="23"/>
  <c r="L239" i="23" s="1"/>
  <c r="L273" i="23" s="1"/>
  <c r="L31" i="22"/>
  <c r="L39" i="22" s="1"/>
  <c r="F24" i="70" s="1"/>
  <c r="L150" i="22"/>
  <c r="L151" i="22" s="1"/>
  <c r="L46" i="21"/>
  <c r="L51" i="21" s="1"/>
  <c r="F88" i="70" s="1"/>
  <c r="L320" i="21"/>
  <c r="L36" i="21"/>
  <c r="L64" i="21"/>
  <c r="L65" i="21" s="1"/>
  <c r="L298" i="21"/>
  <c r="L318" i="21"/>
  <c r="M91" i="70" l="1"/>
  <c r="Y91" i="70"/>
  <c r="M91" i="72"/>
  <c r="R91" i="72" s="1"/>
  <c r="N73" i="23"/>
  <c r="H90" i="70" s="1"/>
  <c r="Z24" i="70"/>
  <c r="O24" i="70"/>
  <c r="M24" i="70"/>
  <c r="Y24" i="70"/>
  <c r="O92" i="70"/>
  <c r="N92" i="72"/>
  <c r="S92" i="72" s="1"/>
  <c r="Z88" i="70"/>
  <c r="O88" i="70"/>
  <c r="O155" i="21"/>
  <c r="O156" i="21" s="1"/>
  <c r="O74" i="21" s="1"/>
  <c r="O76" i="21" s="1"/>
  <c r="O30" i="21" s="1"/>
  <c r="Y88" i="70"/>
  <c r="M88" i="70"/>
  <c r="M53" i="24"/>
  <c r="G26" i="70" s="1"/>
  <c r="O50" i="25"/>
  <c r="I92" i="70" s="1"/>
  <c r="M43" i="25"/>
  <c r="N50" i="25"/>
  <c r="H92" i="70" s="1"/>
  <c r="AA92" i="70" s="1"/>
  <c r="Y27" i="70"/>
  <c r="M27" i="70"/>
  <c r="Y26" i="70"/>
  <c r="M26" i="70"/>
  <c r="M25" i="70"/>
  <c r="Y25" i="70"/>
  <c r="N236" i="23"/>
  <c r="N165" i="22"/>
  <c r="N174" i="22"/>
  <c r="N173" i="22"/>
  <c r="N163" i="22"/>
  <c r="N164" i="22"/>
  <c r="N168" i="22"/>
  <c r="N70" i="25"/>
  <c r="N34" i="25" s="1"/>
  <c r="O69" i="25"/>
  <c r="O70" i="25" s="1"/>
  <c r="O34" i="25" s="1"/>
  <c r="N65" i="25"/>
  <c r="N33" i="25" s="1"/>
  <c r="O64" i="25"/>
  <c r="O65" i="25" s="1"/>
  <c r="O33" i="25" s="1"/>
  <c r="N239" i="24"/>
  <c r="N92" i="24" s="1"/>
  <c r="N94" i="24" s="1"/>
  <c r="N29" i="24" s="1"/>
  <c r="O232" i="24"/>
  <c r="O239" i="24" s="1"/>
  <c r="O92" i="24" s="1"/>
  <c r="O94" i="24" s="1"/>
  <c r="O29" i="24" s="1"/>
  <c r="N88" i="24"/>
  <c r="N28" i="24" s="1"/>
  <c r="O86" i="24"/>
  <c r="O88" i="24" s="1"/>
  <c r="O28" i="24" s="1"/>
  <c r="N112" i="24"/>
  <c r="N33" i="24" s="1"/>
  <c r="O111" i="24"/>
  <c r="O112" i="24" s="1"/>
  <c r="O33" i="24" s="1"/>
  <c r="N130" i="24"/>
  <c r="N36" i="24" s="1"/>
  <c r="O130" i="24"/>
  <c r="O36" i="24" s="1"/>
  <c r="L271" i="23"/>
  <c r="L274" i="23" s="1"/>
  <c r="L279" i="23" s="1"/>
  <c r="O99" i="23"/>
  <c r="O42" i="23" s="1"/>
  <c r="O236" i="23"/>
  <c r="O89" i="23"/>
  <c r="M271" i="23"/>
  <c r="M274" i="23" s="1"/>
  <c r="N238" i="23"/>
  <c r="N167" i="22"/>
  <c r="N162" i="22"/>
  <c r="N166" i="22"/>
  <c r="O162" i="22"/>
  <c r="O174" i="22"/>
  <c r="O173" i="22"/>
  <c r="O165" i="22"/>
  <c r="O163" i="22"/>
  <c r="O169" i="22"/>
  <c r="O168" i="22"/>
  <c r="O167" i="22"/>
  <c r="O166" i="22"/>
  <c r="O164" i="22"/>
  <c r="N92" i="22"/>
  <c r="N59" i="22" s="1"/>
  <c r="N60" i="22" s="1"/>
  <c r="N31" i="22" s="1"/>
  <c r="N39" i="22" s="1"/>
  <c r="H24" i="70" s="1"/>
  <c r="O87" i="22"/>
  <c r="O92" i="22" s="1"/>
  <c r="O59" i="22" s="1"/>
  <c r="O60" i="22" s="1"/>
  <c r="N275" i="21"/>
  <c r="O274" i="21"/>
  <c r="O275" i="21" s="1"/>
  <c r="N267" i="21"/>
  <c r="N126" i="21" s="1"/>
  <c r="N127" i="21" s="1"/>
  <c r="N46" i="21" s="1"/>
  <c r="N51" i="21" s="1"/>
  <c r="H88" i="70" s="1"/>
  <c r="O266" i="21"/>
  <c r="O267" i="21" s="1"/>
  <c r="O126" i="21" s="1"/>
  <c r="O127" i="21" s="1"/>
  <c r="O138" i="21"/>
  <c r="O35" i="21" s="1"/>
  <c r="O291" i="21"/>
  <c r="O293" i="21" s="1"/>
  <c r="N230" i="21"/>
  <c r="N104" i="21" s="1"/>
  <c r="N105" i="21" s="1"/>
  <c r="N38" i="21" s="1"/>
  <c r="O229" i="21"/>
  <c r="O230" i="21" s="1"/>
  <c r="O104" i="21" s="1"/>
  <c r="O105" i="21" s="1"/>
  <c r="O38" i="21" s="1"/>
  <c r="N149" i="21"/>
  <c r="N69" i="21" s="1"/>
  <c r="N70" i="21" s="1"/>
  <c r="N29" i="21" s="1"/>
  <c r="O147" i="21"/>
  <c r="O149" i="21" s="1"/>
  <c r="O69" i="21" s="1"/>
  <c r="O70" i="21" s="1"/>
  <c r="O29" i="21" s="1"/>
  <c r="N95" i="21"/>
  <c r="N34" i="21" s="1"/>
  <c r="O91" i="21"/>
  <c r="O95" i="21" s="1"/>
  <c r="O34" i="21" s="1"/>
  <c r="M176" i="22"/>
  <c r="M179" i="22" s="1"/>
  <c r="L43" i="21"/>
  <c r="F23" i="70" s="1"/>
  <c r="M76" i="21"/>
  <c r="M30" i="21" s="1"/>
  <c r="N148" i="24"/>
  <c r="N39" i="24" s="1"/>
  <c r="N136" i="24"/>
  <c r="N37" i="24" s="1"/>
  <c r="N125" i="24"/>
  <c r="N35" i="24" s="1"/>
  <c r="N106" i="24"/>
  <c r="N32" i="24" s="1"/>
  <c r="N100" i="24"/>
  <c r="N31" i="24" s="1"/>
  <c r="N156" i="21"/>
  <c r="N74" i="21" s="1"/>
  <c r="M306" i="21"/>
  <c r="M309" i="21"/>
  <c r="M302" i="21"/>
  <c r="M304" i="21"/>
  <c r="M307" i="21"/>
  <c r="M305" i="21"/>
  <c r="M308" i="21"/>
  <c r="M303" i="21"/>
  <c r="M314" i="21"/>
  <c r="M313" i="21"/>
  <c r="L316" i="21"/>
  <c r="L319" i="21" s="1"/>
  <c r="L324" i="21" s="1"/>
  <c r="M150" i="22"/>
  <c r="M151" i="22" s="1"/>
  <c r="M178" i="22" s="1"/>
  <c r="M318" i="21"/>
  <c r="M298" i="21"/>
  <c r="N55" i="23"/>
  <c r="H25" i="70" s="1"/>
  <c r="M36" i="21"/>
  <c r="N291" i="21"/>
  <c r="N293" i="21" s="1"/>
  <c r="L26" i="72"/>
  <c r="Q26" i="72" s="1"/>
  <c r="L27" i="72"/>
  <c r="Q27" i="72" s="1"/>
  <c r="L28" i="72"/>
  <c r="Q28" i="72" s="1"/>
  <c r="N88" i="72"/>
  <c r="S88" i="72" s="1"/>
  <c r="K26" i="72"/>
  <c r="P26" i="72" s="1"/>
  <c r="K28" i="72"/>
  <c r="P28" i="72" s="1"/>
  <c r="L30" i="72"/>
  <c r="Q30" i="72" s="1"/>
  <c r="L29" i="72"/>
  <c r="Q29" i="72" s="1"/>
  <c r="M88" i="72"/>
  <c r="R88" i="72" s="1"/>
  <c r="L75" i="23"/>
  <c r="M48" i="22"/>
  <c r="N99" i="21"/>
  <c r="N100" i="21" s="1"/>
  <c r="N37" i="21" s="1"/>
  <c r="N75" i="21"/>
  <c r="M320" i="21"/>
  <c r="L48" i="22"/>
  <c r="L64" i="24"/>
  <c r="M238" i="23"/>
  <c r="M239" i="23" s="1"/>
  <c r="M273" i="23" s="1"/>
  <c r="M40" i="23"/>
  <c r="M55" i="23" s="1"/>
  <c r="G25" i="70" s="1"/>
  <c r="L52" i="25"/>
  <c r="L157" i="22"/>
  <c r="L178" i="22"/>
  <c r="AA90" i="70" l="1"/>
  <c r="Q90" i="70"/>
  <c r="N253" i="23"/>
  <c r="N248" i="23"/>
  <c r="N247" i="23"/>
  <c r="N246" i="23"/>
  <c r="M278" i="23"/>
  <c r="N268" i="23"/>
  <c r="N264" i="23"/>
  <c r="N257" i="23"/>
  <c r="N259" i="23"/>
  <c r="N262" i="23"/>
  <c r="Q24" i="70"/>
  <c r="AA24" i="70"/>
  <c r="N36" i="21"/>
  <c r="N64" i="21"/>
  <c r="N65" i="21" s="1"/>
  <c r="M43" i="21"/>
  <c r="G23" i="70" s="1"/>
  <c r="O23" i="70" s="1"/>
  <c r="Q88" i="70"/>
  <c r="AA88" i="70"/>
  <c r="N320" i="21"/>
  <c r="Y23" i="70"/>
  <c r="M23" i="70"/>
  <c r="N53" i="24"/>
  <c r="O53" i="24"/>
  <c r="O64" i="24" s="1"/>
  <c r="N43" i="25"/>
  <c r="H27" i="70" s="1"/>
  <c r="AA27" i="70" s="1"/>
  <c r="O43" i="25"/>
  <c r="Q92" i="70"/>
  <c r="M52" i="25"/>
  <c r="G27" i="70"/>
  <c r="N30" i="72" s="1"/>
  <c r="S30" i="72" s="1"/>
  <c r="Z26" i="70"/>
  <c r="O26" i="70"/>
  <c r="N258" i="23"/>
  <c r="N261" i="23"/>
  <c r="N260" i="23"/>
  <c r="N239" i="23"/>
  <c r="N273" i="23" s="1"/>
  <c r="N269" i="23"/>
  <c r="N244" i="23"/>
  <c r="N263" i="23"/>
  <c r="N245" i="23"/>
  <c r="AA25" i="70"/>
  <c r="Q25" i="70"/>
  <c r="Z25" i="70"/>
  <c r="O25" i="70"/>
  <c r="L278" i="23"/>
  <c r="N176" i="22"/>
  <c r="N179" i="22" s="1"/>
  <c r="O253" i="23"/>
  <c r="O260" i="23"/>
  <c r="O269" i="23"/>
  <c r="O259" i="23"/>
  <c r="O248" i="23"/>
  <c r="O258" i="23"/>
  <c r="O268" i="23"/>
  <c r="O257" i="23"/>
  <c r="O247" i="23"/>
  <c r="O264" i="23"/>
  <c r="O246" i="23"/>
  <c r="O263" i="23"/>
  <c r="O245" i="23"/>
  <c r="O262" i="23"/>
  <c r="O244" i="23"/>
  <c r="O261" i="23"/>
  <c r="O238" i="23"/>
  <c r="O239" i="23" s="1"/>
  <c r="O273" i="23" s="1"/>
  <c r="O40" i="23"/>
  <c r="O55" i="23" s="1"/>
  <c r="N150" i="22"/>
  <c r="N151" i="22" s="1"/>
  <c r="O176" i="22"/>
  <c r="O179" i="22" s="1"/>
  <c r="O31" i="22"/>
  <c r="O39" i="22" s="1"/>
  <c r="O150" i="22"/>
  <c r="O151" i="22" s="1"/>
  <c r="O320" i="21"/>
  <c r="O46" i="21"/>
  <c r="O51" i="21" s="1"/>
  <c r="I88" i="70" s="1"/>
  <c r="O36" i="21"/>
  <c r="O43" i="21" s="1"/>
  <c r="I23" i="70" s="1"/>
  <c r="O64" i="21"/>
  <c r="O65" i="21" s="1"/>
  <c r="O302" i="21"/>
  <c r="O318" i="21"/>
  <c r="O298" i="21"/>
  <c r="O313" i="21"/>
  <c r="O309" i="21"/>
  <c r="O308" i="21"/>
  <c r="O307" i="21"/>
  <c r="O306" i="21"/>
  <c r="O305" i="21"/>
  <c r="O314" i="21"/>
  <c r="O304" i="21"/>
  <c r="O303" i="21"/>
  <c r="M26" i="72"/>
  <c r="R26" i="72" s="1"/>
  <c r="L53" i="21"/>
  <c r="L323" i="21"/>
  <c r="N76" i="21"/>
  <c r="N30" i="21" s="1"/>
  <c r="N305" i="21"/>
  <c r="N308" i="21"/>
  <c r="N306" i="21"/>
  <c r="N309" i="21"/>
  <c r="N302" i="21"/>
  <c r="N304" i="21"/>
  <c r="N307" i="21"/>
  <c r="N303" i="21"/>
  <c r="N314" i="21"/>
  <c r="N313" i="21"/>
  <c r="M316" i="21"/>
  <c r="M319" i="21" s="1"/>
  <c r="M323" i="21" s="1"/>
  <c r="M157" i="22"/>
  <c r="M64" i="24"/>
  <c r="N298" i="21"/>
  <c r="N75" i="23"/>
  <c r="M279" i="23"/>
  <c r="N318" i="21"/>
  <c r="N48" i="22"/>
  <c r="M28" i="72"/>
  <c r="R28" i="72" s="1"/>
  <c r="M27" i="72"/>
  <c r="R27" i="72" s="1"/>
  <c r="M30" i="72"/>
  <c r="R30" i="72" s="1"/>
  <c r="N29" i="72"/>
  <c r="S29" i="72" s="1"/>
  <c r="M29" i="72"/>
  <c r="R29" i="72" s="1"/>
  <c r="N27" i="72"/>
  <c r="S27" i="72" s="1"/>
  <c r="M75" i="23"/>
  <c r="M183" i="22"/>
  <c r="M184" i="22"/>
  <c r="L183" i="22"/>
  <c r="L184" i="22"/>
  <c r="N271" i="23" l="1"/>
  <c r="N274" i="23" s="1"/>
  <c r="N178" i="22"/>
  <c r="N157" i="22"/>
  <c r="N43" i="21"/>
  <c r="N278" i="23"/>
  <c r="O48" i="22"/>
  <c r="I24" i="70"/>
  <c r="N52" i="25"/>
  <c r="M53" i="21"/>
  <c r="Z23" i="70"/>
  <c r="N53" i="21"/>
  <c r="H23" i="70"/>
  <c r="I26" i="70"/>
  <c r="Q27" i="70"/>
  <c r="O52" i="25"/>
  <c r="I27" i="70"/>
  <c r="Z27" i="70"/>
  <c r="O27" i="70"/>
  <c r="N64" i="24"/>
  <c r="H26" i="70"/>
  <c r="O75" i="23"/>
  <c r="I25" i="70"/>
  <c r="O53" i="21"/>
  <c r="O271" i="23"/>
  <c r="O274" i="23" s="1"/>
  <c r="O278" i="23" s="1"/>
  <c r="N279" i="23"/>
  <c r="O178" i="22"/>
  <c r="O157" i="22"/>
  <c r="O316" i="21"/>
  <c r="O319" i="21" s="1"/>
  <c r="O323" i="21" s="1"/>
  <c r="M324" i="21"/>
  <c r="N316" i="21"/>
  <c r="N319" i="21" s="1"/>
  <c r="N324" i="21" s="1"/>
  <c r="N28" i="72"/>
  <c r="S28" i="72" s="1"/>
  <c r="N26" i="72"/>
  <c r="S26" i="72" s="1"/>
  <c r="N183" i="22"/>
  <c r="N184" i="22"/>
  <c r="M136" i="20"/>
  <c r="M73" i="20" s="1"/>
  <c r="L136" i="20"/>
  <c r="L73" i="20" s="1"/>
  <c r="E131" i="20"/>
  <c r="E123" i="20"/>
  <c r="M111" i="20"/>
  <c r="L111" i="20"/>
  <c r="E111" i="20"/>
  <c r="E102" i="20"/>
  <c r="M78" i="20"/>
  <c r="M79" i="20" s="1"/>
  <c r="M37" i="20" s="1"/>
  <c r="M40" i="20" s="1"/>
  <c r="L78" i="20"/>
  <c r="L79" i="20" s="1"/>
  <c r="L37" i="20" s="1"/>
  <c r="L40" i="20" s="1"/>
  <c r="B78" i="20"/>
  <c r="A78" i="20"/>
  <c r="B72" i="20"/>
  <c r="A72" i="20"/>
  <c r="B66" i="20"/>
  <c r="A66" i="20"/>
  <c r="B61" i="20"/>
  <c r="A61" i="20"/>
  <c r="D31" i="20"/>
  <c r="D30" i="20"/>
  <c r="E123" i="19"/>
  <c r="E117" i="19"/>
  <c r="E110" i="19"/>
  <c r="B82" i="19"/>
  <c r="A82" i="19"/>
  <c r="B81" i="19"/>
  <c r="A81" i="19"/>
  <c r="B76" i="19"/>
  <c r="B71" i="19"/>
  <c r="B69" i="19"/>
  <c r="B68" i="19"/>
  <c r="B67" i="19"/>
  <c r="B66" i="19"/>
  <c r="B65" i="19"/>
  <c r="B64" i="19"/>
  <c r="B63" i="19"/>
  <c r="B62" i="19"/>
  <c r="B61" i="19"/>
  <c r="A61" i="19"/>
  <c r="D35" i="19"/>
  <c r="D28" i="19"/>
  <c r="D27" i="19"/>
  <c r="M752" i="18"/>
  <c r="L752" i="18"/>
  <c r="E713" i="18"/>
  <c r="M706" i="18"/>
  <c r="M707" i="18" s="1"/>
  <c r="M208" i="18" s="1"/>
  <c r="M209" i="18" s="1"/>
  <c r="M72" i="18" s="1"/>
  <c r="L706" i="18"/>
  <c r="L707" i="18" s="1"/>
  <c r="L208" i="18" s="1"/>
  <c r="L209" i="18" s="1"/>
  <c r="L72" i="18" s="1"/>
  <c r="M289" i="18"/>
  <c r="E691" i="18"/>
  <c r="M642" i="18"/>
  <c r="L642" i="18"/>
  <c r="E642" i="18"/>
  <c r="V57" i="18"/>
  <c r="E635" i="18"/>
  <c r="E627" i="18"/>
  <c r="E610" i="18"/>
  <c r="E590" i="18"/>
  <c r="E581" i="18"/>
  <c r="E466" i="18"/>
  <c r="E463" i="18"/>
  <c r="E458" i="18"/>
  <c r="E447" i="18"/>
  <c r="E436" i="18"/>
  <c r="E432" i="18"/>
  <c r="E428" i="18"/>
  <c r="E423" i="18"/>
  <c r="E394" i="18"/>
  <c r="E380" i="18"/>
  <c r="M375" i="18"/>
  <c r="M119" i="18" s="1"/>
  <c r="M120" i="18" s="1"/>
  <c r="M45" i="18" s="1"/>
  <c r="L375" i="18"/>
  <c r="L119" i="18" s="1"/>
  <c r="L120" i="18" s="1"/>
  <c r="L45" i="18" s="1"/>
  <c r="W45" i="18" s="1"/>
  <c r="V45" i="18"/>
  <c r="E341" i="18"/>
  <c r="E332" i="18"/>
  <c r="E322" i="18"/>
  <c r="B303" i="18"/>
  <c r="A303" i="18"/>
  <c r="B302" i="18"/>
  <c r="A302" i="18"/>
  <c r="M271" i="18"/>
  <c r="M272" i="18" s="1"/>
  <c r="M58" i="18" s="1"/>
  <c r="L271" i="18"/>
  <c r="L272" i="18" s="1"/>
  <c r="L58" i="18" s="1"/>
  <c r="W58" i="18" s="1"/>
  <c r="V58" i="18"/>
  <c r="B271" i="18"/>
  <c r="M265" i="18"/>
  <c r="L265" i="18"/>
  <c r="M264" i="18"/>
  <c r="L264" i="18"/>
  <c r="M263" i="18"/>
  <c r="L263" i="18"/>
  <c r="M262" i="18"/>
  <c r="L262" i="18"/>
  <c r="M259" i="18"/>
  <c r="L259" i="18"/>
  <c r="M258" i="18"/>
  <c r="L258" i="18"/>
  <c r="M257" i="18"/>
  <c r="L257" i="18"/>
  <c r="M254" i="18"/>
  <c r="L254" i="18"/>
  <c r="M253" i="18"/>
  <c r="L253" i="18"/>
  <c r="M252" i="18"/>
  <c r="L252" i="18"/>
  <c r="M251" i="18"/>
  <c r="L251" i="18"/>
  <c r="M250" i="18"/>
  <c r="L250" i="18"/>
  <c r="M249" i="18"/>
  <c r="L249" i="18"/>
  <c r="M248" i="18"/>
  <c r="L248" i="18"/>
  <c r="M247" i="18"/>
  <c r="L247" i="18"/>
  <c r="M246" i="18"/>
  <c r="L246" i="18"/>
  <c r="M245" i="18"/>
  <c r="L245" i="18"/>
  <c r="M244" i="18"/>
  <c r="L244" i="18"/>
  <c r="M243" i="18"/>
  <c r="L243" i="18"/>
  <c r="M242" i="18"/>
  <c r="L242" i="18"/>
  <c r="M241" i="18"/>
  <c r="L241" i="18"/>
  <c r="M240" i="18"/>
  <c r="L240" i="18"/>
  <c r="B240" i="18"/>
  <c r="A240" i="18"/>
  <c r="B235" i="18"/>
  <c r="A235" i="18"/>
  <c r="B230" i="18"/>
  <c r="A230" i="18"/>
  <c r="B229" i="18"/>
  <c r="A229" i="18"/>
  <c r="B224" i="18"/>
  <c r="A224" i="18"/>
  <c r="B219" i="18"/>
  <c r="A219" i="18"/>
  <c r="B218" i="18"/>
  <c r="A218" i="18"/>
  <c r="B213" i="18"/>
  <c r="A213" i="18"/>
  <c r="B208" i="18"/>
  <c r="A208" i="18"/>
  <c r="B203" i="18"/>
  <c r="A203" i="18"/>
  <c r="A198" i="18"/>
  <c r="G196" i="18"/>
  <c r="B198" i="18" s="1"/>
  <c r="B193" i="18"/>
  <c r="A193" i="18"/>
  <c r="B188" i="18"/>
  <c r="B187" i="18"/>
  <c r="B186" i="18"/>
  <c r="B185" i="18"/>
  <c r="B184" i="18"/>
  <c r="B183" i="18"/>
  <c r="B178" i="18"/>
  <c r="B177" i="18"/>
  <c r="B176" i="18"/>
  <c r="B171" i="18"/>
  <c r="A171" i="18"/>
  <c r="B166" i="18"/>
  <c r="B165" i="18"/>
  <c r="B164" i="18"/>
  <c r="B163" i="18"/>
  <c r="B162" i="18"/>
  <c r="B157" i="18"/>
  <c r="A157" i="18"/>
  <c r="B152" i="18"/>
  <c r="A152" i="18"/>
  <c r="A145" i="18"/>
  <c r="A140" i="18"/>
  <c r="B139" i="18"/>
  <c r="A139" i="18"/>
  <c r="B134" i="18"/>
  <c r="A134" i="18"/>
  <c r="B129" i="18"/>
  <c r="A129" i="18"/>
  <c r="B124" i="18"/>
  <c r="A124" i="18"/>
  <c r="B119" i="18"/>
  <c r="A119" i="18"/>
  <c r="B114" i="18"/>
  <c r="A114" i="18"/>
  <c r="B109" i="18"/>
  <c r="A109" i="18"/>
  <c r="B108" i="18"/>
  <c r="A108" i="18"/>
  <c r="B103" i="18"/>
  <c r="A103" i="18"/>
  <c r="B98" i="18"/>
  <c r="A98" i="18"/>
  <c r="B92" i="18"/>
  <c r="A92" i="18"/>
  <c r="D77" i="18"/>
  <c r="D76" i="18"/>
  <c r="D75" i="18"/>
  <c r="D74" i="18"/>
  <c r="D73" i="18"/>
  <c r="D72" i="18"/>
  <c r="D70" i="18"/>
  <c r="D64" i="18"/>
  <c r="D63" i="18"/>
  <c r="D62" i="18"/>
  <c r="D56" i="18"/>
  <c r="D55" i="18"/>
  <c r="D54" i="18"/>
  <c r="D53" i="18"/>
  <c r="D52" i="18"/>
  <c r="D51" i="18"/>
  <c r="D50" i="18"/>
  <c r="D49" i="18"/>
  <c r="D48" i="18"/>
  <c r="D47" i="18"/>
  <c r="D46" i="18"/>
  <c r="D45" i="18"/>
  <c r="D44" i="18"/>
  <c r="D43" i="18"/>
  <c r="D42" i="18"/>
  <c r="D41" i="18"/>
  <c r="D40" i="18"/>
  <c r="M286" i="18"/>
  <c r="N286" i="18" s="1"/>
  <c r="O286" i="18" s="1"/>
  <c r="M421" i="18"/>
  <c r="N421" i="18" s="1"/>
  <c r="O421" i="18" s="1"/>
  <c r="R474" i="17"/>
  <c r="U436" i="17"/>
  <c r="T436" i="17"/>
  <c r="S436" i="17"/>
  <c r="R436" i="17"/>
  <c r="F404" i="17"/>
  <c r="F394" i="17"/>
  <c r="D391" i="17"/>
  <c r="F389" i="17"/>
  <c r="D385" i="17"/>
  <c r="F383" i="17"/>
  <c r="D379" i="17"/>
  <c r="F377" i="17"/>
  <c r="D371" i="17"/>
  <c r="F368" i="17"/>
  <c r="F358" i="17"/>
  <c r="F342" i="17"/>
  <c r="F331" i="17"/>
  <c r="F325" i="17"/>
  <c r="D321" i="17"/>
  <c r="D396" i="17" s="1"/>
  <c r="F319" i="17"/>
  <c r="D307" i="17"/>
  <c r="F304" i="17"/>
  <c r="D292" i="17"/>
  <c r="F290" i="17"/>
  <c r="D286" i="17"/>
  <c r="M279" i="17"/>
  <c r="M282" i="17" s="1"/>
  <c r="M118" i="17" s="1"/>
  <c r="M119" i="17" s="1"/>
  <c r="M40" i="17" s="1"/>
  <c r="L278" i="17"/>
  <c r="L282" i="17" s="1"/>
  <c r="L118" i="17" s="1"/>
  <c r="L119" i="17" s="1"/>
  <c r="L40" i="17" s="1"/>
  <c r="D269" i="17"/>
  <c r="D263" i="17"/>
  <c r="D254" i="17"/>
  <c r="D240" i="17"/>
  <c r="D235" i="17"/>
  <c r="D227" i="17"/>
  <c r="F195" i="17"/>
  <c r="D195" i="17"/>
  <c r="B188" i="17"/>
  <c r="A188" i="17"/>
  <c r="B183" i="17"/>
  <c r="A183" i="17"/>
  <c r="B177" i="17"/>
  <c r="A177" i="17"/>
  <c r="B172" i="17"/>
  <c r="A172" i="17"/>
  <c r="B167" i="17"/>
  <c r="A167" i="17"/>
  <c r="B162" i="17"/>
  <c r="A162" i="17"/>
  <c r="B157" i="17"/>
  <c r="A157" i="17"/>
  <c r="B151" i="17"/>
  <c r="A151" i="17"/>
  <c r="B146" i="17"/>
  <c r="A146" i="17"/>
  <c r="B141" i="17"/>
  <c r="A141" i="17"/>
  <c r="B140" i="17"/>
  <c r="A140" i="17"/>
  <c r="B135" i="17"/>
  <c r="A135" i="17"/>
  <c r="B130" i="17"/>
  <c r="A130" i="17"/>
  <c r="B125" i="17"/>
  <c r="A125" i="17"/>
  <c r="B123" i="17"/>
  <c r="A123" i="17"/>
  <c r="B118" i="17"/>
  <c r="A118" i="17"/>
  <c r="B113" i="17"/>
  <c r="A113" i="17"/>
  <c r="B108" i="17"/>
  <c r="A108" i="17"/>
  <c r="B103" i="17"/>
  <c r="A103" i="17"/>
  <c r="B98" i="17"/>
  <c r="A98" i="17"/>
  <c r="T95" i="17"/>
  <c r="T94" i="17"/>
  <c r="T93" i="17"/>
  <c r="B93" i="17"/>
  <c r="A93" i="17"/>
  <c r="T92" i="17"/>
  <c r="B88" i="17"/>
  <c r="A88" i="17"/>
  <c r="B87" i="17"/>
  <c r="A87" i="17"/>
  <c r="B86" i="17"/>
  <c r="A86" i="17"/>
  <c r="B85" i="17"/>
  <c r="A85" i="17"/>
  <c r="B84" i="17"/>
  <c r="D63" i="17"/>
  <c r="D62" i="17"/>
  <c r="D61" i="17"/>
  <c r="D60" i="17"/>
  <c r="D59" i="17"/>
  <c r="D58" i="17"/>
  <c r="D47" i="17"/>
  <c r="D46" i="17"/>
  <c r="D45" i="17"/>
  <c r="D44" i="17"/>
  <c r="D43" i="17"/>
  <c r="D42" i="17"/>
  <c r="D41" i="17"/>
  <c r="D40" i="17"/>
  <c r="D39" i="17"/>
  <c r="D38" i="17"/>
  <c r="D37" i="17"/>
  <c r="D36" i="17"/>
  <c r="D35" i="17"/>
  <c r="D34" i="17"/>
  <c r="B98" i="16"/>
  <c r="A98" i="16"/>
  <c r="B93" i="16"/>
  <c r="A93" i="16"/>
  <c r="B92" i="16"/>
  <c r="A92" i="16"/>
  <c r="B87" i="16"/>
  <c r="A87" i="16"/>
  <c r="B82" i="16"/>
  <c r="A82" i="16"/>
  <c r="B81" i="16"/>
  <c r="A81" i="16"/>
  <c r="B80" i="16"/>
  <c r="A80" i="16"/>
  <c r="B79" i="16"/>
  <c r="A79" i="16"/>
  <c r="B74" i="16"/>
  <c r="A74" i="16"/>
  <c r="B69" i="16"/>
  <c r="A69" i="16"/>
  <c r="D49" i="16"/>
  <c r="D34" i="16"/>
  <c r="D33" i="16"/>
  <c r="D32" i="16"/>
  <c r="D31" i="16"/>
  <c r="D30" i="16"/>
  <c r="AA23" i="70" l="1"/>
  <c r="Q23" i="70"/>
  <c r="AA26" i="70"/>
  <c r="Q26" i="70"/>
  <c r="O279" i="23"/>
  <c r="O183" i="22"/>
  <c r="O184" i="22"/>
  <c r="O324" i="21"/>
  <c r="N323" i="21"/>
  <c r="L691" i="18"/>
  <c r="L289" i="18" s="1"/>
  <c r="L87" i="72"/>
  <c r="Q87" i="72" s="1"/>
  <c r="N87" i="72"/>
  <c r="S87" i="72" s="1"/>
  <c r="K86" i="72"/>
  <c r="P86" i="72" s="1"/>
  <c r="K83" i="72"/>
  <c r="P83" i="72" s="1"/>
  <c r="M87" i="72"/>
  <c r="R87" i="72" s="1"/>
  <c r="K87" i="72"/>
  <c r="P87" i="72" s="1"/>
  <c r="D476" i="18"/>
  <c r="D478" i="18" s="1"/>
  <c r="D506" i="18"/>
  <c r="V60" i="18"/>
  <c r="M267" i="18"/>
  <c r="M60" i="18" s="1"/>
  <c r="D57" i="18"/>
  <c r="L267" i="18"/>
  <c r="L60" i="18" s="1"/>
  <c r="W60" i="18" s="1"/>
  <c r="L130" i="20"/>
  <c r="M130" i="20" s="1"/>
  <c r="N130" i="20" s="1"/>
  <c r="O130" i="20" s="1"/>
  <c r="L128" i="20"/>
  <c r="M128" i="20" s="1"/>
  <c r="N128" i="20" s="1"/>
  <c r="O128" i="20" s="1"/>
  <c r="L116" i="19"/>
  <c r="M116" i="19" s="1"/>
  <c r="N116" i="19" s="1"/>
  <c r="O116" i="19" s="1"/>
  <c r="L597" i="18"/>
  <c r="M597" i="18" s="1"/>
  <c r="N597" i="18" s="1"/>
  <c r="O597" i="18" s="1"/>
  <c r="L62" i="19"/>
  <c r="M62" i="19" s="1"/>
  <c r="N62" i="19" s="1"/>
  <c r="O62" i="19" s="1"/>
  <c r="L153" i="16"/>
  <c r="M153" i="16" s="1"/>
  <c r="N153" i="16" s="1"/>
  <c r="O153" i="16" s="1"/>
  <c r="L338" i="17"/>
  <c r="M338" i="17" s="1"/>
  <c r="N338" i="17" s="1"/>
  <c r="O338" i="17" s="1"/>
  <c r="L340" i="17"/>
  <c r="M340" i="17" s="1"/>
  <c r="N340" i="17" s="1"/>
  <c r="O340" i="17" s="1"/>
  <c r="L352" i="17"/>
  <c r="L367" i="17"/>
  <c r="M367" i="17" s="1"/>
  <c r="N367" i="17" s="1"/>
  <c r="O367" i="17" s="1"/>
  <c r="L339" i="17"/>
  <c r="M339" i="17" s="1"/>
  <c r="N339" i="17" s="1"/>
  <c r="O339" i="17" s="1"/>
  <c r="L243" i="17"/>
  <c r="M243" i="17" s="1"/>
  <c r="N243" i="17" s="1"/>
  <c r="O243" i="17" s="1"/>
  <c r="L245" i="17"/>
  <c r="M245" i="17" s="1"/>
  <c r="N245" i="17" s="1"/>
  <c r="O245" i="17" s="1"/>
  <c r="L222" i="17"/>
  <c r="M222" i="17" s="1"/>
  <c r="N222" i="17" s="1"/>
  <c r="O222" i="17" s="1"/>
  <c r="L353" i="17"/>
  <c r="M353" i="17" s="1"/>
  <c r="N353" i="17" s="1"/>
  <c r="O353" i="17" s="1"/>
  <c r="L150" i="16"/>
  <c r="H476" i="18"/>
  <c r="H478" i="18" s="1"/>
  <c r="H480" i="18" s="1"/>
  <c r="H482" i="18" s="1"/>
  <c r="H484" i="18" s="1"/>
  <c r="L374" i="17"/>
  <c r="M258" i="17"/>
  <c r="N258" i="17" s="1"/>
  <c r="O258" i="17" s="1"/>
  <c r="L154" i="16"/>
  <c r="M154" i="16" s="1"/>
  <c r="N154" i="16" s="1"/>
  <c r="O154" i="16" s="1"/>
  <c r="L285" i="18"/>
  <c r="M285" i="18" s="1"/>
  <c r="N285" i="18" s="1"/>
  <c r="O285" i="18" s="1"/>
  <c r="H616" i="18"/>
  <c r="H618" i="18" s="1"/>
  <c r="H620" i="18" s="1"/>
  <c r="H622" i="18" s="1"/>
  <c r="H624" i="18" s="1"/>
  <c r="O624" i="18" s="1"/>
  <c r="L86" i="17"/>
  <c r="M86" i="17" s="1"/>
  <c r="N86" i="17" s="1"/>
  <c r="O86" i="17" s="1"/>
  <c r="L366" i="17"/>
  <c r="M366" i="17" s="1"/>
  <c r="N366" i="17" s="1"/>
  <c r="O366" i="17" s="1"/>
  <c r="L142" i="18"/>
  <c r="M142" i="18" s="1"/>
  <c r="N142" i="18" s="1"/>
  <c r="O142" i="18" s="1"/>
  <c r="L129" i="20"/>
  <c r="M129" i="20" s="1"/>
  <c r="N129" i="20" s="1"/>
  <c r="O129" i="20" s="1"/>
  <c r="L99" i="20"/>
  <c r="M99" i="20" s="1"/>
  <c r="N99" i="20" s="1"/>
  <c r="O99" i="20" s="1"/>
  <c r="L121" i="20"/>
  <c r="M121" i="20" s="1"/>
  <c r="N121" i="20" s="1"/>
  <c r="O121" i="20" s="1"/>
  <c r="L70" i="19"/>
  <c r="M70" i="19" s="1"/>
  <c r="N70" i="19" s="1"/>
  <c r="O70" i="19" s="1"/>
  <c r="L103" i="19"/>
  <c r="M103" i="19" s="1"/>
  <c r="N103" i="19" s="1"/>
  <c r="O103" i="19" s="1"/>
  <c r="L106" i="19"/>
  <c r="M106" i="19" s="1"/>
  <c r="N106" i="19" s="1"/>
  <c r="O106" i="19" s="1"/>
  <c r="L66" i="19"/>
  <c r="M66" i="19" s="1"/>
  <c r="N66" i="19" s="1"/>
  <c r="O66" i="19" s="1"/>
  <c r="L64" i="19"/>
  <c r="M64" i="19" s="1"/>
  <c r="N64" i="19" s="1"/>
  <c r="O64" i="19" s="1"/>
  <c r="L105" i="19"/>
  <c r="M105" i="19" s="1"/>
  <c r="N105" i="19" s="1"/>
  <c r="O105" i="19" s="1"/>
  <c r="L104" i="19"/>
  <c r="M104" i="19" s="1"/>
  <c r="N104" i="19" s="1"/>
  <c r="O104" i="19" s="1"/>
  <c r="V64" i="18"/>
  <c r="L302" i="18"/>
  <c r="M634" i="18"/>
  <c r="L635" i="18"/>
  <c r="M676" i="18"/>
  <c r="L573" i="18"/>
  <c r="M573" i="18" s="1"/>
  <c r="N573" i="18" s="1"/>
  <c r="O573" i="18" s="1"/>
  <c r="L140" i="18"/>
  <c r="M140" i="18" s="1"/>
  <c r="N140" i="18" s="1"/>
  <c r="O140" i="18" s="1"/>
  <c r="L577" i="18"/>
  <c r="M577" i="18" s="1"/>
  <c r="N577" i="18" s="1"/>
  <c r="O577" i="18" s="1"/>
  <c r="L361" i="18"/>
  <c r="M361" i="18" s="1"/>
  <c r="N361" i="18" s="1"/>
  <c r="O361" i="18" s="1"/>
  <c r="L678" i="18"/>
  <c r="M678" i="18" s="1"/>
  <c r="N678" i="18" s="1"/>
  <c r="O678" i="18" s="1"/>
  <c r="L500" i="18"/>
  <c r="M500" i="18" s="1"/>
  <c r="N500" i="18" s="1"/>
  <c r="O500" i="18" s="1"/>
  <c r="L393" i="18"/>
  <c r="M393" i="18" s="1"/>
  <c r="N393" i="18" s="1"/>
  <c r="O393" i="18" s="1"/>
  <c r="L600" i="18"/>
  <c r="M600" i="18" s="1"/>
  <c r="N600" i="18" s="1"/>
  <c r="O600" i="18" s="1"/>
  <c r="L579" i="18"/>
  <c r="M579" i="18" s="1"/>
  <c r="N579" i="18" s="1"/>
  <c r="O579" i="18" s="1"/>
  <c r="L576" i="18"/>
  <c r="M576" i="18" s="1"/>
  <c r="N576" i="18" s="1"/>
  <c r="O576" i="18" s="1"/>
  <c r="L567" i="18"/>
  <c r="M567" i="18" s="1"/>
  <c r="N567" i="18" s="1"/>
  <c r="O567" i="18" s="1"/>
  <c r="L504" i="18"/>
  <c r="M504" i="18" s="1"/>
  <c r="N504" i="18" s="1"/>
  <c r="O504" i="18" s="1"/>
  <c r="L185" i="18"/>
  <c r="M185" i="18" s="1"/>
  <c r="N185" i="18" s="1"/>
  <c r="O185" i="18" s="1"/>
  <c r="L603" i="18"/>
  <c r="M603" i="18" s="1"/>
  <c r="N603" i="18" s="1"/>
  <c r="O603" i="18" s="1"/>
  <c r="L578" i="18"/>
  <c r="M578" i="18" s="1"/>
  <c r="N578" i="18" s="1"/>
  <c r="O578" i="18" s="1"/>
  <c r="H492" i="18"/>
  <c r="H493" i="18" s="1"/>
  <c r="H494" i="18" s="1"/>
  <c r="H495" i="18" s="1"/>
  <c r="H496" i="18" s="1"/>
  <c r="L392" i="18"/>
  <c r="M392" i="18" s="1"/>
  <c r="N392" i="18" s="1"/>
  <c r="O392" i="18" s="1"/>
  <c r="L503" i="18"/>
  <c r="M503" i="18" s="1"/>
  <c r="N503" i="18" s="1"/>
  <c r="O503" i="18" s="1"/>
  <c r="L489" i="18"/>
  <c r="M489" i="18" s="1"/>
  <c r="N489" i="18" s="1"/>
  <c r="O489" i="18" s="1"/>
  <c r="L596" i="18"/>
  <c r="M596" i="18" s="1"/>
  <c r="N596" i="18" s="1"/>
  <c r="O596" i="18" s="1"/>
  <c r="L570" i="18"/>
  <c r="M570" i="18" s="1"/>
  <c r="N570" i="18" s="1"/>
  <c r="O570" i="18" s="1"/>
  <c r="L230" i="18"/>
  <c r="M230" i="18" s="1"/>
  <c r="N230" i="18" s="1"/>
  <c r="O230" i="18" s="1"/>
  <c r="H477" i="18"/>
  <c r="H479" i="18" s="1"/>
  <c r="H481" i="18" s="1"/>
  <c r="H483" i="18" s="1"/>
  <c r="H485" i="18" s="1"/>
  <c r="L219" i="18"/>
  <c r="M219" i="18" s="1"/>
  <c r="N219" i="18" s="1"/>
  <c r="O219" i="18" s="1"/>
  <c r="L488" i="18"/>
  <c r="M488" i="18" s="1"/>
  <c r="N488" i="18" s="1"/>
  <c r="O488" i="18" s="1"/>
  <c r="L679" i="18"/>
  <c r="M679" i="18" s="1"/>
  <c r="N679" i="18" s="1"/>
  <c r="O679" i="18" s="1"/>
  <c r="L605" i="18"/>
  <c r="M605" i="18" s="1"/>
  <c r="N605" i="18" s="1"/>
  <c r="O605" i="18" s="1"/>
  <c r="L284" i="18"/>
  <c r="M284" i="18" s="1"/>
  <c r="N284" i="18" s="1"/>
  <c r="O284" i="18" s="1"/>
  <c r="L297" i="18"/>
  <c r="M297" i="18" s="1"/>
  <c r="N297" i="18" s="1"/>
  <c r="O297" i="18" s="1"/>
  <c r="L283" i="18"/>
  <c r="M283" i="18" s="1"/>
  <c r="N283" i="18" s="1"/>
  <c r="O283" i="18" s="1"/>
  <c r="L376" i="17"/>
  <c r="M376" i="17" s="1"/>
  <c r="N376" i="17" s="1"/>
  <c r="O376" i="17" s="1"/>
  <c r="L375" i="17"/>
  <c r="M375" i="17" s="1"/>
  <c r="N375" i="17" s="1"/>
  <c r="O375" i="17" s="1"/>
  <c r="L232" i="17"/>
  <c r="M232" i="17" s="1"/>
  <c r="N232" i="17" s="1"/>
  <c r="O232" i="17" s="1"/>
  <c r="O233" i="17" s="1"/>
  <c r="O93" i="17" s="1"/>
  <c r="O94" i="17" s="1"/>
  <c r="O35" i="17" s="1"/>
  <c r="L87" i="17"/>
  <c r="M87" i="17" s="1"/>
  <c r="N87" i="17" s="1"/>
  <c r="O87" i="17" s="1"/>
  <c r="L224" i="17"/>
  <c r="L220" i="17"/>
  <c r="M220" i="17" s="1"/>
  <c r="N220" i="17" s="1"/>
  <c r="O220" i="17" s="1"/>
  <c r="L266" i="17"/>
  <c r="M266" i="17" s="1"/>
  <c r="N266" i="17" s="1"/>
  <c r="O266" i="17" s="1"/>
  <c r="L80" i="16"/>
  <c r="M80" i="16" s="1"/>
  <c r="N80" i="16" s="1"/>
  <c r="O80" i="16" s="1"/>
  <c r="L151" i="16"/>
  <c r="M151" i="16" s="1"/>
  <c r="N151" i="16" s="1"/>
  <c r="O151" i="16" s="1"/>
  <c r="L155" i="16"/>
  <c r="M155" i="16" s="1"/>
  <c r="N155" i="16" s="1"/>
  <c r="O155" i="16" s="1"/>
  <c r="L109" i="16"/>
  <c r="M109" i="16" s="1"/>
  <c r="N109" i="16" s="1"/>
  <c r="O109" i="16" s="1"/>
  <c r="L152" i="16"/>
  <c r="M152" i="16" s="1"/>
  <c r="N152" i="16" s="1"/>
  <c r="O152" i="16" s="1"/>
  <c r="L81" i="16"/>
  <c r="M81" i="16" s="1"/>
  <c r="N81" i="16" s="1"/>
  <c r="O81" i="16" s="1"/>
  <c r="M352" i="17" l="1"/>
  <c r="L354" i="17"/>
  <c r="L151" i="17" s="1"/>
  <c r="L153" i="17" s="1"/>
  <c r="L46" i="17" s="1"/>
  <c r="O131" i="20"/>
  <c r="O72" i="20" s="1"/>
  <c r="O74" i="20" s="1"/>
  <c r="O31" i="20" s="1"/>
  <c r="D480" i="18"/>
  <c r="D482" i="18" s="1"/>
  <c r="D484" i="18" s="1"/>
  <c r="O484" i="18" s="1"/>
  <c r="O342" i="17"/>
  <c r="O123" i="17" s="1"/>
  <c r="O126" i="17" s="1"/>
  <c r="O45" i="17" s="1"/>
  <c r="O368" i="17"/>
  <c r="O409" i="17"/>
  <c r="N676" i="18"/>
  <c r="O676" i="18" s="1"/>
  <c r="L98" i="20"/>
  <c r="M98" i="20" s="1"/>
  <c r="N98" i="20" s="1"/>
  <c r="O98" i="20" s="1"/>
  <c r="M224" i="17"/>
  <c r="N131" i="20"/>
  <c r="N72" i="20" s="1"/>
  <c r="N74" i="20" s="1"/>
  <c r="N31" i="20" s="1"/>
  <c r="L83" i="72"/>
  <c r="Q83" i="72" s="1"/>
  <c r="N368" i="17"/>
  <c r="M635" i="18"/>
  <c r="M163" i="18" s="1"/>
  <c r="N634" i="18"/>
  <c r="D477" i="18"/>
  <c r="D493" i="18"/>
  <c r="D508" i="18" s="1"/>
  <c r="L508" i="18" s="1"/>
  <c r="D492" i="18"/>
  <c r="D507" i="18" s="1"/>
  <c r="L393" i="17"/>
  <c r="L478" i="18"/>
  <c r="I298" i="17"/>
  <c r="I299" i="17" s="1"/>
  <c r="V46" i="18"/>
  <c r="V62" i="18"/>
  <c r="M368" i="17"/>
  <c r="M447" i="17" s="1"/>
  <c r="L677" i="18"/>
  <c r="L681" i="18" s="1"/>
  <c r="L131" i="20"/>
  <c r="L72" i="20" s="1"/>
  <c r="L74" i="20" s="1"/>
  <c r="L31" i="20" s="1"/>
  <c r="M131" i="20"/>
  <c r="M72" i="20" s="1"/>
  <c r="M74" i="20" s="1"/>
  <c r="M31" i="20" s="1"/>
  <c r="L115" i="19"/>
  <c r="G552" i="18"/>
  <c r="G553" i="18" s="1"/>
  <c r="G554" i="18" s="1"/>
  <c r="G555" i="18" s="1"/>
  <c r="G556" i="18" s="1"/>
  <c r="L280" i="18"/>
  <c r="V63" i="18"/>
  <c r="L296" i="18"/>
  <c r="M302" i="18"/>
  <c r="N302" i="18" s="1"/>
  <c r="O302" i="18" s="1"/>
  <c r="L751" i="18"/>
  <c r="L304" i="18"/>
  <c r="L64" i="18" s="1"/>
  <c r="W64" i="18" s="1"/>
  <c r="G520" i="18"/>
  <c r="G521" i="18" s="1"/>
  <c r="G522" i="18" s="1"/>
  <c r="G523" i="18" s="1"/>
  <c r="G524" i="18" s="1"/>
  <c r="G453" i="18"/>
  <c r="G454" i="18" s="1"/>
  <c r="G455" i="18" s="1"/>
  <c r="G456" i="18" s="1"/>
  <c r="G457" i="18" s="1"/>
  <c r="N622" i="18"/>
  <c r="L618" i="18"/>
  <c r="L422" i="18"/>
  <c r="L198" i="18"/>
  <c r="L199" i="18" s="1"/>
  <c r="L57" i="18" s="1"/>
  <c r="W57" i="18" s="1"/>
  <c r="L163" i="18"/>
  <c r="G528" i="18"/>
  <c r="G529" i="18" s="1"/>
  <c r="G530" i="18" s="1"/>
  <c r="G531" i="18" s="1"/>
  <c r="G544" i="18"/>
  <c r="G545" i="18" s="1"/>
  <c r="G546" i="18" s="1"/>
  <c r="G536" i="18"/>
  <c r="G537" i="18" s="1"/>
  <c r="G538" i="18" s="1"/>
  <c r="G539" i="18" s="1"/>
  <c r="L183" i="18"/>
  <c r="H617" i="18"/>
  <c r="H619" i="18" s="1"/>
  <c r="H621" i="18" s="1"/>
  <c r="H623" i="18" s="1"/>
  <c r="H625" i="18" s="1"/>
  <c r="O625" i="18" s="1"/>
  <c r="O627" i="18" s="1"/>
  <c r="O187" i="18" s="1"/>
  <c r="L377" i="17"/>
  <c r="L146" i="17" s="1"/>
  <c r="L147" i="17" s="1"/>
  <c r="M374" i="17"/>
  <c r="L237" i="17"/>
  <c r="L403" i="17"/>
  <c r="L323" i="17" s="1"/>
  <c r="L368" i="17"/>
  <c r="L218" i="17"/>
  <c r="L221" i="17"/>
  <c r="M221" i="17" s="1"/>
  <c r="N221" i="17" s="1"/>
  <c r="O221" i="17" s="1"/>
  <c r="L137" i="16"/>
  <c r="L132" i="16"/>
  <c r="L156" i="16"/>
  <c r="L92" i="16" s="1"/>
  <c r="L94" i="16" s="1"/>
  <c r="L34" i="16" s="1"/>
  <c r="M150" i="16"/>
  <c r="M143" i="16"/>
  <c r="L145" i="16"/>
  <c r="L98" i="16" s="1"/>
  <c r="L99" i="16" s="1"/>
  <c r="L49" i="16" s="1"/>
  <c r="L57" i="16" s="1"/>
  <c r="F83" i="70" s="1"/>
  <c r="M83" i="70" l="1"/>
  <c r="Y83" i="70"/>
  <c r="G532" i="18"/>
  <c r="O532" i="18" s="1"/>
  <c r="G540" i="18"/>
  <c r="O540" i="18" s="1"/>
  <c r="N352" i="17"/>
  <c r="M354" i="17"/>
  <c r="M151" i="17" s="1"/>
  <c r="M153" i="17" s="1"/>
  <c r="M46" i="17" s="1"/>
  <c r="I300" i="17"/>
  <c r="L299" i="17"/>
  <c r="L304" i="17" s="1"/>
  <c r="L162" i="17" s="1"/>
  <c r="L163" i="17" s="1"/>
  <c r="L42" i="17" s="1"/>
  <c r="N555" i="18"/>
  <c r="O556" i="18"/>
  <c r="N482" i="18"/>
  <c r="M480" i="18"/>
  <c r="N635" i="18"/>
  <c r="N163" i="18" s="1"/>
  <c r="O634" i="18"/>
  <c r="O635" i="18" s="1"/>
  <c r="O751" i="18"/>
  <c r="O304" i="18"/>
  <c r="O64" i="18" s="1"/>
  <c r="O447" i="17"/>
  <c r="O157" i="17"/>
  <c r="O158" i="17" s="1"/>
  <c r="O47" i="17" s="1"/>
  <c r="O421" i="17"/>
  <c r="O433" i="17"/>
  <c r="O411" i="17"/>
  <c r="O432" i="17"/>
  <c r="O428" i="17"/>
  <c r="O427" i="17"/>
  <c r="O426" i="17"/>
  <c r="O425" i="17"/>
  <c r="O424" i="17"/>
  <c r="O423" i="17"/>
  <c r="O422" i="17"/>
  <c r="D495" i="18"/>
  <c r="D510" i="18" s="1"/>
  <c r="N510" i="18" s="1"/>
  <c r="M198" i="18"/>
  <c r="M199" i="18" s="1"/>
  <c r="M57" i="18" s="1"/>
  <c r="L774" i="18"/>
  <c r="L777" i="18"/>
  <c r="L775" i="18"/>
  <c r="L781" i="18"/>
  <c r="L786" i="18"/>
  <c r="L776" i="18"/>
  <c r="L779" i="18"/>
  <c r="L785" i="18"/>
  <c r="L780" i="18"/>
  <c r="L778" i="18"/>
  <c r="L225" i="17"/>
  <c r="L88" i="17" s="1"/>
  <c r="N224" i="17"/>
  <c r="O224" i="17" s="1"/>
  <c r="M460" i="17"/>
  <c r="M466" i="17"/>
  <c r="M471" i="17"/>
  <c r="M459" i="17"/>
  <c r="M461" i="17"/>
  <c r="M464" i="17"/>
  <c r="M470" i="17"/>
  <c r="M462" i="17"/>
  <c r="M465" i="17"/>
  <c r="M463" i="17"/>
  <c r="M83" i="72"/>
  <c r="R83" i="72" s="1"/>
  <c r="M620" i="18"/>
  <c r="N304" i="18"/>
  <c r="N64" i="18" s="1"/>
  <c r="N751" i="18"/>
  <c r="M145" i="16"/>
  <c r="M98" i="16" s="1"/>
  <c r="M99" i="16" s="1"/>
  <c r="M49" i="16" s="1"/>
  <c r="M57" i="16" s="1"/>
  <c r="G83" i="70" s="1"/>
  <c r="N143" i="16"/>
  <c r="N157" i="17"/>
  <c r="N158" i="17" s="1"/>
  <c r="N47" i="17" s="1"/>
  <c r="N447" i="17"/>
  <c r="M377" i="17"/>
  <c r="M146" i="17" s="1"/>
  <c r="M147" i="17" s="1"/>
  <c r="M60" i="17" s="1"/>
  <c r="N374" i="17"/>
  <c r="M156" i="16"/>
  <c r="M92" i="16" s="1"/>
  <c r="M94" i="16" s="1"/>
  <c r="M34" i="16" s="1"/>
  <c r="N150" i="16"/>
  <c r="L493" i="18"/>
  <c r="D479" i="18"/>
  <c r="D496" i="18" s="1"/>
  <c r="D494" i="18"/>
  <c r="L379" i="18"/>
  <c r="L380" i="18" s="1"/>
  <c r="L124" i="18" s="1"/>
  <c r="L125" i="18" s="1"/>
  <c r="L46" i="18" s="1"/>
  <c r="W46" i="18" s="1"/>
  <c r="M157" i="17"/>
  <c r="M158" i="17" s="1"/>
  <c r="M47" i="17" s="1"/>
  <c r="L203" i="18"/>
  <c r="L204" i="18" s="1"/>
  <c r="L70" i="18" s="1"/>
  <c r="M677" i="18"/>
  <c r="M681" i="18" s="1"/>
  <c r="L288" i="18"/>
  <c r="L292" i="18" s="1"/>
  <c r="L62" i="18" s="1"/>
  <c r="W62" i="18" s="1"/>
  <c r="L318" i="17"/>
  <c r="L97" i="20"/>
  <c r="L100" i="20" s="1"/>
  <c r="L120" i="20"/>
  <c r="L101" i="19"/>
  <c r="L107" i="19"/>
  <c r="L61" i="19"/>
  <c r="L108" i="19"/>
  <c r="L102" i="19"/>
  <c r="M115" i="19"/>
  <c r="L117" i="19"/>
  <c r="L81" i="19" s="1"/>
  <c r="L83" i="19" s="1"/>
  <c r="L28" i="19" s="1"/>
  <c r="L588" i="18"/>
  <c r="L763" i="18"/>
  <c r="L760" i="18"/>
  <c r="L731" i="18"/>
  <c r="L764" i="18"/>
  <c r="L761" i="18"/>
  <c r="L769" i="18"/>
  <c r="L759" i="18"/>
  <c r="L762" i="18"/>
  <c r="L566" i="18"/>
  <c r="L229" i="18"/>
  <c r="V44" i="18"/>
  <c r="L114" i="18"/>
  <c r="M751" i="18"/>
  <c r="M304" i="18"/>
  <c r="M64" i="18" s="1"/>
  <c r="L139" i="18"/>
  <c r="V47" i="18"/>
  <c r="L391" i="18"/>
  <c r="L430" i="18"/>
  <c r="L327" i="18"/>
  <c r="V41" i="18"/>
  <c r="L399" i="18"/>
  <c r="V48" i="18"/>
  <c r="M296" i="18"/>
  <c r="L298" i="18"/>
  <c r="L63" i="18" s="1"/>
  <c r="W63" i="18" s="1"/>
  <c r="L337" i="18"/>
  <c r="V42" i="18"/>
  <c r="L360" i="18"/>
  <c r="L450" i="18"/>
  <c r="L218" i="18"/>
  <c r="L445" i="18"/>
  <c r="L712" i="18"/>
  <c r="L357" i="18"/>
  <c r="V56" i="18"/>
  <c r="L193" i="18"/>
  <c r="L434" i="18"/>
  <c r="V40" i="18"/>
  <c r="L320" i="18"/>
  <c r="L171" i="18"/>
  <c r="L442" i="18"/>
  <c r="L443" i="18" s="1"/>
  <c r="M183" i="18"/>
  <c r="N183" i="18" s="1"/>
  <c r="O183" i="18" s="1"/>
  <c r="M422" i="18"/>
  <c r="N422" i="18" s="1"/>
  <c r="O422" i="18" s="1"/>
  <c r="L426" i="18"/>
  <c r="L595" i="18"/>
  <c r="L610" i="18" s="1"/>
  <c r="V53" i="18"/>
  <c r="L465" i="18"/>
  <c r="M280" i="18"/>
  <c r="N280" i="18" s="1"/>
  <c r="O280" i="18" s="1"/>
  <c r="L409" i="18"/>
  <c r="L242" i="17"/>
  <c r="L248" i="17" s="1"/>
  <c r="L447" i="17"/>
  <c r="L157" i="17"/>
  <c r="L158" i="17" s="1"/>
  <c r="L47" i="17" s="1"/>
  <c r="L388" i="17"/>
  <c r="M393" i="17"/>
  <c r="L394" i="17"/>
  <c r="L167" i="17" s="1"/>
  <c r="M218" i="17"/>
  <c r="M225" i="17" s="1"/>
  <c r="L289" i="17"/>
  <c r="L238" i="17"/>
  <c r="L98" i="17" s="1"/>
  <c r="L99" i="17" s="1"/>
  <c r="L36" i="17" s="1"/>
  <c r="M237" i="17"/>
  <c r="L404" i="17"/>
  <c r="L188" i="17" s="1"/>
  <c r="L189" i="17" s="1"/>
  <c r="L59" i="17" s="1"/>
  <c r="M403" i="17"/>
  <c r="L325" i="17"/>
  <c r="L140" i="17" s="1"/>
  <c r="L211" i="17"/>
  <c r="L84" i="17" s="1"/>
  <c r="L256" i="17"/>
  <c r="L261" i="17" s="1"/>
  <c r="L60" i="17"/>
  <c r="L439" i="17"/>
  <c r="L342" i="17"/>
  <c r="L123" i="17" s="1"/>
  <c r="L126" i="17" s="1"/>
  <c r="L45" i="17" s="1"/>
  <c r="L330" i="17"/>
  <c r="L382" i="17"/>
  <c r="M449" i="17"/>
  <c r="M450" i="17" s="1"/>
  <c r="L107" i="16"/>
  <c r="L79" i="16"/>
  <c r="L74" i="16"/>
  <c r="L75" i="16" s="1"/>
  <c r="L31" i="16" s="1"/>
  <c r="M132" i="16"/>
  <c r="M137" i="16"/>
  <c r="L138" i="16"/>
  <c r="L87" i="16" s="1"/>
  <c r="L88" i="16" s="1"/>
  <c r="L33" i="16" s="1"/>
  <c r="Z83" i="70" l="1"/>
  <c r="O83" i="70"/>
  <c r="N198" i="18"/>
  <c r="N199" i="18" s="1"/>
  <c r="N57" i="18" s="1"/>
  <c r="O352" i="17"/>
  <c r="O354" i="17" s="1"/>
  <c r="O151" i="17" s="1"/>
  <c r="O153" i="17" s="1"/>
  <c r="O46" i="17" s="1"/>
  <c r="N354" i="17"/>
  <c r="N151" i="17" s="1"/>
  <c r="N153" i="17" s="1"/>
  <c r="N46" i="17" s="1"/>
  <c r="I301" i="17"/>
  <c r="M300" i="17"/>
  <c r="M304" i="17" s="1"/>
  <c r="M162" i="17" s="1"/>
  <c r="M163" i="17" s="1"/>
  <c r="M42" i="17" s="1"/>
  <c r="O496" i="18"/>
  <c r="D511" i="18"/>
  <c r="O511" i="18" s="1"/>
  <c r="O198" i="18"/>
  <c r="O199" i="18" s="1"/>
  <c r="O57" i="18" s="1"/>
  <c r="O163" i="18"/>
  <c r="O775" i="18"/>
  <c r="O763" i="18"/>
  <c r="O774" i="18"/>
  <c r="O785" i="18"/>
  <c r="O769" i="18"/>
  <c r="O761" i="18"/>
  <c r="O764" i="18"/>
  <c r="O780" i="18"/>
  <c r="O762" i="18"/>
  <c r="O779" i="18"/>
  <c r="O781" i="18"/>
  <c r="O731" i="18"/>
  <c r="O760" i="18"/>
  <c r="O759" i="18"/>
  <c r="O778" i="18"/>
  <c r="O777" i="18"/>
  <c r="O776" i="18"/>
  <c r="O786" i="18"/>
  <c r="N377" i="17"/>
  <c r="N146" i="17" s="1"/>
  <c r="N147" i="17" s="1"/>
  <c r="O374" i="17"/>
  <c r="O377" i="17" s="1"/>
  <c r="O146" i="17" s="1"/>
  <c r="O147" i="17" s="1"/>
  <c r="O460" i="17"/>
  <c r="O471" i="17"/>
  <c r="O449" i="17"/>
  <c r="O450" i="17" s="1"/>
  <c r="O470" i="17"/>
  <c r="O466" i="17"/>
  <c r="O465" i="17"/>
  <c r="O464" i="17"/>
  <c r="O463" i="17"/>
  <c r="O462" i="17"/>
  <c r="O461" i="17"/>
  <c r="O459" i="17"/>
  <c r="O413" i="17"/>
  <c r="O437" i="17" s="1"/>
  <c r="O418" i="17"/>
  <c r="O435" i="17"/>
  <c r="O438" i="17" s="1"/>
  <c r="N156" i="16"/>
  <c r="N92" i="16" s="1"/>
  <c r="N94" i="16" s="1"/>
  <c r="N34" i="16" s="1"/>
  <c r="O150" i="16"/>
  <c r="O156" i="16" s="1"/>
  <c r="O92" i="16" s="1"/>
  <c r="O94" i="16" s="1"/>
  <c r="O34" i="16" s="1"/>
  <c r="N145" i="16"/>
  <c r="N98" i="16" s="1"/>
  <c r="N99" i="16" s="1"/>
  <c r="N49" i="16" s="1"/>
  <c r="N57" i="16" s="1"/>
  <c r="H83" i="70" s="1"/>
  <c r="O143" i="16"/>
  <c r="O145" i="16" s="1"/>
  <c r="O98" i="16" s="1"/>
  <c r="O99" i="16" s="1"/>
  <c r="O49" i="16" s="1"/>
  <c r="O57" i="16" s="1"/>
  <c r="I83" i="70" s="1"/>
  <c r="N495" i="18"/>
  <c r="N775" i="18"/>
  <c r="N778" i="18"/>
  <c r="N781" i="18"/>
  <c r="N774" i="18"/>
  <c r="N779" i="18"/>
  <c r="N777" i="18"/>
  <c r="N780" i="18"/>
  <c r="N786" i="18"/>
  <c r="N776" i="18"/>
  <c r="N785" i="18"/>
  <c r="M776" i="18"/>
  <c r="M780" i="18"/>
  <c r="M778" i="18"/>
  <c r="M777" i="18"/>
  <c r="M774" i="18"/>
  <c r="M786" i="18"/>
  <c r="M779" i="18"/>
  <c r="M785" i="18"/>
  <c r="M775" i="18"/>
  <c r="M781" i="18"/>
  <c r="L788" i="18"/>
  <c r="N403" i="17"/>
  <c r="N404" i="17" s="1"/>
  <c r="N188" i="17" s="1"/>
  <c r="N189" i="17" s="1"/>
  <c r="N59" i="17" s="1"/>
  <c r="M323" i="17"/>
  <c r="M325" i="17" s="1"/>
  <c r="M140" i="17" s="1"/>
  <c r="L460" i="17"/>
  <c r="L463" i="17"/>
  <c r="L466" i="17"/>
  <c r="L459" i="17"/>
  <c r="L461" i="17"/>
  <c r="L464" i="17"/>
  <c r="L471" i="17"/>
  <c r="L462" i="17"/>
  <c r="L465" i="17"/>
  <c r="L470" i="17"/>
  <c r="N462" i="17"/>
  <c r="N465" i="17"/>
  <c r="N460" i="17"/>
  <c r="N463" i="17"/>
  <c r="N466" i="17"/>
  <c r="N471" i="17"/>
  <c r="N459" i="17"/>
  <c r="N461" i="17"/>
  <c r="N464" i="17"/>
  <c r="N470" i="17"/>
  <c r="M379" i="18"/>
  <c r="M380" i="18" s="1"/>
  <c r="M124" i="18" s="1"/>
  <c r="M125" i="18" s="1"/>
  <c r="M46" i="18" s="1"/>
  <c r="T288" i="32"/>
  <c r="T289" i="32"/>
  <c r="M74" i="16"/>
  <c r="M75" i="16" s="1"/>
  <c r="M31" i="16" s="1"/>
  <c r="N83" i="72"/>
  <c r="S83" i="72" s="1"/>
  <c r="M439" i="17"/>
  <c r="M117" i="19"/>
  <c r="M81" i="19" s="1"/>
  <c r="M83" i="19" s="1"/>
  <c r="M28" i="19" s="1"/>
  <c r="N115" i="19"/>
  <c r="M238" i="17"/>
  <c r="M98" i="17" s="1"/>
  <c r="M99" i="17" s="1"/>
  <c r="M36" i="17" s="1"/>
  <c r="N237" i="17"/>
  <c r="M298" i="18"/>
  <c r="M63" i="18" s="1"/>
  <c r="N296" i="18"/>
  <c r="M138" i="16"/>
  <c r="M87" i="16" s="1"/>
  <c r="M88" i="16" s="1"/>
  <c r="M33" i="16" s="1"/>
  <c r="N137" i="16"/>
  <c r="M394" i="17"/>
  <c r="M167" i="17" s="1"/>
  <c r="M168" i="17" s="1"/>
  <c r="M61" i="17" s="1"/>
  <c r="N393" i="17"/>
  <c r="N449" i="17"/>
  <c r="N450" i="17" s="1"/>
  <c r="M211" i="17"/>
  <c r="M84" i="17" s="1"/>
  <c r="N211" i="17"/>
  <c r="N84" i="17" s="1"/>
  <c r="M342" i="17"/>
  <c r="M123" i="17" s="1"/>
  <c r="M126" i="17" s="1"/>
  <c r="M45" i="17" s="1"/>
  <c r="N342" i="17"/>
  <c r="N123" i="17" s="1"/>
  <c r="N126" i="17" s="1"/>
  <c r="N45" i="17" s="1"/>
  <c r="N769" i="18"/>
  <c r="N763" i="18"/>
  <c r="N762" i="18"/>
  <c r="N761" i="18"/>
  <c r="N731" i="18"/>
  <c r="N764" i="18"/>
  <c r="N759" i="18"/>
  <c r="N760" i="18"/>
  <c r="M288" i="18"/>
  <c r="M292" i="18" s="1"/>
  <c r="M62" i="18" s="1"/>
  <c r="N677" i="18"/>
  <c r="O677" i="18" s="1"/>
  <c r="O681" i="18" s="1"/>
  <c r="O288" i="18" s="1"/>
  <c r="O292" i="18" s="1"/>
  <c r="O62" i="18" s="1"/>
  <c r="M88" i="17"/>
  <c r="N218" i="17"/>
  <c r="O218" i="17" s="1"/>
  <c r="O225" i="17" s="1"/>
  <c r="O88" i="17" s="1"/>
  <c r="O89" i="17" s="1"/>
  <c r="O34" i="17" s="1"/>
  <c r="D509" i="18"/>
  <c r="M494" i="18"/>
  <c r="D481" i="18"/>
  <c r="D483" i="18" s="1"/>
  <c r="L479" i="18"/>
  <c r="L513" i="18" s="1"/>
  <c r="M203" i="18"/>
  <c r="V43" i="18"/>
  <c r="V51" i="18"/>
  <c r="L319" i="17"/>
  <c r="L135" i="17" s="1"/>
  <c r="M318" i="17"/>
  <c r="L123" i="20"/>
  <c r="L67" i="20" s="1"/>
  <c r="L68" i="20" s="1"/>
  <c r="L30" i="20" s="1"/>
  <c r="M120" i="20"/>
  <c r="L102" i="20"/>
  <c r="L61" i="20" s="1"/>
  <c r="L62" i="20" s="1"/>
  <c r="L29" i="20" s="1"/>
  <c r="M97" i="20"/>
  <c r="M100" i="20" s="1"/>
  <c r="M107" i="19"/>
  <c r="L63" i="19"/>
  <c r="L123" i="19"/>
  <c r="M122" i="19"/>
  <c r="N122" i="19" s="1"/>
  <c r="O122" i="19" s="1"/>
  <c r="L76" i="19"/>
  <c r="M61" i="19"/>
  <c r="N61" i="19" s="1"/>
  <c r="O61" i="19" s="1"/>
  <c r="M102" i="19"/>
  <c r="L67" i="19"/>
  <c r="L110" i="19"/>
  <c r="M101" i="19"/>
  <c r="N101" i="19" s="1"/>
  <c r="O101" i="19" s="1"/>
  <c r="L69" i="19"/>
  <c r="M109" i="19"/>
  <c r="L65" i="19"/>
  <c r="L68" i="19"/>
  <c r="M108" i="19"/>
  <c r="M409" i="18"/>
  <c r="L423" i="18"/>
  <c r="L358" i="18"/>
  <c r="L108" i="18" s="1"/>
  <c r="M357" i="18"/>
  <c r="M566" i="18"/>
  <c r="L581" i="18"/>
  <c r="L177" i="18" s="1"/>
  <c r="M445" i="18"/>
  <c r="L447" i="18"/>
  <c r="L164" i="18" s="1"/>
  <c r="M337" i="18"/>
  <c r="L341" i="18"/>
  <c r="L103" i="18" s="1"/>
  <c r="L104" i="18" s="1"/>
  <c r="L42" i="18" s="1"/>
  <c r="W42" i="18" s="1"/>
  <c r="L466" i="18"/>
  <c r="L157" i="18" s="1"/>
  <c r="L158" i="18" s="1"/>
  <c r="L53" i="18" s="1"/>
  <c r="W53" i="18" s="1"/>
  <c r="M465" i="18"/>
  <c r="L322" i="18"/>
  <c r="L92" i="18" s="1"/>
  <c r="L93" i="18" s="1"/>
  <c r="L40" i="18" s="1"/>
  <c r="M320" i="18"/>
  <c r="L115" i="18"/>
  <c r="L44" i="18" s="1"/>
  <c r="W44" i="18" s="1"/>
  <c r="M114" i="18"/>
  <c r="M595" i="18"/>
  <c r="M610" i="18" s="1"/>
  <c r="L186" i="18"/>
  <c r="M139" i="18"/>
  <c r="N139" i="18" s="1"/>
  <c r="O139" i="18" s="1"/>
  <c r="L619" i="18"/>
  <c r="L627" i="18" s="1"/>
  <c r="L187" i="18" s="1"/>
  <c r="N623" i="18"/>
  <c r="L521" i="18"/>
  <c r="M218" i="18"/>
  <c r="L220" i="18"/>
  <c r="L74" i="18" s="1"/>
  <c r="L537" i="18"/>
  <c r="N539" i="18"/>
  <c r="M442" i="18"/>
  <c r="M443" i="18" s="1"/>
  <c r="L152" i="18"/>
  <c r="L553" i="18"/>
  <c r="L428" i="18"/>
  <c r="L143" i="18" s="1"/>
  <c r="M426" i="18"/>
  <c r="L362" i="18"/>
  <c r="L109" i="18" s="1"/>
  <c r="M360" i="18"/>
  <c r="M712" i="18"/>
  <c r="L713" i="18"/>
  <c r="L213" i="18" s="1"/>
  <c r="L214" i="18" s="1"/>
  <c r="L73" i="18" s="1"/>
  <c r="M327" i="18"/>
  <c r="L332" i="18"/>
  <c r="L98" i="18" s="1"/>
  <c r="L99" i="18" s="1"/>
  <c r="L41" i="18" s="1"/>
  <c r="W41" i="18" s="1"/>
  <c r="L432" i="18"/>
  <c r="L141" i="18" s="1"/>
  <c r="M430" i="18"/>
  <c r="M399" i="18"/>
  <c r="L400" i="18"/>
  <c r="L134" i="18" s="1"/>
  <c r="L135" i="18" s="1"/>
  <c r="L48" i="18" s="1"/>
  <c r="W48" i="18" s="1"/>
  <c r="V52" i="18"/>
  <c r="M588" i="18"/>
  <c r="L590" i="18"/>
  <c r="L184" i="18" s="1"/>
  <c r="M434" i="18"/>
  <c r="L436" i="18"/>
  <c r="L144" i="18" s="1"/>
  <c r="N531" i="18"/>
  <c r="L529" i="18"/>
  <c r="M450" i="18"/>
  <c r="N450" i="18" s="1"/>
  <c r="O450" i="18" s="1"/>
  <c r="L454" i="18"/>
  <c r="L458" i="18" s="1"/>
  <c r="L165" i="18" s="1"/>
  <c r="M229" i="18"/>
  <c r="L231" i="18"/>
  <c r="L76" i="18" s="1"/>
  <c r="G547" i="18"/>
  <c r="G548" i="18" s="1"/>
  <c r="L545" i="18"/>
  <c r="M171" i="18"/>
  <c r="L172" i="18"/>
  <c r="M763" i="18"/>
  <c r="M760" i="18"/>
  <c r="M731" i="18"/>
  <c r="M769" i="18"/>
  <c r="M762" i="18"/>
  <c r="M759" i="18"/>
  <c r="M761" i="18"/>
  <c r="M764" i="18"/>
  <c r="L194" i="18"/>
  <c r="L56" i="18" s="1"/>
  <c r="W56" i="18" s="1"/>
  <c r="M193" i="18"/>
  <c r="M391" i="18"/>
  <c r="L394" i="18"/>
  <c r="L129" i="18" s="1"/>
  <c r="L130" i="18" s="1"/>
  <c r="L47" i="18" s="1"/>
  <c r="W47" i="18" s="1"/>
  <c r="M388" i="17"/>
  <c r="L389" i="17"/>
  <c r="L177" i="17" s="1"/>
  <c r="L178" i="17" s="1"/>
  <c r="L63" i="17" s="1"/>
  <c r="L383" i="17"/>
  <c r="L172" i="17" s="1"/>
  <c r="L173" i="17" s="1"/>
  <c r="L62" i="17" s="1"/>
  <c r="M382" i="17"/>
  <c r="L267" i="17"/>
  <c r="L113" i="17" s="1"/>
  <c r="L114" i="17" s="1"/>
  <c r="L39" i="17" s="1"/>
  <c r="M404" i="17"/>
  <c r="M188" i="17" s="1"/>
  <c r="M189" i="17" s="1"/>
  <c r="M59" i="17" s="1"/>
  <c r="L168" i="17"/>
  <c r="L61" i="17" s="1"/>
  <c r="L449" i="17"/>
  <c r="L450" i="17" s="1"/>
  <c r="L103" i="17"/>
  <c r="L104" i="17" s="1"/>
  <c r="L37" i="17" s="1"/>
  <c r="M242" i="17"/>
  <c r="M248" i="17" s="1"/>
  <c r="L233" i="17"/>
  <c r="L93" i="17" s="1"/>
  <c r="L94" i="17" s="1"/>
  <c r="L35" i="17" s="1"/>
  <c r="M289" i="17"/>
  <c r="L290" i="17"/>
  <c r="L130" i="17" s="1"/>
  <c r="L131" i="17" s="1"/>
  <c r="L41" i="17" s="1"/>
  <c r="L85" i="17"/>
  <c r="L215" i="17"/>
  <c r="L108" i="17"/>
  <c r="L109" i="17" s="1"/>
  <c r="L38" i="17" s="1"/>
  <c r="M256" i="17"/>
  <c r="M261" i="17" s="1"/>
  <c r="M475" i="17"/>
  <c r="M455" i="17"/>
  <c r="M330" i="17"/>
  <c r="L331" i="17"/>
  <c r="L141" i="17" s="1"/>
  <c r="L142" i="17" s="1"/>
  <c r="L44" i="17" s="1"/>
  <c r="L83" i="16"/>
  <c r="L32" i="16" s="1"/>
  <c r="M79" i="16"/>
  <c r="L111" i="16"/>
  <c r="L69" i="16" s="1"/>
  <c r="L70" i="16" s="1"/>
  <c r="L30" i="16" s="1"/>
  <c r="M107" i="16"/>
  <c r="N60" i="17" l="1"/>
  <c r="N439" i="17"/>
  <c r="Q83" i="70"/>
  <c r="AA83" i="70"/>
  <c r="L153" i="18"/>
  <c r="L50" i="18" s="1"/>
  <c r="N301" i="17"/>
  <c r="N304" i="17" s="1"/>
  <c r="N162" i="17" s="1"/>
  <c r="N163" i="17" s="1"/>
  <c r="N42" i="17" s="1"/>
  <c r="I302" i="17"/>
  <c r="O302" i="17" s="1"/>
  <c r="O304" i="17" s="1"/>
  <c r="O162" i="17" s="1"/>
  <c r="O163" i="17" s="1"/>
  <c r="O42" i="17" s="1"/>
  <c r="O76" i="19"/>
  <c r="O123" i="19"/>
  <c r="O69" i="19"/>
  <c r="N117" i="19"/>
  <c r="N81" i="19" s="1"/>
  <c r="N83" i="19" s="1"/>
  <c r="N28" i="19" s="1"/>
  <c r="O115" i="19"/>
  <c r="O117" i="19" s="1"/>
  <c r="O81" i="19" s="1"/>
  <c r="O83" i="19" s="1"/>
  <c r="O28" i="19" s="1"/>
  <c r="N547" i="18"/>
  <c r="O548" i="18"/>
  <c r="N523" i="18"/>
  <c r="O524" i="18"/>
  <c r="N483" i="18"/>
  <c r="D485" i="18"/>
  <c r="O485" i="18" s="1"/>
  <c r="O513" i="18" s="1"/>
  <c r="N456" i="18"/>
  <c r="N458" i="18" s="1"/>
  <c r="N165" i="18" s="1"/>
  <c r="O457" i="18"/>
  <c r="O458" i="18" s="1"/>
  <c r="O165" i="18" s="1"/>
  <c r="N298" i="18"/>
  <c r="N63" i="18" s="1"/>
  <c r="O296" i="18"/>
  <c r="O298" i="18" s="1"/>
  <c r="O63" i="18" s="1"/>
  <c r="O788" i="18"/>
  <c r="N323" i="17"/>
  <c r="N325" i="17" s="1"/>
  <c r="N140" i="17" s="1"/>
  <c r="O403" i="17"/>
  <c r="N394" i="17"/>
  <c r="N167" i="17" s="1"/>
  <c r="N168" i="17" s="1"/>
  <c r="N61" i="17" s="1"/>
  <c r="O393" i="17"/>
  <c r="O394" i="17" s="1"/>
  <c r="O167" i="17" s="1"/>
  <c r="O439" i="17"/>
  <c r="O443" i="17" s="1"/>
  <c r="O60" i="17"/>
  <c r="O455" i="17"/>
  <c r="O475" i="17"/>
  <c r="O473" i="17"/>
  <c r="O476" i="17" s="1"/>
  <c r="N238" i="17"/>
  <c r="N98" i="17" s="1"/>
  <c r="N99" i="17" s="1"/>
  <c r="N36" i="17" s="1"/>
  <c r="O237" i="17"/>
  <c r="O238" i="17" s="1"/>
  <c r="O98" i="17" s="1"/>
  <c r="O99" i="17" s="1"/>
  <c r="O36" i="17" s="1"/>
  <c r="N138" i="16"/>
  <c r="N87" i="16" s="1"/>
  <c r="N88" i="16" s="1"/>
  <c r="N33" i="16" s="1"/>
  <c r="O137" i="16"/>
  <c r="O138" i="16" s="1"/>
  <c r="O87" i="16" s="1"/>
  <c r="O88" i="16" s="1"/>
  <c r="O33" i="16" s="1"/>
  <c r="N681" i="18"/>
  <c r="N288" i="18" s="1"/>
  <c r="N292" i="18" s="1"/>
  <c r="N62" i="18" s="1"/>
  <c r="N379" i="18"/>
  <c r="M788" i="18"/>
  <c r="L733" i="18"/>
  <c r="L791" i="18"/>
  <c r="N788" i="18"/>
  <c r="N225" i="17"/>
  <c r="N88" i="17" s="1"/>
  <c r="L89" i="17"/>
  <c r="L34" i="17" s="1"/>
  <c r="L55" i="17" s="1"/>
  <c r="N473" i="17"/>
  <c r="N476" i="17" s="1"/>
  <c r="V54" i="18"/>
  <c r="T293" i="32"/>
  <c r="N132" i="16"/>
  <c r="N74" i="16" s="1"/>
  <c r="N75" i="16" s="1"/>
  <c r="N31" i="16" s="1"/>
  <c r="V49" i="18"/>
  <c r="K24" i="72"/>
  <c r="P24" i="72" s="1"/>
  <c r="L86" i="72"/>
  <c r="Q86" i="72" s="1"/>
  <c r="K22" i="72"/>
  <c r="P22" i="72" s="1"/>
  <c r="K25" i="72"/>
  <c r="P25" i="72" s="1"/>
  <c r="L84" i="72"/>
  <c r="Q84" i="72" s="1"/>
  <c r="L24" i="72"/>
  <c r="Q24" i="72" s="1"/>
  <c r="K84" i="72"/>
  <c r="P84" i="72" s="1"/>
  <c r="K21" i="72"/>
  <c r="P21" i="72" s="1"/>
  <c r="M455" i="18"/>
  <c r="M458" i="18" s="1"/>
  <c r="M165" i="18" s="1"/>
  <c r="M554" i="18"/>
  <c r="M530" i="18"/>
  <c r="M538" i="18"/>
  <c r="M522" i="18"/>
  <c r="M481" i="18"/>
  <c r="M509" i="18"/>
  <c r="M621" i="18"/>
  <c r="M627" i="18" s="1"/>
  <c r="M187" i="18" s="1"/>
  <c r="N627" i="18"/>
  <c r="N187" i="18" s="1"/>
  <c r="M546" i="18"/>
  <c r="M172" i="18"/>
  <c r="M52" i="18" s="1"/>
  <c r="N171" i="18"/>
  <c r="N76" i="19"/>
  <c r="N123" i="19"/>
  <c r="M400" i="18"/>
  <c r="M134" i="18" s="1"/>
  <c r="M135" i="18" s="1"/>
  <c r="M48" i="18" s="1"/>
  <c r="N399" i="18"/>
  <c r="M432" i="18"/>
  <c r="M141" i="18" s="1"/>
  <c r="N430" i="18"/>
  <c r="M186" i="18"/>
  <c r="N595" i="18"/>
  <c r="O595" i="18" s="1"/>
  <c r="O610" i="18" s="1"/>
  <c r="O186" i="18" s="1"/>
  <c r="M233" i="17"/>
  <c r="M93" i="17" s="1"/>
  <c r="M94" i="17" s="1"/>
  <c r="M35" i="17" s="1"/>
  <c r="N233" i="17"/>
  <c r="N93" i="17" s="1"/>
  <c r="N94" i="17" s="1"/>
  <c r="N35" i="17" s="1"/>
  <c r="M103" i="17"/>
  <c r="M104" i="17" s="1"/>
  <c r="M37" i="17" s="1"/>
  <c r="N242" i="17"/>
  <c r="O242" i="17" s="1"/>
  <c r="O248" i="17" s="1"/>
  <c r="O103" i="17" s="1"/>
  <c r="O104" i="17" s="1"/>
  <c r="O37" i="17" s="1"/>
  <c r="M319" i="17"/>
  <c r="M135" i="17" s="1"/>
  <c r="M136" i="17" s="1"/>
  <c r="M43" i="17" s="1"/>
  <c r="N318" i="17"/>
  <c r="M341" i="18"/>
  <c r="M103" i="18" s="1"/>
  <c r="M104" i="18" s="1"/>
  <c r="M42" i="18" s="1"/>
  <c r="N337" i="18"/>
  <c r="N475" i="17"/>
  <c r="N455" i="17"/>
  <c r="M332" i="18"/>
  <c r="M98" i="18" s="1"/>
  <c r="M99" i="18" s="1"/>
  <c r="M41" i="18" s="1"/>
  <c r="N327" i="18"/>
  <c r="M267" i="17"/>
  <c r="M113" i="17" s="1"/>
  <c r="M114" i="17" s="1"/>
  <c r="M39" i="17" s="1"/>
  <c r="M436" i="18"/>
  <c r="M144" i="18" s="1"/>
  <c r="N434" i="18"/>
  <c r="M581" i="18"/>
  <c r="M177" i="18" s="1"/>
  <c r="N566" i="18"/>
  <c r="M65" i="19"/>
  <c r="N109" i="19"/>
  <c r="M389" i="17"/>
  <c r="M177" i="17" s="1"/>
  <c r="M178" i="17" s="1"/>
  <c r="M63" i="17" s="1"/>
  <c r="N388" i="17"/>
  <c r="M152" i="18"/>
  <c r="N442" i="18"/>
  <c r="O442" i="18" s="1"/>
  <c r="M204" i="18"/>
  <c r="M70" i="18" s="1"/>
  <c r="N203" i="18"/>
  <c r="M447" i="18"/>
  <c r="M164" i="18" s="1"/>
  <c r="N445" i="18"/>
  <c r="M83" i="16"/>
  <c r="M32" i="16" s="1"/>
  <c r="N79" i="16"/>
  <c r="M713" i="18"/>
  <c r="M213" i="18" s="1"/>
  <c r="M214" i="18" s="1"/>
  <c r="M73" i="18" s="1"/>
  <c r="N712" i="18"/>
  <c r="M220" i="18"/>
  <c r="M74" i="18" s="1"/>
  <c r="N218" i="18"/>
  <c r="M63" i="19"/>
  <c r="N107" i="19"/>
  <c r="M394" i="18"/>
  <c r="M129" i="18" s="1"/>
  <c r="M130" i="18" s="1"/>
  <c r="M47" i="18" s="1"/>
  <c r="N391" i="18"/>
  <c r="M231" i="18"/>
  <c r="M76" i="18" s="1"/>
  <c r="N229" i="18"/>
  <c r="M590" i="18"/>
  <c r="M184" i="18" s="1"/>
  <c r="N588" i="18"/>
  <c r="M362" i="18"/>
  <c r="M109" i="18" s="1"/>
  <c r="N360" i="18"/>
  <c r="N69" i="19"/>
  <c r="M68" i="19"/>
  <c r="N108" i="19"/>
  <c r="M111" i="16"/>
  <c r="M69" i="16" s="1"/>
  <c r="M70" i="16" s="1"/>
  <c r="M30" i="16" s="1"/>
  <c r="N107" i="16"/>
  <c r="N85" i="17"/>
  <c r="N215" i="17"/>
  <c r="M383" i="17"/>
  <c r="M172" i="17" s="1"/>
  <c r="M173" i="17" s="1"/>
  <c r="M62" i="17" s="1"/>
  <c r="N382" i="17"/>
  <c r="M322" i="18"/>
  <c r="M92" i="18" s="1"/>
  <c r="M93" i="18" s="1"/>
  <c r="M40" i="18" s="1"/>
  <c r="N320" i="18"/>
  <c r="M102" i="20"/>
  <c r="M61" i="20" s="1"/>
  <c r="M62" i="20" s="1"/>
  <c r="M29" i="20" s="1"/>
  <c r="N97" i="20"/>
  <c r="O97" i="20" s="1"/>
  <c r="O100" i="20" s="1"/>
  <c r="O102" i="20" s="1"/>
  <c r="O61" i="20" s="1"/>
  <c r="O62" i="20" s="1"/>
  <c r="O29" i="20" s="1"/>
  <c r="M115" i="18"/>
  <c r="M44" i="18" s="1"/>
  <c r="N114" i="18"/>
  <c r="M194" i="18"/>
  <c r="M56" i="18" s="1"/>
  <c r="N193" i="18"/>
  <c r="M290" i="17"/>
  <c r="M130" i="17" s="1"/>
  <c r="M131" i="17" s="1"/>
  <c r="M41" i="17" s="1"/>
  <c r="N289" i="17"/>
  <c r="M428" i="18"/>
  <c r="M143" i="18" s="1"/>
  <c r="N426" i="18"/>
  <c r="M108" i="17"/>
  <c r="M109" i="17" s="1"/>
  <c r="M38" i="17" s="1"/>
  <c r="N256" i="17"/>
  <c r="N261" i="17" s="1"/>
  <c r="M423" i="18"/>
  <c r="M145" i="18" s="1"/>
  <c r="N409" i="18"/>
  <c r="M331" i="17"/>
  <c r="M141" i="17" s="1"/>
  <c r="M142" i="17" s="1"/>
  <c r="M44" i="17" s="1"/>
  <c r="N330" i="17"/>
  <c r="M466" i="18"/>
  <c r="M157" i="18" s="1"/>
  <c r="M158" i="18" s="1"/>
  <c r="M53" i="18" s="1"/>
  <c r="N465" i="18"/>
  <c r="M358" i="18"/>
  <c r="M108" i="18" s="1"/>
  <c r="N357" i="18"/>
  <c r="M67" i="19"/>
  <c r="N102" i="19"/>
  <c r="M123" i="20"/>
  <c r="M67" i="20" s="1"/>
  <c r="M68" i="20" s="1"/>
  <c r="M30" i="20" s="1"/>
  <c r="N120" i="20"/>
  <c r="L473" i="17"/>
  <c r="L476" i="17" s="1"/>
  <c r="L46" i="16"/>
  <c r="F18" i="70" s="1"/>
  <c r="L34" i="20"/>
  <c r="F22" i="70" s="1"/>
  <c r="L136" i="17"/>
  <c r="L43" i="17" s="1"/>
  <c r="L183" i="17"/>
  <c r="L184" i="17" s="1"/>
  <c r="L58" i="17" s="1"/>
  <c r="L72" i="17" s="1"/>
  <c r="F84" i="70" s="1"/>
  <c r="L72" i="19"/>
  <c r="L27" i="19" s="1"/>
  <c r="L32" i="19" s="1"/>
  <c r="F21" i="70" s="1"/>
  <c r="L477" i="17"/>
  <c r="M473" i="17"/>
  <c r="M476" i="17" s="1"/>
  <c r="L77" i="19"/>
  <c r="L35" i="19"/>
  <c r="L39" i="19" s="1"/>
  <c r="F86" i="70" s="1"/>
  <c r="M123" i="19"/>
  <c r="M76" i="19"/>
  <c r="M110" i="19"/>
  <c r="M69" i="19"/>
  <c r="L145" i="18"/>
  <c r="L146" i="18" s="1"/>
  <c r="L49" i="18" s="1"/>
  <c r="L110" i="18"/>
  <c r="L43" i="18" s="1"/>
  <c r="W43" i="18" s="1"/>
  <c r="L189" i="18"/>
  <c r="L167" i="18"/>
  <c r="L51" i="18" s="1"/>
  <c r="W51" i="18" s="1"/>
  <c r="L52" i="18"/>
  <c r="W52" i="18" s="1"/>
  <c r="L224" i="18"/>
  <c r="L225" i="18" s="1"/>
  <c r="L75" i="18" s="1"/>
  <c r="L558" i="18"/>
  <c r="L562" i="18" s="1"/>
  <c r="L176" i="18" s="1"/>
  <c r="L179" i="18" s="1"/>
  <c r="L54" i="18" s="1"/>
  <c r="W54" i="18" s="1"/>
  <c r="M85" i="17"/>
  <c r="M215" i="17"/>
  <c r="L475" i="17"/>
  <c r="L455" i="17"/>
  <c r="L409" i="17"/>
  <c r="Y18" i="70" l="1"/>
  <c r="M18" i="70"/>
  <c r="Y22" i="70"/>
  <c r="M22" i="70"/>
  <c r="Y21" i="70"/>
  <c r="M21" i="70"/>
  <c r="Y86" i="70"/>
  <c r="M86" i="70"/>
  <c r="M153" i="18"/>
  <c r="M50" i="18" s="1"/>
  <c r="M84" i="70"/>
  <c r="Y84" i="70"/>
  <c r="O442" i="17"/>
  <c r="N123" i="20"/>
  <c r="N67" i="20" s="1"/>
  <c r="N68" i="20" s="1"/>
  <c r="N30" i="20" s="1"/>
  <c r="O120" i="20"/>
  <c r="O123" i="20" s="1"/>
  <c r="O67" i="20" s="1"/>
  <c r="O68" i="20" s="1"/>
  <c r="O30" i="20" s="1"/>
  <c r="O34" i="20" s="1"/>
  <c r="O77" i="19"/>
  <c r="O35" i="19"/>
  <c r="O39" i="19" s="1"/>
  <c r="I86" i="70" s="1"/>
  <c r="N67" i="19"/>
  <c r="O102" i="19"/>
  <c r="N65" i="19"/>
  <c r="O109" i="19"/>
  <c r="O65" i="19" s="1"/>
  <c r="N68" i="19"/>
  <c r="O108" i="19"/>
  <c r="O68" i="19" s="1"/>
  <c r="N63" i="19"/>
  <c r="O107" i="19"/>
  <c r="O63" i="19" s="1"/>
  <c r="O558" i="18"/>
  <c r="O562" i="18" s="1"/>
  <c r="O176" i="18" s="1"/>
  <c r="N713" i="18"/>
  <c r="N213" i="18" s="1"/>
  <c r="N214" i="18" s="1"/>
  <c r="N73" i="18" s="1"/>
  <c r="O712" i="18"/>
  <c r="O713" i="18" s="1"/>
  <c r="O213" i="18" s="1"/>
  <c r="O214" i="18" s="1"/>
  <c r="O73" i="18" s="1"/>
  <c r="N590" i="18"/>
  <c r="N184" i="18" s="1"/>
  <c r="O588" i="18"/>
  <c r="O590" i="18" s="1"/>
  <c r="O184" i="18" s="1"/>
  <c r="O189" i="18" s="1"/>
  <c r="N581" i="18"/>
  <c r="N177" i="18" s="1"/>
  <c r="O566" i="18"/>
  <c r="O581" i="18" s="1"/>
  <c r="O177" i="18" s="1"/>
  <c r="N466" i="18"/>
  <c r="N157" i="18" s="1"/>
  <c r="N158" i="18" s="1"/>
  <c r="N53" i="18" s="1"/>
  <c r="O465" i="18"/>
  <c r="O466" i="18" s="1"/>
  <c r="O157" i="18" s="1"/>
  <c r="O158" i="18" s="1"/>
  <c r="O53" i="18" s="1"/>
  <c r="N447" i="18"/>
  <c r="N164" i="18" s="1"/>
  <c r="N167" i="18" s="1"/>
  <c r="N51" i="18" s="1"/>
  <c r="O445" i="18"/>
  <c r="O447" i="18" s="1"/>
  <c r="O164" i="18" s="1"/>
  <c r="O167" i="18" s="1"/>
  <c r="O51" i="18" s="1"/>
  <c r="O152" i="18"/>
  <c r="O443" i="18"/>
  <c r="N432" i="18"/>
  <c r="N141" i="18" s="1"/>
  <c r="O430" i="18"/>
  <c r="O432" i="18" s="1"/>
  <c r="O141" i="18" s="1"/>
  <c r="N436" i="18"/>
  <c r="N144" i="18" s="1"/>
  <c r="O434" i="18"/>
  <c r="O436" i="18" s="1"/>
  <c r="O144" i="18" s="1"/>
  <c r="N428" i="18"/>
  <c r="N143" i="18" s="1"/>
  <c r="O426" i="18"/>
  <c r="O428" i="18" s="1"/>
  <c r="O143" i="18" s="1"/>
  <c r="N423" i="18"/>
  <c r="N145" i="18" s="1"/>
  <c r="O409" i="18"/>
  <c r="O423" i="18" s="1"/>
  <c r="O145" i="18" s="1"/>
  <c r="N400" i="18"/>
  <c r="N134" i="18" s="1"/>
  <c r="N135" i="18" s="1"/>
  <c r="N48" i="18" s="1"/>
  <c r="O399" i="18"/>
  <c r="O400" i="18" s="1"/>
  <c r="O134" i="18" s="1"/>
  <c r="O135" i="18" s="1"/>
  <c r="O48" i="18" s="1"/>
  <c r="N394" i="18"/>
  <c r="N129" i="18" s="1"/>
  <c r="N130" i="18" s="1"/>
  <c r="N47" i="18" s="1"/>
  <c r="O391" i="18"/>
  <c r="O394" i="18" s="1"/>
  <c r="O129" i="18" s="1"/>
  <c r="O130" i="18" s="1"/>
  <c r="O47" i="18" s="1"/>
  <c r="N380" i="18"/>
  <c r="N124" i="18" s="1"/>
  <c r="N125" i="18" s="1"/>
  <c r="N46" i="18" s="1"/>
  <c r="O379" i="18"/>
  <c r="O380" i="18" s="1"/>
  <c r="O124" i="18" s="1"/>
  <c r="O125" i="18" s="1"/>
  <c r="O46" i="18" s="1"/>
  <c r="N358" i="18"/>
  <c r="N108" i="18" s="1"/>
  <c r="O357" i="18"/>
  <c r="O358" i="18" s="1"/>
  <c r="O108" i="18" s="1"/>
  <c r="N362" i="18"/>
  <c r="N109" i="18" s="1"/>
  <c r="N110" i="18" s="1"/>
  <c r="N43" i="18" s="1"/>
  <c r="O360" i="18"/>
  <c r="O362" i="18" s="1"/>
  <c r="O109" i="18" s="1"/>
  <c r="N341" i="18"/>
  <c r="N103" i="18" s="1"/>
  <c r="N104" i="18" s="1"/>
  <c r="N42" i="18" s="1"/>
  <c r="O337" i="18"/>
  <c r="O341" i="18" s="1"/>
  <c r="O103" i="18" s="1"/>
  <c r="O104" i="18" s="1"/>
  <c r="O42" i="18" s="1"/>
  <c r="N332" i="18"/>
  <c r="N98" i="18" s="1"/>
  <c r="N99" i="18" s="1"/>
  <c r="N41" i="18" s="1"/>
  <c r="O327" i="18"/>
  <c r="O332" i="18" s="1"/>
  <c r="O98" i="18" s="1"/>
  <c r="O99" i="18" s="1"/>
  <c r="O41" i="18" s="1"/>
  <c r="N322" i="18"/>
  <c r="N92" i="18" s="1"/>
  <c r="N93" i="18" s="1"/>
  <c r="N40" i="18" s="1"/>
  <c r="O320" i="18"/>
  <c r="O322" i="18" s="1"/>
  <c r="O92" i="18" s="1"/>
  <c r="O93" i="18" s="1"/>
  <c r="O40" i="18" s="1"/>
  <c r="O733" i="18"/>
  <c r="O791" i="18"/>
  <c r="N231" i="18"/>
  <c r="N76" i="18" s="1"/>
  <c r="O229" i="18"/>
  <c r="O231" i="18" s="1"/>
  <c r="O76" i="18" s="1"/>
  <c r="N220" i="18"/>
  <c r="N74" i="18" s="1"/>
  <c r="O218" i="18"/>
  <c r="O220" i="18" s="1"/>
  <c r="O74" i="18" s="1"/>
  <c r="N194" i="18"/>
  <c r="N56" i="18" s="1"/>
  <c r="O193" i="18"/>
  <c r="O194" i="18" s="1"/>
  <c r="O56" i="18" s="1"/>
  <c r="N172" i="18"/>
  <c r="N52" i="18" s="1"/>
  <c r="O171" i="18"/>
  <c r="O172" i="18" s="1"/>
  <c r="N204" i="18"/>
  <c r="N70" i="18" s="1"/>
  <c r="O203" i="18"/>
  <c r="O204" i="18" s="1"/>
  <c r="O70" i="18" s="1"/>
  <c r="N115" i="18"/>
  <c r="N44" i="18" s="1"/>
  <c r="O114" i="18"/>
  <c r="O115" i="18" s="1"/>
  <c r="O44" i="18" s="1"/>
  <c r="O404" i="17"/>
  <c r="O188" i="17" s="1"/>
  <c r="O189" i="17" s="1"/>
  <c r="O59" i="17" s="1"/>
  <c r="O323" i="17"/>
  <c r="O325" i="17" s="1"/>
  <c r="O140" i="17" s="1"/>
  <c r="N389" i="17"/>
  <c r="N177" i="17" s="1"/>
  <c r="N178" i="17" s="1"/>
  <c r="N63" i="17" s="1"/>
  <c r="O388" i="17"/>
  <c r="O389" i="17" s="1"/>
  <c r="O177" i="17" s="1"/>
  <c r="O178" i="17" s="1"/>
  <c r="O63" i="17" s="1"/>
  <c r="O168" i="17"/>
  <c r="O61" i="17" s="1"/>
  <c r="N383" i="17"/>
  <c r="N172" i="17" s="1"/>
  <c r="N173" i="17" s="1"/>
  <c r="N62" i="17" s="1"/>
  <c r="O382" i="17"/>
  <c r="O383" i="17" s="1"/>
  <c r="O172" i="17" s="1"/>
  <c r="O173" i="17" s="1"/>
  <c r="O62" i="17" s="1"/>
  <c r="N331" i="17"/>
  <c r="N141" i="17" s="1"/>
  <c r="N142" i="17" s="1"/>
  <c r="N44" i="17" s="1"/>
  <c r="O330" i="17"/>
  <c r="O331" i="17" s="1"/>
  <c r="O141" i="17" s="1"/>
  <c r="N319" i="17"/>
  <c r="N135" i="17" s="1"/>
  <c r="N136" i="17" s="1"/>
  <c r="N43" i="17" s="1"/>
  <c r="O318" i="17"/>
  <c r="O319" i="17" s="1"/>
  <c r="O135" i="17" s="1"/>
  <c r="N290" i="17"/>
  <c r="N130" i="17" s="1"/>
  <c r="N131" i="17" s="1"/>
  <c r="N41" i="17" s="1"/>
  <c r="O289" i="17"/>
  <c r="O290" i="17" s="1"/>
  <c r="O130" i="17" s="1"/>
  <c r="O131" i="17" s="1"/>
  <c r="O41" i="17" s="1"/>
  <c r="N108" i="17"/>
  <c r="N109" i="17" s="1"/>
  <c r="N38" i="17" s="1"/>
  <c r="O256" i="17"/>
  <c r="O261" i="17" s="1"/>
  <c r="O108" i="17" s="1"/>
  <c r="N267" i="17"/>
  <c r="N113" i="17" s="1"/>
  <c r="N114" i="17" s="1"/>
  <c r="N39" i="17" s="1"/>
  <c r="O267" i="17"/>
  <c r="O113" i="17" s="1"/>
  <c r="O114" i="17" s="1"/>
  <c r="O39" i="17" s="1"/>
  <c r="N111" i="16"/>
  <c r="N69" i="16" s="1"/>
  <c r="N70" i="16" s="1"/>
  <c r="N30" i="16" s="1"/>
  <c r="O107" i="16"/>
  <c r="O111" i="16" s="1"/>
  <c r="O69" i="16" s="1"/>
  <c r="O70" i="16" s="1"/>
  <c r="O30" i="16" s="1"/>
  <c r="N83" i="16"/>
  <c r="N32" i="16" s="1"/>
  <c r="O79" i="16"/>
  <c r="O83" i="16" s="1"/>
  <c r="O32" i="16" s="1"/>
  <c r="N152" i="18"/>
  <c r="N443" i="18"/>
  <c r="N100" i="20"/>
  <c r="N102" i="20" s="1"/>
  <c r="N61" i="20" s="1"/>
  <c r="N62" i="20" s="1"/>
  <c r="N29" i="20" s="1"/>
  <c r="N34" i="20" s="1"/>
  <c r="H22" i="70" s="1"/>
  <c r="M146" i="18"/>
  <c r="M49" i="18" s="1"/>
  <c r="M558" i="18"/>
  <c r="M513" i="18"/>
  <c r="N791" i="18"/>
  <c r="N733" i="18"/>
  <c r="N610" i="18"/>
  <c r="N186" i="18" s="1"/>
  <c r="M791" i="18"/>
  <c r="M733" i="18"/>
  <c r="N89" i="17"/>
  <c r="N34" i="17" s="1"/>
  <c r="M89" i="17"/>
  <c r="M34" i="17" s="1"/>
  <c r="M55" i="17" s="1"/>
  <c r="G19" i="70" s="1"/>
  <c r="N248" i="17"/>
  <c r="N103" i="17" s="1"/>
  <c r="N104" i="17" s="1"/>
  <c r="N37" i="17" s="1"/>
  <c r="L433" i="17"/>
  <c r="L428" i="17"/>
  <c r="L425" i="17"/>
  <c r="L422" i="17"/>
  <c r="L432" i="17"/>
  <c r="L424" i="17"/>
  <c r="L421" i="17"/>
  <c r="L423" i="17"/>
  <c r="L427" i="17"/>
  <c r="L426" i="17"/>
  <c r="M110" i="18"/>
  <c r="M43" i="18" s="1"/>
  <c r="M477" i="17"/>
  <c r="M480" i="17" s="1"/>
  <c r="M409" i="17"/>
  <c r="M411" i="17" s="1"/>
  <c r="W49" i="18"/>
  <c r="V55" i="18"/>
  <c r="M46" i="16"/>
  <c r="M189" i="18"/>
  <c r="M732" i="18" s="1"/>
  <c r="M740" i="18" s="1"/>
  <c r="M746" i="18" s="1"/>
  <c r="M85" i="61" s="1"/>
  <c r="M425" i="61" s="1"/>
  <c r="M224" i="18"/>
  <c r="M225" i="18" s="1"/>
  <c r="M75" i="18" s="1"/>
  <c r="M183" i="17"/>
  <c r="M184" i="17" s="1"/>
  <c r="M58" i="17" s="1"/>
  <c r="M72" i="17" s="1"/>
  <c r="G84" i="70" s="1"/>
  <c r="N513" i="18"/>
  <c r="N558" i="18"/>
  <c r="M84" i="72"/>
  <c r="R84" i="72" s="1"/>
  <c r="L25" i="72"/>
  <c r="Q25" i="72" s="1"/>
  <c r="L21" i="72"/>
  <c r="Q21" i="72" s="1"/>
  <c r="K23" i="72"/>
  <c r="P23" i="72" s="1"/>
  <c r="M24" i="72"/>
  <c r="R24" i="72" s="1"/>
  <c r="M86" i="72"/>
  <c r="R86" i="72" s="1"/>
  <c r="M34" i="20"/>
  <c r="N110" i="19"/>
  <c r="M167" i="18"/>
  <c r="M51" i="18" s="1"/>
  <c r="L42" i="20"/>
  <c r="L51" i="20" s="1"/>
  <c r="N409" i="17"/>
  <c r="N77" i="19"/>
  <c r="N35" i="19"/>
  <c r="N39" i="19" s="1"/>
  <c r="H86" i="70" s="1"/>
  <c r="M72" i="19"/>
  <c r="M27" i="19" s="1"/>
  <c r="M32" i="19" s="1"/>
  <c r="G21" i="70" s="1"/>
  <c r="T86" i="60"/>
  <c r="L59" i="16"/>
  <c r="F19" i="70"/>
  <c r="L480" i="17"/>
  <c r="L41" i="19"/>
  <c r="L50" i="19" s="1"/>
  <c r="M77" i="19"/>
  <c r="M35" i="19"/>
  <c r="M39" i="19" s="1"/>
  <c r="G86" i="70" s="1"/>
  <c r="L753" i="18"/>
  <c r="L754" i="18" s="1"/>
  <c r="L790" i="18" s="1"/>
  <c r="L795" i="18" s="1"/>
  <c r="L732" i="18"/>
  <c r="L55" i="18"/>
  <c r="L481" i="17"/>
  <c r="L411" i="17"/>
  <c r="N55" i="17" l="1"/>
  <c r="H19" i="70" s="1"/>
  <c r="N72" i="19"/>
  <c r="N27" i="19" s="1"/>
  <c r="N32" i="19" s="1"/>
  <c r="N46" i="16"/>
  <c r="O42" i="20"/>
  <c r="O51" i="20" s="1"/>
  <c r="I22" i="70"/>
  <c r="O109" i="17"/>
  <c r="O38" i="17" s="1"/>
  <c r="Q22" i="70"/>
  <c r="AA22" i="70"/>
  <c r="M59" i="16"/>
  <c r="G18" i="70"/>
  <c r="N21" i="72" s="1"/>
  <c r="S21" i="72" s="1"/>
  <c r="M42" i="20"/>
  <c r="M51" i="20" s="1"/>
  <c r="G22" i="70"/>
  <c r="Q86" i="70"/>
  <c r="AA86" i="70"/>
  <c r="O21" i="70"/>
  <c r="Z21" i="70"/>
  <c r="O86" i="70"/>
  <c r="Z86" i="70"/>
  <c r="N153" i="18"/>
  <c r="N50" i="18" s="1"/>
  <c r="O153" i="18"/>
  <c r="O50" i="18" s="1"/>
  <c r="N189" i="18"/>
  <c r="O84" i="70"/>
  <c r="Z84" i="70"/>
  <c r="Y19" i="70"/>
  <c r="M19" i="70"/>
  <c r="Z19" i="70"/>
  <c r="O19" i="70"/>
  <c r="O142" i="17"/>
  <c r="O44" i="17" s="1"/>
  <c r="O67" i="19"/>
  <c r="O72" i="19" s="1"/>
  <c r="O27" i="19" s="1"/>
  <c r="O32" i="19" s="1"/>
  <c r="O110" i="19"/>
  <c r="O179" i="18"/>
  <c r="O54" i="18" s="1"/>
  <c r="N146" i="18"/>
  <c r="N49" i="18" s="1"/>
  <c r="N224" i="18"/>
  <c r="N225" i="18" s="1"/>
  <c r="N75" i="18" s="1"/>
  <c r="O753" i="18"/>
  <c r="O754" i="18" s="1"/>
  <c r="O790" i="18" s="1"/>
  <c r="O795" i="18" s="1"/>
  <c r="O732" i="18"/>
  <c r="O737" i="18" s="1"/>
  <c r="O55" i="18"/>
  <c r="O146" i="18"/>
  <c r="O49" i="18" s="1"/>
  <c r="O110" i="18"/>
  <c r="O43" i="18" s="1"/>
  <c r="O52" i="18"/>
  <c r="O224" i="18"/>
  <c r="O225" i="18" s="1"/>
  <c r="O75" i="18" s="1"/>
  <c r="N477" i="17"/>
  <c r="N183" i="17"/>
  <c r="N184" i="17" s="1"/>
  <c r="N58" i="17" s="1"/>
  <c r="N72" i="17" s="1"/>
  <c r="H84" i="70" s="1"/>
  <c r="O477" i="17"/>
  <c r="O136" i="17"/>
  <c r="O43" i="17" s="1"/>
  <c r="O183" i="17"/>
  <c r="O184" i="17" s="1"/>
  <c r="O58" i="17" s="1"/>
  <c r="O72" i="17" s="1"/>
  <c r="I84" i="70" s="1"/>
  <c r="O46" i="16"/>
  <c r="M562" i="18"/>
  <c r="M176" i="18" s="1"/>
  <c r="M179" i="18" s="1"/>
  <c r="M54" i="18" s="1"/>
  <c r="L435" i="17"/>
  <c r="L438" i="17" s="1"/>
  <c r="N426" i="17"/>
  <c r="N423" i="17"/>
  <c r="N433" i="17"/>
  <c r="N428" i="17"/>
  <c r="N422" i="17"/>
  <c r="N432" i="17"/>
  <c r="N427" i="17"/>
  <c r="N424" i="17"/>
  <c r="N421" i="17"/>
  <c r="N425" i="17"/>
  <c r="M426" i="17"/>
  <c r="M423" i="17"/>
  <c r="M433" i="17"/>
  <c r="M428" i="17"/>
  <c r="M425" i="17"/>
  <c r="M422" i="17"/>
  <c r="M432" i="17"/>
  <c r="M427" i="17"/>
  <c r="M424" i="17"/>
  <c r="M421" i="17"/>
  <c r="L23" i="72"/>
  <c r="Q23" i="72" s="1"/>
  <c r="M481" i="17"/>
  <c r="N84" i="72"/>
  <c r="S84" i="72" s="1"/>
  <c r="M86" i="60"/>
  <c r="M408" i="60" s="1"/>
  <c r="M407" i="60" s="1"/>
  <c r="M177" i="13" s="1"/>
  <c r="M734" i="18"/>
  <c r="M737" i="18"/>
  <c r="M738" i="18" s="1"/>
  <c r="M85" i="60" s="1"/>
  <c r="M55" i="18"/>
  <c r="N42" i="20"/>
  <c r="N51" i="20" s="1"/>
  <c r="M753" i="18"/>
  <c r="M754" i="18" s="1"/>
  <c r="M790" i="18" s="1"/>
  <c r="M795" i="18" s="1"/>
  <c r="L67" i="18"/>
  <c r="W55" i="18"/>
  <c r="N562" i="18"/>
  <c r="L22" i="72"/>
  <c r="Q22" i="72" s="1"/>
  <c r="M25" i="72"/>
  <c r="R25" i="72" s="1"/>
  <c r="N24" i="72"/>
  <c r="S24" i="72" s="1"/>
  <c r="M21" i="72"/>
  <c r="R21" i="72" s="1"/>
  <c r="M41" i="19"/>
  <c r="M50" i="19" s="1"/>
  <c r="L74" i="17"/>
  <c r="N411" i="17"/>
  <c r="M74" i="17"/>
  <c r="K86" i="60"/>
  <c r="K408" i="60" s="1"/>
  <c r="K85" i="61"/>
  <c r="K425" i="61" s="1"/>
  <c r="M431" i="61"/>
  <c r="M158" i="61" s="1"/>
  <c r="M159" i="61" s="1"/>
  <c r="M39" i="61" s="1"/>
  <c r="M71" i="61"/>
  <c r="M74" i="61" s="1"/>
  <c r="K85" i="60"/>
  <c r="L740" i="18"/>
  <c r="L746" i="18" s="1"/>
  <c r="L734" i="18"/>
  <c r="L737" i="18"/>
  <c r="M413" i="17"/>
  <c r="M437" i="17" s="1"/>
  <c r="M418" i="17"/>
  <c r="L413" i="17"/>
  <c r="L437" i="17" s="1"/>
  <c r="L418" i="17"/>
  <c r="N732" i="18" l="1"/>
  <c r="N55" i="18"/>
  <c r="N481" i="17"/>
  <c r="N480" i="17"/>
  <c r="H21" i="70"/>
  <c r="N41" i="19"/>
  <c r="N50" i="19" s="1"/>
  <c r="H18" i="70"/>
  <c r="N59" i="16"/>
  <c r="Q21" i="70"/>
  <c r="AA21" i="70"/>
  <c r="O18" i="70"/>
  <c r="Z18" i="70"/>
  <c r="O22" i="70"/>
  <c r="Z22" i="70"/>
  <c r="O55" i="17"/>
  <c r="O41" i="19"/>
  <c r="O50" i="19" s="1"/>
  <c r="I21" i="70"/>
  <c r="O59" i="16"/>
  <c r="I18" i="70"/>
  <c r="N753" i="18"/>
  <c r="N754" i="18" s="1"/>
  <c r="N790" i="18" s="1"/>
  <c r="N795" i="18" s="1"/>
  <c r="AA84" i="70"/>
  <c r="Q84" i="70"/>
  <c r="F20" i="70"/>
  <c r="AA19" i="70"/>
  <c r="Q19" i="70"/>
  <c r="O67" i="18"/>
  <c r="I20" i="70" s="1"/>
  <c r="O740" i="18"/>
  <c r="O746" i="18" s="1"/>
  <c r="O734" i="18"/>
  <c r="O743" i="18"/>
  <c r="O738" i="18"/>
  <c r="O85" i="60" s="1"/>
  <c r="O480" i="17"/>
  <c r="O481" i="17"/>
  <c r="M67" i="18"/>
  <c r="G20" i="70" s="1"/>
  <c r="N435" i="17"/>
  <c r="N438" i="17" s="1"/>
  <c r="M435" i="17"/>
  <c r="M438" i="17" s="1"/>
  <c r="M442" i="17" s="1"/>
  <c r="M414" i="60"/>
  <c r="M73" i="60" s="1"/>
  <c r="M75" i="60" s="1"/>
  <c r="N74" i="17"/>
  <c r="M87" i="60"/>
  <c r="M289" i="60" s="1"/>
  <c r="M302" i="60" s="1"/>
  <c r="M305" i="60" s="1"/>
  <c r="M151" i="60" s="1"/>
  <c r="M152" i="60" s="1"/>
  <c r="M42" i="60" s="1"/>
  <c r="M743" i="18"/>
  <c r="M744" i="18" s="1"/>
  <c r="M235" i="18" s="1"/>
  <c r="M236" i="18" s="1"/>
  <c r="M77" i="18" s="1"/>
  <c r="M79" i="18" s="1"/>
  <c r="G85" i="70" s="1"/>
  <c r="N25" i="72"/>
  <c r="S25" i="72" s="1"/>
  <c r="N176" i="18"/>
  <c r="N179" i="18" s="1"/>
  <c r="N54" i="18" s="1"/>
  <c r="N67" i="18" s="1"/>
  <c r="H20" i="70" s="1"/>
  <c r="M22" i="72"/>
  <c r="R22" i="72" s="1"/>
  <c r="N22" i="72"/>
  <c r="S22" i="72" s="1"/>
  <c r="N86" i="72"/>
  <c r="S86" i="72" s="1"/>
  <c r="N418" i="17"/>
  <c r="N413" i="17"/>
  <c r="N437" i="17" s="1"/>
  <c r="K87" i="60"/>
  <c r="K32" i="60" s="1"/>
  <c r="K84" i="61"/>
  <c r="K86" i="61" s="1"/>
  <c r="V308" i="60"/>
  <c r="V71" i="61"/>
  <c r="L86" i="60"/>
  <c r="L408" i="60" s="1"/>
  <c r="L85" i="61"/>
  <c r="L425" i="61" s="1"/>
  <c r="K71" i="61"/>
  <c r="K74" i="61" s="1"/>
  <c r="K431" i="61"/>
  <c r="K158" i="61" s="1"/>
  <c r="K159" i="61" s="1"/>
  <c r="K39" i="61" s="1"/>
  <c r="K407" i="60"/>
  <c r="K414" i="60"/>
  <c r="L743" i="18"/>
  <c r="L738" i="18"/>
  <c r="L85" i="60" s="1"/>
  <c r="L442" i="17"/>
  <c r="L443" i="17"/>
  <c r="N737" i="18" l="1"/>
  <c r="N734" i="18"/>
  <c r="N740" i="18"/>
  <c r="N746" i="18" s="1"/>
  <c r="I19" i="70"/>
  <c r="O74" i="17"/>
  <c r="Q18" i="70"/>
  <c r="AA18" i="70"/>
  <c r="Z85" i="70"/>
  <c r="O85" i="70"/>
  <c r="M443" i="17"/>
  <c r="AA20" i="70"/>
  <c r="Q20" i="70"/>
  <c r="Y20" i="70"/>
  <c r="M20" i="70"/>
  <c r="Z20" i="70"/>
  <c r="O20" i="70"/>
  <c r="M23" i="72"/>
  <c r="R23" i="72" s="1"/>
  <c r="O744" i="18"/>
  <c r="O235" i="18" s="1"/>
  <c r="O236" i="18" s="1"/>
  <c r="O77" i="18" s="1"/>
  <c r="O79" i="18" s="1"/>
  <c r="O84" i="61"/>
  <c r="O85" i="61"/>
  <c r="O425" i="61" s="1"/>
  <c r="O86" i="60"/>
  <c r="O408" i="60" s="1"/>
  <c r="M156" i="60"/>
  <c r="M157" i="60" s="1"/>
  <c r="M46" i="60" s="1"/>
  <c r="N23" i="72"/>
  <c r="S23" i="72" s="1"/>
  <c r="M84" i="61"/>
  <c r="M86" i="61" s="1"/>
  <c r="M28" i="61" s="1"/>
  <c r="M32" i="60"/>
  <c r="M422" i="60" s="1"/>
  <c r="M423" i="60" s="1"/>
  <c r="M446" i="60" s="1"/>
  <c r="M451" i="60" s="1"/>
  <c r="K289" i="60"/>
  <c r="K302" i="60" s="1"/>
  <c r="K305" i="60" s="1"/>
  <c r="K151" i="60" s="1"/>
  <c r="K152" i="60" s="1"/>
  <c r="K42" i="60" s="1"/>
  <c r="K422" i="60" s="1"/>
  <c r="K423" i="60" s="1"/>
  <c r="K446" i="60" s="1"/>
  <c r="K451" i="60" s="1"/>
  <c r="L87" i="60"/>
  <c r="L289" i="60" s="1"/>
  <c r="L302" i="60" s="1"/>
  <c r="L305" i="60" s="1"/>
  <c r="L151" i="60" s="1"/>
  <c r="L152" i="60" s="1"/>
  <c r="L42" i="60" s="1"/>
  <c r="N442" i="17"/>
  <c r="N443" i="17"/>
  <c r="V71" i="60"/>
  <c r="L71" i="61"/>
  <c r="L74" i="61" s="1"/>
  <c r="L431" i="61"/>
  <c r="L158" i="61" s="1"/>
  <c r="L159" i="61" s="1"/>
  <c r="L39" i="61" s="1"/>
  <c r="L414" i="60"/>
  <c r="L407" i="60"/>
  <c r="L177" i="13" s="1"/>
  <c r="L188" i="13" s="1"/>
  <c r="M81" i="18"/>
  <c r="L744" i="18"/>
  <c r="L235" i="18" s="1"/>
  <c r="L236" i="18" s="1"/>
  <c r="L77" i="18" s="1"/>
  <c r="L79" i="18" s="1"/>
  <c r="F85" i="70" s="1"/>
  <c r="L84" i="61"/>
  <c r="L86" i="61" s="1"/>
  <c r="K73" i="60"/>
  <c r="K75" i="60" s="1"/>
  <c r="K156" i="60"/>
  <c r="K157" i="60" s="1"/>
  <c r="K46" i="60" s="1"/>
  <c r="W71" i="60"/>
  <c r="K28" i="61"/>
  <c r="K405" i="61"/>
  <c r="K408" i="61" s="1"/>
  <c r="K410" i="61" s="1"/>
  <c r="K411" i="61" s="1"/>
  <c r="H416" i="61"/>
  <c r="L76" i="15"/>
  <c r="M75" i="15"/>
  <c r="L75" i="15"/>
  <c r="M74" i="15"/>
  <c r="L74" i="15"/>
  <c r="M501" i="15"/>
  <c r="M205" i="15" s="1"/>
  <c r="L501" i="15"/>
  <c r="L205" i="15" s="1"/>
  <c r="M491" i="15"/>
  <c r="M199" i="15" s="1"/>
  <c r="M72" i="15" s="1"/>
  <c r="L491" i="15"/>
  <c r="L199" i="15" s="1"/>
  <c r="L72" i="15" s="1"/>
  <c r="M485" i="15"/>
  <c r="M198" i="15" s="1"/>
  <c r="L485" i="15"/>
  <c r="L198" i="15" s="1"/>
  <c r="M479" i="15"/>
  <c r="M193" i="15" s="1"/>
  <c r="M71" i="15" s="1"/>
  <c r="L479" i="15"/>
  <c r="L193" i="15" s="1"/>
  <c r="L71" i="15" s="1"/>
  <c r="M473" i="15"/>
  <c r="M188" i="15" s="1"/>
  <c r="M70" i="15" s="1"/>
  <c r="L473" i="15"/>
  <c r="L188" i="15" s="1"/>
  <c r="L70" i="15" s="1"/>
  <c r="L183" i="15"/>
  <c r="L69" i="15" s="1"/>
  <c r="M460" i="15"/>
  <c r="M179" i="15" s="1"/>
  <c r="L460" i="15"/>
  <c r="L179" i="15" s="1"/>
  <c r="L68" i="15" s="1"/>
  <c r="M175" i="15"/>
  <c r="M67" i="15" s="1"/>
  <c r="L175" i="15"/>
  <c r="L67" i="15" s="1"/>
  <c r="M448" i="15"/>
  <c r="M171" i="15" s="1"/>
  <c r="M66" i="15" s="1"/>
  <c r="L448" i="15"/>
  <c r="L171" i="15" s="1"/>
  <c r="L66" i="15" s="1"/>
  <c r="M65" i="15"/>
  <c r="L65" i="15"/>
  <c r="M162" i="15"/>
  <c r="M64" i="15" s="1"/>
  <c r="L428" i="15"/>
  <c r="M423" i="15"/>
  <c r="M161" i="15" s="1"/>
  <c r="L423" i="15"/>
  <c r="L161" i="15" s="1"/>
  <c r="M414" i="15"/>
  <c r="M157" i="15" s="1"/>
  <c r="M63" i="15" s="1"/>
  <c r="L414" i="15"/>
  <c r="L157" i="15" s="1"/>
  <c r="L63" i="15" s="1"/>
  <c r="M408" i="15"/>
  <c r="M153" i="15" s="1"/>
  <c r="L408" i="15"/>
  <c r="L153" i="15" s="1"/>
  <c r="M402" i="15"/>
  <c r="M148" i="15" s="1"/>
  <c r="M62" i="15" s="1"/>
  <c r="L402" i="15"/>
  <c r="L148" i="15" s="1"/>
  <c r="L62" i="15" s="1"/>
  <c r="M376" i="15"/>
  <c r="M147" i="15" s="1"/>
  <c r="L376" i="15"/>
  <c r="L147" i="15" s="1"/>
  <c r="M368" i="15"/>
  <c r="M143" i="15" s="1"/>
  <c r="M61" i="15" s="1"/>
  <c r="L368" i="15"/>
  <c r="L143" i="15" s="1"/>
  <c r="L61" i="15" s="1"/>
  <c r="M360" i="15"/>
  <c r="M139" i="15" s="1"/>
  <c r="M60" i="15" s="1"/>
  <c r="L360" i="15"/>
  <c r="L139" i="15" s="1"/>
  <c r="L60" i="15" s="1"/>
  <c r="M342" i="15"/>
  <c r="M135" i="15" s="1"/>
  <c r="M59" i="15" s="1"/>
  <c r="L342" i="15"/>
  <c r="L135" i="15" s="1"/>
  <c r="L59" i="15" s="1"/>
  <c r="M337" i="15"/>
  <c r="M131" i="15" s="1"/>
  <c r="M58" i="15" s="1"/>
  <c r="L337" i="15"/>
  <c r="L131" i="15" s="1"/>
  <c r="L58" i="15" s="1"/>
  <c r="M125" i="15"/>
  <c r="L125" i="15"/>
  <c r="M126" i="15"/>
  <c r="L126" i="15"/>
  <c r="M313" i="15"/>
  <c r="M121" i="15" s="1"/>
  <c r="M56" i="15" s="1"/>
  <c r="L313" i="15"/>
  <c r="L121" i="15" s="1"/>
  <c r="L56" i="15" s="1"/>
  <c r="M308" i="15"/>
  <c r="M117" i="15" s="1"/>
  <c r="M55" i="15" s="1"/>
  <c r="L308" i="15"/>
  <c r="L117" i="15" s="1"/>
  <c r="L55" i="15" s="1"/>
  <c r="M112" i="15"/>
  <c r="M54" i="15" s="1"/>
  <c r="L112" i="15"/>
  <c r="L54" i="15" s="1"/>
  <c r="M292" i="15"/>
  <c r="M111" i="15" s="1"/>
  <c r="L292" i="15"/>
  <c r="L111" i="15" s="1"/>
  <c r="K292" i="15"/>
  <c r="K111" i="15" s="1"/>
  <c r="M285" i="15"/>
  <c r="M106" i="15" s="1"/>
  <c r="M53" i="15" s="1"/>
  <c r="L285" i="15"/>
  <c r="L106" i="15" s="1"/>
  <c r="L53" i="15" s="1"/>
  <c r="K285" i="15"/>
  <c r="M276" i="15"/>
  <c r="M105" i="15" s="1"/>
  <c r="M37" i="15" s="1"/>
  <c r="L276" i="15"/>
  <c r="L105" i="15" s="1"/>
  <c r="K276" i="15"/>
  <c r="M270" i="15"/>
  <c r="M100" i="15" s="1"/>
  <c r="M52" i="15" s="1"/>
  <c r="L270" i="15"/>
  <c r="L100" i="15" s="1"/>
  <c r="L52" i="15" s="1"/>
  <c r="M250" i="15"/>
  <c r="M99" i="15" s="1"/>
  <c r="L250" i="15"/>
  <c r="L99" i="15" s="1"/>
  <c r="M244" i="15"/>
  <c r="L244" i="15"/>
  <c r="M76" i="15"/>
  <c r="B218" i="15"/>
  <c r="A218" i="15"/>
  <c r="B214" i="15"/>
  <c r="A214" i="15"/>
  <c r="B210" i="15"/>
  <c r="A210" i="15"/>
  <c r="B205" i="15"/>
  <c r="A205" i="15"/>
  <c r="B199" i="15"/>
  <c r="A199" i="15"/>
  <c r="B198" i="15"/>
  <c r="A198" i="15"/>
  <c r="B193" i="15"/>
  <c r="A193" i="15"/>
  <c r="B188" i="15"/>
  <c r="A188" i="15"/>
  <c r="M183" i="15"/>
  <c r="M69" i="15" s="1"/>
  <c r="B183" i="15"/>
  <c r="A183" i="15"/>
  <c r="B179" i="15"/>
  <c r="A179" i="15"/>
  <c r="B175" i="15"/>
  <c r="A175" i="15"/>
  <c r="B171" i="15"/>
  <c r="A171" i="15"/>
  <c r="B167" i="15"/>
  <c r="A167" i="15"/>
  <c r="B162" i="15"/>
  <c r="A162" i="15"/>
  <c r="B161" i="15"/>
  <c r="A161" i="15"/>
  <c r="B157" i="15"/>
  <c r="A157" i="15"/>
  <c r="B153" i="15"/>
  <c r="A153" i="15"/>
  <c r="B147" i="15"/>
  <c r="A147" i="15"/>
  <c r="B143" i="15"/>
  <c r="A143" i="15"/>
  <c r="B139" i="15"/>
  <c r="A139" i="15"/>
  <c r="B135" i="15"/>
  <c r="A135" i="15"/>
  <c r="B131" i="15"/>
  <c r="A131" i="15"/>
  <c r="B126" i="15"/>
  <c r="A126" i="15"/>
  <c r="B125" i="15"/>
  <c r="A125" i="15"/>
  <c r="B121" i="15"/>
  <c r="A121" i="15"/>
  <c r="B117" i="15"/>
  <c r="A117" i="15"/>
  <c r="B112" i="15"/>
  <c r="A112" i="15"/>
  <c r="B111" i="15"/>
  <c r="A111" i="15"/>
  <c r="B106" i="15"/>
  <c r="A106" i="15"/>
  <c r="B105" i="15"/>
  <c r="A105" i="15"/>
  <c r="B100" i="15"/>
  <c r="A100" i="15"/>
  <c r="B99" i="15"/>
  <c r="A99" i="15"/>
  <c r="B95" i="15"/>
  <c r="A95" i="15"/>
  <c r="M68" i="15"/>
  <c r="D25" i="15"/>
  <c r="D19" i="15"/>
  <c r="M66" i="14"/>
  <c r="M31" i="14" s="1"/>
  <c r="M40" i="14" s="1"/>
  <c r="L66" i="14"/>
  <c r="L31" i="14" s="1"/>
  <c r="L40" i="14" s="1"/>
  <c r="B65" i="14"/>
  <c r="A65" i="14"/>
  <c r="L61" i="14"/>
  <c r="M52" i="14"/>
  <c r="L52" i="14"/>
  <c r="M42" i="14"/>
  <c r="M61" i="14" s="1"/>
  <c r="L42" i="14"/>
  <c r="D31" i="14"/>
  <c r="M186" i="13"/>
  <c r="L186" i="13"/>
  <c r="M189" i="13"/>
  <c r="L189" i="13"/>
  <c r="M178" i="13"/>
  <c r="M181" i="13" s="1"/>
  <c r="R176" i="13"/>
  <c r="Q176" i="13"/>
  <c r="M81" i="13"/>
  <c r="M82" i="13" s="1"/>
  <c r="M32" i="13" s="1"/>
  <c r="L81" i="13"/>
  <c r="L82" i="13" s="1"/>
  <c r="L32" i="13" s="1"/>
  <c r="L118" i="13"/>
  <c r="L28" i="13" s="1"/>
  <c r="M118" i="13"/>
  <c r="M28" i="13" s="1"/>
  <c r="B117" i="13"/>
  <c r="A117" i="13"/>
  <c r="B112" i="13"/>
  <c r="A112" i="13"/>
  <c r="M108" i="13"/>
  <c r="M45" i="13" s="1"/>
  <c r="L108" i="13"/>
  <c r="L45" i="13" s="1"/>
  <c r="B107" i="13"/>
  <c r="A107" i="13"/>
  <c r="M103" i="13"/>
  <c r="M44" i="13" s="1"/>
  <c r="L103" i="13"/>
  <c r="L44" i="13" s="1"/>
  <c r="B102" i="13"/>
  <c r="A102" i="13"/>
  <c r="M97" i="13"/>
  <c r="M43" i="13" s="1"/>
  <c r="L97" i="13"/>
  <c r="L43" i="13" s="1"/>
  <c r="B96" i="13"/>
  <c r="A96" i="13"/>
  <c r="B91" i="13"/>
  <c r="A91" i="13"/>
  <c r="M87" i="13"/>
  <c r="M30" i="13" s="1"/>
  <c r="L87" i="13"/>
  <c r="L30" i="13" s="1"/>
  <c r="B86" i="13"/>
  <c r="A86" i="13"/>
  <c r="A81" i="13"/>
  <c r="M78" i="13"/>
  <c r="L78" i="13"/>
  <c r="B77" i="13"/>
  <c r="A77" i="13"/>
  <c r="B72" i="13"/>
  <c r="A72" i="13"/>
  <c r="D46" i="13"/>
  <c r="D45" i="13"/>
  <c r="D44" i="13"/>
  <c r="D43" i="13"/>
  <c r="D30" i="13"/>
  <c r="D29" i="13"/>
  <c r="D27" i="13"/>
  <c r="M106" i="12"/>
  <c r="L106" i="12"/>
  <c r="L42" i="12" s="1"/>
  <c r="M101" i="12"/>
  <c r="L101" i="12"/>
  <c r="L41" i="12" s="1"/>
  <c r="M96" i="12"/>
  <c r="L96" i="12"/>
  <c r="L40" i="12" s="1"/>
  <c r="M91" i="12"/>
  <c r="L91" i="12"/>
  <c r="L39" i="12" s="1"/>
  <c r="M86" i="12"/>
  <c r="L86" i="12"/>
  <c r="B80" i="12"/>
  <c r="A80" i="12"/>
  <c r="B75" i="12"/>
  <c r="A75" i="12"/>
  <c r="D42" i="12"/>
  <c r="D41" i="12"/>
  <c r="D40" i="12"/>
  <c r="D39" i="12"/>
  <c r="D38" i="12"/>
  <c r="D37" i="12"/>
  <c r="D27" i="12"/>
  <c r="U145" i="11"/>
  <c r="T145" i="11"/>
  <c r="S145" i="11"/>
  <c r="R145" i="11"/>
  <c r="E85" i="11"/>
  <c r="S83" i="11"/>
  <c r="B73" i="11"/>
  <c r="A73" i="11"/>
  <c r="B68" i="11"/>
  <c r="A68" i="11"/>
  <c r="M64" i="11"/>
  <c r="L64" i="11"/>
  <c r="M59" i="11"/>
  <c r="M32" i="11" s="1"/>
  <c r="L59" i="11"/>
  <c r="L32" i="11" s="1"/>
  <c r="B58" i="11"/>
  <c r="A58" i="11"/>
  <c r="B53" i="11"/>
  <c r="A53" i="11"/>
  <c r="D34" i="11"/>
  <c r="D33" i="11"/>
  <c r="D32" i="11"/>
  <c r="D25" i="11"/>
  <c r="M65" i="10"/>
  <c r="M70" i="10"/>
  <c r="M71" i="10" s="1"/>
  <c r="M33" i="10" s="1"/>
  <c r="L70" i="10"/>
  <c r="L71" i="10" s="1"/>
  <c r="L33" i="10" s="1"/>
  <c r="I119" i="10"/>
  <c r="I121" i="10" s="1"/>
  <c r="I127" i="10" s="1"/>
  <c r="E89" i="10"/>
  <c r="B75" i="10"/>
  <c r="A75" i="10"/>
  <c r="B70" i="10"/>
  <c r="A70" i="10"/>
  <c r="B65" i="10"/>
  <c r="A65" i="10"/>
  <c r="B58" i="10"/>
  <c r="A58" i="10"/>
  <c r="B57" i="10"/>
  <c r="A57" i="10"/>
  <c r="B56" i="10"/>
  <c r="A56" i="10"/>
  <c r="B55" i="10"/>
  <c r="A55" i="10"/>
  <c r="D33" i="10"/>
  <c r="D32" i="10"/>
  <c r="D21" i="10"/>
  <c r="H217" i="9"/>
  <c r="H219" i="9" s="1"/>
  <c r="H210" i="9"/>
  <c r="H213" i="9" s="1"/>
  <c r="H203" i="9"/>
  <c r="H206" i="9" s="1"/>
  <c r="M198" i="9"/>
  <c r="M65" i="9" s="1"/>
  <c r="M66" i="9" s="1"/>
  <c r="M30" i="9" s="1"/>
  <c r="L198" i="9"/>
  <c r="L65" i="9" s="1"/>
  <c r="L66" i="9" s="1"/>
  <c r="L30" i="9" s="1"/>
  <c r="I186" i="9"/>
  <c r="I188" i="9" s="1"/>
  <c r="I191" i="9" s="1"/>
  <c r="I193" i="9" s="1"/>
  <c r="I195" i="9" s="1"/>
  <c r="E147" i="9"/>
  <c r="B71" i="9"/>
  <c r="A71" i="9"/>
  <c r="B70" i="9"/>
  <c r="A70" i="9"/>
  <c r="B65" i="9"/>
  <c r="A65" i="9"/>
  <c r="B60" i="9"/>
  <c r="A60" i="9"/>
  <c r="B55" i="9"/>
  <c r="A55" i="9"/>
  <c r="B54" i="9"/>
  <c r="A54" i="9"/>
  <c r="B49" i="9"/>
  <c r="A49" i="9"/>
  <c r="B48" i="9"/>
  <c r="A48" i="9"/>
  <c r="B47" i="9"/>
  <c r="A47" i="9"/>
  <c r="B46" i="9"/>
  <c r="A46" i="9"/>
  <c r="D31" i="9"/>
  <c r="D30" i="9"/>
  <c r="D25" i="9"/>
  <c r="D24" i="9"/>
  <c r="D23" i="9"/>
  <c r="R171" i="8"/>
  <c r="M154" i="8"/>
  <c r="L154" i="8"/>
  <c r="X147" i="8"/>
  <c r="V143" i="8"/>
  <c r="X142" i="8"/>
  <c r="V133" i="8"/>
  <c r="M159" i="8"/>
  <c r="L66" i="8"/>
  <c r="M65" i="8"/>
  <c r="L158" i="8"/>
  <c r="M100" i="8"/>
  <c r="M54" i="8" s="1"/>
  <c r="L100" i="8"/>
  <c r="L54" i="8" s="1"/>
  <c r="M96" i="8"/>
  <c r="M53" i="8" s="1"/>
  <c r="L96" i="8"/>
  <c r="L53" i="8" s="1"/>
  <c r="M89" i="8"/>
  <c r="M47" i="8" s="1"/>
  <c r="M49" i="8" s="1"/>
  <c r="M32" i="8" s="1"/>
  <c r="L89" i="8"/>
  <c r="L47" i="8" s="1"/>
  <c r="L49" i="8" s="1"/>
  <c r="L32" i="8" s="1"/>
  <c r="T75" i="8"/>
  <c r="T74" i="8"/>
  <c r="T73" i="8"/>
  <c r="M134" i="8" s="1"/>
  <c r="M137" i="8" s="1"/>
  <c r="T72" i="8"/>
  <c r="L134" i="8" s="1"/>
  <c r="L137" i="8" s="1"/>
  <c r="T71" i="8"/>
  <c r="T70" i="8"/>
  <c r="M78" i="8"/>
  <c r="M27" i="8" s="1"/>
  <c r="L78" i="8"/>
  <c r="L27" i="8" s="1"/>
  <c r="T69" i="8"/>
  <c r="T68" i="8"/>
  <c r="B76" i="8"/>
  <c r="A76" i="8"/>
  <c r="T67" i="8"/>
  <c r="T66" i="8"/>
  <c r="B71" i="8"/>
  <c r="A71" i="8"/>
  <c r="B66" i="8"/>
  <c r="A66" i="8"/>
  <c r="B65" i="8"/>
  <c r="A65" i="8"/>
  <c r="M61" i="8"/>
  <c r="M33" i="8" s="1"/>
  <c r="L61" i="8"/>
  <c r="L33" i="8" s="1"/>
  <c r="B60" i="8"/>
  <c r="A60" i="8"/>
  <c r="B55" i="8"/>
  <c r="A55" i="8"/>
  <c r="B54" i="8"/>
  <c r="A54" i="8"/>
  <c r="B53" i="8"/>
  <c r="A53" i="8"/>
  <c r="B48" i="8"/>
  <c r="A48" i="8"/>
  <c r="B47" i="8"/>
  <c r="A47" i="8"/>
  <c r="D34" i="8"/>
  <c r="D33" i="8"/>
  <c r="D32" i="8"/>
  <c r="D27" i="8"/>
  <c r="D26" i="8"/>
  <c r="D25" i="8"/>
  <c r="N743" i="18" l="1"/>
  <c r="N738" i="18"/>
  <c r="N85" i="60" s="1"/>
  <c r="N86" i="60"/>
  <c r="N408" i="60" s="1"/>
  <c r="N85" i="61"/>
  <c r="N425" i="61" s="1"/>
  <c r="K38" i="15"/>
  <c r="K45" i="15" s="1"/>
  <c r="K19" i="15" s="1"/>
  <c r="K22" i="15" s="1"/>
  <c r="K113" i="15"/>
  <c r="M163" i="15"/>
  <c r="O81" i="18"/>
  <c r="I85" i="70"/>
  <c r="Y85" i="70"/>
  <c r="M85" i="70"/>
  <c r="L432" i="15"/>
  <c r="L162" i="15" s="1"/>
  <c r="M39" i="15"/>
  <c r="M127" i="15"/>
  <c r="M57" i="15" s="1"/>
  <c r="L39" i="15"/>
  <c r="L127" i="15"/>
  <c r="L57" i="15" s="1"/>
  <c r="O414" i="60"/>
  <c r="O407" i="60"/>
  <c r="O177" i="13" s="1"/>
  <c r="O71" i="61"/>
  <c r="O74" i="61" s="1"/>
  <c r="O431" i="61"/>
  <c r="O158" i="61" s="1"/>
  <c r="O159" i="61" s="1"/>
  <c r="O39" i="61" s="1"/>
  <c r="O86" i="61"/>
  <c r="O87" i="60"/>
  <c r="L82" i="15"/>
  <c r="M82" i="15"/>
  <c r="L41" i="15"/>
  <c r="K439" i="61"/>
  <c r="K440" i="61" s="1"/>
  <c r="K51" i="61"/>
  <c r="E56" i="70" s="1"/>
  <c r="K53" i="60"/>
  <c r="M405" i="61"/>
  <c r="M408" i="61" s="1"/>
  <c r="M410" i="61" s="1"/>
  <c r="M411" i="61" s="1"/>
  <c r="H419" i="61" s="1"/>
  <c r="M53" i="60"/>
  <c r="M80" i="12"/>
  <c r="L80" i="12"/>
  <c r="I270" i="9"/>
  <c r="I273" i="9" s="1"/>
  <c r="L73" i="15"/>
  <c r="L206" i="15"/>
  <c r="M73" i="15"/>
  <c r="M206" i="15"/>
  <c r="M452" i="60"/>
  <c r="M158" i="8"/>
  <c r="L65" i="8"/>
  <c r="L67" i="8" s="1"/>
  <c r="L26" i="8" s="1"/>
  <c r="M56" i="8"/>
  <c r="M25" i="8" s="1"/>
  <c r="L32" i="60"/>
  <c r="L422" i="60" s="1"/>
  <c r="L423" i="60" s="1"/>
  <c r="L446" i="60" s="1"/>
  <c r="L156" i="10"/>
  <c r="M80" i="72"/>
  <c r="R80" i="72" s="1"/>
  <c r="K80" i="72"/>
  <c r="P80" i="72" s="1"/>
  <c r="N80" i="72"/>
  <c r="S80" i="72" s="1"/>
  <c r="L85" i="72"/>
  <c r="Q85" i="72" s="1"/>
  <c r="L80" i="72"/>
  <c r="Q80" i="72" s="1"/>
  <c r="N85" i="72"/>
  <c r="S85" i="72" s="1"/>
  <c r="K85" i="72"/>
  <c r="P85" i="72" s="1"/>
  <c r="K119" i="72"/>
  <c r="P119" i="72" s="1"/>
  <c r="S30" i="13"/>
  <c r="Q30" i="13"/>
  <c r="R30" i="13"/>
  <c r="M38" i="15"/>
  <c r="M113" i="15"/>
  <c r="L38" i="15"/>
  <c r="L113" i="15"/>
  <c r="M54" i="14"/>
  <c r="M66" i="8"/>
  <c r="M67" i="8" s="1"/>
  <c r="M26" i="8" s="1"/>
  <c r="L54" i="14"/>
  <c r="L56" i="8"/>
  <c r="L25" i="8" s="1"/>
  <c r="L107" i="15"/>
  <c r="L159" i="8"/>
  <c r="M107" i="15"/>
  <c r="K452" i="60"/>
  <c r="L81" i="18"/>
  <c r="L73" i="60"/>
  <c r="L75" i="60" s="1"/>
  <c r="L156" i="60"/>
  <c r="L157" i="60" s="1"/>
  <c r="L46" i="60" s="1"/>
  <c r="K412" i="61"/>
  <c r="H417" i="61"/>
  <c r="K417" i="61" s="1"/>
  <c r="K423" i="61" s="1"/>
  <c r="K173" i="61" s="1"/>
  <c r="K174" i="61" s="1"/>
  <c r="K56" i="61" s="1"/>
  <c r="M51" i="61"/>
  <c r="G56" i="70" s="1"/>
  <c r="M439" i="61"/>
  <c r="M440" i="61" s="1"/>
  <c r="L28" i="61"/>
  <c r="L405" i="61"/>
  <c r="L408" i="61" s="1"/>
  <c r="L410" i="61" s="1"/>
  <c r="L411" i="61" s="1"/>
  <c r="L149" i="15"/>
  <c r="M167" i="15"/>
  <c r="L167" i="15"/>
  <c r="L37" i="15"/>
  <c r="L200" i="15"/>
  <c r="M156" i="10"/>
  <c r="L178" i="13"/>
  <c r="L181" i="13" s="1"/>
  <c r="M188" i="13"/>
  <c r="M191" i="13" s="1"/>
  <c r="L201" i="13"/>
  <c r="L88" i="10"/>
  <c r="M88" i="10" s="1"/>
  <c r="N88" i="10" s="1"/>
  <c r="O88" i="10" s="1"/>
  <c r="O89" i="10" s="1"/>
  <c r="O55" i="10" s="1"/>
  <c r="L146" i="9"/>
  <c r="M146" i="9" s="1"/>
  <c r="N146" i="9" s="1"/>
  <c r="O146" i="9" s="1"/>
  <c r="O147" i="9" s="1"/>
  <c r="O60" i="9" s="1"/>
  <c r="N97" i="11"/>
  <c r="O97" i="11" s="1"/>
  <c r="Q177" i="13"/>
  <c r="L191" i="13"/>
  <c r="K17" i="72"/>
  <c r="P17" i="72" s="1"/>
  <c r="M149" i="15"/>
  <c r="M40" i="15"/>
  <c r="M41" i="15"/>
  <c r="L40" i="15"/>
  <c r="L36" i="15"/>
  <c r="L101" i="15"/>
  <c r="M36" i="15"/>
  <c r="M101" i="15"/>
  <c r="L95" i="15"/>
  <c r="M95" i="15"/>
  <c r="L42" i="15"/>
  <c r="M43" i="15"/>
  <c r="M200" i="15"/>
  <c r="L43" i="15"/>
  <c r="M42" i="15"/>
  <c r="L130" i="13"/>
  <c r="M66" i="10"/>
  <c r="M32" i="10" s="1"/>
  <c r="I137" i="10"/>
  <c r="I130" i="10"/>
  <c r="L65" i="10"/>
  <c r="I275" i="9"/>
  <c r="L120" i="9"/>
  <c r="M120" i="9" s="1"/>
  <c r="N120" i="9" s="1"/>
  <c r="O120" i="9" s="1"/>
  <c r="O122" i="9" s="1"/>
  <c r="Y133" i="8"/>
  <c r="L157" i="8"/>
  <c r="L71" i="8"/>
  <c r="M157" i="8"/>
  <c r="M71" i="8"/>
  <c r="X133" i="8"/>
  <c r="W133" i="8"/>
  <c r="N744" i="18" l="1"/>
  <c r="N235" i="18" s="1"/>
  <c r="N236" i="18" s="1"/>
  <c r="N77" i="18" s="1"/>
  <c r="N79" i="18" s="1"/>
  <c r="N84" i="61"/>
  <c r="N86" i="61" s="1"/>
  <c r="N414" i="60"/>
  <c r="N407" i="60"/>
  <c r="N177" i="13" s="1"/>
  <c r="N431" i="61"/>
  <c r="N158" i="61" s="1"/>
  <c r="N159" i="61" s="1"/>
  <c r="N39" i="61" s="1"/>
  <c r="N71" i="61"/>
  <c r="N74" i="61" s="1"/>
  <c r="N87" i="60"/>
  <c r="M72" i="8"/>
  <c r="M34" i="8" s="1"/>
  <c r="M36" i="8" s="1"/>
  <c r="G74" i="70" s="1"/>
  <c r="L72" i="8"/>
  <c r="L34" i="8" s="1"/>
  <c r="L36" i="8" s="1"/>
  <c r="F74" i="70" s="1"/>
  <c r="K30" i="15"/>
  <c r="E16" i="70"/>
  <c r="X56" i="70"/>
  <c r="K56" i="70"/>
  <c r="G55" i="70"/>
  <c r="N56" i="72" s="1"/>
  <c r="S56" i="72" s="1"/>
  <c r="K70" i="60"/>
  <c r="E55" i="70"/>
  <c r="Z56" i="70"/>
  <c r="O56" i="70"/>
  <c r="O188" i="13"/>
  <c r="O191" i="13" s="1"/>
  <c r="O178" i="13"/>
  <c r="O181" i="13" s="1"/>
  <c r="L64" i="15"/>
  <c r="L163" i="15"/>
  <c r="L81" i="15" s="1"/>
  <c r="O289" i="60"/>
  <c r="O302" i="60" s="1"/>
  <c r="O305" i="60" s="1"/>
  <c r="O151" i="60" s="1"/>
  <c r="O152" i="60" s="1"/>
  <c r="O42" i="60" s="1"/>
  <c r="O32" i="60"/>
  <c r="O28" i="61"/>
  <c r="O405" i="61"/>
  <c r="O408" i="61" s="1"/>
  <c r="O410" i="61" s="1"/>
  <c r="O411" i="61" s="1"/>
  <c r="O156" i="60"/>
  <c r="O157" i="60" s="1"/>
  <c r="O46" i="60" s="1"/>
  <c r="O73" i="60"/>
  <c r="O75" i="60" s="1"/>
  <c r="O195" i="10"/>
  <c r="O225" i="9"/>
  <c r="O61" i="9"/>
  <c r="O25" i="9" s="1"/>
  <c r="O137" i="9"/>
  <c r="O136" i="9"/>
  <c r="O138" i="9"/>
  <c r="O54" i="9"/>
  <c r="L161" i="8"/>
  <c r="M51" i="15"/>
  <c r="M81" i="15"/>
  <c r="L51" i="15"/>
  <c r="K67" i="61"/>
  <c r="E121" i="70" s="1"/>
  <c r="M161" i="8"/>
  <c r="M70" i="60"/>
  <c r="Q31" i="9"/>
  <c r="L29" i="8"/>
  <c r="F9" i="70" s="1"/>
  <c r="M29" i="8"/>
  <c r="I139" i="10"/>
  <c r="I141" i="10" s="1"/>
  <c r="I132" i="10"/>
  <c r="I134" i="10" s="1"/>
  <c r="L53" i="60"/>
  <c r="F55" i="70" s="1"/>
  <c r="L452" i="60"/>
  <c r="L451" i="60"/>
  <c r="M81" i="12"/>
  <c r="M37" i="12" s="1"/>
  <c r="M54" i="12" s="1"/>
  <c r="G78" i="70" s="1"/>
  <c r="K56" i="72"/>
  <c r="P56" i="72" s="1"/>
  <c r="M85" i="72"/>
  <c r="R85" i="72" s="1"/>
  <c r="K15" i="72"/>
  <c r="P15" i="72" s="1"/>
  <c r="K18" i="72"/>
  <c r="P18" i="72" s="1"/>
  <c r="K81" i="72"/>
  <c r="P81" i="72" s="1"/>
  <c r="K74" i="72"/>
  <c r="P74" i="72" s="1"/>
  <c r="L57" i="72"/>
  <c r="Q57" i="72" s="1"/>
  <c r="L74" i="72"/>
  <c r="Q74" i="72" s="1"/>
  <c r="M18" i="72"/>
  <c r="R18" i="72" s="1"/>
  <c r="N18" i="72"/>
  <c r="S18" i="72" s="1"/>
  <c r="K16" i="72"/>
  <c r="P16" i="72" s="1"/>
  <c r="L18" i="72"/>
  <c r="Q18" i="72" s="1"/>
  <c r="K12" i="72"/>
  <c r="P12" i="72" s="1"/>
  <c r="K57" i="72"/>
  <c r="P57" i="72" s="1"/>
  <c r="K76" i="72"/>
  <c r="P76" i="72" s="1"/>
  <c r="S63" i="70"/>
  <c r="S133" i="70" s="1"/>
  <c r="M419" i="61"/>
  <c r="M423" i="61" s="1"/>
  <c r="M173" i="61" s="1"/>
  <c r="M174" i="61" s="1"/>
  <c r="M56" i="61" s="1"/>
  <c r="M67" i="61" s="1"/>
  <c r="G121" i="70" s="1"/>
  <c r="L81" i="12"/>
  <c r="L37" i="12" s="1"/>
  <c r="L54" i="12" s="1"/>
  <c r="F78" i="70" s="1"/>
  <c r="K462" i="61"/>
  <c r="K464" i="61" s="1"/>
  <c r="K468" i="61" s="1"/>
  <c r="L412" i="61"/>
  <c r="H418" i="61"/>
  <c r="L418" i="61" s="1"/>
  <c r="L423" i="61" s="1"/>
  <c r="L173" i="61" s="1"/>
  <c r="L174" i="61" s="1"/>
  <c r="L56" i="61" s="1"/>
  <c r="L67" i="61" s="1"/>
  <c r="F121" i="70" s="1"/>
  <c r="L439" i="61"/>
  <c r="L440" i="61" s="1"/>
  <c r="L51" i="61"/>
  <c r="F56" i="70" s="1"/>
  <c r="M462" i="61"/>
  <c r="M412" i="61"/>
  <c r="L45" i="15"/>
  <c r="L19" i="15" s="1"/>
  <c r="L22" i="15" s="1"/>
  <c r="F16" i="70" s="1"/>
  <c r="L151" i="9"/>
  <c r="M151" i="9" s="1"/>
  <c r="N151" i="9" s="1"/>
  <c r="O151" i="9" s="1"/>
  <c r="L74" i="11"/>
  <c r="L34" i="11" s="1"/>
  <c r="L202" i="13"/>
  <c r="M202" i="13" s="1"/>
  <c r="N202" i="13" s="1"/>
  <c r="O202" i="13" s="1"/>
  <c r="L131" i="13"/>
  <c r="M131" i="13" s="1"/>
  <c r="N131" i="13" s="1"/>
  <c r="O131" i="13" s="1"/>
  <c r="M45" i="15"/>
  <c r="L196" i="13"/>
  <c r="M130" i="13"/>
  <c r="N130" i="13" s="1"/>
  <c r="O130" i="13" s="1"/>
  <c r="M201" i="13"/>
  <c r="N201" i="13" s="1"/>
  <c r="O201" i="13" s="1"/>
  <c r="L84" i="11"/>
  <c r="L98" i="11"/>
  <c r="L68" i="11" s="1"/>
  <c r="L66" i="10"/>
  <c r="L32" i="10" s="1"/>
  <c r="L89" i="10"/>
  <c r="L55" i="10" s="1"/>
  <c r="I277" i="9"/>
  <c r="N81" i="18" l="1"/>
  <c r="H85" i="70"/>
  <c r="N405" i="61"/>
  <c r="N408" i="61" s="1"/>
  <c r="N410" i="61" s="1"/>
  <c r="N411" i="61" s="1"/>
  <c r="N28" i="61"/>
  <c r="N156" i="60"/>
  <c r="N157" i="60" s="1"/>
  <c r="N46" i="60" s="1"/>
  <c r="N73" i="60"/>
  <c r="N75" i="60" s="1"/>
  <c r="N178" i="13"/>
  <c r="N181" i="13" s="1"/>
  <c r="N188" i="13"/>
  <c r="N191" i="13" s="1"/>
  <c r="N32" i="60"/>
  <c r="N289" i="60"/>
  <c r="N302" i="60" s="1"/>
  <c r="N305" i="60" s="1"/>
  <c r="N151" i="60" s="1"/>
  <c r="N152" i="60" s="1"/>
  <c r="N42" i="60" s="1"/>
  <c r="O74" i="70"/>
  <c r="Z74" i="70"/>
  <c r="Y74" i="70"/>
  <c r="M74" i="70"/>
  <c r="X16" i="70"/>
  <c r="K16" i="70"/>
  <c r="Z121" i="70"/>
  <c r="O121" i="70"/>
  <c r="Z55" i="70"/>
  <c r="O55" i="70"/>
  <c r="M121" i="70"/>
  <c r="Y121" i="70"/>
  <c r="O412" i="61"/>
  <c r="H421" i="61"/>
  <c r="O421" i="61" s="1"/>
  <c r="O423" i="61" s="1"/>
  <c r="O173" i="61" s="1"/>
  <c r="O174" i="61" s="1"/>
  <c r="O56" i="61" s="1"/>
  <c r="O67" i="61" s="1"/>
  <c r="I121" i="70" s="1"/>
  <c r="X55" i="70"/>
  <c r="K55" i="70"/>
  <c r="Y56" i="70"/>
  <c r="M56" i="70"/>
  <c r="Y55" i="70"/>
  <c r="M55" i="70"/>
  <c r="K121" i="70"/>
  <c r="K128" i="70" s="1"/>
  <c r="X121" i="70"/>
  <c r="X128" i="70" s="1"/>
  <c r="M78" i="15"/>
  <c r="M25" i="15" s="1"/>
  <c r="M27" i="15" s="1"/>
  <c r="G81" i="70" s="1"/>
  <c r="L78" i="15"/>
  <c r="L25" i="15" s="1"/>
  <c r="L27" i="15" s="1"/>
  <c r="Y16" i="70"/>
  <c r="M16" i="70"/>
  <c r="G9" i="70"/>
  <c r="Y9" i="70"/>
  <c r="M9" i="70"/>
  <c r="Z78" i="70"/>
  <c r="O78" i="70"/>
  <c r="Y78" i="70"/>
  <c r="M78" i="70"/>
  <c r="O439" i="61"/>
  <c r="O440" i="61" s="1"/>
  <c r="O51" i="61"/>
  <c r="I56" i="70" s="1"/>
  <c r="O422" i="60"/>
  <c r="O423" i="60" s="1"/>
  <c r="O446" i="60" s="1"/>
  <c r="O53" i="60"/>
  <c r="O203" i="13"/>
  <c r="O112" i="13" s="1"/>
  <c r="O113" i="13" s="1"/>
  <c r="O46" i="13" s="1"/>
  <c r="O61" i="13" s="1"/>
  <c r="I79" i="70" s="1"/>
  <c r="O139" i="9"/>
  <c r="O55" i="9" s="1"/>
  <c r="O56" i="9" s="1"/>
  <c r="O101" i="10"/>
  <c r="O58" i="10" s="1"/>
  <c r="O132" i="13"/>
  <c r="O72" i="13" s="1"/>
  <c r="O73" i="13" s="1"/>
  <c r="O27" i="13" s="1"/>
  <c r="O208" i="10"/>
  <c r="O220" i="10"/>
  <c r="O224" i="10"/>
  <c r="O219" i="10"/>
  <c r="O207" i="10"/>
  <c r="O197" i="10"/>
  <c r="O223" i="10"/>
  <c r="O218" i="10"/>
  <c r="O206" i="10"/>
  <c r="O217" i="10"/>
  <c r="O222" i="10"/>
  <c r="O228" i="10"/>
  <c r="O205" i="10"/>
  <c r="O216" i="10"/>
  <c r="O221" i="10"/>
  <c r="O226" i="10"/>
  <c r="O209" i="10"/>
  <c r="O225" i="10"/>
  <c r="O227" i="10"/>
  <c r="O169" i="9"/>
  <c r="O153" i="9"/>
  <c r="O70" i="9" s="1"/>
  <c r="O167" i="9"/>
  <c r="O168" i="9"/>
  <c r="O245" i="9"/>
  <c r="O244" i="9"/>
  <c r="O243" i="9"/>
  <c r="O255" i="9"/>
  <c r="O254" i="9"/>
  <c r="O250" i="9"/>
  <c r="O249" i="9"/>
  <c r="O248" i="9"/>
  <c r="O247" i="9"/>
  <c r="O246" i="9"/>
  <c r="O227" i="9"/>
  <c r="M12" i="72"/>
  <c r="R12" i="72" s="1"/>
  <c r="K69" i="61"/>
  <c r="L119" i="72"/>
  <c r="Q119" i="72" s="1"/>
  <c r="L38" i="8"/>
  <c r="L56" i="72"/>
  <c r="Q56" i="72" s="1"/>
  <c r="L70" i="60"/>
  <c r="M38" i="8"/>
  <c r="K79" i="72"/>
  <c r="P79" i="72" s="1"/>
  <c r="N78" i="72"/>
  <c r="S78" i="72" s="1"/>
  <c r="L78" i="72"/>
  <c r="Q78" i="72" s="1"/>
  <c r="N57" i="72"/>
  <c r="S57" i="72" s="1"/>
  <c r="M119" i="72"/>
  <c r="R119" i="72" s="1"/>
  <c r="M74" i="72"/>
  <c r="R74" i="72" s="1"/>
  <c r="M78" i="72"/>
  <c r="R78" i="72" s="1"/>
  <c r="L12" i="72"/>
  <c r="Q12" i="72" s="1"/>
  <c r="M56" i="72"/>
  <c r="R56" i="72" s="1"/>
  <c r="N74" i="72"/>
  <c r="S74" i="72" s="1"/>
  <c r="K78" i="72"/>
  <c r="P78" i="72" s="1"/>
  <c r="M69" i="61"/>
  <c r="M98" i="11"/>
  <c r="M68" i="11" s="1"/>
  <c r="M69" i="11" s="1"/>
  <c r="M33" i="11" s="1"/>
  <c r="N94" i="11"/>
  <c r="M89" i="10"/>
  <c r="M55" i="10" s="1"/>
  <c r="M195" i="10" s="1"/>
  <c r="N89" i="10"/>
  <c r="N55" i="10" s="1"/>
  <c r="N203" i="13"/>
  <c r="N112" i="13" s="1"/>
  <c r="N113" i="13" s="1"/>
  <c r="N46" i="13" s="1"/>
  <c r="N61" i="13" s="1"/>
  <c r="H79" i="70" s="1"/>
  <c r="N132" i="13"/>
  <c r="N72" i="13" s="1"/>
  <c r="N73" i="13" s="1"/>
  <c r="N27" i="13" s="1"/>
  <c r="N168" i="9"/>
  <c r="N167" i="9"/>
  <c r="N103" i="10" s="1"/>
  <c r="N75" i="10" s="1"/>
  <c r="N153" i="9"/>
  <c r="N70" i="9" s="1"/>
  <c r="N169" i="9"/>
  <c r="K467" i="61"/>
  <c r="M464" i="61"/>
  <c r="M468" i="61" s="1"/>
  <c r="L462" i="61"/>
  <c r="L69" i="61"/>
  <c r="L153" i="9"/>
  <c r="L70" i="9" s="1"/>
  <c r="L169" i="9"/>
  <c r="L168" i="9"/>
  <c r="L167" i="9"/>
  <c r="L103" i="10" s="1"/>
  <c r="L75" i="10" s="1"/>
  <c r="L132" i="13"/>
  <c r="L72" i="13" s="1"/>
  <c r="L73" i="13" s="1"/>
  <c r="L27" i="13" s="1"/>
  <c r="L203" i="13"/>
  <c r="L112" i="13" s="1"/>
  <c r="L113" i="13" s="1"/>
  <c r="L46" i="13" s="1"/>
  <c r="L61" i="13" s="1"/>
  <c r="F79" i="70" s="1"/>
  <c r="M132" i="13"/>
  <c r="M72" i="13" s="1"/>
  <c r="M73" i="13" s="1"/>
  <c r="M27" i="13" s="1"/>
  <c r="M203" i="13"/>
  <c r="M112" i="13" s="1"/>
  <c r="M113" i="13" s="1"/>
  <c r="M46" i="13" s="1"/>
  <c r="M61" i="13" s="1"/>
  <c r="G79" i="70" s="1"/>
  <c r="L84" i="9"/>
  <c r="M19" i="15"/>
  <c r="M22" i="15" s="1"/>
  <c r="G16" i="70" s="1"/>
  <c r="L197" i="13"/>
  <c r="L91" i="13" s="1"/>
  <c r="L92" i="13" s="1"/>
  <c r="L31" i="13" s="1"/>
  <c r="M196" i="13"/>
  <c r="L76" i="12"/>
  <c r="L27" i="12" s="1"/>
  <c r="L34" i="12" s="1"/>
  <c r="M84" i="11"/>
  <c r="L85" i="11"/>
  <c r="L53" i="11" s="1"/>
  <c r="L69" i="11"/>
  <c r="L33" i="11" s="1"/>
  <c r="L40" i="11" s="1"/>
  <c r="F77" i="70" s="1"/>
  <c r="L139" i="11"/>
  <c r="L195" i="10"/>
  <c r="L86" i="9"/>
  <c r="L147" i="9"/>
  <c r="L60" i="9" s="1"/>
  <c r="M167" i="9"/>
  <c r="M103" i="10" s="1"/>
  <c r="M75" i="10" s="1"/>
  <c r="M169" i="9"/>
  <c r="M153" i="9"/>
  <c r="M70" i="9" s="1"/>
  <c r="M168" i="9"/>
  <c r="Q85" i="70" l="1"/>
  <c r="AA85" i="70"/>
  <c r="H420" i="61"/>
  <c r="N420" i="61" s="1"/>
  <c r="N423" i="61" s="1"/>
  <c r="N173" i="61" s="1"/>
  <c r="N174" i="61" s="1"/>
  <c r="N56" i="61" s="1"/>
  <c r="N67" i="61" s="1"/>
  <c r="H121" i="70" s="1"/>
  <c r="N412" i="61"/>
  <c r="N439" i="61"/>
  <c r="N440" i="61" s="1"/>
  <c r="N51" i="61"/>
  <c r="N53" i="60"/>
  <c r="N422" i="60"/>
  <c r="N423" i="60" s="1"/>
  <c r="N446" i="60" s="1"/>
  <c r="N98" i="11"/>
  <c r="N68" i="11" s="1"/>
  <c r="N69" i="11" s="1"/>
  <c r="N33" i="11" s="1"/>
  <c r="O94" i="11"/>
  <c r="O98" i="11" s="1"/>
  <c r="O68" i="11" s="1"/>
  <c r="O69" i="11" s="1"/>
  <c r="O33" i="11" s="1"/>
  <c r="AA79" i="70"/>
  <c r="Q79" i="70"/>
  <c r="M79" i="70"/>
  <c r="Y79" i="70"/>
  <c r="Z79" i="70"/>
  <c r="O79" i="70"/>
  <c r="M77" i="70"/>
  <c r="Y77" i="70"/>
  <c r="M80" i="15"/>
  <c r="L80" i="15"/>
  <c r="O70" i="60"/>
  <c r="I55" i="70"/>
  <c r="F81" i="70"/>
  <c r="L30" i="15"/>
  <c r="Z81" i="70"/>
  <c r="N81" i="72"/>
  <c r="S81" i="72" s="1"/>
  <c r="O81" i="70"/>
  <c r="O16" i="70"/>
  <c r="Z16" i="70"/>
  <c r="F13" i="70"/>
  <c r="L56" i="12"/>
  <c r="L65" i="12" s="1"/>
  <c r="O9" i="70"/>
  <c r="Z9" i="70"/>
  <c r="N12" i="72"/>
  <c r="S12" i="72" s="1"/>
  <c r="O452" i="60"/>
  <c r="O451" i="60"/>
  <c r="O69" i="61"/>
  <c r="O462" i="61"/>
  <c r="O170" i="9"/>
  <c r="O71" i="9" s="1"/>
  <c r="O72" i="9" s="1"/>
  <c r="O103" i="10"/>
  <c r="O75" i="10" s="1"/>
  <c r="O213" i="10"/>
  <c r="O230" i="10" s="1"/>
  <c r="O233" i="10" s="1"/>
  <c r="O239" i="9"/>
  <c r="O238" i="9"/>
  <c r="O237" i="9"/>
  <c r="O240" i="9"/>
  <c r="O236" i="9"/>
  <c r="O24" i="9"/>
  <c r="L81" i="72"/>
  <c r="Q81" i="72" s="1"/>
  <c r="N76" i="10"/>
  <c r="N36" i="10" s="1"/>
  <c r="N42" i="10" s="1"/>
  <c r="H76" i="70" s="1"/>
  <c r="N234" i="10"/>
  <c r="N79" i="72"/>
  <c r="S79" i="72" s="1"/>
  <c r="M79" i="72"/>
  <c r="R79" i="72" s="1"/>
  <c r="M57" i="72"/>
  <c r="R57" i="72" s="1"/>
  <c r="M77" i="72"/>
  <c r="R77" i="72" s="1"/>
  <c r="L77" i="72"/>
  <c r="Q77" i="72" s="1"/>
  <c r="K75" i="72"/>
  <c r="P75" i="72" s="1"/>
  <c r="M19" i="72"/>
  <c r="R19" i="72" s="1"/>
  <c r="L16" i="72"/>
  <c r="Q16" i="72" s="1"/>
  <c r="L15" i="72"/>
  <c r="Q15" i="72" s="1"/>
  <c r="N119" i="72"/>
  <c r="S119" i="72" s="1"/>
  <c r="M74" i="11"/>
  <c r="M34" i="11" s="1"/>
  <c r="M40" i="11" s="1"/>
  <c r="G77" i="70" s="1"/>
  <c r="L208" i="10"/>
  <c r="L218" i="10"/>
  <c r="L219" i="10"/>
  <c r="L216" i="10"/>
  <c r="L220" i="10"/>
  <c r="L228" i="10"/>
  <c r="L217" i="10"/>
  <c r="L221" i="10"/>
  <c r="L225" i="10"/>
  <c r="L205" i="10"/>
  <c r="L209" i="10"/>
  <c r="L222" i="10"/>
  <c r="L226" i="10"/>
  <c r="L206" i="10"/>
  <c r="L223" i="10"/>
  <c r="L227" i="10"/>
  <c r="L207" i="10"/>
  <c r="L224" i="10"/>
  <c r="M216" i="10"/>
  <c r="M220" i="10"/>
  <c r="M224" i="10"/>
  <c r="M228" i="10"/>
  <c r="M222" i="10"/>
  <c r="M226" i="10"/>
  <c r="M206" i="10"/>
  <c r="M219" i="10"/>
  <c r="M227" i="10"/>
  <c r="M207" i="10"/>
  <c r="M208" i="10"/>
  <c r="M217" i="10"/>
  <c r="M221" i="10"/>
  <c r="M225" i="10"/>
  <c r="M205" i="10"/>
  <c r="M209" i="10"/>
  <c r="M218" i="10"/>
  <c r="M223" i="10"/>
  <c r="N195" i="10"/>
  <c r="M197" i="13"/>
  <c r="M91" i="13" s="1"/>
  <c r="M92" i="13" s="1"/>
  <c r="M31" i="13" s="1"/>
  <c r="M40" i="13" s="1"/>
  <c r="G14" i="70" s="1"/>
  <c r="N196" i="13"/>
  <c r="M85" i="11"/>
  <c r="M53" i="11" s="1"/>
  <c r="M105" i="11" s="1"/>
  <c r="N84" i="11"/>
  <c r="M147" i="9"/>
  <c r="M60" i="9" s="1"/>
  <c r="M61" i="9" s="1"/>
  <c r="M25" i="9" s="1"/>
  <c r="N147" i="9"/>
  <c r="N60" i="9" s="1"/>
  <c r="M76" i="12"/>
  <c r="M27" i="12" s="1"/>
  <c r="M34" i="12" s="1"/>
  <c r="M56" i="12" s="1"/>
  <c r="N76" i="12"/>
  <c r="L170" i="9"/>
  <c r="L71" i="9" s="1"/>
  <c r="L72" i="9" s="1"/>
  <c r="L31" i="9" s="1"/>
  <c r="L261" i="9" s="1"/>
  <c r="M30" i="15"/>
  <c r="N170" i="9"/>
  <c r="N71" i="9" s="1"/>
  <c r="N72" i="9" s="1"/>
  <c r="N31" i="9" s="1"/>
  <c r="L464" i="61"/>
  <c r="L468" i="61" s="1"/>
  <c r="M467" i="61"/>
  <c r="L76" i="10"/>
  <c r="L36" i="10" s="1"/>
  <c r="L42" i="10" s="1"/>
  <c r="F76" i="70" s="1"/>
  <c r="L234" i="10"/>
  <c r="M76" i="10"/>
  <c r="M36" i="10" s="1"/>
  <c r="M42" i="10" s="1"/>
  <c r="G76" i="70" s="1"/>
  <c r="M234" i="10"/>
  <c r="M139" i="11"/>
  <c r="L40" i="13"/>
  <c r="M84" i="9"/>
  <c r="N84" i="9" s="1"/>
  <c r="O84" i="9" s="1"/>
  <c r="L46" i="9"/>
  <c r="L106" i="9"/>
  <c r="M170" i="9"/>
  <c r="M71" i="9" s="1"/>
  <c r="M72" i="9" s="1"/>
  <c r="M31" i="9" s="1"/>
  <c r="L105" i="11"/>
  <c r="L54" i="11"/>
  <c r="L25" i="11" s="1"/>
  <c r="L29" i="11" s="1"/>
  <c r="F12" i="70" s="1"/>
  <c r="L197" i="10"/>
  <c r="M197" i="10"/>
  <c r="L61" i="9"/>
  <c r="L25" i="9" s="1"/>
  <c r="L225" i="9"/>
  <c r="M86" i="9"/>
  <c r="L94" i="9"/>
  <c r="L122" i="9"/>
  <c r="Q121" i="70" l="1"/>
  <c r="AA121" i="70"/>
  <c r="N462" i="61"/>
  <c r="N69" i="61"/>
  <c r="H56" i="70"/>
  <c r="H55" i="70"/>
  <c r="N70" i="60"/>
  <c r="N451" i="60"/>
  <c r="N452" i="60"/>
  <c r="O257" i="9"/>
  <c r="O260" i="9" s="1"/>
  <c r="Y12" i="70"/>
  <c r="M12" i="70"/>
  <c r="O31" i="9"/>
  <c r="O231" i="9"/>
  <c r="AA76" i="70"/>
  <c r="Q76" i="70"/>
  <c r="O77" i="70"/>
  <c r="Z77" i="70"/>
  <c r="Y76" i="70"/>
  <c r="M76" i="70"/>
  <c r="O76" i="70"/>
  <c r="Z76" i="70"/>
  <c r="O14" i="70"/>
  <c r="Z14" i="70"/>
  <c r="U63" i="70"/>
  <c r="U133" i="70" s="1"/>
  <c r="F14" i="70"/>
  <c r="Y13" i="70"/>
  <c r="M13" i="70"/>
  <c r="Y81" i="70"/>
  <c r="M81" i="72"/>
  <c r="R81" i="72" s="1"/>
  <c r="M81" i="70"/>
  <c r="M65" i="12"/>
  <c r="G13" i="70"/>
  <c r="O76" i="10"/>
  <c r="O36" i="10" s="1"/>
  <c r="O42" i="10" s="1"/>
  <c r="O234" i="10"/>
  <c r="O464" i="61"/>
  <c r="N197" i="13"/>
  <c r="N91" i="13" s="1"/>
  <c r="N92" i="13" s="1"/>
  <c r="N31" i="13" s="1"/>
  <c r="N40" i="13" s="1"/>
  <c r="H14" i="70" s="1"/>
  <c r="O196" i="13"/>
  <c r="O197" i="13" s="1"/>
  <c r="O91" i="13" s="1"/>
  <c r="O92" i="13" s="1"/>
  <c r="O31" i="13" s="1"/>
  <c r="O40" i="13" s="1"/>
  <c r="N85" i="11"/>
  <c r="N53" i="11" s="1"/>
  <c r="O84" i="11"/>
  <c r="O85" i="11" s="1"/>
  <c r="O53" i="11" s="1"/>
  <c r="N74" i="11"/>
  <c r="N34" i="11" s="1"/>
  <c r="N40" i="11" s="1"/>
  <c r="H77" i="70" s="1"/>
  <c r="M54" i="11"/>
  <c r="M25" i="11" s="1"/>
  <c r="M29" i="11" s="1"/>
  <c r="M225" i="9"/>
  <c r="O106" i="9"/>
  <c r="O46" i="9"/>
  <c r="N47" i="10"/>
  <c r="M47" i="10"/>
  <c r="N139" i="11"/>
  <c r="L47" i="10"/>
  <c r="L79" i="72"/>
  <c r="Q79" i="72" s="1"/>
  <c r="N27" i="12"/>
  <c r="N34" i="12" s="1"/>
  <c r="L33" i="9"/>
  <c r="F75" i="70" s="1"/>
  <c r="N17" i="72"/>
  <c r="S17" i="72" s="1"/>
  <c r="V63" i="70"/>
  <c r="V133" i="70" s="1"/>
  <c r="L75" i="72"/>
  <c r="Q75" i="72" s="1"/>
  <c r="N77" i="72"/>
  <c r="S77" i="72" s="1"/>
  <c r="M16" i="72"/>
  <c r="R16" i="72" s="1"/>
  <c r="K19" i="72"/>
  <c r="P19" i="72" s="1"/>
  <c r="K77" i="72"/>
  <c r="P77" i="72" s="1"/>
  <c r="N19" i="72"/>
  <c r="S19" i="72" s="1"/>
  <c r="L19" i="72"/>
  <c r="Q19" i="72" s="1"/>
  <c r="L76" i="72"/>
  <c r="Q76" i="72" s="1"/>
  <c r="L467" i="61"/>
  <c r="M122" i="9"/>
  <c r="M138" i="9" s="1"/>
  <c r="N122" i="9"/>
  <c r="N33" i="9"/>
  <c r="H75" i="70" s="1"/>
  <c r="N261" i="9"/>
  <c r="N225" i="9"/>
  <c r="N61" i="9"/>
  <c r="N25" i="9" s="1"/>
  <c r="M94" i="9"/>
  <c r="M108" i="9" s="1"/>
  <c r="N86" i="9"/>
  <c r="N106" i="9"/>
  <c r="N46" i="9"/>
  <c r="N222" i="10"/>
  <c r="N205" i="10"/>
  <c r="N221" i="10"/>
  <c r="N219" i="10"/>
  <c r="N197" i="10"/>
  <c r="N216" i="10"/>
  <c r="N209" i="10"/>
  <c r="N227" i="10"/>
  <c r="N207" i="10"/>
  <c r="N228" i="10"/>
  <c r="N226" i="10"/>
  <c r="N223" i="10"/>
  <c r="N220" i="10"/>
  <c r="N217" i="10"/>
  <c r="N206" i="10"/>
  <c r="N224" i="10"/>
  <c r="N225" i="10"/>
  <c r="N218" i="10"/>
  <c r="N208" i="10"/>
  <c r="M255" i="9"/>
  <c r="M247" i="9"/>
  <c r="M248" i="9"/>
  <c r="L245" i="9"/>
  <c r="L249" i="9"/>
  <c r="L254" i="9"/>
  <c r="L248" i="9"/>
  <c r="L246" i="9"/>
  <c r="L250" i="9"/>
  <c r="L255" i="9"/>
  <c r="L243" i="9"/>
  <c r="L247" i="9"/>
  <c r="L244" i="9"/>
  <c r="L48" i="9"/>
  <c r="L96" i="10"/>
  <c r="L56" i="10" s="1"/>
  <c r="L42" i="11"/>
  <c r="M63" i="13"/>
  <c r="L63" i="13"/>
  <c r="M46" i="9"/>
  <c r="M106" i="9"/>
  <c r="L123" i="11"/>
  <c r="L133" i="11"/>
  <c r="L125" i="11"/>
  <c r="L122" i="11"/>
  <c r="L132" i="11"/>
  <c r="L124" i="11"/>
  <c r="L121" i="11"/>
  <c r="L126" i="11"/>
  <c r="L107" i="11"/>
  <c r="M133" i="11"/>
  <c r="M125" i="11"/>
  <c r="M122" i="11"/>
  <c r="M132" i="11"/>
  <c r="M121" i="11"/>
  <c r="M126" i="11"/>
  <c r="M123" i="11"/>
  <c r="M124" i="11"/>
  <c r="M107" i="11"/>
  <c r="M213" i="10"/>
  <c r="M33" i="9"/>
  <c r="G75" i="70" s="1"/>
  <c r="M261" i="9"/>
  <c r="L47" i="9"/>
  <c r="L108" i="9"/>
  <c r="L227" i="9"/>
  <c r="L54" i="9"/>
  <c r="L136" i="9"/>
  <c r="L101" i="10" s="1"/>
  <c r="L58" i="10" s="1"/>
  <c r="L138" i="9"/>
  <c r="L137" i="9"/>
  <c r="N464" i="61" l="1"/>
  <c r="N468" i="61" s="1"/>
  <c r="N467" i="61"/>
  <c r="N54" i="11"/>
  <c r="N25" i="11" s="1"/>
  <c r="N29" i="11" s="1"/>
  <c r="N105" i="11"/>
  <c r="Q56" i="70"/>
  <c r="AA56" i="70"/>
  <c r="AA55" i="70"/>
  <c r="Q55" i="70"/>
  <c r="M42" i="11"/>
  <c r="G12" i="70"/>
  <c r="M245" i="9"/>
  <c r="M249" i="9"/>
  <c r="M254" i="9"/>
  <c r="M243" i="9"/>
  <c r="M244" i="9"/>
  <c r="M246" i="9"/>
  <c r="M250" i="9"/>
  <c r="M227" i="9"/>
  <c r="Q12" i="70"/>
  <c r="AA12" i="70"/>
  <c r="O33" i="9"/>
  <c r="O261" i="9"/>
  <c r="O47" i="10"/>
  <c r="I76" i="70"/>
  <c r="Q77" i="70"/>
  <c r="AA77" i="70"/>
  <c r="O48" i="9"/>
  <c r="O96" i="10"/>
  <c r="O56" i="10" s="1"/>
  <c r="M75" i="70"/>
  <c r="Y75" i="70"/>
  <c r="Q75" i="70"/>
  <c r="AA75" i="70"/>
  <c r="Z75" i="70"/>
  <c r="O75" i="70"/>
  <c r="M17" i="72"/>
  <c r="R17" i="72" s="1"/>
  <c r="N16" i="72"/>
  <c r="S16" i="72" s="1"/>
  <c r="O63" i="13"/>
  <c r="I14" i="70"/>
  <c r="N63" i="13"/>
  <c r="AA14" i="70"/>
  <c r="Q14" i="70"/>
  <c r="M14" i="70"/>
  <c r="Y14" i="70"/>
  <c r="H13" i="70"/>
  <c r="N56" i="12"/>
  <c r="N65" i="12" s="1"/>
  <c r="AA13" i="70"/>
  <c r="Q13" i="70"/>
  <c r="Z13" i="70"/>
  <c r="O13" i="70"/>
  <c r="O468" i="61"/>
  <c r="O467" i="61"/>
  <c r="O105" i="11"/>
  <c r="O54" i="11"/>
  <c r="O25" i="11" s="1"/>
  <c r="O29" i="11" s="1"/>
  <c r="I12" i="70" s="1"/>
  <c r="O74" i="11"/>
  <c r="O34" i="11" s="1"/>
  <c r="O40" i="11" s="1"/>
  <c r="O139" i="11"/>
  <c r="N94" i="9"/>
  <c r="O86" i="9"/>
  <c r="O94" i="9" s="1"/>
  <c r="M39" i="9"/>
  <c r="N76" i="72"/>
  <c r="S76" i="72" s="1"/>
  <c r="N39" i="9"/>
  <c r="L39" i="9"/>
  <c r="M76" i="72"/>
  <c r="R76" i="72" s="1"/>
  <c r="M54" i="9"/>
  <c r="M47" i="9"/>
  <c r="M136" i="9"/>
  <c r="M101" i="10" s="1"/>
  <c r="M58" i="10" s="1"/>
  <c r="M137" i="9"/>
  <c r="N48" i="9"/>
  <c r="N96" i="10"/>
  <c r="N56" i="10" s="1"/>
  <c r="L17" i="72"/>
  <c r="Q17" i="72" s="1"/>
  <c r="N75" i="72"/>
  <c r="S75" i="72" s="1"/>
  <c r="M15" i="72"/>
  <c r="R15" i="72" s="1"/>
  <c r="N213" i="10"/>
  <c r="N230" i="10" s="1"/>
  <c r="N233" i="10" s="1"/>
  <c r="N244" i="9"/>
  <c r="N254" i="9"/>
  <c r="N245" i="9"/>
  <c r="N243" i="9"/>
  <c r="N249" i="9"/>
  <c r="N248" i="9"/>
  <c r="N255" i="9"/>
  <c r="N227" i="9"/>
  <c r="N250" i="9"/>
  <c r="N247" i="9"/>
  <c r="N246" i="9"/>
  <c r="N132" i="11"/>
  <c r="N107" i="11"/>
  <c r="N124" i="11"/>
  <c r="N123" i="11"/>
  <c r="N122" i="11"/>
  <c r="N125" i="11"/>
  <c r="N121" i="11"/>
  <c r="N133" i="11"/>
  <c r="N126" i="11"/>
  <c r="N137" i="9"/>
  <c r="N54" i="9"/>
  <c r="N138" i="9"/>
  <c r="N136" i="9"/>
  <c r="M48" i="9"/>
  <c r="M96" i="10"/>
  <c r="M56" i="10" s="1"/>
  <c r="L49" i="9"/>
  <c r="L50" i="9" s="1"/>
  <c r="L98" i="10"/>
  <c r="L57" i="10" s="1"/>
  <c r="L200" i="10" s="1"/>
  <c r="L202" i="10" s="1"/>
  <c r="L232" i="10" s="1"/>
  <c r="M49" i="9"/>
  <c r="M98" i="10"/>
  <c r="M57" i="10" s="1"/>
  <c r="L240" i="9"/>
  <c r="L237" i="9"/>
  <c r="L238" i="9"/>
  <c r="L239" i="9"/>
  <c r="L236" i="9"/>
  <c r="M113" i="11"/>
  <c r="M137" i="11"/>
  <c r="M110" i="11"/>
  <c r="M112" i="11"/>
  <c r="M114" i="11"/>
  <c r="M135" i="11" s="1"/>
  <c r="M138" i="11" s="1"/>
  <c r="M111" i="11"/>
  <c r="L111" i="11"/>
  <c r="L114" i="11"/>
  <c r="L135" i="11" s="1"/>
  <c r="L138" i="11" s="1"/>
  <c r="L113" i="11"/>
  <c r="L137" i="11"/>
  <c r="L110" i="11"/>
  <c r="L112" i="11"/>
  <c r="L230" i="10"/>
  <c r="L233" i="10" s="1"/>
  <c r="M230" i="10"/>
  <c r="M233" i="10" s="1"/>
  <c r="L139" i="9"/>
  <c r="L55" i="9" s="1"/>
  <c r="L56" i="9" s="1"/>
  <c r="H12" i="70" l="1"/>
  <c r="N42" i="11"/>
  <c r="N15" i="72"/>
  <c r="S15" i="72" s="1"/>
  <c r="O12" i="70"/>
  <c r="Z12" i="70"/>
  <c r="M237" i="9"/>
  <c r="M238" i="9"/>
  <c r="M240" i="9"/>
  <c r="M239" i="9"/>
  <c r="M236" i="9"/>
  <c r="O39" i="9"/>
  <c r="I75" i="70"/>
  <c r="O42" i="11"/>
  <c r="I77" i="70"/>
  <c r="N47" i="9"/>
  <c r="N108" i="9"/>
  <c r="O121" i="11"/>
  <c r="O133" i="11"/>
  <c r="O132" i="11"/>
  <c r="O107" i="11"/>
  <c r="O126" i="11"/>
  <c r="O125" i="11"/>
  <c r="O124" i="11"/>
  <c r="O123" i="11"/>
  <c r="O122" i="11"/>
  <c r="O108" i="9"/>
  <c r="O47" i="9"/>
  <c r="M75" i="72"/>
  <c r="R75" i="72" s="1"/>
  <c r="T63" i="70"/>
  <c r="T133" i="70" s="1"/>
  <c r="N139" i="9"/>
  <c r="N55" i="9" s="1"/>
  <c r="N56" i="9" s="1"/>
  <c r="N101" i="10"/>
  <c r="N58" i="10" s="1"/>
  <c r="M139" i="9"/>
  <c r="M55" i="9" s="1"/>
  <c r="M56" i="9" s="1"/>
  <c r="M24" i="9" s="1"/>
  <c r="L60" i="10"/>
  <c r="L21" i="10" s="1"/>
  <c r="L29" i="10" s="1"/>
  <c r="K14" i="72"/>
  <c r="P14" i="72" s="1"/>
  <c r="K13" i="72"/>
  <c r="P13" i="72" s="1"/>
  <c r="M50" i="9"/>
  <c r="M23" i="9" s="1"/>
  <c r="N137" i="11"/>
  <c r="N112" i="11"/>
  <c r="N111" i="11"/>
  <c r="N114" i="11"/>
  <c r="N135" i="11" s="1"/>
  <c r="N138" i="11" s="1"/>
  <c r="N113" i="11"/>
  <c r="N110" i="11"/>
  <c r="N239" i="9"/>
  <c r="N238" i="9"/>
  <c r="N236" i="9"/>
  <c r="N240" i="9"/>
  <c r="N237" i="9"/>
  <c r="M200" i="10"/>
  <c r="M202" i="10" s="1"/>
  <c r="M232" i="10" s="1"/>
  <c r="M237" i="10" s="1"/>
  <c r="M60" i="10"/>
  <c r="M21" i="10" s="1"/>
  <c r="M29" i="10" s="1"/>
  <c r="G11" i="70" s="1"/>
  <c r="L237" i="10"/>
  <c r="L142" i="11"/>
  <c r="M142" i="11"/>
  <c r="L231" i="9"/>
  <c r="L24" i="9"/>
  <c r="L23" i="9"/>
  <c r="L230" i="9"/>
  <c r="L257" i="9"/>
  <c r="L260" i="9" s="1"/>
  <c r="M257" i="9" l="1"/>
  <c r="M260" i="9" s="1"/>
  <c r="N98" i="10"/>
  <c r="N57" i="10" s="1"/>
  <c r="N200" i="10" s="1"/>
  <c r="N202" i="10" s="1"/>
  <c r="N232" i="10" s="1"/>
  <c r="N237" i="10" s="1"/>
  <c r="N49" i="9"/>
  <c r="N50" i="9" s="1"/>
  <c r="L44" i="10"/>
  <c r="F11" i="70"/>
  <c r="O11" i="70"/>
  <c r="Z11" i="70"/>
  <c r="O49" i="9"/>
  <c r="O50" i="9" s="1"/>
  <c r="O98" i="10"/>
  <c r="O57" i="10" s="1"/>
  <c r="O112" i="11"/>
  <c r="O111" i="11"/>
  <c r="O110" i="11"/>
  <c r="O113" i="11"/>
  <c r="O137" i="11"/>
  <c r="O114" i="11"/>
  <c r="O135" i="11" s="1"/>
  <c r="O138" i="11" s="1"/>
  <c r="N23" i="9"/>
  <c r="N230" i="9"/>
  <c r="M231" i="9"/>
  <c r="N60" i="10"/>
  <c r="N21" i="10" s="1"/>
  <c r="N29" i="10" s="1"/>
  <c r="H11" i="70" s="1"/>
  <c r="M230" i="9"/>
  <c r="L14" i="72"/>
  <c r="Q14" i="72" s="1"/>
  <c r="N142" i="11"/>
  <c r="N24" i="9"/>
  <c r="N231" i="9"/>
  <c r="N257" i="9"/>
  <c r="N260" i="9" s="1"/>
  <c r="M44" i="10"/>
  <c r="L233" i="9"/>
  <c r="L259" i="9" s="1"/>
  <c r="L264" i="9" s="1"/>
  <c r="L27" i="9"/>
  <c r="F10" i="70" s="1"/>
  <c r="M27" i="9"/>
  <c r="G10" i="70" s="1"/>
  <c r="N27" i="9" l="1"/>
  <c r="H10" i="70" s="1"/>
  <c r="Q10" i="70" s="1"/>
  <c r="Y11" i="70"/>
  <c r="M11" i="70"/>
  <c r="M233" i="9"/>
  <c r="M259" i="9" s="1"/>
  <c r="M264" i="9" s="1"/>
  <c r="Q11" i="70"/>
  <c r="AA11" i="70"/>
  <c r="AA10" i="70"/>
  <c r="M10" i="70"/>
  <c r="Y10" i="70"/>
  <c r="O10" i="70"/>
  <c r="Z10" i="70"/>
  <c r="O23" i="9"/>
  <c r="O27" i="9" s="1"/>
  <c r="O230" i="9"/>
  <c r="O233" i="9" s="1"/>
  <c r="O259" i="9" s="1"/>
  <c r="O264" i="9" s="1"/>
  <c r="O60" i="10"/>
  <c r="O21" i="10" s="1"/>
  <c r="O29" i="10" s="1"/>
  <c r="O200" i="10"/>
  <c r="O202" i="10" s="1"/>
  <c r="O232" i="10" s="1"/>
  <c r="O237" i="10" s="1"/>
  <c r="O142" i="11"/>
  <c r="M14" i="72"/>
  <c r="R14" i="72" s="1"/>
  <c r="N35" i="9"/>
  <c r="N44" i="10"/>
  <c r="N233" i="9"/>
  <c r="N259" i="9" s="1"/>
  <c r="N264" i="9" s="1"/>
  <c r="N14" i="72"/>
  <c r="S14" i="72" s="1"/>
  <c r="L13" i="72"/>
  <c r="Q13" i="72" s="1"/>
  <c r="L35" i="9"/>
  <c r="M35" i="9"/>
  <c r="E321" i="7"/>
  <c r="E289" i="7"/>
  <c r="E286" i="7"/>
  <c r="E285" i="7"/>
  <c r="E284" i="7"/>
  <c r="E283" i="7"/>
  <c r="E282" i="7"/>
  <c r="M272" i="7"/>
  <c r="L272" i="7"/>
  <c r="M264" i="7"/>
  <c r="L264" i="7"/>
  <c r="M256" i="7"/>
  <c r="L256" i="7"/>
  <c r="M199" i="7"/>
  <c r="L199" i="7"/>
  <c r="M198" i="7"/>
  <c r="L198" i="7"/>
  <c r="M181" i="7"/>
  <c r="L181" i="7"/>
  <c r="M180" i="7"/>
  <c r="L180" i="7"/>
  <c r="M163" i="7"/>
  <c r="L163" i="7"/>
  <c r="M162" i="7"/>
  <c r="L162" i="7"/>
  <c r="M142" i="7"/>
  <c r="L142" i="7"/>
  <c r="M127" i="7"/>
  <c r="L127" i="7"/>
  <c r="B108" i="7"/>
  <c r="B107" i="7"/>
  <c r="B105" i="7"/>
  <c r="B104" i="7"/>
  <c r="B97" i="7"/>
  <c r="B96" i="7"/>
  <c r="B95" i="7"/>
  <c r="B88" i="7"/>
  <c r="B85" i="7"/>
  <c r="B84" i="7"/>
  <c r="B83" i="7"/>
  <c r="B82" i="7"/>
  <c r="B81" i="7"/>
  <c r="B80" i="7"/>
  <c r="B79" i="7"/>
  <c r="B78" i="7"/>
  <c r="B77" i="7"/>
  <c r="B76" i="7"/>
  <c r="B75" i="7"/>
  <c r="M71" i="7"/>
  <c r="L71" i="7"/>
  <c r="B70" i="7"/>
  <c r="A70" i="7"/>
  <c r="M66" i="7"/>
  <c r="L66" i="7"/>
  <c r="M54" i="7"/>
  <c r="G73" i="70" s="1"/>
  <c r="L54" i="7"/>
  <c r="F73" i="70" s="1"/>
  <c r="M43" i="7"/>
  <c r="L43" i="7"/>
  <c r="D36" i="7"/>
  <c r="D35" i="7"/>
  <c r="I282" i="7"/>
  <c r="G282" i="7" s="1"/>
  <c r="E1085" i="6"/>
  <c r="E1095" i="6" s="1"/>
  <c r="E1105" i="6" s="1"/>
  <c r="E1084" i="6"/>
  <c r="E1094" i="6" s="1"/>
  <c r="E1104" i="6" s="1"/>
  <c r="E1083" i="6"/>
  <c r="E1093" i="6" s="1"/>
  <c r="E1103" i="6" s="1"/>
  <c r="E1082" i="6"/>
  <c r="E1092" i="6" s="1"/>
  <c r="E1102" i="6" s="1"/>
  <c r="E1081" i="6"/>
  <c r="E1091" i="6" s="1"/>
  <c r="E1101" i="6" s="1"/>
  <c r="E1080" i="6"/>
  <c r="E1090" i="6" s="1"/>
  <c r="E1100" i="6" s="1"/>
  <c r="E960" i="6"/>
  <c r="E1004" i="6" s="1"/>
  <c r="E1048" i="6" s="1"/>
  <c r="E926" i="6"/>
  <c r="E962" i="6" s="1"/>
  <c r="E1006" i="6" s="1"/>
  <c r="E1050" i="6" s="1"/>
  <c r="E925" i="6"/>
  <c r="E961" i="6" s="1"/>
  <c r="E1005" i="6" s="1"/>
  <c r="E1049" i="6" s="1"/>
  <c r="E924" i="6"/>
  <c r="E923" i="6"/>
  <c r="E959" i="6" s="1"/>
  <c r="E1003" i="6" s="1"/>
  <c r="E1047" i="6" s="1"/>
  <c r="E899" i="6"/>
  <c r="E938" i="6" s="1"/>
  <c r="E974" i="6" s="1"/>
  <c r="E1019" i="6" s="1"/>
  <c r="E1055" i="6" s="1"/>
  <c r="E893" i="6"/>
  <c r="E932" i="6" s="1"/>
  <c r="E968" i="6" s="1"/>
  <c r="E1013" i="6" s="1"/>
  <c r="E1061" i="6" s="1"/>
  <c r="L835" i="6"/>
  <c r="L221" i="6"/>
  <c r="E702" i="6"/>
  <c r="E701" i="6"/>
  <c r="E700" i="6"/>
  <c r="E697" i="6"/>
  <c r="E696" i="6"/>
  <c r="E695" i="6"/>
  <c r="E694" i="6"/>
  <c r="E693" i="6"/>
  <c r="E692" i="6"/>
  <c r="E691" i="6"/>
  <c r="E690" i="6"/>
  <c r="E673" i="6"/>
  <c r="E664" i="6"/>
  <c r="E661" i="6"/>
  <c r="M650" i="6"/>
  <c r="M195" i="6" s="1"/>
  <c r="M196" i="6" s="1"/>
  <c r="M50" i="6" s="1"/>
  <c r="L650" i="6"/>
  <c r="L195" i="6" s="1"/>
  <c r="L196" i="6" s="1"/>
  <c r="L50" i="6" s="1"/>
  <c r="M180" i="6"/>
  <c r="L180" i="6"/>
  <c r="E630" i="6"/>
  <c r="M623" i="6"/>
  <c r="L623" i="6"/>
  <c r="E615" i="6"/>
  <c r="E607" i="6"/>
  <c r="E601" i="6"/>
  <c r="I525" i="6"/>
  <c r="E498" i="6"/>
  <c r="E493" i="6"/>
  <c r="E482" i="6"/>
  <c r="E479" i="6"/>
  <c r="E450" i="6"/>
  <c r="M445" i="6"/>
  <c r="M107" i="6" s="1"/>
  <c r="L445" i="6"/>
  <c r="L107" i="6" s="1"/>
  <c r="E433" i="6"/>
  <c r="I432" i="6"/>
  <c r="O432" i="6" s="1"/>
  <c r="I431" i="6"/>
  <c r="E427" i="6"/>
  <c r="E423" i="6"/>
  <c r="L422" i="6"/>
  <c r="L423" i="6" s="1"/>
  <c r="L103" i="6" s="1"/>
  <c r="L415" i="6"/>
  <c r="E396" i="6"/>
  <c r="E392" i="6"/>
  <c r="E382" i="6"/>
  <c r="E377" i="6"/>
  <c r="M375" i="6"/>
  <c r="L375" i="6"/>
  <c r="M374" i="6"/>
  <c r="L374" i="6"/>
  <c r="E370" i="6"/>
  <c r="E366" i="6"/>
  <c r="E354" i="6"/>
  <c r="E349" i="6"/>
  <c r="M93" i="6"/>
  <c r="L93" i="6"/>
  <c r="E338" i="6"/>
  <c r="E332" i="6"/>
  <c r="E307" i="6"/>
  <c r="E304" i="6"/>
  <c r="E243" i="6"/>
  <c r="M239" i="6"/>
  <c r="M245" i="6" s="1"/>
  <c r="L239" i="6"/>
  <c r="L245" i="6" s="1"/>
  <c r="A225" i="6"/>
  <c r="A224" i="6"/>
  <c r="A223" i="6"/>
  <c r="B222" i="6"/>
  <c r="M221" i="6"/>
  <c r="B219" i="6"/>
  <c r="M216" i="6"/>
  <c r="L216" i="6"/>
  <c r="B215" i="6"/>
  <c r="A215" i="6"/>
  <c r="M211" i="6"/>
  <c r="L211" i="6"/>
  <c r="B201" i="6"/>
  <c r="A201" i="6"/>
  <c r="B200" i="6"/>
  <c r="A200" i="6"/>
  <c r="B195" i="6"/>
  <c r="B190" i="6"/>
  <c r="B189" i="6"/>
  <c r="A189" i="6"/>
  <c r="A190" i="6" s="1"/>
  <c r="B184" i="6"/>
  <c r="A184" i="6"/>
  <c r="B179" i="6"/>
  <c r="A179" i="6"/>
  <c r="B174" i="6"/>
  <c r="A174" i="6"/>
  <c r="B169" i="6"/>
  <c r="A169" i="6"/>
  <c r="B168" i="6"/>
  <c r="A168" i="6"/>
  <c r="B167" i="6"/>
  <c r="A167" i="6"/>
  <c r="B162" i="6"/>
  <c r="A162" i="6"/>
  <c r="B161" i="6"/>
  <c r="A161" i="6"/>
  <c r="B156" i="6"/>
  <c r="A156" i="6"/>
  <c r="B155" i="6"/>
  <c r="A155" i="6"/>
  <c r="M151" i="6"/>
  <c r="L151" i="6"/>
  <c r="B150" i="6"/>
  <c r="A150" i="6"/>
  <c r="B145" i="6"/>
  <c r="A145" i="6"/>
  <c r="B140" i="6"/>
  <c r="A140" i="6"/>
  <c r="B135" i="6"/>
  <c r="A135" i="6"/>
  <c r="B130" i="6"/>
  <c r="A130" i="6"/>
  <c r="B129" i="6"/>
  <c r="A129" i="6"/>
  <c r="B117" i="6"/>
  <c r="A117" i="6"/>
  <c r="B112" i="6"/>
  <c r="A112" i="6"/>
  <c r="B107" i="6"/>
  <c r="B106" i="6"/>
  <c r="B105" i="6"/>
  <c r="B104" i="6"/>
  <c r="B103" i="6"/>
  <c r="B102" i="6"/>
  <c r="B101" i="6"/>
  <c r="B100" i="6"/>
  <c r="B99" i="6"/>
  <c r="B98" i="6"/>
  <c r="B97" i="6"/>
  <c r="B96" i="6"/>
  <c r="B95" i="6"/>
  <c r="B94" i="6"/>
  <c r="B93" i="6"/>
  <c r="B92" i="6"/>
  <c r="B91" i="6"/>
  <c r="B90" i="6"/>
  <c r="B89" i="6"/>
  <c r="B88" i="6"/>
  <c r="B87" i="6"/>
  <c r="B86" i="6"/>
  <c r="B85" i="6"/>
  <c r="B80" i="6"/>
  <c r="A80" i="6"/>
  <c r="D55" i="6"/>
  <c r="M54" i="6"/>
  <c r="L54" i="6"/>
  <c r="D47" i="6"/>
  <c r="D46" i="6"/>
  <c r="D45" i="6"/>
  <c r="D44" i="6"/>
  <c r="D43" i="6"/>
  <c r="D42" i="6"/>
  <c r="D41" i="6"/>
  <c r="D40" i="6"/>
  <c r="D39" i="6"/>
  <c r="D36" i="6"/>
  <c r="D35" i="6"/>
  <c r="D34" i="6"/>
  <c r="E666" i="5"/>
  <c r="E672" i="5" s="1"/>
  <c r="E678" i="5" s="1"/>
  <c r="E665" i="5"/>
  <c r="E671" i="5" s="1"/>
  <c r="E677" i="5" s="1"/>
  <c r="E649" i="5"/>
  <c r="E656" i="5"/>
  <c r="E641" i="5"/>
  <c r="E640" i="5"/>
  <c r="E639" i="5"/>
  <c r="E638" i="5"/>
  <c r="M583" i="5"/>
  <c r="M207" i="5" s="1"/>
  <c r="L583" i="5"/>
  <c r="L207" i="5" s="1"/>
  <c r="E552" i="5"/>
  <c r="E547" i="5"/>
  <c r="M543" i="5"/>
  <c r="L543" i="5"/>
  <c r="E543" i="5"/>
  <c r="E535" i="5"/>
  <c r="E519" i="5"/>
  <c r="E427" i="5"/>
  <c r="E421" i="5"/>
  <c r="E410" i="5"/>
  <c r="E368" i="5"/>
  <c r="E356" i="5"/>
  <c r="E350" i="5"/>
  <c r="E339" i="5"/>
  <c r="E327" i="5"/>
  <c r="E314" i="5"/>
  <c r="E303" i="5"/>
  <c r="E297" i="5"/>
  <c r="E289" i="5"/>
  <c r="E286" i="5"/>
  <c r="E283" i="5"/>
  <c r="M96" i="5"/>
  <c r="M97" i="5" s="1"/>
  <c r="M35" i="5" s="1"/>
  <c r="L96" i="5"/>
  <c r="L97" i="5" s="1"/>
  <c r="L35" i="5" s="1"/>
  <c r="M258" i="5"/>
  <c r="L258" i="5"/>
  <c r="E246" i="5"/>
  <c r="B210" i="5"/>
  <c r="B209" i="5"/>
  <c r="B208" i="5"/>
  <c r="B207" i="5"/>
  <c r="B198" i="5"/>
  <c r="A198" i="5"/>
  <c r="B193" i="5"/>
  <c r="A193" i="5"/>
  <c r="M189" i="5"/>
  <c r="L189" i="5"/>
  <c r="B188" i="5"/>
  <c r="A188" i="5"/>
  <c r="B183" i="5"/>
  <c r="A183" i="5"/>
  <c r="B178" i="5"/>
  <c r="A178" i="5"/>
  <c r="B173" i="5"/>
  <c r="B163" i="5"/>
  <c r="B162" i="5"/>
  <c r="B161" i="5"/>
  <c r="B160" i="5"/>
  <c r="B155" i="5"/>
  <c r="A155" i="5"/>
  <c r="B150" i="5"/>
  <c r="B149" i="5"/>
  <c r="B144" i="5"/>
  <c r="B143" i="5"/>
  <c r="B138" i="5"/>
  <c r="B137" i="5"/>
  <c r="B132" i="5"/>
  <c r="A132" i="5"/>
  <c r="B131" i="5"/>
  <c r="A131" i="5"/>
  <c r="B126" i="5"/>
  <c r="A126" i="5"/>
  <c r="B121" i="5"/>
  <c r="A121" i="5"/>
  <c r="B116" i="5"/>
  <c r="B111" i="5"/>
  <c r="B110" i="5"/>
  <c r="B109" i="5"/>
  <c r="B104" i="5"/>
  <c r="B103" i="5"/>
  <c r="B102" i="5"/>
  <c r="B96" i="5"/>
  <c r="A96" i="5"/>
  <c r="B91" i="5"/>
  <c r="B90" i="5"/>
  <c r="B89" i="5"/>
  <c r="B88" i="5"/>
  <c r="B87" i="5"/>
  <c r="B86" i="5"/>
  <c r="B85" i="5"/>
  <c r="B84" i="5"/>
  <c r="B83" i="5"/>
  <c r="B82" i="5"/>
  <c r="D58" i="5"/>
  <c r="D57" i="5"/>
  <c r="M55" i="5"/>
  <c r="L55" i="5"/>
  <c r="D51" i="5"/>
  <c r="D50" i="5"/>
  <c r="D49" i="5"/>
  <c r="D48" i="5"/>
  <c r="D47" i="5"/>
  <c r="D46" i="5"/>
  <c r="D45" i="5"/>
  <c r="D44" i="5"/>
  <c r="D43" i="5"/>
  <c r="D42" i="5"/>
  <c r="D41" i="5"/>
  <c r="D40" i="5"/>
  <c r="D39" i="5"/>
  <c r="D38" i="5"/>
  <c r="D37" i="5"/>
  <c r="D35" i="5"/>
  <c r="D34" i="5"/>
  <c r="D22" i="4"/>
  <c r="D23" i="4"/>
  <c r="D24" i="4"/>
  <c r="D25" i="4"/>
  <c r="D26" i="4"/>
  <c r="D27" i="4"/>
  <c r="D29" i="4"/>
  <c r="D30" i="4"/>
  <c r="D31" i="4"/>
  <c r="D32" i="4"/>
  <c r="D33" i="4"/>
  <c r="D34" i="4"/>
  <c r="D35" i="4"/>
  <c r="D36" i="4"/>
  <c r="D50" i="4"/>
  <c r="D51" i="4"/>
  <c r="D52" i="4"/>
  <c r="D53" i="4"/>
  <c r="D54" i="4"/>
  <c r="D55" i="4"/>
  <c r="D56" i="4"/>
  <c r="D57" i="4"/>
  <c r="A75" i="4"/>
  <c r="B75" i="4"/>
  <c r="B76" i="4"/>
  <c r="B78" i="4"/>
  <c r="B79" i="4"/>
  <c r="A84" i="4"/>
  <c r="B84" i="4"/>
  <c r="B85" i="4"/>
  <c r="B86" i="4"/>
  <c r="A91" i="4"/>
  <c r="B91" i="4"/>
  <c r="B96" i="4"/>
  <c r="B97" i="4"/>
  <c r="B98" i="4"/>
  <c r="B99" i="4"/>
  <c r="A104" i="4"/>
  <c r="B104" i="4"/>
  <c r="B119" i="4"/>
  <c r="B120" i="4"/>
  <c r="B121" i="4"/>
  <c r="B122" i="4"/>
  <c r="B123" i="4"/>
  <c r="B124" i="4"/>
  <c r="B125" i="4"/>
  <c r="A130" i="4"/>
  <c r="B130" i="4"/>
  <c r="A134" i="4"/>
  <c r="B134" i="4"/>
  <c r="A139" i="4"/>
  <c r="B139" i="4"/>
  <c r="A140" i="4"/>
  <c r="B140" i="4"/>
  <c r="A145" i="4"/>
  <c r="B145" i="4"/>
  <c r="A146" i="4"/>
  <c r="B146" i="4"/>
  <c r="B151" i="4"/>
  <c r="A152" i="4"/>
  <c r="B152" i="4"/>
  <c r="B153" i="4"/>
  <c r="A159" i="4"/>
  <c r="B159" i="4"/>
  <c r="A161" i="4"/>
  <c r="B161" i="4"/>
  <c r="A162" i="4"/>
  <c r="B162" i="4"/>
  <c r="A189" i="4"/>
  <c r="B189" i="4"/>
  <c r="A190" i="4"/>
  <c r="B190" i="4"/>
  <c r="A201" i="4"/>
  <c r="B201" i="4"/>
  <c r="A206" i="4"/>
  <c r="B206" i="4"/>
  <c r="A211" i="4"/>
  <c r="B211" i="4"/>
  <c r="A216" i="4"/>
  <c r="B216" i="4"/>
  <c r="A221" i="4"/>
  <c r="B221" i="4"/>
  <c r="A227" i="4"/>
  <c r="B227" i="4"/>
  <c r="A232" i="4"/>
  <c r="B232" i="4"/>
  <c r="E260" i="4"/>
  <c r="E267" i="4"/>
  <c r="E289" i="4"/>
  <c r="L295" i="4"/>
  <c r="L297" i="4" s="1"/>
  <c r="M297" i="4"/>
  <c r="E373" i="4"/>
  <c r="E381" i="4"/>
  <c r="E406" i="4"/>
  <c r="F802" i="3"/>
  <c r="V771" i="3"/>
  <c r="U771" i="3"/>
  <c r="T771" i="3"/>
  <c r="S771" i="3"/>
  <c r="V734" i="3"/>
  <c r="U734" i="3"/>
  <c r="T734" i="3"/>
  <c r="S734" i="3"/>
  <c r="V699" i="3"/>
  <c r="U699" i="3"/>
  <c r="T699" i="3"/>
  <c r="S699" i="3"/>
  <c r="V664" i="3"/>
  <c r="U664" i="3"/>
  <c r="T664" i="3"/>
  <c r="S664" i="3"/>
  <c r="V629" i="3"/>
  <c r="U629" i="3"/>
  <c r="T629" i="3"/>
  <c r="S629" i="3"/>
  <c r="E601" i="3"/>
  <c r="E600" i="3"/>
  <c r="E599" i="3"/>
  <c r="E598" i="3"/>
  <c r="E597" i="3"/>
  <c r="E438" i="3"/>
  <c r="E364" i="3"/>
  <c r="E346" i="3"/>
  <c r="M341" i="3"/>
  <c r="L340" i="3"/>
  <c r="E284" i="3"/>
  <c r="E261" i="3"/>
  <c r="E211" i="3"/>
  <c r="B187" i="3"/>
  <c r="A187" i="3"/>
  <c r="B182" i="3"/>
  <c r="A182" i="3"/>
  <c r="B177" i="3"/>
  <c r="A177" i="3"/>
  <c r="B172" i="3"/>
  <c r="A172" i="3"/>
  <c r="B167" i="3"/>
  <c r="A167" i="3"/>
  <c r="B161" i="3"/>
  <c r="A161" i="3"/>
  <c r="B156" i="3"/>
  <c r="A156" i="3"/>
  <c r="B151" i="3"/>
  <c r="A151" i="3"/>
  <c r="B146" i="3"/>
  <c r="A146" i="3"/>
  <c r="B145" i="3"/>
  <c r="A145" i="3"/>
  <c r="B140" i="3"/>
  <c r="A140" i="3"/>
  <c r="B135" i="3"/>
  <c r="A135" i="3"/>
  <c r="B134" i="3"/>
  <c r="A134" i="3"/>
  <c r="B128" i="3"/>
  <c r="A128" i="3"/>
  <c r="B127" i="3"/>
  <c r="A127" i="3"/>
  <c r="B122" i="3"/>
  <c r="A122" i="3"/>
  <c r="B121" i="3"/>
  <c r="A121" i="3"/>
  <c r="B115" i="3"/>
  <c r="A115" i="3"/>
  <c r="B110" i="3"/>
  <c r="A110" i="3"/>
  <c r="B109" i="3"/>
  <c r="A109" i="3"/>
  <c r="B104" i="3"/>
  <c r="A104" i="3"/>
  <c r="B99" i="3"/>
  <c r="A99" i="3"/>
  <c r="B94" i="3"/>
  <c r="A94" i="3"/>
  <c r="D48" i="3"/>
  <c r="D47" i="3"/>
  <c r="D46" i="3"/>
  <c r="D45" i="3"/>
  <c r="D44" i="3"/>
  <c r="D39" i="3"/>
  <c r="D38" i="3"/>
  <c r="D37" i="3"/>
  <c r="D36" i="3"/>
  <c r="D35" i="3"/>
  <c r="D34" i="3"/>
  <c r="D33" i="3"/>
  <c r="D32" i="3"/>
  <c r="D31" i="3"/>
  <c r="D30" i="3"/>
  <c r="D29" i="3"/>
  <c r="D28" i="3"/>
  <c r="D27" i="3"/>
  <c r="M503" i="2"/>
  <c r="L503" i="2"/>
  <c r="M489" i="2"/>
  <c r="M197" i="2" s="1"/>
  <c r="M198" i="2" s="1"/>
  <c r="M53" i="2" s="1"/>
  <c r="L489" i="2"/>
  <c r="L197" i="2" s="1"/>
  <c r="L198" i="2" s="1"/>
  <c r="L53" i="2" s="1"/>
  <c r="P415" i="2"/>
  <c r="P408" i="2"/>
  <c r="I407" i="2"/>
  <c r="E390" i="2"/>
  <c r="E387" i="2"/>
  <c r="M344" i="2"/>
  <c r="M345" i="2" s="1"/>
  <c r="M166" i="2" s="1"/>
  <c r="M167" i="2" s="1"/>
  <c r="M65" i="2" s="1"/>
  <c r="L344" i="2"/>
  <c r="L345" i="2" s="1"/>
  <c r="L166" i="2" s="1"/>
  <c r="L167" i="2" s="1"/>
  <c r="L65" i="2" s="1"/>
  <c r="M341" i="2"/>
  <c r="L341" i="2"/>
  <c r="M333" i="2"/>
  <c r="M336" i="2" s="1"/>
  <c r="M337" i="2" s="1"/>
  <c r="M161" i="2" s="1"/>
  <c r="M162" i="2" s="1"/>
  <c r="M64" i="2" s="1"/>
  <c r="L333" i="2"/>
  <c r="L127" i="2" s="1"/>
  <c r="L128" i="2" s="1"/>
  <c r="L42" i="2" s="1"/>
  <c r="E314" i="2"/>
  <c r="E296" i="2"/>
  <c r="E277" i="2"/>
  <c r="E255" i="2"/>
  <c r="E242" i="2"/>
  <c r="M221" i="2"/>
  <c r="L221" i="2"/>
  <c r="B213" i="2"/>
  <c r="A213" i="2"/>
  <c r="B208" i="2"/>
  <c r="A208" i="2"/>
  <c r="B207" i="2"/>
  <c r="A207" i="2"/>
  <c r="B202" i="2"/>
  <c r="A202" i="2"/>
  <c r="B197" i="2"/>
  <c r="A197" i="2"/>
  <c r="M192" i="2"/>
  <c r="M193" i="2" s="1"/>
  <c r="M52" i="2" s="1"/>
  <c r="L192" i="2"/>
  <c r="L193" i="2" s="1"/>
  <c r="L52" i="2" s="1"/>
  <c r="B192" i="2"/>
  <c r="A192" i="2"/>
  <c r="A187" i="2"/>
  <c r="A181" i="2"/>
  <c r="A176" i="2"/>
  <c r="A171" i="2"/>
  <c r="B166" i="2"/>
  <c r="A166" i="2"/>
  <c r="B161" i="2"/>
  <c r="A161" i="2"/>
  <c r="A156" i="2"/>
  <c r="B155" i="2"/>
  <c r="A155" i="2"/>
  <c r="M151" i="2"/>
  <c r="M45" i="2" s="1"/>
  <c r="L151" i="2"/>
  <c r="L45" i="2" s="1"/>
  <c r="B150" i="2"/>
  <c r="A150" i="2"/>
  <c r="B145" i="2"/>
  <c r="B137" i="2"/>
  <c r="A137" i="2"/>
  <c r="M132" i="2"/>
  <c r="M133" i="2" s="1"/>
  <c r="M43" i="2" s="1"/>
  <c r="L132" i="2"/>
  <c r="L133" i="2" s="1"/>
  <c r="L43" i="2" s="1"/>
  <c r="B132" i="2"/>
  <c r="A132" i="2"/>
  <c r="B127" i="2"/>
  <c r="A127" i="2"/>
  <c r="M123" i="2"/>
  <c r="M40" i="2" s="1"/>
  <c r="L123" i="2"/>
  <c r="L40" i="2" s="1"/>
  <c r="B122" i="2"/>
  <c r="A122" i="2"/>
  <c r="B117" i="2"/>
  <c r="B112" i="2"/>
  <c r="A112" i="2"/>
  <c r="B107" i="2"/>
  <c r="A107" i="2"/>
  <c r="B102" i="2"/>
  <c r="A102" i="2"/>
  <c r="B101" i="2"/>
  <c r="A101" i="2"/>
  <c r="B96" i="2"/>
  <c r="A96" i="2"/>
  <c r="B91" i="2"/>
  <c r="A91" i="2"/>
  <c r="B86" i="2"/>
  <c r="A86" i="2"/>
  <c r="B81" i="2"/>
  <c r="A81" i="2"/>
  <c r="B80" i="2"/>
  <c r="A80" i="2"/>
  <c r="M77" i="2"/>
  <c r="L77" i="2"/>
  <c r="D65" i="2"/>
  <c r="D64" i="2"/>
  <c r="M62" i="2"/>
  <c r="L62" i="2"/>
  <c r="D47" i="2"/>
  <c r="D45" i="2"/>
  <c r="D44" i="2"/>
  <c r="D43" i="2"/>
  <c r="D42" i="2"/>
  <c r="D40" i="2"/>
  <c r="D38" i="2"/>
  <c r="D36" i="2"/>
  <c r="O35" i="9" l="1"/>
  <c r="I10" i="70"/>
  <c r="O44" i="10"/>
  <c r="I11" i="70"/>
  <c r="Y73" i="70"/>
  <c r="M73" i="70"/>
  <c r="O73" i="70"/>
  <c r="Z73" i="70"/>
  <c r="L346" i="3"/>
  <c r="L145" i="3" s="1"/>
  <c r="M346" i="3"/>
  <c r="M145" i="3" s="1"/>
  <c r="K73" i="72"/>
  <c r="P73" i="72" s="1"/>
  <c r="L73" i="72"/>
  <c r="Q73" i="72" s="1"/>
  <c r="N13" i="72"/>
  <c r="S13" i="72" s="1"/>
  <c r="M13" i="72"/>
  <c r="R13" i="72" s="1"/>
  <c r="M73" i="72"/>
  <c r="R73" i="72" s="1"/>
  <c r="N73" i="72"/>
  <c r="S73" i="72" s="1"/>
  <c r="L432" i="6"/>
  <c r="N432" i="6"/>
  <c r="M127" i="2"/>
  <c r="M128" i="2" s="1"/>
  <c r="M42" i="2" s="1"/>
  <c r="M68" i="2"/>
  <c r="G68" i="70" s="1"/>
  <c r="L68" i="72"/>
  <c r="L336" i="2"/>
  <c r="L337" i="2" s="1"/>
  <c r="L161" i="2" s="1"/>
  <c r="L162" i="2" s="1"/>
  <c r="L64" i="2" s="1"/>
  <c r="L68" i="2" s="1"/>
  <c r="I253" i="6"/>
  <c r="I257" i="6" s="1"/>
  <c r="I261" i="6" s="1"/>
  <c r="I265" i="6" s="1"/>
  <c r="M422" i="6"/>
  <c r="M432" i="6"/>
  <c r="L409" i="6"/>
  <c r="M409" i="6" s="1"/>
  <c r="N409" i="6" s="1"/>
  <c r="O409" i="6" s="1"/>
  <c r="L496" i="5"/>
  <c r="M496" i="5" s="1"/>
  <c r="N496" i="5" s="1"/>
  <c r="O496" i="5" s="1"/>
  <c r="M386" i="4"/>
  <c r="L139" i="4"/>
  <c r="M351" i="4"/>
  <c r="N351" i="4" s="1"/>
  <c r="O351" i="4" s="1"/>
  <c r="L140" i="4"/>
  <c r="M140" i="4" s="1"/>
  <c r="N140" i="4" s="1"/>
  <c r="O140" i="4" s="1"/>
  <c r="M350" i="4"/>
  <c r="N350" i="4" s="1"/>
  <c r="O350" i="4" s="1"/>
  <c r="L379" i="2"/>
  <c r="M379" i="2" s="1"/>
  <c r="N379" i="2" s="1"/>
  <c r="O379" i="2" s="1"/>
  <c r="L152" i="4"/>
  <c r="M152" i="4" s="1"/>
  <c r="N152" i="4" s="1"/>
  <c r="O152" i="4" s="1"/>
  <c r="L174" i="4"/>
  <c r="M174" i="4" s="1"/>
  <c r="N174" i="4" s="1"/>
  <c r="O174" i="4" s="1"/>
  <c r="M368" i="4"/>
  <c r="N368" i="4" s="1"/>
  <c r="O368" i="4" s="1"/>
  <c r="M362" i="4"/>
  <c r="N362" i="4" s="1"/>
  <c r="O362" i="4" s="1"/>
  <c r="M358" i="4"/>
  <c r="N358" i="4" s="1"/>
  <c r="O358" i="4" s="1"/>
  <c r="L405" i="4"/>
  <c r="L406" i="4" s="1"/>
  <c r="L232" i="4" s="1"/>
  <c r="L278" i="4"/>
  <c r="L168" i="4"/>
  <c r="M168" i="4" s="1"/>
  <c r="N168" i="4" s="1"/>
  <c r="O168" i="4" s="1"/>
  <c r="L96" i="4"/>
  <c r="M96" i="4" s="1"/>
  <c r="N96" i="4" s="1"/>
  <c r="O96" i="4" s="1"/>
  <c r="L77" i="4"/>
  <c r="M77" i="4" s="1"/>
  <c r="N77" i="4" s="1"/>
  <c r="O77" i="4" s="1"/>
  <c r="L374" i="2"/>
  <c r="M374" i="2" s="1"/>
  <c r="N374" i="2" s="1"/>
  <c r="O374" i="2" s="1"/>
  <c r="L121" i="4"/>
  <c r="M121" i="4" s="1"/>
  <c r="N121" i="4" s="1"/>
  <c r="O121" i="4" s="1"/>
  <c r="L151" i="4"/>
  <c r="L119" i="4"/>
  <c r="M119" i="4" s="1"/>
  <c r="N119" i="4" s="1"/>
  <c r="O119" i="4" s="1"/>
  <c r="L160" i="4"/>
  <c r="M160" i="4" s="1"/>
  <c r="N160" i="4" s="1"/>
  <c r="O160" i="4" s="1"/>
  <c r="L823" i="6"/>
  <c r="M823" i="6" s="1"/>
  <c r="N823" i="6" s="1"/>
  <c r="O823" i="6" s="1"/>
  <c r="L146" i="4"/>
  <c r="M146" i="4" s="1"/>
  <c r="N146" i="4" s="1"/>
  <c r="O146" i="4" s="1"/>
  <c r="L110" i="4"/>
  <c r="M110" i="4" s="1"/>
  <c r="N110" i="4" s="1"/>
  <c r="O110" i="4" s="1"/>
  <c r="L84" i="4"/>
  <c r="L784" i="6"/>
  <c r="M784" i="6" s="1"/>
  <c r="N784" i="6" s="1"/>
  <c r="O784" i="6" s="1"/>
  <c r="L1046" i="6"/>
  <c r="M1046" i="6" s="1"/>
  <c r="N1046" i="6" s="1"/>
  <c r="O1046" i="6" s="1"/>
  <c r="L153" i="4"/>
  <c r="M153" i="4" s="1"/>
  <c r="N153" i="4" s="1"/>
  <c r="O153" i="4" s="1"/>
  <c r="L305" i="4"/>
  <c r="L306" i="4" s="1"/>
  <c r="L114" i="4" s="1"/>
  <c r="L448" i="5"/>
  <c r="M448" i="5" s="1"/>
  <c r="L285" i="4"/>
  <c r="M285" i="4" s="1"/>
  <c r="N285" i="4" s="1"/>
  <c r="O285" i="4" s="1"/>
  <c r="L481" i="5"/>
  <c r="M481" i="5" s="1"/>
  <c r="N481" i="5" s="1"/>
  <c r="O481" i="5" s="1"/>
  <c r="L492" i="2"/>
  <c r="L499" i="2" s="1"/>
  <c r="L75" i="4"/>
  <c r="M75" i="4" s="1"/>
  <c r="N75" i="4" s="1"/>
  <c r="O75" i="4" s="1"/>
  <c r="L802" i="6"/>
  <c r="K315" i="7"/>
  <c r="K340" i="7"/>
  <c r="L334" i="5"/>
  <c r="M334" i="5" s="1"/>
  <c r="N334" i="5" s="1"/>
  <c r="O334" i="5" s="1"/>
  <c r="L464" i="5"/>
  <c r="M464" i="5" s="1"/>
  <c r="N464" i="5" s="1"/>
  <c r="O464" i="5" s="1"/>
  <c r="L533" i="5"/>
  <c r="M533" i="5" s="1"/>
  <c r="N533" i="5" s="1"/>
  <c r="O533" i="5" s="1"/>
  <c r="L322" i="6"/>
  <c r="M322" i="6" s="1"/>
  <c r="N322" i="6" s="1"/>
  <c r="O322" i="6" s="1"/>
  <c r="L360" i="6"/>
  <c r="M360" i="6" s="1"/>
  <c r="N360" i="6" s="1"/>
  <c r="O360" i="6" s="1"/>
  <c r="L473" i="5"/>
  <c r="M473" i="5" s="1"/>
  <c r="N473" i="5" s="1"/>
  <c r="O473" i="5" s="1"/>
  <c r="L328" i="6"/>
  <c r="M328" i="6" s="1"/>
  <c r="N328" i="6" s="1"/>
  <c r="O328" i="6" s="1"/>
  <c r="L363" i="6"/>
  <c r="M363" i="6" s="1"/>
  <c r="N363" i="6" s="1"/>
  <c r="O363" i="6" s="1"/>
  <c r="L479" i="5"/>
  <c r="M479" i="5" s="1"/>
  <c r="N479" i="5" s="1"/>
  <c r="O479" i="5" s="1"/>
  <c r="L252" i="5"/>
  <c r="L470" i="2"/>
  <c r="M470" i="2" s="1"/>
  <c r="N470" i="2" s="1"/>
  <c r="O470" i="2" s="1"/>
  <c r="L435" i="5"/>
  <c r="M435" i="5" s="1"/>
  <c r="N435" i="5" s="1"/>
  <c r="O435" i="5" s="1"/>
  <c r="O436" i="5" s="1"/>
  <c r="L471" i="2"/>
  <c r="M471" i="2" s="1"/>
  <c r="N471" i="2" s="1"/>
  <c r="O471" i="2" s="1"/>
  <c r="L436" i="3"/>
  <c r="M436" i="3" s="1"/>
  <c r="N436" i="3" s="1"/>
  <c r="O436" i="3" s="1"/>
  <c r="L373" i="5"/>
  <c r="M373" i="5" s="1"/>
  <c r="N373" i="5" s="1"/>
  <c r="O373" i="5" s="1"/>
  <c r="L494" i="5"/>
  <c r="M494" i="5" s="1"/>
  <c r="N494" i="5" s="1"/>
  <c r="O494" i="5" s="1"/>
  <c r="L485" i="6"/>
  <c r="L362" i="6"/>
  <c r="M362" i="6" s="1"/>
  <c r="N362" i="6" s="1"/>
  <c r="O362" i="6" s="1"/>
  <c r="L497" i="5"/>
  <c r="M497" i="5" s="1"/>
  <c r="N497" i="5" s="1"/>
  <c r="O497" i="5" s="1"/>
  <c r="K323" i="7"/>
  <c r="L467" i="5"/>
  <c r="M467" i="5" s="1"/>
  <c r="N467" i="5" s="1"/>
  <c r="O467" i="5" s="1"/>
  <c r="L477" i="5"/>
  <c r="M477" i="5" s="1"/>
  <c r="N477" i="5" s="1"/>
  <c r="O477" i="5" s="1"/>
  <c r="L312" i="5"/>
  <c r="M312" i="5" s="1"/>
  <c r="N312" i="5" s="1"/>
  <c r="O312" i="5" s="1"/>
  <c r="L460" i="5"/>
  <c r="M460" i="5" s="1"/>
  <c r="N460" i="5" s="1"/>
  <c r="O460" i="5" s="1"/>
  <c r="L461" i="5"/>
  <c r="M461" i="5" s="1"/>
  <c r="N461" i="5" s="1"/>
  <c r="O461" i="5" s="1"/>
  <c r="K337" i="7"/>
  <c r="L327" i="6"/>
  <c r="M327" i="6" s="1"/>
  <c r="N327" i="6" s="1"/>
  <c r="O327" i="6" s="1"/>
  <c r="L468" i="2"/>
  <c r="M468" i="2" s="1"/>
  <c r="N468" i="2" s="1"/>
  <c r="O468" i="2" s="1"/>
  <c r="L350" i="2"/>
  <c r="M350" i="2" s="1"/>
  <c r="N350" i="2" s="1"/>
  <c r="O350" i="2" s="1"/>
  <c r="L463" i="5"/>
  <c r="M463" i="5" s="1"/>
  <c r="N463" i="5" s="1"/>
  <c r="O463" i="5" s="1"/>
  <c r="L309" i="3"/>
  <c r="M309" i="3" s="1"/>
  <c r="N309" i="3" s="1"/>
  <c r="O309" i="3" s="1"/>
  <c r="L287" i="4"/>
  <c r="M287" i="4" s="1"/>
  <c r="N287" i="4" s="1"/>
  <c r="O287" i="4" s="1"/>
  <c r="L85" i="4"/>
  <c r="M85" i="4" s="1"/>
  <c r="N85" i="4" s="1"/>
  <c r="O85" i="4" s="1"/>
  <c r="L76" i="4"/>
  <c r="M76" i="4" s="1"/>
  <c r="N76" i="4" s="1"/>
  <c r="O76" i="4" s="1"/>
  <c r="L827" i="6"/>
  <c r="M827" i="6" s="1"/>
  <c r="N827" i="6" s="1"/>
  <c r="O827" i="6" s="1"/>
  <c r="L507" i="2"/>
  <c r="M507" i="2" s="1"/>
  <c r="N507" i="2" s="1"/>
  <c r="O507" i="2" s="1"/>
  <c r="L363" i="4"/>
  <c r="M363" i="4" s="1"/>
  <c r="N363" i="4" s="1"/>
  <c r="O363" i="4" s="1"/>
  <c r="L286" i="4"/>
  <c r="L109" i="4"/>
  <c r="M109" i="4" s="1"/>
  <c r="N109" i="4" s="1"/>
  <c r="O109" i="4" s="1"/>
  <c r="L273" i="6"/>
  <c r="M273" i="6" s="1"/>
  <c r="N273" i="6" s="1"/>
  <c r="O273" i="6" s="1"/>
  <c r="L356" i="4"/>
  <c r="M356" i="4" s="1"/>
  <c r="N356" i="4" s="1"/>
  <c r="O356" i="4" s="1"/>
  <c r="L382" i="2"/>
  <c r="M382" i="2" s="1"/>
  <c r="N382" i="2" s="1"/>
  <c r="O382" i="2" s="1"/>
  <c r="L359" i="3"/>
  <c r="M359" i="3" s="1"/>
  <c r="N359" i="3" s="1"/>
  <c r="O359" i="3" s="1"/>
  <c r="M355" i="4"/>
  <c r="N355" i="4" s="1"/>
  <c r="O355" i="4" s="1"/>
  <c r="L466" i="5"/>
  <c r="M466" i="5" s="1"/>
  <c r="N466" i="5" s="1"/>
  <c r="O466" i="5" s="1"/>
  <c r="L507" i="6"/>
  <c r="M507" i="6" s="1"/>
  <c r="N507" i="6" s="1"/>
  <c r="O507" i="6" s="1"/>
  <c r="K354" i="7"/>
  <c r="L354" i="7" s="1"/>
  <c r="M354" i="7" s="1"/>
  <c r="N354" i="7" s="1"/>
  <c r="O354" i="7" s="1"/>
  <c r="M347" i="4"/>
  <c r="N347" i="4" s="1"/>
  <c r="O347" i="4" s="1"/>
  <c r="L385" i="2"/>
  <c r="M385" i="2" s="1"/>
  <c r="N385" i="2" s="1"/>
  <c r="O385" i="2" s="1"/>
  <c r="L425" i="2"/>
  <c r="L236" i="3"/>
  <c r="M236" i="3" s="1"/>
  <c r="N236" i="3" s="1"/>
  <c r="O236" i="3" s="1"/>
  <c r="L320" i="4"/>
  <c r="M320" i="4" s="1"/>
  <c r="N320" i="4" s="1"/>
  <c r="O320" i="4" s="1"/>
  <c r="L113" i="4"/>
  <c r="M113" i="4" s="1"/>
  <c r="N113" i="4" s="1"/>
  <c r="O113" i="4" s="1"/>
  <c r="K363" i="7"/>
  <c r="L363" i="7" s="1"/>
  <c r="M363" i="7" s="1"/>
  <c r="N363" i="7" s="1"/>
  <c r="O363" i="7" s="1"/>
  <c r="M361" i="4"/>
  <c r="N361" i="4" s="1"/>
  <c r="O361" i="4" s="1"/>
  <c r="L253" i="2"/>
  <c r="M253" i="2" s="1"/>
  <c r="N253" i="2" s="1"/>
  <c r="O253" i="2" s="1"/>
  <c r="L372" i="4"/>
  <c r="M372" i="4" s="1"/>
  <c r="N372" i="4" s="1"/>
  <c r="O372" i="4" s="1"/>
  <c r="M354" i="4"/>
  <c r="N354" i="4" s="1"/>
  <c r="O354" i="4" s="1"/>
  <c r="L134" i="4"/>
  <c r="M134" i="4" s="1"/>
  <c r="N134" i="4" s="1"/>
  <c r="O134" i="4" s="1"/>
  <c r="L112" i="4"/>
  <c r="M112" i="4" s="1"/>
  <c r="N112" i="4" s="1"/>
  <c r="O112" i="4" s="1"/>
  <c r="L98" i="4"/>
  <c r="M98" i="4" s="1"/>
  <c r="N98" i="4" s="1"/>
  <c r="O98" i="4" s="1"/>
  <c r="L425" i="5"/>
  <c r="M425" i="5" s="1"/>
  <c r="N425" i="5" s="1"/>
  <c r="O425" i="5" s="1"/>
  <c r="L469" i="5"/>
  <c r="M469" i="5" s="1"/>
  <c r="N469" i="5" s="1"/>
  <c r="O469" i="5" s="1"/>
  <c r="L508" i="5"/>
  <c r="K368" i="7"/>
  <c r="L360" i="4"/>
  <c r="M360" i="4" s="1"/>
  <c r="N360" i="4" s="1"/>
  <c r="O360" i="4" s="1"/>
  <c r="M348" i="4"/>
  <c r="N348" i="4" s="1"/>
  <c r="O348" i="4" s="1"/>
  <c r="L122" i="4"/>
  <c r="M122" i="4" s="1"/>
  <c r="N122" i="4" s="1"/>
  <c r="O122" i="4" s="1"/>
  <c r="L470" i="5"/>
  <c r="M470" i="5" s="1"/>
  <c r="N470" i="5" s="1"/>
  <c r="O470" i="5" s="1"/>
  <c r="L312" i="6"/>
  <c r="M312" i="6" s="1"/>
  <c r="N312" i="6" s="1"/>
  <c r="O312" i="6" s="1"/>
  <c r="L408" i="6"/>
  <c r="M408" i="6" s="1"/>
  <c r="N408" i="6" s="1"/>
  <c r="O408" i="6" s="1"/>
  <c r="L544" i="6"/>
  <c r="M544" i="6" s="1"/>
  <c r="N544" i="6" s="1"/>
  <c r="O544" i="6" s="1"/>
  <c r="L850" i="6"/>
  <c r="L887" i="6" s="1"/>
  <c r="L926" i="6" s="1"/>
  <c r="K371" i="7"/>
  <c r="L371" i="7" s="1"/>
  <c r="M371" i="7" s="1"/>
  <c r="N371" i="7" s="1"/>
  <c r="O371" i="7" s="1"/>
  <c r="L275" i="2"/>
  <c r="M275" i="2" s="1"/>
  <c r="N275" i="2" s="1"/>
  <c r="O275" i="2" s="1"/>
  <c r="L349" i="2"/>
  <c r="M349" i="2" s="1"/>
  <c r="N349" i="2" s="1"/>
  <c r="O349" i="2" s="1"/>
  <c r="M371" i="4"/>
  <c r="N371" i="4" s="1"/>
  <c r="O371" i="4" s="1"/>
  <c r="M359" i="4"/>
  <c r="N359" i="4" s="1"/>
  <c r="O359" i="4" s="1"/>
  <c r="M352" i="4"/>
  <c r="N352" i="4" s="1"/>
  <c r="O352" i="4" s="1"/>
  <c r="L288" i="4"/>
  <c r="M288" i="4" s="1"/>
  <c r="N288" i="4" s="1"/>
  <c r="O288" i="4" s="1"/>
  <c r="L162" i="4"/>
  <c r="M162" i="4" s="1"/>
  <c r="N162" i="4" s="1"/>
  <c r="O162" i="4" s="1"/>
  <c r="L234" i="5"/>
  <c r="L282" i="5"/>
  <c r="M282" i="5" s="1"/>
  <c r="N282" i="5" s="1"/>
  <c r="O282" i="5" s="1"/>
  <c r="L374" i="5"/>
  <c r="M374" i="5" s="1"/>
  <c r="N374" i="5" s="1"/>
  <c r="O374" i="5" s="1"/>
  <c r="L432" i="5"/>
  <c r="M432" i="5" s="1"/>
  <c r="N432" i="5" s="1"/>
  <c r="O432" i="5" s="1"/>
  <c r="L472" i="5"/>
  <c r="M472" i="5" s="1"/>
  <c r="N472" i="5" s="1"/>
  <c r="O472" i="5" s="1"/>
  <c r="L313" i="6"/>
  <c r="M313" i="6" s="1"/>
  <c r="N313" i="6" s="1"/>
  <c r="O313" i="6" s="1"/>
  <c r="I565" i="6"/>
  <c r="L671" i="6"/>
  <c r="M671" i="6" s="1"/>
  <c r="N671" i="6" s="1"/>
  <c r="O671" i="6" s="1"/>
  <c r="K309" i="7"/>
  <c r="L309" i="7" s="1"/>
  <c r="I283" i="7"/>
  <c r="K293" i="7"/>
  <c r="K325" i="7"/>
  <c r="L325" i="7" s="1"/>
  <c r="M325" i="7" s="1"/>
  <c r="N325" i="7" s="1"/>
  <c r="O325" i="7" s="1"/>
  <c r="K339" i="7"/>
  <c r="L339" i="7" s="1"/>
  <c r="M339" i="7" s="1"/>
  <c r="N339" i="7" s="1"/>
  <c r="O339" i="7" s="1"/>
  <c r="K357" i="7"/>
  <c r="L357" i="7" s="1"/>
  <c r="M357" i="7" s="1"/>
  <c r="N357" i="7" s="1"/>
  <c r="O357" i="7" s="1"/>
  <c r="K362" i="7"/>
  <c r="L362" i="7" s="1"/>
  <c r="M362" i="7" s="1"/>
  <c r="N362" i="7" s="1"/>
  <c r="O362" i="7" s="1"/>
  <c r="K370" i="7"/>
  <c r="L370" i="7" s="1"/>
  <c r="M370" i="7" s="1"/>
  <c r="N370" i="7" s="1"/>
  <c r="O370" i="7" s="1"/>
  <c r="K310" i="7"/>
  <c r="L310" i="7" s="1"/>
  <c r="M310" i="7" s="1"/>
  <c r="N310" i="7" s="1"/>
  <c r="O310" i="7" s="1"/>
  <c r="K320" i="7"/>
  <c r="L320" i="7" s="1"/>
  <c r="M320" i="7" s="1"/>
  <c r="N320" i="7" s="1"/>
  <c r="O320" i="7" s="1"/>
  <c r="K324" i="7"/>
  <c r="L324" i="7" s="1"/>
  <c r="M324" i="7" s="1"/>
  <c r="N324" i="7" s="1"/>
  <c r="O324" i="7" s="1"/>
  <c r="K356" i="7"/>
  <c r="L356" i="7" s="1"/>
  <c r="M356" i="7" s="1"/>
  <c r="N356" i="7" s="1"/>
  <c r="O356" i="7" s="1"/>
  <c r="K364" i="7"/>
  <c r="L364" i="7" s="1"/>
  <c r="M364" i="7" s="1"/>
  <c r="N364" i="7" s="1"/>
  <c r="O364" i="7" s="1"/>
  <c r="K369" i="7"/>
  <c r="L369" i="7" s="1"/>
  <c r="M369" i="7" s="1"/>
  <c r="N369" i="7" s="1"/>
  <c r="O369" i="7" s="1"/>
  <c r="L504" i="6"/>
  <c r="M504" i="6" s="1"/>
  <c r="N504" i="6" s="1"/>
  <c r="O504" i="6" s="1"/>
  <c r="L847" i="6"/>
  <c r="L431" i="6"/>
  <c r="L606" i="6"/>
  <c r="M606" i="6" s="1"/>
  <c r="N606" i="6" s="1"/>
  <c r="O606" i="6" s="1"/>
  <c r="L578" i="6"/>
  <c r="M578" i="6" s="1"/>
  <c r="N578" i="6" s="1"/>
  <c r="O578" i="6" s="1"/>
  <c r="L545" i="6"/>
  <c r="M545" i="6" s="1"/>
  <c r="N545" i="6" s="1"/>
  <c r="O545" i="6" s="1"/>
  <c r="L502" i="6"/>
  <c r="M502" i="6" s="1"/>
  <c r="N502" i="6" s="1"/>
  <c r="O502" i="6" s="1"/>
  <c r="L505" i="6"/>
  <c r="M505" i="6" s="1"/>
  <c r="N505" i="6" s="1"/>
  <c r="O505" i="6" s="1"/>
  <c r="L407" i="6"/>
  <c r="M407" i="6" s="1"/>
  <c r="N407" i="6" s="1"/>
  <c r="O407" i="6" s="1"/>
  <c r="L358" i="6"/>
  <c r="M358" i="6" s="1"/>
  <c r="N358" i="6" s="1"/>
  <c r="O358" i="6" s="1"/>
  <c r="L323" i="6"/>
  <c r="M323" i="6" s="1"/>
  <c r="N323" i="6" s="1"/>
  <c r="O323" i="6" s="1"/>
  <c r="L361" i="6"/>
  <c r="M361" i="6" s="1"/>
  <c r="N361" i="6" s="1"/>
  <c r="O361" i="6" s="1"/>
  <c r="L783" i="6"/>
  <c r="M783" i="6" s="1"/>
  <c r="N783" i="6" s="1"/>
  <c r="O783" i="6" s="1"/>
  <c r="L826" i="6"/>
  <c r="M826" i="6" s="1"/>
  <c r="N826" i="6" s="1"/>
  <c r="O826" i="6" s="1"/>
  <c r="L282" i="6"/>
  <c r="M282" i="6" s="1"/>
  <c r="N282" i="6" s="1"/>
  <c r="O282" i="6" s="1"/>
  <c r="L376" i="6"/>
  <c r="M376" i="6" s="1"/>
  <c r="L492" i="6"/>
  <c r="M492" i="6" s="1"/>
  <c r="N492" i="6" s="1"/>
  <c r="O492" i="6" s="1"/>
  <c r="L821" i="6"/>
  <c r="M821" i="6" s="1"/>
  <c r="N821" i="6" s="1"/>
  <c r="O821" i="6" s="1"/>
  <c r="I567" i="6"/>
  <c r="L469" i="6"/>
  <c r="M469" i="6" s="1"/>
  <c r="N469" i="6" s="1"/>
  <c r="O469" i="6" s="1"/>
  <c r="L365" i="6"/>
  <c r="M365" i="6" s="1"/>
  <c r="N365" i="6" s="1"/>
  <c r="O365" i="6" s="1"/>
  <c r="L503" i="6"/>
  <c r="M503" i="6" s="1"/>
  <c r="N503" i="6" s="1"/>
  <c r="O503" i="6" s="1"/>
  <c r="L324" i="6"/>
  <c r="M324" i="6" s="1"/>
  <c r="N324" i="6" s="1"/>
  <c r="O324" i="6" s="1"/>
  <c r="I564" i="6"/>
  <c r="L629" i="6"/>
  <c r="M629" i="6" s="1"/>
  <c r="N629" i="6" s="1"/>
  <c r="O629" i="6" s="1"/>
  <c r="L829" i="6"/>
  <c r="M829" i="6" s="1"/>
  <c r="N829" i="6" s="1"/>
  <c r="O829" i="6" s="1"/>
  <c r="L825" i="6"/>
  <c r="M825" i="6" s="1"/>
  <c r="N825" i="6" s="1"/>
  <c r="O825" i="6" s="1"/>
  <c r="L805" i="6"/>
  <c r="M805" i="6" s="1"/>
  <c r="N805" i="6" s="1"/>
  <c r="O805" i="6" s="1"/>
  <c r="L745" i="6"/>
  <c r="M745" i="6" s="1"/>
  <c r="N745" i="6" s="1"/>
  <c r="O745" i="6" s="1"/>
  <c r="L786" i="6"/>
  <c r="M786" i="6" s="1"/>
  <c r="N786" i="6" s="1"/>
  <c r="O786" i="6" s="1"/>
  <c r="L828" i="6"/>
  <c r="M828" i="6" s="1"/>
  <c r="N828" i="6" s="1"/>
  <c r="O828" i="6" s="1"/>
  <c r="L824" i="6"/>
  <c r="M824" i="6" s="1"/>
  <c r="N824" i="6" s="1"/>
  <c r="O824" i="6" s="1"/>
  <c r="L804" i="6"/>
  <c r="M804" i="6" s="1"/>
  <c r="N804" i="6" s="1"/>
  <c r="O804" i="6" s="1"/>
  <c r="L744" i="6"/>
  <c r="M744" i="6" s="1"/>
  <c r="N744" i="6" s="1"/>
  <c r="O744" i="6" s="1"/>
  <c r="L812" i="6"/>
  <c r="M812" i="6" s="1"/>
  <c r="N812" i="6" s="1"/>
  <c r="O812" i="6" s="1"/>
  <c r="L803" i="6"/>
  <c r="M803" i="6" s="1"/>
  <c r="N803" i="6" s="1"/>
  <c r="O803" i="6" s="1"/>
  <c r="L785" i="6"/>
  <c r="M785" i="6" s="1"/>
  <c r="N785" i="6" s="1"/>
  <c r="O785" i="6" s="1"/>
  <c r="L807" i="6"/>
  <c r="M807" i="6" s="1"/>
  <c r="N807" i="6" s="1"/>
  <c r="O807" i="6" s="1"/>
  <c r="L276" i="6"/>
  <c r="M276" i="6" s="1"/>
  <c r="N276" i="6" s="1"/>
  <c r="O276" i="6" s="1"/>
  <c r="L272" i="6"/>
  <c r="M272" i="6" s="1"/>
  <c r="N272" i="6" s="1"/>
  <c r="O272" i="6" s="1"/>
  <c r="L806" i="6"/>
  <c r="M806" i="6" s="1"/>
  <c r="N806" i="6" s="1"/>
  <c r="O806" i="6" s="1"/>
  <c r="L275" i="6"/>
  <c r="M275" i="6" s="1"/>
  <c r="N275" i="6" s="1"/>
  <c r="O275" i="6" s="1"/>
  <c r="L270" i="6"/>
  <c r="M270" i="6" s="1"/>
  <c r="N270" i="6" s="1"/>
  <c r="O270" i="6" s="1"/>
  <c r="L274" i="6"/>
  <c r="M274" i="6" s="1"/>
  <c r="N274" i="6" s="1"/>
  <c r="O274" i="6" s="1"/>
  <c r="L364" i="6"/>
  <c r="M364" i="6" s="1"/>
  <c r="N364" i="6" s="1"/>
  <c r="O364" i="6" s="1"/>
  <c r="L471" i="6"/>
  <c r="M471" i="6" s="1"/>
  <c r="N471" i="6" s="1"/>
  <c r="O471" i="6" s="1"/>
  <c r="I566" i="6"/>
  <c r="L822" i="6"/>
  <c r="M822" i="6" s="1"/>
  <c r="N822" i="6" s="1"/>
  <c r="O822" i="6" s="1"/>
  <c r="L326" i="6"/>
  <c r="M326" i="6" s="1"/>
  <c r="N326" i="6" s="1"/>
  <c r="O326" i="6" s="1"/>
  <c r="L359" i="6"/>
  <c r="M359" i="6" s="1"/>
  <c r="N359" i="6" s="1"/>
  <c r="O359" i="6" s="1"/>
  <c r="L336" i="5"/>
  <c r="M336" i="5" s="1"/>
  <c r="N336" i="5" s="1"/>
  <c r="O336" i="5" s="1"/>
  <c r="L492" i="5"/>
  <c r="M492" i="5" s="1"/>
  <c r="N492" i="5" s="1"/>
  <c r="O492" i="5" s="1"/>
  <c r="L495" i="5"/>
  <c r="M495" i="5" s="1"/>
  <c r="N495" i="5" s="1"/>
  <c r="O495" i="5" s="1"/>
  <c r="L144" i="5"/>
  <c r="M144" i="5" s="1"/>
  <c r="N144" i="5" s="1"/>
  <c r="O144" i="5" s="1"/>
  <c r="L426" i="5"/>
  <c r="M426" i="5" s="1"/>
  <c r="N426" i="5" s="1"/>
  <c r="O426" i="5" s="1"/>
  <c r="L462" i="5"/>
  <c r="M462" i="5" s="1"/>
  <c r="N462" i="5" s="1"/>
  <c r="O462" i="5" s="1"/>
  <c r="L465" i="5"/>
  <c r="M465" i="5" s="1"/>
  <c r="N465" i="5" s="1"/>
  <c r="O465" i="5" s="1"/>
  <c r="L468" i="5"/>
  <c r="M468" i="5" s="1"/>
  <c r="N468" i="5" s="1"/>
  <c r="O468" i="5" s="1"/>
  <c r="L471" i="5"/>
  <c r="M471" i="5" s="1"/>
  <c r="N471" i="5" s="1"/>
  <c r="O471" i="5" s="1"/>
  <c r="L476" i="5"/>
  <c r="M476" i="5" s="1"/>
  <c r="N476" i="5" s="1"/>
  <c r="O476" i="5" s="1"/>
  <c r="L480" i="5"/>
  <c r="M480" i="5" s="1"/>
  <c r="N480" i="5" s="1"/>
  <c r="O480" i="5" s="1"/>
  <c r="L245" i="5"/>
  <c r="M245" i="5" s="1"/>
  <c r="N245" i="5" s="1"/>
  <c r="O245" i="5" s="1"/>
  <c r="L490" i="5"/>
  <c r="M490" i="5" s="1"/>
  <c r="N490" i="5" s="1"/>
  <c r="O490" i="5" s="1"/>
  <c r="L493" i="5"/>
  <c r="M493" i="5" s="1"/>
  <c r="N493" i="5" s="1"/>
  <c r="O493" i="5" s="1"/>
  <c r="L97" i="4"/>
  <c r="L79" i="4"/>
  <c r="M79" i="4" s="1"/>
  <c r="N79" i="4" s="1"/>
  <c r="O79" i="4" s="1"/>
  <c r="M357" i="4"/>
  <c r="N357" i="4" s="1"/>
  <c r="O357" i="4" s="1"/>
  <c r="M353" i="4"/>
  <c r="N353" i="4" s="1"/>
  <c r="O353" i="4" s="1"/>
  <c r="L308" i="3"/>
  <c r="M308" i="3" s="1"/>
  <c r="N308" i="3" s="1"/>
  <c r="O308" i="3" s="1"/>
  <c r="L305" i="3"/>
  <c r="M305" i="3" s="1"/>
  <c r="N305" i="3" s="1"/>
  <c r="O305" i="3" s="1"/>
  <c r="L577" i="3"/>
  <c r="M577" i="3" s="1"/>
  <c r="N577" i="3" s="1"/>
  <c r="O577" i="3" s="1"/>
  <c r="L573" i="3"/>
  <c r="M573" i="3" s="1"/>
  <c r="N573" i="3" s="1"/>
  <c r="O573" i="3" s="1"/>
  <c r="L497" i="3"/>
  <c r="M497" i="3" s="1"/>
  <c r="N497" i="3" s="1"/>
  <c r="O497" i="3" s="1"/>
  <c r="L461" i="3"/>
  <c r="M461" i="3" s="1"/>
  <c r="N461" i="3" s="1"/>
  <c r="O461" i="3" s="1"/>
  <c r="L303" i="3"/>
  <c r="M303" i="3" s="1"/>
  <c r="N303" i="3" s="1"/>
  <c r="O303" i="3" s="1"/>
  <c r="L572" i="3"/>
  <c r="M572" i="3" s="1"/>
  <c r="N572" i="3" s="1"/>
  <c r="O572" i="3" s="1"/>
  <c r="L576" i="3"/>
  <c r="M576" i="3" s="1"/>
  <c r="N576" i="3" s="1"/>
  <c r="O576" i="3" s="1"/>
  <c r="L306" i="3"/>
  <c r="M306" i="3" s="1"/>
  <c r="N306" i="3" s="1"/>
  <c r="O306" i="3" s="1"/>
  <c r="L575" i="3"/>
  <c r="M575" i="3" s="1"/>
  <c r="N575" i="3" s="1"/>
  <c r="O575" i="3" s="1"/>
  <c r="L210" i="3"/>
  <c r="M210" i="3" s="1"/>
  <c r="N210" i="3" s="1"/>
  <c r="O210" i="3" s="1"/>
  <c r="L361" i="3"/>
  <c r="M361" i="3" s="1"/>
  <c r="N361" i="3" s="1"/>
  <c r="O361" i="3" s="1"/>
  <c r="L574" i="3"/>
  <c r="M574" i="3" s="1"/>
  <c r="N574" i="3" s="1"/>
  <c r="O574" i="3" s="1"/>
  <c r="L307" i="3"/>
  <c r="M307" i="3" s="1"/>
  <c r="N307" i="3" s="1"/>
  <c r="O307" i="3" s="1"/>
  <c r="L578" i="3"/>
  <c r="M578" i="3" s="1"/>
  <c r="N578" i="3" s="1"/>
  <c r="O578" i="3" s="1"/>
  <c r="L283" i="3"/>
  <c r="M283" i="3" s="1"/>
  <c r="N283" i="3" s="1"/>
  <c r="O283" i="3" s="1"/>
  <c r="O284" i="3" s="1"/>
  <c r="O115" i="3" s="1"/>
  <c r="L304" i="3"/>
  <c r="M304" i="3" s="1"/>
  <c r="N304" i="3" s="1"/>
  <c r="O304" i="3" s="1"/>
  <c r="L127" i="3"/>
  <c r="L259" i="3"/>
  <c r="M259" i="3" s="1"/>
  <c r="N259" i="3" s="1"/>
  <c r="O259" i="3" s="1"/>
  <c r="L479" i="3"/>
  <c r="M479" i="3" s="1"/>
  <c r="N479" i="3" s="1"/>
  <c r="O479" i="3" s="1"/>
  <c r="L579" i="3"/>
  <c r="M579" i="3" s="1"/>
  <c r="N579" i="3" s="1"/>
  <c r="O579" i="3" s="1"/>
  <c r="L426" i="3"/>
  <c r="M426" i="3" s="1"/>
  <c r="N426" i="3" s="1"/>
  <c r="O426" i="3" s="1"/>
  <c r="L586" i="3"/>
  <c r="M586" i="3" s="1"/>
  <c r="N586" i="3" s="1"/>
  <c r="O586" i="3" s="1"/>
  <c r="O587" i="3" s="1"/>
  <c r="O161" i="3" s="1"/>
  <c r="O163" i="3" s="1"/>
  <c r="O39" i="3" s="1"/>
  <c r="L305" i="2"/>
  <c r="L320" i="2" s="1"/>
  <c r="L368" i="2" s="1"/>
  <c r="L250" i="2"/>
  <c r="L506" i="2"/>
  <c r="M506" i="2" s="1"/>
  <c r="N506" i="2" s="1"/>
  <c r="O506" i="2" s="1"/>
  <c r="L516" i="2"/>
  <c r="M516" i="2" s="1"/>
  <c r="N516" i="2" s="1"/>
  <c r="O516" i="2" s="1"/>
  <c r="L508" i="2"/>
  <c r="M508" i="2" s="1"/>
  <c r="N508" i="2" s="1"/>
  <c r="O508" i="2" s="1"/>
  <c r="M305" i="2"/>
  <c r="M320" i="2" s="1"/>
  <c r="M368" i="2" s="1"/>
  <c r="M250" i="2"/>
  <c r="L446" i="2"/>
  <c r="M446" i="2" s="1"/>
  <c r="N446" i="2" s="1"/>
  <c r="O446" i="2" s="1"/>
  <c r="L515" i="2"/>
  <c r="M515" i="2" s="1"/>
  <c r="N515" i="2" s="1"/>
  <c r="O515" i="2" s="1"/>
  <c r="L276" i="2"/>
  <c r="M276" i="2" s="1"/>
  <c r="N276" i="2" s="1"/>
  <c r="O276" i="2" s="1"/>
  <c r="L372" i="2"/>
  <c r="M372" i="2" s="1"/>
  <c r="N372" i="2" s="1"/>
  <c r="O372" i="2" s="1"/>
  <c r="L375" i="2"/>
  <c r="M375" i="2" s="1"/>
  <c r="N375" i="2" s="1"/>
  <c r="O375" i="2" s="1"/>
  <c r="L380" i="2"/>
  <c r="M380" i="2" s="1"/>
  <c r="N380" i="2" s="1"/>
  <c r="O380" i="2" s="1"/>
  <c r="L383" i="2"/>
  <c r="M383" i="2" s="1"/>
  <c r="N383" i="2" s="1"/>
  <c r="O383" i="2" s="1"/>
  <c r="L476" i="2"/>
  <c r="M476" i="2" s="1"/>
  <c r="N476" i="2" s="1"/>
  <c r="O476" i="2" s="1"/>
  <c r="L373" i="2"/>
  <c r="M373" i="2" s="1"/>
  <c r="N373" i="2" s="1"/>
  <c r="O373" i="2" s="1"/>
  <c r="L376" i="2"/>
  <c r="M376" i="2" s="1"/>
  <c r="N376" i="2" s="1"/>
  <c r="O376" i="2" s="1"/>
  <c r="L381" i="2"/>
  <c r="M381" i="2" s="1"/>
  <c r="N381" i="2" s="1"/>
  <c r="O381" i="2" s="1"/>
  <c r="L384" i="2"/>
  <c r="M384" i="2" s="1"/>
  <c r="N384" i="2" s="1"/>
  <c r="O384" i="2" s="1"/>
  <c r="Z68" i="70" l="1"/>
  <c r="O68" i="70"/>
  <c r="M425" i="2"/>
  <c r="N425" i="2" s="1"/>
  <c r="O425" i="2" s="1"/>
  <c r="F68" i="70"/>
  <c r="O437" i="5"/>
  <c r="O168" i="5" s="1"/>
  <c r="O169" i="5" s="1"/>
  <c r="O48" i="5" s="1"/>
  <c r="O382" i="5"/>
  <c r="O581" i="3"/>
  <c r="O187" i="3" s="1"/>
  <c r="O188" i="3" s="1"/>
  <c r="O601" i="3" s="1"/>
  <c r="O364" i="3"/>
  <c r="O146" i="3" s="1"/>
  <c r="O147" i="3" s="1"/>
  <c r="O36" i="3" s="1"/>
  <c r="O116" i="3"/>
  <c r="O31" i="3" s="1"/>
  <c r="O679" i="3"/>
  <c r="L491" i="5"/>
  <c r="L746" i="6"/>
  <c r="M746" i="6" s="1"/>
  <c r="N746" i="6" s="1"/>
  <c r="O746" i="6" s="1"/>
  <c r="K68" i="72"/>
  <c r="P68" i="72" s="1"/>
  <c r="L610" i="6"/>
  <c r="L240" i="2"/>
  <c r="M240" i="2" s="1"/>
  <c r="N240" i="2" s="1"/>
  <c r="O240" i="2" s="1"/>
  <c r="I250" i="6"/>
  <c r="L202" i="2"/>
  <c r="L203" i="2" s="1"/>
  <c r="L54" i="2" s="1"/>
  <c r="N68" i="72"/>
  <c r="Q68" i="72"/>
  <c r="N437" i="5"/>
  <c r="N168" i="5" s="1"/>
  <c r="N169" i="5" s="1"/>
  <c r="N48" i="5" s="1"/>
  <c r="M387" i="4"/>
  <c r="M201" i="4" s="1"/>
  <c r="M202" i="4" s="1"/>
  <c r="M51" i="4" s="1"/>
  <c r="N386" i="4"/>
  <c r="M450" i="5"/>
  <c r="M160" i="5" s="1"/>
  <c r="N448" i="5"/>
  <c r="M423" i="6"/>
  <c r="M103" i="6" s="1"/>
  <c r="N422" i="6"/>
  <c r="M377" i="6"/>
  <c r="M98" i="6" s="1"/>
  <c r="N376" i="6"/>
  <c r="L353" i="2"/>
  <c r="L875" i="6"/>
  <c r="L962" i="6"/>
  <c r="L1006" i="6" s="1"/>
  <c r="L641" i="5"/>
  <c r="L874" i="6"/>
  <c r="I343" i="6"/>
  <c r="I528" i="5"/>
  <c r="L798" i="6"/>
  <c r="M798" i="6" s="1"/>
  <c r="L396" i="2"/>
  <c r="M396" i="2" s="1"/>
  <c r="L228" i="4"/>
  <c r="L56" i="4" s="1"/>
  <c r="L285" i="5"/>
  <c r="L225" i="2"/>
  <c r="L450" i="5"/>
  <c r="L160" i="5" s="1"/>
  <c r="L233" i="4"/>
  <c r="L57" i="4" s="1"/>
  <c r="M405" i="4"/>
  <c r="L141" i="4"/>
  <c r="L31" i="4" s="1"/>
  <c r="L286" i="3"/>
  <c r="L288" i="3" s="1"/>
  <c r="L122" i="3" s="1"/>
  <c r="L678" i="3" s="1"/>
  <c r="L207" i="4"/>
  <c r="L52" i="4" s="1"/>
  <c r="K332" i="7"/>
  <c r="L332" i="7" s="1"/>
  <c r="L327" i="2"/>
  <c r="L151" i="3"/>
  <c r="L152" i="3" s="1"/>
  <c r="L37" i="3" s="1"/>
  <c r="M492" i="2"/>
  <c r="M499" i="2" s="1"/>
  <c r="L349" i="4"/>
  <c r="L377" i="6"/>
  <c r="L98" i="6" s="1"/>
  <c r="M139" i="4"/>
  <c r="L364" i="2"/>
  <c r="I466" i="3"/>
  <c r="L241" i="6"/>
  <c r="L243" i="6" s="1"/>
  <c r="L80" i="6" s="1"/>
  <c r="L81" i="6" s="1"/>
  <c r="L34" i="6" s="1"/>
  <c r="I387" i="6"/>
  <c r="L121" i="3"/>
  <c r="M121" i="3" s="1"/>
  <c r="N121" i="3" s="1"/>
  <c r="O121" i="3" s="1"/>
  <c r="L387" i="4"/>
  <c r="L201" i="4" s="1"/>
  <c r="L202" i="4" s="1"/>
  <c r="L51" i="4" s="1"/>
  <c r="L551" i="5"/>
  <c r="L426" i="6"/>
  <c r="L250" i="6"/>
  <c r="L299" i="6" s="1"/>
  <c r="M305" i="4"/>
  <c r="L123" i="4"/>
  <c r="M123" i="4" s="1"/>
  <c r="N123" i="4" s="1"/>
  <c r="O123" i="4" s="1"/>
  <c r="L111" i="4"/>
  <c r="M111" i="4" s="1"/>
  <c r="N111" i="4" s="1"/>
  <c r="O111" i="4" s="1"/>
  <c r="L816" i="6"/>
  <c r="M816" i="6" s="1"/>
  <c r="L124" i="4"/>
  <c r="M124" i="4" s="1"/>
  <c r="N124" i="4" s="1"/>
  <c r="O124" i="4" s="1"/>
  <c r="M850" i="6"/>
  <c r="K338" i="7"/>
  <c r="K341" i="7" s="1"/>
  <c r="K353" i="7"/>
  <c r="K305" i="7"/>
  <c r="M309" i="7"/>
  <c r="L311" i="7"/>
  <c r="L87" i="7" s="1"/>
  <c r="L315" i="7"/>
  <c r="K321" i="7"/>
  <c r="L293" i="7"/>
  <c r="K303" i="7"/>
  <c r="L337" i="7"/>
  <c r="K311" i="7"/>
  <c r="K333" i="7"/>
  <c r="L340" i="7"/>
  <c r="K372" i="7"/>
  <c r="L368" i="7"/>
  <c r="I284" i="7"/>
  <c r="G283" i="7"/>
  <c r="K326" i="7"/>
  <c r="L323" i="7"/>
  <c r="K361" i="7"/>
  <c r="L848" i="6"/>
  <c r="L750" i="6"/>
  <c r="L755" i="6" s="1"/>
  <c r="L249" i="6"/>
  <c r="L298" i="6" s="1"/>
  <c r="L311" i="6"/>
  <c r="M311" i="6" s="1"/>
  <c r="N311" i="6" s="1"/>
  <c r="O311" i="6" s="1"/>
  <c r="L884" i="6"/>
  <c r="M847" i="6"/>
  <c r="N847" i="6" s="1"/>
  <c r="O847" i="6" s="1"/>
  <c r="L481" i="6"/>
  <c r="L811" i="6"/>
  <c r="L605" i="6"/>
  <c r="L794" i="6"/>
  <c r="L1072" i="6"/>
  <c r="L790" i="6"/>
  <c r="L588" i="6"/>
  <c r="L592" i="6" s="1"/>
  <c r="M254" i="6"/>
  <c r="I568" i="6"/>
  <c r="L849" i="6"/>
  <c r="L433" i="6"/>
  <c r="L105" i="6" s="1"/>
  <c r="M431" i="6"/>
  <c r="L820" i="6"/>
  <c r="L762" i="6"/>
  <c r="L619" i="6"/>
  <c r="L862" i="6"/>
  <c r="L856" i="6"/>
  <c r="L1039" i="6"/>
  <c r="L743" i="6"/>
  <c r="I569" i="6"/>
  <c r="L778" i="6"/>
  <c r="L758" i="6"/>
  <c r="L766" i="6"/>
  <c r="M485" i="6"/>
  <c r="L486" i="6"/>
  <c r="L129" i="6" s="1"/>
  <c r="L770" i="6"/>
  <c r="L654" i="6"/>
  <c r="L782" i="6"/>
  <c r="L659" i="6"/>
  <c r="L808" i="6"/>
  <c r="L700" i="6" s="1"/>
  <c r="L1037" i="6" s="1"/>
  <c r="M802" i="6"/>
  <c r="L478" i="6"/>
  <c r="L669" i="6"/>
  <c r="L673" i="6" s="1"/>
  <c r="L739" i="6"/>
  <c r="L774" i="6"/>
  <c r="L663" i="6"/>
  <c r="L369" i="6"/>
  <c r="M437" i="5"/>
  <c r="M168" i="5" s="1"/>
  <c r="M169" i="5" s="1"/>
  <c r="M48" i="5" s="1"/>
  <c r="L424" i="5"/>
  <c r="M234" i="5"/>
  <c r="N234" i="5" s="1"/>
  <c r="O234" i="5" s="1"/>
  <c r="L143" i="5"/>
  <c r="L437" i="5"/>
  <c r="L168" i="5" s="1"/>
  <c r="L169" i="5" s="1"/>
  <c r="L48" i="5" s="1"/>
  <c r="I389" i="5"/>
  <c r="M252" i="5"/>
  <c r="N252" i="5" s="1"/>
  <c r="O252" i="5" s="1"/>
  <c r="M508" i="5"/>
  <c r="N508" i="5" s="1"/>
  <c r="O508" i="5" s="1"/>
  <c r="L377" i="5"/>
  <c r="L382" i="5" s="1"/>
  <c r="M84" i="4"/>
  <c r="N84" i="4" s="1"/>
  <c r="O84" i="4" s="1"/>
  <c r="L159" i="4"/>
  <c r="L120" i="4"/>
  <c r="M97" i="4"/>
  <c r="L100" i="4"/>
  <c r="L25" i="4" s="1"/>
  <c r="M286" i="4"/>
  <c r="L289" i="4"/>
  <c r="L195" i="4" s="1"/>
  <c r="L197" i="4" s="1"/>
  <c r="L27" i="4" s="1"/>
  <c r="M151" i="4"/>
  <c r="L154" i="4"/>
  <c r="L33" i="4" s="1"/>
  <c r="L319" i="4"/>
  <c r="M278" i="4"/>
  <c r="N278" i="4" s="1"/>
  <c r="O278" i="4" s="1"/>
  <c r="H206" i="3"/>
  <c r="L712" i="3"/>
  <c r="M127" i="3"/>
  <c r="N127" i="3" s="1"/>
  <c r="O127" i="3" s="1"/>
  <c r="L374" i="3"/>
  <c r="L364" i="3"/>
  <c r="L146" i="3" s="1"/>
  <c r="L147" i="3" s="1"/>
  <c r="L36" i="3" s="1"/>
  <c r="L140" i="3"/>
  <c r="L109" i="3"/>
  <c r="L99" i="3"/>
  <c r="I430" i="3"/>
  <c r="I518" i="3"/>
  <c r="L285" i="2"/>
  <c r="M285" i="2" s="1"/>
  <c r="N285" i="2" s="1"/>
  <c r="O285" i="2" s="1"/>
  <c r="L394" i="2"/>
  <c r="L405" i="2"/>
  <c r="L371" i="2"/>
  <c r="L280" i="2"/>
  <c r="L322" i="2"/>
  <c r="L458" i="2"/>
  <c r="L284" i="2"/>
  <c r="L505" i="2"/>
  <c r="L509" i="2" s="1"/>
  <c r="I309" i="2"/>
  <c r="M394" i="2"/>
  <c r="M405" i="2"/>
  <c r="L514" i="2"/>
  <c r="L518" i="2" s="1"/>
  <c r="M349" i="4" l="1"/>
  <c r="L373" i="4"/>
  <c r="I344" i="6"/>
  <c r="I345" i="6" s="1"/>
  <c r="I346" i="6" s="1"/>
  <c r="I347" i="6" s="1"/>
  <c r="O347" i="6" s="1"/>
  <c r="O349" i="6" s="1"/>
  <c r="O94" i="6" s="1"/>
  <c r="I388" i="6"/>
  <c r="I389" i="6" s="1"/>
  <c r="I390" i="6" s="1"/>
  <c r="I391" i="6" s="1"/>
  <c r="M68" i="70"/>
  <c r="Y68" i="70"/>
  <c r="M68" i="72"/>
  <c r="R68" i="72" s="1"/>
  <c r="N450" i="5"/>
  <c r="N160" i="5" s="1"/>
  <c r="O448" i="5"/>
  <c r="O450" i="5" s="1"/>
  <c r="O160" i="5" s="1"/>
  <c r="N346" i="6"/>
  <c r="N349" i="6" s="1"/>
  <c r="N94" i="6" s="1"/>
  <c r="O884" i="6"/>
  <c r="N423" i="6"/>
  <c r="N103" i="6" s="1"/>
  <c r="O422" i="6"/>
  <c r="O423" i="6" s="1"/>
  <c r="O103" i="6" s="1"/>
  <c r="N377" i="6"/>
  <c r="N98" i="6" s="1"/>
  <c r="O376" i="6"/>
  <c r="O377" i="6" s="1"/>
  <c r="O98" i="6" s="1"/>
  <c r="N387" i="4"/>
  <c r="N201" i="4" s="1"/>
  <c r="N202" i="4" s="1"/>
  <c r="N51" i="4" s="1"/>
  <c r="O386" i="4"/>
  <c r="O387" i="4" s="1"/>
  <c r="O201" i="4" s="1"/>
  <c r="O202" i="4" s="1"/>
  <c r="O51" i="4" s="1"/>
  <c r="O48" i="3"/>
  <c r="O774" i="3" s="1"/>
  <c r="O712" i="3"/>
  <c r="O677" i="3"/>
  <c r="M610" i="6"/>
  <c r="N610" i="6" s="1"/>
  <c r="L615" i="6"/>
  <c r="L162" i="6" s="1"/>
  <c r="L660" i="6"/>
  <c r="L661" i="6" s="1"/>
  <c r="L190" i="6" s="1"/>
  <c r="M491" i="5"/>
  <c r="L291" i="3"/>
  <c r="L595" i="6"/>
  <c r="L594" i="6"/>
  <c r="L596" i="6"/>
  <c r="I254" i="6"/>
  <c r="I258" i="6" s="1"/>
  <c r="I262" i="6" s="1"/>
  <c r="I266" i="6" s="1"/>
  <c r="I252" i="6"/>
  <c r="M378" i="5"/>
  <c r="M382" i="5" s="1"/>
  <c r="N379" i="5"/>
  <c r="N382" i="5" s="1"/>
  <c r="L587" i="3"/>
  <c r="L161" i="3" s="1"/>
  <c r="L163" i="3" s="1"/>
  <c r="L39" i="3" s="1"/>
  <c r="L321" i="6"/>
  <c r="S68" i="72"/>
  <c r="M486" i="6"/>
  <c r="M129" i="6" s="1"/>
  <c r="N485" i="6"/>
  <c r="M154" i="4"/>
  <c r="M33" i="4" s="1"/>
  <c r="N151" i="4"/>
  <c r="M373" i="4"/>
  <c r="M190" i="4" s="1"/>
  <c r="N349" i="4"/>
  <c r="N257" i="6"/>
  <c r="M799" i="6"/>
  <c r="M688" i="6" s="1"/>
  <c r="N798" i="6"/>
  <c r="M306" i="4"/>
  <c r="M114" i="4" s="1"/>
  <c r="M115" i="4" s="1"/>
  <c r="M28" i="4" s="1"/>
  <c r="N305" i="4"/>
  <c r="M397" i="2"/>
  <c r="M145" i="2" s="1"/>
  <c r="M146" i="2" s="1"/>
  <c r="M46" i="2" s="1"/>
  <c r="N396" i="2"/>
  <c r="M100" i="4"/>
  <c r="M25" i="4" s="1"/>
  <c r="N97" i="4"/>
  <c r="M887" i="6"/>
  <c r="M926" i="6" s="1"/>
  <c r="M962" i="6" s="1"/>
  <c r="M1006" i="6" s="1"/>
  <c r="N850" i="6"/>
  <c r="M817" i="6"/>
  <c r="M689" i="6" s="1"/>
  <c r="N816" i="6"/>
  <c r="M141" i="4"/>
  <c r="M31" i="4" s="1"/>
  <c r="N139" i="4"/>
  <c r="M345" i="6"/>
  <c r="M349" i="6" s="1"/>
  <c r="M94" i="6" s="1"/>
  <c r="M364" i="3"/>
  <c r="M146" i="3" s="1"/>
  <c r="M147" i="3" s="1"/>
  <c r="M36" i="3" s="1"/>
  <c r="N364" i="3"/>
  <c r="N146" i="3" s="1"/>
  <c r="N147" i="3" s="1"/>
  <c r="N36" i="3" s="1"/>
  <c r="M301" i="6"/>
  <c r="N254" i="6"/>
  <c r="M289" i="4"/>
  <c r="M195" i="4" s="1"/>
  <c r="M197" i="4" s="1"/>
  <c r="M27" i="4" s="1"/>
  <c r="N286" i="4"/>
  <c r="N677" i="3"/>
  <c r="N884" i="6"/>
  <c r="M311" i="7"/>
  <c r="M87" i="7" s="1"/>
  <c r="M179" i="7" s="1"/>
  <c r="N309" i="7"/>
  <c r="M202" i="2"/>
  <c r="M203" i="2" s="1"/>
  <c r="M54" i="2" s="1"/>
  <c r="N492" i="2"/>
  <c r="N499" i="2" s="1"/>
  <c r="M433" i="6"/>
  <c r="M105" i="6" s="1"/>
  <c r="N431" i="6"/>
  <c r="N712" i="3"/>
  <c r="M808" i="6"/>
  <c r="M700" i="6" s="1"/>
  <c r="M1037" i="6" s="1"/>
  <c r="N802" i="6"/>
  <c r="N258" i="6"/>
  <c r="M406" i="4"/>
  <c r="M232" i="4" s="1"/>
  <c r="M233" i="4" s="1"/>
  <c r="M57" i="4" s="1"/>
  <c r="N405" i="4"/>
  <c r="M253" i="6"/>
  <c r="L1050" i="6"/>
  <c r="L607" i="5"/>
  <c r="M875" i="6"/>
  <c r="L593" i="5"/>
  <c r="M874" i="6"/>
  <c r="L592" i="5"/>
  <c r="I529" i="5"/>
  <c r="I530" i="5" s="1"/>
  <c r="I531" i="5" s="1"/>
  <c r="I532" i="5" s="1"/>
  <c r="L344" i="6"/>
  <c r="L349" i="6" s="1"/>
  <c r="L94" i="6" s="1"/>
  <c r="L397" i="2"/>
  <c r="L145" i="2" s="1"/>
  <c r="L146" i="2" s="1"/>
  <c r="L46" i="2" s="1"/>
  <c r="L677" i="3"/>
  <c r="L687" i="3" s="1"/>
  <c r="L799" i="6"/>
  <c r="L688" i="6" s="1"/>
  <c r="M151" i="3"/>
  <c r="L189" i="4"/>
  <c r="M227" i="4"/>
  <c r="M286" i="3"/>
  <c r="L172" i="7"/>
  <c r="L173" i="4"/>
  <c r="M173" i="4" s="1"/>
  <c r="L150" i="7"/>
  <c r="L452" i="5"/>
  <c r="M452" i="5" s="1"/>
  <c r="N247" i="3"/>
  <c r="L420" i="5"/>
  <c r="M420" i="5" s="1"/>
  <c r="L532" i="6"/>
  <c r="M532" i="6" s="1"/>
  <c r="L190" i="4"/>
  <c r="L217" i="4"/>
  <c r="L54" i="4" s="1"/>
  <c r="M216" i="4"/>
  <c r="L322" i="5"/>
  <c r="L327" i="5" s="1"/>
  <c r="L116" i="5" s="1"/>
  <c r="L117" i="5" s="1"/>
  <c r="L39" i="5" s="1"/>
  <c r="M250" i="6"/>
  <c r="L354" i="5"/>
  <c r="L356" i="5" s="1"/>
  <c r="L126" i="5" s="1"/>
  <c r="L127" i="5" s="1"/>
  <c r="L41" i="5" s="1"/>
  <c r="L389" i="2"/>
  <c r="M389" i="2" s="1"/>
  <c r="I456" i="3"/>
  <c r="L456" i="3" s="1"/>
  <c r="L344" i="5"/>
  <c r="L350" i="5" s="1"/>
  <c r="L121" i="5" s="1"/>
  <c r="L122" i="5" s="1"/>
  <c r="L40" i="5" s="1"/>
  <c r="L455" i="5"/>
  <c r="L456" i="5" s="1"/>
  <c r="L162" i="5" s="1"/>
  <c r="M206" i="4"/>
  <c r="M241" i="6"/>
  <c r="L266" i="4"/>
  <c r="L545" i="5"/>
  <c r="L547" i="5" s="1"/>
  <c r="L817" i="6"/>
  <c r="L689" i="6" s="1"/>
  <c r="L302" i="5"/>
  <c r="L303" i="5" s="1"/>
  <c r="L109" i="5" s="1"/>
  <c r="L123" i="3"/>
  <c r="L32" i="3" s="1"/>
  <c r="L115" i="4"/>
  <c r="L28" i="4" s="1"/>
  <c r="L280" i="5"/>
  <c r="L283" i="5" s="1"/>
  <c r="L102" i="5" s="1"/>
  <c r="L145" i="4"/>
  <c r="M211" i="4"/>
  <c r="L212" i="4"/>
  <c r="L53" i="4" s="1"/>
  <c r="L167" i="4"/>
  <c r="L307" i="5"/>
  <c r="L314" i="5" s="1"/>
  <c r="L111" i="5" s="1"/>
  <c r="L130" i="4"/>
  <c r="L222" i="4"/>
  <c r="L55" i="4" s="1"/>
  <c r="M221" i="4"/>
  <c r="L91" i="4"/>
  <c r="L277" i="4"/>
  <c r="L336" i="4"/>
  <c r="L333" i="4"/>
  <c r="L258" i="4"/>
  <c r="L260" i="4" s="1"/>
  <c r="G284" i="7"/>
  <c r="I285" i="7"/>
  <c r="I286" i="7" s="1"/>
  <c r="I287" i="7" s="1"/>
  <c r="I288" i="7" s="1"/>
  <c r="K284" i="7"/>
  <c r="K289" i="7" s="1"/>
  <c r="M332" i="7"/>
  <c r="L107" i="7"/>
  <c r="M315" i="7"/>
  <c r="L321" i="7"/>
  <c r="L96" i="7" s="1"/>
  <c r="L303" i="7"/>
  <c r="M293" i="7"/>
  <c r="N293" i="7" s="1"/>
  <c r="O293" i="7" s="1"/>
  <c r="L85" i="7"/>
  <c r="L333" i="7"/>
  <c r="L108" i="7" s="1"/>
  <c r="M340" i="7"/>
  <c r="L197" i="7"/>
  <c r="L179" i="7"/>
  <c r="L161" i="7"/>
  <c r="L126" i="7"/>
  <c r="L141" i="7"/>
  <c r="L372" i="7"/>
  <c r="M368" i="7"/>
  <c r="K358" i="7"/>
  <c r="L353" i="7"/>
  <c r="M337" i="7"/>
  <c r="N337" i="7" s="1"/>
  <c r="O337" i="7" s="1"/>
  <c r="M323" i="7"/>
  <c r="L326" i="7"/>
  <c r="L97" i="7" s="1"/>
  <c r="L361" i="7"/>
  <c r="K365" i="7"/>
  <c r="K329" i="7"/>
  <c r="L305" i="7"/>
  <c r="K306" i="7"/>
  <c r="K307" i="7" s="1"/>
  <c r="L338" i="7"/>
  <c r="L341" i="7" s="1"/>
  <c r="K330" i="7"/>
  <c r="L455" i="6"/>
  <c r="M426" i="6"/>
  <c r="L427" i="6"/>
  <c r="L104" i="6" s="1"/>
  <c r="L759" i="6"/>
  <c r="L695" i="6" s="1"/>
  <c r="M758" i="6"/>
  <c r="M743" i="6"/>
  <c r="L747" i="6"/>
  <c r="L702" i="6" s="1"/>
  <c r="M849" i="6"/>
  <c r="L886" i="6"/>
  <c r="L925" i="6" s="1"/>
  <c r="L482" i="6"/>
  <c r="L123" i="6" s="1"/>
  <c r="M481" i="6"/>
  <c r="M478" i="6"/>
  <c r="L479" i="6"/>
  <c r="L122" i="6" s="1"/>
  <c r="M782" i="6"/>
  <c r="L787" i="6"/>
  <c r="L701" i="6" s="1"/>
  <c r="L1070" i="6" s="1"/>
  <c r="M762" i="6"/>
  <c r="L763" i="6"/>
  <c r="L694" i="6" s="1"/>
  <c r="L655" i="6"/>
  <c r="L189" i="6" s="1"/>
  <c r="M654" i="6"/>
  <c r="M820" i="6"/>
  <c r="L830" i="6"/>
  <c r="L699" i="6" s="1"/>
  <c r="L304" i="6"/>
  <c r="L277" i="6"/>
  <c r="L284" i="6" s="1"/>
  <c r="L290" i="6" s="1"/>
  <c r="L292" i="6" s="1"/>
  <c r="L295" i="6" s="1"/>
  <c r="L85" i="6" s="1"/>
  <c r="M249" i="6"/>
  <c r="N249" i="6" s="1"/>
  <c r="O249" i="6" s="1"/>
  <c r="L536" i="6"/>
  <c r="L489" i="6"/>
  <c r="M750" i="6"/>
  <c r="M755" i="6" s="1"/>
  <c r="L691" i="6"/>
  <c r="L857" i="6"/>
  <c r="L859" i="6" s="1"/>
  <c r="M856" i="6"/>
  <c r="N856" i="6" s="1"/>
  <c r="O856" i="6" s="1"/>
  <c r="L893" i="6"/>
  <c r="L613" i="5" s="1"/>
  <c r="L395" i="6"/>
  <c r="L449" i="6"/>
  <c r="M848" i="6"/>
  <c r="L885" i="6"/>
  <c r="L924" i="6" s="1"/>
  <c r="L767" i="6"/>
  <c r="L693" i="6" s="1"/>
  <c r="M766" i="6"/>
  <c r="M884" i="6"/>
  <c r="L370" i="6"/>
  <c r="M369" i="6"/>
  <c r="L851" i="6"/>
  <c r="L853" i="6" s="1"/>
  <c r="L306" i="6"/>
  <c r="M619" i="6"/>
  <c r="L620" i="6"/>
  <c r="L169" i="6" s="1"/>
  <c r="L795" i="6"/>
  <c r="L709" i="6" s="1"/>
  <c r="L231" i="6" s="1"/>
  <c r="M794" i="6"/>
  <c r="L501" i="6"/>
  <c r="L514" i="6"/>
  <c r="L519" i="6" s="1"/>
  <c r="L779" i="6"/>
  <c r="M778" i="6"/>
  <c r="N778" i="6" s="1"/>
  <c r="O778" i="6" s="1"/>
  <c r="L697" i="6"/>
  <c r="I570" i="6"/>
  <c r="L353" i="6"/>
  <c r="M663" i="6"/>
  <c r="L664" i="6"/>
  <c r="L200" i="6" s="1"/>
  <c r="L791" i="6"/>
  <c r="L708" i="6" s="1"/>
  <c r="L230" i="6" s="1"/>
  <c r="M790" i="6"/>
  <c r="M605" i="6"/>
  <c r="L607" i="6"/>
  <c r="L161" i="6" s="1"/>
  <c r="L543" i="6"/>
  <c r="L628" i="6"/>
  <c r="L1041" i="6"/>
  <c r="L1043" i="6" s="1"/>
  <c r="M1039" i="6"/>
  <c r="M739" i="6"/>
  <c r="L740" i="6"/>
  <c r="L698" i="6" s="1"/>
  <c r="M659" i="6"/>
  <c r="L899" i="6"/>
  <c r="L620" i="5" s="1"/>
  <c r="L863" i="6"/>
  <c r="L865" i="6" s="1"/>
  <c r="M862" i="6"/>
  <c r="N862" i="6" s="1"/>
  <c r="O862" i="6" s="1"/>
  <c r="L381" i="6"/>
  <c r="L641" i="6"/>
  <c r="L496" i="6"/>
  <c r="L441" i="6"/>
  <c r="L873" i="6"/>
  <c r="L591" i="5" s="1"/>
  <c r="L840" i="6"/>
  <c r="M669" i="6"/>
  <c r="M673" i="6" s="1"/>
  <c r="L201" i="6"/>
  <c r="M588" i="6"/>
  <c r="M592" i="6" s="1"/>
  <c r="M770" i="6"/>
  <c r="L771" i="6"/>
  <c r="L692" i="6" s="1"/>
  <c r="L923" i="6"/>
  <c r="L638" i="5" s="1"/>
  <c r="M774" i="6"/>
  <c r="L775" i="6"/>
  <c r="L696" i="6" s="1"/>
  <c r="L357" i="6"/>
  <c r="I571" i="6"/>
  <c r="M1072" i="6"/>
  <c r="L1073" i="6"/>
  <c r="L813" i="6"/>
  <c r="L690" i="6" s="1"/>
  <c r="M811" i="6"/>
  <c r="L427" i="5"/>
  <c r="L150" i="5" s="1"/>
  <c r="M424" i="5"/>
  <c r="L361" i="5"/>
  <c r="L558" i="5"/>
  <c r="L295" i="5"/>
  <c r="M143" i="5"/>
  <c r="L145" i="5"/>
  <c r="L44" i="5" s="1"/>
  <c r="L288" i="5"/>
  <c r="L286" i="5"/>
  <c r="L103" i="5" s="1"/>
  <c r="M285" i="5"/>
  <c r="L459" i="5"/>
  <c r="L484" i="5" s="1"/>
  <c r="L511" i="5"/>
  <c r="L398" i="5"/>
  <c r="L244" i="5"/>
  <c r="L331" i="5"/>
  <c r="L489" i="5"/>
  <c r="L389" i="5"/>
  <c r="L394" i="5" s="1"/>
  <c r="L132" i="5" s="1"/>
  <c r="I390" i="5"/>
  <c r="I391" i="5" s="1"/>
  <c r="I392" i="5" s="1"/>
  <c r="L552" i="5"/>
  <c r="L183" i="5" s="1"/>
  <c r="L184" i="5" s="1"/>
  <c r="L51" i="5" s="1"/>
  <c r="M551" i="5"/>
  <c r="L564" i="5"/>
  <c r="L253" i="5"/>
  <c r="L248" i="5"/>
  <c r="M159" i="4"/>
  <c r="N159" i="4" s="1"/>
  <c r="O159" i="4" s="1"/>
  <c r="L126" i="4"/>
  <c r="L29" i="4" s="1"/>
  <c r="M120" i="4"/>
  <c r="L321" i="4"/>
  <c r="L161" i="4" s="1"/>
  <c r="L163" i="4" s="1"/>
  <c r="L34" i="4" s="1"/>
  <c r="M319" i="4"/>
  <c r="L296" i="3"/>
  <c r="M712" i="3"/>
  <c r="L721" i="3"/>
  <c r="L731" i="3"/>
  <c r="L727" i="3"/>
  <c r="L724" i="3"/>
  <c r="L723" i="3"/>
  <c r="L730" i="3"/>
  <c r="L722" i="3"/>
  <c r="L720" i="3"/>
  <c r="L378" i="3"/>
  <c r="L156" i="3" s="1"/>
  <c r="L157" i="3" s="1"/>
  <c r="L38" i="3" s="1"/>
  <c r="M374" i="3"/>
  <c r="M677" i="3"/>
  <c r="L466" i="3"/>
  <c r="I467" i="3"/>
  <c r="I468" i="3" s="1"/>
  <c r="I469" i="3" s="1"/>
  <c r="O469" i="3" s="1"/>
  <c r="L747" i="3"/>
  <c r="L141" i="3"/>
  <c r="L35" i="3" s="1"/>
  <c r="M140" i="3"/>
  <c r="N140" i="3" s="1"/>
  <c r="O140" i="3" s="1"/>
  <c r="I474" i="3"/>
  <c r="L265" i="3"/>
  <c r="L302" i="3"/>
  <c r="I448" i="3"/>
  <c r="H207" i="3"/>
  <c r="L642" i="3"/>
  <c r="M109" i="3"/>
  <c r="N109" i="3" s="1"/>
  <c r="O109" i="3" s="1"/>
  <c r="I431" i="3"/>
  <c r="I492" i="3"/>
  <c r="M99" i="3"/>
  <c r="N99" i="3" s="1"/>
  <c r="O99" i="3" s="1"/>
  <c r="L608" i="3"/>
  <c r="L100" i="3"/>
  <c r="L28" i="3" s="1"/>
  <c r="M587" i="3"/>
  <c r="M161" i="3" s="1"/>
  <c r="M163" i="3" s="1"/>
  <c r="M284" i="2"/>
  <c r="L287" i="2"/>
  <c r="L387" i="2"/>
  <c r="L155" i="2" s="1"/>
  <c r="M371" i="2"/>
  <c r="L417" i="2"/>
  <c r="L323" i="2"/>
  <c r="L112" i="2" s="1"/>
  <c r="L113" i="2" s="1"/>
  <c r="L39" i="2" s="1"/>
  <c r="M322" i="2"/>
  <c r="L358" i="2"/>
  <c r="L360" i="2" s="1"/>
  <c r="L229" i="2"/>
  <c r="L242" i="2" s="1"/>
  <c r="L207" i="2"/>
  <c r="L209" i="2" s="1"/>
  <c r="L55" i="2" s="1"/>
  <c r="M505" i="2"/>
  <c r="M509" i="2" s="1"/>
  <c r="L355" i="2"/>
  <c r="L139" i="2" s="1"/>
  <c r="M353" i="2"/>
  <c r="L96" i="2"/>
  <c r="L97" i="2" s="1"/>
  <c r="L36" i="2" s="1"/>
  <c r="M280" i="2"/>
  <c r="L469" i="2"/>
  <c r="L409" i="2"/>
  <c r="L460" i="2"/>
  <c r="L181" i="2" s="1"/>
  <c r="L182" i="2" s="1"/>
  <c r="L50" i="2" s="1"/>
  <c r="M458" i="2"/>
  <c r="L274" i="2"/>
  <c r="M514" i="2"/>
  <c r="M518" i="2" s="1"/>
  <c r="L348" i="2"/>
  <c r="L365" i="2"/>
  <c r="L140" i="2" s="1"/>
  <c r="M364" i="2"/>
  <c r="L294" i="2"/>
  <c r="L296" i="2" s="1"/>
  <c r="I310" i="2"/>
  <c r="L438" i="2"/>
  <c r="L442" i="2" s="1"/>
  <c r="L176" i="2" s="1"/>
  <c r="L177" i="2" s="1"/>
  <c r="L49" i="2" s="1"/>
  <c r="L328" i="2"/>
  <c r="L117" i="2" s="1"/>
  <c r="L118" i="2" s="1"/>
  <c r="L41" i="2" s="1"/>
  <c r="M327" i="2"/>
  <c r="N327" i="2" s="1"/>
  <c r="O327" i="2" s="1"/>
  <c r="L80" i="2"/>
  <c r="M225" i="2"/>
  <c r="G288" i="7" l="1"/>
  <c r="O288" i="7"/>
  <c r="O289" i="7" s="1"/>
  <c r="O78" i="7" s="1"/>
  <c r="N531" i="5"/>
  <c r="N535" i="5" s="1"/>
  <c r="O532" i="5"/>
  <c r="O535" i="5" s="1"/>
  <c r="O178" i="5" s="1"/>
  <c r="O179" i="5" s="1"/>
  <c r="O50" i="5" s="1"/>
  <c r="M615" i="6"/>
  <c r="M162" i="6" s="1"/>
  <c r="N440" i="2"/>
  <c r="N442" i="2" s="1"/>
  <c r="N176" i="2" s="1"/>
  <c r="N177" i="2" s="1"/>
  <c r="N49" i="2" s="1"/>
  <c r="O441" i="2"/>
  <c r="O442" i="2" s="1"/>
  <c r="O176" i="2" s="1"/>
  <c r="O177" i="2" s="1"/>
  <c r="O49" i="2" s="1"/>
  <c r="N311" i="7"/>
  <c r="N87" i="7" s="1"/>
  <c r="N161" i="7" s="1"/>
  <c r="O309" i="7"/>
  <c r="O311" i="7" s="1"/>
  <c r="O87" i="7" s="1"/>
  <c r="O303" i="7"/>
  <c r="O85" i="7"/>
  <c r="O157" i="7"/>
  <c r="O175" i="7"/>
  <c r="O193" i="7"/>
  <c r="N390" i="6"/>
  <c r="N392" i="6" s="1"/>
  <c r="N100" i="6" s="1"/>
  <c r="O391" i="6"/>
  <c r="O392" i="6" s="1"/>
  <c r="O100" i="6" s="1"/>
  <c r="N301" i="6"/>
  <c r="O254" i="6"/>
  <c r="O301" i="6" s="1"/>
  <c r="N303" i="6"/>
  <c r="O258" i="6"/>
  <c r="O303" i="6" s="1"/>
  <c r="N302" i="6"/>
  <c r="O257" i="6"/>
  <c r="O302" i="6" s="1"/>
  <c r="N887" i="6"/>
  <c r="N926" i="6" s="1"/>
  <c r="N962" i="6" s="1"/>
  <c r="N1006" i="6" s="1"/>
  <c r="O850" i="6"/>
  <c r="O887" i="6" s="1"/>
  <c r="O926" i="6" s="1"/>
  <c r="O857" i="6"/>
  <c r="O859" i="6" s="1"/>
  <c r="O1090" i="6" s="1"/>
  <c r="O893" i="6"/>
  <c r="O613" i="5" s="1"/>
  <c r="O899" i="6"/>
  <c r="O620" i="5" s="1"/>
  <c r="O863" i="6"/>
  <c r="O865" i="6" s="1"/>
  <c r="O1100" i="6" s="1"/>
  <c r="O923" i="6"/>
  <c r="O638" i="5" s="1"/>
  <c r="O873" i="6"/>
  <c r="O591" i="5" s="1"/>
  <c r="O629" i="5" s="1"/>
  <c r="O840" i="6"/>
  <c r="N817" i="6"/>
  <c r="N689" i="6" s="1"/>
  <c r="O816" i="6"/>
  <c r="O817" i="6" s="1"/>
  <c r="O689" i="6" s="1"/>
  <c r="N808" i="6"/>
  <c r="N700" i="6" s="1"/>
  <c r="N1037" i="6" s="1"/>
  <c r="O802" i="6"/>
  <c r="O808" i="6" s="1"/>
  <c r="O700" i="6" s="1"/>
  <c r="O1037" i="6" s="1"/>
  <c r="N799" i="6"/>
  <c r="N688" i="6" s="1"/>
  <c r="O798" i="6"/>
  <c r="O799" i="6" s="1"/>
  <c r="O688" i="6" s="1"/>
  <c r="O779" i="6"/>
  <c r="O697" i="6"/>
  <c r="N615" i="6"/>
  <c r="N162" i="6" s="1"/>
  <c r="O610" i="6"/>
  <c r="O615" i="6" s="1"/>
  <c r="O162" i="6" s="1"/>
  <c r="N486" i="6"/>
  <c r="N129" i="6" s="1"/>
  <c r="O485" i="6"/>
  <c r="O486" i="6" s="1"/>
  <c r="O129" i="6" s="1"/>
  <c r="N433" i="6"/>
  <c r="N105" i="6" s="1"/>
  <c r="O431" i="6"/>
  <c r="O433" i="6" s="1"/>
  <c r="O105" i="6" s="1"/>
  <c r="O298" i="6"/>
  <c r="L163" i="6"/>
  <c r="L44" i="6" s="1"/>
  <c r="N406" i="4"/>
  <c r="N232" i="4" s="1"/>
  <c r="N233" i="4" s="1"/>
  <c r="N57" i="4" s="1"/>
  <c r="O405" i="4"/>
  <c r="O406" i="4" s="1"/>
  <c r="O232" i="4" s="1"/>
  <c r="O233" i="4" s="1"/>
  <c r="O57" i="4" s="1"/>
  <c r="N373" i="4"/>
  <c r="N190" i="4" s="1"/>
  <c r="O349" i="4"/>
  <c r="O373" i="4" s="1"/>
  <c r="O190" i="4" s="1"/>
  <c r="N306" i="4"/>
  <c r="N114" i="4" s="1"/>
  <c r="N115" i="4" s="1"/>
  <c r="N28" i="4" s="1"/>
  <c r="O305" i="4"/>
  <c r="O306" i="4" s="1"/>
  <c r="O114" i="4" s="1"/>
  <c r="O115" i="4" s="1"/>
  <c r="O28" i="4" s="1"/>
  <c r="N289" i="4"/>
  <c r="N195" i="4" s="1"/>
  <c r="N197" i="4" s="1"/>
  <c r="N27" i="4" s="1"/>
  <c r="O286" i="4"/>
  <c r="O289" i="4" s="1"/>
  <c r="O195" i="4" s="1"/>
  <c r="O197" i="4" s="1"/>
  <c r="O27" i="4" s="1"/>
  <c r="N154" i="4"/>
  <c r="N33" i="4" s="1"/>
  <c r="O151" i="4"/>
  <c r="O154" i="4" s="1"/>
  <c r="O33" i="4" s="1"/>
  <c r="N141" i="4"/>
  <c r="N31" i="4" s="1"/>
  <c r="O139" i="4"/>
  <c r="O141" i="4" s="1"/>
  <c r="O31" i="4" s="1"/>
  <c r="N100" i="4"/>
  <c r="N25" i="4" s="1"/>
  <c r="O97" i="4"/>
  <c r="O100" i="4" s="1"/>
  <c r="O25" i="4" s="1"/>
  <c r="N468" i="3"/>
  <c r="O141" i="3"/>
  <c r="O35" i="3" s="1"/>
  <c r="O747" i="3"/>
  <c r="O696" i="3"/>
  <c r="O688" i="3"/>
  <c r="O687" i="3"/>
  <c r="O695" i="3"/>
  <c r="O689" i="3"/>
  <c r="O686" i="3"/>
  <c r="O692" i="3"/>
  <c r="O685" i="3"/>
  <c r="O723" i="3"/>
  <c r="O722" i="3"/>
  <c r="O721" i="3"/>
  <c r="O727" i="3"/>
  <c r="O731" i="3"/>
  <c r="O730" i="3"/>
  <c r="O724" i="3"/>
  <c r="O720" i="3"/>
  <c r="O608" i="3"/>
  <c r="O100" i="3"/>
  <c r="O28" i="3" s="1"/>
  <c r="O642" i="3"/>
  <c r="N411" i="2"/>
  <c r="N419" i="2"/>
  <c r="O420" i="2"/>
  <c r="N397" i="2"/>
  <c r="N145" i="2" s="1"/>
  <c r="N146" i="2" s="1"/>
  <c r="N46" i="2" s="1"/>
  <c r="O396" i="2"/>
  <c r="O397" i="2" s="1"/>
  <c r="O145" i="2" s="1"/>
  <c r="O146" i="2" s="1"/>
  <c r="O46" i="2" s="1"/>
  <c r="N202" i="2"/>
  <c r="N203" i="2" s="1"/>
  <c r="N54" i="2" s="1"/>
  <c r="O492" i="2"/>
  <c r="M660" i="6"/>
  <c r="M661" i="6" s="1"/>
  <c r="M190" i="6" s="1"/>
  <c r="L388" i="6"/>
  <c r="L392" i="6" s="1"/>
  <c r="L100" i="6" s="1"/>
  <c r="N491" i="5"/>
  <c r="M291" i="3"/>
  <c r="G287" i="7"/>
  <c r="N287" i="7"/>
  <c r="L767" i="3"/>
  <c r="L768" i="3"/>
  <c r="L871" i="6"/>
  <c r="L705" i="6"/>
  <c r="L219" i="6" s="1"/>
  <c r="I457" i="6"/>
  <c r="I458" i="6"/>
  <c r="I402" i="6"/>
  <c r="M594" i="6"/>
  <c r="M596" i="6"/>
  <c r="M595" i="6"/>
  <c r="L598" i="6"/>
  <c r="I401" i="6"/>
  <c r="I255" i="6"/>
  <c r="I256" i="6" s="1"/>
  <c r="M390" i="5"/>
  <c r="M394" i="5" s="1"/>
  <c r="M132" i="5" s="1"/>
  <c r="L529" i="5"/>
  <c r="L535" i="5" s="1"/>
  <c r="L178" i="5" s="1"/>
  <c r="L179" i="5" s="1"/>
  <c r="L50" i="5" s="1"/>
  <c r="M161" i="7"/>
  <c r="M126" i="7"/>
  <c r="L696" i="3"/>
  <c r="M197" i="7"/>
  <c r="M141" i="7"/>
  <c r="R511" i="6"/>
  <c r="L332" i="6"/>
  <c r="L88" i="6" s="1"/>
  <c r="M321" i="6"/>
  <c r="M530" i="5"/>
  <c r="M535" i="5" s="1"/>
  <c r="M178" i="5" s="1"/>
  <c r="M179" i="5" s="1"/>
  <c r="M50" i="5" s="1"/>
  <c r="N178" i="5"/>
  <c r="N179" i="5" s="1"/>
  <c r="N50" i="5" s="1"/>
  <c r="M246" i="3"/>
  <c r="M641" i="5"/>
  <c r="K70" i="72"/>
  <c r="P70" i="72" s="1"/>
  <c r="K8" i="72"/>
  <c r="P8" i="72" s="1"/>
  <c r="L70" i="72"/>
  <c r="Q70" i="72" s="1"/>
  <c r="K71" i="72"/>
  <c r="P71" i="72" s="1"/>
  <c r="K72" i="72"/>
  <c r="P72" i="72" s="1"/>
  <c r="M439" i="2"/>
  <c r="M442" i="2" s="1"/>
  <c r="M176" i="2" s="1"/>
  <c r="M177" i="2" s="1"/>
  <c r="M49" i="2" s="1"/>
  <c r="N514" i="2"/>
  <c r="M389" i="6"/>
  <c r="M392" i="6" s="1"/>
  <c r="M100" i="6" s="1"/>
  <c r="M321" i="7"/>
  <c r="M96" i="7" s="1"/>
  <c r="M229" i="7" s="1"/>
  <c r="N315" i="7"/>
  <c r="M333" i="7"/>
  <c r="M108" i="7" s="1"/>
  <c r="M255" i="7" s="1"/>
  <c r="N340" i="7"/>
  <c r="M370" i="6"/>
  <c r="N369" i="6"/>
  <c r="M747" i="6"/>
  <c r="M702" i="6" s="1"/>
  <c r="N743" i="6"/>
  <c r="M326" i="7"/>
  <c r="M97" i="7" s="1"/>
  <c r="M220" i="7" s="1"/>
  <c r="N323" i="7"/>
  <c r="M222" i="4"/>
  <c r="M55" i="4" s="1"/>
  <c r="N221" i="4"/>
  <c r="M243" i="6"/>
  <c r="M80" i="6" s="1"/>
  <c r="M81" i="6" s="1"/>
  <c r="M34" i="6" s="1"/>
  <c r="N241" i="6"/>
  <c r="M592" i="5"/>
  <c r="N874" i="6"/>
  <c r="M418" i="2"/>
  <c r="M387" i="2"/>
  <c r="M155" i="2" s="1"/>
  <c r="N371" i="2"/>
  <c r="N899" i="6"/>
  <c r="N863" i="6"/>
  <c r="N865" i="6" s="1"/>
  <c r="M175" i="4"/>
  <c r="M36" i="4" s="1"/>
  <c r="N173" i="4"/>
  <c r="M813" i="6"/>
  <c r="M690" i="6" s="1"/>
  <c r="M909" i="6" s="1"/>
  <c r="M911" i="6" s="1"/>
  <c r="N811" i="6"/>
  <c r="M787" i="6"/>
  <c r="M701" i="6" s="1"/>
  <c r="M1070" i="6" s="1"/>
  <c r="N782" i="6"/>
  <c r="M593" i="5"/>
  <c r="N875" i="6"/>
  <c r="M664" i="6"/>
  <c r="M200" i="6" s="1"/>
  <c r="N663" i="6"/>
  <c r="M763" i="6"/>
  <c r="M694" i="6" s="1"/>
  <c r="N762" i="6"/>
  <c r="M39" i="3"/>
  <c r="N587" i="3"/>
  <c r="N161" i="3" s="1"/>
  <c r="N163" i="3" s="1"/>
  <c r="M759" i="6"/>
  <c r="M695" i="6" s="1"/>
  <c r="N758" i="6"/>
  <c r="M365" i="2"/>
  <c r="M140" i="2" s="1"/>
  <c r="N364" i="2"/>
  <c r="M410" i="2"/>
  <c r="N659" i="6"/>
  <c r="O659" i="6" s="1"/>
  <c r="O660" i="6" s="1"/>
  <c r="O661" i="6" s="1"/>
  <c r="O190" i="6" s="1"/>
  <c r="N298" i="6"/>
  <c r="M479" i="6"/>
  <c r="M122" i="6" s="1"/>
  <c r="N478" i="6"/>
  <c r="M207" i="4"/>
  <c r="M52" i="4" s="1"/>
  <c r="N206" i="4"/>
  <c r="M299" i="6"/>
  <c r="N250" i="6"/>
  <c r="M533" i="6"/>
  <c r="M155" i="6" s="1"/>
  <c r="N532" i="6"/>
  <c r="N642" i="3"/>
  <c r="M321" i="4"/>
  <c r="M161" i="4" s="1"/>
  <c r="M163" i="4" s="1"/>
  <c r="M34" i="4" s="1"/>
  <c r="N319" i="4"/>
  <c r="M1073" i="6"/>
  <c r="N1072" i="6"/>
  <c r="M771" i="6"/>
  <c r="M692" i="6" s="1"/>
  <c r="N770" i="6"/>
  <c r="N893" i="6"/>
  <c r="N857" i="6"/>
  <c r="N859" i="6" s="1"/>
  <c r="M482" i="6"/>
  <c r="M123" i="6" s="1"/>
  <c r="N481" i="6"/>
  <c r="M421" i="5"/>
  <c r="N420" i="5"/>
  <c r="M288" i="3"/>
  <c r="M122" i="3" s="1"/>
  <c r="M678" i="3" s="1"/>
  <c r="N286" i="3"/>
  <c r="M1041" i="6"/>
  <c r="M1043" i="6" s="1"/>
  <c r="N1039" i="6"/>
  <c r="N873" i="6"/>
  <c r="N591" i="5" s="1"/>
  <c r="N840" i="6"/>
  <c r="M286" i="5"/>
  <c r="M103" i="5" s="1"/>
  <c r="N285" i="5"/>
  <c r="M372" i="7"/>
  <c r="N368" i="7"/>
  <c r="M775" i="6"/>
  <c r="M696" i="6" s="1"/>
  <c r="N774" i="6"/>
  <c r="M795" i="6"/>
  <c r="M709" i="6" s="1"/>
  <c r="M231" i="6" s="1"/>
  <c r="N794" i="6"/>
  <c r="M287" i="2"/>
  <c r="M101" i="2" s="1"/>
  <c r="N284" i="2"/>
  <c r="M80" i="2"/>
  <c r="N225" i="2"/>
  <c r="M378" i="3"/>
  <c r="M156" i="3" s="1"/>
  <c r="M157" i="3" s="1"/>
  <c r="M38" i="3" s="1"/>
  <c r="N374" i="3"/>
  <c r="M740" i="6"/>
  <c r="M698" i="6" s="1"/>
  <c r="N739" i="6"/>
  <c r="N779" i="6"/>
  <c r="N697" i="6"/>
  <c r="M427" i="6"/>
  <c r="M104" i="6" s="1"/>
  <c r="N426" i="6"/>
  <c r="N157" i="7"/>
  <c r="N175" i="7"/>
  <c r="N193" i="7"/>
  <c r="M145" i="5"/>
  <c r="M44" i="5" s="1"/>
  <c r="N143" i="5"/>
  <c r="M300" i="6"/>
  <c r="N253" i="6"/>
  <c r="M885" i="6"/>
  <c r="M924" i="6" s="1"/>
  <c r="M960" i="6" s="1"/>
  <c r="M1004" i="6" s="1"/>
  <c r="N848" i="6"/>
  <c r="O848" i="6" s="1"/>
  <c r="M217" i="4"/>
  <c r="M54" i="4" s="1"/>
  <c r="N216" i="4"/>
  <c r="M212" i="4"/>
  <c r="M53" i="4" s="1"/>
  <c r="N211" i="4"/>
  <c r="M460" i="2"/>
  <c r="M181" i="2" s="1"/>
  <c r="M182" i="2" s="1"/>
  <c r="M50" i="2" s="1"/>
  <c r="N458" i="2"/>
  <c r="M201" i="6"/>
  <c r="N669" i="6"/>
  <c r="O669" i="6" s="1"/>
  <c r="O673" i="6" s="1"/>
  <c r="O201" i="6" s="1"/>
  <c r="N608" i="3"/>
  <c r="N100" i="3"/>
  <c r="N28" i="3" s="1"/>
  <c r="M126" i="4"/>
  <c r="M29" i="4" s="1"/>
  <c r="N120" i="4"/>
  <c r="M552" i="5"/>
  <c r="M183" i="5" s="1"/>
  <c r="M184" i="5" s="1"/>
  <c r="M51" i="5" s="1"/>
  <c r="N551" i="5"/>
  <c r="M427" i="5"/>
  <c r="M150" i="5" s="1"/>
  <c r="N424" i="5"/>
  <c r="N588" i="6"/>
  <c r="M607" i="6"/>
  <c r="M161" i="6" s="1"/>
  <c r="N605" i="6"/>
  <c r="M620" i="6"/>
  <c r="M169" i="6" s="1"/>
  <c r="N619" i="6"/>
  <c r="N303" i="7"/>
  <c r="N85" i="7"/>
  <c r="M453" i="5"/>
  <c r="M161" i="5" s="1"/>
  <c r="N452" i="5"/>
  <c r="M228" i="4"/>
  <c r="M56" i="4" s="1"/>
  <c r="N227" i="4"/>
  <c r="N923" i="6"/>
  <c r="M355" i="2"/>
  <c r="M139" i="2" s="1"/>
  <c r="N353" i="2"/>
  <c r="M886" i="6"/>
  <c r="M925" i="6" s="1"/>
  <c r="M961" i="6" s="1"/>
  <c r="M1005" i="6" s="1"/>
  <c r="N849" i="6"/>
  <c r="M467" i="3"/>
  <c r="M207" i="2"/>
  <c r="M209" i="2" s="1"/>
  <c r="M55" i="2" s="1"/>
  <c r="N505" i="2"/>
  <c r="O505" i="2" s="1"/>
  <c r="O509" i="2" s="1"/>
  <c r="O207" i="2" s="1"/>
  <c r="O209" i="2" s="1"/>
  <c r="O55" i="2" s="1"/>
  <c r="M390" i="2"/>
  <c r="M156" i="2" s="1"/>
  <c r="N389" i="2"/>
  <c r="M328" i="2"/>
  <c r="M117" i="2" s="1"/>
  <c r="M118" i="2" s="1"/>
  <c r="M41" i="2" s="1"/>
  <c r="M96" i="2"/>
  <c r="M97" i="2" s="1"/>
  <c r="M36" i="2" s="1"/>
  <c r="N280" i="2"/>
  <c r="M323" i="2"/>
  <c r="M112" i="2" s="1"/>
  <c r="M113" i="2" s="1"/>
  <c r="M39" i="2" s="1"/>
  <c r="N322" i="2"/>
  <c r="N747" i="3"/>
  <c r="N141" i="3"/>
  <c r="N35" i="3" s="1"/>
  <c r="M791" i="6"/>
  <c r="M708" i="6" s="1"/>
  <c r="M230" i="6" s="1"/>
  <c r="N790" i="6"/>
  <c r="M767" i="6"/>
  <c r="M693" i="6" s="1"/>
  <c r="N766" i="6"/>
  <c r="M691" i="6"/>
  <c r="N750" i="6"/>
  <c r="O750" i="6" s="1"/>
  <c r="O755" i="6" s="1"/>
  <c r="O691" i="6" s="1"/>
  <c r="M830" i="6"/>
  <c r="M699" i="6" s="1"/>
  <c r="N820" i="6"/>
  <c r="N720" i="3"/>
  <c r="N722" i="3"/>
  <c r="N731" i="3"/>
  <c r="N730" i="3"/>
  <c r="N727" i="3"/>
  <c r="N723" i="3"/>
  <c r="N724" i="3"/>
  <c r="N721" i="3"/>
  <c r="M655" i="6"/>
  <c r="M189" i="6" s="1"/>
  <c r="N654" i="6"/>
  <c r="M107" i="7"/>
  <c r="M254" i="7" s="1"/>
  <c r="N332" i="7"/>
  <c r="M152" i="3"/>
  <c r="M37" i="3" s="1"/>
  <c r="N151" i="3"/>
  <c r="N686" i="3"/>
  <c r="N689" i="3"/>
  <c r="N688" i="3"/>
  <c r="N696" i="3"/>
  <c r="N695" i="3"/>
  <c r="N692" i="3"/>
  <c r="N685" i="3"/>
  <c r="N687" i="3"/>
  <c r="L960" i="6"/>
  <c r="L1004" i="6" s="1"/>
  <c r="L639" i="5"/>
  <c r="L656" i="5"/>
  <c r="L657" i="5" s="1"/>
  <c r="L621" i="5"/>
  <c r="L649" i="5"/>
  <c r="L650" i="5" s="1"/>
  <c r="L614" i="5"/>
  <c r="Q196" i="6"/>
  <c r="R196" i="6"/>
  <c r="M1050" i="6"/>
  <c r="M607" i="5"/>
  <c r="L629" i="5"/>
  <c r="L595" i="5"/>
  <c r="L961" i="6"/>
  <c r="L1005" i="6" s="1"/>
  <c r="L640" i="5"/>
  <c r="L685" i="3"/>
  <c r="L695" i="3"/>
  <c r="L689" i="3"/>
  <c r="L692" i="3"/>
  <c r="L688" i="3"/>
  <c r="L686" i="3"/>
  <c r="M375" i="4"/>
  <c r="L453" i="5"/>
  <c r="L161" i="5" s="1"/>
  <c r="M322" i="5"/>
  <c r="L421" i="5"/>
  <c r="L151" i="5" s="1"/>
  <c r="L45" i="5" s="1"/>
  <c r="L191" i="4"/>
  <c r="L50" i="4" s="1"/>
  <c r="L62" i="4" s="1"/>
  <c r="F70" i="70" s="1"/>
  <c r="L190" i="7"/>
  <c r="L120" i="7"/>
  <c r="L175" i="4"/>
  <c r="L36" i="4" s="1"/>
  <c r="L186" i="7"/>
  <c r="L135" i="7"/>
  <c r="L116" i="7"/>
  <c r="L154" i="7"/>
  <c r="L131" i="7"/>
  <c r="L533" i="6"/>
  <c r="L155" i="6" s="1"/>
  <c r="L245" i="3"/>
  <c r="L168" i="7"/>
  <c r="L390" i="2"/>
  <c r="L156" i="2" s="1"/>
  <c r="L157" i="2" s="1"/>
  <c r="L47" i="2" s="1"/>
  <c r="I457" i="3"/>
  <c r="I458" i="3" s="1"/>
  <c r="I459" i="3" s="1"/>
  <c r="O459" i="3" s="1"/>
  <c r="M344" i="5"/>
  <c r="L157" i="7"/>
  <c r="L175" i="7"/>
  <c r="M545" i="5"/>
  <c r="L193" i="7"/>
  <c r="M354" i="5"/>
  <c r="M455" i="5"/>
  <c r="L909" i="6"/>
  <c r="L911" i="6" s="1"/>
  <c r="M302" i="5"/>
  <c r="L267" i="4"/>
  <c r="L86" i="4" s="1"/>
  <c r="L87" i="4" s="1"/>
  <c r="L23" i="4" s="1"/>
  <c r="M266" i="4"/>
  <c r="L124" i="6"/>
  <c r="L38" i="6" s="1"/>
  <c r="L1028" i="6" s="1"/>
  <c r="M307" i="5"/>
  <c r="M280" i="5"/>
  <c r="L78" i="4"/>
  <c r="L80" i="4" s="1"/>
  <c r="L22" i="4" s="1"/>
  <c r="M258" i="4"/>
  <c r="M260" i="4" s="1"/>
  <c r="M277" i="4"/>
  <c r="L279" i="4"/>
  <c r="L104" i="4" s="1"/>
  <c r="L105" i="4" s="1"/>
  <c r="L26" i="4" s="1"/>
  <c r="M167" i="4"/>
  <c r="L169" i="4"/>
  <c r="L35" i="4" s="1"/>
  <c r="Q231" i="7"/>
  <c r="L334" i="4"/>
  <c r="M333" i="4"/>
  <c r="M130" i="4"/>
  <c r="L135" i="4"/>
  <c r="L30" i="4" s="1"/>
  <c r="L888" i="6"/>
  <c r="M145" i="4"/>
  <c r="L147" i="4"/>
  <c r="L32" i="4" s="1"/>
  <c r="M91" i="4"/>
  <c r="L92" i="4"/>
  <c r="L24" i="4" s="1"/>
  <c r="L337" i="4"/>
  <c r="M336" i="4"/>
  <c r="L134" i="7"/>
  <c r="L119" i="7"/>
  <c r="L153" i="7"/>
  <c r="L171" i="7"/>
  <c r="L189" i="7"/>
  <c r="L358" i="7"/>
  <c r="M353" i="7"/>
  <c r="M303" i="7"/>
  <c r="M85" i="7"/>
  <c r="L270" i="7"/>
  <c r="L239" i="7"/>
  <c r="L254" i="7"/>
  <c r="L262" i="7"/>
  <c r="L245" i="7"/>
  <c r="L100" i="7"/>
  <c r="L35" i="7" s="1"/>
  <c r="L228" i="7"/>
  <c r="L223" i="7"/>
  <c r="L218" i="7"/>
  <c r="L210" i="7"/>
  <c r="L205" i="7"/>
  <c r="L229" i="7"/>
  <c r="L224" i="7"/>
  <c r="L219" i="7"/>
  <c r="L211" i="7"/>
  <c r="L206" i="7"/>
  <c r="L329" i="7"/>
  <c r="M193" i="7"/>
  <c r="M175" i="7"/>
  <c r="M157" i="7"/>
  <c r="K334" i="7"/>
  <c r="L191" i="7"/>
  <c r="L173" i="7"/>
  <c r="L155" i="7"/>
  <c r="L136" i="7"/>
  <c r="L121" i="7"/>
  <c r="L255" i="7"/>
  <c r="L263" i="7"/>
  <c r="L246" i="7"/>
  <c r="L271" i="7"/>
  <c r="L240" i="7"/>
  <c r="L194" i="7"/>
  <c r="L176" i="7"/>
  <c r="L158" i="7"/>
  <c r="L123" i="7"/>
  <c r="L138" i="7"/>
  <c r="M305" i="7"/>
  <c r="N305" i="7" s="1"/>
  <c r="O305" i="7" s="1"/>
  <c r="O306" i="7" s="1"/>
  <c r="O307" i="7" s="1"/>
  <c r="O86" i="7" s="1"/>
  <c r="L306" i="7"/>
  <c r="L307" i="7" s="1"/>
  <c r="L86" i="7" s="1"/>
  <c r="L117" i="7"/>
  <c r="L187" i="7"/>
  <c r="L169" i="7"/>
  <c r="L151" i="7"/>
  <c r="L132" i="7"/>
  <c r="L137" i="7"/>
  <c r="L122" i="7"/>
  <c r="L156" i="7"/>
  <c r="L174" i="7"/>
  <c r="L192" i="7"/>
  <c r="M338" i="7"/>
  <c r="L330" i="7"/>
  <c r="L105" i="7" s="1"/>
  <c r="M361" i="7"/>
  <c r="L365" i="7"/>
  <c r="L139" i="7"/>
  <c r="L177" i="7"/>
  <c r="L159" i="7"/>
  <c r="L195" i="7"/>
  <c r="L124" i="7"/>
  <c r="L230" i="7"/>
  <c r="L225" i="7"/>
  <c r="L220" i="7"/>
  <c r="L212" i="7"/>
  <c r="L207" i="7"/>
  <c r="L185" i="7"/>
  <c r="L167" i="7"/>
  <c r="L149" i="7"/>
  <c r="L130" i="7"/>
  <c r="L115" i="7"/>
  <c r="G285" i="7"/>
  <c r="L285" i="7"/>
  <c r="L1120" i="6"/>
  <c r="I572" i="6"/>
  <c r="I574" i="6" s="1"/>
  <c r="L570" i="6"/>
  <c r="L382" i="6"/>
  <c r="L99" i="6" s="1"/>
  <c r="M381" i="6"/>
  <c r="M851" i="6"/>
  <c r="M853" i="6" s="1"/>
  <c r="L366" i="6"/>
  <c r="L96" i="6" s="1"/>
  <c r="M357" i="6"/>
  <c r="M496" i="6"/>
  <c r="L498" i="6"/>
  <c r="L135" i="6" s="1"/>
  <c r="L136" i="6" s="1"/>
  <c r="L40" i="6" s="1"/>
  <c r="L354" i="6"/>
  <c r="L95" i="6"/>
  <c r="M353" i="6"/>
  <c r="N353" i="6" s="1"/>
  <c r="O353" i="6" s="1"/>
  <c r="M514" i="6"/>
  <c r="M519" i="6" s="1"/>
  <c r="M521" i="6" s="1"/>
  <c r="M873" i="6"/>
  <c r="M591" i="5" s="1"/>
  <c r="M840" i="6"/>
  <c r="L396" i="6"/>
  <c r="L101" i="6" s="1"/>
  <c r="M395" i="6"/>
  <c r="L959" i="6"/>
  <c r="L927" i="6"/>
  <c r="M501" i="6"/>
  <c r="L510" i="6"/>
  <c r="M306" i="6"/>
  <c r="L307" i="6"/>
  <c r="L86" i="6" s="1"/>
  <c r="M923" i="6"/>
  <c r="M638" i="5" s="1"/>
  <c r="M441" i="6"/>
  <c r="L442" i="6"/>
  <c r="L106" i="6" s="1"/>
  <c r="M779" i="6"/>
  <c r="M697" i="6"/>
  <c r="M857" i="6"/>
  <c r="M859" i="6" s="1"/>
  <c r="M893" i="6"/>
  <c r="M613" i="5" s="1"/>
  <c r="I573" i="6"/>
  <c r="I575" i="6" s="1"/>
  <c r="L571" i="6"/>
  <c r="L538" i="6"/>
  <c r="M536" i="6"/>
  <c r="L191" i="6"/>
  <c r="L48" i="6" s="1"/>
  <c r="L644" i="6"/>
  <c r="L174" i="6" s="1"/>
  <c r="L175" i="6" s="1"/>
  <c r="L46" i="6" s="1"/>
  <c r="M641" i="6"/>
  <c r="L894" i="6"/>
  <c r="L932" i="6"/>
  <c r="M899" i="6"/>
  <c r="M620" i="5" s="1"/>
  <c r="M863" i="6"/>
  <c r="M865" i="6" s="1"/>
  <c r="L97" i="6"/>
  <c r="L877" i="6"/>
  <c r="L914" i="6"/>
  <c r="M628" i="6"/>
  <c r="L630" i="6"/>
  <c r="L168" i="6" s="1"/>
  <c r="L170" i="6" s="1"/>
  <c r="L45" i="6" s="1"/>
  <c r="L202" i="6"/>
  <c r="L49" i="6" s="1"/>
  <c r="L185" i="6"/>
  <c r="L47" i="6" s="1"/>
  <c r="M449" i="6"/>
  <c r="L450" i="6"/>
  <c r="L117" i="6" s="1"/>
  <c r="L118" i="6" s="1"/>
  <c r="L55" i="6" s="1"/>
  <c r="L711" i="6"/>
  <c r="L710" i="6"/>
  <c r="L712" i="6"/>
  <c r="L232" i="6"/>
  <c r="L234" i="6"/>
  <c r="L233" i="6"/>
  <c r="M455" i="6"/>
  <c r="L310" i="6"/>
  <c r="L900" i="6"/>
  <c r="L938" i="6"/>
  <c r="M298" i="6"/>
  <c r="M277" i="6"/>
  <c r="M284" i="6" s="1"/>
  <c r="M290" i="6" s="1"/>
  <c r="M292" i="6" s="1"/>
  <c r="M295" i="6" s="1"/>
  <c r="M85" i="6" s="1"/>
  <c r="L1075" i="6"/>
  <c r="L1121" i="6" s="1"/>
  <c r="L493" i="6"/>
  <c r="L130" i="6" s="1"/>
  <c r="L131" i="6" s="1"/>
  <c r="L39" i="6" s="1"/>
  <c r="M489" i="6"/>
  <c r="L546" i="6"/>
  <c r="M543" i="6"/>
  <c r="M398" i="5"/>
  <c r="L410" i="5"/>
  <c r="L138" i="5" s="1"/>
  <c r="L139" i="5" s="1"/>
  <c r="L43" i="5" s="1"/>
  <c r="L559" i="5"/>
  <c r="L193" i="5" s="1"/>
  <c r="L194" i="5" s="1"/>
  <c r="L57" i="5" s="1"/>
  <c r="M558" i="5"/>
  <c r="L225" i="5"/>
  <c r="L85" i="5" s="1"/>
  <c r="M331" i="5"/>
  <c r="L339" i="5"/>
  <c r="L155" i="5" s="1"/>
  <c r="L156" i="5" s="1"/>
  <c r="L46" i="5" s="1"/>
  <c r="M511" i="5"/>
  <c r="L519" i="5"/>
  <c r="L173" i="5" s="1"/>
  <c r="L174" i="5" s="1"/>
  <c r="L49" i="5" s="1"/>
  <c r="L368" i="5"/>
  <c r="L131" i="5" s="1"/>
  <c r="L133" i="5" s="1"/>
  <c r="L42" i="5" s="1"/>
  <c r="M361" i="5"/>
  <c r="M295" i="5"/>
  <c r="L297" i="5"/>
  <c r="L110" i="5" s="1"/>
  <c r="L112" i="5" s="1"/>
  <c r="L38" i="5" s="1"/>
  <c r="L289" i="5"/>
  <c r="L104" i="5" s="1"/>
  <c r="L105" i="5" s="1"/>
  <c r="L37" i="5" s="1"/>
  <c r="M288" i="5"/>
  <c r="L229" i="5"/>
  <c r="L86" i="5" s="1"/>
  <c r="M459" i="5"/>
  <c r="M253" i="5"/>
  <c r="L254" i="5"/>
  <c r="L90" i="5" s="1"/>
  <c r="M489" i="5"/>
  <c r="L499" i="5"/>
  <c r="M248" i="5"/>
  <c r="N248" i="5" s="1"/>
  <c r="O248" i="5" s="1"/>
  <c r="L89" i="5"/>
  <c r="L249" i="5"/>
  <c r="M564" i="5"/>
  <c r="L566" i="5"/>
  <c r="L198" i="5" s="1"/>
  <c r="L199" i="5" s="1"/>
  <c r="L58" i="5" s="1"/>
  <c r="M244" i="5"/>
  <c r="L246" i="5"/>
  <c r="L88" i="5" s="1"/>
  <c r="L652" i="3"/>
  <c r="L651" i="3"/>
  <c r="L660" i="3"/>
  <c r="L657" i="3"/>
  <c r="L653" i="3"/>
  <c r="L650" i="3"/>
  <c r="L654" i="3"/>
  <c r="L661" i="3"/>
  <c r="L519" i="3"/>
  <c r="N225" i="3"/>
  <c r="L223" i="3"/>
  <c r="L474" i="3"/>
  <c r="I475" i="3"/>
  <c r="I476" i="3" s="1"/>
  <c r="I477" i="3" s="1"/>
  <c r="O477" i="3" s="1"/>
  <c r="L128" i="3"/>
  <c r="I449" i="3"/>
  <c r="I450" i="3" s="1"/>
  <c r="I451" i="3" s="1"/>
  <c r="O451" i="3" s="1"/>
  <c r="L448" i="3"/>
  <c r="I413" i="3"/>
  <c r="I414" i="3" s="1"/>
  <c r="I415" i="3" s="1"/>
  <c r="L412" i="3"/>
  <c r="L733" i="3"/>
  <c r="L736" i="3" s="1"/>
  <c r="L278" i="3"/>
  <c r="L284" i="3" s="1"/>
  <c r="L115" i="3" s="1"/>
  <c r="L316" i="3"/>
  <c r="L329" i="3" s="1"/>
  <c r="L135" i="3" s="1"/>
  <c r="N397" i="3"/>
  <c r="L395" i="3"/>
  <c r="L421" i="3"/>
  <c r="N423" i="3"/>
  <c r="L492" i="3"/>
  <c r="L499" i="3" s="1"/>
  <c r="L177" i="3" s="1"/>
  <c r="L178" i="3" s="1"/>
  <c r="I493" i="3"/>
  <c r="I494" i="3" s="1"/>
  <c r="I495" i="3" s="1"/>
  <c r="O495" i="3" s="1"/>
  <c r="L403" i="3"/>
  <c r="N405" i="3"/>
  <c r="L387" i="3"/>
  <c r="N389" i="3"/>
  <c r="L268" i="3"/>
  <c r="L110" i="3" s="1"/>
  <c r="M265" i="3"/>
  <c r="M141" i="3"/>
  <c r="M35" i="3" s="1"/>
  <c r="M747" i="3"/>
  <c r="N326" i="3"/>
  <c r="L324" i="3"/>
  <c r="I432" i="3"/>
  <c r="I433" i="3" s="1"/>
  <c r="I434" i="3" s="1"/>
  <c r="O434" i="3" s="1"/>
  <c r="L431" i="3"/>
  <c r="L512" i="3"/>
  <c r="H208" i="3"/>
  <c r="H209" i="3" s="1"/>
  <c r="L207" i="3"/>
  <c r="L211" i="3" s="1"/>
  <c r="L94" i="3" s="1"/>
  <c r="L95" i="3" s="1"/>
  <c r="L253" i="3"/>
  <c r="L544" i="3"/>
  <c r="N546" i="3"/>
  <c r="L757" i="3"/>
  <c r="L760" i="3"/>
  <c r="L756" i="3"/>
  <c r="L759" i="3"/>
  <c r="L758" i="3"/>
  <c r="L763" i="3"/>
  <c r="M721" i="3"/>
  <c r="M724" i="3"/>
  <c r="M727" i="3"/>
  <c r="M720" i="3"/>
  <c r="M723" i="3"/>
  <c r="M722" i="3"/>
  <c r="M731" i="3"/>
  <c r="M730" i="3"/>
  <c r="N233" i="3"/>
  <c r="L231" i="3"/>
  <c r="L563" i="3"/>
  <c r="N565" i="3"/>
  <c r="M692" i="3"/>
  <c r="M686" i="3"/>
  <c r="M696" i="3"/>
  <c r="M687" i="3"/>
  <c r="M695" i="3"/>
  <c r="M685" i="3"/>
  <c r="M689" i="3"/>
  <c r="M688" i="3"/>
  <c r="N555" i="3"/>
  <c r="L553" i="3"/>
  <c r="L617" i="3"/>
  <c r="L616" i="3"/>
  <c r="L618" i="3"/>
  <c r="L626" i="3"/>
  <c r="L615" i="3"/>
  <c r="L625" i="3"/>
  <c r="L622" i="3"/>
  <c r="L619" i="3"/>
  <c r="M302" i="3"/>
  <c r="N302" i="3" s="1"/>
  <c r="O302" i="3" s="1"/>
  <c r="O329" i="3" s="1"/>
  <c r="O135" i="3" s="1"/>
  <c r="M100" i="3"/>
  <c r="M28" i="3" s="1"/>
  <c r="M608" i="3"/>
  <c r="M642" i="3"/>
  <c r="M296" i="3"/>
  <c r="L134" i="3"/>
  <c r="L138" i="2"/>
  <c r="M358" i="2"/>
  <c r="M360" i="2" s="1"/>
  <c r="L255" i="2"/>
  <c r="L86" i="2" s="1"/>
  <c r="L87" i="2" s="1"/>
  <c r="L34" i="2" s="1"/>
  <c r="M252" i="2"/>
  <c r="I311" i="2"/>
  <c r="I312" i="2" s="1"/>
  <c r="L310" i="2"/>
  <c r="L314" i="2" s="1"/>
  <c r="L107" i="2" s="1"/>
  <c r="L108" i="2" s="1"/>
  <c r="L38" i="2" s="1"/>
  <c r="M229" i="2"/>
  <c r="M242" i="2" s="1"/>
  <c r="L81" i="2"/>
  <c r="L82" i="2" s="1"/>
  <c r="L33" i="2" s="1"/>
  <c r="M274" i="2"/>
  <c r="L277" i="2"/>
  <c r="L91" i="2" s="1"/>
  <c r="L92" i="2" s="1"/>
  <c r="L35" i="2" s="1"/>
  <c r="M294" i="2"/>
  <c r="M296" i="2" s="1"/>
  <c r="L102" i="2"/>
  <c r="M469" i="2"/>
  <c r="L478" i="2"/>
  <c r="L187" i="2" s="1"/>
  <c r="L188" i="2" s="1"/>
  <c r="L51" i="2" s="1"/>
  <c r="L422" i="2"/>
  <c r="L432" i="2" s="1"/>
  <c r="L351" i="2"/>
  <c r="L137" i="2" s="1"/>
  <c r="M348" i="2"/>
  <c r="L101" i="2"/>
  <c r="O499" i="2" l="1"/>
  <c r="O202" i="2" s="1"/>
  <c r="O203" i="2" s="1"/>
  <c r="O54" i="2" s="1"/>
  <c r="M163" i="6"/>
  <c r="T196" i="6" s="1"/>
  <c r="I576" i="6"/>
  <c r="O576" i="6" s="1"/>
  <c r="N574" i="6"/>
  <c r="I577" i="6"/>
  <c r="O577" i="6" s="1"/>
  <c r="N575" i="6"/>
  <c r="N179" i="7"/>
  <c r="N141" i="7"/>
  <c r="N126" i="7"/>
  <c r="N197" i="7"/>
  <c r="O188" i="7"/>
  <c r="O152" i="7"/>
  <c r="O133" i="7"/>
  <c r="O118" i="7"/>
  <c r="O170" i="7"/>
  <c r="L289" i="7"/>
  <c r="L78" i="7" s="1"/>
  <c r="N289" i="7"/>
  <c r="N78" i="7" s="1"/>
  <c r="M70" i="70"/>
  <c r="Y70" i="70"/>
  <c r="N312" i="2"/>
  <c r="N314" i="2" s="1"/>
  <c r="N107" i="2" s="1"/>
  <c r="N108" i="2" s="1"/>
  <c r="N38" i="2" s="1"/>
  <c r="I313" i="2"/>
  <c r="O313" i="2" s="1"/>
  <c r="O314" i="2" s="1"/>
  <c r="O107" i="2" s="1"/>
  <c r="O108" i="2" s="1"/>
  <c r="O38" i="2" s="1"/>
  <c r="O614" i="5"/>
  <c r="O649" i="5"/>
  <c r="O650" i="5" s="1"/>
  <c r="O962" i="6"/>
  <c r="O1006" i="6" s="1"/>
  <c r="O641" i="5"/>
  <c r="O621" i="5"/>
  <c r="O656" i="5"/>
  <c r="O657" i="5" s="1"/>
  <c r="N107" i="7"/>
  <c r="N254" i="7" s="1"/>
  <c r="O332" i="7"/>
  <c r="O107" i="7" s="1"/>
  <c r="O159" i="7"/>
  <c r="O177" i="7"/>
  <c r="O124" i="7"/>
  <c r="O195" i="7"/>
  <c r="O139" i="7"/>
  <c r="N372" i="7"/>
  <c r="O368" i="7"/>
  <c r="O372" i="7" s="1"/>
  <c r="N333" i="7"/>
  <c r="N108" i="7" s="1"/>
  <c r="N255" i="7" s="1"/>
  <c r="O340" i="7"/>
  <c r="O333" i="7" s="1"/>
  <c r="O108" i="7" s="1"/>
  <c r="N321" i="7"/>
  <c r="N96" i="7" s="1"/>
  <c r="N219" i="7" s="1"/>
  <c r="O315" i="7"/>
  <c r="O321" i="7" s="1"/>
  <c r="O96" i="7" s="1"/>
  <c r="O178" i="7"/>
  <c r="O160" i="7"/>
  <c r="O140" i="7"/>
  <c r="O125" i="7"/>
  <c r="O196" i="7"/>
  <c r="N326" i="7"/>
  <c r="N97" i="7" s="1"/>
  <c r="O323" i="7"/>
  <c r="O326" i="7" s="1"/>
  <c r="O97" i="7" s="1"/>
  <c r="O126" i="7"/>
  <c r="O197" i="7"/>
  <c r="O179" i="7"/>
  <c r="O161" i="7"/>
  <c r="O141" i="7"/>
  <c r="O169" i="7"/>
  <c r="O187" i="7"/>
  <c r="O117" i="7"/>
  <c r="O132" i="7"/>
  <c r="O151" i="7"/>
  <c r="O137" i="7"/>
  <c r="O156" i="7"/>
  <c r="O174" i="7"/>
  <c r="O192" i="7"/>
  <c r="O122" i="7"/>
  <c r="O138" i="7"/>
  <c r="O158" i="7"/>
  <c r="O176" i="7"/>
  <c r="O194" i="7"/>
  <c r="O123" i="7"/>
  <c r="O155" i="7"/>
  <c r="O173" i="7"/>
  <c r="O191" i="7"/>
  <c r="O121" i="7"/>
  <c r="O136" i="7"/>
  <c r="O149" i="7"/>
  <c r="O115" i="7"/>
  <c r="O185" i="7"/>
  <c r="O167" i="7"/>
  <c r="O130" i="7"/>
  <c r="O223" i="7"/>
  <c r="O228" i="7"/>
  <c r="O205" i="7"/>
  <c r="O218" i="7"/>
  <c r="O210" i="7"/>
  <c r="O171" i="7"/>
  <c r="O189" i="7"/>
  <c r="O153" i="7"/>
  <c r="O119" i="7"/>
  <c r="O134" i="7"/>
  <c r="N391" i="5"/>
  <c r="N394" i="5" s="1"/>
  <c r="N132" i="5" s="1"/>
  <c r="O392" i="5"/>
  <c r="O394" i="5" s="1"/>
  <c r="O132" i="5" s="1"/>
  <c r="N552" i="5"/>
  <c r="N183" i="5" s="1"/>
  <c r="N184" i="5" s="1"/>
  <c r="N51" i="5" s="1"/>
  <c r="O551" i="5"/>
  <c r="O552" i="5" s="1"/>
  <c r="O183" i="5" s="1"/>
  <c r="O184" i="5" s="1"/>
  <c r="O51" i="5" s="1"/>
  <c r="N291" i="3"/>
  <c r="N128" i="3" s="1"/>
  <c r="O491" i="5"/>
  <c r="O291" i="3" s="1"/>
  <c r="O128" i="3" s="1"/>
  <c r="N453" i="5"/>
  <c r="N161" i="5" s="1"/>
  <c r="O452" i="5"/>
  <c r="O453" i="5" s="1"/>
  <c r="O161" i="5" s="1"/>
  <c r="N421" i="5"/>
  <c r="O420" i="5"/>
  <c r="O421" i="5" s="1"/>
  <c r="N427" i="5"/>
  <c r="N150" i="5" s="1"/>
  <c r="O424" i="5"/>
  <c r="O427" i="5" s="1"/>
  <c r="O150" i="5" s="1"/>
  <c r="N286" i="5"/>
  <c r="N103" i="5" s="1"/>
  <c r="O285" i="5"/>
  <c r="O286" i="5" s="1"/>
  <c r="O103" i="5" s="1"/>
  <c r="O249" i="5"/>
  <c r="O89" i="5"/>
  <c r="N145" i="5"/>
  <c r="N44" i="5" s="1"/>
  <c r="O143" i="5"/>
  <c r="O145" i="5" s="1"/>
  <c r="O44" i="5" s="1"/>
  <c r="S196" i="6"/>
  <c r="N641" i="5"/>
  <c r="N300" i="6"/>
  <c r="O253" i="6"/>
  <c r="O300" i="6" s="1"/>
  <c r="N1073" i="6"/>
  <c r="O1072" i="6"/>
  <c r="O1073" i="6" s="1"/>
  <c r="N1041" i="6"/>
  <c r="N1043" i="6" s="1"/>
  <c r="N1120" i="6" s="1"/>
  <c r="O1039" i="6"/>
  <c r="O1041" i="6" s="1"/>
  <c r="O1043" i="6" s="1"/>
  <c r="O1120" i="6" s="1"/>
  <c r="N592" i="5"/>
  <c r="O874" i="6"/>
  <c r="O592" i="5" s="1"/>
  <c r="N593" i="5"/>
  <c r="O875" i="6"/>
  <c r="O959" i="6"/>
  <c r="O900" i="6"/>
  <c r="O938" i="6"/>
  <c r="O932" i="6"/>
  <c r="O894" i="6"/>
  <c r="N886" i="6"/>
  <c r="N925" i="6" s="1"/>
  <c r="N640" i="5" s="1"/>
  <c r="O849" i="6"/>
  <c r="O886" i="6" s="1"/>
  <c r="O925" i="6" s="1"/>
  <c r="O885" i="6"/>
  <c r="N830" i="6"/>
  <c r="N699" i="6" s="1"/>
  <c r="O820" i="6"/>
  <c r="O830" i="6" s="1"/>
  <c r="O699" i="6" s="1"/>
  <c r="O914" i="6"/>
  <c r="N813" i="6"/>
  <c r="N690" i="6" s="1"/>
  <c r="N909" i="6" s="1"/>
  <c r="N911" i="6" s="1"/>
  <c r="O811" i="6"/>
  <c r="O813" i="6" s="1"/>
  <c r="O690" i="6" s="1"/>
  <c r="O909" i="6" s="1"/>
  <c r="O911" i="6" s="1"/>
  <c r="N795" i="6"/>
  <c r="N709" i="6" s="1"/>
  <c r="N231" i="6" s="1"/>
  <c r="O794" i="6"/>
  <c r="O795" i="6" s="1"/>
  <c r="O709" i="6" s="1"/>
  <c r="O231" i="6" s="1"/>
  <c r="N775" i="6"/>
  <c r="N696" i="6" s="1"/>
  <c r="O774" i="6"/>
  <c r="O775" i="6" s="1"/>
  <c r="O696" i="6" s="1"/>
  <c r="N791" i="6"/>
  <c r="N708" i="6" s="1"/>
  <c r="N711" i="6" s="1"/>
  <c r="O790" i="6"/>
  <c r="O791" i="6" s="1"/>
  <c r="N787" i="6"/>
  <c r="N701" i="6" s="1"/>
  <c r="N1070" i="6" s="1"/>
  <c r="O782" i="6"/>
  <c r="O787" i="6" s="1"/>
  <c r="O701" i="6" s="1"/>
  <c r="O1070" i="6" s="1"/>
  <c r="N771" i="6"/>
  <c r="N692" i="6" s="1"/>
  <c r="O770" i="6"/>
  <c r="O771" i="6" s="1"/>
  <c r="O692" i="6" s="1"/>
  <c r="N763" i="6"/>
  <c r="N694" i="6" s="1"/>
  <c r="O762" i="6"/>
  <c r="O763" i="6" s="1"/>
  <c r="O694" i="6" s="1"/>
  <c r="N767" i="6"/>
  <c r="N693" i="6" s="1"/>
  <c r="O766" i="6"/>
  <c r="O767" i="6" s="1"/>
  <c r="O693" i="6" s="1"/>
  <c r="N759" i="6"/>
  <c r="N695" i="6" s="1"/>
  <c r="O758" i="6"/>
  <c r="O759" i="6" s="1"/>
  <c r="O695" i="6" s="1"/>
  <c r="N740" i="6"/>
  <c r="N698" i="6" s="1"/>
  <c r="O739" i="6"/>
  <c r="O740" i="6" s="1"/>
  <c r="O698" i="6" s="1"/>
  <c r="N747" i="6"/>
  <c r="N702" i="6" s="1"/>
  <c r="O743" i="6"/>
  <c r="O747" i="6" s="1"/>
  <c r="O702" i="6" s="1"/>
  <c r="N655" i="6"/>
  <c r="N189" i="6" s="1"/>
  <c r="O654" i="6"/>
  <c r="O655" i="6" s="1"/>
  <c r="O189" i="6" s="1"/>
  <c r="O191" i="6" s="1"/>
  <c r="O48" i="6" s="1"/>
  <c r="N664" i="6"/>
  <c r="N200" i="6" s="1"/>
  <c r="O663" i="6"/>
  <c r="O664" i="6" s="1"/>
  <c r="O200" i="6" s="1"/>
  <c r="O202" i="6" s="1"/>
  <c r="O49" i="6" s="1"/>
  <c r="N620" i="6"/>
  <c r="N169" i="6" s="1"/>
  <c r="O619" i="6"/>
  <c r="O620" i="6" s="1"/>
  <c r="O169" i="6" s="1"/>
  <c r="N607" i="6"/>
  <c r="N161" i="6" s="1"/>
  <c r="N163" i="6" s="1"/>
  <c r="N44" i="6" s="1"/>
  <c r="O605" i="6"/>
  <c r="O607" i="6" s="1"/>
  <c r="O161" i="6" s="1"/>
  <c r="O163" i="6" s="1"/>
  <c r="O44" i="6" s="1"/>
  <c r="N592" i="6"/>
  <c r="O588" i="6"/>
  <c r="N533" i="6"/>
  <c r="N155" i="6" s="1"/>
  <c r="O532" i="6"/>
  <c r="O533" i="6" s="1"/>
  <c r="O155" i="6" s="1"/>
  <c r="N479" i="6"/>
  <c r="N122" i="6" s="1"/>
  <c r="O478" i="6"/>
  <c r="O479" i="6" s="1"/>
  <c r="O122" i="6" s="1"/>
  <c r="N482" i="6"/>
  <c r="N123" i="6" s="1"/>
  <c r="O481" i="6"/>
  <c r="O482" i="6" s="1"/>
  <c r="O123" i="6" s="1"/>
  <c r="N427" i="6"/>
  <c r="N104" i="6" s="1"/>
  <c r="O426" i="6"/>
  <c r="O427" i="6" s="1"/>
  <c r="O104" i="6" s="1"/>
  <c r="N370" i="6"/>
  <c r="N97" i="6" s="1"/>
  <c r="O369" i="6"/>
  <c r="O370" i="6" s="1"/>
  <c r="O354" i="6"/>
  <c r="O95" i="6"/>
  <c r="N299" i="6"/>
  <c r="O250" i="6"/>
  <c r="N243" i="6"/>
  <c r="N80" i="6" s="1"/>
  <c r="N81" i="6" s="1"/>
  <c r="N34" i="6" s="1"/>
  <c r="O241" i="6"/>
  <c r="O243" i="6" s="1"/>
  <c r="O80" i="6" s="1"/>
  <c r="O81" i="6" s="1"/>
  <c r="O34" i="6" s="1"/>
  <c r="N321" i="4"/>
  <c r="N161" i="4" s="1"/>
  <c r="N163" i="4" s="1"/>
  <c r="N34" i="4" s="1"/>
  <c r="O319" i="4"/>
  <c r="O321" i="4" s="1"/>
  <c r="O161" i="4" s="1"/>
  <c r="O163" i="4" s="1"/>
  <c r="O34" i="4" s="1"/>
  <c r="N228" i="4"/>
  <c r="N56" i="4" s="1"/>
  <c r="O227" i="4"/>
  <c r="O228" i="4" s="1"/>
  <c r="O56" i="4" s="1"/>
  <c r="N222" i="4"/>
  <c r="N55" i="4" s="1"/>
  <c r="O221" i="4"/>
  <c r="O222" i="4" s="1"/>
  <c r="O55" i="4" s="1"/>
  <c r="N212" i="4"/>
  <c r="N53" i="4" s="1"/>
  <c r="O211" i="4"/>
  <c r="O212" i="4" s="1"/>
  <c r="O53" i="4" s="1"/>
  <c r="N217" i="4"/>
  <c r="N54" i="4" s="1"/>
  <c r="O216" i="4"/>
  <c r="O217" i="4" s="1"/>
  <c r="O54" i="4" s="1"/>
  <c r="N207" i="4"/>
  <c r="N52" i="4" s="1"/>
  <c r="O206" i="4"/>
  <c r="O207" i="4" s="1"/>
  <c r="O52" i="4" s="1"/>
  <c r="N175" i="4"/>
  <c r="N36" i="4" s="1"/>
  <c r="O173" i="4"/>
  <c r="O175" i="4" s="1"/>
  <c r="O36" i="4" s="1"/>
  <c r="N126" i="4"/>
  <c r="N29" i="4" s="1"/>
  <c r="O120" i="4"/>
  <c r="O126" i="4" s="1"/>
  <c r="O29" i="4" s="1"/>
  <c r="O698" i="3"/>
  <c r="O701" i="3" s="1"/>
  <c r="N414" i="3"/>
  <c r="O415" i="3"/>
  <c r="N255" i="3"/>
  <c r="O256" i="3"/>
  <c r="O261" i="3" s="1"/>
  <c r="O104" i="3" s="1"/>
  <c r="N514" i="3"/>
  <c r="O515" i="3"/>
  <c r="N521" i="3"/>
  <c r="O522" i="3"/>
  <c r="N209" i="3"/>
  <c r="N211" i="3" s="1"/>
  <c r="N94" i="3" s="1"/>
  <c r="N95" i="3" s="1"/>
  <c r="O209" i="3"/>
  <c r="O211" i="3" s="1"/>
  <c r="O94" i="3" s="1"/>
  <c r="O95" i="3" s="1"/>
  <c r="N458" i="3"/>
  <c r="N494" i="3"/>
  <c r="N499" i="3" s="1"/>
  <c r="N177" i="3" s="1"/>
  <c r="N178" i="3" s="1"/>
  <c r="O499" i="3"/>
  <c r="O177" i="3" s="1"/>
  <c r="O178" i="3" s="1"/>
  <c r="N450" i="3"/>
  <c r="N433" i="3"/>
  <c r="N476" i="3"/>
  <c r="N378" i="3"/>
  <c r="N156" i="3" s="1"/>
  <c r="N157" i="3" s="1"/>
  <c r="N38" i="3" s="1"/>
  <c r="O374" i="3"/>
  <c r="O378" i="3" s="1"/>
  <c r="O156" i="3" s="1"/>
  <c r="O157" i="3" s="1"/>
  <c r="O38" i="3" s="1"/>
  <c r="N288" i="3"/>
  <c r="N122" i="3" s="1"/>
  <c r="N123" i="3" s="1"/>
  <c r="N32" i="3" s="1"/>
  <c r="O286" i="3"/>
  <c r="O288" i="3" s="1"/>
  <c r="O122" i="3" s="1"/>
  <c r="N152" i="3"/>
  <c r="N37" i="3" s="1"/>
  <c r="O151" i="3"/>
  <c r="O152" i="3" s="1"/>
  <c r="O37" i="3" s="1"/>
  <c r="O733" i="3"/>
  <c r="O736" i="3" s="1"/>
  <c r="O757" i="3"/>
  <c r="O768" i="3"/>
  <c r="O756" i="3"/>
  <c r="O767" i="3"/>
  <c r="O763" i="3"/>
  <c r="O760" i="3"/>
  <c r="O759" i="3"/>
  <c r="O758" i="3"/>
  <c r="O661" i="3"/>
  <c r="O653" i="3"/>
  <c r="O652" i="3"/>
  <c r="O651" i="3"/>
  <c r="O660" i="3"/>
  <c r="O657" i="3"/>
  <c r="O650" i="3"/>
  <c r="O654" i="3"/>
  <c r="O617" i="3"/>
  <c r="O616" i="3"/>
  <c r="O615" i="3"/>
  <c r="O618" i="3"/>
  <c r="O625" i="3"/>
  <c r="O622" i="3"/>
  <c r="O619" i="3"/>
  <c r="O626" i="3"/>
  <c r="O422" i="2"/>
  <c r="O432" i="2" s="1"/>
  <c r="N518" i="2"/>
  <c r="O514" i="2"/>
  <c r="O518" i="2" s="1"/>
  <c r="O213" i="2" s="1"/>
  <c r="O215" i="2" s="1"/>
  <c r="O56" i="2" s="1"/>
  <c r="N387" i="2"/>
  <c r="N155" i="2" s="1"/>
  <c r="O371" i="2"/>
  <c r="O387" i="2" s="1"/>
  <c r="O155" i="2" s="1"/>
  <c r="N365" i="2"/>
  <c r="N140" i="2" s="1"/>
  <c r="O364" i="2"/>
  <c r="O365" i="2" s="1"/>
  <c r="O140" i="2" s="1"/>
  <c r="N323" i="2"/>
  <c r="N112" i="2" s="1"/>
  <c r="N113" i="2" s="1"/>
  <c r="N39" i="2" s="1"/>
  <c r="O322" i="2"/>
  <c r="O323" i="2" s="1"/>
  <c r="O112" i="2" s="1"/>
  <c r="O113" i="2" s="1"/>
  <c r="O39" i="2" s="1"/>
  <c r="N355" i="2"/>
  <c r="N139" i="2" s="1"/>
  <c r="O353" i="2"/>
  <c r="O355" i="2" s="1"/>
  <c r="O139" i="2" s="1"/>
  <c r="N460" i="2"/>
  <c r="N181" i="2" s="1"/>
  <c r="N182" i="2" s="1"/>
  <c r="N50" i="2" s="1"/>
  <c r="O458" i="2"/>
  <c r="O460" i="2" s="1"/>
  <c r="O181" i="2" s="1"/>
  <c r="O182" i="2" s="1"/>
  <c r="O50" i="2" s="1"/>
  <c r="N96" i="2"/>
  <c r="N97" i="2" s="1"/>
  <c r="N36" i="2" s="1"/>
  <c r="O280" i="2"/>
  <c r="O96" i="2" s="1"/>
  <c r="O97" i="2" s="1"/>
  <c r="O36" i="2" s="1"/>
  <c r="N390" i="2"/>
  <c r="N156" i="2" s="1"/>
  <c r="O389" i="2"/>
  <c r="O390" i="2" s="1"/>
  <c r="O156" i="2" s="1"/>
  <c r="N80" i="2"/>
  <c r="O225" i="2"/>
  <c r="O80" i="2" s="1"/>
  <c r="N287" i="2"/>
  <c r="N101" i="2" s="1"/>
  <c r="O284" i="2"/>
  <c r="O287" i="2" s="1"/>
  <c r="N328" i="2"/>
  <c r="N117" i="2" s="1"/>
  <c r="N118" i="2" s="1"/>
  <c r="N41" i="2" s="1"/>
  <c r="O328" i="2"/>
  <c r="O117" i="2" s="1"/>
  <c r="O118" i="2" s="1"/>
  <c r="O41" i="2" s="1"/>
  <c r="N660" i="6"/>
  <c r="N661" i="6" s="1"/>
  <c r="N190" i="6" s="1"/>
  <c r="N455" i="6"/>
  <c r="O455" i="6" s="1"/>
  <c r="T188" i="3"/>
  <c r="N509" i="2"/>
  <c r="N207" i="2" s="1"/>
  <c r="N209" i="2" s="1"/>
  <c r="N55" i="2" s="1"/>
  <c r="L438" i="6"/>
  <c r="N755" i="6"/>
  <c r="N691" i="6" s="1"/>
  <c r="M1120" i="6"/>
  <c r="L532" i="3"/>
  <c r="L182" i="3" s="1"/>
  <c r="L183" i="3" s="1"/>
  <c r="L600" i="3" s="1"/>
  <c r="M279" i="3"/>
  <c r="M284" i="3" s="1"/>
  <c r="M115" i="3" s="1"/>
  <c r="M679" i="3" s="1"/>
  <c r="M680" i="3" s="1"/>
  <c r="M700" i="3" s="1"/>
  <c r="N280" i="3"/>
  <c r="N284" i="3" s="1"/>
  <c r="N115" i="3" s="1"/>
  <c r="N767" i="3"/>
  <c r="N768" i="3"/>
  <c r="M767" i="3"/>
  <c r="M768" i="3"/>
  <c r="M871" i="6"/>
  <c r="L879" i="6"/>
  <c r="L1115" i="6" s="1"/>
  <c r="M705" i="6"/>
  <c r="M219" i="6" s="1"/>
  <c r="I459" i="6"/>
  <c r="I403" i="6"/>
  <c r="M598" i="6"/>
  <c r="M97" i="6"/>
  <c r="M304" i="6"/>
  <c r="I259" i="6"/>
  <c r="I260" i="6" s="1"/>
  <c r="M211" i="7"/>
  <c r="M151" i="5"/>
  <c r="M45" i="5" s="1"/>
  <c r="M219" i="7"/>
  <c r="M206" i="7"/>
  <c r="M224" i="7"/>
  <c r="M157" i="2"/>
  <c r="M47" i="2" s="1"/>
  <c r="M230" i="7"/>
  <c r="M225" i="7"/>
  <c r="M207" i="7"/>
  <c r="M212" i="7"/>
  <c r="M246" i="7"/>
  <c r="M240" i="7"/>
  <c r="M271" i="7"/>
  <c r="N673" i="6"/>
  <c r="N201" i="6" s="1"/>
  <c r="L140" i="6"/>
  <c r="R510" i="6"/>
  <c r="M422" i="2"/>
  <c r="M432" i="2" s="1"/>
  <c r="M449" i="2" s="1"/>
  <c r="M332" i="6"/>
  <c r="M88" i="6" s="1"/>
  <c r="N321" i="6"/>
  <c r="N422" i="2"/>
  <c r="N432" i="2" s="1"/>
  <c r="N171" i="2" s="1"/>
  <c r="N172" i="2" s="1"/>
  <c r="N48" i="2" s="1"/>
  <c r="M202" i="6"/>
  <c r="M49" i="6" s="1"/>
  <c r="M124" i="6"/>
  <c r="M38" i="6" s="1"/>
  <c r="M1028" i="6" s="1"/>
  <c r="M1075" i="6"/>
  <c r="M1121" i="6" s="1"/>
  <c r="M44" i="6"/>
  <c r="M191" i="6"/>
  <c r="M48" i="6" s="1"/>
  <c r="N39" i="3"/>
  <c r="M123" i="3"/>
  <c r="M32" i="3" s="1"/>
  <c r="M413" i="3"/>
  <c r="M224" i="3"/>
  <c r="M388" i="3"/>
  <c r="M520" i="3"/>
  <c r="M325" i="3"/>
  <c r="M513" i="3"/>
  <c r="M396" i="3"/>
  <c r="M232" i="3"/>
  <c r="M254" i="3"/>
  <c r="M888" i="6"/>
  <c r="L643" i="5"/>
  <c r="M712" i="6"/>
  <c r="M233" i="6"/>
  <c r="M234" i="6"/>
  <c r="M573" i="6"/>
  <c r="M232" i="6"/>
  <c r="M710" i="6"/>
  <c r="M711" i="6"/>
  <c r="M572" i="6"/>
  <c r="L71" i="72"/>
  <c r="Q71" i="72" s="1"/>
  <c r="K7" i="72"/>
  <c r="P7" i="72" s="1"/>
  <c r="M70" i="72"/>
  <c r="R70" i="72" s="1"/>
  <c r="L72" i="72"/>
  <c r="Q72" i="72" s="1"/>
  <c r="M255" i="2"/>
  <c r="M86" i="2" s="1"/>
  <c r="M87" i="2" s="1"/>
  <c r="M34" i="2" s="1"/>
  <c r="N252" i="2"/>
  <c r="N176" i="7"/>
  <c r="N158" i="7"/>
  <c r="N194" i="7"/>
  <c r="N123" i="7"/>
  <c r="N138" i="7"/>
  <c r="M475" i="3"/>
  <c r="M254" i="5"/>
  <c r="M90" i="5" s="1"/>
  <c r="N253" i="5"/>
  <c r="N757" i="3"/>
  <c r="N756" i="3"/>
  <c r="N759" i="3"/>
  <c r="N763" i="3"/>
  <c r="N758" i="3"/>
  <c r="N760" i="3"/>
  <c r="M478" i="2"/>
  <c r="M187" i="2" s="1"/>
  <c r="M188" i="2" s="1"/>
  <c r="M51" i="2" s="1"/>
  <c r="N469" i="2"/>
  <c r="M81" i="2"/>
  <c r="M82" i="2" s="1"/>
  <c r="M33" i="2" s="1"/>
  <c r="N229" i="2"/>
  <c r="M545" i="3"/>
  <c r="M368" i="5"/>
  <c r="M131" i="5" s="1"/>
  <c r="M133" i="5" s="1"/>
  <c r="M42" i="5" s="1"/>
  <c r="N361" i="5"/>
  <c r="M442" i="6"/>
  <c r="M106" i="6" s="1"/>
  <c r="N441" i="6"/>
  <c r="M510" i="6"/>
  <c r="M140" i="6" s="1"/>
  <c r="M141" i="6" s="1"/>
  <c r="M41" i="6" s="1"/>
  <c r="N501" i="6"/>
  <c r="O501" i="6" s="1"/>
  <c r="O510" i="6" s="1"/>
  <c r="O140" i="6" s="1"/>
  <c r="O141" i="6" s="1"/>
  <c r="O41" i="6" s="1"/>
  <c r="M239" i="7"/>
  <c r="N171" i="7"/>
  <c r="N134" i="7"/>
  <c r="N119" i="7"/>
  <c r="N153" i="7"/>
  <c r="N189" i="7"/>
  <c r="M147" i="4"/>
  <c r="M32" i="4" s="1"/>
  <c r="N145" i="4"/>
  <c r="M279" i="4"/>
  <c r="M104" i="4" s="1"/>
  <c r="M105" i="4" s="1"/>
  <c r="M26" i="4" s="1"/>
  <c r="N277" i="4"/>
  <c r="M456" i="5"/>
  <c r="M162" i="5" s="1"/>
  <c r="N455" i="5"/>
  <c r="M538" i="6"/>
  <c r="N536" i="6"/>
  <c r="N117" i="7"/>
  <c r="N187" i="7"/>
  <c r="N132" i="7"/>
  <c r="N151" i="7"/>
  <c r="N169" i="7"/>
  <c r="N306" i="7"/>
  <c r="N307" i="7" s="1"/>
  <c r="N86" i="7" s="1"/>
  <c r="M270" i="7"/>
  <c r="M356" i="5"/>
  <c r="M126" i="5" s="1"/>
  <c r="M127" i="5" s="1"/>
  <c r="M41" i="5" s="1"/>
  <c r="N354" i="5"/>
  <c r="N195" i="7"/>
  <c r="N177" i="7"/>
  <c r="N159" i="7"/>
  <c r="N139" i="7"/>
  <c r="N124" i="7"/>
  <c r="N885" i="6"/>
  <c r="N851" i="6"/>
  <c r="N853" i="6" s="1"/>
  <c r="N1050" i="6"/>
  <c r="N607" i="5"/>
  <c r="M311" i="2"/>
  <c r="M314" i="2" s="1"/>
  <c r="M107" i="2" s="1"/>
  <c r="M108" i="2" s="1"/>
  <c r="M38" i="2" s="1"/>
  <c r="N894" i="6"/>
  <c r="N613" i="5"/>
  <c r="N932" i="6"/>
  <c r="M519" i="5"/>
  <c r="M173" i="5" s="1"/>
  <c r="M174" i="5" s="1"/>
  <c r="M49" i="5" s="1"/>
  <c r="N511" i="5"/>
  <c r="M78" i="4"/>
  <c r="M80" i="4" s="1"/>
  <c r="M22" i="4" s="1"/>
  <c r="N258" i="4"/>
  <c r="N260" i="4" s="1"/>
  <c r="M339" i="5"/>
  <c r="M155" i="5" s="1"/>
  <c r="M156" i="5" s="1"/>
  <c r="M46" i="5" s="1"/>
  <c r="N331" i="5"/>
  <c r="M404" i="3"/>
  <c r="M449" i="3"/>
  <c r="M546" i="6"/>
  <c r="N543" i="6"/>
  <c r="M267" i="4"/>
  <c r="M86" i="4" s="1"/>
  <c r="M87" i="4" s="1"/>
  <c r="M23" i="4" s="1"/>
  <c r="N266" i="4"/>
  <c r="M102" i="2"/>
  <c r="M103" i="2" s="1"/>
  <c r="M37" i="2" s="1"/>
  <c r="N294" i="2"/>
  <c r="O294" i="2" s="1"/>
  <c r="O296" i="2" s="1"/>
  <c r="O102" i="2" s="1"/>
  <c r="M225" i="5"/>
  <c r="M85" i="5" s="1"/>
  <c r="M644" i="6"/>
  <c r="M174" i="6" s="1"/>
  <c r="M175" i="6" s="1"/>
  <c r="M46" i="6" s="1"/>
  <c r="N641" i="6"/>
  <c r="M366" i="6"/>
  <c r="M96" i="6" s="1"/>
  <c r="N357" i="6"/>
  <c r="M330" i="7"/>
  <c r="M105" i="7" s="1"/>
  <c r="M252" i="7" s="1"/>
  <c r="N338" i="7"/>
  <c r="O338" i="7" s="1"/>
  <c r="M358" i="7"/>
  <c r="N353" i="7"/>
  <c r="O353" i="7" s="1"/>
  <c r="M138" i="2"/>
  <c r="N358" i="2"/>
  <c r="O358" i="2" s="1"/>
  <c r="O360" i="2" s="1"/>
  <c r="O138" i="2" s="1"/>
  <c r="M283" i="5"/>
  <c r="M102" i="5" s="1"/>
  <c r="N280" i="5"/>
  <c r="M289" i="5"/>
  <c r="M104" i="5" s="1"/>
  <c r="N288" i="5"/>
  <c r="N149" i="7"/>
  <c r="N130" i="7"/>
  <c r="N167" i="7"/>
  <c r="N115" i="7"/>
  <c r="N185" i="7"/>
  <c r="M350" i="5"/>
  <c r="M121" i="5" s="1"/>
  <c r="M122" i="5" s="1"/>
  <c r="M40" i="5" s="1"/>
  <c r="N344" i="5"/>
  <c r="M639" i="5"/>
  <c r="M547" i="5"/>
  <c r="N545" i="5"/>
  <c r="M566" i="5"/>
  <c r="M198" i="5" s="1"/>
  <c r="M199" i="5" s="1"/>
  <c r="M58" i="5" s="1"/>
  <c r="N564" i="5"/>
  <c r="M493" i="6"/>
  <c r="M130" i="6" s="1"/>
  <c r="M131" i="6" s="1"/>
  <c r="M39" i="6" s="1"/>
  <c r="N489" i="6"/>
  <c r="M334" i="4"/>
  <c r="N333" i="4"/>
  <c r="M277" i="2"/>
  <c r="M91" i="2" s="1"/>
  <c r="M92" i="2" s="1"/>
  <c r="M35" i="2" s="1"/>
  <c r="N274" i="2"/>
  <c r="M134" i="3"/>
  <c r="N296" i="3"/>
  <c r="N89" i="5"/>
  <c r="N249" i="5"/>
  <c r="M559" i="5"/>
  <c r="M193" i="5" s="1"/>
  <c r="M194" i="5" s="1"/>
  <c r="M57" i="5" s="1"/>
  <c r="N558" i="5"/>
  <c r="N514" i="6"/>
  <c r="M263" i="7"/>
  <c r="M314" i="5"/>
  <c r="M111" i="5" s="1"/>
  <c r="N307" i="5"/>
  <c r="M303" i="5"/>
  <c r="M109" i="5" s="1"/>
  <c r="N302" i="5"/>
  <c r="N638" i="5"/>
  <c r="N959" i="6"/>
  <c r="N277" i="6"/>
  <c r="N284" i="6" s="1"/>
  <c r="N290" i="6" s="1"/>
  <c r="N292" i="6" s="1"/>
  <c r="N295" i="6" s="1"/>
  <c r="N85" i="6" s="1"/>
  <c r="N900" i="6"/>
  <c r="N620" i="5"/>
  <c r="N938" i="6"/>
  <c r="N191" i="7"/>
  <c r="N155" i="7"/>
  <c r="N136" i="7"/>
  <c r="N121" i="7"/>
  <c r="N173" i="7"/>
  <c r="M128" i="3"/>
  <c r="M130" i="3" s="1"/>
  <c r="M33" i="3" s="1"/>
  <c r="M640" i="5"/>
  <c r="M351" i="2"/>
  <c r="M137" i="2" s="1"/>
  <c r="N348" i="2"/>
  <c r="M630" i="6"/>
  <c r="M168" i="6" s="1"/>
  <c r="M170" i="6" s="1"/>
  <c r="M45" i="6" s="1"/>
  <c r="N628" i="6"/>
  <c r="M382" i="6"/>
  <c r="M99" i="6" s="1"/>
  <c r="N381" i="6"/>
  <c r="M245" i="7"/>
  <c r="N228" i="7"/>
  <c r="N223" i="7"/>
  <c r="N218" i="7"/>
  <c r="N205" i="7"/>
  <c r="N210" i="7"/>
  <c r="M457" i="3"/>
  <c r="M154" i="7"/>
  <c r="M327" i="5"/>
  <c r="M116" i="5" s="1"/>
  <c r="M117" i="5" s="1"/>
  <c r="M39" i="5" s="1"/>
  <c r="N322" i="5"/>
  <c r="N651" i="3"/>
  <c r="N661" i="3"/>
  <c r="N654" i="3"/>
  <c r="N660" i="3"/>
  <c r="N657" i="3"/>
  <c r="N653" i="3"/>
  <c r="N650" i="3"/>
  <c r="N652" i="3"/>
  <c r="M432" i="3"/>
  <c r="M493" i="3"/>
  <c r="M499" i="3" s="1"/>
  <c r="M177" i="3" s="1"/>
  <c r="M178" i="3" s="1"/>
  <c r="M599" i="3" s="1"/>
  <c r="M365" i="7"/>
  <c r="N361" i="7"/>
  <c r="M135" i="4"/>
  <c r="M30" i="4" s="1"/>
  <c r="N130" i="4"/>
  <c r="N616" i="3"/>
  <c r="N625" i="3"/>
  <c r="N622" i="3"/>
  <c r="N619" i="3"/>
  <c r="N617" i="3"/>
  <c r="N626" i="3"/>
  <c r="N618" i="3"/>
  <c r="N615" i="3"/>
  <c r="M422" i="3"/>
  <c r="M208" i="3"/>
  <c r="M211" i="3" s="1"/>
  <c r="M94" i="3" s="1"/>
  <c r="M95" i="3" s="1"/>
  <c r="M609" i="3" s="1"/>
  <c r="M610" i="3" s="1"/>
  <c r="M630" i="3" s="1"/>
  <c r="M268" i="3"/>
  <c r="M110" i="3" s="1"/>
  <c r="M643" i="3" s="1"/>
  <c r="N265" i="3"/>
  <c r="M499" i="5"/>
  <c r="N489" i="5"/>
  <c r="M307" i="6"/>
  <c r="M86" i="6" s="1"/>
  <c r="N306" i="6"/>
  <c r="N354" i="6"/>
  <c r="N95" i="6"/>
  <c r="N156" i="7"/>
  <c r="N192" i="7"/>
  <c r="N137" i="7"/>
  <c r="N174" i="7"/>
  <c r="N122" i="7"/>
  <c r="M262" i="7"/>
  <c r="M92" i="4"/>
  <c r="M24" i="4" s="1"/>
  <c r="N91" i="4"/>
  <c r="M169" i="4"/>
  <c r="M35" i="4" s="1"/>
  <c r="N167" i="4"/>
  <c r="M116" i="7"/>
  <c r="M484" i="5"/>
  <c r="N459" i="5"/>
  <c r="M450" i="6"/>
  <c r="M117" i="6" s="1"/>
  <c r="M118" i="6" s="1"/>
  <c r="M55" i="6" s="1"/>
  <c r="M67" i="6" s="1"/>
  <c r="G72" i="70" s="1"/>
  <c r="N449" i="6"/>
  <c r="M396" i="6"/>
  <c r="M101" i="6" s="1"/>
  <c r="N395" i="6"/>
  <c r="M337" i="4"/>
  <c r="N336" i="4"/>
  <c r="M564" i="3"/>
  <c r="M185" i="6"/>
  <c r="M47" i="6" s="1"/>
  <c r="M229" i="5"/>
  <c r="M86" i="5" s="1"/>
  <c r="M498" i="6"/>
  <c r="M135" i="6" s="1"/>
  <c r="M136" i="6" s="1"/>
  <c r="M40" i="6" s="1"/>
  <c r="N496" i="6"/>
  <c r="M554" i="3"/>
  <c r="M317" i="3"/>
  <c r="M329" i="3" s="1"/>
  <c r="M135" i="3" s="1"/>
  <c r="M246" i="5"/>
  <c r="M88" i="5" s="1"/>
  <c r="N244" i="5"/>
  <c r="M297" i="5"/>
  <c r="M110" i="5" s="1"/>
  <c r="N295" i="5"/>
  <c r="M410" i="5"/>
  <c r="M138" i="5" s="1"/>
  <c r="M139" i="5" s="1"/>
  <c r="M43" i="5" s="1"/>
  <c r="N398" i="5"/>
  <c r="M189" i="4"/>
  <c r="M191" i="4" s="1"/>
  <c r="M50" i="4" s="1"/>
  <c r="M62" i="4" s="1"/>
  <c r="G70" i="70" s="1"/>
  <c r="N375" i="4"/>
  <c r="N698" i="3"/>
  <c r="N701" i="3" s="1"/>
  <c r="N733" i="3"/>
  <c r="N736" i="3" s="1"/>
  <c r="N914" i="6"/>
  <c r="N877" i="6"/>
  <c r="M656" i="5"/>
  <c r="M657" i="5" s="1"/>
  <c r="M621" i="5"/>
  <c r="L1049" i="6"/>
  <c r="L606" i="5"/>
  <c r="M1048" i="6"/>
  <c r="M605" i="5"/>
  <c r="M1049" i="6"/>
  <c r="M606" i="5"/>
  <c r="M629" i="5"/>
  <c r="M595" i="5"/>
  <c r="M614" i="5"/>
  <c r="M649" i="5"/>
  <c r="M650" i="5" s="1"/>
  <c r="L1048" i="6"/>
  <c r="L605" i="5"/>
  <c r="L698" i="3"/>
  <c r="L701" i="3" s="1"/>
  <c r="M172" i="7"/>
  <c r="M190" i="7"/>
  <c r="M168" i="7"/>
  <c r="M150" i="7"/>
  <c r="M131" i="7"/>
  <c r="M135" i="7"/>
  <c r="M186" i="7"/>
  <c r="M120" i="7"/>
  <c r="L992" i="6"/>
  <c r="L481" i="3"/>
  <c r="L172" i="3" s="1"/>
  <c r="L173" i="3" s="1"/>
  <c r="L45" i="3" s="1"/>
  <c r="L667" i="3" s="1"/>
  <c r="L92" i="5"/>
  <c r="L34" i="5" s="1"/>
  <c r="L713" i="6"/>
  <c r="R231" i="7"/>
  <c r="L47" i="4"/>
  <c r="F5" i="70" s="1"/>
  <c r="M329" i="7"/>
  <c r="M104" i="7" s="1"/>
  <c r="L235" i="6"/>
  <c r="Q199" i="7"/>
  <c r="L141" i="2"/>
  <c r="L44" i="2" s="1"/>
  <c r="L261" i="3"/>
  <c r="L104" i="3" s="1"/>
  <c r="L105" i="3" s="1"/>
  <c r="L29" i="3" s="1"/>
  <c r="L298" i="2"/>
  <c r="L140" i="7"/>
  <c r="L196" i="7"/>
  <c r="L178" i="7"/>
  <c r="L160" i="7"/>
  <c r="L125" i="7"/>
  <c r="L260" i="7"/>
  <c r="L244" i="7"/>
  <c r="L268" i="7"/>
  <c r="L238" i="7"/>
  <c r="L252" i="7"/>
  <c r="M228" i="7"/>
  <c r="M223" i="7"/>
  <c r="M218" i="7"/>
  <c r="M210" i="7"/>
  <c r="M205" i="7"/>
  <c r="M100" i="7"/>
  <c r="M35" i="7" s="1"/>
  <c r="M341" i="7"/>
  <c r="M306" i="7"/>
  <c r="M307" i="7" s="1"/>
  <c r="M86" i="7" s="1"/>
  <c r="M286" i="7"/>
  <c r="G286" i="7"/>
  <c r="M158" i="7"/>
  <c r="M176" i="7"/>
  <c r="M138" i="7"/>
  <c r="M194" i="7"/>
  <c r="M123" i="7"/>
  <c r="M136" i="7"/>
  <c r="M155" i="7"/>
  <c r="M173" i="7"/>
  <c r="M121" i="7"/>
  <c r="M191" i="7"/>
  <c r="M122" i="7"/>
  <c r="M156" i="7"/>
  <c r="M174" i="7"/>
  <c r="M192" i="7"/>
  <c r="M137" i="7"/>
  <c r="M119" i="7"/>
  <c r="M153" i="7"/>
  <c r="M171" i="7"/>
  <c r="M189" i="7"/>
  <c r="M134" i="7"/>
  <c r="M130" i="7"/>
  <c r="M167" i="7"/>
  <c r="M185" i="7"/>
  <c r="M115" i="7"/>
  <c r="M149" i="7"/>
  <c r="M187" i="7"/>
  <c r="M169" i="7"/>
  <c r="M151" i="7"/>
  <c r="M117" i="7"/>
  <c r="M132" i="7"/>
  <c r="Q272" i="7"/>
  <c r="L232" i="7"/>
  <c r="L38" i="7" s="1"/>
  <c r="L334" i="7"/>
  <c r="L104" i="7"/>
  <c r="M139" i="7"/>
  <c r="M177" i="7"/>
  <c r="M195" i="7"/>
  <c r="M124" i="7"/>
  <c r="M159" i="7"/>
  <c r="L974" i="6"/>
  <c r="L939" i="6"/>
  <c r="M310" i="6"/>
  <c r="L314" i="6"/>
  <c r="L317" i="6" s="1"/>
  <c r="L87" i="6" s="1"/>
  <c r="L67" i="6"/>
  <c r="F72" i="70" s="1"/>
  <c r="M354" i="6"/>
  <c r="M95" i="6"/>
  <c r="M959" i="6"/>
  <c r="M927" i="6"/>
  <c r="M894" i="6"/>
  <c r="M932" i="6"/>
  <c r="L1003" i="6"/>
  <c r="L604" i="5" s="1"/>
  <c r="L963" i="6"/>
  <c r="M938" i="6"/>
  <c r="M900" i="6"/>
  <c r="L579" i="6"/>
  <c r="L523" i="6"/>
  <c r="L521" i="6"/>
  <c r="L522" i="6"/>
  <c r="L916" i="6"/>
  <c r="L918" i="6" s="1"/>
  <c r="L1116" i="6" s="1"/>
  <c r="L950" i="6"/>
  <c r="M877" i="6"/>
  <c r="M914" i="6"/>
  <c r="L933" i="6"/>
  <c r="L968" i="6"/>
  <c r="L1013" i="6" s="1"/>
  <c r="L501" i="5"/>
  <c r="L163" i="5" s="1"/>
  <c r="L164" i="5" s="1"/>
  <c r="L47" i="5" s="1"/>
  <c r="L627" i="5" s="1"/>
  <c r="L631" i="5" s="1"/>
  <c r="L69" i="5"/>
  <c r="F71" i="70" s="1"/>
  <c r="M89" i="5"/>
  <c r="M249" i="5"/>
  <c r="L679" i="3"/>
  <c r="L680" i="3" s="1"/>
  <c r="L700" i="3" s="1"/>
  <c r="L116" i="3"/>
  <c r="L31" i="3" s="1"/>
  <c r="L713" i="3"/>
  <c r="L715" i="3" s="1"/>
  <c r="L735" i="3" s="1"/>
  <c r="L130" i="3"/>
  <c r="L33" i="3" s="1"/>
  <c r="M760" i="3"/>
  <c r="M759" i="3"/>
  <c r="M758" i="3"/>
  <c r="M757" i="3"/>
  <c r="M756" i="3"/>
  <c r="M763" i="3"/>
  <c r="L136" i="3"/>
  <c r="L628" i="3"/>
  <c r="L631" i="3" s="1"/>
  <c r="L581" i="3"/>
  <c r="L187" i="3" s="1"/>
  <c r="L188" i="3" s="1"/>
  <c r="L609" i="3"/>
  <c r="L610" i="3" s="1"/>
  <c r="L630" i="3" s="1"/>
  <c r="L27" i="3"/>
  <c r="L663" i="3"/>
  <c r="L666" i="3" s="1"/>
  <c r="M698" i="3"/>
  <c r="M701" i="3" s="1"/>
  <c r="M733" i="3"/>
  <c r="M736" i="3" s="1"/>
  <c r="L770" i="3"/>
  <c r="L773" i="3" s="1"/>
  <c r="L46" i="3"/>
  <c r="L702" i="3" s="1"/>
  <c r="L599" i="3"/>
  <c r="L643" i="3"/>
  <c r="L111" i="3"/>
  <c r="L30" i="3" s="1"/>
  <c r="M657" i="3"/>
  <c r="M660" i="3"/>
  <c r="M651" i="3"/>
  <c r="M650" i="3"/>
  <c r="M652" i="3"/>
  <c r="M661" i="3"/>
  <c r="M653" i="3"/>
  <c r="M654" i="3"/>
  <c r="M617" i="3"/>
  <c r="M618" i="3"/>
  <c r="M626" i="3"/>
  <c r="M616" i="3"/>
  <c r="M622" i="3"/>
  <c r="M625" i="3"/>
  <c r="M619" i="3"/>
  <c r="M615" i="3"/>
  <c r="L438" i="3"/>
  <c r="L167" i="3" s="1"/>
  <c r="L168" i="3" s="1"/>
  <c r="L103" i="2"/>
  <c r="L37" i="2" s="1"/>
  <c r="L449" i="2"/>
  <c r="L171" i="2"/>
  <c r="L172" i="2" s="1"/>
  <c r="L48" i="2" s="1"/>
  <c r="N157" i="2" l="1"/>
  <c r="N47" i="2" s="1"/>
  <c r="N207" i="7"/>
  <c r="N220" i="7"/>
  <c r="M69" i="5"/>
  <c r="G71" i="70" s="1"/>
  <c r="O130" i="3"/>
  <c r="O33" i="3" s="1"/>
  <c r="O713" i="3"/>
  <c r="O715" i="3" s="1"/>
  <c r="O735" i="3" s="1"/>
  <c r="Y71" i="70"/>
  <c r="M71" i="70"/>
  <c r="O72" i="70"/>
  <c r="Z72" i="70"/>
  <c r="M72" i="70"/>
  <c r="Y72" i="70"/>
  <c r="N304" i="6"/>
  <c r="O590" i="6"/>
  <c r="O592" i="6" s="1"/>
  <c r="N596" i="6"/>
  <c r="N594" i="6"/>
  <c r="O579" i="6"/>
  <c r="N212" i="7"/>
  <c r="N225" i="7"/>
  <c r="N170" i="7"/>
  <c r="N188" i="7"/>
  <c r="N230" i="7"/>
  <c r="N239" i="7"/>
  <c r="N262" i="7"/>
  <c r="L188" i="7"/>
  <c r="R199" i="7" s="1"/>
  <c r="L133" i="7"/>
  <c r="L118" i="7"/>
  <c r="L170" i="7"/>
  <c r="L152" i="7"/>
  <c r="L91" i="7"/>
  <c r="L34" i="7" s="1"/>
  <c r="N270" i="7"/>
  <c r="N245" i="7"/>
  <c r="N133" i="7"/>
  <c r="N152" i="7"/>
  <c r="N118" i="7"/>
  <c r="M289" i="7"/>
  <c r="M78" i="7" s="1"/>
  <c r="O70" i="70"/>
  <c r="Z70" i="70"/>
  <c r="Y5" i="70"/>
  <c r="M5" i="70"/>
  <c r="O961" i="6"/>
  <c r="O1005" i="6" s="1"/>
  <c r="O640" i="5"/>
  <c r="O1050" i="6"/>
  <c r="O607" i="5"/>
  <c r="O877" i="6"/>
  <c r="O593" i="5"/>
  <c r="O595" i="5" s="1"/>
  <c r="N229" i="7"/>
  <c r="O225" i="7"/>
  <c r="O207" i="7"/>
  <c r="O220" i="7"/>
  <c r="O212" i="7"/>
  <c r="O230" i="7"/>
  <c r="N100" i="7"/>
  <c r="N35" i="7" s="1"/>
  <c r="N224" i="7"/>
  <c r="N206" i="7"/>
  <c r="O100" i="7"/>
  <c r="O35" i="7" s="1"/>
  <c r="O358" i="7"/>
  <c r="N263" i="7"/>
  <c r="O330" i="7"/>
  <c r="O105" i="7" s="1"/>
  <c r="O341" i="7"/>
  <c r="N271" i="7"/>
  <c r="N240" i="7"/>
  <c r="N211" i="7"/>
  <c r="O240" i="7"/>
  <c r="O255" i="7"/>
  <c r="O263" i="7"/>
  <c r="O246" i="7"/>
  <c r="O271" i="7"/>
  <c r="N365" i="7"/>
  <c r="O361" i="7"/>
  <c r="O365" i="7" s="1"/>
  <c r="N246" i="7"/>
  <c r="O245" i="7"/>
  <c r="O239" i="7"/>
  <c r="O254" i="7"/>
  <c r="O270" i="7"/>
  <c r="O262" i="7"/>
  <c r="O224" i="7"/>
  <c r="O229" i="7"/>
  <c r="O211" i="7"/>
  <c r="O219" i="7"/>
  <c r="O206" i="7"/>
  <c r="O186" i="7"/>
  <c r="O131" i="7"/>
  <c r="O168" i="7"/>
  <c r="O150" i="7"/>
  <c r="O116" i="7"/>
  <c r="O91" i="7"/>
  <c r="O34" i="7" s="1"/>
  <c r="O154" i="7"/>
  <c r="O190" i="7"/>
  <c r="O172" i="7"/>
  <c r="O135" i="7"/>
  <c r="O120" i="7"/>
  <c r="N151" i="5"/>
  <c r="N45" i="5" s="1"/>
  <c r="N559" i="5"/>
  <c r="N193" i="5" s="1"/>
  <c r="N194" i="5" s="1"/>
  <c r="N57" i="5" s="1"/>
  <c r="O558" i="5"/>
  <c r="O559" i="5" s="1"/>
  <c r="O193" i="5" s="1"/>
  <c r="O194" i="5" s="1"/>
  <c r="O57" i="5" s="1"/>
  <c r="N547" i="5"/>
  <c r="O545" i="5"/>
  <c r="O546" i="5" s="1"/>
  <c r="O547" i="5" s="1"/>
  <c r="N566" i="5"/>
  <c r="N198" i="5" s="1"/>
  <c r="N199" i="5" s="1"/>
  <c r="N58" i="5" s="1"/>
  <c r="O564" i="5"/>
  <c r="O566" i="5" s="1"/>
  <c r="O198" i="5" s="1"/>
  <c r="O199" i="5" s="1"/>
  <c r="O58" i="5" s="1"/>
  <c r="N519" i="5"/>
  <c r="N173" i="5" s="1"/>
  <c r="N174" i="5" s="1"/>
  <c r="N49" i="5" s="1"/>
  <c r="O511" i="5"/>
  <c r="O519" i="5" s="1"/>
  <c r="O173" i="5" s="1"/>
  <c r="O174" i="5" s="1"/>
  <c r="O49" i="5" s="1"/>
  <c r="N499" i="5"/>
  <c r="O489" i="5"/>
  <c r="O499" i="5" s="1"/>
  <c r="N484" i="5"/>
  <c r="N501" i="5" s="1"/>
  <c r="N163" i="5" s="1"/>
  <c r="O459" i="5"/>
  <c r="O484" i="5" s="1"/>
  <c r="N456" i="5"/>
  <c r="N162" i="5" s="1"/>
  <c r="O455" i="5"/>
  <c r="O456" i="5" s="1"/>
  <c r="O162" i="5" s="1"/>
  <c r="O151" i="5"/>
  <c r="O45" i="5" s="1"/>
  <c r="N410" i="5"/>
  <c r="N138" i="5" s="1"/>
  <c r="N139" i="5" s="1"/>
  <c r="N43" i="5" s="1"/>
  <c r="O398" i="5"/>
  <c r="O410" i="5" s="1"/>
  <c r="O138" i="5" s="1"/>
  <c r="O139" i="5" s="1"/>
  <c r="O43" i="5" s="1"/>
  <c r="N368" i="5"/>
  <c r="N131" i="5" s="1"/>
  <c r="N133" i="5" s="1"/>
  <c r="N42" i="5" s="1"/>
  <c r="O361" i="5"/>
  <c r="O368" i="5" s="1"/>
  <c r="O131" i="5" s="1"/>
  <c r="O133" i="5" s="1"/>
  <c r="O42" i="5" s="1"/>
  <c r="N339" i="5"/>
  <c r="N155" i="5" s="1"/>
  <c r="N156" i="5" s="1"/>
  <c r="N46" i="5" s="1"/>
  <c r="O331" i="5"/>
  <c r="O339" i="5" s="1"/>
  <c r="O155" i="5" s="1"/>
  <c r="O156" i="5" s="1"/>
  <c r="O46" i="5" s="1"/>
  <c r="N356" i="5"/>
  <c r="N126" i="5" s="1"/>
  <c r="N127" i="5" s="1"/>
  <c r="N41" i="5" s="1"/>
  <c r="O354" i="5"/>
  <c r="O356" i="5" s="1"/>
  <c r="O126" i="5" s="1"/>
  <c r="O127" i="5" s="1"/>
  <c r="O41" i="5" s="1"/>
  <c r="N327" i="5"/>
  <c r="N116" i="5" s="1"/>
  <c r="N117" i="5" s="1"/>
  <c r="N39" i="5" s="1"/>
  <c r="O322" i="5"/>
  <c r="O327" i="5" s="1"/>
  <c r="O116" i="5" s="1"/>
  <c r="O117" i="5" s="1"/>
  <c r="O39" i="5" s="1"/>
  <c r="N350" i="5"/>
  <c r="N121" i="5" s="1"/>
  <c r="N122" i="5" s="1"/>
  <c r="N40" i="5" s="1"/>
  <c r="O344" i="5"/>
  <c r="O350" i="5" s="1"/>
  <c r="O121" i="5" s="1"/>
  <c r="O122" i="5" s="1"/>
  <c r="O40" i="5" s="1"/>
  <c r="N297" i="5"/>
  <c r="N110" i="5" s="1"/>
  <c r="O295" i="5"/>
  <c r="O297" i="5" s="1"/>
  <c r="O110" i="5" s="1"/>
  <c r="N314" i="5"/>
  <c r="N111" i="5" s="1"/>
  <c r="O307" i="5"/>
  <c r="O314" i="5" s="1"/>
  <c r="O111" i="5" s="1"/>
  <c r="N303" i="5"/>
  <c r="N109" i="5" s="1"/>
  <c r="O302" i="5"/>
  <c r="O303" i="5" s="1"/>
  <c r="O109" i="5" s="1"/>
  <c r="N289" i="5"/>
  <c r="N104" i="5" s="1"/>
  <c r="O288" i="5"/>
  <c r="O289" i="5" s="1"/>
  <c r="O104" i="5" s="1"/>
  <c r="N283" i="5"/>
  <c r="N102" i="5" s="1"/>
  <c r="O280" i="5"/>
  <c r="O283" i="5" s="1"/>
  <c r="O102" i="5" s="1"/>
  <c r="N246" i="5"/>
  <c r="N88" i="5" s="1"/>
  <c r="O244" i="5"/>
  <c r="O246" i="5" s="1"/>
  <c r="O88" i="5" s="1"/>
  <c r="N254" i="5"/>
  <c r="N90" i="5" s="1"/>
  <c r="O253" i="5"/>
  <c r="O254" i="5" s="1"/>
  <c r="O90" i="5" s="1"/>
  <c r="N225" i="5"/>
  <c r="N85" i="5" s="1"/>
  <c r="O225" i="5"/>
  <c r="O85" i="5" s="1"/>
  <c r="N229" i="5"/>
  <c r="N86" i="5" s="1"/>
  <c r="O229" i="5"/>
  <c r="O86" i="5" s="1"/>
  <c r="O1075" i="6"/>
  <c r="O1121" i="6" s="1"/>
  <c r="N871" i="6"/>
  <c r="N232" i="6"/>
  <c r="N233" i="6"/>
  <c r="N710" i="6"/>
  <c r="N712" i="6"/>
  <c r="N124" i="6"/>
  <c r="N38" i="6" s="1"/>
  <c r="N1028" i="6" s="1"/>
  <c r="N1075" i="6"/>
  <c r="N1121" i="6" s="1"/>
  <c r="N705" i="6"/>
  <c r="N219" i="6" s="1"/>
  <c r="N230" i="6"/>
  <c r="O851" i="6"/>
  <c r="O853" i="6" s="1"/>
  <c r="O1080" i="6" s="1"/>
  <c r="N202" i="6"/>
  <c r="N49" i="6" s="1"/>
  <c r="N595" i="6"/>
  <c r="N191" i="6"/>
  <c r="N48" i="6" s="1"/>
  <c r="O924" i="6"/>
  <c r="O639" i="5" s="1"/>
  <c r="O888" i="6"/>
  <c r="N961" i="6"/>
  <c r="N1005" i="6" s="1"/>
  <c r="N606" i="5" s="1"/>
  <c r="O933" i="6"/>
  <c r="O969" i="6" s="1"/>
  <c r="O968" i="6"/>
  <c r="O1013" i="6" s="1"/>
  <c r="O974" i="6"/>
  <c r="O939" i="6"/>
  <c r="O1003" i="6"/>
  <c r="O604" i="5" s="1"/>
  <c r="O916" i="6"/>
  <c r="O918" i="6" s="1"/>
  <c r="O950" i="6"/>
  <c r="N234" i="6"/>
  <c r="O705" i="6"/>
  <c r="O219" i="6" s="1"/>
  <c r="O708" i="6"/>
  <c r="O871" i="6"/>
  <c r="N644" i="6"/>
  <c r="N174" i="6" s="1"/>
  <c r="N175" i="6" s="1"/>
  <c r="N46" i="6" s="1"/>
  <c r="O641" i="6"/>
  <c r="O644" i="6" s="1"/>
  <c r="O174" i="6" s="1"/>
  <c r="O175" i="6" s="1"/>
  <c r="O46" i="6" s="1"/>
  <c r="N630" i="6"/>
  <c r="N168" i="6" s="1"/>
  <c r="N170" i="6" s="1"/>
  <c r="N45" i="6" s="1"/>
  <c r="N992" i="6" s="1"/>
  <c r="O628" i="6"/>
  <c r="O630" i="6" s="1"/>
  <c r="O168" i="6" s="1"/>
  <c r="O170" i="6" s="1"/>
  <c r="O45" i="6" s="1"/>
  <c r="N538" i="6"/>
  <c r="O536" i="6"/>
  <c r="O538" i="6" s="1"/>
  <c r="N546" i="6"/>
  <c r="O543" i="6"/>
  <c r="O546" i="6" s="1"/>
  <c r="N519" i="6"/>
  <c r="N521" i="6" s="1"/>
  <c r="O514" i="6"/>
  <c r="O519" i="6" s="1"/>
  <c r="N498" i="6"/>
  <c r="N135" i="6" s="1"/>
  <c r="N136" i="6" s="1"/>
  <c r="N40" i="6" s="1"/>
  <c r="O496" i="6"/>
  <c r="O498" i="6" s="1"/>
  <c r="O135" i="6" s="1"/>
  <c r="O136" i="6" s="1"/>
  <c r="O40" i="6" s="1"/>
  <c r="O124" i="6"/>
  <c r="O38" i="6" s="1"/>
  <c r="N493" i="6"/>
  <c r="N130" i="6" s="1"/>
  <c r="N131" i="6" s="1"/>
  <c r="N39" i="6" s="1"/>
  <c r="O489" i="6"/>
  <c r="O493" i="6" s="1"/>
  <c r="O130" i="6" s="1"/>
  <c r="O131" i="6" s="1"/>
  <c r="O39" i="6" s="1"/>
  <c r="N442" i="6"/>
  <c r="N106" i="6" s="1"/>
  <c r="O441" i="6"/>
  <c r="O442" i="6" s="1"/>
  <c r="O106" i="6" s="1"/>
  <c r="N450" i="6"/>
  <c r="N117" i="6" s="1"/>
  <c r="N118" i="6" s="1"/>
  <c r="N55" i="6" s="1"/>
  <c r="N67" i="6" s="1"/>
  <c r="H72" i="70" s="1"/>
  <c r="O449" i="6"/>
  <c r="O450" i="6" s="1"/>
  <c r="O117" i="6" s="1"/>
  <c r="O118" i="6" s="1"/>
  <c r="O55" i="6" s="1"/>
  <c r="O67" i="6" s="1"/>
  <c r="I72" i="70" s="1"/>
  <c r="N396" i="6"/>
  <c r="N101" i="6" s="1"/>
  <c r="O395" i="6"/>
  <c r="O396" i="6" s="1"/>
  <c r="O101" i="6" s="1"/>
  <c r="N382" i="6"/>
  <c r="N99" i="6" s="1"/>
  <c r="O381" i="6"/>
  <c r="O382" i="6" s="1"/>
  <c r="O99" i="6" s="1"/>
  <c r="N366" i="6"/>
  <c r="N96" i="6" s="1"/>
  <c r="O357" i="6"/>
  <c r="O366" i="6" s="1"/>
  <c r="O96" i="6" s="1"/>
  <c r="O97" i="6"/>
  <c r="N332" i="6"/>
  <c r="N88" i="6" s="1"/>
  <c r="O321" i="6"/>
  <c r="O332" i="6" s="1"/>
  <c r="O88" i="6" s="1"/>
  <c r="N307" i="6"/>
  <c r="N86" i="6" s="1"/>
  <c r="O306" i="6"/>
  <c r="O307" i="6" s="1"/>
  <c r="O86" i="6" s="1"/>
  <c r="O299" i="6"/>
  <c r="O304" i="6" s="1"/>
  <c r="O277" i="6"/>
  <c r="O284" i="6" s="1"/>
  <c r="O290" i="6" s="1"/>
  <c r="O292" i="6" s="1"/>
  <c r="O295" i="6" s="1"/>
  <c r="O85" i="6" s="1"/>
  <c r="N185" i="6"/>
  <c r="N47" i="6" s="1"/>
  <c r="O185" i="6"/>
  <c r="O47" i="6" s="1"/>
  <c r="N189" i="4"/>
  <c r="N191" i="4" s="1"/>
  <c r="N50" i="4" s="1"/>
  <c r="N62" i="4" s="1"/>
  <c r="H70" i="70" s="1"/>
  <c r="O375" i="4"/>
  <c r="O189" i="4" s="1"/>
  <c r="O191" i="4" s="1"/>
  <c r="O50" i="4" s="1"/>
  <c r="O62" i="4" s="1"/>
  <c r="I70" i="70" s="1"/>
  <c r="N334" i="4"/>
  <c r="O333" i="4"/>
  <c r="O334" i="4" s="1"/>
  <c r="N337" i="4"/>
  <c r="O336" i="4"/>
  <c r="O337" i="4" s="1"/>
  <c r="N279" i="4"/>
  <c r="N104" i="4" s="1"/>
  <c r="N105" i="4" s="1"/>
  <c r="N26" i="4" s="1"/>
  <c r="O277" i="4"/>
  <c r="O279" i="4" s="1"/>
  <c r="O104" i="4" s="1"/>
  <c r="O105" i="4" s="1"/>
  <c r="O26" i="4" s="1"/>
  <c r="N267" i="4"/>
  <c r="N86" i="4" s="1"/>
  <c r="N87" i="4" s="1"/>
  <c r="N23" i="4" s="1"/>
  <c r="O266" i="4"/>
  <c r="O267" i="4" s="1"/>
  <c r="O86" i="4" s="1"/>
  <c r="O87" i="4" s="1"/>
  <c r="O23" i="4" s="1"/>
  <c r="N78" i="4"/>
  <c r="N80" i="4" s="1"/>
  <c r="N22" i="4" s="1"/>
  <c r="O258" i="4"/>
  <c r="O260" i="4" s="1"/>
  <c r="O78" i="4" s="1"/>
  <c r="O80" i="4" s="1"/>
  <c r="O22" i="4" s="1"/>
  <c r="N169" i="4"/>
  <c r="N35" i="4" s="1"/>
  <c r="O167" i="4"/>
  <c r="O169" i="4" s="1"/>
  <c r="O35" i="4" s="1"/>
  <c r="N147" i="4"/>
  <c r="N32" i="4" s="1"/>
  <c r="O145" i="4"/>
  <c r="O147" i="4" s="1"/>
  <c r="O32" i="4" s="1"/>
  <c r="N135" i="4"/>
  <c r="N30" i="4" s="1"/>
  <c r="O130" i="4"/>
  <c r="O135" i="4" s="1"/>
  <c r="O30" i="4" s="1"/>
  <c r="N92" i="4"/>
  <c r="N24" i="4" s="1"/>
  <c r="O91" i="4"/>
  <c r="O92" i="4" s="1"/>
  <c r="O24" i="4" s="1"/>
  <c r="N532" i="3"/>
  <c r="N182" i="3" s="1"/>
  <c r="N183" i="3" s="1"/>
  <c r="N47" i="3" s="1"/>
  <c r="N737" i="3" s="1"/>
  <c r="O438" i="3"/>
  <c r="O167" i="3" s="1"/>
  <c r="O168" i="3" s="1"/>
  <c r="N678" i="3"/>
  <c r="O105" i="3"/>
  <c r="O29" i="3" s="1"/>
  <c r="O644" i="3"/>
  <c r="O532" i="3"/>
  <c r="O182" i="3" s="1"/>
  <c r="O183" i="3" s="1"/>
  <c r="O481" i="3"/>
  <c r="O172" i="3" s="1"/>
  <c r="O173" i="3" s="1"/>
  <c r="O45" i="3" s="1"/>
  <c r="O667" i="3" s="1"/>
  <c r="O46" i="3"/>
  <c r="O702" i="3" s="1"/>
  <c r="O599" i="3"/>
  <c r="O609" i="3"/>
  <c r="O610" i="3" s="1"/>
  <c r="O630" i="3" s="1"/>
  <c r="O27" i="3"/>
  <c r="N134" i="3"/>
  <c r="O296" i="3"/>
  <c r="O134" i="3" s="1"/>
  <c r="O136" i="3" s="1"/>
  <c r="O678" i="3"/>
  <c r="O680" i="3" s="1"/>
  <c r="O700" i="3" s="1"/>
  <c r="O123" i="3"/>
  <c r="O32" i="3" s="1"/>
  <c r="N268" i="3"/>
  <c r="N110" i="3" s="1"/>
  <c r="N643" i="3" s="1"/>
  <c r="O265" i="3"/>
  <c r="O268" i="3" s="1"/>
  <c r="O110" i="3" s="1"/>
  <c r="O770" i="3"/>
  <c r="O773" i="3" s="1"/>
  <c r="O628" i="3"/>
  <c r="O631" i="3" s="1"/>
  <c r="O663" i="3"/>
  <c r="O666" i="3" s="1"/>
  <c r="O171" i="2"/>
  <c r="O172" i="2" s="1"/>
  <c r="O48" i="2" s="1"/>
  <c r="O449" i="2"/>
  <c r="O101" i="2"/>
  <c r="O103" i="2" s="1"/>
  <c r="O37" i="2" s="1"/>
  <c r="O298" i="2"/>
  <c r="O157" i="2"/>
  <c r="O47" i="2" s="1"/>
  <c r="N277" i="2"/>
  <c r="N91" i="2" s="1"/>
  <c r="N92" i="2" s="1"/>
  <c r="N35" i="2" s="1"/>
  <c r="O274" i="2"/>
  <c r="O277" i="2" s="1"/>
  <c r="O91" i="2" s="1"/>
  <c r="O92" i="2" s="1"/>
  <c r="O35" i="2" s="1"/>
  <c r="N255" i="2"/>
  <c r="N86" i="2" s="1"/>
  <c r="N87" i="2" s="1"/>
  <c r="N34" i="2" s="1"/>
  <c r="O252" i="2"/>
  <c r="O255" i="2" s="1"/>
  <c r="O86" i="2" s="1"/>
  <c r="O87" i="2" s="1"/>
  <c r="O34" i="2" s="1"/>
  <c r="N351" i="2"/>
  <c r="N137" i="2" s="1"/>
  <c r="O348" i="2"/>
  <c r="O351" i="2" s="1"/>
  <c r="O137" i="2" s="1"/>
  <c r="O141" i="2" s="1"/>
  <c r="O44" i="2" s="1"/>
  <c r="N242" i="2"/>
  <c r="N81" i="2" s="1"/>
  <c r="N82" i="2" s="1"/>
  <c r="N33" i="2" s="1"/>
  <c r="O229" i="2"/>
  <c r="O242" i="2" s="1"/>
  <c r="O81" i="2" s="1"/>
  <c r="O82" i="2" s="1"/>
  <c r="O33" i="2" s="1"/>
  <c r="N478" i="2"/>
  <c r="N187" i="2" s="1"/>
  <c r="N188" i="2" s="1"/>
  <c r="N51" i="2" s="1"/>
  <c r="O469" i="2"/>
  <c r="O478" i="2" s="1"/>
  <c r="O187" i="2" s="1"/>
  <c r="O188" i="2" s="1"/>
  <c r="O51" i="2" s="1"/>
  <c r="L902" i="6"/>
  <c r="L1101" i="6" s="1"/>
  <c r="L896" i="6"/>
  <c r="L1091" i="6" s="1"/>
  <c r="L890" i="6"/>
  <c r="L1081" i="6" s="1"/>
  <c r="M438" i="6"/>
  <c r="N879" i="6"/>
  <c r="L589" i="5"/>
  <c r="L597" i="5" s="1"/>
  <c r="M116" i="3"/>
  <c r="M31" i="3" s="1"/>
  <c r="M532" i="3"/>
  <c r="M182" i="3" s="1"/>
  <c r="M183" i="3" s="1"/>
  <c r="M47" i="3" s="1"/>
  <c r="M737" i="3" s="1"/>
  <c r="N116" i="3"/>
  <c r="N31" i="3" s="1"/>
  <c r="N679" i="3"/>
  <c r="M879" i="6"/>
  <c r="I460" i="6"/>
  <c r="I404" i="6"/>
  <c r="L601" i="6"/>
  <c r="L156" i="6" s="1"/>
  <c r="L157" i="6" s="1"/>
  <c r="L43" i="6" s="1"/>
  <c r="L459" i="6"/>
  <c r="L403" i="6"/>
  <c r="L412" i="6" s="1"/>
  <c r="L413" i="6" s="1"/>
  <c r="L419" i="6" s="1"/>
  <c r="I263" i="6"/>
  <c r="I264" i="6" s="1"/>
  <c r="M713" i="3"/>
  <c r="M715" i="3" s="1"/>
  <c r="M735" i="3" s="1"/>
  <c r="N449" i="2"/>
  <c r="M105" i="5"/>
  <c r="M37" i="5" s="1"/>
  <c r="M171" i="2"/>
  <c r="M172" i="2" s="1"/>
  <c r="M48" i="2" s="1"/>
  <c r="M260" i="7"/>
  <c r="M268" i="7"/>
  <c r="M244" i="7"/>
  <c r="M238" i="7"/>
  <c r="N510" i="6"/>
  <c r="N140" i="6" s="1"/>
  <c r="N141" i="6" s="1"/>
  <c r="N41" i="6" s="1"/>
  <c r="L141" i="6"/>
  <c r="L41" i="6" s="1"/>
  <c r="M47" i="4"/>
  <c r="N360" i="2"/>
  <c r="N138" i="2" s="1"/>
  <c r="N296" i="2"/>
  <c r="N102" i="2" s="1"/>
  <c r="N103" i="2" s="1"/>
  <c r="N37" i="2" s="1"/>
  <c r="M235" i="6"/>
  <c r="M298" i="2"/>
  <c r="M501" i="5"/>
  <c r="M163" i="5" s="1"/>
  <c r="M164" i="5" s="1"/>
  <c r="M47" i="5" s="1"/>
  <c r="M112" i="5"/>
  <c r="M38" i="5" s="1"/>
  <c r="M27" i="3"/>
  <c r="M261" i="3"/>
  <c r="M104" i="3" s="1"/>
  <c r="M105" i="3" s="1"/>
  <c r="M29" i="3" s="1"/>
  <c r="M46" i="3"/>
  <c r="M702" i="3" s="1"/>
  <c r="M706" i="3" s="1"/>
  <c r="M481" i="3"/>
  <c r="M172" i="3" s="1"/>
  <c r="M173" i="3" s="1"/>
  <c r="M45" i="3" s="1"/>
  <c r="M667" i="3" s="1"/>
  <c r="M111" i="3"/>
  <c r="M30" i="3" s="1"/>
  <c r="N261" i="3"/>
  <c r="N104" i="3" s="1"/>
  <c r="N438" i="3"/>
  <c r="N167" i="3" s="1"/>
  <c r="N168" i="3" s="1"/>
  <c r="M136" i="3"/>
  <c r="M34" i="3" s="1"/>
  <c r="M438" i="3"/>
  <c r="M167" i="3" s="1"/>
  <c r="M168" i="3" s="1"/>
  <c r="M597" i="3" s="1"/>
  <c r="M581" i="3"/>
  <c r="M187" i="3" s="1"/>
  <c r="M188" i="3" s="1"/>
  <c r="M48" i="3" s="1"/>
  <c r="M774" i="3" s="1"/>
  <c r="M579" i="6"/>
  <c r="M713" i="6"/>
  <c r="L608" i="5"/>
  <c r="M643" i="5"/>
  <c r="N579" i="6"/>
  <c r="M992" i="6"/>
  <c r="M522" i="6"/>
  <c r="M523" i="6"/>
  <c r="N71" i="72"/>
  <c r="S71" i="72" s="1"/>
  <c r="L8" i="72"/>
  <c r="Q8" i="72" s="1"/>
  <c r="M72" i="72"/>
  <c r="R72" i="72" s="1"/>
  <c r="N72" i="72"/>
  <c r="S72" i="72" s="1"/>
  <c r="M71" i="72"/>
  <c r="R71" i="72" s="1"/>
  <c r="N70" i="72"/>
  <c r="S70" i="72" s="1"/>
  <c r="M141" i="2"/>
  <c r="M44" i="2" s="1"/>
  <c r="K4" i="72"/>
  <c r="N628" i="3"/>
  <c r="N631" i="3" s="1"/>
  <c r="N196" i="7"/>
  <c r="N178" i="7"/>
  <c r="N160" i="7"/>
  <c r="N125" i="7"/>
  <c r="N140" i="7"/>
  <c r="N91" i="7"/>
  <c r="N34" i="7" s="1"/>
  <c r="N609" i="3"/>
  <c r="N610" i="3" s="1"/>
  <c r="N630" i="3" s="1"/>
  <c r="N27" i="3"/>
  <c r="N1003" i="6"/>
  <c r="N581" i="3"/>
  <c r="N187" i="3" s="1"/>
  <c r="N188" i="3" s="1"/>
  <c r="N663" i="3"/>
  <c r="N666" i="3" s="1"/>
  <c r="N629" i="5"/>
  <c r="N595" i="5"/>
  <c r="N46" i="3"/>
  <c r="N702" i="3" s="1"/>
  <c r="N599" i="3"/>
  <c r="N481" i="3"/>
  <c r="N172" i="3" s="1"/>
  <c r="N173" i="3" s="1"/>
  <c r="N968" i="6"/>
  <c r="N1013" i="6" s="1"/>
  <c r="N933" i="6"/>
  <c r="N614" i="5"/>
  <c r="N649" i="5"/>
  <c r="N650" i="5" s="1"/>
  <c r="M92" i="5"/>
  <c r="M34" i="5" s="1"/>
  <c r="M589" i="5" s="1"/>
  <c r="M597" i="5" s="1"/>
  <c r="N916" i="6"/>
  <c r="N918" i="6" s="1"/>
  <c r="N1116" i="6" s="1"/>
  <c r="N950" i="6"/>
  <c r="N358" i="7"/>
  <c r="N329" i="7"/>
  <c r="N770" i="3"/>
  <c r="N773" i="3" s="1"/>
  <c r="N131" i="7"/>
  <c r="N186" i="7"/>
  <c r="N168" i="7"/>
  <c r="N116" i="7"/>
  <c r="N150" i="7"/>
  <c r="L64" i="4"/>
  <c r="N974" i="6"/>
  <c r="N939" i="6"/>
  <c r="N330" i="7"/>
  <c r="N105" i="7" s="1"/>
  <c r="N341" i="7"/>
  <c r="N656" i="5"/>
  <c r="N657" i="5" s="1"/>
  <c r="N621" i="5"/>
  <c r="N924" i="6"/>
  <c r="N888" i="6"/>
  <c r="M314" i="6"/>
  <c r="M317" i="6" s="1"/>
  <c r="M87" i="6" s="1"/>
  <c r="N310" i="6"/>
  <c r="N154" i="7"/>
  <c r="N135" i="7"/>
  <c r="N120" i="7"/>
  <c r="N172" i="7"/>
  <c r="N190" i="7"/>
  <c r="N713" i="3"/>
  <c r="N715" i="3" s="1"/>
  <c r="N735" i="3" s="1"/>
  <c r="N130" i="3"/>
  <c r="N33" i="3" s="1"/>
  <c r="L644" i="3"/>
  <c r="L645" i="3" s="1"/>
  <c r="L665" i="3" s="1"/>
  <c r="L670" i="3" s="1"/>
  <c r="L598" i="3"/>
  <c r="M334" i="7"/>
  <c r="L47" i="3"/>
  <c r="L737" i="3" s="1"/>
  <c r="L740" i="3" s="1"/>
  <c r="L705" i="3"/>
  <c r="Q275" i="7"/>
  <c r="L929" i="6"/>
  <c r="L1082" i="6" s="1"/>
  <c r="M628" i="3"/>
  <c r="M631" i="3" s="1"/>
  <c r="M196" i="7"/>
  <c r="M178" i="7"/>
  <c r="M160" i="7"/>
  <c r="M125" i="7"/>
  <c r="M140" i="7"/>
  <c r="L111" i="7"/>
  <c r="L36" i="7" s="1"/>
  <c r="L251" i="7"/>
  <c r="L243" i="7"/>
  <c r="L259" i="7"/>
  <c r="L267" i="7"/>
  <c r="R272" i="7" s="1"/>
  <c r="L237" i="7"/>
  <c r="M251" i="7"/>
  <c r="M259" i="7"/>
  <c r="M243" i="7"/>
  <c r="M267" i="7"/>
  <c r="M237" i="7"/>
  <c r="M111" i="7"/>
  <c r="M36" i="7" s="1"/>
  <c r="M232" i="7"/>
  <c r="M38" i="7" s="1"/>
  <c r="M939" i="6"/>
  <c r="M974" i="6"/>
  <c r="M950" i="6"/>
  <c r="M916" i="6"/>
  <c r="M918" i="6" s="1"/>
  <c r="M1116" i="6" s="1"/>
  <c r="L941" i="6"/>
  <c r="L1014" i="6"/>
  <c r="L1055" i="6"/>
  <c r="L1056" i="6" s="1"/>
  <c r="L1058" i="6" s="1"/>
  <c r="L1095" i="6" s="1"/>
  <c r="L1047" i="6"/>
  <c r="L1051" i="6" s="1"/>
  <c r="L1053" i="6" s="1"/>
  <c r="L1007" i="6"/>
  <c r="M933" i="6"/>
  <c r="M968" i="6"/>
  <c r="M1013" i="6" s="1"/>
  <c r="L975" i="6"/>
  <c r="L1019" i="6"/>
  <c r="L1020" i="6" s="1"/>
  <c r="L1061" i="6"/>
  <c r="L994" i="6"/>
  <c r="L996" i="6" s="1"/>
  <c r="L998" i="6" s="1"/>
  <c r="L1118" i="6" s="1"/>
  <c r="L952" i="6"/>
  <c r="M1003" i="6"/>
  <c r="M604" i="5" s="1"/>
  <c r="M608" i="5" s="1"/>
  <c r="M963" i="6"/>
  <c r="L935" i="6"/>
  <c r="L1092" i="6" s="1"/>
  <c r="L969" i="6"/>
  <c r="L525" i="6"/>
  <c r="L527" i="6" s="1"/>
  <c r="L145" i="6" s="1"/>
  <c r="L146" i="6" s="1"/>
  <c r="L42" i="6" s="1"/>
  <c r="L688" i="5"/>
  <c r="L645" i="5"/>
  <c r="L666" i="5" s="1"/>
  <c r="L652" i="5"/>
  <c r="L672" i="5" s="1"/>
  <c r="L659" i="5"/>
  <c r="L678" i="5" s="1"/>
  <c r="L597" i="3"/>
  <c r="L44" i="3"/>
  <c r="L601" i="3"/>
  <c r="L48" i="3"/>
  <c r="L774" i="3" s="1"/>
  <c r="L706" i="3"/>
  <c r="M663" i="3"/>
  <c r="M666" i="3" s="1"/>
  <c r="L749" i="3"/>
  <c r="L750" i="3" s="1"/>
  <c r="L772" i="3" s="1"/>
  <c r="L34" i="3"/>
  <c r="L41" i="3" s="1"/>
  <c r="F4" i="70" s="1"/>
  <c r="M770" i="3"/>
  <c r="M773" i="3" s="1"/>
  <c r="N164" i="5" l="1"/>
  <c r="N47" i="5" s="1"/>
  <c r="Z71" i="70"/>
  <c r="O71" i="70"/>
  <c r="O643" i="5"/>
  <c r="O596" i="6"/>
  <c r="O595" i="6"/>
  <c r="O594" i="6"/>
  <c r="O598" i="6" s="1"/>
  <c r="O601" i="6" s="1"/>
  <c r="O156" i="6" s="1"/>
  <c r="O157" i="6" s="1"/>
  <c r="O43" i="6" s="1"/>
  <c r="Q72" i="70"/>
  <c r="AA72" i="70"/>
  <c r="M118" i="7"/>
  <c r="M133" i="7"/>
  <c r="M188" i="7"/>
  <c r="L201" i="7"/>
  <c r="L37" i="7" s="1"/>
  <c r="N232" i="7"/>
  <c r="N38" i="7" s="1"/>
  <c r="M91" i="7"/>
  <c r="M34" i="7" s="1"/>
  <c r="M170" i="7"/>
  <c r="M152" i="7"/>
  <c r="M201" i="7" s="1"/>
  <c r="AA70" i="70"/>
  <c r="Q70" i="70"/>
  <c r="N47" i="4"/>
  <c r="H5" i="70" s="1"/>
  <c r="Q5" i="70" s="1"/>
  <c r="M64" i="4"/>
  <c r="G5" i="70"/>
  <c r="M4" i="70"/>
  <c r="Y4" i="70"/>
  <c r="O879" i="6"/>
  <c r="O896" i="6" s="1"/>
  <c r="O1091" i="6" s="1"/>
  <c r="O232" i="7"/>
  <c r="O38" i="7" s="1"/>
  <c r="O329" i="7"/>
  <c r="O104" i="7" s="1"/>
  <c r="O867" i="6"/>
  <c r="O112" i="5"/>
  <c r="O38" i="5" s="1"/>
  <c r="O1049" i="6"/>
  <c r="O606" i="5"/>
  <c r="O201" i="7"/>
  <c r="O37" i="7" s="1"/>
  <c r="O260" i="7"/>
  <c r="O252" i="7"/>
  <c r="O238" i="7"/>
  <c r="O244" i="7"/>
  <c r="O268" i="7"/>
  <c r="N112" i="5"/>
  <c r="N38" i="5" s="1"/>
  <c r="N92" i="5"/>
  <c r="N34" i="5" s="1"/>
  <c r="N589" i="5" s="1"/>
  <c r="N597" i="5" s="1"/>
  <c r="N687" i="5" s="1"/>
  <c r="N105" i="5"/>
  <c r="N37" i="5" s="1"/>
  <c r="O501" i="5"/>
  <c r="O163" i="5" s="1"/>
  <c r="O164" i="5" s="1"/>
  <c r="O47" i="5" s="1"/>
  <c r="O92" i="5"/>
  <c r="O34" i="5" s="1"/>
  <c r="O589" i="5" s="1"/>
  <c r="O597" i="5" s="1"/>
  <c r="O623" i="5" s="1"/>
  <c r="O677" i="5" s="1"/>
  <c r="N69" i="5"/>
  <c r="H71" i="70" s="1"/>
  <c r="O69" i="5"/>
  <c r="I71" i="70" s="1"/>
  <c r="O105" i="5"/>
  <c r="O37" i="5" s="1"/>
  <c r="N713" i="6"/>
  <c r="O992" i="6"/>
  <c r="N235" i="6"/>
  <c r="I267" i="6"/>
  <c r="I268" i="6" s="1"/>
  <c r="N1049" i="6"/>
  <c r="N522" i="6"/>
  <c r="O438" i="6"/>
  <c r="N523" i="6"/>
  <c r="N438" i="6"/>
  <c r="O975" i="6"/>
  <c r="O1019" i="6"/>
  <c r="O1020" i="6" s="1"/>
  <c r="O1014" i="6"/>
  <c r="O1055" i="6"/>
  <c r="O1056" i="6" s="1"/>
  <c r="O1058" i="6" s="1"/>
  <c r="O1095" i="6" s="1"/>
  <c r="O1047" i="6"/>
  <c r="O960" i="6"/>
  <c r="O927" i="6"/>
  <c r="O929" i="6" s="1"/>
  <c r="O1082" i="6" s="1"/>
  <c r="O1116" i="6"/>
  <c r="O935" i="6"/>
  <c r="O1092" i="6" s="1"/>
  <c r="O941" i="6"/>
  <c r="O994" i="6"/>
  <c r="O996" i="6" s="1"/>
  <c r="O952" i="6"/>
  <c r="O230" i="6"/>
  <c r="O712" i="6"/>
  <c r="O711" i="6"/>
  <c r="O710" i="6"/>
  <c r="O232" i="6"/>
  <c r="O234" i="6"/>
  <c r="O233" i="6"/>
  <c r="O521" i="6"/>
  <c r="O522" i="6"/>
  <c r="O523" i="6"/>
  <c r="O1028" i="6"/>
  <c r="N314" i="6"/>
  <c r="N317" i="6" s="1"/>
  <c r="N87" i="6" s="1"/>
  <c r="O310" i="6"/>
  <c r="O314" i="6" s="1"/>
  <c r="O317" i="6" s="1"/>
  <c r="O87" i="6" s="1"/>
  <c r="O47" i="4"/>
  <c r="N680" i="3"/>
  <c r="N700" i="3" s="1"/>
  <c r="O597" i="3"/>
  <c r="O44" i="3"/>
  <c r="O598" i="3"/>
  <c r="O47" i="3"/>
  <c r="O737" i="3" s="1"/>
  <c r="O600" i="3"/>
  <c r="N111" i="3"/>
  <c r="N30" i="3" s="1"/>
  <c r="O34" i="3"/>
  <c r="O749" i="3"/>
  <c r="O750" i="3" s="1"/>
  <c r="O772" i="3" s="1"/>
  <c r="O777" i="3" s="1"/>
  <c r="O706" i="3"/>
  <c r="O705" i="3"/>
  <c r="O643" i="3"/>
  <c r="O645" i="3" s="1"/>
  <c r="O665" i="3" s="1"/>
  <c r="O670" i="3" s="1"/>
  <c r="O111" i="3"/>
  <c r="O30" i="3" s="1"/>
  <c r="O59" i="2"/>
  <c r="N141" i="2"/>
  <c r="N44" i="2" s="1"/>
  <c r="N1115" i="6"/>
  <c r="N902" i="6"/>
  <c r="M890" i="6"/>
  <c r="M1081" i="6" s="1"/>
  <c r="M902" i="6"/>
  <c r="M1101" i="6" s="1"/>
  <c r="M1115" i="6"/>
  <c r="M896" i="6"/>
  <c r="M1091" i="6" s="1"/>
  <c r="N896" i="6"/>
  <c r="N1091" i="6" s="1"/>
  <c r="N890" i="6"/>
  <c r="N1081" i="6" s="1"/>
  <c r="L904" i="6"/>
  <c r="L474" i="6"/>
  <c r="L112" i="6" s="1"/>
  <c r="L113" i="6" s="1"/>
  <c r="L36" i="6" s="1"/>
  <c r="L69" i="72"/>
  <c r="Q69" i="72" s="1"/>
  <c r="Q126" i="72" s="1"/>
  <c r="E128" i="70"/>
  <c r="L687" i="5"/>
  <c r="L616" i="5"/>
  <c r="L671" i="5" s="1"/>
  <c r="L674" i="5" s="1"/>
  <c r="L623" i="5"/>
  <c r="L210" i="5" s="1"/>
  <c r="L610" i="5"/>
  <c r="L665" i="5" s="1"/>
  <c r="L668" i="5" s="1"/>
  <c r="M740" i="3"/>
  <c r="K69" i="72"/>
  <c r="K126" i="72" s="1"/>
  <c r="I461" i="6"/>
  <c r="N461" i="6" s="1"/>
  <c r="N474" i="6" s="1"/>
  <c r="I405" i="6"/>
  <c r="N405" i="6" s="1"/>
  <c r="M601" i="6"/>
  <c r="M156" i="6" s="1"/>
  <c r="M157" i="6" s="1"/>
  <c r="M43" i="6" s="1"/>
  <c r="N598" i="6"/>
  <c r="N601" i="6" s="1"/>
  <c r="N156" i="6" s="1"/>
  <c r="N157" i="6" s="1"/>
  <c r="N43" i="6" s="1"/>
  <c r="L102" i="6"/>
  <c r="L108" i="6" s="1"/>
  <c r="L35" i="6" s="1"/>
  <c r="M741" i="3"/>
  <c r="L948" i="6"/>
  <c r="L954" i="6" s="1"/>
  <c r="L1117" i="6" s="1"/>
  <c r="M627" i="5"/>
  <c r="M631" i="5" s="1"/>
  <c r="M688" i="5" s="1"/>
  <c r="M600" i="3"/>
  <c r="M598" i="3"/>
  <c r="M705" i="3"/>
  <c r="N298" i="2"/>
  <c r="M644" i="3"/>
  <c r="M645" i="3" s="1"/>
  <c r="M665" i="3" s="1"/>
  <c r="M670" i="3" s="1"/>
  <c r="M41" i="3"/>
  <c r="G4" i="70" s="1"/>
  <c r="N201" i="7"/>
  <c r="N37" i="7" s="1"/>
  <c r="R239" i="7"/>
  <c r="R275" i="7" s="1"/>
  <c r="N600" i="3"/>
  <c r="M44" i="3"/>
  <c r="M632" i="3" s="1"/>
  <c r="M601" i="3"/>
  <c r="M749" i="3"/>
  <c r="M750" i="3" s="1"/>
  <c r="M772" i="3" s="1"/>
  <c r="M777" i="3" s="1"/>
  <c r="N644" i="3"/>
  <c r="N645" i="3" s="1"/>
  <c r="N665" i="3" s="1"/>
  <c r="N105" i="3"/>
  <c r="N29" i="3" s="1"/>
  <c r="N44" i="3"/>
  <c r="N597" i="3"/>
  <c r="N941" i="6"/>
  <c r="N1102" i="6" s="1"/>
  <c r="M525" i="6"/>
  <c r="M527" i="6" s="1"/>
  <c r="M145" i="6" s="1"/>
  <c r="M146" i="6" s="1"/>
  <c r="M42" i="6" s="1"/>
  <c r="L1030" i="6"/>
  <c r="L1032" i="6" s="1"/>
  <c r="L1034" i="6" s="1"/>
  <c r="L1119" i="6" s="1"/>
  <c r="L7" i="72"/>
  <c r="Q7" i="72" s="1"/>
  <c r="M8" i="72"/>
  <c r="R8" i="72" s="1"/>
  <c r="M7" i="72"/>
  <c r="R7" i="72" s="1"/>
  <c r="P4" i="72"/>
  <c r="N639" i="5"/>
  <c r="N643" i="5" s="1"/>
  <c r="N960" i="6"/>
  <c r="N927" i="6"/>
  <c r="N929" i="6" s="1"/>
  <c r="N1082" i="6" s="1"/>
  <c r="N48" i="3"/>
  <c r="N774" i="3" s="1"/>
  <c r="N601" i="3"/>
  <c r="N598" i="3"/>
  <c r="N45" i="3"/>
  <c r="N667" i="3" s="1"/>
  <c r="N604" i="5"/>
  <c r="N1047" i="6"/>
  <c r="N952" i="6"/>
  <c r="N994" i="6"/>
  <c r="N996" i="6" s="1"/>
  <c r="N998" i="6" s="1"/>
  <c r="N1118" i="6" s="1"/>
  <c r="N260" i="7"/>
  <c r="N252" i="7"/>
  <c r="N238" i="7"/>
  <c r="N244" i="7"/>
  <c r="N268" i="7"/>
  <c r="N740" i="3"/>
  <c r="N741" i="3"/>
  <c r="N334" i="7"/>
  <c r="N104" i="7"/>
  <c r="N975" i="6"/>
  <c r="N1019" i="6"/>
  <c r="N1020" i="6" s="1"/>
  <c r="N969" i="6"/>
  <c r="N935" i="6"/>
  <c r="N1092" i="6" s="1"/>
  <c r="N1055" i="6"/>
  <c r="N1056" i="6" s="1"/>
  <c r="N1058" i="6" s="1"/>
  <c r="N1095" i="6" s="1"/>
  <c r="N1014" i="6"/>
  <c r="L741" i="3"/>
  <c r="L1022" i="6"/>
  <c r="L1104" i="6" s="1"/>
  <c r="Q39" i="7"/>
  <c r="Q41" i="7"/>
  <c r="L777" i="3"/>
  <c r="L1009" i="6"/>
  <c r="L1084" i="6" s="1"/>
  <c r="M274" i="7"/>
  <c r="M39" i="7" s="1"/>
  <c r="L274" i="7"/>
  <c r="L39" i="7" s="1"/>
  <c r="L943" i="6"/>
  <c r="L1102" i="6"/>
  <c r="M1014" i="6"/>
  <c r="M1055" i="6"/>
  <c r="M1056" i="6" s="1"/>
  <c r="M1058" i="6" s="1"/>
  <c r="M1095" i="6" s="1"/>
  <c r="L1085" i="6"/>
  <c r="M1047" i="6"/>
  <c r="M1051" i="6" s="1"/>
  <c r="M1053" i="6" s="1"/>
  <c r="M1007" i="6"/>
  <c r="L1016" i="6"/>
  <c r="L1094" i="6" s="1"/>
  <c r="M952" i="6"/>
  <c r="M994" i="6"/>
  <c r="M996" i="6" s="1"/>
  <c r="M998" i="6" s="1"/>
  <c r="M1118" i="6" s="1"/>
  <c r="L1062" i="6"/>
  <c r="L1064" i="6" s="1"/>
  <c r="L1105" i="6" s="1"/>
  <c r="M1061" i="6"/>
  <c r="M935" i="6"/>
  <c r="M1092" i="6" s="1"/>
  <c r="M969" i="6"/>
  <c r="M929" i="6"/>
  <c r="M1082" i="6" s="1"/>
  <c r="M975" i="6"/>
  <c r="M1019" i="6"/>
  <c r="M1020" i="6" s="1"/>
  <c r="M941" i="6"/>
  <c r="M687" i="5"/>
  <c r="M610" i="5"/>
  <c r="M616" i="5"/>
  <c r="M623" i="5"/>
  <c r="L778" i="3"/>
  <c r="L602" i="3"/>
  <c r="L671" i="3"/>
  <c r="L50" i="3"/>
  <c r="F69" i="70" s="1"/>
  <c r="L632" i="3"/>
  <c r="N525" i="6" l="1"/>
  <c r="N527" i="6" s="1"/>
  <c r="N145" i="6" s="1"/>
  <c r="N146" i="6" s="1"/>
  <c r="N42" i="6" s="1"/>
  <c r="N948" i="6" s="1"/>
  <c r="N954" i="6" s="1"/>
  <c r="N1117" i="6" s="1"/>
  <c r="AA71" i="70"/>
  <c r="Q71" i="70"/>
  <c r="N705" i="3"/>
  <c r="N706" i="3"/>
  <c r="M69" i="70"/>
  <c r="M128" i="70" s="1"/>
  <c r="Y69" i="70"/>
  <c r="Y128" i="70" s="1"/>
  <c r="O890" i="6"/>
  <c r="O1081" i="6" s="1"/>
  <c r="O1115" i="6"/>
  <c r="O902" i="6"/>
  <c r="O334" i="7"/>
  <c r="AA5" i="70"/>
  <c r="N64" i="4"/>
  <c r="O5" i="70"/>
  <c r="Z5" i="70"/>
  <c r="O64" i="4"/>
  <c r="I5" i="70"/>
  <c r="Z4" i="70"/>
  <c r="O4" i="70"/>
  <c r="O70" i="2"/>
  <c r="I3" i="70"/>
  <c r="O998" i="6"/>
  <c r="O1016" i="6" s="1"/>
  <c r="O1094" i="6" s="1"/>
  <c r="O237" i="7"/>
  <c r="O251" i="7"/>
  <c r="O111" i="7"/>
  <c r="O36" i="7" s="1"/>
  <c r="O243" i="7"/>
  <c r="O259" i="7"/>
  <c r="O267" i="7"/>
  <c r="O687" i="5"/>
  <c r="O616" i="5"/>
  <c r="O671" i="5" s="1"/>
  <c r="O627" i="5"/>
  <c r="O631" i="5" s="1"/>
  <c r="O688" i="5" s="1"/>
  <c r="N627" i="5"/>
  <c r="N631" i="5" s="1"/>
  <c r="N659" i="5" s="1"/>
  <c r="N678" i="5" s="1"/>
  <c r="I406" i="6"/>
  <c r="O406" i="6" s="1"/>
  <c r="O412" i="6" s="1"/>
  <c r="O413" i="6" s="1"/>
  <c r="O419" i="6" s="1"/>
  <c r="O102" i="6" s="1"/>
  <c r="O108" i="6" s="1"/>
  <c r="O35" i="6" s="1"/>
  <c r="I462" i="6"/>
  <c r="O462" i="6" s="1"/>
  <c r="O474" i="6" s="1"/>
  <c r="O112" i="6" s="1"/>
  <c r="O113" i="6" s="1"/>
  <c r="O36" i="6" s="1"/>
  <c r="O713" i="6"/>
  <c r="O943" i="6"/>
  <c r="O1004" i="6"/>
  <c r="O605" i="5" s="1"/>
  <c r="O608" i="5" s="1"/>
  <c r="O610" i="5" s="1"/>
  <c r="O665" i="5" s="1"/>
  <c r="O963" i="6"/>
  <c r="O1102" i="6"/>
  <c r="O235" i="6"/>
  <c r="O525" i="6"/>
  <c r="O527" i="6" s="1"/>
  <c r="O145" i="6" s="1"/>
  <c r="O146" i="6" s="1"/>
  <c r="O42" i="6" s="1"/>
  <c r="O948" i="6" s="1"/>
  <c r="O954" i="6" s="1"/>
  <c r="O1117" i="6" s="1"/>
  <c r="N904" i="6"/>
  <c r="N1101" i="6"/>
  <c r="O41" i="3"/>
  <c r="I4" i="70" s="1"/>
  <c r="O602" i="3"/>
  <c r="O632" i="3"/>
  <c r="O50" i="3"/>
  <c r="I69" i="70" s="1"/>
  <c r="I128" i="70" s="1"/>
  <c r="O740" i="3"/>
  <c r="O741" i="3"/>
  <c r="L126" i="72"/>
  <c r="O778" i="3"/>
  <c r="O671" i="3"/>
  <c r="M904" i="6"/>
  <c r="L677" i="5"/>
  <c r="L680" i="5" s="1"/>
  <c r="L682" i="5" s="1"/>
  <c r="L208" i="5"/>
  <c r="L209" i="5"/>
  <c r="P69" i="72"/>
  <c r="P126" i="72" s="1"/>
  <c r="L834" i="6"/>
  <c r="L836" i="6" s="1"/>
  <c r="L1114" i="6" s="1"/>
  <c r="M602" i="3"/>
  <c r="E216" i="70"/>
  <c r="M948" i="6"/>
  <c r="M954" i="6" s="1"/>
  <c r="M977" i="6" s="1"/>
  <c r="M1103" i="6" s="1"/>
  <c r="M404" i="6"/>
  <c r="M412" i="6" s="1"/>
  <c r="M413" i="6" s="1"/>
  <c r="M419" i="6" s="1"/>
  <c r="N412" i="6"/>
  <c r="N413" i="6" s="1"/>
  <c r="N419" i="6" s="1"/>
  <c r="N112" i="6"/>
  <c r="N113" i="6" s="1"/>
  <c r="N36" i="6" s="1"/>
  <c r="M460" i="6"/>
  <c r="M645" i="5"/>
  <c r="M666" i="5" s="1"/>
  <c r="M659" i="5"/>
  <c r="M678" i="5" s="1"/>
  <c r="M652" i="5"/>
  <c r="M672" i="5" s="1"/>
  <c r="M671" i="3"/>
  <c r="L41" i="7"/>
  <c r="N8" i="72"/>
  <c r="S8" i="72" s="1"/>
  <c r="L1100" i="6"/>
  <c r="L1090" i="6"/>
  <c r="M778" i="3"/>
  <c r="M50" i="3"/>
  <c r="N7" i="72"/>
  <c r="S7" i="72" s="1"/>
  <c r="M37" i="7"/>
  <c r="S41" i="7" s="1"/>
  <c r="T239" i="7"/>
  <c r="S239" i="7"/>
  <c r="L1080" i="6"/>
  <c r="N943" i="6"/>
  <c r="N623" i="5"/>
  <c r="N677" i="5" s="1"/>
  <c r="N602" i="3"/>
  <c r="N671" i="3"/>
  <c r="N632" i="3"/>
  <c r="N50" i="3"/>
  <c r="N670" i="3"/>
  <c r="M1030" i="6"/>
  <c r="M1032" i="6" s="1"/>
  <c r="M1034" i="6" s="1"/>
  <c r="M1119" i="6" s="1"/>
  <c r="N616" i="5"/>
  <c r="N671" i="5" s="1"/>
  <c r="L11" i="72"/>
  <c r="Q11" i="72" s="1"/>
  <c r="K11" i="72"/>
  <c r="P11" i="72" s="1"/>
  <c r="M1062" i="6"/>
  <c r="M1064" i="6" s="1"/>
  <c r="M1105" i="6" s="1"/>
  <c r="N1061" i="6"/>
  <c r="N1004" i="6"/>
  <c r="N963" i="6"/>
  <c r="N267" i="7"/>
  <c r="N251" i="7"/>
  <c r="N111" i="7"/>
  <c r="N36" i="7" s="1"/>
  <c r="N259" i="7"/>
  <c r="N243" i="7"/>
  <c r="N237" i="7"/>
  <c r="N1022" i="6"/>
  <c r="N1104" i="6" s="1"/>
  <c r="N1016" i="6"/>
  <c r="N1094" i="6" s="1"/>
  <c r="L52" i="3"/>
  <c r="M69" i="72"/>
  <c r="R39" i="7"/>
  <c r="L977" i="6"/>
  <c r="L1103" i="6" s="1"/>
  <c r="R41" i="7"/>
  <c r="L971" i="6"/>
  <c r="L1093" i="6" s="1"/>
  <c r="L965" i="6"/>
  <c r="L1083" i="6" s="1"/>
  <c r="M1016" i="6"/>
  <c r="M1094" i="6" s="1"/>
  <c r="M1009" i="6"/>
  <c r="M1084" i="6" s="1"/>
  <c r="L1066" i="6"/>
  <c r="M1102" i="6"/>
  <c r="M943" i="6"/>
  <c r="M1085" i="6"/>
  <c r="M1022" i="6"/>
  <c r="M1104" i="6" s="1"/>
  <c r="L1024" i="6"/>
  <c r="M677" i="5"/>
  <c r="M671" i="5"/>
  <c r="M665" i="5"/>
  <c r="L636" i="3"/>
  <c r="L635" i="3"/>
  <c r="M636" i="3"/>
  <c r="M635" i="3"/>
  <c r="O904" i="6" l="1"/>
  <c r="O1022" i="6"/>
  <c r="O1104" i="6" s="1"/>
  <c r="O1118" i="6"/>
  <c r="O1101" i="6"/>
  <c r="L56" i="7"/>
  <c r="F8" i="70"/>
  <c r="H69" i="70"/>
  <c r="G69" i="70"/>
  <c r="N645" i="5"/>
  <c r="N666" i="5" s="1"/>
  <c r="O834" i="6"/>
  <c r="O836" i="6" s="1"/>
  <c r="O274" i="7"/>
  <c r="O39" i="7" s="1"/>
  <c r="O41" i="7" s="1"/>
  <c r="N652" i="5"/>
  <c r="O652" i="5"/>
  <c r="O672" i="5" s="1"/>
  <c r="O674" i="5" s="1"/>
  <c r="O645" i="5"/>
  <c r="O666" i="5" s="1"/>
  <c r="O668" i="5" s="1"/>
  <c r="N680" i="5"/>
  <c r="O659" i="5"/>
  <c r="O678" i="5" s="1"/>
  <c r="O680" i="5" s="1"/>
  <c r="N688" i="5"/>
  <c r="N1062" i="6"/>
  <c r="N1064" i="6" s="1"/>
  <c r="N1105" i="6" s="1"/>
  <c r="O1061" i="6"/>
  <c r="O1062" i="6" s="1"/>
  <c r="O1064" i="6" s="1"/>
  <c r="O1105" i="6" s="1"/>
  <c r="O1048" i="6"/>
  <c r="O1051" i="6" s="1"/>
  <c r="O1053" i="6" s="1"/>
  <c r="O1007" i="6"/>
  <c r="O1009" i="6" s="1"/>
  <c r="O965" i="6"/>
  <c r="O1083" i="6" s="1"/>
  <c r="O977" i="6"/>
  <c r="O1103" i="6" s="1"/>
  <c r="O971" i="6"/>
  <c r="O1093" i="6" s="1"/>
  <c r="O1097" i="6" s="1"/>
  <c r="O224" i="6" s="1"/>
  <c r="O635" i="3"/>
  <c r="O636" i="3"/>
  <c r="O52" i="3"/>
  <c r="L211" i="5"/>
  <c r="L36" i="5" s="1"/>
  <c r="L53" i="5" s="1"/>
  <c r="F6" i="70" s="1"/>
  <c r="M474" i="6"/>
  <c r="M112" i="6" s="1"/>
  <c r="M113" i="6" s="1"/>
  <c r="M36" i="6" s="1"/>
  <c r="N102" i="6"/>
  <c r="N108" i="6" s="1"/>
  <c r="N35" i="6" s="1"/>
  <c r="M102" i="6"/>
  <c r="M108" i="6" s="1"/>
  <c r="M35" i="6" s="1"/>
  <c r="M209" i="5"/>
  <c r="M210" i="5"/>
  <c r="M208" i="5"/>
  <c r="M668" i="5"/>
  <c r="M680" i="5"/>
  <c r="M674" i="5"/>
  <c r="N210" i="5"/>
  <c r="L1107" i="6"/>
  <c r="L225" i="6" s="1"/>
  <c r="M41" i="7"/>
  <c r="S39" i="7"/>
  <c r="M52" i="3"/>
  <c r="L1097" i="6"/>
  <c r="L224" i="6" s="1"/>
  <c r="L867" i="6"/>
  <c r="M971" i="6"/>
  <c r="M1093" i="6" s="1"/>
  <c r="N965" i="6"/>
  <c r="N1083" i="6" s="1"/>
  <c r="M965" i="6"/>
  <c r="M1083" i="6" s="1"/>
  <c r="N977" i="6"/>
  <c r="N1103" i="6" s="1"/>
  <c r="M1117" i="6"/>
  <c r="N971" i="6"/>
  <c r="N1093" i="6" s="1"/>
  <c r="N1030" i="6"/>
  <c r="N636" i="3"/>
  <c r="N635" i="3"/>
  <c r="M1066" i="6"/>
  <c r="L9" i="72"/>
  <c r="K9" i="72"/>
  <c r="R69" i="72"/>
  <c r="R126" i="72" s="1"/>
  <c r="M126" i="72"/>
  <c r="N605" i="5"/>
  <c r="N608" i="5" s="1"/>
  <c r="N610" i="5" s="1"/>
  <c r="N1048" i="6"/>
  <c r="N1051" i="6" s="1"/>
  <c r="N1053" i="6" s="1"/>
  <c r="N1007" i="6"/>
  <c r="N1009" i="6" s="1"/>
  <c r="N1084" i="6" s="1"/>
  <c r="N274" i="7"/>
  <c r="N39" i="7" s="1"/>
  <c r="N41" i="7" s="1"/>
  <c r="H8" i="70" s="1"/>
  <c r="F128" i="70"/>
  <c r="L979" i="6"/>
  <c r="L1087" i="6"/>
  <c r="L223" i="6" s="1"/>
  <c r="M1024" i="6"/>
  <c r="G128" i="70" l="1"/>
  <c r="Q69" i="70"/>
  <c r="Q128" i="70" s="1"/>
  <c r="AA69" i="70"/>
  <c r="AA128" i="70" s="1"/>
  <c r="O69" i="70"/>
  <c r="O128" i="70" s="1"/>
  <c r="Z69" i="70"/>
  <c r="Z128" i="70" s="1"/>
  <c r="L227" i="6"/>
  <c r="L37" i="6" s="1"/>
  <c r="L52" i="6" s="1"/>
  <c r="L69" i="6" s="1"/>
  <c r="N834" i="6"/>
  <c r="N836" i="6" s="1"/>
  <c r="N1114" i="6" s="1"/>
  <c r="O209" i="5"/>
  <c r="AA8" i="70"/>
  <c r="Q8" i="70"/>
  <c r="O56" i="7"/>
  <c r="I8" i="70"/>
  <c r="Y8" i="70"/>
  <c r="M8" i="70"/>
  <c r="M56" i="7"/>
  <c r="G8" i="70"/>
  <c r="N69" i="72"/>
  <c r="H128" i="70"/>
  <c r="Y6" i="70"/>
  <c r="M6" i="70"/>
  <c r="N672" i="5"/>
  <c r="N674" i="5" s="1"/>
  <c r="N209" i="5"/>
  <c r="O1107" i="6"/>
  <c r="O225" i="6" s="1"/>
  <c r="M11" i="72"/>
  <c r="R11" i="72" s="1"/>
  <c r="O208" i="5"/>
  <c r="O210" i="5"/>
  <c r="O682" i="5"/>
  <c r="N1032" i="6"/>
  <c r="N1034" i="6" s="1"/>
  <c r="N1119" i="6" s="1"/>
  <c r="O1030" i="6"/>
  <c r="O1032" i="6" s="1"/>
  <c r="O1034" i="6" s="1"/>
  <c r="O1119" i="6" s="1"/>
  <c r="O1024" i="6"/>
  <c r="O1084" i="6"/>
  <c r="O1085" i="6"/>
  <c r="O1066" i="6"/>
  <c r="O979" i="6"/>
  <c r="L71" i="5"/>
  <c r="L74" i="5" s="1"/>
  <c r="M834" i="6"/>
  <c r="M836" i="6" s="1"/>
  <c r="M1080" i="6" s="1"/>
  <c r="M1087" i="6" s="1"/>
  <c r="M223" i="6" s="1"/>
  <c r="N1080" i="6"/>
  <c r="M211" i="5"/>
  <c r="M36" i="5" s="1"/>
  <c r="M53" i="5" s="1"/>
  <c r="G6" i="70" s="1"/>
  <c r="M1114" i="6"/>
  <c r="M1090" i="6"/>
  <c r="M1097" i="6" s="1"/>
  <c r="M224" i="6" s="1"/>
  <c r="M1100" i="6"/>
  <c r="M1107" i="6" s="1"/>
  <c r="M225" i="6" s="1"/>
  <c r="N1100" i="6"/>
  <c r="N1107" i="6" s="1"/>
  <c r="N225" i="6" s="1"/>
  <c r="N1090" i="6"/>
  <c r="N1097" i="6" s="1"/>
  <c r="N224" i="6" s="1"/>
  <c r="M682" i="5"/>
  <c r="F216" i="70"/>
  <c r="N56" i="7"/>
  <c r="S223" i="6"/>
  <c r="T227" i="6"/>
  <c r="T235" i="6" s="1"/>
  <c r="T237" i="6" s="1"/>
  <c r="M979" i="6"/>
  <c r="K10" i="72"/>
  <c r="P10" i="72" s="1"/>
  <c r="N979" i="6"/>
  <c r="P9" i="72"/>
  <c r="Q9" i="72"/>
  <c r="M9" i="72"/>
  <c r="N1024" i="6"/>
  <c r="N1085" i="6"/>
  <c r="N1066" i="6"/>
  <c r="N208" i="5"/>
  <c r="N665" i="5"/>
  <c r="N668" i="5" s="1"/>
  <c r="L1109" i="6"/>
  <c r="G216" i="70" l="1"/>
  <c r="M227" i="6"/>
  <c r="M37" i="6" s="1"/>
  <c r="M52" i="6" s="1"/>
  <c r="M69" i="6" s="1"/>
  <c r="Z8" i="70"/>
  <c r="O8" i="70"/>
  <c r="H216" i="70"/>
  <c r="S69" i="72"/>
  <c r="S126" i="72" s="1"/>
  <c r="N126" i="72"/>
  <c r="Z6" i="70"/>
  <c r="O6" i="70"/>
  <c r="N11" i="72"/>
  <c r="S11" i="72" s="1"/>
  <c r="N211" i="5"/>
  <c r="N36" i="5" s="1"/>
  <c r="N53" i="5" s="1"/>
  <c r="H6" i="70" s="1"/>
  <c r="N682" i="5"/>
  <c r="O1087" i="6"/>
  <c r="O1109" i="6" s="1"/>
  <c r="O211" i="5"/>
  <c r="O36" i="5" s="1"/>
  <c r="O53" i="5" s="1"/>
  <c r="M71" i="5"/>
  <c r="M74" i="5" s="1"/>
  <c r="M867" i="6"/>
  <c r="N867" i="6"/>
  <c r="U227" i="6"/>
  <c r="U235" i="6" s="1"/>
  <c r="U237" i="6" s="1"/>
  <c r="R38" i="6"/>
  <c r="P65" i="72"/>
  <c r="P131" i="72" s="1"/>
  <c r="K65" i="72"/>
  <c r="K128" i="72" s="1"/>
  <c r="P130" i="72" s="1"/>
  <c r="V136" i="72" s="1"/>
  <c r="N1087" i="6"/>
  <c r="N223" i="6" s="1"/>
  <c r="R9" i="72"/>
  <c r="N9" i="72"/>
  <c r="M1109" i="6"/>
  <c r="N227" i="6" l="1"/>
  <c r="N37" i="6" s="1"/>
  <c r="N52" i="6" s="1"/>
  <c r="N69" i="6" s="1"/>
  <c r="N72" i="6" s="1"/>
  <c r="L72" i="6"/>
  <c r="F7" i="70"/>
  <c r="O71" i="5"/>
  <c r="O74" i="5" s="1"/>
  <c r="I6" i="70"/>
  <c r="AA6" i="70"/>
  <c r="Q6" i="70"/>
  <c r="N71" i="5"/>
  <c r="N74" i="5" s="1"/>
  <c r="O223" i="6"/>
  <c r="O227" i="6" s="1"/>
  <c r="O37" i="6" s="1"/>
  <c r="O52" i="6" s="1"/>
  <c r="O69" i="6" s="1"/>
  <c r="R67" i="6"/>
  <c r="S38" i="6"/>
  <c r="N1109" i="6"/>
  <c r="S9" i="72"/>
  <c r="H7" i="70" l="1"/>
  <c r="Y7" i="70"/>
  <c r="M7" i="70"/>
  <c r="S67" i="6"/>
  <c r="G7" i="70"/>
  <c r="N10" i="72" s="1"/>
  <c r="S10" i="72" s="1"/>
  <c r="O72" i="6"/>
  <c r="I7" i="70"/>
  <c r="I63" i="70" s="1"/>
  <c r="I146" i="70" s="1"/>
  <c r="M10" i="72"/>
  <c r="R10" i="72" s="1"/>
  <c r="M72" i="6"/>
  <c r="AA7" i="70" l="1"/>
  <c r="Q7" i="70"/>
  <c r="Z7" i="70"/>
  <c r="O7" i="70"/>
  <c r="F224" i="70"/>
  <c r="F228" i="70"/>
  <c r="H224" i="70"/>
  <c r="H228" i="70"/>
  <c r="E224" i="70"/>
  <c r="G224" i="70" l="1"/>
  <c r="G228" i="70"/>
  <c r="M23" i="30"/>
  <c r="M33" i="30" s="1"/>
  <c r="G32" i="70" s="1"/>
  <c r="O32" i="70" l="1"/>
  <c r="Z32" i="70"/>
  <c r="M45" i="30"/>
  <c r="N35" i="72"/>
  <c r="S35" i="72" l="1"/>
  <c r="N23" i="30"/>
  <c r="N33" i="30" s="1"/>
  <c r="H32" i="70" s="1"/>
  <c r="L23" i="30"/>
  <c r="L33" i="30" s="1"/>
  <c r="AA32" i="70" l="1"/>
  <c r="Q32" i="70"/>
  <c r="F32" i="70"/>
  <c r="L45" i="30"/>
  <c r="N45" i="30"/>
  <c r="M32" i="70" l="1"/>
  <c r="Y32" i="70"/>
  <c r="M35" i="72"/>
  <c r="R35" i="72" s="1"/>
  <c r="L35" i="72"/>
  <c r="Q35" i="72" s="1"/>
  <c r="K194" i="33"/>
  <c r="K195" i="33" s="1"/>
  <c r="K52" i="33" s="1"/>
  <c r="K61" i="33" l="1"/>
  <c r="K87" i="33" l="1"/>
  <c r="E35" i="70"/>
  <c r="M195" i="33"/>
  <c r="N195" i="33"/>
  <c r="L195" i="33"/>
  <c r="L52" i="33" s="1"/>
  <c r="L38" i="72" l="1"/>
  <c r="Q38" i="72" s="1"/>
  <c r="X35" i="70"/>
  <c r="K35" i="70"/>
  <c r="N52" i="33"/>
  <c r="N61" i="33" s="1"/>
  <c r="H35" i="70" s="1"/>
  <c r="M52" i="33"/>
  <c r="M61" i="33" s="1"/>
  <c r="G35" i="70" s="1"/>
  <c r="Z35" i="70" l="1"/>
  <c r="O35" i="70"/>
  <c r="AA35" i="70"/>
  <c r="Q35" i="70"/>
  <c r="M87" i="33"/>
  <c r="N87" i="33"/>
  <c r="N38" i="72" l="1"/>
  <c r="S38" i="72" s="1"/>
  <c r="E228" i="70" l="1"/>
  <c r="K141" i="37"/>
  <c r="K142" i="37" s="1"/>
  <c r="K43" i="37" s="1"/>
  <c r="K58" i="37" s="1"/>
  <c r="E38" i="70" s="1"/>
  <c r="X38" i="70" l="1"/>
  <c r="K38" i="70"/>
  <c r="K75" i="37"/>
  <c r="X63" i="70" l="1"/>
  <c r="X133" i="70" s="1"/>
  <c r="L41" i="72"/>
  <c r="Q41" i="72" l="1"/>
  <c r="S227" i="6" l="1"/>
  <c r="S235" i="6" s="1"/>
  <c r="S237" i="6" s="1"/>
  <c r="Q38" i="6" l="1"/>
  <c r="Q67" i="6" l="1"/>
  <c r="L10" i="72" l="1"/>
  <c r="Q10" i="72" l="1"/>
  <c r="N318" i="3" l="1"/>
  <c r="N329" i="3" s="1"/>
  <c r="N135" i="3" s="1"/>
  <c r="N136" i="3" s="1"/>
  <c r="N749" i="3" l="1"/>
  <c r="N750" i="3" s="1"/>
  <c r="N772" i="3" s="1"/>
  <c r="N34" i="3"/>
  <c r="N41" i="3" s="1"/>
  <c r="H4" i="70" s="1"/>
  <c r="AA4" i="70" l="1"/>
  <c r="Q4" i="70"/>
  <c r="N52" i="3"/>
  <c r="N777" i="3"/>
  <c r="N778" i="3"/>
  <c r="L530" i="33" l="1"/>
  <c r="L284" i="33" s="1"/>
  <c r="L285" i="33" s="1"/>
  <c r="L58" i="33" s="1"/>
  <c r="L61" i="33" s="1"/>
  <c r="F35" i="70" s="1"/>
  <c r="Y35" i="70" l="1"/>
  <c r="M35" i="70"/>
  <c r="L87" i="33"/>
  <c r="M38" i="72" l="1"/>
  <c r="R38" i="72" l="1"/>
  <c r="N47" i="28"/>
  <c r="N50" i="28"/>
  <c r="M47" i="28"/>
  <c r="M50" i="28"/>
  <c r="L47" i="28"/>
  <c r="L50" i="28" s="1"/>
  <c r="L59" i="28" l="1"/>
  <c r="F30" i="70"/>
  <c r="N59" i="28"/>
  <c r="H30" i="70"/>
  <c r="M59" i="28"/>
  <c r="G30" i="70"/>
  <c r="N33" i="72" s="1"/>
  <c r="S33" i="72" s="1"/>
  <c r="Z30" i="70" l="1"/>
  <c r="O30" i="70"/>
  <c r="Q30" i="70"/>
  <c r="AA30" i="70"/>
  <c r="Y30" i="70"/>
  <c r="M30" i="70"/>
  <c r="M33" i="72"/>
  <c r="R33" i="72" s="1"/>
  <c r="N213" i="2" l="1"/>
  <c r="N215" i="2" s="1"/>
  <c r="N56" i="2" s="1"/>
  <c r="N59" i="2" s="1"/>
  <c r="H3" i="70" s="1"/>
  <c r="M213" i="2"/>
  <c r="L213" i="2"/>
  <c r="L215" i="2" s="1"/>
  <c r="L56" i="2" s="1"/>
  <c r="L59" i="2" s="1"/>
  <c r="F3" i="70" s="1"/>
  <c r="AA3" i="70" l="1"/>
  <c r="Q3" i="70"/>
  <c r="Y3" i="70"/>
  <c r="Y63" i="70" s="1"/>
  <c r="M3" i="70"/>
  <c r="M63" i="70" s="1"/>
  <c r="M65" i="70" s="1"/>
  <c r="L70" i="2"/>
  <c r="N70" i="2"/>
  <c r="M215" i="2"/>
  <c r="M56" i="2" s="1"/>
  <c r="M59" i="2" s="1"/>
  <c r="G3" i="70" s="1"/>
  <c r="Z3" i="70" l="1"/>
  <c r="O3" i="70"/>
  <c r="M70" i="2"/>
  <c r="E63" i="70"/>
  <c r="E146" i="70" s="1"/>
  <c r="E150" i="70" s="1"/>
  <c r="M4" i="72"/>
  <c r="F63" i="70"/>
  <c r="F146" i="70" s="1"/>
  <c r="F150" i="70" s="1"/>
  <c r="F151" i="70" s="1"/>
  <c r="F133" i="70" l="1"/>
  <c r="F214" i="70"/>
  <c r="R4" i="72"/>
  <c r="R65" i="72" s="1"/>
  <c r="R131" i="72" s="1"/>
  <c r="M65" i="72"/>
  <c r="M128" i="72" s="1"/>
  <c r="R130" i="72" s="1"/>
  <c r="X136" i="72" s="1"/>
  <c r="Y133" i="70"/>
  <c r="L4" i="72"/>
  <c r="N4" i="72"/>
  <c r="E133" i="70" l="1"/>
  <c r="E214" i="70"/>
  <c r="Q4" i="72"/>
  <c r="Q65" i="72" s="1"/>
  <c r="Q131" i="72" s="1"/>
  <c r="L65" i="72"/>
  <c r="L128" i="72" s="1"/>
  <c r="Q130" i="72" s="1"/>
  <c r="W136" i="72" s="1"/>
  <c r="S4" i="72"/>
  <c r="N120" i="27" l="1"/>
  <c r="N123" i="27" s="1"/>
  <c r="N29" i="27" s="1"/>
  <c r="N64" i="27" s="1"/>
  <c r="N101" i="27" s="1"/>
  <c r="H29" i="70" l="1"/>
  <c r="Q29" i="70" l="1"/>
  <c r="Q63" i="70" s="1"/>
  <c r="Q65" i="70" s="1"/>
  <c r="AA29" i="70"/>
  <c r="AA63" i="70" s="1"/>
  <c r="H63" i="70"/>
  <c r="H146" i="70" s="1"/>
  <c r="H150" i="70" s="1"/>
  <c r="H151" i="70" s="1"/>
  <c r="M120" i="27"/>
  <c r="M123" i="27" s="1"/>
  <c r="M29" i="27" s="1"/>
  <c r="M64" i="27" s="1"/>
  <c r="G29" i="70" l="1"/>
  <c r="M101" i="27"/>
  <c r="H133" i="70"/>
  <c r="H214" i="70"/>
  <c r="Z29" i="70" l="1"/>
  <c r="Z63" i="70" s="1"/>
  <c r="Z133" i="70" s="1"/>
  <c r="G63" i="70"/>
  <c r="G146" i="70" s="1"/>
  <c r="G150" i="70" s="1"/>
  <c r="G151" i="70" s="1"/>
  <c r="O29" i="70"/>
  <c r="O63" i="70" s="1"/>
  <c r="O65" i="70" s="1"/>
  <c r="N32" i="72"/>
  <c r="AA133" i="70"/>
  <c r="G133" i="70" l="1"/>
  <c r="G214" i="70"/>
  <c r="S32" i="72"/>
  <c r="S65" i="72" s="1"/>
  <c r="S131" i="72" s="1"/>
  <c r="N65" i="72"/>
  <c r="N128" i="72" s="1"/>
  <c r="S130" i="72" s="1"/>
  <c r="Y136" i="7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Monique Strik - van Rooij</author>
  </authors>
  <commentList>
    <comment ref="G408" authorId="0" shapeId="0" xr:uid="{72C5B07D-2388-4FA5-ACD0-94CDE1F10086}">
      <text>
        <r>
          <rPr>
            <b/>
            <sz val="9"/>
            <color indexed="81"/>
            <rFont val="Tahoma"/>
            <family val="2"/>
          </rPr>
          <t>Monique Strik - van Rooij:</t>
        </r>
        <r>
          <rPr>
            <sz val="9"/>
            <color indexed="81"/>
            <rFont val="Tahoma"/>
            <family val="2"/>
          </rPr>
          <t xml:space="preserve">
aantal inwoners MRE aanhouden, dat bedrag wordt ook gefactureerd</t>
        </r>
      </text>
    </comment>
  </commentList>
</comments>
</file>

<file path=xl/sharedStrings.xml><?xml version="1.0" encoding="utf-8"?>
<sst xmlns="http://schemas.openxmlformats.org/spreadsheetml/2006/main" count="15493" uniqueCount="5443">
  <si>
    <t>Inhoudsopgave</t>
  </si>
  <si>
    <t>Pagina</t>
  </si>
  <si>
    <t>T01 bestuur en ondersteuning</t>
  </si>
  <si>
    <t>T02 burgerzaken</t>
  </si>
  <si>
    <t>T03 beheer overige gebouwen en gronden</t>
  </si>
  <si>
    <t>T04 bedrijf</t>
  </si>
  <si>
    <t>T04 loon</t>
  </si>
  <si>
    <t>T04 werf</t>
  </si>
  <si>
    <t>T05 Treasury</t>
  </si>
  <si>
    <t>T06 1 OZB Woningen</t>
  </si>
  <si>
    <t>T06 2 OZB Niet-Woningen</t>
  </si>
  <si>
    <t>T06 4 Belastingen overig</t>
  </si>
  <si>
    <t>T07 Gemeentefonds en overige rijksuitkeringen</t>
  </si>
  <si>
    <t>T08 Overige baten en lasten</t>
  </si>
  <si>
    <t>T09 Vennootschapsbelasting</t>
  </si>
  <si>
    <t>T010 Mutaties Reserve</t>
  </si>
  <si>
    <t>T011 Resultaat rekening baten en lasten</t>
  </si>
  <si>
    <t>T11 crisisbeheersing en brandweer</t>
  </si>
  <si>
    <t>T12 openbare orde en veiligheid</t>
  </si>
  <si>
    <t>T21 Verkeer en vervoer</t>
  </si>
  <si>
    <t>T22 parkeren</t>
  </si>
  <si>
    <t>T25 openbaar vervoer</t>
  </si>
  <si>
    <t>T31 economische ontwikkeling</t>
  </si>
  <si>
    <t>T33 bedrijfsloket en bedrijfsregelingen</t>
  </si>
  <si>
    <t>T34 economische promotie</t>
  </si>
  <si>
    <t>T42  onderwijshuisvesting</t>
  </si>
  <si>
    <t>T43  onderwijsbeleid en leerlingenzaken</t>
  </si>
  <si>
    <t>T51 Sportbeleid en activering</t>
  </si>
  <si>
    <t>T52 Sportaccommodaties</t>
  </si>
  <si>
    <t>T53 cultuurpresentatie,product,particip</t>
  </si>
  <si>
    <t>T54 Musea</t>
  </si>
  <si>
    <t>T55 Cultureel erfgoed</t>
  </si>
  <si>
    <t>T56 Media</t>
  </si>
  <si>
    <t>T57 openbaar groen,(openlucht) recreatie</t>
  </si>
  <si>
    <t>T61 samenkracht en burgerparticipatie</t>
  </si>
  <si>
    <t>T62 2 toegang en eerstelijnsvoorzieningen Jeugd</t>
  </si>
  <si>
    <t>T62 3 toegang en eerstelijnsvoorzieningen Integraal</t>
  </si>
  <si>
    <t>T63 inkomensregelingen</t>
  </si>
  <si>
    <t>T64 begeleide participatie</t>
  </si>
  <si>
    <t>T65 arbeidsparticipatie</t>
  </si>
  <si>
    <t>T66 0 hulpmiddelen en diensten (Wmo)</t>
  </si>
  <si>
    <t>T67 11 Huishoudelijke hulp (Wmo)</t>
  </si>
  <si>
    <t>T67 12 Begeleiding (Wmo)</t>
  </si>
  <si>
    <t>T67 13 dagbesteding (Wmo)</t>
  </si>
  <si>
    <t>T67 14 overige maatwerkarrangementen (Wmo)</t>
  </si>
  <si>
    <t>T67 52 jeugdhulp ambulant regionaal</t>
  </si>
  <si>
    <t>T67 62 jeugdhulp met verblijf regionaal</t>
  </si>
  <si>
    <t>T6791 PGB Wmo</t>
  </si>
  <si>
    <t>T6792 PGB Jeugd</t>
  </si>
  <si>
    <t>T68 21 jeugdbescherming</t>
  </si>
  <si>
    <t>T68 22 jeugdreclassering</t>
  </si>
  <si>
    <t>T69 1 Coördinatie en beleid Wmo</t>
  </si>
  <si>
    <t>T69 2 Coördinatie en beleid Jeugd</t>
  </si>
  <si>
    <t>T71 volksgezondheid</t>
  </si>
  <si>
    <t>T72 riolering met toevoeging toerekening belastingen</t>
  </si>
  <si>
    <t>T73 afvalinzameling</t>
  </si>
  <si>
    <t>T74 milieubeheer</t>
  </si>
  <si>
    <t>T75 begraafplaatsen en crematoria</t>
  </si>
  <si>
    <t>T81 ruimtelijke ordening</t>
  </si>
  <si>
    <t>T82 grondexploitaties 2025 aangepast MPG.xlsx</t>
  </si>
  <si>
    <t>T83 wonen en bouwen</t>
  </si>
  <si>
    <t>Inleesbestand CODA</t>
  </si>
  <si>
    <t>Element 2</t>
  </si>
  <si>
    <t>Element 3</t>
  </si>
  <si>
    <t>Element 4</t>
  </si>
  <si>
    <t>Element 5</t>
  </si>
  <si>
    <t>Taakveld</t>
  </si>
  <si>
    <t>Toelichting</t>
  </si>
  <si>
    <t>T01</t>
  </si>
  <si>
    <t>T02</t>
  </si>
  <si>
    <t>T03</t>
  </si>
  <si>
    <t>T04B</t>
  </si>
  <si>
    <t>T04L</t>
  </si>
  <si>
    <t>T04W</t>
  </si>
  <si>
    <t>T05</t>
  </si>
  <si>
    <t>T061</t>
  </si>
  <si>
    <t>T062</t>
  </si>
  <si>
    <t>T064</t>
  </si>
  <si>
    <t>T07</t>
  </si>
  <si>
    <t>T08</t>
  </si>
  <si>
    <t>T09</t>
  </si>
  <si>
    <t>T010</t>
  </si>
  <si>
    <t>T011</t>
  </si>
  <si>
    <t>T11</t>
  </si>
  <si>
    <t>T12</t>
  </si>
  <si>
    <t>T21</t>
  </si>
  <si>
    <t>T22</t>
  </si>
  <si>
    <t>T25</t>
  </si>
  <si>
    <t>T31</t>
  </si>
  <si>
    <t>T33</t>
  </si>
  <si>
    <t>T34</t>
  </si>
  <si>
    <t>T42</t>
  </si>
  <si>
    <t>T43</t>
  </si>
  <si>
    <t>T51</t>
  </si>
  <si>
    <t>T52</t>
  </si>
  <si>
    <t>T53</t>
  </si>
  <si>
    <t>T54</t>
  </si>
  <si>
    <t>T55</t>
  </si>
  <si>
    <t>T56</t>
  </si>
  <si>
    <t>T57</t>
  </si>
  <si>
    <t>635016</t>
  </si>
  <si>
    <t>T61</t>
  </si>
  <si>
    <t>T622</t>
  </si>
  <si>
    <t>T623</t>
  </si>
  <si>
    <t>T63</t>
  </si>
  <si>
    <t>T64</t>
  </si>
  <si>
    <t>T65</t>
  </si>
  <si>
    <t>T660</t>
  </si>
  <si>
    <t>T6711</t>
  </si>
  <si>
    <t>T6712</t>
  </si>
  <si>
    <t>T6713</t>
  </si>
  <si>
    <t>T6714</t>
  </si>
  <si>
    <t>T6752</t>
  </si>
  <si>
    <t>T6762</t>
  </si>
  <si>
    <t>T6791</t>
  </si>
  <si>
    <t>T6792</t>
  </si>
  <si>
    <t>T6821</t>
  </si>
  <si>
    <t>T6822</t>
  </si>
  <si>
    <t>T691</t>
  </si>
  <si>
    <t>T692</t>
  </si>
  <si>
    <t>T71</t>
  </si>
  <si>
    <t>T72</t>
  </si>
  <si>
    <t>T73</t>
  </si>
  <si>
    <t>T74</t>
  </si>
  <si>
    <t>649024</t>
  </si>
  <si>
    <t>T75</t>
  </si>
  <si>
    <t>T81</t>
  </si>
  <si>
    <t>651015</t>
  </si>
  <si>
    <t>T82</t>
  </si>
  <si>
    <t>T83</t>
  </si>
  <si>
    <t>(Alle)</t>
  </si>
  <si>
    <t>Rijlabels</t>
  </si>
  <si>
    <t>Som van 2026</t>
  </si>
  <si>
    <t>Som van 2027</t>
  </si>
  <si>
    <t>Som van 2028</t>
  </si>
  <si>
    <t>Som van 2029</t>
  </si>
  <si>
    <t>Eindtotaal</t>
  </si>
  <si>
    <t>Eindtotaal draaitabel</t>
  </si>
  <si>
    <t>t/m 28-8-2025</t>
  </si>
  <si>
    <t>Verwacht begrotingssaldo - start van de begroting</t>
  </si>
  <si>
    <t>Begrotingssaldo 2026-2029</t>
  </si>
  <si>
    <t>Verschil</t>
  </si>
  <si>
    <t>Correctie reserves</t>
  </si>
  <si>
    <t>Correctie rente</t>
  </si>
  <si>
    <t>Correctie lonen</t>
  </si>
  <si>
    <t xml:space="preserve">Correctie inflatie </t>
  </si>
  <si>
    <t>OZB</t>
  </si>
  <si>
    <t>Afstemmen met Monique</t>
  </si>
  <si>
    <t xml:space="preserve">OZB </t>
  </si>
  <si>
    <t>Correctie economie besparingsopdracht</t>
  </si>
  <si>
    <t>Correctie besparing lokaal arbeidsvoorwaarden</t>
  </si>
  <si>
    <t>Correctie WSD</t>
  </si>
  <si>
    <t>Correctie inzet CDOKE (duurzaamheid) gelden</t>
  </si>
  <si>
    <t>Correctie BIZOB</t>
  </si>
  <si>
    <t>Ondernemersfonds</t>
  </si>
  <si>
    <t>Programma digitaal werken</t>
  </si>
  <si>
    <t>Automatisering - indexering</t>
  </si>
  <si>
    <t>Bibliotheek - indexering</t>
  </si>
  <si>
    <t>In 2025 meerjarig opgenomen</t>
  </si>
  <si>
    <t>Onderhoud Groen - Indexering</t>
  </si>
  <si>
    <t>Strategisch adviseur - staffunctie</t>
  </si>
  <si>
    <t>Cultuur</t>
  </si>
  <si>
    <t>Veiligheid</t>
  </si>
  <si>
    <t>Meubels</t>
  </si>
  <si>
    <t>Aanpassing bestaand beleid</t>
  </si>
  <si>
    <t>meer opbrengsten</t>
  </si>
  <si>
    <t>Inzet VAR</t>
  </si>
  <si>
    <t>Begrotingssaldo 2026</t>
  </si>
  <si>
    <t>Best Oirschot (T01)</t>
  </si>
  <si>
    <t>Staffunctie Best Oirschot (T01)</t>
  </si>
  <si>
    <t>Schaalsprong regionale opgave (T01)</t>
  </si>
  <si>
    <t>Schaalsprong mobiliteit (T21)</t>
  </si>
  <si>
    <t>Visie Dorpsplein</t>
  </si>
  <si>
    <t>Actualisatie omgevingsvisie</t>
  </si>
  <si>
    <t>Schaalsprong woningbouw (T83)</t>
  </si>
  <si>
    <t>Begrotingssaldo na inzet van de VAR</t>
  </si>
  <si>
    <t>* Formatie mobiliteit schaalsprong en kapitaallasten niet meegenomen in de totalen van de schaalsprong.</t>
  </si>
  <si>
    <t>Afschrijving scheelt vormen van dekkingsreserve</t>
  </si>
  <si>
    <t>Formatie is waarschijnlijk structureel van aard in tegenstelling tot staffunctie.</t>
  </si>
  <si>
    <t>Begroting 2025</t>
  </si>
  <si>
    <t>verschil</t>
  </si>
  <si>
    <t>nieuw beleid</t>
  </si>
  <si>
    <t>correctie in FF</t>
  </si>
  <si>
    <t>restant</t>
  </si>
  <si>
    <t>verschil 2028</t>
  </si>
  <si>
    <t>nieuw</t>
  </si>
  <si>
    <t>oud</t>
  </si>
  <si>
    <t>Details voor Som van 2029 - Taakveld: T83</t>
  </si>
  <si>
    <t>2025</t>
  </si>
  <si>
    <t>2026</t>
  </si>
  <si>
    <t>2027</t>
  </si>
  <si>
    <t>2028</t>
  </si>
  <si>
    <t>2029</t>
  </si>
  <si>
    <t>KB 2026</t>
  </si>
  <si>
    <t>Onderuitputting - besparing</t>
  </si>
  <si>
    <t>Verrekening opslag</t>
  </si>
  <si>
    <t>PG</t>
  </si>
  <si>
    <t>Hoofdjaar +1</t>
  </si>
  <si>
    <t>Hoofdjaar +2</t>
  </si>
  <si>
    <t>Hoofdjaar +3</t>
  </si>
  <si>
    <t>Prijsindex</t>
  </si>
  <si>
    <t>Loonindex</t>
  </si>
  <si>
    <t>Index conform kaderbrief</t>
  </si>
  <si>
    <t>Primitieve begroting</t>
  </si>
  <si>
    <t>Gewijzigde begroting (recap)</t>
  </si>
  <si>
    <t>Mutaties</t>
  </si>
  <si>
    <t>Omschrijving</t>
  </si>
  <si>
    <t>T01 bestuur en ondersteuning.xlsx</t>
  </si>
  <si>
    <t>Bestuur</t>
  </si>
  <si>
    <t>L</t>
  </si>
  <si>
    <t>W01-2025</t>
  </si>
  <si>
    <t>W02-2025</t>
  </si>
  <si>
    <t>T02 burgerzaken.xlsx</t>
  </si>
  <si>
    <t>Burgerzaken</t>
  </si>
  <si>
    <t>T03 beheer overige gebouwen en gronden.xlsx</t>
  </si>
  <si>
    <t>Beheer overige gebouwen en gronden</t>
  </si>
  <si>
    <t>T04 bedrijf.xlsx</t>
  </si>
  <si>
    <t>Overhead - 1 bedrijfsvoering</t>
  </si>
  <si>
    <t>T04 loon.xlsx</t>
  </si>
  <si>
    <t>Overhead - 2 loonkosten</t>
  </si>
  <si>
    <t>T04 werf.xlsx</t>
  </si>
  <si>
    <t>Overhead - 3 werf en vervoermiddelen</t>
  </si>
  <si>
    <t>T05 Treasury.xlsx</t>
  </si>
  <si>
    <t>Treasury</t>
  </si>
  <si>
    <t>T06 1 OZB Woningen.xlsx</t>
  </si>
  <si>
    <t>OZB Woningen</t>
  </si>
  <si>
    <t>T06 2 OZB Niet-Woningen.xlsx</t>
  </si>
  <si>
    <t>OZB Niet woningen</t>
  </si>
  <si>
    <t>T06 4 Belastingen overig.xlsx</t>
  </si>
  <si>
    <t>Belastingen overig</t>
  </si>
  <si>
    <t>T07 Gemeentefonds en overige rijksuitkeringen.xlsx</t>
  </si>
  <si>
    <t>Alg. uitkeringen en ov uitkeringen gemeentefonds</t>
  </si>
  <si>
    <t>T08 Overige baten en lasten.xlsx</t>
  </si>
  <si>
    <t>Overige baten en lasten</t>
  </si>
  <si>
    <t>T09 Vennootschapsbelasting.xlsx</t>
  </si>
  <si>
    <t>Vennootschapsbelasting</t>
  </si>
  <si>
    <t>T010 Mutaties Reserve.xlsx</t>
  </si>
  <si>
    <t>Mutaties reserves</t>
  </si>
  <si>
    <t>T011 Resultaat rekening baten en lasten.xlsx</t>
  </si>
  <si>
    <t>Resultaat van de rekening van baten en lasten</t>
  </si>
  <si>
    <t>T11 crisisbeheersing en brandweer.xlsx</t>
  </si>
  <si>
    <t>Crisisbeheersing en brandweer</t>
  </si>
  <si>
    <t>T12 openbare orde en veiligheid.xlsx</t>
  </si>
  <si>
    <t>Openbare orde en veiligheid</t>
  </si>
  <si>
    <t>T21 Verkeer en vervoer.xlsx</t>
  </si>
  <si>
    <t>Verkeer en vervoer</t>
  </si>
  <si>
    <t>T22 parkeren.xlsx</t>
  </si>
  <si>
    <t>Parkeren</t>
  </si>
  <si>
    <t>T25 openbaar vervoer.xlsx</t>
  </si>
  <si>
    <t>Openbaar vervoer</t>
  </si>
  <si>
    <t>T31 economische ontwikkeling.xlsx</t>
  </si>
  <si>
    <t>Economische ontwikkeling</t>
  </si>
  <si>
    <t>T33 bedrijfsloket en bedrijfsregelingen.xlsx</t>
  </si>
  <si>
    <t>Bedrijvenloket en bedrijvenregeling</t>
  </si>
  <si>
    <t>T34 economische promotie.xlsx</t>
  </si>
  <si>
    <t>Economische promotie</t>
  </si>
  <si>
    <t>T42  onderwijshuisvesting.xlsx</t>
  </si>
  <si>
    <t>Onderwijshuisvesting</t>
  </si>
  <si>
    <t>T43  onderwijsbeleid en leerlingenzaken.xlsx</t>
  </si>
  <si>
    <t>Onderwijsbeleid en leerlingenzaken</t>
  </si>
  <si>
    <t>T51 Sportbeleid en activering.xlsx</t>
  </si>
  <si>
    <t>Sportbeleid en activering</t>
  </si>
  <si>
    <t>T52 Sportaccommodaties.xlsx</t>
  </si>
  <si>
    <t>Sportaccommodaties</t>
  </si>
  <si>
    <t>T53 cultuurpresentatie,product,particip.xlsx</t>
  </si>
  <si>
    <t>Cultuurproductie, presentatie en participatie</t>
  </si>
  <si>
    <t>T54 Musea.xlsx</t>
  </si>
  <si>
    <t>Musea</t>
  </si>
  <si>
    <t>T55 Cultureel erfgoed.xlsx</t>
  </si>
  <si>
    <t>Cultureel erfgoed</t>
  </si>
  <si>
    <t>T56 Media.xlsx</t>
  </si>
  <si>
    <t>Media</t>
  </si>
  <si>
    <t>T57 openbaar groen,(openlucht) recreatie.xlsx</t>
  </si>
  <si>
    <t>Openbaar groen en (openlucht) recreatie</t>
  </si>
  <si>
    <t>T61 samenkracht en burgerparticipatie.xlsx</t>
  </si>
  <si>
    <t>Samenkracht en burgerparticipatie</t>
  </si>
  <si>
    <t>T62 2 toegang en eerstelijnsvoorzieningen Jeugd.xlsx</t>
  </si>
  <si>
    <t>Toegang en eerstelijnsvoorzieningen jeugd</t>
  </si>
  <si>
    <t>T62 3 toegang en eerstelijnsvoorzieningen Integraal.xlsx</t>
  </si>
  <si>
    <t>Toegang en eerstelijnsvoorzieningen integraal</t>
  </si>
  <si>
    <t>T63 inkomensregelingen.xlsx</t>
  </si>
  <si>
    <t>Inkomensregelingen</t>
  </si>
  <si>
    <t>T64 begeleide participatie.xlsx</t>
  </si>
  <si>
    <t>WSW en beschut werk</t>
  </si>
  <si>
    <t>T65 arbeidsparticipatie.xlsx</t>
  </si>
  <si>
    <t>Arbeidsparticipatie</t>
  </si>
  <si>
    <t>T66 0 hulpmiddelen en diensten (Wmo).xlsx</t>
  </si>
  <si>
    <t>Hulpmiddelen en diensten (WMO)</t>
  </si>
  <si>
    <t>T67 11 Huishoudelijke hulp (Wmo).xlsx</t>
  </si>
  <si>
    <t>Huishoudelijke hulp (WMO)</t>
  </si>
  <si>
    <t>T67 12 Begeleiding (Wmo).xlsx</t>
  </si>
  <si>
    <t>Begeleiding (WMO)</t>
  </si>
  <si>
    <t>T67 13 dagbesteding (Wmo).xlsx</t>
  </si>
  <si>
    <t>Dagbesteding (WMO)</t>
  </si>
  <si>
    <t>T67 14 overige maatwerkarrangementen (Wmo).xlsx</t>
  </si>
  <si>
    <t>Overige maatwerkarrangementen (WMO)</t>
  </si>
  <si>
    <t>T67 52 jeugdhulp ambulant regionaal.xlsx</t>
  </si>
  <si>
    <t>Jeugdhulp ambulant regionaal</t>
  </si>
  <si>
    <t>T67 62 jeugdhulp met verblijf regionaal.xlsx</t>
  </si>
  <si>
    <t>Jeugdhulp met verblijf regionaal</t>
  </si>
  <si>
    <t>T68 21 jeugdbescherming.xlsx</t>
  </si>
  <si>
    <t>Jeugdbescherming</t>
  </si>
  <si>
    <t>T68 22 jeugdreclassering.xlsx</t>
  </si>
  <si>
    <t>Jeugdreclassering</t>
  </si>
  <si>
    <t>T69 1 Coördinatie en beleid Wmo.xlsx</t>
  </si>
  <si>
    <t>Coordinatie en beleid WMO</t>
  </si>
  <si>
    <t>T69 2 Coördinatie en beleid Jeugd.xlsx</t>
  </si>
  <si>
    <t>Coordinatie en beleid jeugd</t>
  </si>
  <si>
    <t>T71 volksgezondheid.xlsx</t>
  </si>
  <si>
    <t>Volksgezondheid</t>
  </si>
  <si>
    <t>T72 riolering met toevoeging toerekening belastingen.xlsx</t>
  </si>
  <si>
    <t>Riolering</t>
  </si>
  <si>
    <t>T73 afvalinzameling.xlsx</t>
  </si>
  <si>
    <t>Afval</t>
  </si>
  <si>
    <t>T74 milieubeheer.xlsx</t>
  </si>
  <si>
    <t>Milieubeheer</t>
  </si>
  <si>
    <t>T75 begraafplaatsen en crematoria.xlsx</t>
  </si>
  <si>
    <t>Begraafplaatsen en crematoria</t>
  </si>
  <si>
    <t>T81 ruimtelijke ordening.xlsx</t>
  </si>
  <si>
    <t>Ruimtelijke ordening</t>
  </si>
  <si>
    <t>W14-2024</t>
  </si>
  <si>
    <t>Grondexploitatie</t>
  </si>
  <si>
    <t>T83 wonen en bouwen.xlsx</t>
  </si>
  <si>
    <t>Wonen en bouwen</t>
  </si>
  <si>
    <t>Saldo lasten</t>
  </si>
  <si>
    <t>B</t>
  </si>
  <si>
    <t>W01-2024</t>
  </si>
  <si>
    <t>W14/2024</t>
  </si>
  <si>
    <t>Totaal baten</t>
  </si>
  <si>
    <t>Controle primitief</t>
  </si>
  <si>
    <t>Telling gewijzigd-/-primitief</t>
  </si>
  <si>
    <t>Mutaties gewijzigd tov primitief</t>
  </si>
  <si>
    <t>Telling wijzigingen lasten-/-baten</t>
  </si>
  <si>
    <t>Telling begrotingswijzigingen</t>
  </si>
  <si>
    <t>CODA</t>
  </si>
  <si>
    <t>Begroot 2025</t>
  </si>
  <si>
    <t>Begroot 2026</t>
  </si>
  <si>
    <t>Begroot 2027</t>
  </si>
  <si>
    <t>Begroting 2028</t>
  </si>
  <si>
    <t>01 - Bestuur</t>
  </si>
  <si>
    <t>02 - Burgerzaken</t>
  </si>
  <si>
    <t>03 - Beheer overige gebouwen en gronden</t>
  </si>
  <si>
    <t>04 - Overhead</t>
  </si>
  <si>
    <t>05 - Treasury</t>
  </si>
  <si>
    <t>061 - OZB woningen</t>
  </si>
  <si>
    <t>062 - OZB niet-woningen</t>
  </si>
  <si>
    <t>064 - Belastingen overig</t>
  </si>
  <si>
    <t>07 - Alg.uitkering en ov.uitk.Gemeentefonds</t>
  </si>
  <si>
    <t>08 - Overige baten en lasten</t>
  </si>
  <si>
    <t>09 - Vennootschapsbelasting (VPB)</t>
  </si>
  <si>
    <t>010 - Mutaties reserves</t>
  </si>
  <si>
    <t>11 - Crisisbeheersing en brandweer</t>
  </si>
  <si>
    <t>12 - Openbare orde en veiligheid</t>
  </si>
  <si>
    <t>21 - Verkeer en vervoer</t>
  </si>
  <si>
    <t>22 - Parkeren</t>
  </si>
  <si>
    <t>25 - Openbaar vervoer</t>
  </si>
  <si>
    <t>31 - Economische ontwikkeling</t>
  </si>
  <si>
    <t>33 - Bedrijvenloket en bedrijfsregelingen</t>
  </si>
  <si>
    <t>34 - Economische promotie</t>
  </si>
  <si>
    <t>42 - Onderwijshuisvesting</t>
  </si>
  <si>
    <t>43 - Onderwijsbeleid en leerlingzaken</t>
  </si>
  <si>
    <t>51 - Sportbeleid en activering</t>
  </si>
  <si>
    <t>52 - Sportaccommodaties</t>
  </si>
  <si>
    <t>53 - Cultuurpresentatie,-productie,-participatie</t>
  </si>
  <si>
    <t>54 - Musea</t>
  </si>
  <si>
    <t>55 - Cultureel erfgoed</t>
  </si>
  <si>
    <t>56 - Media</t>
  </si>
  <si>
    <t>57 - Openbaar groen en recreatie</t>
  </si>
  <si>
    <t>61 - Samenkracht en burgerparticipatie</t>
  </si>
  <si>
    <t>622 - Toegang en eerstelijnsvoorzieningen Jeugd</t>
  </si>
  <si>
    <t>623 - Toegang en eerstelijnsvoorzieningen Integraal</t>
  </si>
  <si>
    <t>63 - Inkomensregelingen</t>
  </si>
  <si>
    <t>64 - Begeleide participatie</t>
  </si>
  <si>
    <t>65 - Arbeidsparticipatie</t>
  </si>
  <si>
    <t>660 - Hulpmiddelen en diensten (Wmo)</t>
  </si>
  <si>
    <t>6711 - Huishoudelijke hulp (Wmo)</t>
  </si>
  <si>
    <t>6712 - Begeleiding (Wmo)</t>
  </si>
  <si>
    <t>6713 - Dagbesteding (Wmo)</t>
  </si>
  <si>
    <t>6714 - Overige maatwerkarrangement (Wmo)</t>
  </si>
  <si>
    <t>6752 - Jeugdhulp ambulant regionaal</t>
  </si>
  <si>
    <t>6762 - Jeugdhulp met verblijf regionaal</t>
  </si>
  <si>
    <t>6821 - Jeugdbescherming</t>
  </si>
  <si>
    <t>6822 - Jeugdreclassering</t>
  </si>
  <si>
    <t>691 - Coordinatie en beleid Wmo</t>
  </si>
  <si>
    <t>692 - Coordinatie en beleid Jeugd</t>
  </si>
  <si>
    <t>71 - Volksgezondheid</t>
  </si>
  <si>
    <t>72 - Riolering</t>
  </si>
  <si>
    <t>73 - Afval</t>
  </si>
  <si>
    <t>74 - Milieubeheer</t>
  </si>
  <si>
    <t>75 - Begraafplaatsen en crematoria</t>
  </si>
  <si>
    <t>81 - Ruimtelijke ordening</t>
  </si>
  <si>
    <t>82 - Grondexploitatie (niet-bedrijventerreinen)</t>
  </si>
  <si>
    <t>83 - Wonen en bouwen</t>
  </si>
  <si>
    <t>Was voor index en kolom 2024 verwijderen</t>
  </si>
  <si>
    <t>66 - Maatwerkvoorzieningen (WMO)</t>
  </si>
  <si>
    <t>Verschil (veroorzaakt door index)</t>
  </si>
  <si>
    <t>Saldo baten-lasten</t>
  </si>
  <si>
    <t xml:space="preserve">Saldo begrototingsruimte 2025  na vaststelling begroting </t>
  </si>
  <si>
    <t>Saldo raming baten en lasten</t>
  </si>
  <si>
    <t>Wat is dit?</t>
  </si>
  <si>
    <t>Finaciele foto</t>
  </si>
  <si>
    <t>Aansluiting begrotingssaldo primitieve begroting 2025 - taakvelden Excel-financieie foto</t>
  </si>
  <si>
    <t>Startsaldo excl 1e wijziging cf raadsvoorstel begroting</t>
  </si>
  <si>
    <t>Saldo ruimte in Coda na inlezen primitieve begroting 2025</t>
  </si>
  <si>
    <t>Ontwikkeing saldo in 2025</t>
  </si>
  <si>
    <t>Saldo begrotingsruimte primitieve begroting 2025</t>
  </si>
  <si>
    <t>Mutaties begrotingswijzingen tlv saldo</t>
  </si>
  <si>
    <t>Saldo taakvelden actueel</t>
  </si>
  <si>
    <t>Begrotingswijzigingen, mutaties met gevolgen voor het begrotingssaldo,  611004:</t>
  </si>
  <si>
    <t>A. Mutaties begrotingswijzigingen 2024, na vaststelling begroting</t>
  </si>
  <si>
    <t>W05-2024, 3e firap 2024</t>
  </si>
  <si>
    <t>W14-2024, omgevingsplan stationsgebied</t>
  </si>
  <si>
    <t>B. Mutaties administratief 2024, na vaststelling begroting</t>
  </si>
  <si>
    <t>A11-2024, herijking middelen sociaal domein</t>
  </si>
  <si>
    <t>Geen mutaties begrotingssaldo</t>
  </si>
  <si>
    <t>A12-2024 inzet middelen X-works</t>
  </si>
  <si>
    <t>A13-2024 mutaties reserves</t>
  </si>
  <si>
    <t>A14-2024 herschikken middelen onderwijs en leerlingenzaken</t>
  </si>
  <si>
    <t>A15-2024 overboeken formatie inburgering</t>
  </si>
  <si>
    <t>A16-2024 aanp categorie veiligheid</t>
  </si>
  <si>
    <t>C. Mutaties begrotingswijzigingen 2025, na vaststelling begroting</t>
  </si>
  <si>
    <t>W01-2025, 1e wijziging 2025</t>
  </si>
  <si>
    <t>Incl gevolgen septembercirculaire</t>
  </si>
  <si>
    <t>W02-2025, 1e financiele rapportage 2025</t>
  </si>
  <si>
    <t>Niet vastgesteld door de raad-betreft de mutaties t/m 31-1-2025</t>
  </si>
  <si>
    <t>-T01 601001-43812</t>
  </si>
  <si>
    <t>communicatiebudget raad</t>
  </si>
  <si>
    <t>-T01 601008-43812</t>
  </si>
  <si>
    <t>VNG congres</t>
  </si>
  <si>
    <t>-T04 602906-43511</t>
  </si>
  <si>
    <t>Pilot avondopenstelling burgerzaken</t>
  </si>
  <si>
    <t>-T04 604002-43806</t>
  </si>
  <si>
    <t>verzekeringspremies personeel</t>
  </si>
  <si>
    <t>-T04 604002-43807</t>
  </si>
  <si>
    <t>geneeskunding onderzoek personeel</t>
  </si>
  <si>
    <t>- T04 604017-43812</t>
  </si>
  <si>
    <t>Automatisering</t>
  </si>
  <si>
    <t xml:space="preserve">- T04 604057-43812 </t>
  </si>
  <si>
    <t>management domein samenleving</t>
  </si>
  <si>
    <t>-T21 617901-47300</t>
  </si>
  <si>
    <t>afschrijvingslasten pumtrack.</t>
  </si>
  <si>
    <t>W03-2025, ondernemersfonds</t>
  </si>
  <si>
    <t>Vastgesteld door de raad</t>
  </si>
  <si>
    <t>W05-2025 samenwerking best-oirschot</t>
  </si>
  <si>
    <t>dekking VAR</t>
  </si>
  <si>
    <t>W02-2025 1e financiele rapportage</t>
  </si>
  <si>
    <t>D. Mutaties administratief 2025, na vaststelling begroting</t>
  </si>
  <si>
    <t>A01-2025 overboeking taakveld 4 categorieen</t>
  </si>
  <si>
    <t>Saldo begroting 2025 incl 1e begrotingswijziging 2025</t>
  </si>
  <si>
    <t>A02-2025 budget Woo van JZ naar inform voorz Woo</t>
  </si>
  <si>
    <t>A03-2025 ovb inzet incidentele budgetten binnen T04</t>
  </si>
  <si>
    <t>A04-2025 ovb budget comm (logius) naar JZ</t>
  </si>
  <si>
    <t>E. Potloodmutaties (nog niet vastgestelde begrotingswijzigingen (excl firap's)</t>
  </si>
  <si>
    <t>Saldo begroting actueel</t>
  </si>
  <si>
    <t>Saldi begrotingswijzigingen 2024 en 2025 (incl concept 1e firap)</t>
  </si>
  <si>
    <t xml:space="preserve">Bijgewerkt begrotingssaldo 611004 </t>
  </si>
  <si>
    <t>Controle, dmz 0</t>
  </si>
  <si>
    <t>Actueel lasten -/- baten taakvelden</t>
  </si>
  <si>
    <t>Saldo voor mutaties T01 (Bijdrage MRE/rekenkamer)</t>
  </si>
  <si>
    <t>Na mutaties T01</t>
  </si>
  <si>
    <t>Verschil inwonersbijdrage en aantal inwoners</t>
  </si>
  <si>
    <t>Saldo voor invoer lonen in taakvelden</t>
  </si>
  <si>
    <t>Saldo na invoer lonen in taakvelden</t>
  </si>
  <si>
    <t>Verschil na invoer lonen</t>
  </si>
  <si>
    <t>Saldo voor wijziging lonen</t>
  </si>
  <si>
    <t>Saldo na invoer lonen</t>
  </si>
  <si>
    <t>Verschil lagere lonen</t>
  </si>
  <si>
    <t>Saldo voor overige mutaties T04</t>
  </si>
  <si>
    <t>Saldo na overige mutaties T04</t>
  </si>
  <si>
    <t>Verschil door aanpassing verzekeringen personeel (bemiddelingsvergoedingen)</t>
  </si>
  <si>
    <t>Vacatures, afdelingsbudget (P&amp;O), lokaal arbeidsvoorwaardenbeleid/Uren OR &amp; VGWM</t>
  </si>
  <si>
    <t>Saldo voor mutaties opleidingen</t>
  </si>
  <si>
    <t>Saldo na mutaties opleidingen</t>
  </si>
  <si>
    <t>Verschil hogere reservering opleidingen</t>
  </si>
  <si>
    <t>Saldo voor invoer reserves baten</t>
  </si>
  <si>
    <t>Na invoer baten</t>
  </si>
  <si>
    <t>Saldo voor invoer reserves lasten</t>
  </si>
  <si>
    <t>Na invoer lasten</t>
  </si>
  <si>
    <t>Verschil door reserves inzet VAR</t>
  </si>
  <si>
    <t>Saldo voor mutaties reserves</t>
  </si>
  <si>
    <t>Saldo na mutaties reserves</t>
  </si>
  <si>
    <t>Verschil reserves inzet VAR</t>
  </si>
  <si>
    <t>Saldo voor kaderbrief 2026: aframingen DO bedrijfsvoering</t>
  </si>
  <si>
    <t>Saldo na kaderbrief 2026: aframingen DO bedrijfsvoering</t>
  </si>
  <si>
    <t>Verschil aframing kaderbrief 2026 DO bedrijfsvoering</t>
  </si>
  <si>
    <t>Saldo voor aanpassingen SD</t>
  </si>
  <si>
    <t>Saldo na aanpassingen SD</t>
  </si>
  <si>
    <t>Saldo voor aanpassing voorzieningen (verlofsparen)</t>
  </si>
  <si>
    <t>Saldo na aanpassing voorzieningen (verlofsparen)</t>
  </si>
  <si>
    <t>Voor mutaties EH SD</t>
  </si>
  <si>
    <t>Na mutaties EH SD</t>
  </si>
  <si>
    <t>Voor mutaties OZB</t>
  </si>
  <si>
    <t xml:space="preserve">Verklaring verschil </t>
  </si>
  <si>
    <t>Na mutaties OZB</t>
  </si>
  <si>
    <t>1% lagere gewogen indexatie (2025 meerjarig lonen 4,2%, werkelijk 2026 2%)</t>
  </si>
  <si>
    <t>Lagere indexatie 2026 dan verwacht bij begroting 2025+ bijstelling opbrengst gebruikers ivm leegstand</t>
  </si>
  <si>
    <t>Bijstelling OZB gebuikers (is afgelopen jaarlijkst bijgesteld in 2e fin rap)</t>
  </si>
  <si>
    <t>Voor mutaties voorzieningen</t>
  </si>
  <si>
    <t>Na mutaties voorzieningen</t>
  </si>
  <si>
    <t>Voor mutaties kapitaallasten</t>
  </si>
  <si>
    <t>Na mutaties kapitaallasten</t>
  </si>
  <si>
    <t>Voor mutaties KB 2026</t>
  </si>
  <si>
    <t>Na mutaties KB 2026</t>
  </si>
  <si>
    <t>Recap</t>
  </si>
  <si>
    <t>Programma</t>
  </si>
  <si>
    <t>01.  Algemeen bestuur</t>
  </si>
  <si>
    <t>T01 Bestuur en ondersteuning</t>
  </si>
  <si>
    <t>In te zetten middelen</t>
  </si>
  <si>
    <t>Lasten in € (+)</t>
  </si>
  <si>
    <t>Raad en raadscommissies</t>
  </si>
  <si>
    <t>Raadsfracties</t>
  </si>
  <si>
    <t>Reis- en verblijfkosten raad</t>
  </si>
  <si>
    <t>Werkbudget griffie</t>
  </si>
  <si>
    <t>Gemeentefinanciën</t>
  </si>
  <si>
    <t>Jeugdraad</t>
  </si>
  <si>
    <t>broodjes, bloemen ed</t>
  </si>
  <si>
    <t>Metropoolregio Eindhoven</t>
  </si>
  <si>
    <t>Actieplan Regio Eindhoven</t>
  </si>
  <si>
    <t>Regionale projecten</t>
  </si>
  <si>
    <t>Convenant SGE</t>
  </si>
  <si>
    <t>Project voorzieningen SGE</t>
  </si>
  <si>
    <t>Challenge ontsluiting</t>
  </si>
  <si>
    <t>Samenwerking Best-Oirschot</t>
  </si>
  <si>
    <t>Directe toerekening bestuur</t>
  </si>
  <si>
    <t>Directe toerekening regionale samenwerking</t>
  </si>
  <si>
    <t>Totaal lasten</t>
  </si>
  <si>
    <t>Baten in € (-)</t>
  </si>
  <si>
    <t>Saldo voor bijdragen en stortingen in reserves (+ = nadeel)</t>
  </si>
  <si>
    <t>Financiële toelichting</t>
  </si>
  <si>
    <t>Grootb/cat
t/m 2019</t>
  </si>
  <si>
    <t>Bbv Taakv/</t>
  </si>
  <si>
    <t>Grootb/cat
nummer</t>
  </si>
  <si>
    <t>Bbv cat</t>
  </si>
  <si>
    <t>Lasten</t>
  </si>
  <si>
    <t>Studie en opleiding</t>
  </si>
  <si>
    <t>Overige goederen en diensten</t>
  </si>
  <si>
    <t>Totaal</t>
  </si>
  <si>
    <t>Reis- en verblijfskosten raad</t>
  </si>
  <si>
    <t>Communicatieplan gemeenteraad</t>
  </si>
  <si>
    <t>Rekenkamerfunctie</t>
  </si>
  <si>
    <t>Directe toerekening raad</t>
  </si>
  <si>
    <t>Jaarwedden etc.</t>
  </si>
  <si>
    <t>Gewezen burgemeester</t>
  </si>
  <si>
    <t>Uitkering voormalig personeel</t>
  </si>
  <si>
    <t>Gewezen college</t>
  </si>
  <si>
    <t>College van B&amp;W</t>
  </si>
  <si>
    <t>Verzekeringen</t>
  </si>
  <si>
    <t>Werkkostenregeling (reis-/verblijfskosten)</t>
  </si>
  <si>
    <t>Broodjes, bloemen ed</t>
  </si>
  <si>
    <t>Werkkostenregeling (broodjes ed)</t>
  </si>
  <si>
    <t>Directe toerekening college</t>
  </si>
  <si>
    <t>Representatie</t>
  </si>
  <si>
    <t>Inkomensoverdrachten overige instellingen</t>
  </si>
  <si>
    <t>Gewezen bestuurders</t>
  </si>
  <si>
    <t>Baten</t>
  </si>
  <si>
    <t>Voorziening contante waarde</t>
  </si>
  <si>
    <t>Inkomensoverdrachten van GR-en</t>
  </si>
  <si>
    <t>Inkomensoverdrachten gem regeling</t>
  </si>
  <si>
    <t>Inkomensoverdrachten aan overige overheden</t>
  </si>
  <si>
    <t>Afschrijving</t>
  </si>
  <si>
    <t>Inhuur personeel</t>
  </si>
  <si>
    <t>Onderbouwing middelen</t>
  </si>
  <si>
    <t>Vergoeding is o.b.v. de Verordening rechtspositie</t>
  </si>
  <si>
    <t>wethouders, raads- en commissieleden.</t>
  </si>
  <si>
    <t>Scholing, functionele vorming raadsleden vanuit verdeling opleid budget</t>
  </si>
  <si>
    <t>Aank. niet duurzame goederen en diensten</t>
  </si>
  <si>
    <t>Jaarfactuur Notubiz, waaronder:</t>
  </si>
  <si>
    <t>Notubiz - gebruik en abonnement NotuBox</t>
  </si>
  <si>
    <t>Notubiz - moties &amp; abonnementen</t>
  </si>
  <si>
    <t>Notu-doc</t>
  </si>
  <si>
    <t>Notu-record</t>
  </si>
  <si>
    <t>Notu-vote</t>
  </si>
  <si>
    <t>Politiek portret</t>
  </si>
  <si>
    <t>Notu-box</t>
  </si>
  <si>
    <t>Overige notubiz</t>
  </si>
  <si>
    <t>W02-2025 aanvulling communicatiekosten</t>
  </si>
  <si>
    <t>A03-2025 aanvulling kosten raad</t>
  </si>
  <si>
    <t>A12/2019 overb. van 6006107 (vergoeding burgerleden - via griffie)</t>
  </si>
  <si>
    <t>Vergoeding op basis van de Verordening Ambtelijke bijstand en fractieondersteuning. De bijdrage bestaat uit een vast deel voor elke fractie. Daarnaast ontvangt elke fractie een bedrag per raadslid. Vergoedingen worden jaarlijks geindexeerd. Bij de begroting van 2020 is een bedrag van € 500 per fractie per jaar en € 75,05 per raadszetel van de fractie per jaar vastgesteld.</t>
  </si>
  <si>
    <t>raadsfracties a</t>
  </si>
  <si>
    <t>Vanaf 2026 mogelijk nieuw aantal fracties/raadsleden ivm verkiezingen/2026 obv 2025 alleen indexatie 2027 verder aanpassen</t>
  </si>
  <si>
    <t>raadsleden a</t>
  </si>
  <si>
    <t>Ingevolge een besluit van de Staatsecretaris van Financiën d.d. 17 maart 1992, moeten bepaalde kosten worden bestreden uit de algemene onkostenvergoeding voor raadsleden. Deze kosten zijn:</t>
  </si>
  <si>
    <t>- representatie (22%)</t>
  </si>
  <si>
    <t>- vakliteratuur (7%)</t>
  </si>
  <si>
    <t>- contributies en lidmaatschappen (13%)</t>
  </si>
  <si>
    <t>- telefoonkosten (14%)</t>
  </si>
  <si>
    <t>- burokosten, porti (10%)</t>
  </si>
  <si>
    <t>- zakelijke giften (3%)</t>
  </si>
  <si>
    <t>- bijdrage aan fractiekosten (25%)</t>
  </si>
  <si>
    <t>- ontvangsten (4%)</t>
  </si>
  <si>
    <t>- excursies (2%)</t>
  </si>
  <si>
    <t>De kosten van opleidingen en cursussen kunnen worden gedekt uit het budget opgenomen onder overige personeelslasten.</t>
  </si>
  <si>
    <t>Budget raadsexcursie</t>
  </si>
  <si>
    <t>Budget commissie excursies</t>
  </si>
  <si>
    <t>Overige kosten</t>
  </si>
  <si>
    <t>- structureel budget uitvoering communicatieplan</t>
  </si>
  <si>
    <t>Opleidingsbudget griffie vanuit verdeling opleid budget</t>
  </si>
  <si>
    <t>W01/23 uitbreiding budget iov werkgeverscommissie</t>
  </si>
  <si>
    <t>- Informatieavonden, bijeenkomsten etc.</t>
  </si>
  <si>
    <t>- Ontvangsten, maaltijden, bezoeken</t>
  </si>
  <si>
    <t>- Representatie</t>
  </si>
  <si>
    <t>- Vrij bedrag</t>
  </si>
  <si>
    <t>- Reiskostenvergoedingen</t>
  </si>
  <si>
    <t>- Werkbudget Griffie</t>
  </si>
  <si>
    <t>A03-2025 aanvulling werkbudget raad</t>
  </si>
  <si>
    <t>Totaal werkbudget</t>
  </si>
  <si>
    <t xml:space="preserve">De rekenkamercommissie bestaat uit 2 door de gemeenteraad benoemde externe leden. Zij worden ondersteund door een ambtelijk secretaris. </t>
  </si>
  <si>
    <t>Het budget is vastgesteld op een bedrag per inwoner.</t>
  </si>
  <si>
    <t>Bijdrage gemeente Best aan de rekenkamerfunctie:</t>
  </si>
  <si>
    <t>inwoners per 1-1-2025 a</t>
  </si>
  <si>
    <t>inwoners per 1-1-2026 a</t>
  </si>
  <si>
    <t>inwoners per 1-1-2027 a</t>
  </si>
  <si>
    <t>inwoners per 1-1-2028 a</t>
  </si>
  <si>
    <t>inwoners per 1-1-2029 a</t>
  </si>
  <si>
    <t>De rekenkamercommissie voert jaarlijks onderzoeken uit naar de doeltreffendheid, doelmatigheid en rechtmatigheid van het gemeentelijk beleid. De rekenkamercommissie is volledig onafhankelijk en beslist zelf naar welk onderwerp zij onderzoek doet, maar zowel de gemeenteraad als de inwoners van Best kunnen suggesties doen voor een concreet onderwerp.</t>
  </si>
  <si>
    <t>Accountantscontrole (Crowe vanaf bj 2023, hon € 55.150)</t>
  </si>
  <si>
    <t>Budget jeugdraad (3e fin rap 2024)</t>
  </si>
  <si>
    <t xml:space="preserve"> Komt vanuit T62 vanaf 2025/637007</t>
  </si>
  <si>
    <t>Totaal 43812</t>
  </si>
  <si>
    <t>Gewezen burgemeesters</t>
  </si>
  <si>
    <t>zie doc kosten voormalig personeel</t>
  </si>
  <si>
    <t>Totaal 41101</t>
  </si>
  <si>
    <t>Bijdrage uit voorz. uitkeringsverplichtingen voormalig personeel</t>
  </si>
  <si>
    <t>Totaal 860002</t>
  </si>
  <si>
    <t>Gewezen wethouders</t>
  </si>
  <si>
    <t xml:space="preserve">College van B&amp;W </t>
  </si>
  <si>
    <t>Beschermingspolis college en rechtsbijstand</t>
  </si>
  <si>
    <t>APPA</t>
  </si>
  <si>
    <t>Overlijdensrisicoverzekering</t>
  </si>
  <si>
    <t>premie in 2024 verlaagd, 1250 extra gerserveerd voor evt extra kosten</t>
  </si>
  <si>
    <t>Totaal 43806</t>
  </si>
  <si>
    <t>vakcursus/bedrijfsopleiding</t>
  </si>
  <si>
    <t>w.o. deelname aan VNG congres/trainingen</t>
  </si>
  <si>
    <t>Totaal 43819</t>
  </si>
  <si>
    <t>Algemeen</t>
  </si>
  <si>
    <t xml:space="preserve">W02/2025 Bijdrage VNG congres </t>
  </si>
  <si>
    <t xml:space="preserve">Reis en verblijfskosten </t>
  </si>
  <si>
    <t>Totaal 43818</t>
  </si>
  <si>
    <t xml:space="preserve">                                                    </t>
  </si>
  <si>
    <t>Kosten representatie extern</t>
  </si>
  <si>
    <t>Activiteiten gefaciliteerd door Facilitaire Zaken:</t>
  </si>
  <si>
    <t>- nieuwjaarsreceptie burgerij en personeel (1x)</t>
  </si>
  <si>
    <t>- ontvangst gedecoreerden tijdens koninginnedag (1x)</t>
  </si>
  <si>
    <t>- ontvangsten colleges omliggende gemeenten (6x)</t>
  </si>
  <si>
    <t>- ontvangst prins carnaval (1x)</t>
  </si>
  <si>
    <t>- ontvangst Sint Nicolaas (1x)</t>
  </si>
  <si>
    <t>- lunchvoorziening college (was tm 2011 prod. 2P0102)</t>
  </si>
  <si>
    <t>Overige activiteiten:</t>
  </si>
  <si>
    <t>- geschenken en attenties</t>
  </si>
  <si>
    <t>- bekers t.b.v. diverse evenementen</t>
  </si>
  <si>
    <t>- erepenningen</t>
  </si>
  <si>
    <t>- budget dodenherdenking (t.b.v. kranslegging)</t>
  </si>
  <si>
    <t>- eindejaarsborrel (zonder B.T.W.)</t>
  </si>
  <si>
    <t>- VVV bonnen (zonder B.T.W.)</t>
  </si>
  <si>
    <t>1e fin rap 2023 extra budget welkom nieuwe inwoners</t>
  </si>
  <si>
    <t>- Subsidie ten behoeve van veteranen</t>
  </si>
  <si>
    <t>Broodjes bloemen ed</t>
  </si>
  <si>
    <t>- diversen (o.m. drankvoorziening burgerzaal,</t>
  </si>
  <si>
    <t>De kosten die een directe relatie hebben met een project (grote investeringswerken) worden rechtstreeks verantwoord op de desbetreffende kostendrager.</t>
  </si>
  <si>
    <t>projecten.</t>
  </si>
  <si>
    <t>- De algemene bijdrage wordt geraamd op:</t>
  </si>
  <si>
    <t>1-1-2024:</t>
  </si>
  <si>
    <t>inwoners à €</t>
  </si>
  <si>
    <t>1-1-2025:</t>
  </si>
  <si>
    <t>1-1-2026:</t>
  </si>
  <si>
    <t>1-1-2027:</t>
  </si>
  <si>
    <t>1-1-2028:</t>
  </si>
  <si>
    <t>- De bijdrage voor Brainport Development wordt geraamd op:</t>
  </si>
  <si>
    <t>Totaal bijdrage MRE</t>
  </si>
  <si>
    <t>- Overgedragen taken:</t>
  </si>
  <si>
    <t>Nog te besteden gelden overgedragen taken *</t>
  </si>
  <si>
    <t>* In het 'Convenant samenwerking 4-Campusgemeenten regio Eindhoven 2012-2020' is opgenomen onder artikel 11</t>
  </si>
  <si>
    <t>dat partijen afspreken dat zij vanaf 2013 de vrijvallende middelen als gevolg van verlaging van de algemene inwonerbijdrage</t>
  </si>
  <si>
    <t>aan het SRE primair zullen reserveren ter dekking van de kosten van de subregionale samenwerking.</t>
  </si>
  <si>
    <t>Totaal 44330 (bestemd voor rechtstreekse bijdrage MRE)</t>
  </si>
  <si>
    <t>Stimuleringsfonds</t>
  </si>
  <si>
    <t>2025 verschuiving van bijdrage stimuleringsfonds naar regionale opgaven (algemene bijdrage)</t>
  </si>
  <si>
    <t>Totaal 44330</t>
  </si>
  <si>
    <r>
      <t xml:space="preserve">- </t>
    </r>
    <r>
      <rPr>
        <b/>
        <sz val="10"/>
        <rFont val="Tahoma"/>
        <family val="2"/>
      </rPr>
      <t>Regionaal Historisch Centrum</t>
    </r>
    <r>
      <rPr>
        <sz val="10"/>
        <rFont val="Tahoma"/>
        <family val="2"/>
      </rPr>
      <t xml:space="preserve"> </t>
    </r>
  </si>
  <si>
    <t xml:space="preserve">  Gemeentelijke bijdrage (T54 - 632001)</t>
  </si>
  <si>
    <t>Totale bijdrage MRE (grootboek 601012 + 601013 + RHCE +</t>
  </si>
  <si>
    <t>overgedragen taken)</t>
  </si>
  <si>
    <t>Er is een afspraak dat op basis van een op te stellen programma bovenlokale voorzieningen in het belang van het totale stedelijk gebied, gezamenlijk projecten bekostigd kunnen worden. Dit met de visie Brainport 2020 als uitgangspunt. Kerngedachte hierbij is "project zoekt geld".</t>
  </si>
  <si>
    <t>Restantbudget project zoekt geld:</t>
  </si>
  <si>
    <t xml:space="preserve">Totaal 44360 </t>
  </si>
  <si>
    <t>Bij de vaststelling van het nieuwe Bestuursconvenant Stedelijk Gebied Eindhoven 2013 is afgesproken dat gemeenten een werkbudget opnemen in de begroting om slagvaardig te kunnen opereren.</t>
  </si>
  <si>
    <t>Structurele kosten samenwerking stedelijk gebied (aandeel Best 5,82%)</t>
  </si>
  <si>
    <t>Ambtelijke ondersteuning huisvestingsverordening</t>
  </si>
  <si>
    <t>Instellen Regionale Adviescommissie Detailhandel (RADC) (IN16-05353)</t>
  </si>
  <si>
    <t>A03/2018 budget regionale adviescie detailhandel</t>
  </si>
  <si>
    <t>Samenwerkingsagenda 2018-2015 Stedelijk Gebied Eindhoven: *</t>
  </si>
  <si>
    <t>Zie raadsvoorstel IN17-04788 van 8 januari 2018</t>
  </si>
  <si>
    <t>-Out of the pocketkosten (afdracht SGE-secretariaat, werk- en projectbudgetten</t>
  </si>
  <si>
    <t xml:space="preserve">  en incidentele kosten)</t>
  </si>
  <si>
    <t>Project voorzieningen stedelijk gebied Eindhoven</t>
  </si>
  <si>
    <t>Best levert een ambtelijk secretaris voor deze bestuurlijke werkgroep. Best betaalt</t>
  </si>
  <si>
    <t>W01/2025 budget samenwerking Best-Oirschot</t>
  </si>
  <si>
    <t>W05-2025 aanvulling budget samenwerking Best-Oirschot (VAR)</t>
  </si>
  <si>
    <t>Nieuw budget 2026, nr 40, extra budget Best-Oirschot</t>
  </si>
  <si>
    <t>Salarissen</t>
  </si>
  <si>
    <t>- Loonkosten raadsleden</t>
  </si>
  <si>
    <t>- Loonkosten Griffie</t>
  </si>
  <si>
    <t>- Loonkosten burgemeester</t>
  </si>
  <si>
    <t>- Loonkosten wethouders</t>
  </si>
  <si>
    <t>Totaal 41000</t>
  </si>
  <si>
    <t>- Regie en ontwikkeling</t>
  </si>
  <si>
    <t>- Team omgevingsadvies</t>
  </si>
  <si>
    <r>
      <t xml:space="preserve">- </t>
    </r>
    <r>
      <rPr>
        <sz val="10"/>
        <rFont val="Tahoma"/>
        <family val="2"/>
      </rPr>
      <t>Team maatschappij</t>
    </r>
  </si>
  <si>
    <t xml:space="preserve">- Staffunctie </t>
  </si>
  <si>
    <t>- Schaalsprong Regionale opgaven 2026 - 2029</t>
  </si>
  <si>
    <t>Totaal 43511</t>
  </si>
  <si>
    <t>01. Algemeen Bestuur</t>
  </si>
  <si>
    <t>Budgethouder</t>
  </si>
  <si>
    <t>Saldo baten en lasten</t>
  </si>
  <si>
    <t xml:space="preserve">Grootb/cat nummer
</t>
  </si>
  <si>
    <t>Grootb/cat t/m 2019
nummer</t>
  </si>
  <si>
    <t>Huwelijken (1)</t>
  </si>
  <si>
    <t xml:space="preserve">Overige goederen en diensten </t>
  </si>
  <si>
    <t>Directe toerekening burgelijke stand (1)</t>
  </si>
  <si>
    <t>Reisdocumenten  (2)</t>
  </si>
  <si>
    <t>Inkomensoverdrachten aan het rijk</t>
  </si>
  <si>
    <t>Directe toerekening reisdocumenten (2)</t>
  </si>
  <si>
    <t>Rijbewijzen (3)</t>
  </si>
  <si>
    <t>Directe toerekening rijbewijzen (3)</t>
  </si>
  <si>
    <t xml:space="preserve">Directe toerekening (uitreksels uit de) brp (4) </t>
  </si>
  <si>
    <t>Leges overige publiekszaken (5)</t>
  </si>
  <si>
    <t xml:space="preserve">Inkomensoverdrachten aan het rijk </t>
  </si>
  <si>
    <t>Directe toerekening leges overige publiekszaken (5)</t>
  </si>
  <si>
    <t>Verkiezingen (6)</t>
  </si>
  <si>
    <t>Huurlasten</t>
  </si>
  <si>
    <t>Directe toerekening verkiezingen (6)</t>
  </si>
  <si>
    <t>Publiekszaken (7)</t>
  </si>
  <si>
    <t>Directe toerekening publiekszaken (7)</t>
  </si>
  <si>
    <t>Inhuur</t>
  </si>
  <si>
    <t xml:space="preserve">Leges en rechten </t>
  </si>
  <si>
    <t>Reisdocumenten (2)</t>
  </si>
  <si>
    <t>Leges en rechten</t>
  </si>
  <si>
    <t>Rijbewijzen  (3)</t>
  </si>
  <si>
    <t>(Uitreksels uit de) brp (4)</t>
  </si>
  <si>
    <t>Onderbouwing budgetten</t>
  </si>
  <si>
    <t>De aantallen voor 2026 zijn geraamd obvwe (afgerond)  de werkelijke verkopen  2024. De tarieven vanaf 2026 zijn voorlopig bepaald op basis van het tarief 2025 vermeerderd met onze index.</t>
  </si>
  <si>
    <t>Burgelijke stand (1)</t>
  </si>
  <si>
    <t>Betreft het vastleggen van rechtsfeiten in de registers van de burgerlijke stand en het daadwerkelijk voltrekken van huwelijken en partnerschapsregistraties.</t>
  </si>
  <si>
    <t>Betreft de aankoop van trouw- en partnerschapsboekjes:</t>
  </si>
  <si>
    <t>trouwboekjes à</t>
  </si>
  <si>
    <t>Diverse overige uitgaven</t>
  </si>
  <si>
    <t>A. Paspoorten, af te dragen rijksleges</t>
  </si>
  <si>
    <t xml:space="preserve">In 2026 zijn voorlopig de vastgestelde tarieven voor 2025 verwerkt. Omstreeks augustus worden de nieuwe tarieven voor 2026 bekend </t>
  </si>
  <si>
    <t>gemaakt.</t>
  </si>
  <si>
    <t>Rijksleges paspoort 18 jaar of ouder (geldig 10 jaar)</t>
  </si>
  <si>
    <t>paspoorten in 2025 à</t>
  </si>
  <si>
    <t>paspoorten in 2026 à</t>
  </si>
  <si>
    <t>paspoorten in 2027 à</t>
  </si>
  <si>
    <t>paspoorten in 2028 à</t>
  </si>
  <si>
    <t>paspoorten in 2029 à</t>
  </si>
  <si>
    <t>Rijksleges paspoort jonger dan 18 jaar (geldig 5 jaar)</t>
  </si>
  <si>
    <t>spoedtoeslag</t>
  </si>
  <si>
    <t>B. ID kaarten, af te dragen rijksleges</t>
  </si>
  <si>
    <t>Rijksleges ID-kaart 18 jaar of ouder (geldig 10 jaar)</t>
  </si>
  <si>
    <t>id  &gt; 18 jr in 2025</t>
  </si>
  <si>
    <t>id  &gt; 18 jr in 2026</t>
  </si>
  <si>
    <t>id  &gt; 18 jr in 2027</t>
  </si>
  <si>
    <t>id  &gt; 18 jr in 2028</t>
  </si>
  <si>
    <t>id  &gt; 18 jr in 2029</t>
  </si>
  <si>
    <t>Rijksleges ID kaart jonger dan 18 (geldig 5 jaar)</t>
  </si>
  <si>
    <t>id &lt; 18 jr in 2025</t>
  </si>
  <si>
    <t>id &lt; 18 jr in 2026</t>
  </si>
  <si>
    <t>id &lt; 18 jr in 2027</t>
  </si>
  <si>
    <t>id &lt; 18 jr in 2028</t>
  </si>
  <si>
    <t>id &lt; 18 jr in 2029</t>
  </si>
  <si>
    <t xml:space="preserve">Flexibele schil 2e lijn reisdocumenten (backoffice burgerzaken), </t>
  </si>
  <si>
    <t>Totaal 430001</t>
  </si>
  <si>
    <t xml:space="preserve">De rijksleges worden door het RDW (Dienst Wegverkeer) vastgeteld. De rijksleges zijn gebaseerd op de laatst vastgestelde tarief per </t>
  </si>
  <si>
    <t xml:space="preserve"> januari 2025</t>
  </si>
  <si>
    <t>Rijbewijzen af te dragen rijksleges: aantallen obv verlopen rijbwijzen in jaar</t>
  </si>
  <si>
    <t>verkochte rijbewijzen in 2025 à</t>
  </si>
  <si>
    <t>verkochte rijbewijzen in 2026 à</t>
  </si>
  <si>
    <t>verkochte rijbewijzen in 2027 à</t>
  </si>
  <si>
    <t>verkochte rijbewijzen in 2028 à</t>
  </si>
  <si>
    <t>verkochte rijbewijzen in 2029 à</t>
  </si>
  <si>
    <t xml:space="preserve">Flexibele schil 2e lijn rijbewijzen (backoffice burgerzaken) </t>
  </si>
  <si>
    <t>Directe toerekening (uitreksels uit de) brp (4)</t>
  </si>
  <si>
    <t xml:space="preserve">Rechtstreeks toe te rekenen automatiseringslast </t>
  </si>
  <si>
    <t>basisregistratie personen</t>
  </si>
  <si>
    <t>Leges  overige publiekszaken (5)</t>
  </si>
  <si>
    <t>Naturalisatieceremonies (boek ' Beeldschoon Koninkrijk' en folders)</t>
  </si>
  <si>
    <t>A. afdracht naturalisatieleges</t>
  </si>
  <si>
    <t>Deze tarieven worden jaarlijks gepubliceerd door de NVVB. Opgenomen zijn de laatst vastgestelde tarieven per september 2024.</t>
  </si>
  <si>
    <t>De definitieve tarieven voor 2026 worden in september 2025 verwacht.</t>
  </si>
  <si>
    <t>enkelvoudig standaard</t>
  </si>
  <si>
    <t>enkelvoudig verlaagd</t>
  </si>
  <si>
    <t>gemeenschappelijk standaard</t>
  </si>
  <si>
    <t>gemeenschappelijk verlaagd</t>
  </si>
  <si>
    <t>meenaturaliserend kind</t>
  </si>
  <si>
    <t>optie gemeenschappelijk (geen rijksleges)</t>
  </si>
  <si>
    <t>optie enkelvoudig (geen rijksleges)</t>
  </si>
  <si>
    <t>optie medeopterende minderjarige (geen rijksleges)</t>
  </si>
  <si>
    <t>B. Afdracht leges verklaringen omtrent gedrag (aan het Centraal Orgaan Verklaring Omtrent Gedrag)</t>
  </si>
  <si>
    <t>Opgenomen is het vastgestelde  tarief van Justis, zoals vastgesteld voor 2025.</t>
  </si>
  <si>
    <t>verklaring omtrent gedrag 2025</t>
  </si>
  <si>
    <t>verklaring omtrent gedrag 2026</t>
  </si>
  <si>
    <t>verklaring omtrent gedrag 2027</t>
  </si>
  <si>
    <t>verklaring omtrent gedrag 2028</t>
  </si>
  <si>
    <t>verklaring omtrent gedrag 2029</t>
  </si>
  <si>
    <t>Tarief vastgesteld door het CBR, tarief 2025 is € 45,25. De ontvangen leges wordt volledig afgedragen aan het CBR.</t>
  </si>
  <si>
    <t>gezondheidsverklaringen</t>
  </si>
  <si>
    <t>Totaal leges overige publiekszaken</t>
  </si>
  <si>
    <t>Betreft het mede organiseren en administreren van verkiezingen ten behoeve van de samenstelling van democratisch gekozen bestuursorganen. In 2018 zijn er 15 stemlokalen, waarvan 3 in eigendom van de gemeente.</t>
  </si>
  <si>
    <t xml:space="preserve"> x huur stemlokalen 2025 x 1</t>
  </si>
  <si>
    <t xml:space="preserve"> x huur stemlokalen 2026 x 1</t>
  </si>
  <si>
    <t xml:space="preserve"> x huur stemlokalen 2027 x 1</t>
  </si>
  <si>
    <t xml:space="preserve"> x huur stemlokalen 2028 x 1</t>
  </si>
  <si>
    <t xml:space="preserve"> x huur stemlokalen 2029 x 1</t>
  </si>
  <si>
    <t>Huur locatie stemmen tellen</t>
  </si>
  <si>
    <t>Nieuw toegevoegd, hebben we besproken eind 2024.</t>
  </si>
  <si>
    <t>- vergoeding leden stembureaus</t>
  </si>
  <si>
    <t>Vanaf 2026:</t>
  </si>
  <si>
    <t>Raming (60 stemburoleden a € 150 en 60 tellers a € 50).</t>
  </si>
  <si>
    <t>Gebaseerd op uitgaven verkiezingen 2024</t>
  </si>
  <si>
    <t>- Catering tijdens verkiezingdag en bij stemmen tellen</t>
  </si>
  <si>
    <t>- oproepingskaarten en kandidatenlijsten, porti (Procura en Postnl)</t>
  </si>
  <si>
    <t>- account stembox</t>
  </si>
  <si>
    <t>- e learnng verkiezingen</t>
  </si>
  <si>
    <t xml:space="preserve">- overige kosten (oa verkiezingsborden, stemmallen en andere </t>
  </si>
  <si>
    <t xml:space="preserve">  variabele kosten)</t>
  </si>
  <si>
    <t>- organisatie verkiezingen (externe ondersteuning)</t>
  </si>
  <si>
    <t xml:space="preserve">- automatisering </t>
  </si>
  <si>
    <t>- Wet nieuwe procedure vaststelling verkiezingsuitslag</t>
  </si>
  <si>
    <t>Op dit moment zijn de volgende verkiezingen voorzien. Jaarlijks gaan we uit van minimaal  1 verkiezing.</t>
  </si>
  <si>
    <t xml:space="preserve"> - Verkiezing gemeenteraad (2026)</t>
  </si>
  <si>
    <t>iedere 4 jaar</t>
  </si>
  <si>
    <t>-  Verkiezing Provinciale Staten /</t>
  </si>
  <si>
    <t xml:space="preserve">   Waterschapsverkiezingen (2027)</t>
  </si>
  <si>
    <t>- Verkiezing Europees parlement (2029)</t>
  </si>
  <si>
    <t>iedere 5 jaar</t>
  </si>
  <si>
    <t>- Verkiezing 2e kamer (2025 - 2029)</t>
  </si>
  <si>
    <t>- Docudistri/LamsonAir onderhoudscontract</t>
  </si>
  <si>
    <t>- Onderhoudscontract Orbi</t>
  </si>
  <si>
    <t>Moniek / Michel: in 2024 zijn deze kosten niet gemaakt. Begrepen in Docudistri?</t>
  </si>
  <si>
    <t>- Klein materiaal publiekszaken / abonnementen</t>
  </si>
  <si>
    <t xml:space="preserve"> (aktepapier, vng papier, algemene drukwerken)</t>
  </si>
  <si>
    <t>Lokaal tarief. Betreft de berekende leges voor het voltrekken van huwelijken en partnerschapsregistraties.</t>
  </si>
  <si>
    <r>
      <t xml:space="preserve">Huwelijksvoltrekkingen / partnerschapsregistraties </t>
    </r>
    <r>
      <rPr>
        <u/>
        <sz val="10"/>
        <rFont val="Tahoma"/>
        <family val="2"/>
      </rPr>
      <t>trouwkamer</t>
    </r>
    <r>
      <rPr>
        <sz val="10"/>
        <rFont val="Tahoma"/>
        <family val="2"/>
      </rPr>
      <t xml:space="preserve"> op een </t>
    </r>
    <r>
      <rPr>
        <b/>
        <sz val="10"/>
        <rFont val="Tahoma"/>
        <family val="2"/>
      </rPr>
      <t>werkdag intern</t>
    </r>
    <r>
      <rPr>
        <sz val="10"/>
        <rFont val="Tahoma"/>
        <family val="2"/>
      </rPr>
      <t xml:space="preserve"> tijdens kantooruren:</t>
    </r>
  </si>
  <si>
    <t>huwelijksvoltrekkingen in 2025 à</t>
  </si>
  <si>
    <t>huwelijksvoltrekkingen in 2026 à</t>
  </si>
  <si>
    <t>huwelijksvoltrekkingen in 2027 à</t>
  </si>
  <si>
    <t>huwelijksvoltrekkingen in 2028 à</t>
  </si>
  <si>
    <t>huwelijksvoltrekkingen in 2029 à</t>
  </si>
  <si>
    <r>
      <t xml:space="preserve">Huwelijksvoltrekkingen / partnerschapsregistraties </t>
    </r>
    <r>
      <rPr>
        <u/>
        <sz val="10"/>
        <rFont val="Tahoma"/>
        <family val="2"/>
      </rPr>
      <t xml:space="preserve">raadzaal </t>
    </r>
    <r>
      <rPr>
        <sz val="10"/>
        <rFont val="Tahoma"/>
        <family val="2"/>
      </rPr>
      <t xml:space="preserve">op een </t>
    </r>
    <r>
      <rPr>
        <b/>
        <sz val="10"/>
        <rFont val="Tahoma"/>
        <family val="2"/>
      </rPr>
      <t>werkdag, intern</t>
    </r>
    <r>
      <rPr>
        <sz val="10"/>
        <rFont val="Tahoma"/>
        <family val="2"/>
      </rPr>
      <t xml:space="preserve"> tijdens kantooruren:</t>
    </r>
  </si>
  <si>
    <r>
      <t xml:space="preserve">Huwelijksvoltrekkingen / partnerschapsregistraties </t>
    </r>
    <r>
      <rPr>
        <u/>
        <sz val="10"/>
        <rFont val="Tahoma"/>
        <family val="2"/>
      </rPr>
      <t>trouwkamer</t>
    </r>
    <r>
      <rPr>
        <sz val="10"/>
        <rFont val="Tahoma"/>
        <family val="2"/>
      </rPr>
      <t xml:space="preserve"> op een </t>
    </r>
    <r>
      <rPr>
        <b/>
        <sz val="10"/>
        <rFont val="Tahoma"/>
        <family val="2"/>
      </rPr>
      <t>werkdag intern</t>
    </r>
    <r>
      <rPr>
        <sz val="10"/>
        <rFont val="Tahoma"/>
        <family val="2"/>
      </rPr>
      <t xml:space="preserve"> na 17.00 uur of op zaterdag:</t>
    </r>
  </si>
  <si>
    <r>
      <t xml:space="preserve">Huwelijksvoltrekkingen / partnerschapsregistraties </t>
    </r>
    <r>
      <rPr>
        <u/>
        <sz val="10"/>
        <rFont val="Tahoma"/>
        <family val="2"/>
      </rPr>
      <t>raadzaal</t>
    </r>
    <r>
      <rPr>
        <sz val="10"/>
        <rFont val="Tahoma"/>
        <family val="2"/>
      </rPr>
      <t xml:space="preserve"> op een </t>
    </r>
    <r>
      <rPr>
        <b/>
        <sz val="10"/>
        <rFont val="Tahoma"/>
        <family val="2"/>
      </rPr>
      <t xml:space="preserve">werkdag intern </t>
    </r>
    <r>
      <rPr>
        <sz val="10"/>
        <rFont val="Tahoma"/>
        <family val="2"/>
      </rPr>
      <t>na 17:00 uur of zaterdag:</t>
    </r>
  </si>
  <si>
    <r>
      <t xml:space="preserve">Huwelijksvoltrekkingen / partnerschapsregistraties op een </t>
    </r>
    <r>
      <rPr>
        <b/>
        <sz val="10"/>
        <rFont val="Tahoma"/>
        <family val="2"/>
      </rPr>
      <t>werkdag extern*</t>
    </r>
    <r>
      <rPr>
        <sz val="10"/>
        <rFont val="Tahoma"/>
        <family val="2"/>
      </rPr>
      <t>:</t>
    </r>
  </si>
  <si>
    <t>Beoordeling externe locatie (tarief 2025)</t>
  </si>
  <si>
    <t>Trouw- partnerschapsboekjes:</t>
  </si>
  <si>
    <t>boekjes in 2025 à</t>
  </si>
  <si>
    <t>boekjes in 2026 à</t>
  </si>
  <si>
    <t>boekjes in 2027 à</t>
  </si>
  <si>
    <t>boekjes in 2028 à</t>
  </si>
  <si>
    <t>boekjes in 2029 à</t>
  </si>
  <si>
    <t>getuigen</t>
  </si>
  <si>
    <t>Paspoort 18 jaar of ouder (geldig 10 jaar)</t>
  </si>
  <si>
    <t>Paspoort jonger dan 18 jaar (geldig 5 jaar)</t>
  </si>
  <si>
    <t>ID kaart 18 jaar of ouder (geldig 10 jaar)</t>
  </si>
  <si>
    <t>identiteitskaarten &gt; 18 jr in 2025</t>
  </si>
  <si>
    <t>identiteitskaarten &gt; 18 jr in 2026</t>
  </si>
  <si>
    <t>identiteitskaarten &gt; 18 jr in 2027</t>
  </si>
  <si>
    <t>identiteitskaarten &gt; 18 jr in 2028</t>
  </si>
  <si>
    <t>identiteitskaarten &gt; 18 jr in 2029</t>
  </si>
  <si>
    <t>ID kaart jonger dan 18 jaar (geldig 5 jaar)</t>
  </si>
  <si>
    <t>identiteitskaarten &lt; 18 jr in 2025</t>
  </si>
  <si>
    <t>identiteitskaarten &lt; 18 jr in 2026</t>
  </si>
  <si>
    <t>identiteitskaarten &lt; 18 jr in 2027</t>
  </si>
  <si>
    <t>identiteitskaarten &lt; 18 jr in 2028</t>
  </si>
  <si>
    <t>identiteitskaarten &lt; 18 jr in 2029</t>
  </si>
  <si>
    <t>Spoed</t>
  </si>
  <si>
    <t>Totaal opbrengst reisdocumenten</t>
  </si>
  <si>
    <t xml:space="preserve">De rijksleges worden door het RDW (Dienst Wegverkeer) vastgeteld. De rijksleges zijn gebaseerd </t>
  </si>
  <si>
    <t>op de laatst vastgestelde tarief voor 2025</t>
  </si>
  <si>
    <t>rijbewijzen in 2025 à</t>
  </si>
  <si>
    <t>rijbewijzen in 2026 à</t>
  </si>
  <si>
    <t>rijbewijzen in 2027 à</t>
  </si>
  <si>
    <t>rijbewijzen in 2028 à</t>
  </si>
  <si>
    <t>rijbewijzen in 2029 à</t>
  </si>
  <si>
    <t>Extra opbrengsten: rijbew. spoed</t>
  </si>
  <si>
    <t>Totaal opbrengst rijbewijzen</t>
  </si>
  <si>
    <t>Hier valt onder:</t>
  </si>
  <si>
    <t>- uitreksels uit de basisregistratie personen</t>
  </si>
  <si>
    <t>- uitreksels burgelijke stand(geboorte, huwelijk, partnerschap, omzettingen partnerschap/huwelijken, overlijden)</t>
  </si>
  <si>
    <t>- verstrekken van een bewijs van in leven zijn (attistatie de vita)</t>
  </si>
  <si>
    <t>- verklaring van huwelijksbevoegdheid</t>
  </si>
  <si>
    <t>- meertalige uitreksels</t>
  </si>
  <si>
    <t>Cf staatscourant 26-6-23, 2023-0000339768</t>
  </si>
  <si>
    <t>uittreksel uit burgelijke stand 2025</t>
  </si>
  <si>
    <t>uittreksel uit burgelijke stand 2026</t>
  </si>
  <si>
    <t>uittreksel uit burgelijke stand 2027</t>
  </si>
  <si>
    <t>uittreksel uit burgelijke stand 2028</t>
  </si>
  <si>
    <t>uittreksel uit burgelijke stand 2029</t>
  </si>
  <si>
    <t>uitreksel uit de brp (loket) 2025</t>
  </si>
  <si>
    <t>uitreksel uit de brp (loket) 2026</t>
  </si>
  <si>
    <t>uitreksel uit de brp (loket) 2027</t>
  </si>
  <si>
    <t>uitreksel uit de brp (loket) 2028</t>
  </si>
  <si>
    <t>uitreksel uit de brp (loket) 2029</t>
  </si>
  <si>
    <t>digitaal uitreksel brp 2025</t>
  </si>
  <si>
    <t>digitaal uitreksel brp 2026</t>
  </si>
  <si>
    <t>digitaal uitreksel brp 2027</t>
  </si>
  <si>
    <t>digitaal uitreksel brp 2028</t>
  </si>
  <si>
    <t>digitaal uitreksel brp 2029</t>
  </si>
  <si>
    <t>Totaal opbrengsten basisregistratie</t>
  </si>
  <si>
    <t>Leges overig publiekszaken (5)</t>
  </si>
  <si>
    <t>Hieronder valt:</t>
  </si>
  <si>
    <t>- verstrekken van een verklaring omtrent het gedrag (wettelijk tarief, opgenomen is het tarief 2025)</t>
  </si>
  <si>
    <t>- verstrekken van een legalisatie van een handtekening (opgenomen is het tarief 2025)</t>
  </si>
  <si>
    <t>- waarmerken van een kopie document</t>
  </si>
  <si>
    <t>- naturalisaties</t>
  </si>
  <si>
    <t>A. verklaringen omtrent gedrag</t>
  </si>
  <si>
    <t>verklaring omtrent gedr 2026 (NVVB tarief 2025)</t>
  </si>
  <si>
    <t>B. legalisatie handtekening / waarmerken</t>
  </si>
  <si>
    <t>legalisatie handtek./waarmerken</t>
  </si>
  <si>
    <t>legalisatie handtek./waar. (eigen tarief 2025)</t>
  </si>
  <si>
    <t>C. Gezondheidsverklaringen</t>
  </si>
  <si>
    <t>gezondheidsverkl (vastgesteld tarief CBR 2025)</t>
  </si>
  <si>
    <t>D. naturalisatieverzoeken</t>
  </si>
  <si>
    <t xml:space="preserve"> </t>
  </si>
  <si>
    <t>meervoudig standaard</t>
  </si>
  <si>
    <t>meervoudig verlaagd</t>
  </si>
  <si>
    <t>optie gemeenschappelijk</t>
  </si>
  <si>
    <t>optie enkelvoudig</t>
  </si>
  <si>
    <t xml:space="preserve">optie medeopterende minderjarige </t>
  </si>
  <si>
    <t>Totaal opbrengsten leges overige publiekszaken</t>
  </si>
  <si>
    <t>- Team inwoners en veiligheid</t>
  </si>
  <si>
    <t>W02-2025 budget pilot avondopenstelling</t>
  </si>
  <si>
    <t>Tbv paragraaf lokale heffingen: leges publiekszaken</t>
  </si>
  <si>
    <t>Leges publiekszaken:</t>
  </si>
  <si>
    <t>Tabel 1: berekening integrale kostprijs: huwelijken (1)</t>
  </si>
  <si>
    <t>Bepaling directe lasten:</t>
  </si>
  <si>
    <t>Directe toerekening 41100</t>
  </si>
  <si>
    <t xml:space="preserve">Directe lasten </t>
  </si>
  <si>
    <t>Saldo directe lasten:</t>
  </si>
  <si>
    <t>Bepaling indirecte lasten (overhead, obv opslag op de loonkosten):</t>
  </si>
  <si>
    <t>% 2025</t>
  </si>
  <si>
    <t>% 2026</t>
  </si>
  <si>
    <t>% 2027</t>
  </si>
  <si>
    <t>% 2028</t>
  </si>
  <si>
    <t>% 2029</t>
  </si>
  <si>
    <t>Opslagen loonkosten</t>
  </si>
  <si>
    <t>1. Opslag overige personeelslasten</t>
  </si>
  <si>
    <t>2. Opslag loonkosten huisvesting</t>
  </si>
  <si>
    <t>3. Opslag loonkosten facilitair</t>
  </si>
  <si>
    <t>4. Opslag loonkosten vakinhoudelijk advies</t>
  </si>
  <si>
    <t>5. Opslag loonkosten directie</t>
  </si>
  <si>
    <t>6. Opslag loonkosten Domein bedrijfsvoering</t>
  </si>
  <si>
    <t>7. Opslag loonkosten Domein Omgevingszaken</t>
  </si>
  <si>
    <t>8. Opslag loonkosten Domein Samenleving</t>
  </si>
  <si>
    <t>Opslagen overige huisvestings- en facilitaire lasten</t>
  </si>
  <si>
    <t>9. Huisvesting (excl loonkosten)</t>
  </si>
  <si>
    <t>10. Facilitair (excl loonkosten)</t>
  </si>
  <si>
    <t>Saldo indirecte lasten (overhead):</t>
  </si>
  <si>
    <t>Totaal opslag overhead</t>
  </si>
  <si>
    <t>Saldo directe lasten</t>
  </si>
  <si>
    <t>Saldo indirecte lasten (overhead)</t>
  </si>
  <si>
    <t>Saldo baten (-/-)</t>
  </si>
  <si>
    <t>Saldo lasten onderdeel (-/- = dekkingoverschot):</t>
  </si>
  <si>
    <t>Percentage kostendekking (baten / lasten x 100%):</t>
  </si>
  <si>
    <t>Tabel 2: berekening integrale kostprijs: reisdocumenten (2)</t>
  </si>
  <si>
    <t>Directe toerekening overig</t>
  </si>
  <si>
    <t>Tabel 3: berekening integrale kostprijs: rijbewijzen (3)</t>
  </si>
  <si>
    <t>Tabel 4: berekening integrale kostprijs: basisregistratie personen (4)</t>
  </si>
  <si>
    <t>Tabel 5: berekening integrale kostprijs: overig burgerzaken (5)</t>
  </si>
  <si>
    <t>Prijzen</t>
  </si>
  <si>
    <t>Lonen</t>
  </si>
  <si>
    <t>T03 Beheer overige gebouwen en gronden</t>
  </si>
  <si>
    <t>0.3 - Beheer overige gebouwen en gronden</t>
  </si>
  <si>
    <t>Tot dit taakveld behoren taken met betrekking tot onroerend goed dat niet in exploitatie is en niet aan een specifiek beleidsveld is toe te delen:</t>
  </si>
  <si>
    <t>beheer, verhuur, instandhouding van gebouwen, gronden en landerijen die de gemeente (al of niet tijdelijk) in bezit heeft en niet in exploitatie neemt.</t>
  </si>
  <si>
    <t>Koningin Emmalaan 25</t>
  </si>
  <si>
    <t>Saldo (+ = nadeel)</t>
  </si>
  <si>
    <t>Strategische gronden</t>
  </si>
  <si>
    <t>Belastingen en heffingen (ozb)</t>
  </si>
  <si>
    <t>Belastingen en heffingen (waterschapslasten)</t>
  </si>
  <si>
    <t>Verzekeringen (brandverzekering)</t>
  </si>
  <si>
    <t>Betaalde rente</t>
  </si>
  <si>
    <t>Garageboxen</t>
  </si>
  <si>
    <t>Hartenvier 2</t>
  </si>
  <si>
    <t xml:space="preserve">   </t>
  </si>
  <si>
    <t xml:space="preserve">              </t>
  </si>
  <si>
    <t>I. van de Boschstraat 2A</t>
  </si>
  <si>
    <t>Onderhoudsvoorzieningen (O109)</t>
  </si>
  <si>
    <t>Algemene lasten gebouwenbeheer</t>
  </si>
  <si>
    <t>Gas</t>
  </si>
  <si>
    <t>I.v.m. opbang niet meer begroot</t>
  </si>
  <si>
    <t>Elektriciteit</t>
  </si>
  <si>
    <t>Onroerende zaakbelasting</t>
  </si>
  <si>
    <t>Brand &amp; stormschadeverzekering</t>
  </si>
  <si>
    <t>Dagelijks onderhoud</t>
  </si>
  <si>
    <t>Molenstraat 1b</t>
  </si>
  <si>
    <t>Gasverbruik</t>
  </si>
  <si>
    <t>Onderhoudsvoorzieningen (O134)</t>
  </si>
  <si>
    <t>H. Hartstraat 1</t>
  </si>
  <si>
    <t>Spoorstraat 1</t>
  </si>
  <si>
    <t>Stationsstraat 19a</t>
  </si>
  <si>
    <t>Veldweg 14 en 16</t>
  </si>
  <si>
    <t>Exploitatie vastgoed (onderhoud)</t>
  </si>
  <si>
    <t>Afgewikkelde complexen</t>
  </si>
  <si>
    <t>Grondaankopen</t>
  </si>
  <si>
    <t>Juridische kosten</t>
  </si>
  <si>
    <t>Johannes Vermeerstraat 21</t>
  </si>
  <si>
    <t>Wildheuvel 21-23 (leegstand)</t>
  </si>
  <si>
    <t>Burgemeester Notermanstraat 27/29/29A</t>
  </si>
  <si>
    <t>Pachten</t>
  </si>
  <si>
    <t>Huren</t>
  </si>
  <si>
    <t>Directe toerekening vastgoed</t>
  </si>
  <si>
    <t xml:space="preserve">Afschrijvingen </t>
  </si>
  <si>
    <t>Totaal 47300</t>
  </si>
  <si>
    <t>Hartevier 2</t>
  </si>
  <si>
    <t xml:space="preserve">Huren </t>
  </si>
  <si>
    <t>Erfpachtovereenkomst Best Zoo</t>
  </si>
  <si>
    <t>Grondverkopen</t>
  </si>
  <si>
    <t>B.T.W. niet compensabel/niet aftrekbaar (vrijgestelde ondernemersactiviteit art. 11, lid 1b Wet OB).</t>
  </si>
  <si>
    <t xml:space="preserve">B.T.W. compensabel (niet-ondernemers-activiteiten) uitsluitend m.b.t. leveringen en diensten door derden. De koper is over de aankoop van de percelen grond meestal overdrachtsbelasting verschuldigd welke bij het verlijden van de akte aan de notaris moet worden afgedragen. Indien echter wordt voldaan aan het fiscaal begrip bouwterrein is 21 % B.T.W. verschuldigd. </t>
  </si>
  <si>
    <t>Kosten i.v.m. bewerking landerijen</t>
  </si>
  <si>
    <t>Betreft de kosten van de verhuurde garageboxen op de volgende adressen:</t>
  </si>
  <si>
    <t>- Jan de Rijpstraat 33;</t>
  </si>
  <si>
    <t>- Johan Brouwerstraat 29c;</t>
  </si>
  <si>
    <t>- Wilhelminakanaalstraat 66.</t>
  </si>
  <si>
    <t xml:space="preserve">Werkbudget taxaties </t>
  </si>
  <si>
    <t xml:space="preserve">Structurele middelen Wet goed Verhuurderschap (meicirculaire '23) </t>
  </si>
  <si>
    <t>- Team ruimtelijke ontwikkeling</t>
  </si>
  <si>
    <t>- Team beheer buiten (gem gebouwen)</t>
  </si>
  <si>
    <t>- Team beheer en realisatie (gem gebouwen)</t>
  </si>
  <si>
    <t>- Team ruimtelijke ontwikkeling (gem gebouwen)</t>
  </si>
  <si>
    <t>Zonnepanelen op gemeentelijke panden, (1, 2024 € 150.000, 2025 € 100.000)</t>
  </si>
  <si>
    <t>Overige afschrijvingen</t>
  </si>
  <si>
    <t>Afschrijvingen</t>
  </si>
  <si>
    <t>Koning Emmalaan 25</t>
  </si>
  <si>
    <t>Vanaf 1-1-2019 is dit gebouw niet meer in gebruik als school. Daarmee zijn de exploitatielasten vanaf die datum voor rekening van de gemeente.</t>
  </si>
  <si>
    <t>Vanaf 2024 is dit pand in gbruik voor vluchtelingen uit Oekraïne</t>
  </si>
  <si>
    <t>Betreft eigendomslasten van een 2-tal woningen aan de Veldweg</t>
  </si>
  <si>
    <t>Extra lasten als gevolg van ondernemersfonds W03/25</t>
  </si>
  <si>
    <t>Totaal 42100</t>
  </si>
  <si>
    <t>Betreft juridische kosten</t>
  </si>
  <si>
    <t>Betreft voornamelijk:</t>
  </si>
  <si>
    <t>- Bijkomende kosten bij aankoop perceeltjes grond</t>
  </si>
  <si>
    <t>- Kosten assurantiebemiddeling (fee) gem. gebouwen</t>
  </si>
  <si>
    <t>Betreft Molen de Volharding</t>
  </si>
  <si>
    <t>Betreft onderhoudskosten.</t>
  </si>
  <si>
    <t>Vrijwilligersvergoeding Molenaar</t>
  </si>
  <si>
    <t>Betreft de horecagelegenheid en dagbesteding.</t>
  </si>
  <si>
    <t>Geen index in contract</t>
  </si>
  <si>
    <t>Beerens - H 4580 (grond achter nieuwstraat)</t>
  </si>
  <si>
    <t>B.E.M. B.V. H 6675 (grond t/o Zandweg)</t>
  </si>
  <si>
    <t>Scouting Frama - C 2937 (Pater L.A. Bleijstraat)</t>
  </si>
  <si>
    <t>Gemeente Best ondergrond De Dieze (milieustraat)</t>
  </si>
  <si>
    <t>Goevaers - B 2594 (Eindhovenseweg Zuid 69-71)</t>
  </si>
  <si>
    <t>Goevaers - H 6675 (parkeerterrein thv Industrieweg 75)</t>
  </si>
  <si>
    <t xml:space="preserve">Hot en Haar  - </t>
  </si>
  <si>
    <t>L 733 (Schansweg/hoek Gunneweg)</t>
  </si>
  <si>
    <t>Heerbeeck College - K 3777 (Constantijnlaan)</t>
  </si>
  <si>
    <t>Ocean Outdoor - F 887 (nabij de Dintel 15-17)</t>
  </si>
  <si>
    <t>Jurjen - C 4802 (uitweg achter Industrieweg 189)</t>
  </si>
  <si>
    <t>Loo - E 5200 (grond achter Dr. De Steenhuijsenlaan 4)</t>
  </si>
  <si>
    <t>Novec BV K4563</t>
  </si>
  <si>
    <t>Novec BV B2777</t>
  </si>
  <si>
    <t>SOHO K3928/K3931</t>
  </si>
  <si>
    <t>Oude Bogten - K 861 (grond Heuveleindseweg 13/Dijkpad)</t>
  </si>
  <si>
    <t>Quatra Bras - H 4925 (grond voor Nieuwstraat 79)</t>
  </si>
  <si>
    <t>Stacey - B 2646/C 2641/C4358/C4360/C4802</t>
  </si>
  <si>
    <t>Karnavalsfederatie - B 2597 (ondergrond Eindhovenseweg Zuid)</t>
  </si>
  <si>
    <t>KPN - Sitennr 1323 (ondergrond Kruisbeemdenweg)</t>
  </si>
  <si>
    <t>KPN - opstalretributie</t>
  </si>
  <si>
    <t>KPN - medegebruik Vodafone</t>
  </si>
  <si>
    <t>Vodafone-Libertel - L 1109 (ondergrond onder mast Wilg A2)</t>
  </si>
  <si>
    <t>Vodafone-Libertel - L 1109 - medegebruik KPN</t>
  </si>
  <si>
    <t>Vodafone-Libertel - L 1109 - medegebruik Odido</t>
  </si>
  <si>
    <t>Vodafone-Libertel - K 4015 (ondergrond onder mast Knoteind)</t>
  </si>
  <si>
    <t xml:space="preserve">Huur grond </t>
  </si>
  <si>
    <t xml:space="preserve">Pacht op lange termijn </t>
  </si>
  <si>
    <t>- Huuropbrengsten garageboxen</t>
  </si>
  <si>
    <t>Totaal 83600</t>
  </si>
  <si>
    <t>De opbrengst van de verhuurde garageboxen heeft betrekking op de volgende adressen:</t>
  </si>
  <si>
    <t>Betreft huuropbrengst/opstalrecht van I. v.d. Boschstraat 2A.</t>
  </si>
  <si>
    <t>Betreft opbrengst van erfpachtcanon. Canon loopt tot en met 2022 daarna onstaat de mogelijkheid tot aankoop van</t>
  </si>
  <si>
    <t>de gronden die onder erfpacht verhuurd zijn. (begrotingswijziging 07-18)</t>
  </si>
  <si>
    <t>Opbrengst verkoop grond</t>
  </si>
  <si>
    <t>Betreft de opbrengst uit verkoop van grond die als ondergrond dient voor gemeentelijke openbare voorzieningen danwel deel uitmaakt van het gemeentelijk verspreid percelenbezit. De opbrengst is netto verantwoord.</t>
  </si>
  <si>
    <t>12. Overhead</t>
  </si>
  <si>
    <t>T04 Overhead - onderdeel loonkosten</t>
  </si>
  <si>
    <t>directe toerek overhead (incl doorbelasting naar investeringen, T21, T52, T57 en T82)</t>
  </si>
  <si>
    <t>Management Domein bedrijfsvoering</t>
  </si>
  <si>
    <t>Management domein omgeving</t>
  </si>
  <si>
    <t>Management domein samenleving</t>
  </si>
  <si>
    <t>Onderzoek inwoners</t>
  </si>
  <si>
    <t>Informatievrz mbt wet Woo</t>
  </si>
  <si>
    <t>Uitkeringen voormalig personeel</t>
  </si>
  <si>
    <t>Overige personeelslasten - niet direct toewijsbaar</t>
  </si>
  <si>
    <t xml:space="preserve">Vergoeding stagiaires </t>
  </si>
  <si>
    <t>Premie rechtsbijstandverzekering</t>
  </si>
  <si>
    <t>WA-verzekering</t>
  </si>
  <si>
    <t>Fraudeverzekering</t>
  </si>
  <si>
    <t>Premie ongevallenverzekering</t>
  </si>
  <si>
    <t>Geneeskundig onderzoek personeel</t>
  </si>
  <si>
    <t>Werving nieuw personeel</t>
  </si>
  <si>
    <t xml:space="preserve">Advies en ondersteuning  </t>
  </si>
  <si>
    <t>Werkkostenregeling (arbo)</t>
  </si>
  <si>
    <t>Werkkostenregeling (kerstpakketten)</t>
  </si>
  <si>
    <t>Werkkostenregeling (dienstreizen)</t>
  </si>
  <si>
    <t>Werkkostenregeling (Afdelingsbudget)</t>
  </si>
  <si>
    <t>Werkkostenregeling (arbeidsvoorwaarden beleid)</t>
  </si>
  <si>
    <t>Werkkostenregeling (fietsproject)</t>
  </si>
  <si>
    <t>Werkkostenregeling (vergoeding schade)</t>
  </si>
  <si>
    <t>Werkkostenregeling bijdrage personeelsvereniging)</t>
  </si>
  <si>
    <t>Inkomensoverdr aan overige overheden</t>
  </si>
  <si>
    <t>Voorzieningen contante waarde</t>
  </si>
  <si>
    <t>Lokaal arbeidsvoorwaardenbeleid</t>
  </si>
  <si>
    <t xml:space="preserve">Terugontvangst salarissen en uitkeringen </t>
  </si>
  <si>
    <t>Vergoedingen voor personeel</t>
  </si>
  <si>
    <t>Management domein bedrijfsvoering</t>
  </si>
  <si>
    <t>Financiele administratie</t>
  </si>
  <si>
    <t>Financieel Beleid</t>
  </si>
  <si>
    <t>Communicatie</t>
  </si>
  <si>
    <t>Advertentiekosten</t>
  </si>
  <si>
    <t>Digitale dienstverlening</t>
  </si>
  <si>
    <t>Juridische Zaken</t>
  </si>
  <si>
    <t>Control &amp; Kwaliteit</t>
  </si>
  <si>
    <t>Directie</t>
  </si>
  <si>
    <t>Ondernemingsraad</t>
  </si>
  <si>
    <t>Terugontvangst salarissen</t>
  </si>
  <si>
    <t>baten</t>
  </si>
  <si>
    <t>Vergoeding voor personeel</t>
  </si>
  <si>
    <t>Vastgoedbeheer</t>
  </si>
  <si>
    <t>Management Domein Omgeving</t>
  </si>
  <si>
    <t>TIC/KCC</t>
  </si>
  <si>
    <t xml:space="preserve">Flexibele schil 2e lijn </t>
  </si>
  <si>
    <t>Salarissen etc</t>
  </si>
  <si>
    <t>Directe toerekening Overhead</t>
  </si>
  <si>
    <t>via onderdeel bedrijfsvoering</t>
  </si>
  <si>
    <t>Toerekening Grex planontwikkeling (loonkosten)</t>
  </si>
  <si>
    <t>Toerekening Grex planuitvoering (loonkosten)</t>
  </si>
  <si>
    <t>Toerekening Investeringen (loonkosten)</t>
  </si>
  <si>
    <t xml:space="preserve">Totaal </t>
  </si>
  <si>
    <t>Doorberekening Salarissen</t>
  </si>
  <si>
    <t>Salarissen etc Werf</t>
  </si>
  <si>
    <t xml:space="preserve">Toerekening Grex planontwikkeling </t>
  </si>
  <si>
    <t>Salarissen buitendienst Vervoermidd.Alg</t>
  </si>
  <si>
    <t xml:space="preserve">Toerekening Grex planuitvoering </t>
  </si>
  <si>
    <t>Salarissen doorber.Wegen T21</t>
  </si>
  <si>
    <t xml:space="preserve">Toerekening Investeringen </t>
  </si>
  <si>
    <t>Salarissen doorber.Sport T52</t>
  </si>
  <si>
    <t>Salarissen doorber.Groen T57</t>
  </si>
  <si>
    <t>Totaal 41100 Salarissen</t>
  </si>
  <si>
    <t>Toelichting:</t>
  </si>
  <si>
    <t>Betreft kosten van WW-uitkeringen aan ex-werknemers</t>
  </si>
  <si>
    <t>De gemeente draagt het eigen risico voor de WW-uitkeringen</t>
  </si>
  <si>
    <t>Bepaling loonsom:</t>
  </si>
  <si>
    <t>2026: reguliere periodieke verhogingen</t>
  </si>
  <si>
    <t>2026: personeelsbeleid (structureel)</t>
  </si>
  <si>
    <t>2026: loonstijging 2%</t>
  </si>
  <si>
    <t>incl.</t>
  </si>
  <si>
    <t>2027: reguliere periodieke verhogingen</t>
  </si>
  <si>
    <t>2027: personeelsbeleid (structureel)</t>
  </si>
  <si>
    <t xml:space="preserve">2027: loonstijging 4,6% </t>
  </si>
  <si>
    <t>2028: reguliere periodieke verhogingen</t>
  </si>
  <si>
    <t>2028: personeelsbeleid (structureel)</t>
  </si>
  <si>
    <t>2028: loonstijging 4,6%</t>
  </si>
  <si>
    <t>2029: reguliere periodieke verhogingen</t>
  </si>
  <si>
    <t>2029: personeelsbeleid (structureel)</t>
  </si>
  <si>
    <t>2029: loonstijging 4,6%</t>
  </si>
  <si>
    <t>Overwerk</t>
  </si>
  <si>
    <t>- inclusief aframing budgetten 40.000 (2017)</t>
  </si>
  <si>
    <t>Gratificaties ontslag en jubilea (onbelast)</t>
  </si>
  <si>
    <t>Gratificaties ontslag en jubilea (belast)</t>
  </si>
  <si>
    <t>Waarnemersvergoeding</t>
  </si>
  <si>
    <t>Dienstreizen/verblijfskosten (onbelast)</t>
  </si>
  <si>
    <t>Verlaging dienstreizen i.v.m. NS business card (zie 434332)</t>
  </si>
  <si>
    <t>Salariskosten opgenomen als opslag op de Salarissen</t>
  </si>
  <si>
    <t>Bovenstaande lasten worden uitbetaald via de salarisadministratle en maken onderdeel uit van de salariskosten. Deze lasten worden via een omslagpercentage verdeeld over de salariskosten die opgenomen zijn op de staat van salarissen (Staat B)</t>
  </si>
  <si>
    <t>Saldo in opslag</t>
  </si>
  <si>
    <t>Aanpassing loonkostenstijging</t>
  </si>
  <si>
    <t>n.v.t.</t>
  </si>
  <si>
    <t>Wet banenafspraak en quotum arbeidsbeperkten</t>
  </si>
  <si>
    <t>Omgezet in formatie</t>
  </si>
  <si>
    <t>Subtotaal 41100</t>
  </si>
  <si>
    <t>Totaal 41100</t>
  </si>
  <si>
    <t>niet op staat B</t>
  </si>
  <si>
    <t>Budget minder toe te rekenen aan grexen</t>
  </si>
  <si>
    <t xml:space="preserve">Stelpost hogere loonkosten </t>
  </si>
  <si>
    <t xml:space="preserve">Totaal 41100 inclusief correctie </t>
  </si>
  <si>
    <t>Niet in omslag over salariskosten verwerkt vanwege cummulatief effect:</t>
  </si>
  <si>
    <t>Vergoeding stagiaires (van 5201001)</t>
  </si>
  <si>
    <t xml:space="preserve">Flexibele schil: </t>
  </si>
  <si>
    <t>- Flexibele schil (extra gerealiseerd voordeel vanaf 2019)</t>
  </si>
  <si>
    <t>- Flexibele schil 1e lijn KCC</t>
  </si>
  <si>
    <t>- Loonkosten voormalige directeur (flexibele schil)</t>
  </si>
  <si>
    <t>- Loonkosten voormalige afdelingsmanager Financiën (flex. schil)</t>
  </si>
  <si>
    <t>Subtotaal</t>
  </si>
  <si>
    <t>Mutaties t.l.v. budget</t>
  </si>
  <si>
    <t>-</t>
  </si>
  <si>
    <t>- CAR verzekering/bouwverzekering (excl. Grondexploitaties)</t>
  </si>
  <si>
    <t>- Rechtsbijstandverzekering personeel</t>
  </si>
  <si>
    <t>- WA-GWS verzekering (aansprakelijkheid)</t>
  </si>
  <si>
    <t>- Fraudeverzekering</t>
  </si>
  <si>
    <t>- Car Calamiteitenverzekering</t>
  </si>
  <si>
    <t xml:space="preserve">   Politiek molest- / ongevallenverzekering</t>
  </si>
  <si>
    <t>- WGA-ERD Verzekering Conventioneel (eigen risicodrager)</t>
  </si>
  <si>
    <t>- aanpassing verzekeringspremie</t>
  </si>
  <si>
    <t>- bemiddelingskosten Insurance managers</t>
  </si>
  <si>
    <t>Niet begroot</t>
  </si>
  <si>
    <t>1e Firap 2024   stijgende premies personeelsverzekeringen</t>
  </si>
  <si>
    <t>W02/2025 stijgende premies personeelsverzekeringen</t>
  </si>
  <si>
    <t xml:space="preserve">Kosten geneeskundig onderzoek </t>
  </si>
  <si>
    <t>Pijnenburg verzuim, banencentraal, Mosmans, Coverz</t>
  </si>
  <si>
    <t>W02/2025 geneeskunding onderzoek personeel</t>
  </si>
  <si>
    <t>Werving nieuw personeel (Linkedin, solutions factory, regiopool, ijk)</t>
  </si>
  <si>
    <t>Voorziening in vacatures</t>
  </si>
  <si>
    <t>Per vacature</t>
  </si>
  <si>
    <t>vacatures à</t>
  </si>
  <si>
    <t>1e Firap 2024   werving nieuw personeel</t>
  </si>
  <si>
    <t xml:space="preserve">Kosten adviezen en ondersteuning  </t>
  </si>
  <si>
    <t>- incl. inhuren vertrouwenspersoon</t>
  </si>
  <si>
    <t>Kosten deelname ambtenaren aan sportevenementen</t>
  </si>
  <si>
    <t>Deelname NK veldloop voor ambtenaren</t>
  </si>
  <si>
    <t>Huur sporthal Naastenbest voor personeel</t>
  </si>
  <si>
    <t>Verjaardagspresentje (fles wijn)</t>
  </si>
  <si>
    <t>Kosten loonadministratie</t>
  </si>
  <si>
    <t>Tool Werkkostenregeling</t>
  </si>
  <si>
    <t xml:space="preserve">Diversen </t>
  </si>
  <si>
    <t>ophogen 2025</t>
  </si>
  <si>
    <t>Uitbesteding salarisadministratie (ADP)</t>
  </si>
  <si>
    <t>Bjdragen aan vakbonden (cao afspraak)</t>
  </si>
  <si>
    <t>Aanschaf arbo middelen (muizen/brillen)</t>
  </si>
  <si>
    <t>Kosten kerstpakketten</t>
  </si>
  <si>
    <t>Per pakket</t>
  </si>
  <si>
    <t>pakketten</t>
  </si>
  <si>
    <t>Sint attentie/pasen</t>
  </si>
  <si>
    <t>300 stuks</t>
  </si>
  <si>
    <t>voor 2026 ophogen 1750 voor Sint+ 1500 voor pasen</t>
  </si>
  <si>
    <t>Vergoeding dienstreizen</t>
  </si>
  <si>
    <t>w.o. NS business card</t>
  </si>
  <si>
    <t>Afdelingsbudget:</t>
  </si>
  <si>
    <t>Per mw.</t>
  </si>
  <si>
    <t xml:space="preserve">medewerkers à </t>
  </si>
  <si>
    <t>Betreft budget voor flexibele beloning</t>
  </si>
  <si>
    <t>Opleidingskosten</t>
  </si>
  <si>
    <t>Aframing ter dekking kosten organisatieontwikkeling</t>
  </si>
  <si>
    <t>van de loonsom 2025</t>
  </si>
  <si>
    <t>van de loonsom 2026</t>
  </si>
  <si>
    <t>van de loonsom 2027</t>
  </si>
  <si>
    <t>van de loonsom 2028</t>
  </si>
  <si>
    <t>van de loonsom 2029</t>
  </si>
  <si>
    <t>Correctie ivm raming OR (T04 - 604035)</t>
  </si>
  <si>
    <t>Correctie ivm raming raad (T01 - 601001)</t>
  </si>
  <si>
    <t>Correctie ivm raming college (T01 - 601008)</t>
  </si>
  <si>
    <t>Centraal opleidings en ontwikkelingsbudget</t>
  </si>
  <si>
    <t>Verdeling opleidingskosten over afdelingen</t>
  </si>
  <si>
    <t>Verdeeld o.b.v. loonsom (zie apart bestand onder formatie)</t>
  </si>
  <si>
    <t>Centraal opleidingsbudget</t>
  </si>
  <si>
    <t>W06/18 verlagen centaal opleidingsbudget</t>
  </si>
  <si>
    <t>Terugdraaien verlaging opleidingsbudget i.v.m. extra middelen jeugdzorg</t>
  </si>
  <si>
    <t>Totaal 43819 centraal opleidingsbudget</t>
  </si>
  <si>
    <t>Fietsproject</t>
  </si>
  <si>
    <t>Vergoeding schade (WKR)</t>
  </si>
  <si>
    <t>Werkkostenregeling (bijdrage personeelsvereniging)</t>
  </si>
  <si>
    <t>Subsidie personeelsverenigingen</t>
  </si>
  <si>
    <t>leden binnen- en buitendienst à</t>
  </si>
  <si>
    <t>oud-leden brandweer à</t>
  </si>
  <si>
    <t>Werkkostenregeling (extra budget)</t>
  </si>
  <si>
    <t>Ophoging budget zie email Joost 20-8-2025, organisatie wil extra kosten voor haar rekening nemen</t>
  </si>
  <si>
    <t>Totaal 43818 Werkkostenregeling</t>
  </si>
  <si>
    <t>Bijdrage aan A en O fonds</t>
  </si>
  <si>
    <t>Totaal 44360</t>
  </si>
  <si>
    <t>Lasten vanwege indexering voorziening verlofsparen (O005)</t>
  </si>
  <si>
    <t>Let op jaarlijks aanpassen ResVoorz</t>
  </si>
  <si>
    <t>Totaal 47200</t>
  </si>
  <si>
    <t>Terugontvangst salarissen en uitkeringen</t>
  </si>
  <si>
    <t>Lokaal arbeidsvoorwaardenbeleid  (was generatiepact)</t>
  </si>
  <si>
    <t>- Overboeking van Flexibele schil /</t>
  </si>
  <si>
    <t xml:space="preserve">  Geoormerkt voor lokaal arbeidsvoorwaardenbeleid</t>
  </si>
  <si>
    <t>- Lokaal personeelsbeleid (FPU)</t>
  </si>
  <si>
    <t>Loonsom</t>
  </si>
  <si>
    <t xml:space="preserve">    Wordt geoormerkt voor lokaal arbeidsvoorwaardenbeleid</t>
  </si>
  <si>
    <t xml:space="preserve">AF: Invulling generatiepact / herbezetters zijn opgenomen </t>
  </si>
  <si>
    <t xml:space="preserve">      op staat B. </t>
  </si>
  <si>
    <t>- Reservering lagere loonkosten deeln. generatiepact met pensioen</t>
  </si>
  <si>
    <t xml:space="preserve">  In 2020 lagere loonkosten verwerkt op staat B:</t>
  </si>
  <si>
    <t xml:space="preserve">  In 2021 lagere loonkosten verwerkt op staat B:</t>
  </si>
  <si>
    <t>Kaderbrief 2026: DO bedrijfsvoering aframingen budget</t>
  </si>
  <si>
    <t>DO bedrijfsvoering aframingen budget kaderbrief 2026</t>
  </si>
  <si>
    <t xml:space="preserve">Correctie na afstemming manager bedrijfsvoering </t>
  </si>
  <si>
    <t>Zie email Joost, 20-8-2025 meer budget voor WKR, hierdoor correctie</t>
  </si>
  <si>
    <t>Opleidingsbudget bedrijfsvoering</t>
  </si>
  <si>
    <t>Overige uitgaven: flexibel budget management</t>
  </si>
  <si>
    <t>Financiële administratie</t>
  </si>
  <si>
    <t>Inhuur specialistisch applicatiebeheer</t>
  </si>
  <si>
    <t>Betreft:</t>
  </si>
  <si>
    <t>- bankkosten</t>
  </si>
  <si>
    <t>- Aangifte vpb</t>
  </si>
  <si>
    <t>Doorbelasting vanuit automatisering Coda</t>
  </si>
  <si>
    <t>Borging fiscale taken ondersteuning Inergy consultancy (Taxnavigator, Inergy Lias)</t>
  </si>
  <si>
    <t>Budget acties digitale dienstverlening</t>
  </si>
  <si>
    <t>Gedeelte van dit budget omgezet naar formatie/wordt gebruikt voor inhuur</t>
  </si>
  <si>
    <t>A02/24 Adm begrotingwijziging naar formatie betreft comm en participatie</t>
  </si>
  <si>
    <t>Omzetting in formatie vanaf 2024 IN24-00177</t>
  </si>
  <si>
    <t>Inwoners en overheidsparticipatie</t>
  </si>
  <si>
    <t>Irene walbeek, klein budget voor uitvoering participatietaken tlv communicataie</t>
  </si>
  <si>
    <t xml:space="preserve">Online participatieplatform </t>
  </si>
  <si>
    <t>platform (plein best)</t>
  </si>
  <si>
    <t>Doorbelasting vanuit automatisering CMS</t>
  </si>
  <si>
    <t>A04/2025 budget Logius naar JZ</t>
  </si>
  <si>
    <t>W04/2025 budgetoverheveling participatie (bakfiets)</t>
  </si>
  <si>
    <t>Advertentiekosten (Cluster Communicatie, publicaties)</t>
  </si>
  <si>
    <t>Waaronder:</t>
  </si>
  <si>
    <t>Kosten gebruik Gemeenschappelijke Voorziening Officiele Publicaties (GVOP)</t>
  </si>
  <si>
    <t>Publicatie Groeiend Best (Jong uitgeverij)</t>
  </si>
  <si>
    <t>Omroep Best (Best informatief)</t>
  </si>
  <si>
    <t>Kosten Logius, DROP, KOOP en Daadkracht vanaf 1-1-2025 naar Juridische zaken (604032)</t>
  </si>
  <si>
    <t>Logius over naar JZ</t>
  </si>
  <si>
    <t>Kosten Logius over naar JZ</t>
  </si>
  <si>
    <t>Subtotaal 43812</t>
  </si>
  <si>
    <t>- 649006 (09.03 milieuvergunningen)</t>
  </si>
  <si>
    <t>uitzoeken onderverdeling</t>
  </si>
  <si>
    <t>- 651901 (10.01 bestemmingsplannen)</t>
  </si>
  <si>
    <t>- 653902 (10.04 bouwvergunningen)</t>
  </si>
  <si>
    <t>- aandeel voor kostenplaats communicatie</t>
  </si>
  <si>
    <t>Totaal 43812 (aandeel communicatie)</t>
  </si>
  <si>
    <t xml:space="preserve">Juridische Zaken </t>
  </si>
  <si>
    <t xml:space="preserve">Ondersteuning - </t>
  </si>
  <si>
    <t>Commissies &amp; Woo aanvragen</t>
  </si>
  <si>
    <t xml:space="preserve">Vergoeding van kosten van juridische procedures, waarbij de gemeente in het ongelijk is gesteld. </t>
  </si>
  <si>
    <t>Klachtencommissie</t>
  </si>
  <si>
    <t>Vanaf 1 januari 2014 sluit de Gemeente Best aan bij de Nationale Ombudsman. Per inzetene wordt er een bedrag afgedragen.</t>
  </si>
  <si>
    <t>Bijdrage (inwoners x tarief)</t>
  </si>
  <si>
    <t>W05/23 fin rap aanvulling Nationale Ombudsman</t>
  </si>
  <si>
    <t>Bezwaarcommissie</t>
  </si>
  <si>
    <t>De commissie is opgedeeld in twee kamers. De kamer bewonerszaken houdt zich bezig met het behandelen van bezwaarschriften die betrekking hebben op sociale zaken, burgerzaken, maatschappelijk welzijn en personeelszaken. De kamer grondgebiedzaken behandelt bezwaarschriften die betrekking hebben op volkshuisvesting, ruimtelijke ordening en milieu, A.P.V. en openbare werken.</t>
  </si>
  <si>
    <t xml:space="preserve">Dit budget heeft alleen betrekking op het functioneren van de commissie zelf. De kosten van vakinhoudelijke ondersteuning van bezwaarschriften worden toegerekend aan het product waar het bezwaarschrift betrekking op heeft. </t>
  </si>
  <si>
    <t>Uitgangspunten:</t>
  </si>
  <si>
    <t>- 3 leden per kamer, waarvan 1 voorzitter</t>
  </si>
  <si>
    <t xml:space="preserve">- vergoeding voorzitter € 200,00 per zitting; vergoeding (plv) leden € 160,00 per zitting (vastgelegd door college 25-10-2022 obv </t>
  </si>
  <si>
    <t>verordening voor behandeling bezwaarschriften). Jaarlijks indexeren vanaf 2024.</t>
  </si>
  <si>
    <t>Tarief</t>
  </si>
  <si>
    <t>zittingen vergoeding voorzitter a</t>
  </si>
  <si>
    <t>zttingen vergoedingen leden a</t>
  </si>
  <si>
    <t>Reiskostenvergoeding</t>
  </si>
  <si>
    <t>Oormerken gelden Wet open overheid (Woo)</t>
  </si>
  <si>
    <t>Voorlopig geoormerkt onder Juridische Zaken - moet nog nader uitgewerkt worden</t>
  </si>
  <si>
    <t>De incidentele middelen (voor de periode 2022 t/m 2026) zijn bestemd voor het verbeteren van systemen, het opleiden van medewerkers en het aanpassen van processen en de organisatie. De structurele middelen zijn bedoeld voor de actieve openbaarmaking van de informatiecategorieën zoals genoemd in de Woo, het aanwijzen van een contactfunctionaris en het beheer en onderhoud van systemen.</t>
  </si>
  <si>
    <t>Conform meicirculaire 2021:</t>
  </si>
  <si>
    <t xml:space="preserve">- Uitvoering van de Woo / structureel </t>
  </si>
  <si>
    <t>- Implementatie van de Woo / incidenteel t/m 2026</t>
  </si>
  <si>
    <t>tm 2026</t>
  </si>
  <si>
    <t>A02-2025 budget naar informatatievrz Woo</t>
  </si>
  <si>
    <t>A04-2025 Budget mbt Logius</t>
  </si>
  <si>
    <t>Cor doorgeven dat deze ook verdeeld moeten worden bij jaarrekening</t>
  </si>
  <si>
    <t>- aandeel voor kostenplaats JZ</t>
  </si>
  <si>
    <t>Kwaliteit &amp; control</t>
  </si>
  <si>
    <t>- Controles op informatiebeveiliging en applicaties (ENSIA)</t>
  </si>
  <si>
    <t>- Verplichte audits privacywetgeving/gegevensbeheer</t>
  </si>
  <si>
    <t>Inkoopcapaciteit voor aanbestedingen (BIZOB)</t>
  </si>
  <si>
    <t>Opgehoogd 60.000 voor 2026-2029</t>
  </si>
  <si>
    <t>Doorbelasting vanuit automatisering Naris</t>
  </si>
  <si>
    <t>Waar staat je gemeente?- uitbreiding oz op wijkniveau</t>
  </si>
  <si>
    <t>Inwonerspanel</t>
  </si>
  <si>
    <t>A01/25</t>
  </si>
  <si>
    <t>Opleidingsbudget strategisch team</t>
  </si>
  <si>
    <t>Individueel loopbaanbudget</t>
  </si>
  <si>
    <t>Besteller afdeling ondersteuning - secretariaat</t>
  </si>
  <si>
    <t>Waaronder: Lief en leed uitgaven</t>
  </si>
  <si>
    <t>Vereniging van gemeentesecretarissen</t>
  </si>
  <si>
    <t>W01/23 Aanvulling contr kringen gemeentesecr</t>
  </si>
  <si>
    <t>Kosten ondernemingsraad</t>
  </si>
  <si>
    <t xml:space="preserve">Sinds 1995 is de Wet op de Ondernemingsraden (WOR) van toepassing op de gemeentelijke organisatie. Dit betekent dat de gemeente in de zin van de WOR wordt aangemerkt als een onderneming. De ondernemingsraad functioneert sinds september 1996. </t>
  </si>
  <si>
    <t>Zowel de kosten van de OR leden als de kosten van de VGW commissie zijn onder deze post opgenomen.</t>
  </si>
  <si>
    <t>Besteller: ondernemingsraad</t>
  </si>
  <si>
    <t>Aan de OR wordt een budget ter beschikking gesteld voor de kosten van juridisch advies, verblijfkosten, scholing en andere uitgaven.</t>
  </si>
  <si>
    <t>Waar staat je gemeente - uitbreiding op wijkniveau</t>
  </si>
  <si>
    <t>1x 4 jaar hoog bedrag 21.000 /1x in 4 jaar nu 2026: 11.000/ 2028 weer 21.000</t>
  </si>
  <si>
    <t>betreft budget voor 2 jaarlijks klanttevredenheidsonderzoek en 2 jaarlijkse peiling voor ondernemers</t>
  </si>
  <si>
    <t>Management Domein omgeving</t>
  </si>
  <si>
    <t>Opleidingsbudget domein omgeving</t>
  </si>
  <si>
    <t>Management Domein samenleving</t>
  </si>
  <si>
    <t>Overige uitgaven: algemeen budget management</t>
  </si>
  <si>
    <t>Opleidingsbudget domein samenleving</t>
  </si>
  <si>
    <t>Aank. niet duurzame goederen en diensten (A03/2024)</t>
  </si>
  <si>
    <t>Contributie Divosa</t>
  </si>
  <si>
    <t>W02-2025 aanvulling contributies, lidm domein samenleving</t>
  </si>
  <si>
    <t>A02/2025 ovb budget vanuit JZ</t>
  </si>
  <si>
    <t>Budgethouder Giel Hoek</t>
  </si>
  <si>
    <t>2025 64.000 incidenteel geld implementatie</t>
  </si>
  <si>
    <t>Directe toerekening loonkosten aan overhead</t>
  </si>
  <si>
    <t>Gemeentehuis/werf/vervoermiddelen</t>
  </si>
  <si>
    <t>Clusters Facilitair</t>
  </si>
  <si>
    <t>Nieuw beleid 2026:  aframingen budget</t>
  </si>
  <si>
    <t>DO bedrijfsvoering, algehele aframing onderuitputting formatie, opleidingen, LAB</t>
  </si>
  <si>
    <t>Nieuw beleid 2026: formatie veranderkunde (2)</t>
  </si>
  <si>
    <t>Totaal 41100 Salarissen overhead</t>
  </si>
  <si>
    <t>Salarissen doorber. Sport T52</t>
  </si>
  <si>
    <t>Salarissen doorber. Wegen T21</t>
  </si>
  <si>
    <t>Salarissen doorber. Groen T57</t>
  </si>
  <si>
    <t>Nieuw beleid  2024</t>
  </si>
  <si>
    <t>Subsdie advies (12)</t>
  </si>
  <si>
    <t>Programmamanager dienstverlening (11)</t>
  </si>
  <si>
    <t>Uitbreiding ondersteuning team ruimte (10)</t>
  </si>
  <si>
    <t>Dekking uit onderuitputting (10)</t>
  </si>
  <si>
    <t>A03-2025 inzet incidentele budgetten inhuur personeel</t>
  </si>
  <si>
    <t>Toerekeningen aan overhead per organisatieonderdeel</t>
  </si>
  <si>
    <t>- Directie (gemeentesecretaris, best Adviseur, controller)</t>
  </si>
  <si>
    <t>Totaal directie</t>
  </si>
  <si>
    <t>Domein Bedrijfsvoering</t>
  </si>
  <si>
    <t>Afdelingsmanager Bedrijfsvoering</t>
  </si>
  <si>
    <t>- Financien en kwaliteit (TL)</t>
  </si>
  <si>
    <t>- Advies en ondersteuning (TL)</t>
  </si>
  <si>
    <t>- Managementassistent Advies en Financiën</t>
  </si>
  <si>
    <t>2026 incidenteel, uit staat B gecorrigeerd</t>
  </si>
  <si>
    <t>Totaal domein bedrijfsvoering</t>
  </si>
  <si>
    <t>Cluster HR</t>
  </si>
  <si>
    <t>- HR</t>
  </si>
  <si>
    <t>Kaderbrief 2025: formatie werkgeluk (VAR)</t>
  </si>
  <si>
    <t>Kadernota 2026: aframing budget formatie werkgeluk</t>
  </si>
  <si>
    <t>DO bedrijfsvoering, aframingen kaderbrief 2026</t>
  </si>
  <si>
    <t>Nieuw budget 2026: geen aframing ivm formatie veranderkunde (VAR)</t>
  </si>
  <si>
    <t>Adviseur P&amp;O (9)</t>
  </si>
  <si>
    <t>Totaal cluster HR</t>
  </si>
  <si>
    <t xml:space="preserve">Cluster Juridische Zaken </t>
  </si>
  <si>
    <t>- Juridische Zaken</t>
  </si>
  <si>
    <t>Totaal cluster JZ</t>
  </si>
  <si>
    <t>Cluster Communicatie &amp; participatie</t>
  </si>
  <si>
    <t>- Communicatie &amp; participatie</t>
  </si>
  <si>
    <t>Totaal cluster Cie&amp;part</t>
  </si>
  <si>
    <t>Cluster Financiën</t>
  </si>
  <si>
    <t>tov 2024 arianne en rob de hessele geheel t04, hogere lasten in T04 dan voorgaande jaren</t>
  </si>
  <si>
    <t>- Financieel adm en beleid</t>
  </si>
  <si>
    <t>Totaal cluster Financiën</t>
  </si>
  <si>
    <t>Cluster belastingen</t>
  </si>
  <si>
    <t>Team belastingen</t>
  </si>
  <si>
    <t>Totaal cluster Fin administratie</t>
  </si>
  <si>
    <t>Cluster kwaliteit</t>
  </si>
  <si>
    <t xml:space="preserve">- Kwaliteit </t>
  </si>
  <si>
    <t>Totaal cluster kwaliteit</t>
  </si>
  <si>
    <t>Cluster Dienstverlening</t>
  </si>
  <si>
    <t xml:space="preserve">- Dienstverlening </t>
  </si>
  <si>
    <t>Totaal cluster dienstverlening</t>
  </si>
  <si>
    <t>Domein samenleving</t>
  </si>
  <si>
    <t>- Management samenleving</t>
  </si>
  <si>
    <t>- Team inwoners en veiligheid (TL &amp; KCC)</t>
  </si>
  <si>
    <t>- Team Ondersteuning, Jeugd en WMO (TL)</t>
  </si>
  <si>
    <t>- Team maatschappij (TL)</t>
  </si>
  <si>
    <t>- Team ondersteuning &amp; participatie (TL)</t>
  </si>
  <si>
    <t>Totaal Publiekszaken</t>
  </si>
  <si>
    <t xml:space="preserve">Gemeentewerf </t>
  </si>
  <si>
    <t xml:space="preserve">Totaal Gemeentewerf </t>
  </si>
  <si>
    <t xml:space="preserve">Vervoermiddelen algemeen </t>
  </si>
  <si>
    <t>- Beheer buiten (vervoermiddelen)</t>
  </si>
  <si>
    <t>Gemeentehuis</t>
  </si>
  <si>
    <t>- Beheer en realisatie (gemeentelijke gebouwen)</t>
  </si>
  <si>
    <t>Totaal Gemeentehuis</t>
  </si>
  <si>
    <t>Domein Omgeving</t>
  </si>
  <si>
    <t>- Management domein omgeving</t>
  </si>
  <si>
    <t>- Team ruimtelijke ontwikkeling (TL) en toerekening T04</t>
  </si>
  <si>
    <t>- Team beheer en realisatie (TL) en toerekening T04</t>
  </si>
  <si>
    <t>- Team beheer buiten (TL)</t>
  </si>
  <si>
    <t>- Team vergunningen, toezicht en handhaving (TL) en toerekening T04</t>
  </si>
  <si>
    <t xml:space="preserve">- Team omgevingsadvies (TL) </t>
  </si>
  <si>
    <t>Totaal Management Omgeving</t>
  </si>
  <si>
    <t>Cluster managementondersteuning &amp; bestuurssecretariaat</t>
  </si>
  <si>
    <t>- Management Ondersteuning</t>
  </si>
  <si>
    <t>- Bestuurssecretariaat</t>
  </si>
  <si>
    <t>Totaal Management ondersteuning</t>
  </si>
  <si>
    <t>Ondersteuning</t>
  </si>
  <si>
    <t>- Team informatievoorziening en facilitair (incl TL)</t>
  </si>
  <si>
    <t>Totaal Ondersteuning</t>
  </si>
  <si>
    <t>Ondernemingsraad/Commissie VGWM</t>
  </si>
  <si>
    <t>- Cluster duurzaamheid</t>
  </si>
  <si>
    <t>- Cluster facilitair</t>
  </si>
  <si>
    <t>- Cluster wijkontwikkeling en subsidies</t>
  </si>
  <si>
    <t>- Cluster dienstverlening</t>
  </si>
  <si>
    <t>- Cluster communicatie</t>
  </si>
  <si>
    <t>- Cluster milieu</t>
  </si>
  <si>
    <t>- Cluster WMO</t>
  </si>
  <si>
    <t>- Cluster buitendienst</t>
  </si>
  <si>
    <t>- Cluster projectenbureau</t>
  </si>
  <si>
    <t>- Cluster ingenieursbureau</t>
  </si>
  <si>
    <t>Totaal Ondernemingsraad</t>
  </si>
  <si>
    <t>Totale overige personeelslasten</t>
  </si>
  <si>
    <t>Correctie toerek. loonkosten grex (niet in omslag%)</t>
  </si>
  <si>
    <t>Overige personeelslasten in omslag</t>
  </si>
  <si>
    <t>Totale loonkosten directe toerekening</t>
  </si>
  <si>
    <t>Zie staat b</t>
  </si>
  <si>
    <t>Totaal loonkosten directe toerekening</t>
  </si>
  <si>
    <t>Opslagpercentage overige personeelslasten op loonkosten</t>
  </si>
  <si>
    <t>Berekening toerekening overige personeelslasten aan GREXEN en investeringen</t>
  </si>
  <si>
    <t>Planontwikkeling</t>
  </si>
  <si>
    <t>T82 925901</t>
  </si>
  <si>
    <t>- Loonkosten beheer en realisatie</t>
  </si>
  <si>
    <t>- Loonkosten beheer buiten</t>
  </si>
  <si>
    <t>- Loonkosten omgevingsadvies</t>
  </si>
  <si>
    <t>- Loonkosten ruimtelijke ontwikkeling</t>
  </si>
  <si>
    <t>Totaal directe toerekening planontwikkeling</t>
  </si>
  <si>
    <t xml:space="preserve">Toerekening aan planontwikkeling </t>
  </si>
  <si>
    <t>Planuitvoering</t>
  </si>
  <si>
    <t>T82 625902</t>
  </si>
  <si>
    <t>Totaal directe toerekening planuitvoering</t>
  </si>
  <si>
    <t>Toerekening aan planuitvoering</t>
  </si>
  <si>
    <t>Investeringen</t>
  </si>
  <si>
    <t>uurverdeling investeringen</t>
  </si>
  <si>
    <t>Totaal directe toerekening investeringen</t>
  </si>
  <si>
    <t>Toerekening aan investeringen</t>
  </si>
  <si>
    <t>Toerekening aan Grexen en investeringen:</t>
  </si>
  <si>
    <t>Totale loonkosten huisvesting</t>
  </si>
  <si>
    <t>K679</t>
  </si>
  <si>
    <t>Staat b</t>
  </si>
  <si>
    <t>- Medewerkers buitendienst (Werf)</t>
  </si>
  <si>
    <t>Af:</t>
  </si>
  <si>
    <t>- Medew. gem. accommodaties (Sporthal/zwembad)</t>
  </si>
  <si>
    <t>Opslagpercentage huisvesting op loonkosten</t>
  </si>
  <si>
    <t>Berekening toerekening huisvesting aan GREXEN en investeringen</t>
  </si>
  <si>
    <t>Toerekening aan planontwikkeling</t>
  </si>
  <si>
    <t>Totale lasten Ondersteuning</t>
  </si>
  <si>
    <t>facilitair en man ondersteuning</t>
  </si>
  <si>
    <t xml:space="preserve">Opslagpercentage loonkosten facilitair </t>
  </si>
  <si>
    <t>Berekening toerekening loonkosten facilitair aan GREXEN en investeringen</t>
  </si>
  <si>
    <t>Totaal toerekening GREX en investeringen:</t>
  </si>
  <si>
    <t>4. Opslag loonkosten overhead (vakinhoud)</t>
  </si>
  <si>
    <t>Totale lasten clusters vakinhoud</t>
  </si>
  <si>
    <t>Opslagpercentage loonk.overhead (vakinhoud)</t>
  </si>
  <si>
    <t>Berekening toerekening loonkosten overhead (vakinhoud) aan GREXEN en investeringen</t>
  </si>
  <si>
    <t>Toerekening wijze toerekening uren OR leden:</t>
  </si>
  <si>
    <t>Het aantal te bestede uren van de OR leden zijn vastgelegd in het</t>
  </si>
  <si>
    <t xml:space="preserve">convenant Ondernemingsraad Gemeente Best. De tariefstelling vloeit voort uit de berekening van de loonkosten. </t>
  </si>
  <si>
    <t>Per OR lid zijn er per kalenderjaar 152 uur beschikbaar voor onderling beraad (60 uur), scholing (36 uur) en</t>
  </si>
  <si>
    <t xml:space="preserve">vergadertijd (56 uur). Daarnaast wordt voor de voorzitter en secretaris extra tijd ter beschikking gesteld. </t>
  </si>
  <si>
    <t>Voor de voorzitter en de secretaris bedraagt dit 78 extra uren per kalenderjaar.</t>
  </si>
  <si>
    <t>Voor de vaste VGWM commissie zijn per kalenderjaar in totaal 444 uur (6 leden incl. voorzitter) beschikbaar.</t>
  </si>
  <si>
    <t>Totale lasten directie</t>
  </si>
  <si>
    <t>Opslagpercentage loonkosten directie</t>
  </si>
  <si>
    <t>Berekening toerekening loonkosten directie aan GREXEN en investeringen</t>
  </si>
  <si>
    <t>6. Opslag management bedrijfsvoering</t>
  </si>
  <si>
    <t xml:space="preserve">Totale lasten management </t>
  </si>
  <si>
    <t xml:space="preserve">Totale directe loonkosten </t>
  </si>
  <si>
    <t xml:space="preserve">Opslag op loonkosten management bedrijfsvoering </t>
  </si>
  <si>
    <t>7. Opslag management omgevingszaken</t>
  </si>
  <si>
    <t>Totale lasten management Omgevingszaken</t>
  </si>
  <si>
    <t>Totale directe loonkosten afdeling Omgevingszaken</t>
  </si>
  <si>
    <t>Opslag op loonkosten management omgevingszaken</t>
  </si>
  <si>
    <t>Berekening toerekening loonkosten management omgevingzaken aan GREXEN en investeringen</t>
  </si>
  <si>
    <t>- Loonkosten afdeling Omgevingszaken</t>
  </si>
  <si>
    <t>Toerekeing planontwikkeling</t>
  </si>
  <si>
    <t>Toerekening planuitvoering</t>
  </si>
  <si>
    <t>Investeringen:</t>
  </si>
  <si>
    <t>Toerekening investeringen</t>
  </si>
  <si>
    <t>Totaal toerekening aan GREX en investeringen:</t>
  </si>
  <si>
    <t>8. Opslag management samenleving</t>
  </si>
  <si>
    <t>Totale lasten Domein Samenleving</t>
  </si>
  <si>
    <t>Totale directe loonkosten afdeling Samenleving</t>
  </si>
  <si>
    <t>Totaal loonkosten Samenleving (excl. management)</t>
  </si>
  <si>
    <t>Opslag op loonkosten management samenleving</t>
  </si>
  <si>
    <t>RECAP TOEREKENINGEN AAN GRONDEXPLOITATIES EN INVESTERINGEN</t>
  </si>
  <si>
    <t>Toerekeningen loonkosten overhead aan planontwikkeling</t>
  </si>
  <si>
    <t>Totaal Grex planontwikkeling</t>
  </si>
  <si>
    <t>Toerekeningen loonkosten overhead aan planuitvoering</t>
  </si>
  <si>
    <t>Totaal Grex planuitvoering</t>
  </si>
  <si>
    <t>Toerekeningen loonkosten overhead aan investeringen</t>
  </si>
  <si>
    <t>Totaal investeringen</t>
  </si>
  <si>
    <t>Totale toerekeningen aan grexen en investeringen</t>
  </si>
  <si>
    <t>Tabel opslagpercentages loonkosten overhead op directe lasten</t>
  </si>
  <si>
    <t>Omschrijving opslag</t>
  </si>
  <si>
    <t>Loonkosten Indirecte personeelslasten</t>
  </si>
  <si>
    <t xml:space="preserve">Loonkosten Huisvesting </t>
  </si>
  <si>
    <t xml:space="preserve">Loonkosten facilitair </t>
  </si>
  <si>
    <t>Loonkosten overhead (vakinhoudelijk)</t>
  </si>
  <si>
    <t>2025 2x management bedrijfsvoering meegenomen, daarom 2026 en verder lager percentage</t>
  </si>
  <si>
    <t xml:space="preserve">Loonkosten Directie </t>
  </si>
  <si>
    <t>Loonkosten Domein Bedrijfsvoering</t>
  </si>
  <si>
    <t>Loonkosten Domein Omgevingszaken</t>
  </si>
  <si>
    <t>Loonkosten Domein Samenleving</t>
  </si>
  <si>
    <t>T04 Overhead - onderdeel bedrijfsvoering</t>
  </si>
  <si>
    <t>Project tijdelijke huisvesting</t>
  </si>
  <si>
    <t xml:space="preserve">Exploitatielasten gemeentehuis </t>
  </si>
  <si>
    <t>Belastingen en heffingen (afvalstoffenheffing)</t>
  </si>
  <si>
    <t>Belastingen en heffingen (rioolrecht)</t>
  </si>
  <si>
    <t>Water</t>
  </si>
  <si>
    <t>Exploitatielasten vastgoed (contracten vastgoed)</t>
  </si>
  <si>
    <t>Onderhoudsvoorzieningen (O101)</t>
  </si>
  <si>
    <t>Dienstverleningsvisie</t>
  </si>
  <si>
    <t xml:space="preserve">Bodediensten  </t>
  </si>
  <si>
    <t>Duurzame roerende goederen</t>
  </si>
  <si>
    <t>Werkkostenregeling (kleding zonder logo)</t>
  </si>
  <si>
    <t>Werkkostenregeling (reparatie kleding zonder logo)</t>
  </si>
  <si>
    <t>Keuken en keukenbenodigdheden</t>
  </si>
  <si>
    <t xml:space="preserve">Telefonie </t>
  </si>
  <si>
    <t>Werkkostenregeling (telefonie)</t>
  </si>
  <si>
    <t>Huisdrukkerij</t>
  </si>
  <si>
    <t xml:space="preserve">Vakliteratuur </t>
  </si>
  <si>
    <t>Werkkostenregeling (vakliteratuur)</t>
  </si>
  <si>
    <t>Contributies en lidmaatschappen algemeen</t>
  </si>
  <si>
    <t>Inkomensoverdrachten ov overheden</t>
  </si>
  <si>
    <t xml:space="preserve">Archief </t>
  </si>
  <si>
    <t xml:space="preserve">Bedrijfshulpverlening / BHV </t>
  </si>
  <si>
    <t>Werkkostenregeling (BHV uitje)</t>
  </si>
  <si>
    <t>Inventaris</t>
  </si>
  <si>
    <t>Facilitaire Zaken</t>
  </si>
  <si>
    <t>Informatiemanagement</t>
  </si>
  <si>
    <t>Informatievoorziening</t>
  </si>
  <si>
    <t xml:space="preserve">Digitale basiskaart </t>
  </si>
  <si>
    <t>GBA</t>
  </si>
  <si>
    <t>Implementatie BIG, ICT partner (P248)</t>
  </si>
  <si>
    <t xml:space="preserve">Huisdrukkerij </t>
  </si>
  <si>
    <t>Exploitatielasten gemeentehuis*</t>
  </si>
  <si>
    <t xml:space="preserve">De Kaderbrief 2024 gaat niet uit van het vervallen van de exploiatielasten van het huidige gemeentehuis per 1-1-2026. </t>
  </si>
  <si>
    <t xml:space="preserve">Vanaf 2026 zijn de exploitatielasten dan ook nog geraamd op 604006 en niet meer op project samen gaan. </t>
  </si>
  <si>
    <t>Vanaf 2024 opgenomen in risicoparagraaf</t>
  </si>
  <si>
    <t>Totaal 43801</t>
  </si>
  <si>
    <t>Electriciteitsverbruik</t>
  </si>
  <si>
    <t>Totaal 43802</t>
  </si>
  <si>
    <t>* De kapitaallasten en exploitatiesubsidie vanwege de investering in zonnepanelen worden verantwoord op product</t>
  </si>
  <si>
    <t xml:space="preserve">   09.02 (milieubeleid)</t>
  </si>
  <si>
    <t>Aankoop niet duurzame goederen en diensten</t>
  </si>
  <si>
    <t>Exploitatielast gescheiden afvalinzameling</t>
  </si>
  <si>
    <t>Exploitatielast doucheruimte</t>
  </si>
  <si>
    <t>Onderhoud</t>
  </si>
  <si>
    <t>Ondersteuning catering</t>
  </si>
  <si>
    <t>Contract glaswassen</t>
  </si>
  <si>
    <t>Overige contracten / diensten (containerhuur, Buma/Senna, wassen gordijnen etc):</t>
  </si>
  <si>
    <t>Verbruiksmaterialen (o.m. toiletpapier, batterijen, bloemen, planten, hygieneboxen, lampen):</t>
  </si>
  <si>
    <t>Schoonmaak</t>
  </si>
  <si>
    <t>Dagelijks onderhoud (voorheen geraamd in voorziening)</t>
  </si>
  <si>
    <t>2026 ophogen?</t>
  </si>
  <si>
    <t>A03/22 begrotingswijziging 2022</t>
  </si>
  <si>
    <t>Onderhoudscontract zonnepanelen</t>
  </si>
  <si>
    <t>A03/22 begrotingswijziging</t>
  </si>
  <si>
    <t>Totaal 43817</t>
  </si>
  <si>
    <t>Dotatie voorziening (O101)</t>
  </si>
  <si>
    <t>Totaal 47201</t>
  </si>
  <si>
    <t xml:space="preserve">- Uitvoering dienstverleningsvisie </t>
  </si>
  <si>
    <t>Af: afschrijvingslasten investeringen tlv dienstverleningsvisie</t>
  </si>
  <si>
    <t>7207019 Meubilair raadzaal tafels</t>
  </si>
  <si>
    <t>7207020 Meubilair raadzaal stoelen</t>
  </si>
  <si>
    <t>7207021 Inrichten vergaderkamers</t>
  </si>
  <si>
    <t>7207022 Inrichting Spin</t>
  </si>
  <si>
    <t xml:space="preserve">7203062 Klimaatinstallaties gem huis </t>
  </si>
  <si>
    <t>A03-2025 inzet indicidentele budgetten dienstverleningsvisie</t>
  </si>
  <si>
    <t>Kaderbrief 2026: aframingen budget dienstverleningsvisie</t>
  </si>
  <si>
    <t>DO bedrijfsvoering, aframingen Kaderbrief 2026</t>
  </si>
  <si>
    <t>Is budget van Magda, niet van Nicole Mallant (zij heeft werkbudget dienstverlening 604053)</t>
  </si>
  <si>
    <t>Is voor inrichting gemeentehuis, bijv burgerzaal, loketten e.d.</t>
  </si>
  <si>
    <t>Bodediensten</t>
  </si>
  <si>
    <t>Duurzame goederen</t>
  </si>
  <si>
    <t>Kleding- en schoenentoelage bodes</t>
  </si>
  <si>
    <t>Verv. 2 dienstfietsen (1x per 5 jaar)</t>
  </si>
  <si>
    <t>1x in de 5 jaar</t>
  </si>
  <si>
    <t>Onderhoud dienstfietsen</t>
  </si>
  <si>
    <t>Aanschaf kleding/schoenen zonder logo (WKR)</t>
  </si>
  <si>
    <t>Reiniging/reparatie kleding/schoenen zonder logo (WKR)</t>
  </si>
  <si>
    <t>Betreft het inhuren van extern personeel:</t>
  </si>
  <si>
    <t>Inhuur catering vegaderingen/evenementen/B en W etc.:</t>
  </si>
  <si>
    <t>Bestemd voor:</t>
  </si>
  <si>
    <t>Vervangen/aanvullen serviesgoed en bestek</t>
  </si>
  <si>
    <t>Aanschaf klein huishoudelijk materiaal</t>
  </si>
  <si>
    <t>Voor 2025 ophogen, is aan de lage kant</t>
  </si>
  <si>
    <t>Diverse schoonmaakmiddelen</t>
  </si>
  <si>
    <t>Kosten reparatie keukenapparatuur</t>
  </si>
  <si>
    <t>Kantinebenodigdheden (Zelst Eindhoven)</t>
  </si>
  <si>
    <t>Exploitatie koffieautomaten gemeentehuis</t>
  </si>
  <si>
    <t>Kosten catering personeel</t>
  </si>
  <si>
    <t>Telefonie</t>
  </si>
  <si>
    <t>Hieronder vallen de kosten van het vaste telefoonnet via de telefooncentrale, de kosten van mobiele telefonie.</t>
  </si>
  <si>
    <t>Onderhoud mobiele telefonie</t>
  </si>
  <si>
    <t>Abonnement mobiele telefonie</t>
  </si>
  <si>
    <t>Klein onderhoud / bekabeling/schermprotectors</t>
  </si>
  <si>
    <t>Aanschaf mobiele telefoons</t>
  </si>
  <si>
    <t xml:space="preserve">Bureaubehoeften </t>
  </si>
  <si>
    <t>Dit budget is bestemd voor de aanschaf van diverse bureaubenodigd-heden, zoals schrijfwaren etc. De kosten van papier zijn begrepen in het budget van de huisdrukkerij.</t>
  </si>
  <si>
    <t>Post en portikosten</t>
  </si>
  <si>
    <t>Hieronder vallen alle kosten die verband houden met de verzending van poststukken. Sommige kosten kunnen rechtstreeks aan een kostendrager worden toegerekend. Voorbeelden hiervan zijn portikosten voor de onroerende zaakbelastingen en de verkiezingen.</t>
  </si>
  <si>
    <t xml:space="preserve">Kantoormachines </t>
  </si>
  <si>
    <t xml:space="preserve">Onder deze post vallen de aanschaf en onderhoud van alle kantoormachines, exclusief </t>
  </si>
  <si>
    <t>kopieërapparatuur, telefoonapparatuur en automatiseringsapparatuur.</t>
  </si>
  <si>
    <t>Aankoop niet duurzame goederen en diensten:</t>
  </si>
  <si>
    <t>Huur kopieërmachines en lichtdrukmachine + onderhoud</t>
  </si>
  <si>
    <t>Papier (incl. meerkleurendruk huisstijl)</t>
  </si>
  <si>
    <t>Overige materialen voor drukwerk en bindwerk</t>
  </si>
  <si>
    <t>Remote drukwerk</t>
  </si>
  <si>
    <t>Vakliteratuur</t>
  </si>
  <si>
    <t xml:space="preserve">Centraal budget voor vakliteratuur </t>
  </si>
  <si>
    <t>Vind, bouwkostencompas, bijz wetten</t>
  </si>
  <si>
    <t>Overige uitgaven, zoals:</t>
  </si>
  <si>
    <t>- Aansluiting collectieve dienstverlening DIV (DOXIS)</t>
  </si>
  <si>
    <t>- Aansluiting collectieve dienstverlening FM</t>
  </si>
  <si>
    <t>- Lidmaatschap Raad der Europese Gemeenten</t>
  </si>
  <si>
    <t>- Ned. Maatschappij voor Nijverheidhandel</t>
  </si>
  <si>
    <t>- Verzekeringsplatform overheden (VPO)</t>
  </si>
  <si>
    <t xml:space="preserve">- Reprorecht </t>
  </si>
  <si>
    <t>- VNG  contributie (2026 index 2,1%)</t>
  </si>
  <si>
    <t>2026 vervalt ingroei 1%.</t>
  </si>
  <si>
    <t xml:space="preserve">  2026 = aantal inwoners per 1-1-2026 (is 32.141)</t>
  </si>
  <si>
    <t xml:space="preserve">inwoners x </t>
  </si>
  <si>
    <t>aanvullende bijdrage benchmarkinstrumentarium</t>
  </si>
  <si>
    <t>- Totaal VNG contributie</t>
  </si>
  <si>
    <t xml:space="preserve">Gemeentelijke bijdrage voor het fonds Gezamenlijke </t>
  </si>
  <si>
    <t>Gemeentelijke uitvoering (GGU) 2021 = 3,141 x 30.216 inwoners</t>
  </si>
  <si>
    <t>Het fonds GGU groeit in 2026 naar € 4,644 per inwoner</t>
  </si>
  <si>
    <t>inwoners x</t>
  </si>
  <si>
    <t>Facturering door VNG</t>
  </si>
  <si>
    <t>Het betreft:</t>
  </si>
  <si>
    <t>Aanschaf Documentaire Structuur Plan*</t>
  </si>
  <si>
    <t>Onderhoud Documentaire Structuur Plan*</t>
  </si>
  <si>
    <t>Archiefdozen / archiefbenodigdheden</t>
  </si>
  <si>
    <t>Onderhoud archiefkasten</t>
  </si>
  <si>
    <t xml:space="preserve">Abonnement model-DSP </t>
  </si>
  <si>
    <t>SDU vind informatiemanagement</t>
  </si>
  <si>
    <t>Box BV</t>
  </si>
  <si>
    <t>Pagefreezer Europe (websites archivering)</t>
  </si>
  <si>
    <t>Nieuw beleid 2024</t>
  </si>
  <si>
    <t>Opschonen archiefbestanden (2)</t>
  </si>
  <si>
    <t>* Betreft een wettelijke verplicht plan, ter beschrijving van producten en processen conform de archiefwet.</t>
  </si>
  <si>
    <t>Bedrijfshulpverlening BHV</t>
  </si>
  <si>
    <t>Betreft budget voor aankoop van materialen voor de Bedrijfs Hulp Verlening (BHV) en beveiliging gemeentehuis.</t>
  </si>
  <si>
    <t xml:space="preserve">Inventaris </t>
  </si>
  <si>
    <t>Aanvulling/vervanging en aanpassing van meubilair</t>
  </si>
  <si>
    <t>Kleine interne bouwkundige aanpassingen/meubilair</t>
  </si>
  <si>
    <t>Arbotechnische aanpassingen/meubilair</t>
  </si>
  <si>
    <t>Service/oh. archiefkast IZ/Soza (tbv inv. 2007)</t>
  </si>
  <si>
    <t>ICT projecten</t>
  </si>
  <si>
    <t>Kaderbrief 2024</t>
  </si>
  <si>
    <t>Uitbreiden informatiemanagement (4)</t>
  </si>
  <si>
    <t>Dekking via taakstelling formatie</t>
  </si>
  <si>
    <t>Afschrijvingslasten</t>
  </si>
  <si>
    <t>Zie 604901 - Directe toerekening Overhead</t>
  </si>
  <si>
    <t>Functioneel beheerder Microsoft 365 (5)</t>
  </si>
  <si>
    <t>Kaderbrief 2025 (03) verhogen kwaliteit gegevensbescherming</t>
  </si>
  <si>
    <t>Optimalisering informatievoorziening</t>
  </si>
  <si>
    <t>Verzekeringen (techniekverzekering)</t>
  </si>
  <si>
    <t>Onderhoud, abonnementen en ondersteuning</t>
  </si>
  <si>
    <t>Werkplekbeheer Provide</t>
  </si>
  <si>
    <t>Verlaging kosten (ivm overgang van Civision naar VRIS)</t>
  </si>
  <si>
    <t>Ondersteuning I&amp;A</t>
  </si>
  <si>
    <t xml:space="preserve">Extra lasten Ictivity </t>
  </si>
  <si>
    <t>Onvoorzien</t>
  </si>
  <si>
    <t>Ondersteuning I&amp;A BestWijzer (2P0814)</t>
  </si>
  <si>
    <t>Spec. applicatiebeheer naar Administratie</t>
  </si>
  <si>
    <t xml:space="preserve">Toegang keukentafelgesprekken </t>
  </si>
  <si>
    <t>Geautomatiseerde kwijtschelding</t>
  </si>
  <si>
    <t>W08/18 module audioverslaglegging</t>
  </si>
  <si>
    <t xml:space="preserve">Exploitatie automatisering </t>
  </si>
  <si>
    <t>AVG tool classificatie ongestructureerde data</t>
  </si>
  <si>
    <t xml:space="preserve">Licentieupgrade VMware-Microsoft </t>
  </si>
  <si>
    <t>Baseline informatie overheid</t>
  </si>
  <si>
    <t>Software sociaal domein</t>
  </si>
  <si>
    <t>Nieuw beleid en aanpassingen automatisering 2024</t>
  </si>
  <si>
    <t>Informatiseringsprojecten (nr 3)</t>
  </si>
  <si>
    <t>Lasten Cloud (dekking uit lagere storting reserve ict)</t>
  </si>
  <si>
    <t>Implementatiekosten Cloud (dekking uit reserve ict)</t>
  </si>
  <si>
    <t>Software monitoring woningbouw (6)</t>
  </si>
  <si>
    <t xml:space="preserve">Correctie budget module audioverslaggeving, naar Griffie </t>
  </si>
  <si>
    <t>Kaderbrief 2025 (02) verhogen digitale weerbaarheid</t>
  </si>
  <si>
    <t>Kadernota 2026: Project Digitale dienstverlening (41)</t>
  </si>
  <si>
    <t>verschillenanalyse; lagere kosten ivm overgang naar cloud</t>
  </si>
  <si>
    <t>Doorbelasting automatiseringskosten :</t>
  </si>
  <si>
    <t>T04</t>
  </si>
  <si>
    <t>Financieen : Coda</t>
  </si>
  <si>
    <t>Belastingen : Civision</t>
  </si>
  <si>
    <t>Gemeentewinkel : Burgerzaken</t>
  </si>
  <si>
    <t>T671</t>
  </si>
  <si>
    <t>Gemeentewinkel : Samenleving</t>
  </si>
  <si>
    <t>Diverse mbt sociaal Domein</t>
  </si>
  <si>
    <t>Communicatie : CMS Website</t>
  </si>
  <si>
    <t>K en C : Naris</t>
  </si>
  <si>
    <t>T672</t>
  </si>
  <si>
    <t>Regie en Ontwikk. : Zorg voor Jeugd</t>
  </si>
  <si>
    <t>Vergunningen : Squit XO</t>
  </si>
  <si>
    <t>Totaal doorbelasting</t>
  </si>
  <si>
    <t>Nieuw beleid 2021-2024</t>
  </si>
  <si>
    <t>Activiteiten security en privacy (nr 4 lijst nieuw beleid)</t>
  </si>
  <si>
    <t>Overgeboekt van Juridische Zaken</t>
  </si>
  <si>
    <t>Geo/luchtfoto's</t>
  </si>
  <si>
    <t xml:space="preserve">Grensuitzetting kadaster (zonder btw), </t>
  </si>
  <si>
    <t xml:space="preserve">Klein meetgereedschap e.d. </t>
  </si>
  <si>
    <t xml:space="preserve">Landmeetkundige werkzaamheden </t>
  </si>
  <si>
    <t xml:space="preserve">Cyclomedia </t>
  </si>
  <si>
    <t>LDVS support</t>
  </si>
  <si>
    <t>Digitale basiskaart</t>
  </si>
  <si>
    <t>Abonnement levering mutaties digitale basiskaart:</t>
  </si>
  <si>
    <t>x 1.000 percelen (zonder btw) a</t>
  </si>
  <si>
    <t>Bijhouding GBK-Best</t>
  </si>
  <si>
    <t>Vervallen lasten kadaster/verrekening met gemeentefonds</t>
  </si>
  <si>
    <t>Management Informatie en Ondersteuning</t>
  </si>
  <si>
    <t>Overboeking vanuit het totaal opleidingsbudget</t>
  </si>
  <si>
    <t>A03/2024</t>
  </si>
  <si>
    <t>Verplichte GBA audit</t>
  </si>
  <si>
    <t>Leges en andere rechten op basis van legesverordening</t>
  </si>
  <si>
    <t xml:space="preserve">- kopieën/afdruk/scan (Hoofdstuk 20: 1.20.2.1/2/3/5) </t>
  </si>
  <si>
    <t xml:space="preserve">- verzend- en administratiekosten (Hoofdstuk 20: 1.21.1) </t>
  </si>
  <si>
    <t>Totaal 83700</t>
  </si>
  <si>
    <t>Archief</t>
  </si>
  <si>
    <t xml:space="preserve">- gegevensverstrekking (Hoofstuk 10 en Hoofdstuk </t>
  </si>
  <si>
    <t xml:space="preserve">   20: 1.20.2.4) </t>
  </si>
  <si>
    <t>A03/2025 inzet incidentele budgetten tijdelijke huisvesting</t>
  </si>
  <si>
    <t>Afschrijvingen huisvesting en facilitair</t>
  </si>
  <si>
    <t>Afschrijvingen huisvesting</t>
  </si>
  <si>
    <t xml:space="preserve">Afschrijving facilitair </t>
  </si>
  <si>
    <t xml:space="preserve">Afschrijving I&amp;A </t>
  </si>
  <si>
    <t>Totaal 47300 afschrijvingen</t>
  </si>
  <si>
    <t>9. Opslag huisvesting (excl loonkosten)</t>
  </si>
  <si>
    <t>Totale lasten huisvesting (excl lonen)</t>
  </si>
  <si>
    <t>Totale loonkosten direct toegerekend</t>
  </si>
  <si>
    <t xml:space="preserve">Totaal loonkosten huisvesting </t>
  </si>
  <si>
    <t>Opslag lasten huisvesting obv loonkosten</t>
  </si>
  <si>
    <t>Berekening toerekening huisvesting  aan GREXEN en investeringen</t>
  </si>
  <si>
    <t>Opslag overhead planontwikkeling</t>
  </si>
  <si>
    <t>- Som loonkosten GREX planontwikkeling</t>
  </si>
  <si>
    <t>naar 652901/47501  nr 9</t>
  </si>
  <si>
    <t>- Som loonkosten GREX planuitvoering</t>
  </si>
  <si>
    <t>Loonkosten toegerekend aan investeringen</t>
  </si>
  <si>
    <t>Som loonkosten investeringen</t>
  </si>
  <si>
    <t>10. Opslag facilitair (excl loonkosten)</t>
  </si>
  <si>
    <t>Totale lasten facilitair (excl lonen)</t>
  </si>
  <si>
    <t>Totale loonkosten directe toegerekend</t>
  </si>
  <si>
    <t>Opslag lasten facilitair obv loonkosten</t>
  </si>
  <si>
    <t>Berekening toerekening facilitair aan GREXEN en investeringen</t>
  </si>
  <si>
    <t>Som loonkosten GREX</t>
  </si>
  <si>
    <t>Loonkosten planuitvoering GREX</t>
  </si>
  <si>
    <t>Som loonkosten GREX planuitvoering</t>
  </si>
  <si>
    <t>Tabel opslagpercentages bedrijfsvoering op directe lasten</t>
  </si>
  <si>
    <t>Huisvesting (excl loonkosten)</t>
  </si>
  <si>
    <t>Facilitair (excl loonkosten)</t>
  </si>
  <si>
    <t>T04 Overhead, doorbelasting werf en vervoermiddelen</t>
  </si>
  <si>
    <t>Dit onderdeel wordt gebruikt als hulpmiddel om algemene kosten vanwege de gemeentewerf, vervoermiddelen te verzamelen. Vervolgens worden alle lasten</t>
  </si>
  <si>
    <t>via een verdeelsleutel doorbelast naar de taakvelden die van toepassing zijn. Het saldo van baten -/- lasten in dit taakveld is elk jaar altijd 0.</t>
  </si>
  <si>
    <t>Vijverweg 1 (werf)</t>
  </si>
  <si>
    <t>Doorberekening werf aan T21 (wegen), T52 (sport) en T57 (groen)</t>
  </si>
  <si>
    <t>Doorberekening gereedschappen aan T21 (wegen), T52 (sport) en T57 (groen)</t>
  </si>
  <si>
    <t>Doorberekening  vervoermiddelen aan T21 (wegen), T52 (sport) en T57 (groen)</t>
  </si>
  <si>
    <t>Motorbrandstoffen</t>
  </si>
  <si>
    <t>Verzekeringen (gereedschappen)</t>
  </si>
  <si>
    <t>Verzekeringen (fiets)</t>
  </si>
  <si>
    <t>Overige vaste uitgaven (dagelijks onderhoud)</t>
  </si>
  <si>
    <t>Exploitatie vastgoed</t>
  </si>
  <si>
    <t>Onderhoudsvoorzieningen (O102)</t>
  </si>
  <si>
    <t>Gereedschappen</t>
  </si>
  <si>
    <t>Werkkostenregeling (veiligheidsbrillen)</t>
  </si>
  <si>
    <t xml:space="preserve">Vervoermiddelen (algemeen) </t>
  </si>
  <si>
    <t>Belastingen en heffingen (motorrijtuigenbelasting)</t>
  </si>
  <si>
    <t>Doorbereking Werf</t>
  </si>
  <si>
    <t>Doorberekening Grex</t>
  </si>
  <si>
    <t>Onderhoudsvoorzieningen (O…)</t>
  </si>
  <si>
    <t>Doorber. Investering</t>
  </si>
  <si>
    <t>Doorbelasting werf</t>
  </si>
  <si>
    <t>Lasten (doorberekening)</t>
  </si>
  <si>
    <t>Werf naar Wegen T21 617018</t>
  </si>
  <si>
    <t>Lasten (doorbelasting)</t>
  </si>
  <si>
    <t>Werf naar sport T52 630023</t>
  </si>
  <si>
    <t>Werf, naar groen T57 635014</t>
  </si>
  <si>
    <t>Doorbelasting gereedschappen</t>
  </si>
  <si>
    <t>Gereedschappen naar Wegen T21 617018</t>
  </si>
  <si>
    <t>Gereedschappen naar sport T52 630023</t>
  </si>
  <si>
    <t>Gereedschappen naar g0roen T57 635014</t>
  </si>
  <si>
    <t xml:space="preserve">Doorbereking Vervoermiddelen </t>
  </si>
  <si>
    <t>Doorber. Wegen T21 617018</t>
  </si>
  <si>
    <t>Doorber. Sport T52 630022</t>
  </si>
  <si>
    <t>Doorber. Groen T57 635014</t>
  </si>
  <si>
    <t>Gemeentewerf (Vijverweg)</t>
  </si>
  <si>
    <t>Kosten WSD</t>
  </si>
  <si>
    <t>- ledigen containers (incl. stortkosten)</t>
  </si>
  <si>
    <t>- veiligheidskleding</t>
  </si>
  <si>
    <t>- aankoop keukenbenodigdheden  (incl. sporthal + zwembad)</t>
  </si>
  <si>
    <t>- onderhoud gebouw (ramen wassen/ reinigen vloeren e.d.)</t>
  </si>
  <si>
    <t>- onderhoudscontracten / keuringen</t>
  </si>
  <si>
    <t xml:space="preserve">  (2 hefbruggen/heftruck/div gereedschappen)</t>
  </si>
  <si>
    <t>- beveiliging</t>
  </si>
  <si>
    <t>- diverse kosten (om Buma rechten)</t>
  </si>
  <si>
    <t>- water</t>
  </si>
  <si>
    <t xml:space="preserve">Dagelijks onderhoud </t>
  </si>
  <si>
    <t>Dagelijks onderhoud naar cat 43817 (A3-2022)</t>
  </si>
  <si>
    <t>Dagelijks onderhoud (A3-2022)</t>
  </si>
  <si>
    <t>- cilinderhuur (gas + zuurstof lassen)</t>
  </si>
  <si>
    <t>- civieltechniek</t>
  </si>
  <si>
    <t>- plantsoenen en bossen</t>
  </si>
  <si>
    <t>- sport</t>
  </si>
  <si>
    <t xml:space="preserve">Klein gereedschap </t>
  </si>
  <si>
    <t>Aanschaf kleding/schoenen zonder logo</t>
  </si>
  <si>
    <t>Aanschaf kleding/schoenen met logo</t>
  </si>
  <si>
    <t>Aanschaf veiligheidsbrillen</t>
  </si>
  <si>
    <t>Vervoermiddelen (algemeen) zie specifcatie</t>
  </si>
  <si>
    <t>Verzekeringen (motorrijtuigenverzekering)</t>
  </si>
  <si>
    <t>Vrachtwagen met laadkraan, 604047</t>
  </si>
  <si>
    <t>Vervoermiddelen (algemeen) , 604048</t>
  </si>
  <si>
    <t>bestelauto Peugeot (algemeen)  66-VT-ZZ</t>
  </si>
  <si>
    <t>personenwagen opzichter Peugeot 05-SZ-NF</t>
  </si>
  <si>
    <t>bestelauto Peugeot (werfbeheer)  69-VV-KG</t>
  </si>
  <si>
    <t>bestelauto Peugeot (ongediertebestrijding) 70-VT-ZZ</t>
  </si>
  <si>
    <t>bestelauto Fiat Ducato (alg. gebruik) 6-VXS-59</t>
  </si>
  <si>
    <t>pers.wagen (medew. alg. dienst) Peugeot 29-VV-LS</t>
  </si>
  <si>
    <t>bestelauto Fiat Ducato (onderhoud wegen) 6-VXS-60</t>
  </si>
  <si>
    <t>diverse aanhangers (excl. aanhangers tbv brandweer)</t>
  </si>
  <si>
    <t>Bestelwagen timmerman 604049</t>
  </si>
  <si>
    <t>Dienstauto's  604050</t>
  </si>
  <si>
    <t>11. Algemene dekkingsmiddelen en onvoorzien</t>
  </si>
  <si>
    <t xml:space="preserve">Grootb/cat
</t>
  </si>
  <si>
    <t>Aandelen en dividend</t>
  </si>
  <si>
    <t>Winstuitkeringen</t>
  </si>
  <si>
    <t>Inkomensoverdrachten ov instellingen</t>
  </si>
  <si>
    <t>Leningen publieke taak</t>
  </si>
  <si>
    <t>Ontvangen rente</t>
  </si>
  <si>
    <t>Gewaarborgde geldlening Stg Huize Nazareth</t>
  </si>
  <si>
    <t>saldo 31-12</t>
  </si>
  <si>
    <t>risicovergoeding</t>
  </si>
  <si>
    <t>Toegerekende rente</t>
  </si>
  <si>
    <t>Directe toerekening treasury</t>
  </si>
  <si>
    <t>BTW niet compensabel / niet aftrekbaar</t>
  </si>
  <si>
    <t>1. NV BNG Bank</t>
  </si>
  <si>
    <t>volgestort = € 61.425,00. Te verwachten</t>
  </si>
  <si>
    <t xml:space="preserve">dividenduitkering obv 2023): 24.570 aandelen à € 2,16 </t>
  </si>
  <si>
    <t>niet indexeren, rekenen met 2 euro per aandeel, bij 1e fin rapp jaarlijks bijstellen</t>
  </si>
  <si>
    <t>(15% dividendbelasting terugvorderbaar)</t>
  </si>
  <si>
    <t>Beheersvergoeding Svn startersleningen</t>
  </si>
  <si>
    <t>Beheersvergoeding ovk rekening courant svn 2024</t>
  </si>
  <si>
    <t>Beheersvergoeding Svn stimuleringsleningen (vervallen)</t>
  </si>
  <si>
    <t>p.m.</t>
  </si>
  <si>
    <t>Subsidie rente lening 165B Best Vooruit</t>
  </si>
  <si>
    <t xml:space="preserve">Subsidie aflossing lening 165B Best Vooruit </t>
  </si>
  <si>
    <t>Lening € 10 mln, 30 jaar, 40.115516: rente 1,01%</t>
  </si>
  <si>
    <t>Lening € 10 mln, 40 jaar, 40.115517: rente 0,97%</t>
  </si>
  <si>
    <t>- Berekende rente financiering (2,75% over fin tekort)*</t>
  </si>
  <si>
    <t>* Op basis van de liquiditeitsprognose bij de Begroting 2026 worden in 2027, 2028 en 2029 financieringstekorten verwacht.</t>
  </si>
  <si>
    <t>Verwacht wordt dat er voor een periode van 40 jaar geleend wordt vanwege de volgende financieringstekorten (raming tegen 2,75% rentelast):</t>
  </si>
  <si>
    <t xml:space="preserve">2027 € 15,7 miljoen gemiddeld financieringstekort </t>
  </si>
  <si>
    <t>2028 € 32,4 miljoen gemiddeld financieringstekort</t>
  </si>
  <si>
    <t>2029 € 57,9 miljoen gemiddeld financieringstekort</t>
  </si>
  <si>
    <t>Toegerek. reele en bespaarde rente</t>
  </si>
  <si>
    <t>Rente die aan de grondexploitatie wordt toegerekend:</t>
  </si>
  <si>
    <t>- cf notitie rente Bbv is de rente gelijk aan de omslagrente.</t>
  </si>
  <si>
    <t>Zie notitie rente BBv 2023</t>
  </si>
  <si>
    <t>Die is in 2026 0%</t>
  </si>
  <si>
    <t>Totaal toegerekende rente</t>
  </si>
  <si>
    <t>Rentebaten op afgesloten financieringen bedrijfsvoering</t>
  </si>
  <si>
    <t>Rentebaten verstrekte leningen aan derden</t>
  </si>
  <si>
    <t>Rente zelfstandig verstrekte geldleningen</t>
  </si>
  <si>
    <t>Rentev startersleningen Svn, cf opbrengst rekening courant 2024</t>
  </si>
  <si>
    <t>Rente overeenkomstig ontvangen rente rc in 2024</t>
  </si>
  <si>
    <t>Rente De Groene Zone 1,35%  over de boekwaarde 1-1-26</t>
  </si>
  <si>
    <t>Rente verstrekt</t>
  </si>
  <si>
    <t>Risicovergoeding stichting Archipel</t>
  </si>
  <si>
    <t xml:space="preserve">Berekende rente over voordelig financieringssaldo </t>
  </si>
  <si>
    <t>( 1,50% over overschotten)*</t>
  </si>
  <si>
    <t>Gebaseerd op 3 maands deposito dd 21-7-25</t>
  </si>
  <si>
    <t>* Op basis van de liquiditeitsprognose bij de Begroting 2026 worden in 2026 financieringsoverschotten verwacht:</t>
  </si>
  <si>
    <t>Omdat de overschotten vanaf 2027-2028 nodig zijn worden deze kort uitgezet in de Schatkist (raming tegen 1,5% renteopbrengst)</t>
  </si>
  <si>
    <t>2027 € 5,4 miljoen gemiddeld financieringsoverschot.</t>
  </si>
  <si>
    <t>De Tijdsbesteding aan treasury wordt  overeenkomstig het besluit BBV verwerkt onder de overhead van financien.</t>
  </si>
  <si>
    <t>De kapitaallasten worden in dit taakveld rechtstreeks toegerekend aan het betreffende onderdeel.</t>
  </si>
  <si>
    <t>EXTRACOMPTABEL OVERZICHT RENTERESULTAAT</t>
  </si>
  <si>
    <t>Renteresultaat taakveld treasury</t>
  </si>
  <si>
    <t>Werkelijk ontvangen rente</t>
  </si>
  <si>
    <t>Werkelijk betaalde rente</t>
  </si>
  <si>
    <t>Toegerek. reele en bespaarde rente (grex)</t>
  </si>
  <si>
    <t>Totaal renteresultaat op taakveld treasury (-/- = voordelig)</t>
  </si>
  <si>
    <t>111.2 belastingen en woz</t>
  </si>
  <si>
    <t>Saldo</t>
  </si>
  <si>
    <t>Uitvoering van de Wet WOZ</t>
  </si>
  <si>
    <t>Inhuur personeel (doorbelasting)</t>
  </si>
  <si>
    <t>Overige goederen en diensten (doorbelasting)</t>
  </si>
  <si>
    <t>Heffing en invordering belastingen en heffingen</t>
  </si>
  <si>
    <t>Overige goederen en diensten, doorbelast</t>
  </si>
  <si>
    <t>Directe toerekening OZB woningen</t>
  </si>
  <si>
    <t>OZB eigendom woningen</t>
  </si>
  <si>
    <t>Belasting op producenten</t>
  </si>
  <si>
    <t>Overige goederen en diensten (doorbelast)</t>
  </si>
  <si>
    <t>Kosten ingevolge uitvoering van de Wet W.O.Z.</t>
  </si>
  <si>
    <t>-Tijdelijke ondersteuning WOZ</t>
  </si>
  <si>
    <t>- Diverse kosten w.o.</t>
  </si>
  <si>
    <t>Inzet Data B</t>
  </si>
  <si>
    <t>Proceskosten</t>
  </si>
  <si>
    <t>Ondersteuning ivm bezwaar</t>
  </si>
  <si>
    <t>Vind lokale belastingen</t>
  </si>
  <si>
    <t>Kosten waarderingskamer</t>
  </si>
  <si>
    <t>Licentiekosten Vris (contract Xxllnce)</t>
  </si>
  <si>
    <t>Technische toelichting:</t>
  </si>
  <si>
    <t>De hierboven opgenomen lasten zijn de totale lasten voor de WOZ. Op deze wijze is er een volledig inzicht in de totale lasten.</t>
  </si>
  <si>
    <t>Volgens het Besluit Begroting en Verantwoording moeten lasten echter worden verantwoord aan de taakvelden waar deze op thuishoren.</t>
  </si>
  <si>
    <t>De lasten voor de WOZ worden daarom gerelateerd aan de opbrengsten van onderstaande taakveld doorbelast:</t>
  </si>
  <si>
    <t xml:space="preserve">- Taakveld 0.61 ozb woningen:  </t>
  </si>
  <si>
    <t>- Taakveld 0.62 ozb niet woningen:</t>
  </si>
  <si>
    <t>Overzicht doorbelastingen</t>
  </si>
  <si>
    <t>Doorbelasting naar taakveld T0.62, ozb niet woningen, inhuur</t>
  </si>
  <si>
    <t>Let op als kosten in doorbelaste taakvelden</t>
  </si>
  <si>
    <t>Doorbelasting naar taakveld T0.62, ozb niet woningen, overige uitgaven</t>
  </si>
  <si>
    <t>Diverse kosten w.o.</t>
  </si>
  <si>
    <t>e-loket heffen en innen</t>
  </si>
  <si>
    <t>Data B (herinneringen)</t>
  </si>
  <si>
    <t>Abonnement Inlichtengenbureau-kwijtscheldingen</t>
  </si>
  <si>
    <t>Flanderijn invorderingskosten</t>
  </si>
  <si>
    <t>Doorbelasting belastingsoftware van T04</t>
  </si>
  <si>
    <t>De hierboven opgenomen lasten zijn de totale lasten van heffing en invordering. Op deze wijze is er volledig inzicht in de lasten.</t>
  </si>
  <si>
    <t>De lasten van heffing en invordering worden daarom gerelateerd aan de opbrengsten van onderstaande taakvelden doorbelast:</t>
  </si>
  <si>
    <t>- Taakveld 72 riolering:</t>
  </si>
  <si>
    <t>- Taakveld 73 afval:</t>
  </si>
  <si>
    <t>Doorbelasting naar taakveld T0.62, ozb niet woningen</t>
  </si>
  <si>
    <t>Doorbelasting naar taakveld T72, riolering</t>
  </si>
  <si>
    <t>Doorbelasting naar taakveld T73, afval</t>
  </si>
  <si>
    <t>Totaal doorbelaste lasten</t>
  </si>
  <si>
    <t>- Team financien en kwaliteit (cluster belastingen)</t>
  </si>
  <si>
    <t>- Opbrengst van aanmaningen en dwangbevelen.</t>
  </si>
  <si>
    <t>Totale opbrengst</t>
  </si>
  <si>
    <t>De hierboven opgenomen opbrengsten zijn de totale baten van heffing en invordering voor alle belastingen en heffingen. Deze informatie is nodig</t>
  </si>
  <si>
    <t xml:space="preserve">voor het totaalinzicht in deze opbrengsten. Volgens het Besluit Begroting en Verantwoording moeten baten echter worden toegerekend aan de </t>
  </si>
  <si>
    <t>taakvelden waar deze op thuishoren.</t>
  </si>
  <si>
    <t>De lasten worden daarom verrekend met onderstaande taakvelden:</t>
  </si>
  <si>
    <t>Let op negatief in doorbelaste taakvelden!</t>
  </si>
  <si>
    <t>Totaal doorbelaste baten</t>
  </si>
  <si>
    <t>Tarieven 2026:</t>
  </si>
  <si>
    <t>woningen</t>
  </si>
  <si>
    <t>Tarief eigenaren 0,0880% (0,0803 + 10,3%) van de waarde.</t>
  </si>
  <si>
    <t>De geraamde opbrengsten van de onroerende-zaakbelastingen zijn gebaseerd op de volgende gegevens:</t>
  </si>
  <si>
    <t>Werkelijke aanslagen 2025</t>
  </si>
  <si>
    <t>Toename i.v.m. in aanbouw/nieuw- en verbouw x 1.000</t>
  </si>
  <si>
    <t>Getaxeerde waarde 1-1-2025 x € 1.000 (incl kwade posten)</t>
  </si>
  <si>
    <t>Kwade posten</t>
  </si>
  <si>
    <t>Waarde per 1-1-2025 waarover OZB wordt berekend</t>
  </si>
  <si>
    <t>Belasting van de eigenaren</t>
  </si>
  <si>
    <t>- Getaxeerde waarde x € 1.000</t>
  </si>
  <si>
    <t xml:space="preserve">- Tarief                                                          </t>
  </si>
  <si>
    <t>Af: afrondingen</t>
  </si>
  <si>
    <t>Totale opbrengst 2025 woningen - belasting eigenaren</t>
  </si>
  <si>
    <t>Opbrengst: OZB eigenaren woningen (incl extra 2x verhogingen 4%)</t>
  </si>
  <si>
    <t>Totale opbrengst: OZB eigenaren woningen</t>
  </si>
  <si>
    <t>x 47%</t>
  </si>
  <si>
    <t>x 53%</t>
  </si>
  <si>
    <t>Samengesteld gewogen index</t>
  </si>
  <si>
    <t>%</t>
  </si>
  <si>
    <t>Kaderbrief 2023 (2026-2029 +4%)</t>
  </si>
  <si>
    <t>Extra verhoging  (prioritering 2025-2027)</t>
  </si>
  <si>
    <t>Totaal stijging 2026</t>
  </si>
  <si>
    <t>Tarieven 2027:</t>
  </si>
  <si>
    <t>Totaal stijging 2027-2028</t>
  </si>
  <si>
    <t>Tarieven 2028-2029:</t>
  </si>
  <si>
    <t>Totaal stijging 2028-2029</t>
  </si>
  <si>
    <t>Tabel 1: berekening integrale kostprijs: OZB woningen</t>
  </si>
  <si>
    <t>Directe toerekening belastingen</t>
  </si>
  <si>
    <t>Directe loonkosten Advies en Financiën; Belasting en Invordering</t>
  </si>
  <si>
    <t>Saldo directe loonkosten</t>
  </si>
  <si>
    <t>Overige directe lasten:</t>
  </si>
  <si>
    <t>Totaal directe lasten</t>
  </si>
  <si>
    <t>Toerekening overige personeelslasten</t>
  </si>
  <si>
    <t>Toerekening huisvesting</t>
  </si>
  <si>
    <t>Toerekening afdeling Ondersteuning</t>
  </si>
  <si>
    <t>Toerekening Advies en Financiën</t>
  </si>
  <si>
    <t xml:space="preserve">Toerekening directie </t>
  </si>
  <si>
    <t>Benodigd voor de paragraaf weerstandsvermogen en risicobeheersing:</t>
  </si>
  <si>
    <t>onbenutte belastingcapaciteit</t>
  </si>
  <si>
    <t>woningen eig.</t>
  </si>
  <si>
    <t>woz waarde</t>
  </si>
  <si>
    <t>niet woningen gebr.</t>
  </si>
  <si>
    <t>niet-woningen eig.</t>
  </si>
  <si>
    <t>Redelijk peil ozb meicirculaire 2024 = 0,1595</t>
  </si>
  <si>
    <t>T062 OZB Niet-woningen</t>
  </si>
  <si>
    <t>Doorbelasting baten heffing en invordering</t>
  </si>
  <si>
    <t>Saldo taakveld</t>
  </si>
  <si>
    <t>Directe toerekening OZB niet woningen</t>
  </si>
  <si>
    <t>Inhuur (dbl woz)</t>
  </si>
  <si>
    <t>Overige uitgaven (dbl woz)</t>
  </si>
  <si>
    <t>Overige uitgaven (dbl heff en invord)</t>
  </si>
  <si>
    <t>OZB gebruik niet woningen</t>
  </si>
  <si>
    <t>OZB eigendom niet woningen</t>
  </si>
  <si>
    <t>Directe toerekening ozb niet woningen</t>
  </si>
  <si>
    <t xml:space="preserve">Onderstaande posten zijn doorbelast vanaf T061. </t>
  </si>
  <si>
    <r>
      <rPr>
        <b/>
        <sz val="10"/>
        <rFont val="Tahoma"/>
        <family val="2"/>
      </rPr>
      <t xml:space="preserve">Attentie budgetbeheerder: </t>
    </r>
    <r>
      <rPr>
        <i/>
        <sz val="10"/>
        <rFont val="Tahoma"/>
        <family val="2"/>
      </rPr>
      <t>Dit budget is uitsluitend bestemd voor doorbelastingsdoeleinden, er mag niet op geboekt worden.</t>
    </r>
  </si>
  <si>
    <t>Uitgaven en de budgetbewaking van onderstaande lasten vinden uitsluitend plaats op taakveld T061, ozb woningen.</t>
  </si>
  <si>
    <t>A. Toerekeningen wet WOZ</t>
  </si>
  <si>
    <t>Doorbelasting lasten wet WOZ, inhuur</t>
  </si>
  <si>
    <t>Doorbelasting lasten wet WOZ, overige uitgaven</t>
  </si>
  <si>
    <t>B Toerekening heffing en invordering belastingen en heffingen</t>
  </si>
  <si>
    <t>Doorbelasting lasten heffing en invordering</t>
  </si>
  <si>
    <t>niet-woningen</t>
  </si>
  <si>
    <t>Tarief eigenaren 0,2572% (0,2337 + 10,3%) van de waarde (excl ondernemersfonds).</t>
  </si>
  <si>
    <t>Tarief gebruikers 0,1961% (0,1813+ 10,3%) van de waarde (excl ondernemersfonds).</t>
  </si>
  <si>
    <t xml:space="preserve">Getaxeerde waarde 1-1-2025 </t>
  </si>
  <si>
    <t>Toename i.v.m. in aanbouw/nieuw- en verbouw</t>
  </si>
  <si>
    <t>Waarde 1-1-2026  eigenaren</t>
  </si>
  <si>
    <t>Leegstand (gebruikers)</t>
  </si>
  <si>
    <t>Kwade posten (afwijking t.o.v. eigenaren)</t>
  </si>
  <si>
    <t>Vrijstelling</t>
  </si>
  <si>
    <t>Vrijstelling De Pater  (gebruikers)</t>
  </si>
  <si>
    <t>Waarde 1-1-2025 gebruikers</t>
  </si>
  <si>
    <t xml:space="preserve">- Getaxeerde waarde </t>
  </si>
  <si>
    <t>Totale opbrengst 2025 niet-woningen eigenaren</t>
  </si>
  <si>
    <t>excl ondernemersfonds</t>
  </si>
  <si>
    <t>Belasting van de gebruikers</t>
  </si>
  <si>
    <t>- Getaxeerde waarde</t>
  </si>
  <si>
    <t>Totale opbrengst 2025 niet-woningen gebruikers</t>
  </si>
  <si>
    <t>Extra tbv Ondernemersfonds W03/25*</t>
  </si>
  <si>
    <t xml:space="preserve">index hetzelfde als OZB index (2026, 10,3%, 2027 11,5%, 2028 en 2029 7,5%). Convenant nog niet ondertekend, dit kan nog veranderen. </t>
  </si>
  <si>
    <t>Opbrengst: OZB eigenaren niet woningen (incl. extra verhogingen 4%)</t>
  </si>
  <si>
    <t>Totale opbrengst: OZB eigenaren niet woningen</t>
  </si>
  <si>
    <t>Opbrengst: OZB gebruikers niet woningen (incl. extra verhogingen 4%)</t>
  </si>
  <si>
    <t>Opbrengst voor 2026 naar beneden bijgesteld ivm leegstand (€ 60.000 lager). Afgelopen jaren wordt dit bij de 2e fin rap bijgesteld. Nu met Patricia afgestemd en lager bedrag in begroting opgenomen.</t>
  </si>
  <si>
    <t>Totale opbrengst: OZB  niet woningen</t>
  </si>
  <si>
    <t>Totale opbrengst: OZB  niet woningen incl opslag Ondernemersfonds*</t>
  </si>
  <si>
    <t>* Verwezen wordt naar taakveld 31 voor het Ondernemersfonds</t>
  </si>
  <si>
    <t>Toelichting meeropbrengst OZB vanwege het Ondernemersfonds (W03/25)</t>
  </si>
  <si>
    <t>Meeropbrengst obv tariefsopslagen Ozb</t>
  </si>
  <si>
    <t>Doorbelasting T31 ondernemersfonds</t>
  </si>
  <si>
    <t>doorbelasting alleen indexeren met prijsindex (2026 2,6% en 2027 e.v.  2,2%)</t>
  </si>
  <si>
    <t>Meer opbrengst via OZB (hogere indexering OZB tov budget Ondernemersfonds)</t>
  </si>
  <si>
    <t>Bedrag dient hetzelfde te zijn als in taakveld T31</t>
  </si>
  <si>
    <t>Toerekening management R&amp;O - niet van toepassing</t>
  </si>
  <si>
    <t>Toerekening management Omgevingszaken -  niet van toepassing</t>
  </si>
  <si>
    <t>Toerekening management Publiekszaken - niet van toepassing</t>
  </si>
  <si>
    <t>Toerekening management Beheer - niet van toepassing</t>
  </si>
  <si>
    <t>gewogen indexering</t>
  </si>
  <si>
    <t>T064 Belastingen overig</t>
  </si>
  <si>
    <t>Bouwgrondbelasting Koekoekbos</t>
  </si>
  <si>
    <t>Kapitaaloverdrachten ov instellingen</t>
  </si>
  <si>
    <t>Hondenbelasting</t>
  </si>
  <si>
    <t>Belasting op inkomen van gezinnen</t>
  </si>
  <si>
    <t>Precariobelasting</t>
  </si>
  <si>
    <t>Reclamebelasting</t>
  </si>
  <si>
    <t>Door komst ondernemersfonds geheel vervallen.</t>
  </si>
  <si>
    <t>Reclamebelasting (vervallen IN24-01728)</t>
  </si>
  <si>
    <t>Let op: in 2022 gewogen indexering toepassen (zie OZB)</t>
  </si>
  <si>
    <t>Objectgebonden</t>
  </si>
  <si>
    <t>2024 lagere opbrengst -&gt; vanaf 2025 verlaagd</t>
  </si>
  <si>
    <t>Subjectgebonden:</t>
  </si>
  <si>
    <t xml:space="preserve">- Staanplaatsen </t>
  </si>
  <si>
    <t>LET OP INDEX, gewogen index</t>
  </si>
  <si>
    <t xml:space="preserve">- Reclameborden </t>
  </si>
  <si>
    <t>Tabel 1: berekening integrale kostprijs: belastingen</t>
  </si>
  <si>
    <t>Totaal directe toerekeningen</t>
  </si>
  <si>
    <t>Let op: % nog actualiseren</t>
  </si>
  <si>
    <t>Totale opslag overhead</t>
  </si>
  <si>
    <t>T07 Algemene uitkering en overige uitkeringen gemeentefonds</t>
  </si>
  <si>
    <t>Mutaties in de reserves</t>
  </si>
  <si>
    <t>Stortingen in reserves (+)</t>
  </si>
  <si>
    <t>Bijdragen uit reserves (-)</t>
  </si>
  <si>
    <t>Saldo na bijdragen en stortingen in reserves (+ = nadeel)</t>
  </si>
  <si>
    <t>Algemene uitkering</t>
  </si>
  <si>
    <t>Inkomensoverdrachten van het rijk</t>
  </si>
  <si>
    <t>vervalt</t>
  </si>
  <si>
    <t>Integratie-uitkering WMO</t>
  </si>
  <si>
    <t>Decentralisatie-uitkering combinatiefuncties</t>
  </si>
  <si>
    <t>Integratie-uitkering Sociaal domein Wmo</t>
  </si>
  <si>
    <t>Integratie-uitkering Sociaal domein jeugd</t>
  </si>
  <si>
    <t>Integratie-uitkering Sociaal domein participatie</t>
  </si>
  <si>
    <t xml:space="preserve">Betreft programma voor de berekening en analyse </t>
  </si>
  <si>
    <t>van de algemene uitkering uit het gemeentefonds</t>
  </si>
  <si>
    <t>Algemene uitkering uit het gemeentefonds</t>
  </si>
  <si>
    <t>Algemene uitkering op basis van de decembercirculaire 2024</t>
  </si>
  <si>
    <t>Mutatie meicirculaire '25</t>
  </si>
  <si>
    <t xml:space="preserve">Integratie-uitkering Sociaal domein participatie </t>
  </si>
  <si>
    <t>Integratie-uitkering Participatie</t>
  </si>
  <si>
    <t>Op basis van de septembercirculaire 2024</t>
  </si>
  <si>
    <t>Totaal, conform berekening op basis van meicirculaire 2025</t>
  </si>
  <si>
    <t>Stelposten (niet in berekening algemene uitkering):</t>
  </si>
  <si>
    <t>Stelpost ruimte onder plafond BCF:</t>
  </si>
  <si>
    <t>Stelpost 75% van de ruimte onder het plafonds BCF opnemen</t>
  </si>
  <si>
    <t>Mutatie nav meicirculaire '25</t>
  </si>
  <si>
    <t>Stelpost structurele compensatie middelen jeugdzorg:</t>
  </si>
  <si>
    <t>In 2023 is de compensatie jeugdzorg toegevoegd aan de algemene uitkering</t>
  </si>
  <si>
    <t>Vanaf 2026 mag 100% opgenomen worden van de bedragen</t>
  </si>
  <si>
    <t>waar de Arbitragecommissie van uit gaat</t>
  </si>
  <si>
    <t>Vrijval stelpost nav meicirculaire '25</t>
  </si>
  <si>
    <t>Totaal algemene uitkering primitieve begroting</t>
  </si>
  <si>
    <t>Recapitulatie:</t>
  </si>
  <si>
    <t>Stelpost ruimte onder plafond BCF</t>
  </si>
  <si>
    <t>Stelpost structurele compensatie middelen jeugdzorg</t>
  </si>
  <si>
    <t>Directe toerekening overige baten en lasten</t>
  </si>
  <si>
    <t>Niet compensabele btw</t>
  </si>
  <si>
    <t>stelpost loon- en prijsstijging</t>
  </si>
  <si>
    <t>Onvoorziene uitgaven</t>
  </si>
  <si>
    <t>Inkomensoverdrachten onverdeeld</t>
  </si>
  <si>
    <t>Voorziening dubieuze debiteuren</t>
  </si>
  <si>
    <t xml:space="preserve">Niet compensabele btw </t>
  </si>
  <si>
    <t>Compensabele btw m.b.t. afval en riolering</t>
  </si>
  <si>
    <t>Incidentele opbrengst grondverkoop</t>
  </si>
  <si>
    <t>Verleende garanties</t>
  </si>
  <si>
    <t>Inkomensoverdrachten van ov instellingen</t>
  </si>
  <si>
    <t>Inkomsten terzake van commerciële buitenreclame</t>
  </si>
  <si>
    <t>Overige inkomensoverdrachten</t>
  </si>
  <si>
    <t>Basis is de algemene uitkering 2015 x de norm van de provincie (0,6%). Vanaf 2016 wordt het budget</t>
  </si>
  <si>
    <t>geindexeerd en wordt er rekening gehouden met een ombuiging uit 2010 van € 50.000.</t>
  </si>
  <si>
    <t xml:space="preserve">Onvoorziene uitgaven </t>
  </si>
  <si>
    <t>Overgeboekt product vrijwilligersorganisaties (0817)</t>
  </si>
  <si>
    <t>Totaal onvoorziene uitgaven</t>
  </si>
  <si>
    <t>Saldo primitieve begroting</t>
  </si>
  <si>
    <t>W01/2025 1e wijziging</t>
  </si>
  <si>
    <t>W02/2025 1e firap 2025</t>
  </si>
  <si>
    <t>W03/2025 ondernemingsfonds</t>
  </si>
  <si>
    <t>Extra indexering wegbeheerplan agv stijging materiaalkn kaderbrief</t>
  </si>
  <si>
    <t>Extra indexering energie vanaf 2024</t>
  </si>
  <si>
    <t>1e wijziging 2023, aanpassing stelpost</t>
  </si>
  <si>
    <t>1e firap 2023, verlaging stelpost extra lasten VRBZO, GGD en Odzob</t>
  </si>
  <si>
    <t>Voorstel vrijval stelpost</t>
  </si>
  <si>
    <t>1e wijziging 2024, aanpassing stelpost</t>
  </si>
  <si>
    <t>Overboeking naar scoiaal domein</t>
  </si>
  <si>
    <t>W01-2025 reservering loon en prijsstijging</t>
  </si>
  <si>
    <t>Saldo stelpost</t>
  </si>
  <si>
    <t>Betreft stortingen in en onttrekkingen aan de voorziening voor dubieuze debiteuren. Stortingen vinden plaats op basis</t>
  </si>
  <si>
    <t>via een analyse van het debiteurensaldo.</t>
  </si>
  <si>
    <t>Betreft kosten van invordering verliezen i.v.m. gedwongen verkopen van woningen met gemeentegarantie.</t>
  </si>
  <si>
    <t>Hier wordt de compensabele btw verantwoord m.b.t. huisvuil-inzameling en -verwijdering en riolering. Dit kan gezien worden als een compensatie van de korting op de algemene uitkering uit het gemeentefonds.</t>
  </si>
  <si>
    <t>De compensabele btw vormt een kostenpost op genoemde onderdelen.</t>
  </si>
  <si>
    <t>T73 - Huisvuilinzameling en -verwijdering</t>
  </si>
  <si>
    <t>T72 - Riolering en waterzuivering (exploitatie)</t>
  </si>
  <si>
    <t>BTW over investeringen riolering (conform exploitatie)</t>
  </si>
  <si>
    <t>BTW over investeringen riolering (gemiddeld) - investeringen schuiven door</t>
  </si>
  <si>
    <t>Let op in 2025 wel een bedrag opnemen indien exploitatie = 0 omdat investeringen doorgeschoven worden</t>
  </si>
  <si>
    <t>Subtotaal 84410</t>
  </si>
  <si>
    <t>Jaarlijks wordt btw op investeringen riolering geraamd (gemiddeld).</t>
  </si>
  <si>
    <t>Correctie  Compensabele btw m.b.t. afval en riolering</t>
  </si>
  <si>
    <t>begroting 2021 via afval/riol tgv begrotingssaldo</t>
  </si>
  <si>
    <t>Correctie compensabele btw op afval (tgv van expl afval T73-648003)</t>
  </si>
  <si>
    <t>Correctie compensabele btw op riolering (tgv van expl riol. - 647006)</t>
  </si>
  <si>
    <t>BTW exploitatie</t>
  </si>
  <si>
    <t>BTW investeringen</t>
  </si>
  <si>
    <t>Totaal correctie</t>
  </si>
  <si>
    <t xml:space="preserve">Niet compensabele btw op overheadkosten. </t>
  </si>
  <si>
    <t xml:space="preserve">Niet compensabel is 8,2% van btw op overhead (basis is 2019). </t>
  </si>
  <si>
    <t>- Commerciële buitenreclame</t>
  </si>
  <si>
    <t>2023 12.000 hogere opbrengsten. Opbrengst meegenomen obv facturatie 2024 (16-7-2024) + indexatie.</t>
  </si>
  <si>
    <t>- Nachtverlichting buitenreclame</t>
  </si>
  <si>
    <t>Intern Advies en Financiën</t>
  </si>
  <si>
    <t xml:space="preserve">             </t>
  </si>
  <si>
    <t>Grootb/cat
t/m 2020</t>
  </si>
  <si>
    <t>De berekende vpb-last voor 2026 wordt berekend op € 11.000. Dit bedrag is gebaseerd op de aangifte VPB 2023. Resultaat x Tarief - € 60.000 x 19%.</t>
  </si>
  <si>
    <t>- belastingplichtig afvalopbrengsten i.v.m. recycling cf overeenkomst en buitenreclame</t>
  </si>
  <si>
    <t>- attentie punt op basis van beroepszaken betreft verstrekte leningen</t>
  </si>
  <si>
    <t>- kermisactiviteiten waren belastingplichtig tot en met het jaar 2021</t>
  </si>
  <si>
    <t>T010 Mutaties reserve</t>
  </si>
  <si>
    <t>Productnr</t>
  </si>
  <si>
    <t>Bal Prod/Kpl</t>
  </si>
  <si>
    <t>Kostensoort</t>
  </si>
  <si>
    <t>Begroot 2020</t>
  </si>
  <si>
    <t>Begroot 2021</t>
  </si>
  <si>
    <t>Begroot 2022</t>
  </si>
  <si>
    <t>Begroot 2023</t>
  </si>
  <si>
    <t>2P0304</t>
  </si>
  <si>
    <t>6980018</t>
  </si>
  <si>
    <t>mut res prod 0304</t>
  </si>
  <si>
    <t>460001</t>
  </si>
  <si>
    <t>reservering reserve</t>
  </si>
  <si>
    <t>2P0313</t>
  </si>
  <si>
    <t>6980027</t>
  </si>
  <si>
    <t>mut res prod 0313</t>
  </si>
  <si>
    <t>2P0608</t>
  </si>
  <si>
    <t>6980046</t>
  </si>
  <si>
    <t>mut res prod 0608</t>
  </si>
  <si>
    <t>2P0609</t>
  </si>
  <si>
    <t>6980047</t>
  </si>
  <si>
    <t>mut res prod 0609</t>
  </si>
  <si>
    <t>2P0618</t>
  </si>
  <si>
    <t>6980056</t>
  </si>
  <si>
    <t>mut res prod 0618</t>
  </si>
  <si>
    <t>2P1101</t>
  </si>
  <si>
    <t>6980097</t>
  </si>
  <si>
    <t>mut res prod 1101</t>
  </si>
  <si>
    <t>2P1203</t>
  </si>
  <si>
    <t>6980113</t>
  </si>
  <si>
    <t>mut res prod 1203</t>
  </si>
  <si>
    <t>2P1102</t>
  </si>
  <si>
    <t>6980501</t>
  </si>
  <si>
    <t>mut res prod 1102</t>
  </si>
  <si>
    <t/>
  </si>
  <si>
    <t>2P0303</t>
  </si>
  <si>
    <t>6980017</t>
  </si>
  <si>
    <t>mut res prod 0303</t>
  </si>
  <si>
    <t>860001</t>
  </si>
  <si>
    <t>ged. T31 wordt</t>
  </si>
  <si>
    <t>2P0402</t>
  </si>
  <si>
    <t>6980030</t>
  </si>
  <si>
    <t>mut res prod 0402</t>
  </si>
  <si>
    <t>W04/20</t>
  </si>
  <si>
    <t>2P0404</t>
  </si>
  <si>
    <t>6980032</t>
  </si>
  <si>
    <t>mut res prod 0404</t>
  </si>
  <si>
    <t>2P0601</t>
  </si>
  <si>
    <t>6980039</t>
  </si>
  <si>
    <t>mut res prod 0601</t>
  </si>
  <si>
    <t>2P0610</t>
  </si>
  <si>
    <t>6980048</t>
  </si>
  <si>
    <t>mut res prod 0610</t>
  </si>
  <si>
    <t>2P0611</t>
  </si>
  <si>
    <t>6980049</t>
  </si>
  <si>
    <t>mut res prod 0611</t>
  </si>
  <si>
    <t>2P0617</t>
  </si>
  <si>
    <t>6980055</t>
  </si>
  <si>
    <t>mut res prod 0617</t>
  </si>
  <si>
    <t>2P0702</t>
  </si>
  <si>
    <t>6980059</t>
  </si>
  <si>
    <t>mut res prod 0702</t>
  </si>
  <si>
    <t>2P0901</t>
  </si>
  <si>
    <t>6980078</t>
  </si>
  <si>
    <t>mut res prod 0901</t>
  </si>
  <si>
    <t>2P0902</t>
  </si>
  <si>
    <t>6980079</t>
  </si>
  <si>
    <t>mut res prod 0902</t>
  </si>
  <si>
    <t>T57/81</t>
  </si>
  <si>
    <t>2P1001</t>
  </si>
  <si>
    <t>6980085</t>
  </si>
  <si>
    <t>mut res prod 1001</t>
  </si>
  <si>
    <t xml:space="preserve">Mutaties in de reserves  </t>
  </si>
  <si>
    <t>2P1011</t>
  </si>
  <si>
    <t>6980095</t>
  </si>
  <si>
    <t>mut res prod 1011</t>
  </si>
  <si>
    <t>T05/83</t>
  </si>
  <si>
    <t>is Lasten</t>
  </si>
  <si>
    <t>T42/43/61</t>
  </si>
  <si>
    <t>2P0508</t>
  </si>
  <si>
    <t>6980106</t>
  </si>
  <si>
    <t>mut res prod 0508</t>
  </si>
  <si>
    <t>2P1201</t>
  </si>
  <si>
    <t>6980111</t>
  </si>
  <si>
    <t>mut res prod 1201</t>
  </si>
  <si>
    <t>Taakveld T04 overhead</t>
  </si>
  <si>
    <t>2P1202</t>
  </si>
  <si>
    <t>6980112</t>
  </si>
  <si>
    <t>mut res prod 1202</t>
  </si>
  <si>
    <t>Taakveld T05 treasury</t>
  </si>
  <si>
    <t>Taakveld T010 mutaties reserves</t>
  </si>
  <si>
    <t>2P1210</t>
  </si>
  <si>
    <t>6980120</t>
  </si>
  <si>
    <t>mut res prod 1210</t>
  </si>
  <si>
    <t>Taakveld T21 verkeer en vervoer</t>
  </si>
  <si>
    <t>2P0705</t>
  </si>
  <si>
    <t>6980121</t>
  </si>
  <si>
    <t>mut res prod 0705</t>
  </si>
  <si>
    <t>Taakveld T52 sportaccommodaties</t>
  </si>
  <si>
    <t>T62</t>
  </si>
  <si>
    <t>2P0706</t>
  </si>
  <si>
    <t>6980122</t>
  </si>
  <si>
    <t>mut res prod 0706</t>
  </si>
  <si>
    <t>Taakveld T53 cultuur</t>
  </si>
  <si>
    <t>Taakveld T57 openbaar groen/(openlucht) recreatie</t>
  </si>
  <si>
    <t>Taakveld T73 afval</t>
  </si>
  <si>
    <t>Taakveld T74 milieubeheer</t>
  </si>
  <si>
    <t>is incl. W04/2020</t>
  </si>
  <si>
    <t>is Baten</t>
  </si>
  <si>
    <t>Taakveld T01 Bestuur en ondersteuning</t>
  </si>
  <si>
    <t>Taakveld T03 beheer overige gebouwen en gronden</t>
  </si>
  <si>
    <t>Taakveld T11 crisisbeheersing en brandweer</t>
  </si>
  <si>
    <t>Taakveld T12 openbare orde en veiligheid</t>
  </si>
  <si>
    <t>Taakveld T22 parkeren</t>
  </si>
  <si>
    <t>Taakveld T31 economische ontwikkeling</t>
  </si>
  <si>
    <t>Taakveld T42 onderwijshuisvesting</t>
  </si>
  <si>
    <t>Taakveld T43 onderwijsbeleid en leerlingenzaken</t>
  </si>
  <si>
    <t>Taakveld T56 media</t>
  </si>
  <si>
    <t xml:space="preserve">Taakveld T61 samenkracht en burgerparticipatie </t>
  </si>
  <si>
    <t>Taakveld T62 wijkteams</t>
  </si>
  <si>
    <t>Taakveld T63 inkomensregelingen</t>
  </si>
  <si>
    <t>Taakveld T65 arbeidsparticipatie</t>
  </si>
  <si>
    <t>Taakveld T66 maatwerkvoorzieningen WMO</t>
  </si>
  <si>
    <t>Taakveld T672</t>
  </si>
  <si>
    <t>Taakveld T674</t>
  </si>
  <si>
    <t>Taakveld T81 ruimtelijke ordening</t>
  </si>
  <si>
    <t>Taakveld T82 grondexploitatie</t>
  </si>
  <si>
    <t>Taakveld T83 wonen en bouwen</t>
  </si>
  <si>
    <t>controle</t>
  </si>
  <si>
    <t xml:space="preserve">Mutatie reserve taakveld 01 </t>
  </si>
  <si>
    <t>Reserveringen</t>
  </si>
  <si>
    <t xml:space="preserve">Mutatie reserve taakveld 03 </t>
  </si>
  <si>
    <t>Mutatie reserve taakveld 04</t>
  </si>
  <si>
    <t>Lasten en baten</t>
  </si>
  <si>
    <t>Mutatie reserve taakveld 05</t>
  </si>
  <si>
    <t>Mutatie reserve taakveld 010</t>
  </si>
  <si>
    <t>Mutatie reserve taakveld 11</t>
  </si>
  <si>
    <t>Mutatie reserve taakveld 12</t>
  </si>
  <si>
    <t>Mutatie reserve taakveld 21</t>
  </si>
  <si>
    <t>Mutatie reserve taakveld 22</t>
  </si>
  <si>
    <t>Mutatie reserve taakveld 31</t>
  </si>
  <si>
    <t>Mutatie reserve taakveld 42</t>
  </si>
  <si>
    <t>Mutatie reserve taakveld 43</t>
  </si>
  <si>
    <t>Mutatie reserve taakveld 52</t>
  </si>
  <si>
    <t>Mutatie reserve taakveld 53</t>
  </si>
  <si>
    <t>Mutatie reserve taakveld 56</t>
  </si>
  <si>
    <t>Mutatie reserve taakveld 57</t>
  </si>
  <si>
    <t>Mutatie reserve taakveld 61</t>
  </si>
  <si>
    <t>Mutatie reserve taakveld 62</t>
  </si>
  <si>
    <t>Mutatie reserve taakveld 63</t>
  </si>
  <si>
    <t>Mutatie reserve taakveld 65</t>
  </si>
  <si>
    <t>Mutatie reserve taakveld 66</t>
  </si>
  <si>
    <t>Taakveld 672a</t>
  </si>
  <si>
    <t>Taakveld 674a</t>
  </si>
  <si>
    <t>Mutatie reserve taakveld 73</t>
  </si>
  <si>
    <t>Mutatie reserve taakveld 74</t>
  </si>
  <si>
    <t>Baten en lasten</t>
  </si>
  <si>
    <t>Mutatie reserve taakveld 81</t>
  </si>
  <si>
    <t>Taakveld 82 grondexploitatie</t>
  </si>
  <si>
    <t>Taakveld 83 wonen en bouwen</t>
  </si>
  <si>
    <t>Taakveld 01 Bestuur</t>
  </si>
  <si>
    <t>Begroting 2026: samenwerking Best-Oirschot</t>
  </si>
  <si>
    <t>Begroting 2026: Staffunctie bestuur</t>
  </si>
  <si>
    <t>Begroting 2026: Regionale schaalsprong</t>
  </si>
  <si>
    <t>Totaal 87100 - taakveld 01</t>
  </si>
  <si>
    <t>Taakveld 03 beheer overige gebouwen en gronden</t>
  </si>
  <si>
    <t>Mutatie reserve product 0402 / taakveld 03</t>
  </si>
  <si>
    <t>Betreft een bijdrage uit de volgende dekkingsreserves:</t>
  </si>
  <si>
    <t>DR Molenstraat 1, molen (R314)</t>
  </si>
  <si>
    <t>DR  Molenstraat 1 restauratie (R344)</t>
  </si>
  <si>
    <t>DR Molenstraat 1, molen en bijgeb (R350)</t>
  </si>
  <si>
    <t>DR Kon Emmalaan 25 (R320)</t>
  </si>
  <si>
    <t>Bijdrage uit de VAR</t>
  </si>
  <si>
    <t>Begroting 2025: jur adm ondersteuning grond en vastgoed</t>
  </si>
  <si>
    <t>Totaal 87100 - taakveld 03</t>
  </si>
  <si>
    <t>Taakveld 04 overhead</t>
  </si>
  <si>
    <t>Mutaties reserve product 1203 / taakveld 04</t>
  </si>
  <si>
    <t>Storting in reserve:</t>
  </si>
  <si>
    <t>Egalisatiereserve ICT (R219)</t>
  </si>
  <si>
    <t>Totaal 47100 - taakveld 04</t>
  </si>
  <si>
    <t>Mutatie reserve product 1201 / taakveld 04</t>
  </si>
  <si>
    <t>Betreft bijdrage uit:</t>
  </si>
  <si>
    <t>Reserve gevolgen reorganisatie 2005 (R211)</t>
  </si>
  <si>
    <t>Mutatie reserves product 1202 / taakveld 04</t>
  </si>
  <si>
    <t>- DR gemeentehuis (R302)</t>
  </si>
  <si>
    <t>- DR verbouwing gemeentehuis (R315)</t>
  </si>
  <si>
    <t>- DR klimaatbeheersing 2e verd. gem.huis (R325)</t>
  </si>
  <si>
    <t>Mutatie reserves product 1203 / taakveld 04</t>
  </si>
  <si>
    <t>Mutatie reserves product 1210 / taakveld 04</t>
  </si>
  <si>
    <t>- DR bouw nieuwe werf (R304)</t>
  </si>
  <si>
    <t>kosten worden verdeeld</t>
  </si>
  <si>
    <t>Bijdragen uit de VAR</t>
  </si>
  <si>
    <t>Kaderbrief 2025 (04) formatie werkgeluk en vitaliteit</t>
  </si>
  <si>
    <t>Ombhuiging via KB 2026 formatie werkgeluk en vitaliteit</t>
  </si>
  <si>
    <t>Totaal 87100 - taakveld 04</t>
  </si>
  <si>
    <t>Taakveld 05 treasury</t>
  </si>
  <si>
    <t>Mutaties reserve product 1101 / taakveld 05</t>
  </si>
  <si>
    <t>Storting in vrije algemene reserve:</t>
  </si>
  <si>
    <t>Risicovergoeding verstrekte geldlening</t>
  </si>
  <si>
    <t>Totaal 47100 - taakveld 05</t>
  </si>
  <si>
    <t>Tot en met 2021 structurele dekking uit de reserve buitensportaccommodaties. Vanaf begroting 2022 dekking van bijdrage in rente en aflossing</t>
  </si>
  <si>
    <t>uit het begrotingssaldo, omdat dekking van structurele lasten uit reserves niet is toegestaan.</t>
  </si>
  <si>
    <t>Bijdragen uit de reserve buitensportaccommodaties (R220)</t>
  </si>
  <si>
    <t>- Dekking rente lening 165B Best Vooruit</t>
  </si>
  <si>
    <t xml:space="preserve">- Dekking aflossing lening 165B  Best Vooruit </t>
  </si>
  <si>
    <t>Totaal 87100 - taakveld 05</t>
  </si>
  <si>
    <t>Taakveld 010 mutaties reserves</t>
  </si>
  <si>
    <t>Mutatie reserve product 1102 / taakveld 010</t>
  </si>
  <si>
    <t>Stortingen in reserves:</t>
  </si>
  <si>
    <t>- Vrije algemene reserve (saldo res. gevolgen reorganisatie 2005)</t>
  </si>
  <si>
    <t>- Vrije algemene reserve (corr. boekwaarde DR Nazarethstraat 173)</t>
  </si>
  <si>
    <t>Totaal 47100 - taakveld 010</t>
  </si>
  <si>
    <t>Bijdragen uit reserves:</t>
  </si>
  <si>
    <t>- Reserve gevolgen reorganisatie 2005 (R211)</t>
  </si>
  <si>
    <t>W05/2025 inzet VAR tbv samenwerking Best-Oirschot</t>
  </si>
  <si>
    <t>Totaal 87100 - taakveld 010</t>
  </si>
  <si>
    <t>Taakveld 11 crisisbeheersing en brandweer</t>
  </si>
  <si>
    <t>Mutatie reserve product 0201 / taakveld 11</t>
  </si>
  <si>
    <t>- DR brandweerkazerne (R303)</t>
  </si>
  <si>
    <t>Totaal 87100 - taakveld 11</t>
  </si>
  <si>
    <t>Taakveld 12 openbare orde en veiligheid</t>
  </si>
  <si>
    <t>Bijdrage uit de vrije algemene reserve:</t>
  </si>
  <si>
    <t>Totaal 87100 - taakveld 12</t>
  </si>
  <si>
    <t>Taakveld T21 Verkeer en vervoer</t>
  </si>
  <si>
    <t>Mutatie reserve product 0302 / taakveld 21</t>
  </si>
  <si>
    <t>DR Slowlane (R351)</t>
  </si>
  <si>
    <t>DR openbare ruimte (R353)</t>
  </si>
  <si>
    <t>Mutatie reserve product 0304 / taakveld 21</t>
  </si>
  <si>
    <t>Bijdrage uit DR wegbeheer (R355)</t>
  </si>
  <si>
    <t>Bijdrage uit reserve wegbeheer R222 (tbv storting in DR)</t>
  </si>
  <si>
    <t>- 4.205 is t/m 2025</t>
  </si>
  <si>
    <t>1e Firap 2024 Bijdrage aan Brainport Knoop XL</t>
  </si>
  <si>
    <t>Begroting 2026: schaalsprong mobiliteit</t>
  </si>
  <si>
    <t>Totaal 87100 - taakveld 21</t>
  </si>
  <si>
    <t>Storting in DR wegbeheer R355 (tlv reserve wegbeheer)</t>
  </si>
  <si>
    <t>Totaal 47100 - taakveld 21</t>
  </si>
  <si>
    <t>Taakveld 22 parkeren</t>
  </si>
  <si>
    <t>Mutatie reserve product 2P0303 / taakveld 22</t>
  </si>
  <si>
    <t>Betreft een bijdrage uit:</t>
  </si>
  <si>
    <t>DR ondergrondse parkeergarage (dekking kapitaallasten).</t>
  </si>
  <si>
    <t>Totaal 87100 - taakveld 22</t>
  </si>
  <si>
    <t>Taakveld 31 economische ontwikkeling</t>
  </si>
  <si>
    <t>Mutatie reserve product 2P0404 / taakveld 31</t>
  </si>
  <si>
    <t>Bijdrage uit vrije algemene reserve</t>
  </si>
  <si>
    <t>Totaal 87100 - taakveld 31</t>
  </si>
  <si>
    <t>Taakveld 42 onderwijshuisvesting</t>
  </si>
  <si>
    <t>Mutatie reserve product 0508 / taakveld 42</t>
  </si>
  <si>
    <t>Basisscholen, betreft een bijdrage uit:</t>
  </si>
  <si>
    <t>DR Paardenhei 7, Antoniusschool (R317)</t>
  </si>
  <si>
    <t>DR Paardenhei 1, bouw Klimboom (R318)</t>
  </si>
  <si>
    <t>DR Paardenhei 1, uitbreiding Klimboom (R319)</t>
  </si>
  <si>
    <t>DR Vlinderhei 14, Antoniusschool (R334)</t>
  </si>
  <si>
    <t>DR MFA Dijkstraten (R339)</t>
  </si>
  <si>
    <t>R52</t>
  </si>
  <si>
    <t>DR Zwijssenstr. 85 Tweespan (R347)</t>
  </si>
  <si>
    <t>Voortgezet onderwijs, betreft een bijdrage uit:</t>
  </si>
  <si>
    <t>DR W de Zwijgerw 150, Heerbeeckcollege (R321)</t>
  </si>
  <si>
    <t xml:space="preserve">DR W de Zwijgerw 148, dep Heerbeeck (R323) </t>
  </si>
  <si>
    <t>DR W de Zwijgerw 150, aanpassingen (R337)</t>
  </si>
  <si>
    <t xml:space="preserve">DR W de Zwijgerw 150, 229 leerlingen (R338) </t>
  </si>
  <si>
    <t>DR W de Zwijgerw 150, 111 leerlingen (R343)</t>
  </si>
  <si>
    <t>DR Heerbeeck college verduurzaming (R361)</t>
  </si>
  <si>
    <t>Totaal 87100- taakveld 42</t>
  </si>
  <si>
    <t>Taakveld 43 onderwijsbeleid en leerlingenzaken</t>
  </si>
  <si>
    <t>Mutatie reserve product 0508 / taakveld 43</t>
  </si>
  <si>
    <t>Peuterspeelzalen, betreft bijdragen uit:</t>
  </si>
  <si>
    <t>Let op: staan op activastaat onder Taakveld 61</t>
  </si>
  <si>
    <t>DR Vlinderhei 12, Heuvelhummeltje (R313)</t>
  </si>
  <si>
    <t>DR J Verleunstraat 29, Hummeltje (R327)</t>
  </si>
  <si>
    <t>DR Zwijssenstraat 85, peuterspeelzaal (R348)</t>
  </si>
  <si>
    <t>Totaal 87100 - taakveld 43</t>
  </si>
  <si>
    <t>Taakveld 52 sportaccommodaties</t>
  </si>
  <si>
    <t>Mutatie reserve product 0608/0609 / taakveld 52</t>
  </si>
  <si>
    <t>Betreft een storting in:</t>
  </si>
  <si>
    <t xml:space="preserve">Reserve buitensportaccommodaties (R220) </t>
  </si>
  <si>
    <t>DR sportpark Naastenbest (R356) (tlv res. buitensportacc.)</t>
  </si>
  <si>
    <t>DR sportpark De Leemkuilen (R357) (tlv res. buitensportacc.)</t>
  </si>
  <si>
    <t>Totaal 47100 - taakveld 52</t>
  </si>
  <si>
    <t xml:space="preserve">Betreft een bijdrage uit de dekkingsreserve: </t>
  </si>
  <si>
    <t>- DR kunstgras Wilhelminaboys (R332)</t>
  </si>
  <si>
    <t>- DR buitensportaccommodaties (R340)</t>
  </si>
  <si>
    <t>Naastenbest</t>
  </si>
  <si>
    <t>- DR sportpark Naastenbest (R356):</t>
  </si>
  <si>
    <t xml:space="preserve">   afschrijvingskosten vervanging/renovatie</t>
  </si>
  <si>
    <t>Bijdrage uit reserve buitensportaccommodaties (R220)</t>
  </si>
  <si>
    <t>Betreft bijdragen uit de volgende dekkingsreserves:</t>
  </si>
  <si>
    <t>- DR herinrichting sportpark de Leemkuilen (R305)</t>
  </si>
  <si>
    <t>tot en met 2026</t>
  </si>
  <si>
    <t>- DR kunstgrasvelden MHCB (R331)</t>
  </si>
  <si>
    <t>- DR kunstgrasvelden Best Vooruit (R333)</t>
  </si>
  <si>
    <t>Leemkuilen</t>
  </si>
  <si>
    <t>- DR sportpark Leemkuilen (R357):</t>
  </si>
  <si>
    <t>Mutatie reserve product 0610 / taakveld 52</t>
  </si>
  <si>
    <t xml:space="preserve">Betreft een bijdrage uit: </t>
  </si>
  <si>
    <t>- DR Rendierhei 10 (R322)</t>
  </si>
  <si>
    <t>- DR Pr Beatrixlaan 27, fietsenstalling (R342)</t>
  </si>
  <si>
    <t>- DR Pr Beatrixlaan 27, uitbr sporthal (R336)</t>
  </si>
  <si>
    <t>- DR buitensport Wilhelmina boys toplaag en ondergrond (R360)</t>
  </si>
  <si>
    <t>Mutatie reserve product 06.11 / taakveld 52</t>
  </si>
  <si>
    <t>- DR J van Wassenaarstr 70, ZIB (R310)</t>
  </si>
  <si>
    <t>Totaal 87100 - taakveld 52</t>
  </si>
  <si>
    <t>Taakveld 53 cultuur</t>
  </si>
  <si>
    <t>Mutatie reserves taakveld 53</t>
  </si>
  <si>
    <t>Algemene culturele reserve (R201)</t>
  </si>
  <si>
    <t>Totaal 47100 - taakveld 53</t>
  </si>
  <si>
    <t>Taakveld 56 media</t>
  </si>
  <si>
    <t>Mutatie reserve product 0601 / taakveld 56</t>
  </si>
  <si>
    <t>DR W de Zwijgerw 150, dep bibliotheek (R346)</t>
  </si>
  <si>
    <t>Totaal 87100 - taakveld 56</t>
  </si>
  <si>
    <t>Taakveld 57 openbaar groen/ (openlucht)recreatie</t>
  </si>
  <si>
    <t>Mutatie reserve product 2P0313 / taakveld 57</t>
  </si>
  <si>
    <t>Storting in de reserve vervanging groen (R224)</t>
  </si>
  <si>
    <t>Storting in de DR vervanging groen (R358) tlv res verv. groen</t>
  </si>
  <si>
    <t>Storting in Reserve speelelementen (R223)</t>
  </si>
  <si>
    <t>Stortingen in Reserve landschapsinvesteringsregelingen (R228)</t>
  </si>
  <si>
    <t>- LIR (afdr. natuurcomp. Aarlesche Erven)</t>
  </si>
  <si>
    <t>Totaal 47100 - taakveld 57</t>
  </si>
  <si>
    <t>Bijdrage uit de DR vervanging groen (R358)</t>
  </si>
  <si>
    <t>Bijdrage uit de reserve verv groen (R224) tbv storting DR</t>
  </si>
  <si>
    <t>Bijdrage uit Reserve speelelementen (R223)</t>
  </si>
  <si>
    <t>Bijdrage LIR (R228)</t>
  </si>
  <si>
    <t>Totaal 87100 - taakveld 57</t>
  </si>
  <si>
    <t xml:space="preserve">Taakveld 61 samenkracht en burgerparticipatie </t>
  </si>
  <si>
    <t>Mutatie reserve product 0508 / taakveld 61</t>
  </si>
  <si>
    <t>Kinderopvang, betreft bijdrage uit:</t>
  </si>
  <si>
    <t>DR Zwijssenstraat 85, kinderopvang (R349)</t>
  </si>
  <si>
    <t>Bijdrage uit 'DR Vlinderhei 16, buurtcentrum (R335)</t>
  </si>
  <si>
    <t>Totaal 87100 - taakveld 61</t>
  </si>
  <si>
    <t>Taakveld 62 wijkteams</t>
  </si>
  <si>
    <t>Mutatie reserve product 2P0706 / taakveld 62</t>
  </si>
  <si>
    <t>Betreft een bijdrage uit de volgende reserves:</t>
  </si>
  <si>
    <t>DR Nazarethstraat 173, Bestwijzer aankoop (R330)</t>
  </si>
  <si>
    <t>DR Nazarethstraat 173, correctie boekwaarde naar VAR (R330)</t>
  </si>
  <si>
    <t>DR Nazarethstraat 173, verbouwing Best Wijzer (R341)</t>
  </si>
  <si>
    <t>Totaal 87100 - taakveld 62</t>
  </si>
  <si>
    <t>Taakveld 63 inkomensregelingen</t>
  </si>
  <si>
    <t>Bijdrage uit reserve sociaal domein (R209)</t>
  </si>
  <si>
    <t xml:space="preserve">- Kaderbrief 2025 (12) armoederegisseur </t>
  </si>
  <si>
    <t>Begroting 2025 (12) armoederegissuer</t>
  </si>
  <si>
    <t xml:space="preserve">W01-2025, correctie armoederegisseur </t>
  </si>
  <si>
    <t>Totaal 87100 - taakveld 63</t>
  </si>
  <si>
    <t>Taakveld 65 arbeidsparticipatie</t>
  </si>
  <si>
    <t>- Transformatie Sociaal Domein (kaderbrief 2021)</t>
  </si>
  <si>
    <t>Totaal 87100 - taakveld 65</t>
  </si>
  <si>
    <t>Taakveld 66 maatwerkvoorzieningen WMO</t>
  </si>
  <si>
    <t>Kaderbrief 2025 (15) strategisch adviseur maatschappij</t>
  </si>
  <si>
    <t>Begroting 2025 (15) strategisch adviseur maatschappij</t>
  </si>
  <si>
    <t>W01-2025 corr strtategisch adviseur maatschappij</t>
  </si>
  <si>
    <t>Totaal 87100 - taakveld 66</t>
  </si>
  <si>
    <t xml:space="preserve">Taakveld 672a jeugdhulp begeleiding </t>
  </si>
  <si>
    <t>Bijdrage uit de var (R004)</t>
  </si>
  <si>
    <t>Kaderbrief 2025 (16) uitbreiding jongerenwerk</t>
  </si>
  <si>
    <t>Begroting 2025 (16) uitbreiding jongerenwerk</t>
  </si>
  <si>
    <t>Totaal 87100 - taakveld 672a</t>
  </si>
  <si>
    <t>Taakveld 674a jeugdbehandeling ggz</t>
  </si>
  <si>
    <t>Kaderbrief 2025 (17) inz schoolmaatsch werk</t>
  </si>
  <si>
    <t>Begroting 2025 (17) inz schoolmaatsch werk</t>
  </si>
  <si>
    <t>Totaal 87100 - taakveld 674a</t>
  </si>
  <si>
    <t>Taakveld 73 afval</t>
  </si>
  <si>
    <t>Mutatie reserves product 0901 / taakveld 73</t>
  </si>
  <si>
    <t>Egalisatiereserve afvalverwijdering (R101)</t>
  </si>
  <si>
    <t>Totaal 47100 - taakveld 73</t>
  </si>
  <si>
    <t>DR afvalverwijdering (R353)</t>
  </si>
  <si>
    <t>Totaal 87100 - taakveld 73</t>
  </si>
  <si>
    <t>Taakveld 74 milieubeheer</t>
  </si>
  <si>
    <t>Kaderbrief 2025 (18a) energiearmoede-coaches</t>
  </si>
  <si>
    <t>Kaderbrief 2025 (18b) energiearmoede-witgoedactie</t>
  </si>
  <si>
    <t>Kaderbrief 2025 (19b) energiehubs overige kosten</t>
  </si>
  <si>
    <t>Begroting 2025 (18a) energiearmoede-coaches</t>
  </si>
  <si>
    <t>Begroting 2025 (19b) energiehubs overige kosten</t>
  </si>
  <si>
    <t>Totaal 87100 - taakveld 74</t>
  </si>
  <si>
    <t>Taakveld 74 miieubeheer</t>
  </si>
  <si>
    <t>Mutaties taakveld 74</t>
  </si>
  <si>
    <t>Storting tbv duurzaameid (aanpak energiearmoede)</t>
  </si>
  <si>
    <t>Totaal 47100 - taakveld 74</t>
  </si>
  <si>
    <t>Taakveld 81 ruimtelijke ordening</t>
  </si>
  <si>
    <t>Mutatie reserve product 1001 / taakveld 81</t>
  </si>
  <si>
    <t>Begroting 2026: Visie dorpsplein en omgeving</t>
  </si>
  <si>
    <t>Begroting 2026: Actualisatie omgevingsvisie</t>
  </si>
  <si>
    <t>Kaderbrief 2025 (22) gebiedsontwikkeling stationsomg)</t>
  </si>
  <si>
    <t>Begroting 2025 (23) medewerker ruimtelijke kwaliteit</t>
  </si>
  <si>
    <t>Totaal 87100 - taakveld 81</t>
  </si>
  <si>
    <t>Mutatie reserve product 1011 / taakveld 82</t>
  </si>
  <si>
    <t>Bijdrage uit de risicoreserve grondexploitaties (R226):</t>
  </si>
  <si>
    <t>G0101</t>
  </si>
  <si>
    <t>dotatie voorziening nadelig saldo Dijkstraten</t>
  </si>
  <si>
    <t>G0201</t>
  </si>
  <si>
    <t>dotatie voorziening nadelig saldo Aarlesche Erven</t>
  </si>
  <si>
    <t>G0301</t>
  </si>
  <si>
    <t>dotatie voorziening nadelig saldo Steegsche velden oost</t>
  </si>
  <si>
    <t>G0401</t>
  </si>
  <si>
    <t>dotatie voorziening nadelig saldo Centrumplan</t>
  </si>
  <si>
    <t>G</t>
  </si>
  <si>
    <t>dotatie voorziening nadelig saldo Molenstraat</t>
  </si>
  <si>
    <t>G0601</t>
  </si>
  <si>
    <t>dotatie voorziening nadelig saldo Steegsche Velden Noord</t>
  </si>
  <si>
    <t>Totaal 87100 - taakveld 82</t>
  </si>
  <si>
    <t>Mutaties reserve product 1101 / taakveld 83</t>
  </si>
  <si>
    <t>- Woningbouwversnelling (kaderbrief 2021)</t>
  </si>
  <si>
    <t>- Tijdelijke uitbreiding handhavingscapaciteit (Kaderbrief 2022)</t>
  </si>
  <si>
    <t>Begroting 2026: schaalsprong woningbouw</t>
  </si>
  <si>
    <t>Totaal 87100 - taakveld 83</t>
  </si>
  <si>
    <t>T011 Resultaat van de rekening van baten en lasten</t>
  </si>
  <si>
    <t>Directe toerekening resultaat rekening</t>
  </si>
  <si>
    <t>Rekeningsaldo</t>
  </si>
  <si>
    <t>Integrale Veiligheid</t>
  </si>
  <si>
    <t>Uitvoering</t>
  </si>
  <si>
    <t>Crisisbeheersing</t>
  </si>
  <si>
    <t>Veiligheidsregio Brabant-Zuidoost</t>
  </si>
  <si>
    <t>Berekening gevolgen Kadernota 2027 VRBZO voor de begroting vanaf 2027 Best</t>
  </si>
  <si>
    <t>Inkomensoverdrachten aan GR-en</t>
  </si>
  <si>
    <t>Onderwerp</t>
  </si>
  <si>
    <t>Brandweerkazerne</t>
  </si>
  <si>
    <t>A. Begroting Best</t>
  </si>
  <si>
    <t>Vastgestelde begroting Best-november 2025 (incl index)</t>
  </si>
  <si>
    <t>Ramingen begroting 2026 gemeente Best</t>
  </si>
  <si>
    <t>Onderhoudsvoorzieningen (O104)</t>
  </si>
  <si>
    <t>B. Kadernota 2027 VRBZO</t>
  </si>
  <si>
    <t>Bijdrage obv Kadernota 2027 VRBZO, incl bestuursopdr.</t>
  </si>
  <si>
    <t>Bij indexering Best (1,0347)</t>
  </si>
  <si>
    <t>Lokale binding regionale brandweer</t>
  </si>
  <si>
    <t>Verwachte bijdragen obv Kadernota 2027 VRBZO:</t>
  </si>
  <si>
    <t>Tekort (1e firap 2026 / Kadernota Best 2027):</t>
  </si>
  <si>
    <t>Directe toerekening crisisbeheersing en brandweer</t>
  </si>
  <si>
    <t>* Basis voor onze meerjarenraming is overal onze eigen meerjarige gewogen index (lonen en prijzen)</t>
  </si>
  <si>
    <t>- noodnet, gemeentehuis, kosten oefeningen,</t>
  </si>
  <si>
    <t xml:space="preserve">  opleidingen</t>
  </si>
  <si>
    <t>- budget voor multidisiplinaire oefeningen (1x per 4 jaar)</t>
  </si>
  <si>
    <t>2031 weer opvoeren</t>
  </si>
  <si>
    <t>- onderhoud WIFI netwerk in de sporthal</t>
  </si>
  <si>
    <t>Bijdragen op basis van begroting 2025 VRBZO, versie 1.1., Best betaalt 3,39% van de totale inwonerbijdrage aan de VRBZO.</t>
  </si>
  <si>
    <t>A:</t>
  </si>
  <si>
    <t>Algemene gemeentelijke bijdrage aan de VRBZO:</t>
  </si>
  <si>
    <t>Bijdrage 2025</t>
  </si>
  <si>
    <t>W02/25</t>
  </si>
  <si>
    <t>Best</t>
  </si>
  <si>
    <t>Bijdrage 2026</t>
  </si>
  <si>
    <t>Bijdrage 2027</t>
  </si>
  <si>
    <t>Bijdrage 2028</t>
  </si>
  <si>
    <t>Bijdrage 2029</t>
  </si>
  <si>
    <t>Totaal:</t>
  </si>
  <si>
    <t>Budgetten lokale binding vrijwilligers brandweer</t>
  </si>
  <si>
    <t>- Kerstpakketten:</t>
  </si>
  <si>
    <t>W de Zwijgerweg 1a (Brandweerkazerne)</t>
  </si>
  <si>
    <t>Huurprijs brandweerkazerne</t>
  </si>
  <si>
    <t>Totaal 842201</t>
  </si>
  <si>
    <t>- Regie en Ontwikkeling</t>
  </si>
  <si>
    <t>- Beheer</t>
  </si>
  <si>
    <t>- Team ruimtelijke ontw (gem gebouwen)</t>
  </si>
  <si>
    <t>- Team inwoners en veligheid</t>
  </si>
  <si>
    <t>Voorzieningen voor BOA's</t>
  </si>
  <si>
    <t>Belastingen</t>
  </si>
  <si>
    <t>Brandstoffen</t>
  </si>
  <si>
    <t>Overige goederen en diensten (autolasten)</t>
  </si>
  <si>
    <t>RIEC</t>
  </si>
  <si>
    <t>Inkomensoverdrachten ov overheid</t>
  </si>
  <si>
    <t>Veiligheidshuis Brabant-Zuidoost</t>
  </si>
  <si>
    <t>Integrale overheidshandhaving</t>
  </si>
  <si>
    <t>Veiligheidsprojecten</t>
  </si>
  <si>
    <t>Externe veiligheid</t>
  </si>
  <si>
    <t>Veiligheidsfonds</t>
  </si>
  <si>
    <t>Directe toerekening openbare orde en veiligheid</t>
  </si>
  <si>
    <t>Geluidsadvies/-metingen evenementen</t>
  </si>
  <si>
    <t>Toepassing bestuursdwang ontruiming</t>
  </si>
  <si>
    <t>Ondermijning en bibob</t>
  </si>
  <si>
    <t>Leges algemeen (titel 1)</t>
  </si>
  <si>
    <t>Leges en overige rechten</t>
  </si>
  <si>
    <t>Directe toerekening vergunningen (titel 1)</t>
  </si>
  <si>
    <t>Directe toerekening vergunningen (titel 3)</t>
  </si>
  <si>
    <t>Dierenopvang</t>
  </si>
  <si>
    <t>Leges overige  (titel 3)</t>
  </si>
  <si>
    <t>Leges horeca (titel 3)</t>
  </si>
  <si>
    <t>Leges evenementen (titel 3)</t>
  </si>
  <si>
    <t xml:space="preserve">De BOA's (buitengewoon opsporings ambtenaar) zijn ambtenaren in dienst van de gemeente. Dit wordt praktisch zo ingevuld, dat vooraf omschreven is welke taken de BOA moet verrichten. </t>
  </si>
  <si>
    <t>De dagelijkse operationele aansturing / invulling geschiedt door de gemeente in nauwe samenwerking met de politie. Dit is om de handhaving van de BOA en de politie direct op elkaar aan te laten sluiten, conform de prioriteiten van het Integraal Veiligheidsplan en het integraal toezicht- en handhavingsbeleid.</t>
  </si>
  <si>
    <t>De hoofdtaken van de BOA's zijn:</t>
  </si>
  <si>
    <t>- toezicht op en handhaving van een aantal bepalingen in de Algemene Plaatselijke Verordening;</t>
  </si>
  <si>
    <t>- toezicht op en handhaving van het Wetboek van Strafrecht;</t>
  </si>
  <si>
    <t>- waarneming en handhaving van de rechtsorde in de openbare ruimte;</t>
  </si>
  <si>
    <t>- toezicht houden op risicogebieden zoals het winkelgebied, de horeca en het station;</t>
  </si>
  <si>
    <t>- het positief beinvloeden van het gedrag van burgers.</t>
  </si>
  <si>
    <t>Brandstof boa-voertuig P-058-F</t>
  </si>
  <si>
    <t>Bijdrage huisvestingskosten politiebureau</t>
  </si>
  <si>
    <t>- Citycontrol licenties (Sigmax)</t>
  </si>
  <si>
    <t>- Hackshield (2025 t/m 2028)</t>
  </si>
  <si>
    <t>- Natuurnetwerk, werkgroep en licenties</t>
  </si>
  <si>
    <t xml:space="preserve">- C2000 verbindingssysteem/aansluiting netwerk </t>
  </si>
  <si>
    <t>- onderhoud voertuigen BOA's</t>
  </si>
  <si>
    <t>- kleding en materialen boa's</t>
  </si>
  <si>
    <t>- diverse kleine uitgaven</t>
  </si>
  <si>
    <t>Regionaal Informatie en Expertise Centrum (RIEC)</t>
  </si>
  <si>
    <t>Betreft een bijdrage voor ondersteuning aanpak georganiseerde ondermijnende criminaliteit</t>
  </si>
  <si>
    <t xml:space="preserve">Regionaal Informatie en Expertise Centrum </t>
  </si>
  <si>
    <t>Aanvullende bijdrage RIEC</t>
  </si>
  <si>
    <t xml:space="preserve">Lasten </t>
  </si>
  <si>
    <t xml:space="preserve">Kosten veiligheidshuis </t>
  </si>
  <si>
    <t>Veiligheidsacties ism politie en andere hulpdiensten</t>
  </si>
  <si>
    <t>Kosten burgernet</t>
  </si>
  <si>
    <t>Abonnement digitale service Wet BOPZ</t>
  </si>
  <si>
    <t>Kosten ihkv de Wet Anti Discriminatievoorzieningen</t>
  </si>
  <si>
    <t>Khonraad- uitvoering Wvggz</t>
  </si>
  <si>
    <t>Wet Wvggz</t>
  </si>
  <si>
    <t xml:space="preserve">De burgemeester heeft op grond van de Wet Bijzondere opnemingen in psychiatrische ziekenhuizen (Wet bopz) de bevoegdheid om burgers gedwongen op te laten nemen in een instelling. Om deze bevoegdheid te allen tijden te kunnen uitoefenen is een abonnement op een digitale service noodzakelijk. </t>
  </si>
  <si>
    <t>Veiligheidsprojecten jeugd</t>
  </si>
  <si>
    <t>W01-24 septembercirc intgr uitk veilig wonen</t>
  </si>
  <si>
    <t>Veiliger en leefbaarder Best (2026 incl ingr. Veilig wonen)</t>
  </si>
  <si>
    <t>Kosten woningontruimingen (gerelateerd aan veiligheid)</t>
  </si>
  <si>
    <t>Werkzaamheden externe veiligheid</t>
  </si>
  <si>
    <t>Betreft inhuur van ODZOB personeel</t>
  </si>
  <si>
    <t xml:space="preserve">Betreft een bijdrage aan de gemeente Eindhoven van € 0,25 per inwoner ter financiering van regionale projecten (regio Oost Brabant, 41 gemeenten) in het kader van de integrale veiligheid. </t>
  </si>
  <si>
    <t>1-1-2025</t>
  </si>
  <si>
    <t>1-1-2026</t>
  </si>
  <si>
    <t>1-1-2027</t>
  </si>
  <si>
    <t>1-1-2028</t>
  </si>
  <si>
    <t>1-1-2029</t>
  </si>
  <si>
    <t>Totaal 44320</t>
  </si>
  <si>
    <t xml:space="preserve">Betreft advisering ter voorkoming van geluidsoverlast bij evenementen </t>
  </si>
  <si>
    <t>en metingen voor handhaving geluid bij evenementen in het kader van de APV.</t>
  </si>
  <si>
    <t>Kosten van opvang voor dieren</t>
  </si>
  <si>
    <t>Met ingang van 2010 is de volledige dienstverlening overgenomen door de Dierenbescherming Brabant Zuid-Oost.</t>
  </si>
  <si>
    <t>Aantal inwoners aanpassen: 2026 = 1-1-2025</t>
  </si>
  <si>
    <t xml:space="preserve"> inwoners in 2025 ad</t>
  </si>
  <si>
    <t xml:space="preserve"> inwoners in 2026 ad</t>
  </si>
  <si>
    <t xml:space="preserve"> inwoners in 2027 ad</t>
  </si>
  <si>
    <t xml:space="preserve"> inwoners in 2028 ad</t>
  </si>
  <si>
    <t xml:space="preserve"> inwoners in 2029 ad</t>
  </si>
  <si>
    <t xml:space="preserve">Toepassing bestuursdwang bij ontruiming </t>
  </si>
  <si>
    <t>Ingevolge de wettelijke bepalingen inzake bestuursdwang (o.m. Awbg, art 5:21 t/m 5:31) zijn gemeenten in voorkomende gevallen verplicht zorg te dragen voor de afvoer en opslag van goederen die bij woningontruimingen op de openbare weg gezet worden. Gemiddeld doet deze situatie zich 4x per jaar voor. De kosten zijn te verhalen op de opdrachtgever voor de ontruiming (verhuurder) en de eigenaar van de inboedel (huurder). De kosten zijn mede afhankelijk van de uiteindelijke bestemming van de goederen. Er is daarom op voorhand geen accurate kostenspecificatie te geven. Afhankelijk van de situatie, kunnen de volgende kosten van toepassing zijn:</t>
  </si>
  <si>
    <t>Kosten bestuursdwang ontruimingen</t>
  </si>
  <si>
    <t>Budget inhuur ondermijning en wet Bibop*</t>
  </si>
  <si>
    <t>* Vanaf 2026 wordt € 12.000 ingezet voor integrale overheidshandhaving.</t>
  </si>
  <si>
    <t>Overige kosten inzake ondermijning en bibob</t>
  </si>
  <si>
    <t>Directe toerekening oov (incl. Bibob)</t>
  </si>
  <si>
    <t>- Team Vergunningen, toezicht en handhaving</t>
  </si>
  <si>
    <t>Forse toename tov 2025 (aangehouden cf urenverdeling Joldy)</t>
  </si>
  <si>
    <t>- Team ondersteuning, jeugd en WMO</t>
  </si>
  <si>
    <t>Inhuur medewerker Veiligheid</t>
  </si>
  <si>
    <t>(collegebesluit dd 20-8-2025, IN25-01615)</t>
  </si>
  <si>
    <t>Directe toerekening vergunningen titel 1</t>
  </si>
  <si>
    <t>- Team vergunningen, toezicht en handhaving</t>
  </si>
  <si>
    <t>Directe toerekening vergunningen titel 3</t>
  </si>
  <si>
    <t>Betreft apparaatskosten m.b.t. titel 3 legesverordening:</t>
  </si>
  <si>
    <t>- vergunningverlening/melding/ontheffingen Drank- en Horecawet</t>
  </si>
  <si>
    <t>- vergunningverlening evenementen/snuffelmarkten cf Apv</t>
  </si>
  <si>
    <t>- overige vergunningverlening conform titel 3 legesverord.</t>
  </si>
  <si>
    <t>Secretarieleges titel 1 legesverordening</t>
  </si>
  <si>
    <t>Betreft berekende leges voor diverse vergunningen / ontheffingen.</t>
  </si>
  <si>
    <t>Overgebracht naar secretarieleges titel 3</t>
  </si>
  <si>
    <t>Secretarieleges titel 3 horeca</t>
  </si>
  <si>
    <t>Betreft berekende leges voor vergunningverlening/melding/</t>
  </si>
  <si>
    <t>ontheffingen Drank- en Horecawet (Hoofdstuk 1, Titel 3 legesverord.)</t>
  </si>
  <si>
    <t>Secretarieleges titel 3 evenementen/markten</t>
  </si>
  <si>
    <t>Betreft berekende leges voor vergunningverlening</t>
  </si>
  <si>
    <t>evenementen/snuffelmarkten cf Apv (Hfd 2, Titel 3 legesverord.)</t>
  </si>
  <si>
    <t>Secretarieleges titel 3 overige</t>
  </si>
  <si>
    <t>De programmaleider van het Kempeninterventie wordt voor 84% doorbelast aan 7 andere deelnemende gemeenten. De programmaleider is bij de gemeente Best opgenomen in de formatie.</t>
  </si>
  <si>
    <t>Vergoeding programmaleider</t>
  </si>
  <si>
    <t>Tabel indirecte kosten (obv opslagpercentages programma 12)</t>
  </si>
  <si>
    <t>A. Product 02.02 Vergunningen, titel 1</t>
  </si>
  <si>
    <t>Directe loonkosten titel 1</t>
  </si>
  <si>
    <t>Totale directe toerekeningen</t>
  </si>
  <si>
    <t>Uitwerking kostendekking (direct + indirect), titel 1:</t>
  </si>
  <si>
    <t>Lasten:</t>
  </si>
  <si>
    <t>Total directe lasten product:</t>
  </si>
  <si>
    <t>B. Product 02.02 Vergunningen, titel 3</t>
  </si>
  <si>
    <t>Saldo directe loonkosten (titel 3)</t>
  </si>
  <si>
    <t>Uitwerking kostendekking (direct + indirect), titel 3:</t>
  </si>
  <si>
    <t xml:space="preserve">        </t>
  </si>
  <si>
    <t>03. Verkeer en openbare ruimte</t>
  </si>
  <si>
    <t>straatnaamgev/nummer</t>
  </si>
  <si>
    <t>waarschuwbrd/wegwijz</t>
  </si>
  <si>
    <t>maatr veilig verkeer</t>
  </si>
  <si>
    <t>verkeerslichtinstall</t>
  </si>
  <si>
    <t>verkeerstellingen</t>
  </si>
  <si>
    <t>bereikbaarheidsagend</t>
  </si>
  <si>
    <t>ov verkeersmaatreg</t>
  </si>
  <si>
    <t>mensger verkeerseduc</t>
  </si>
  <si>
    <t>infrastr verkeersmtr</t>
  </si>
  <si>
    <t>onderhoud wegen</t>
  </si>
  <si>
    <t>gladheidbestrijding</t>
  </si>
  <si>
    <t>maken van inritten</t>
  </si>
  <si>
    <t>straatverlichting</t>
  </si>
  <si>
    <t>reiniging excl huisv</t>
  </si>
  <si>
    <t>Bijdrage Brainport "Knoop XL"</t>
  </si>
  <si>
    <t>bijd knoop xl brainp</t>
  </si>
  <si>
    <t>Doorbelasting werf,vervoer</t>
  </si>
  <si>
    <t>dbl overhead wegen</t>
  </si>
  <si>
    <t>prog duurz mobilit</t>
  </si>
  <si>
    <t>dir toerek verk/verv</t>
  </si>
  <si>
    <t>dir toerek inritten</t>
  </si>
  <si>
    <t>dir toerek str rein</t>
  </si>
  <si>
    <t>Straatnaamgeving en huisnummering</t>
  </si>
  <si>
    <t>Waarschuwingsborden en wegwijzers</t>
  </si>
  <si>
    <t>Maatregelen t.b.v. veilig verkeer</t>
  </si>
  <si>
    <t>Verkeersregelinstallaties</t>
  </si>
  <si>
    <t>Elektriciteitsverbruik</t>
  </si>
  <si>
    <t>Verkeerstellingen</t>
  </si>
  <si>
    <t>Bereikbaarheidsagenda</t>
  </si>
  <si>
    <t>Overige verkeersmaatregelen</t>
  </si>
  <si>
    <t>Mensgerichte verkeersmaatregelen</t>
  </si>
  <si>
    <t>Infrastructurele verkeersmaatregelen</t>
  </si>
  <si>
    <t>Onderhoud wegen</t>
  </si>
  <si>
    <t>Overige goederen en diensten binnen de kom</t>
  </si>
  <si>
    <t>Onderhoud wegen, parkstrook A2</t>
  </si>
  <si>
    <t>Bestrijding gladheid van wegen</t>
  </si>
  <si>
    <t>Afschrijvingen (gladheidsbestrijding)</t>
  </si>
  <si>
    <t>Het maken van inritten</t>
  </si>
  <si>
    <t>Uitbestede investeringen</t>
  </si>
  <si>
    <t>Straatverlichting</t>
  </si>
  <si>
    <t>Elektriciteit (verbruik+netwerkkosten)</t>
  </si>
  <si>
    <t>Reiniging openbare ruimte</t>
  </si>
  <si>
    <t xml:space="preserve">Inhuur personeel WSD </t>
  </si>
  <si>
    <t>Verwijderen van grafitti</t>
  </si>
  <si>
    <t>Inkomensoverdrachten provincie</t>
  </si>
  <si>
    <t>Mensgerichte verkeerseducatie</t>
  </si>
  <si>
    <t>Wegen binnen de bebouwde kom</t>
  </si>
  <si>
    <t>Doorbelasting Overhead</t>
  </si>
  <si>
    <t>Werf</t>
  </si>
  <si>
    <t>Vervoermiddelen</t>
  </si>
  <si>
    <t>Schaalsprong mobiliteit</t>
  </si>
  <si>
    <t>Stelpost schaalsprong</t>
  </si>
  <si>
    <t>Directe toerekening verkeer en vervoer</t>
  </si>
  <si>
    <t xml:space="preserve">Salarissen </t>
  </si>
  <si>
    <t>Team beheer buiten</t>
  </si>
  <si>
    <t>Correctie 2023 Medew beheer openbare ruimte / vac.</t>
  </si>
  <si>
    <t>Correctie 2024 Medew beheer openbare ruimte / vac.</t>
  </si>
  <si>
    <t>Salarissen ondersteuning</t>
  </si>
  <si>
    <t>Salarissen uitvoering</t>
  </si>
  <si>
    <t>Salarissen regie en ontwikkeling</t>
  </si>
  <si>
    <t>Salarissen doorber. Investering</t>
  </si>
  <si>
    <t>Afschrijving doorber. van T04</t>
  </si>
  <si>
    <t>Directe toerekening inritten</t>
  </si>
  <si>
    <t>Directe toerekening straatreiniging</t>
  </si>
  <si>
    <t>team beheer buiten</t>
  </si>
  <si>
    <t>Het in stand houden van een duidelijke, uniforme en herkenbare straatnaamgeving. Bij nieuwe bestemmingsplannen wordt de aankoop en plaatsing opgenomen in de exploitatie.</t>
  </si>
  <si>
    <t xml:space="preserve">aankoop- en vervanging van straatnaamborden en </t>
  </si>
  <si>
    <t>huisnummers</t>
  </si>
  <si>
    <t>Budget, waaronder:</t>
  </si>
  <si>
    <t>- Reparatie vervanging waarschuw/verkeersborden</t>
  </si>
  <si>
    <t>- Aanpassen NBD (ANWB) bewegwijzering</t>
  </si>
  <si>
    <t>- Overige werken en leveringen door derden</t>
  </si>
  <si>
    <t>Maatregelen zijn o.a. :</t>
  </si>
  <si>
    <t>- Trekken verkeersstrepen en aanbr wegmarkeringen</t>
  </si>
  <si>
    <t>- Maatregelen bescherming voetgangers</t>
  </si>
  <si>
    <t>Verkeerslichtinstallaties</t>
  </si>
  <si>
    <t>Voetgangersoversteekplaatsen:</t>
  </si>
  <si>
    <t>- Ringweg / Mecklenburgweg</t>
  </si>
  <si>
    <t>- Raadhuisstraat</t>
  </si>
  <si>
    <t>- Bataweg / Batabrug</t>
  </si>
  <si>
    <t>- Prins Bernhardlaan (2x)</t>
  </si>
  <si>
    <t>- Eindhovenseweg-Zuid / Kanaaldijk / NCB-weg</t>
  </si>
  <si>
    <t>- Eindhovenseweg-Zuid / Terraweg / De Dieze</t>
  </si>
  <si>
    <t>- Eindhovenseweg-Zuid / Ploegstraat</t>
  </si>
  <si>
    <t>- Eindhovenseweg-Zuid / Materiaalweg / IBC-weg</t>
  </si>
  <si>
    <t>- Eindhovenseweg-Zuid / W. de Zwijgerweg / Oude Rijksweg</t>
  </si>
  <si>
    <t>- Ringweg / Erica</t>
  </si>
  <si>
    <t>- Ringweg / A58 (noord)</t>
  </si>
  <si>
    <t>- Tunnel Monnikenweg</t>
  </si>
  <si>
    <t>- onderhoud (incl. schilderwerk)</t>
  </si>
  <si>
    <t>- verkeerskundig beheer</t>
  </si>
  <si>
    <t>Onderhoud verkeerstellers, vervanging telslangen en aanschaf materiaal</t>
  </si>
  <si>
    <t>- Governance bereikbaarheidsagenda</t>
  </si>
  <si>
    <t>- Voorbereiding en onderzoek</t>
  </si>
  <si>
    <t xml:space="preserve">  bereikbaarheidsagenda</t>
  </si>
  <si>
    <t>- Generieke maatregelen bereikbaarheidsagenda</t>
  </si>
  <si>
    <t xml:space="preserve">- A2 - regionale mobiliteitshubs </t>
  </si>
  <si>
    <t>Overige kosten tbv algemene verkeersmaatregelen</t>
  </si>
  <si>
    <t>Het betreft bijdragen aan projecten in het kader van de verkeersveiligheid. De gemeente heeft hierin een ondersteunende taak. Op initiatief van derden (onder meer VVN) worden projecten in het kader van de mensgerichte verkeersveiligheid georganiseerd.</t>
  </si>
  <si>
    <t>Er is rekening gehouden met de volgende projecten:</t>
  </si>
  <si>
    <t>Projecten in het kader van verkeersveiligheid oa</t>
  </si>
  <si>
    <t>Basisonderwijs</t>
  </si>
  <si>
    <t>Voortgezet onderwijs Heerbeeckcollege</t>
  </si>
  <si>
    <t>VVN, en overige instanties</t>
  </si>
  <si>
    <t>Infrastructurele Verkeersmaatregelen</t>
  </si>
  <si>
    <t>tbv oa verkeersveiligheid, parkeren ed</t>
  </si>
  <si>
    <t>- Aankoop banden, tegels, straatkolken e.d.</t>
  </si>
  <si>
    <t>- Kosten van bestratingen door derden</t>
  </si>
  <si>
    <t>- Aankoop gereedschappen</t>
  </si>
  <si>
    <t xml:space="preserve">- Onkruidbestrijding (inclusief intensivering) </t>
  </si>
  <si>
    <t>- Onderhoud fietspaden</t>
  </si>
  <si>
    <t>- Vergoeding aan Prorail</t>
  </si>
  <si>
    <t>- Overige uitgaven (o.a. stortkosten)</t>
  </si>
  <si>
    <t>- Onderhoud 3 fonteinen centrum (nr 2) - excl. water</t>
  </si>
  <si>
    <t xml:space="preserve">- Bijdrage aan Provincie inzake onderhoud </t>
  </si>
  <si>
    <t>Areaaluitbreiding onderhoud wegen (20)</t>
  </si>
  <si>
    <t>Adaptatiekosten duurzaamheid openbare ruimte (21)</t>
  </si>
  <si>
    <t xml:space="preserve">Kaderbrief 2025 (B21) Eindhovenseweg termijnen contract </t>
  </si>
  <si>
    <t>Kaderbrief 2025 (B22) asfalt slijtlagen</t>
  </si>
  <si>
    <t>Motorrijtuigenbelasting</t>
  </si>
  <si>
    <t>Onderhoud slijtlagen</t>
  </si>
  <si>
    <t>Betreft circa 40.000 m² asfaltverharding</t>
  </si>
  <si>
    <t>Wegenzout</t>
  </si>
  <si>
    <t>ton wegenzout a</t>
  </si>
  <si>
    <t>Beheer van de parkstrook A2</t>
  </si>
  <si>
    <t>Inrichting parkstrook A2  (€ 200.000)</t>
  </si>
  <si>
    <t>Beheer parkstrook A2</t>
  </si>
  <si>
    <t xml:space="preserve">Energieleverancier: per 1-1-2012 Greenchoice </t>
  </si>
  <si>
    <t>Elektriciteitsverbruik: (excl.BTW)</t>
  </si>
  <si>
    <t>kWh à € (piektarief 18%):</t>
  </si>
  <si>
    <t>kWh à € (daltarief 82%):</t>
  </si>
  <si>
    <t>Energiebelasting:</t>
  </si>
  <si>
    <t>Verbruik 0-10.000 kWh</t>
  </si>
  <si>
    <t>Verbruik 10.000-50.000 kWh</t>
  </si>
  <si>
    <t>Verbruik &gt; 50.000 kWh</t>
  </si>
  <si>
    <t>Kaderbrief 2023</t>
  </si>
  <si>
    <t>- extra energiebelasting (nr 26)</t>
  </si>
  <si>
    <t>Opslag duurzame energie</t>
  </si>
  <si>
    <t>Totaal Greenchoice</t>
  </si>
  <si>
    <t>Netwerkbeheerder: Enexis</t>
  </si>
  <si>
    <t>Capaciteitstarief:</t>
  </si>
  <si>
    <t>Aantal lichtmasten: conform netwerkbeheerder</t>
  </si>
  <si>
    <t>lichtmasten x 12 à €</t>
  </si>
  <si>
    <t>Systeemdiensten:</t>
  </si>
  <si>
    <t>Transport onafhankelijk tarief:</t>
  </si>
  <si>
    <t>Periodieke aansluitvergoeding:</t>
  </si>
  <si>
    <t>Meterhuur OV enkeltarief:</t>
  </si>
  <si>
    <t>piek/dal meters x 12 à €</t>
  </si>
  <si>
    <t>Totaal netwerkkosten Enexis</t>
  </si>
  <si>
    <t>Correctie elektriciteit ivm led</t>
  </si>
  <si>
    <t>Totale elektriciteitskosten(verbruik+netwerkkosten)</t>
  </si>
  <si>
    <t xml:space="preserve">Schoonhouden/reparatie/vervangen van </t>
  </si>
  <si>
    <t>lampen en armaturen</t>
  </si>
  <si>
    <t>1/</t>
  </si>
  <si>
    <t>Wijkbestek 1 , (BTL)</t>
  </si>
  <si>
    <t>Centrum, Hoge Akker, Speelheide, De Leeuwerik,</t>
  </si>
  <si>
    <t>Villawijk koekoeksbos, Salderes, Bedrijv.ter. 't Zand</t>
  </si>
  <si>
    <t>2/</t>
  </si>
  <si>
    <t>Wijkbestek 2 , (WSD)</t>
  </si>
  <si>
    <t>Wilhelminadorp, Naastenbest, Heuveleind, Heivelden,</t>
  </si>
  <si>
    <t>Dijkstraten, Kantonnier, Schutboom</t>
  </si>
  <si>
    <t>3/</t>
  </si>
  <si>
    <t>Wijkbestek 3 , (Van Esch)</t>
  </si>
  <si>
    <t>Batadorp, Bedrijv.ter. Breeven, Industrieter. Heide</t>
  </si>
  <si>
    <t>Monteren, demonteren en verplaatsen van lichtmasten</t>
  </si>
  <si>
    <t xml:space="preserve">Reparatie van aangereden lichtmasten            </t>
  </si>
  <si>
    <t xml:space="preserve">Schilderwerk masten                                         </t>
  </si>
  <si>
    <t>Aanschaf groencertificaten</t>
  </si>
  <si>
    <t>Kosten veegwerkzaamheden WSD (invulling interne vacature plus bestek afvalverwijdering en reiniging) nieuwe aanbesteding</t>
  </si>
  <si>
    <t>Motorbrandstoffen (op basis van 7.900 liter brandstof)</t>
  </si>
  <si>
    <t>Onderhoud en kosten veegwagen</t>
  </si>
  <si>
    <t>Uitbesteed veegwerk carnaval/herfst/incidenteel</t>
  </si>
  <si>
    <t>4/</t>
  </si>
  <si>
    <t>areaal uitbreiding</t>
  </si>
  <si>
    <t>Nieuw budget 2026, nr 32 aanbestedingen openbare ruimte</t>
  </si>
  <si>
    <t>(let op: deel hoort bij taakveld 57)</t>
  </si>
  <si>
    <t>Stortkosten:</t>
  </si>
  <si>
    <t>ton veegvuil a</t>
  </si>
  <si>
    <t>ton gemeentelijk afval a</t>
  </si>
  <si>
    <t>Programma duurzame mobiliteit</t>
  </si>
  <si>
    <t>1e firap 2024 Jaarlijkse bijdrage mobiliteitshub</t>
  </si>
  <si>
    <t>Schaalsprong mobiliteit (2026 - 2029)</t>
  </si>
  <si>
    <t>- beleid en onderzoek</t>
  </si>
  <si>
    <t>- gedragsaanpak mobiliteit</t>
  </si>
  <si>
    <t>-  bijdragen aan projecten schaalpsprong</t>
  </si>
  <si>
    <t xml:space="preserve">De schaalsprong gaat over investeringen in met name infrastructuur en voor een klein deel over wonen.De onzekerheden over de investeringen, de personele inzet, het tijdstip van uitvoering en de mate van cofinanciering maken dat het overzicht hieronder nog onzeker is. Met de raad is afgesproken om te werken met een stelpost, van waaruit initiele kosten kunnen worden gedekt. Vervolgens wordt elk deelproject via aparte raadsvoorstellen voorgelegd aan de raad.  T.b.v. de begroting 2026 is een inventarisatie gemaakt van de investeringen en exploitatielasten die op ons af komen. De inventarisatie hieronder is inclusief de 'Schaalsprong wonen' , vanwege het totaaloverzicht. </t>
  </si>
  <si>
    <t>Projecten Kaderbrief 2026 cf de ' lijst nieuwe budgetaanvragen 2026-2029' .</t>
  </si>
  <si>
    <t>Op die lijst zijn de financiele consequenties per deelonderwerp ingeschat.</t>
  </si>
  <si>
    <t>Schaalsprong Wonen 2026-2029 exploitatie 1a</t>
  </si>
  <si>
    <t>Schaalsprong regionale opgaven 2026-2029 formatie, 1b</t>
  </si>
  <si>
    <t>Schaalsprong mobiliteit formatie, 1c</t>
  </si>
  <si>
    <t>Schaalsprong mobiliteit  beleid en onderzoek (exploitatie, 1d)</t>
  </si>
  <si>
    <t>Schaalsprong mobiliteit gedragsaanpak mobiliteit (exploitatie, 1e</t>
  </si>
  <si>
    <t>Schaalsprong mobiliteit:  bijdragen aan projecten, exploitatie, 1f</t>
  </si>
  <si>
    <t>Schaalsprong mobiliteit: Brainporthub A2, 1g</t>
  </si>
  <si>
    <t>Schaalsprong mobiliteit 2027-2028 fietsroute/station KTM-2, 1h/i</t>
  </si>
  <si>
    <t>Schaalsprong mobiliteit 2029-2030 extra brainportlijn, 1j/k</t>
  </si>
  <si>
    <t xml:space="preserve">Beleidsmedewerker mobiliteit </t>
  </si>
  <si>
    <t>Verkeerskundige</t>
  </si>
  <si>
    <t>Kaderbrief 2025 (07) medewerker mobiliteit</t>
  </si>
  <si>
    <t>Inzet Sangam van 't Sant</t>
  </si>
  <si>
    <t>- team beheer en realisatie</t>
  </si>
  <si>
    <t>- team vergunningen, toezicht en handhaving</t>
  </si>
  <si>
    <t>Aangehouden cf urenverdeling Joldy, geen inzet T21 vanuit Vergunningen</t>
  </si>
  <si>
    <t>-Kaderbrief 2026 Schaalsprong mobiliteit formatie</t>
  </si>
  <si>
    <t>Afschrijvingen (cf opzet staat van activa)</t>
  </si>
  <si>
    <t>a. projecten openbare ruimte</t>
  </si>
  <si>
    <t>b. wegbeheerplan</t>
  </si>
  <si>
    <t>c. reinigen wegen</t>
  </si>
  <si>
    <t>d. openbare verlichting</t>
  </si>
  <si>
    <t>e. voertuigen</t>
  </si>
  <si>
    <t>Betreft vergoeding van kosten van het aanleggen van inritten voor derden.</t>
  </si>
  <si>
    <t>Betreft provinciaal aandeel in jaarlijkse kosten inzake de verkeersvoorzieningen langs provinciale weg 433 Best-Son.</t>
  </si>
  <si>
    <t xml:space="preserve">Betreft opbrengst uit schadeclaims. </t>
  </si>
  <si>
    <t>Bijdrage provincie generieke maatregelen</t>
  </si>
  <si>
    <t>Totaal 84340</t>
  </si>
  <si>
    <t>Subsidie mensgerichte verkeersmaatregelen</t>
  </si>
  <si>
    <t xml:space="preserve">Het betreft subsidie maximaal (80%) van het RUP in de kosten  </t>
  </si>
  <si>
    <t>voor projecten ihkv de mensgerichte verkeerseducatie</t>
  </si>
  <si>
    <t>Vergoeding voor herstel, onderhoud en beheer straatwerk</t>
  </si>
  <si>
    <t>Degeneratievergoeding herstel straatwerk</t>
  </si>
  <si>
    <t>Wegbeheer algemeen</t>
  </si>
  <si>
    <t>Betreft een (mogelijke) onttrekking uit de voorziening wegbeheer</t>
  </si>
  <si>
    <t>Betreft kosten van het aanleggen van inritten. De gemaakte kosten worden verhaald op de aanvragers.</t>
  </si>
  <si>
    <t>Tabel 1: doorbelastingstabel straatreiniging naar taakveld 72 (riolering) en 73 (afval)</t>
  </si>
  <si>
    <t xml:space="preserve">Straatreiniging mag ook ten laste van het riool- en afvalbeheer worden toegerekend. Als verdeelsleutel wordt 1/3 gehanteerd per taakveld. Omdat taakveld 72 en 73 worden gedekt door een heffing, mag ook de betaalde btw fictief worden doorbelast. </t>
  </si>
  <si>
    <t xml:space="preserve">A. Bepalen totale lasten straatreiniging </t>
  </si>
  <si>
    <t>Directe toerekening straatreiniging (geen btw)</t>
  </si>
  <si>
    <t>Directe lasten straatreiniging (617017-btw)</t>
  </si>
  <si>
    <t>Indirecte lasten cf tabel 2 (geen btw)</t>
  </si>
  <si>
    <t>Saldo lasten straatreiniging</t>
  </si>
  <si>
    <t>B. Bepaling aandeel taakveld 72, riolering</t>
  </si>
  <si>
    <t>33,3% van de lasten wordt toegerekend aan riolering</t>
  </si>
  <si>
    <t>Totale doorbelasting naar taakveld 72</t>
  </si>
  <si>
    <t xml:space="preserve">Toe te rekenen compensabele btw aan taakveld 72 </t>
  </si>
  <si>
    <t>C. Bepaling aandeel taakveld 73, afval</t>
  </si>
  <si>
    <t>33,3% van de lasten wordt toegerekend aan afval</t>
  </si>
  <si>
    <t>Totale doorbelasting naar taakveld 73</t>
  </si>
  <si>
    <t>Toe te rekenen compensabele btw aan taakveld 73</t>
  </si>
  <si>
    <t>Tabel 2: berekening integrale kostprijs: straatreiniging (tbv tabel 1)</t>
  </si>
  <si>
    <t>Directe toerekening straatreiniging: loonkosten</t>
  </si>
  <si>
    <t>Directe toerekening straatreiniging: afschrijvingslasten</t>
  </si>
  <si>
    <t>A. algemene opslagen</t>
  </si>
  <si>
    <t>- overige personeelslasten</t>
  </si>
  <si>
    <t>- huisvesting</t>
  </si>
  <si>
    <t>- ondersteuning</t>
  </si>
  <si>
    <t>- kcc</t>
  </si>
  <si>
    <t>- advies en financien</t>
  </si>
  <si>
    <t>- directie</t>
  </si>
  <si>
    <t>B. Toerekening budgethouder (indien van toepassing)</t>
  </si>
  <si>
    <t>- management RO</t>
  </si>
  <si>
    <t>- management uitvoering</t>
  </si>
  <si>
    <t>- management beheer</t>
  </si>
  <si>
    <t>- management gemeentewinkel</t>
  </si>
  <si>
    <t>Product</t>
  </si>
  <si>
    <t>T22 Parkeren</t>
  </si>
  <si>
    <t>Molenstraat 2 (parkeergarage)</t>
  </si>
  <si>
    <t>Exploitatie vastgoed (contracten)</t>
  </si>
  <si>
    <t>Exploitatie vastgoed (kantoorkosten)</t>
  </si>
  <si>
    <t>Exploitatie vastgoed (vereniging van eigenaren)</t>
  </si>
  <si>
    <t>Onderhoudsvoorzieningen (O106)</t>
  </si>
  <si>
    <t>Directe toerekening parkeren</t>
  </si>
  <si>
    <t>TOELICHTING / SPECIFICATIE</t>
  </si>
  <si>
    <t>BTW compensabel</t>
  </si>
  <si>
    <t>Molenstraat 2</t>
  </si>
  <si>
    <t>Betreft parkeergarage Molenveste.</t>
  </si>
  <si>
    <t>Vergoeding aan Beukenlaan Facility Managers</t>
  </si>
  <si>
    <t>te Eindhoven = 134 x 12 x € 18,35 (afgerond)</t>
  </si>
  <si>
    <t>Service-overeenkomst lift</t>
  </si>
  <si>
    <t>Keuring lift</t>
  </si>
  <si>
    <t>Kosten telefoon</t>
  </si>
  <si>
    <t>Schoonmaakkosten</t>
  </si>
  <si>
    <t>Administratiekosten verhuur parkeerkosten</t>
  </si>
  <si>
    <t>Verhuur parkeerplaatsen parkeergarage Molenveste</t>
  </si>
  <si>
    <t>T25 Openbaar vervoer</t>
  </si>
  <si>
    <t>Beheer fietsenstalling NS</t>
  </si>
  <si>
    <t>Overige kosten openbaar vervoer</t>
  </si>
  <si>
    <t>Subsidie</t>
  </si>
  <si>
    <t>Directe toerekening openbaar vervoer</t>
  </si>
  <si>
    <t>Fietsenstalling NS</t>
  </si>
  <si>
    <t>Betreft de exploitatie door de WSD en ProRail van de NS-fietsenstalling aan de Spoorstraat.</t>
  </si>
  <si>
    <t>De exploitatielasten zijn:</t>
  </si>
  <si>
    <t xml:space="preserve">- beheer WSD </t>
  </si>
  <si>
    <t>- onderhoud nieuwe gedeelte door ProRail</t>
  </si>
  <si>
    <t>- overige kosten (telefoon ed.)</t>
  </si>
  <si>
    <t>- btw (code stond niet juist)</t>
  </si>
  <si>
    <t xml:space="preserve">Betreft de opbrengst van bewaringskosten voor verkeerd gestalde </t>
  </si>
  <si>
    <t>fietsen in de omgeving van het stationsgebied.</t>
  </si>
  <si>
    <t xml:space="preserve">Berekend bewaarloon voor 28 fietsen </t>
  </si>
  <si>
    <t>(tarief € 12,50 per fiets)</t>
  </si>
  <si>
    <t>Betreft elektriciteitsgebruik schuilzuil treintaxi</t>
  </si>
  <si>
    <t xml:space="preserve">Betreft subsidie in de kosten van bindingsavonden </t>
  </si>
  <si>
    <t>voor de chauffeurs op de buurtbussen:</t>
  </si>
  <si>
    <t>- buurtbusvereniging Boskant - Olland</t>
  </si>
  <si>
    <t>- buurtbusvereniging Nuenen - Best</t>
  </si>
  <si>
    <t>- Team beheer buiten</t>
  </si>
  <si>
    <t>Afschrijvngslasten</t>
  </si>
  <si>
    <t>04. Economische Zaken</t>
  </si>
  <si>
    <t>T31 Economische ontwikkeling</t>
  </si>
  <si>
    <t>Brandkranen, brandputten en brandsloten</t>
  </si>
  <si>
    <t>Directe toerekening kabels e.d. (titel 1)</t>
  </si>
  <si>
    <t>Recognities voor vergunningen</t>
  </si>
  <si>
    <t>Overige winkelgebieden</t>
  </si>
  <si>
    <t>Verduurzamen bedrijventerreinen</t>
  </si>
  <si>
    <t>Leges leggen van kabels en leidingen</t>
  </si>
  <si>
    <t>Grootb/cat</t>
  </si>
  <si>
    <t>Bevorderen ondernemersklimaat</t>
  </si>
  <si>
    <t>Centrummanagement</t>
  </si>
  <si>
    <t>inkomensoverdrachten aan ov instellingen</t>
  </si>
  <si>
    <t>Basisfinanciering brainport development</t>
  </si>
  <si>
    <t>inkomensoverdrachten aan ov overheden</t>
  </si>
  <si>
    <t>Internationale school Eindhoven</t>
  </si>
  <si>
    <t>Verzekeringen (schadeverzekering)</t>
  </si>
  <si>
    <t>overige winkelgebieden</t>
  </si>
  <si>
    <t>inkomensoverdr aan instell/personen</t>
  </si>
  <si>
    <t>Directe toerekening economische ontwikkeling</t>
  </si>
  <si>
    <t>Regulier budget</t>
  </si>
  <si>
    <t>Kaderbrief 2025 (09) ophoging bevorderen ondern.klimaat</t>
  </si>
  <si>
    <t>- Winkelgebieden management (nr 29)</t>
  </si>
  <si>
    <t xml:space="preserve">  Betreft inhuur winkelgebiedenmanager voor 16 uur p/week</t>
  </si>
  <si>
    <t>Aframingen kadernota 2026 (dag van de Kaderbrief)</t>
  </si>
  <si>
    <t>Na de dag van de Kaderbrief is besloten om de aangewezen bezuinging van 60k in te zetten voor het ondernemersfonds.</t>
  </si>
  <si>
    <t>Overblijvende subsidie Centrummanagement</t>
  </si>
  <si>
    <t>naar ondernemersfonds W03/25</t>
  </si>
  <si>
    <t>Basisfinanciering Brainport Development</t>
  </si>
  <si>
    <t>Investeringen Brainport Development</t>
  </si>
  <si>
    <t>1e firap 2024</t>
  </si>
  <si>
    <t>De raad heeft vorig jaar opgeroepen om in beeld te brengen hoe we kunnen aansluiten bij de ‘Brainport voor elkaar’ agenda, om ervoor te zorgen dat de inwoners van Best kunnen profiteren van het succes van Brainport. Gecoördineerd samenwerken met vele partners in de regio kan helpen om die doelen te bereiken. Door te verbinden, te faciliteren, goede eigen voorbeelden te delen of voorbeelden van anderen toe te passen. De samenwerking ‘Brainport voor elkaar’ biedt hiervoor goede ingangen. De kosten van het partnerschap bedragen jaarlijks € 10.000,- voor een periode van 3 jaar.</t>
  </si>
  <si>
    <t>Bijdrage aan internationale school</t>
  </si>
  <si>
    <t>M.i.v. 2016 is deze taak overgeheveld van product 02.01, openbare orde en veiligheid.</t>
  </si>
  <si>
    <t xml:space="preserve">De taak onderhoud van brandkranen, brandputten en brandsloten valt onder het beheer van de nutsvoorzieningen in Best. Brabant Water is eigenaar van de brandkranen, de gemeente betaalt jaarlijks een bedrag vanwege het gebruik van deze kranen. De gemeente is verantwoordelijk voor de juiste werking van de brandkranen. Hiertoe worden brandkranen periodiek geinspecteerd en zo nodig gerepareerd. </t>
  </si>
  <si>
    <t xml:space="preserve">Te betalen aan Brabant Water. </t>
  </si>
  <si>
    <t>brandkranen a €</t>
  </si>
  <si>
    <t>Betreft kosten waterverbruik brandkranen.</t>
  </si>
  <si>
    <t>Bestemd voor Wilheminadorp (ovb naar 622012)</t>
  </si>
  <si>
    <t>Bestemd voor Heivelden (ovb naar 622012)</t>
  </si>
  <si>
    <t>Over naar ondernemersfonds zie W03/25</t>
  </si>
  <si>
    <t>W03/25</t>
  </si>
  <si>
    <t>inkomensoverdr aan instell/personen OZB - gehele ondernemersfonds</t>
  </si>
  <si>
    <t>Bedrag dient hetzelfde te zijn zoals opgenomen in T062</t>
  </si>
  <si>
    <t>inkomensoverdr aan instell/personen onderdeel "Kern" ondernemersfonds</t>
  </si>
  <si>
    <t>Totaal 44380</t>
  </si>
  <si>
    <t xml:space="preserve">Per 1 januari 2025 is het ondernemersfonds ingevoerd. Dit budget bestaat uit twee componenten. Deel 1 wordt opgehaald middels de OZB. Deel 2 betreft het oude budget voor het centrummanagement in de vorm van een winkelgebiedenmanager. Deel 1 wordt beschikt voor het gehele ondernemersfonds. De tweede component is een subsidie die beschikbaar is voor het kerngedeelte (ondernemers in de kern van Best) van het ondernemersfonds. </t>
  </si>
  <si>
    <t>Uitleg werking ondernemersfonds (met oorspronkelijke voeding t.l.v. OZB niet woningen)</t>
  </si>
  <si>
    <t xml:space="preserve">De extra opbrengst van de OZB niet-woningen in 2025  is het uitgangspunt geweest voor het opnemen van het budget in dit taakveld vanwege het Ondernemersfonds. Het budget wordt jaarlijks bijgesteld  volgens de  indexering die wordt gehanteerd in dit taakveld / afgesproken is in het Convenant en de ontwikkeling van de Woz-waarden van de niet-woningen. </t>
  </si>
  <si>
    <t>Jaarlijks wordt het tarief als volgt aangepast:</t>
  </si>
  <si>
    <t>1. Indexering van het basistarief wat in 2025 is vastgesteld van € 50,00 per € 100.000 Woz-waarde zoals vastgesteld in 2025 op basis van de indexering van de budgetten in taakveld 31.</t>
  </si>
  <si>
    <r>
      <t xml:space="preserve">2. en vervolgens vermenigvuldigd met de </t>
    </r>
    <r>
      <rPr>
        <u/>
        <sz val="10"/>
        <rFont val="Tahoma"/>
        <family val="2"/>
      </rPr>
      <t>actuele Woz-waarde</t>
    </r>
    <r>
      <rPr>
        <sz val="10"/>
        <rFont val="Tahoma"/>
        <family val="2"/>
      </rPr>
      <t xml:space="preserve"> van de niet woningen.</t>
    </r>
  </si>
  <si>
    <t>- Team beheer en realisatie</t>
  </si>
  <si>
    <t>Voor het in behandeling nemen van een melding in verband met het verkrijgen van een instemmingsbesluit/vergunning omtrent tijdstip, plaats en werkwijze van uitvoering van werkzaamheden die verband houden met het leggen van kabels en leidingen worden legeskosten in rekening gebracht (legesverordening titel 18).</t>
  </si>
  <si>
    <t xml:space="preserve">Inspectie der Domeinen Zuid: vergoeding </t>
  </si>
  <si>
    <t>vergoeding voor gunning 1009.0056.001</t>
  </si>
  <si>
    <t>Vergunning voor politiehondenvereniging</t>
  </si>
  <si>
    <t>De Volharding" vergunning nr. 22-88/1758</t>
  </si>
  <si>
    <t>Bandencentrale - H 6736 (grond Oranjestraat 95)</t>
  </si>
  <si>
    <t>Noord-Brabants Landschap - Div percelen grond</t>
  </si>
  <si>
    <t>Laarhoven - L 669 (grond voor Broekdijk 14/16)</t>
  </si>
  <si>
    <t>Scouting oud Best - L 509 (ondergrond clubgebouw Boslaan 11)</t>
  </si>
  <si>
    <t>Pachten (Odulphus Molenkampseweg)</t>
  </si>
  <si>
    <t>A. Leges kabels en leidingen, titel 1</t>
  </si>
  <si>
    <t>T33 Bedrijfsloket en bedrijfsregelingen</t>
  </si>
  <si>
    <t>markten</t>
  </si>
  <si>
    <t>Standplaats</t>
  </si>
  <si>
    <t>Markten</t>
  </si>
  <si>
    <t>Directe toerekening bedrijfsloket e.d.</t>
  </si>
  <si>
    <t>- Nederlandse Vereniging van Marktbeheerders</t>
  </si>
  <si>
    <t>- Abonnement op vakblad "De Koopman" (geen btw)</t>
  </si>
  <si>
    <t>- diverse kosten</t>
  </si>
  <si>
    <t>- onderhoud stroomkast</t>
  </si>
  <si>
    <t>- Beheer (markt)</t>
  </si>
  <si>
    <t>- Regie en ontwikkeling (buitenreclame)</t>
  </si>
  <si>
    <t>- Beheer (buitenreclame)</t>
  </si>
  <si>
    <t xml:space="preserve">- Team beheer en realisatie </t>
  </si>
  <si>
    <t>Heffing van de marktgelden vindt plaats krachtens de verordening marktgeld. Gestreefd wordt naar een 100% kostendekkend tarief.</t>
  </si>
  <si>
    <t>- Per marktdag / per meter</t>
  </si>
  <si>
    <t xml:space="preserve">   2024: per marktdag / per meter € 2,15</t>
  </si>
  <si>
    <t xml:space="preserve">   2025: per marktdag / per meter € 2,20</t>
  </si>
  <si>
    <t xml:space="preserve">   2026: per marktdag / per meter € 2,25</t>
  </si>
  <si>
    <t xml:space="preserve">   2027: per marktdag / per meter € 2,25</t>
  </si>
  <si>
    <t xml:space="preserve">   2028: per marktdag / per meter € 2,26</t>
  </si>
  <si>
    <t>- Kwartaalbetalers 210 meter</t>
  </si>
  <si>
    <t xml:space="preserve">   2024: 200 x 4 x € 18,60</t>
  </si>
  <si>
    <t xml:space="preserve">   2025: 200 x 4 x € 18,85</t>
  </si>
  <si>
    <t xml:space="preserve">   2026: 200 x 4 x € 19,10</t>
  </si>
  <si>
    <t xml:space="preserve">   2027: 200 x 4 x € 19,10</t>
  </si>
  <si>
    <t xml:space="preserve">   2028: 200 x 4 x € 19,11</t>
  </si>
  <si>
    <t>- Jaarbetalers  160 meter</t>
  </si>
  <si>
    <t xml:space="preserve">   2024: 160 x € 69,25</t>
  </si>
  <si>
    <t xml:space="preserve">   2025: 160 x € 70,25</t>
  </si>
  <si>
    <t xml:space="preserve">   2026: 160 x € 72,00</t>
  </si>
  <si>
    <t xml:space="preserve">   2027: 160 x € 72,00</t>
  </si>
  <si>
    <t xml:space="preserve">   2028: 160 x € 72,01</t>
  </si>
  <si>
    <t>- Doorberekening electriciteitskosten</t>
  </si>
  <si>
    <t>1. Tabel berekening kostendekking markt</t>
  </si>
  <si>
    <t>Product 04.01 markt</t>
  </si>
  <si>
    <t>Directe loonkosten beheer</t>
  </si>
  <si>
    <t>Directe loonkosten buitendienst</t>
  </si>
  <si>
    <t>Overige directe lasten</t>
  </si>
  <si>
    <t>Uitwerking kostendekking (direct + indirect):</t>
  </si>
  <si>
    <t>Indirecte lasten (directe toerekeningen loonkosten * opslag % product voor betreffend jaar cf programma 12):</t>
  </si>
  <si>
    <t>gewogen index</t>
  </si>
  <si>
    <t>buitenrecl</t>
  </si>
  <si>
    <t>Directe toerekening evenementen</t>
  </si>
  <si>
    <t>Directe toerekening kermis</t>
  </si>
  <si>
    <t>kermis</t>
  </si>
  <si>
    <t>evenementen</t>
  </si>
  <si>
    <t>Kermis en kermisterrein</t>
  </si>
  <si>
    <t>Directe toerekening incl kermis</t>
  </si>
  <si>
    <t>Culturele activiteiten</t>
  </si>
  <si>
    <t>Leges en andere rechten</t>
  </si>
  <si>
    <t>Toeristenbelasting</t>
  </si>
  <si>
    <t>Regiepersoneel</t>
  </si>
  <si>
    <t>Toezichthouder kermisterrein</t>
  </si>
  <si>
    <t>Inhuren kermisassistent (obv 150 uur a € 25,00)</t>
  </si>
  <si>
    <t xml:space="preserve">Inhuren kermisassistent </t>
  </si>
  <si>
    <t>Elektriciteitsvoorzieningen</t>
  </si>
  <si>
    <t>- Dieselaggregaten</t>
  </si>
  <si>
    <t>- Dieselverbruik (22.000 l)</t>
  </si>
  <si>
    <t>Beveiliging</t>
  </si>
  <si>
    <t>- Personele inzet</t>
  </si>
  <si>
    <t>Crowdmanagement</t>
  </si>
  <si>
    <t>- MCU, camerabeveiliging en montage</t>
  </si>
  <si>
    <t>Manus et Manus</t>
  </si>
  <si>
    <t>- Toezicht woonwagenterreinen</t>
  </si>
  <si>
    <t>- A2 parkeren</t>
  </si>
  <si>
    <t>- Schaftkeet</t>
  </si>
  <si>
    <t>Verkeersmaatregelen</t>
  </si>
  <si>
    <t>- verkeersregelaars/hekwachters</t>
  </si>
  <si>
    <t>- verkeersplan</t>
  </si>
  <si>
    <t>EHBO</t>
  </si>
  <si>
    <t>- personeel</t>
  </si>
  <si>
    <t>- unit</t>
  </si>
  <si>
    <t>- maaltijden</t>
  </si>
  <si>
    <t>Geluid</t>
  </si>
  <si>
    <t>- Geluidsbegrenzers / metingen</t>
  </si>
  <si>
    <t>Technische voorbereidingen</t>
  </si>
  <si>
    <t>- toiletten</t>
  </si>
  <si>
    <t>- bovengrondse riolering woonwagens</t>
  </si>
  <si>
    <t>- ballon riolering woonwagens</t>
  </si>
  <si>
    <t>- fietsenrekken</t>
  </si>
  <si>
    <t>- Reiniging Ergon</t>
  </si>
  <si>
    <t>- tijdelijk verwijderen lichtmasten Heijmans</t>
  </si>
  <si>
    <t>- tijdelijk verwijderen lichtmasten Enexis</t>
  </si>
  <si>
    <t>- tijdelijk verwijderen ondergrondse containers Remondis</t>
  </si>
  <si>
    <t>- afvalverwerking Remondis</t>
  </si>
  <si>
    <t>- rijplaten staal</t>
  </si>
  <si>
    <t>- Signing kermis</t>
  </si>
  <si>
    <t>- Kermisborden + prikkabels</t>
  </si>
  <si>
    <t>- Tekstkarren</t>
  </si>
  <si>
    <t>- Drang- / bouwhekken + rijplaten kunststof</t>
  </si>
  <si>
    <t>- Scouting vergoeding</t>
  </si>
  <si>
    <t xml:space="preserve">- Bloembakken &amp; bank Dorpsplein </t>
  </si>
  <si>
    <t>- Snoeiwerkzaamheden</t>
  </si>
  <si>
    <t>Kermiskrant</t>
  </si>
  <si>
    <t>- Kermiskrant</t>
  </si>
  <si>
    <t>Drukwerk</t>
  </si>
  <si>
    <t>- Drukwerk Topixxx</t>
  </si>
  <si>
    <t>Ontvangstavond Kermisexpl.</t>
  </si>
  <si>
    <t>- Ontvangstavond</t>
  </si>
  <si>
    <t>- Eten kermisteam</t>
  </si>
  <si>
    <t>- Abonnementen Komeet &amp; Carrousel</t>
  </si>
  <si>
    <t>- VGK lidmaatschap</t>
  </si>
  <si>
    <t>- Drukwerk ritprijsborden etc.</t>
  </si>
  <si>
    <t>- Presentjes jubilarissen / primeurs</t>
  </si>
  <si>
    <t>- Advertentie dag en weekbladen</t>
  </si>
  <si>
    <t>- Gebakjes vrijwilligers Prikkelarme Kermis</t>
  </si>
  <si>
    <t>- Nog te verdelen kosten</t>
  </si>
  <si>
    <t>- Team maatschappij</t>
  </si>
  <si>
    <t>Inzet Jean Relou 25%</t>
  </si>
  <si>
    <t>- Beheer (evenementen)</t>
  </si>
  <si>
    <t>- Advies en Financiën; Belasting en Invordering</t>
  </si>
  <si>
    <t>- Beheer (kermis)</t>
  </si>
  <si>
    <t>- Ondersteuning (kermis)</t>
  </si>
  <si>
    <t>- Uitvoering (kermis)</t>
  </si>
  <si>
    <t>Jaarwedden buitendienst</t>
  </si>
  <si>
    <t>- Beheer buiten (kermis)</t>
  </si>
  <si>
    <t>Culturele evenementen</t>
  </si>
  <si>
    <t>- (school)toernooien koninginnedag</t>
  </si>
  <si>
    <t>- voorlichtingsprogramma evenementenorganisatoren</t>
  </si>
  <si>
    <t>- Pachtopbrengst</t>
  </si>
  <si>
    <t>tarief 2022 ?</t>
  </si>
  <si>
    <t>Per overnachting bedraagt het tarief € 1,25 (2021)</t>
  </si>
  <si>
    <t>Raming opbrengst 2020 (excl. gevolgen corona)</t>
  </si>
  <si>
    <t>Extra opbrengst 2020 a.g.v. arbeidsmigranten</t>
  </si>
  <si>
    <t>1e firap 2024 extra opbrengsten vd Valk en arbeidsmigranten</t>
  </si>
  <si>
    <t>W2/25 1e firap verhoging van 1,35 naar 2,50</t>
  </si>
  <si>
    <t>Tabel 1: berekening integrale kostprijs: kermis</t>
  </si>
  <si>
    <t>05. Onderwijs</t>
  </si>
  <si>
    <t>T42 Onderwijshuisvesting</t>
  </si>
  <si>
    <t>IKC Dijkstraten</t>
  </si>
  <si>
    <t>Schoolvastgoed algemeen</t>
  </si>
  <si>
    <t>Inkomensoverdrachten aan ov overheden</t>
  </si>
  <si>
    <t>Glasschade scholen</t>
  </si>
  <si>
    <t>Schoolwoningen onverdeeld</t>
  </si>
  <si>
    <t>Onderhoudsvoorzieningen (O118)</t>
  </si>
  <si>
    <t>Gymnastiekonderwijs</t>
  </si>
  <si>
    <t>Paardenhei 7 (school)</t>
  </si>
  <si>
    <t>Verzekeringen (brandverzekering via VVE)</t>
  </si>
  <si>
    <t>Vlinderhei 14 (school)</t>
  </si>
  <si>
    <t>Secr Jansenstraat 5 (school)</t>
  </si>
  <si>
    <t>Mgr. Zwijssenstraat 85 (school)</t>
  </si>
  <si>
    <t>Max de Bossustraat 8 (school)</t>
  </si>
  <si>
    <t>Van Lumeystraat 1 (school)</t>
  </si>
  <si>
    <t>Paardenhei 1 (school)</t>
  </si>
  <si>
    <t>Joh Verleunstraat 29 (school)</t>
  </si>
  <si>
    <t>Haktol 1 (school)</t>
  </si>
  <si>
    <t>Burg Notermansstraat 29 (school)</t>
  </si>
  <si>
    <t>Vanaf 1 januari 2026 opgenomen in Taakveld T03</t>
  </si>
  <si>
    <t>IKC Dijkstraten (MFA) Maatstok 1</t>
  </si>
  <si>
    <t>Willem de Zwijgerweg 148-150 (Heerbeeckcollege)</t>
  </si>
  <si>
    <t>Den Dries 7 (school, IKC)</t>
  </si>
  <si>
    <t>Directe toerekening onderwijs</t>
  </si>
  <si>
    <t>Vergoeding eigenaarslasten ozb aan schoolbesturen*</t>
  </si>
  <si>
    <t>Verdeeld over de scholen per 1-1-2026</t>
  </si>
  <si>
    <t>Regeling compensatie eigendomslasten aan schoolbesturen</t>
  </si>
  <si>
    <t xml:space="preserve">Wettelijk is bepaald dat gemeenten verantwoordelijk zijn voor de eigendomslasten (ozb en verzekering opstal) die </t>
  </si>
  <si>
    <t xml:space="preserve">voor de schoolgebouwen (basisscholen) betaald moeten worden. </t>
  </si>
  <si>
    <t xml:space="preserve">De gemeente zorgt zelf voor verzekering van de opstallen/scholen. Deze worden per schoolcomplex geraamd in deze </t>
  </si>
  <si>
    <t>begroting.</t>
  </si>
  <si>
    <t>Voor de ozb-eigenaarslasten, geldt dat deze aan de schoolbesturen wordt opgelegd. Schoolbesturen kunnen deze</t>
  </si>
  <si>
    <t xml:space="preserve">eigenaarslasten vervolgens declareren bij de gemeente. Op basis van de actuele gegevens uit de WOZ administratie </t>
  </si>
  <si>
    <t>is een budget opgenomen voor onze OZB-lasten, tevens de vergoeding aan het schoolbestuur.</t>
  </si>
  <si>
    <t>Stelpost herstel/vervanging scholen</t>
  </si>
  <si>
    <t>Op grond van de artikelen 91 e.v. van de Wet op het primair onderwijs kan het bestuur van een bijzondere school verzoeken om een vergoeding van de kosten van herstel en vervanging in verband met schade aan gebouw, onderwijsleerpakket en meubilair in geval van bijzondere omstandigheden.</t>
  </si>
  <si>
    <t>Het betreft een huurvergoeding voor het gebruik van de gymnastieklokalen en de sporthal door de scholen. De opbrengst komt ten gunste van de betreffende accommodatie.</t>
  </si>
  <si>
    <t>uren Bernardusgymzaal</t>
  </si>
  <si>
    <t>uren Zevenspronggymzaal</t>
  </si>
  <si>
    <t>uren Paersackergymzaal</t>
  </si>
  <si>
    <t>uren sporthal Naastenbest</t>
  </si>
  <si>
    <t>uren gymzaal Heivelden</t>
  </si>
  <si>
    <t>Subsidie Stichting Best Onderwijs</t>
  </si>
  <si>
    <t>I.v.m. het vervallen van de tijdelijke gymvoorziening busvervoer (product 0610) wordt een bedrag gereserveerd</t>
  </si>
  <si>
    <t>van € 1.000 t.b.v. een subsidie aan de Stichting Best Onderwijs t.b.v. extra gymuren van de basisscholen</t>
  </si>
  <si>
    <t>De Heydonck, Wilhelminaschool, de Schakel en Basisschool Sint Antonius.</t>
  </si>
  <si>
    <t>- Team beheer en realisatie (ingenieursburo)</t>
  </si>
  <si>
    <t>Geen toerekening vanuit maatschappij voor 2026 (cf opgave Janneke)</t>
  </si>
  <si>
    <t>Stichting en inrichting van schoolgebouwen</t>
  </si>
  <si>
    <t>Het betreft de verhuur van onderwijsruimten ten behoeve van kinderopvang.</t>
  </si>
  <si>
    <t>Hoge Akker</t>
  </si>
  <si>
    <t>Overige</t>
  </si>
  <si>
    <t>Lonen SD</t>
  </si>
  <si>
    <t>T43 Onderwijsbeleid en leerlingenzaken</t>
  </si>
  <si>
    <t>NPO gelden (besteding)</t>
  </si>
  <si>
    <t>Leerlingenvervoer</t>
  </si>
  <si>
    <t>Leer- en kwalificatieplicht</t>
  </si>
  <si>
    <t>Uitvoeringsmiddelen leer- en kwalificatieplicht</t>
  </si>
  <si>
    <t>Thuisnabij onderwijs</t>
  </si>
  <si>
    <t>Sociale verstrekkingen in natura</t>
  </si>
  <si>
    <t>Voorschoolse voorzieningen</t>
  </si>
  <si>
    <t>Inkomensoverdrachten aan instellingen en personen</t>
  </si>
  <si>
    <t>Toezicht handhaving voorschoolse voorzieningen</t>
  </si>
  <si>
    <t>Directe toerekening onderwijsbeleid</t>
  </si>
  <si>
    <t>Inkomensoverdrachten van gemeenten</t>
  </si>
  <si>
    <t>Onderwijsachterstandenbeleid</t>
  </si>
  <si>
    <t>Overdrachten van het Rijk</t>
  </si>
  <si>
    <t>verhaal soc. uitk. in natura</t>
  </si>
  <si>
    <t>Betreft contributie voor de Landelijke Vereniging Leerplicht Ambtenaren.</t>
  </si>
  <si>
    <t>Het budget is opgehoogd met de jaarlijks te ontvangen uitkering vanuit de Gemeente Eindhoven.</t>
  </si>
  <si>
    <t>Externe ondersteuning, GOA monitoring en activiteiten, stimulering van VVE binnen kinderopvang</t>
  </si>
  <si>
    <t>Budget t.b.v. subsidies peuterspeelzalen:</t>
  </si>
  <si>
    <t>Financiering vanuit Rijksbijdrage</t>
  </si>
  <si>
    <t>gekoppeld aan rijksbijdrage</t>
  </si>
  <si>
    <t>Financiering via eigen middelen gemeente *)</t>
  </si>
  <si>
    <t>Dekking loonkosten cultuur-beleidsmedewerker onderwijs</t>
  </si>
  <si>
    <t>W02-24 voorschoolse voorzieningen (dekking Spuk</t>
  </si>
  <si>
    <t>Budget t.b.v. aanbod te realiseren voor peuters zonder recht op kinderopvangtoeslag</t>
  </si>
  <si>
    <t>W01/2025 voorschoolse voorzieningen</t>
  </si>
  <si>
    <t>W02/2025 1e financiele rapportage</t>
  </si>
  <si>
    <t>Ovb middelen voorschoolse voorzieningen voor inzet preventief jeugdbeleid.</t>
  </si>
  <si>
    <t xml:space="preserve">Toez. Handh/ kinderopv/peuterspeelz.werk </t>
  </si>
  <si>
    <t>Toezicht handhaving kinderdagverblijven</t>
  </si>
  <si>
    <t xml:space="preserve">Toezicht en handhaving kinder- en gastouderopvang </t>
  </si>
  <si>
    <t>Toezicht en handhaving kwaliteit peuterspeelzalen</t>
  </si>
  <si>
    <t>1e finrap 2022, sept circ handhaving kinderopvang en gastouderopv</t>
  </si>
  <si>
    <t xml:space="preserve">Dekking combinatiefunctionarissen   </t>
  </si>
  <si>
    <t>Leerlingenvervoer gemeente Best</t>
  </si>
  <si>
    <t>Bestaand budget leerlingenvervoer</t>
  </si>
  <si>
    <t>Nieuw budget 2026 (6a)</t>
  </si>
  <si>
    <t>Nieuw budget 2026 (6b)</t>
  </si>
  <si>
    <t>Directe toerekening leerplicht</t>
  </si>
  <si>
    <t>- Gemeentewinkel</t>
  </si>
  <si>
    <t>Directe toerekening voorschoolse voorzieningen</t>
  </si>
  <si>
    <t>Jaarlijks wordt er een uitkering ontvangen vanuit de Gemeente Eindhoven in het kader van de RMC-wetgeving.</t>
  </si>
  <si>
    <t>Het bedrag wordt ingeschat op € 7.500 per jaar.</t>
  </si>
  <si>
    <t>Rijksbijdrage onderwijsachterstanden (SPUK)</t>
  </si>
  <si>
    <t>Op basis van de "Verordening leerlingenvervoer gemeente Best" betalen de ouders van een leerling die een school voor basisonderwijs, een speciale school voor basisonderwijs of een school voor speciaal voortgezet onderwijs bezoekt, per schooljaar per leerling een drempelbedrag gebaseerd op de kosten van openbaar vervoer van de eerste 6 kilometer.</t>
  </si>
  <si>
    <t>leerlingen</t>
  </si>
  <si>
    <t>Nog uitzoeken!!!</t>
  </si>
  <si>
    <t>Verrvallen decentralisatie-uitk. Peuterspeelzaalwerk</t>
  </si>
  <si>
    <t>onderdeel wetsvoorstel harmonisatie peuterspeelzalen</t>
  </si>
  <si>
    <t>cf septembercirculaire 2016 (vervallen miv 2018)</t>
  </si>
  <si>
    <t>cf sept.circ. 2009 miv 2010 geoormerkt t.b.v. professionalisering peuterspeelzaalwerk</t>
  </si>
  <si>
    <t>Is miv 2015 toegevoegd aan budget t.b.v. subsidies peuterspeelzalen</t>
  </si>
  <si>
    <t>Nog uitzoeken of budget hiermee verlaagd kan/moet worden</t>
  </si>
  <si>
    <t>Bezuinigingstraject kaderbrief 2014</t>
  </si>
  <si>
    <t>Afname rijksmiddelen met 20% (raming)</t>
  </si>
  <si>
    <t>Budget t.b.v. subsidies peuterspeelzalen</t>
  </si>
  <si>
    <t>subtotaal</t>
  </si>
  <si>
    <t>Budget t.b.v. aanbod te realiseren voor peuters zonder</t>
  </si>
  <si>
    <t>recht op kinderopvangtoeslag cf meicirc. 2016</t>
  </si>
  <si>
    <t>- idem, verlaging decentralisatie-uitk. cf sept.circ. 2018</t>
  </si>
  <si>
    <t>cf sept.circ. 2018 (uit decentralisatie-uitk.)</t>
  </si>
  <si>
    <t>cf sept.circ. 2018 (uitbreiding taak GGD)</t>
  </si>
  <si>
    <t>naar GGD?</t>
  </si>
  <si>
    <t>aanpassing indexering van 1 naar 1,5%</t>
  </si>
  <si>
    <t>06. Cultuur, sport en recreatie</t>
  </si>
  <si>
    <t>Tuurlijk</t>
  </si>
  <si>
    <t>Bijdragen aan sportverenigingen</t>
  </si>
  <si>
    <t>Inkomensoverdrachten aan ov instellingen</t>
  </si>
  <si>
    <t>Combinatiefunctionarissen</t>
  </si>
  <si>
    <t>BS Lokaal sportakkoord</t>
  </si>
  <si>
    <t>BS Regeling combinatiefuncties</t>
  </si>
  <si>
    <t>Directe toerekening sportstimulering</t>
  </si>
  <si>
    <t>Schoolsportolympiade</t>
  </si>
  <si>
    <t>Schoolsportkennismaking</t>
  </si>
  <si>
    <t>Subsidiëring jeugdleden sportverenigingen tot 18 jaar</t>
  </si>
  <si>
    <t>Trainingskosten zwemverenigingen</t>
  </si>
  <si>
    <t>De combinatiefunctionaris is een functionaris die bij één werkgever in dienst is, maar werkzaam is in of ten behoeve van meerdere sectoren. De samenwerking tussen onderwijs, sport en cultuur krijgt bij uitstek vorm en inhoud met de realisering van combinatiefuncties.</t>
  </si>
  <si>
    <t>Geraamde kosten combinatiefunctionarissen</t>
  </si>
  <si>
    <t>Verhoging budget agv hogere decentralisatie-uitkering combinatiefuncties obv decembercirculaire 2018 (W02/2019)</t>
  </si>
  <si>
    <t>Verhoging op basis van meicirculaire 2020</t>
  </si>
  <si>
    <t>Opgenomen in 1e begrotingswijziging 2019:</t>
  </si>
  <si>
    <t>W01/19 uitbreiding fte's combinatiefunctionarissen</t>
  </si>
  <si>
    <t>Wijziging formatieplaatsenplan IN19-01016:</t>
  </si>
  <si>
    <t>Dekking 8 uur uit middelen combinatiefunctionarissen</t>
  </si>
  <si>
    <t>- Combinatiefunctionaris (nr 11 lijst nieuw beleid)</t>
  </si>
  <si>
    <t>- Hiervan is € 28.000 beschikbaar gesteld vanuit preventief jeugdbeleid (T67 2)</t>
  </si>
  <si>
    <t>Kaderbrief 2022</t>
  </si>
  <si>
    <t>Extra middelen combinatiefunctie team 'Tuurlijk' (nr 14)</t>
  </si>
  <si>
    <t>Kaderbrief 2023 nieuw beleid nummer 33</t>
  </si>
  <si>
    <t xml:space="preserve">Extra middelen combinatiefunctie team 'Tuurlijk' </t>
  </si>
  <si>
    <t>Dekking bijdrage Rijk</t>
  </si>
  <si>
    <t>Meicirculaire 2023</t>
  </si>
  <si>
    <t>Vervallen decentralisatie-uitkering in het gemeentefonds</t>
  </si>
  <si>
    <t>Dekking vanuit middelen jeugdpreventie</t>
  </si>
  <si>
    <t>Overboeking naar 629006 Tuurlijk</t>
  </si>
  <si>
    <t>Brede SPUK Lokaal Sportakkoord</t>
  </si>
  <si>
    <t>Brede SPUK Regeling combinatiefuncties</t>
  </si>
  <si>
    <t>vanuit 629004 Lokaal sportakkoord</t>
  </si>
  <si>
    <t>vanuit 629005 Regeling Combinatiefunctionaris</t>
  </si>
  <si>
    <t>vanuit 636036 BS Valpreventie (T61)</t>
  </si>
  <si>
    <t>vanuit 631004 CMK regeling (T53)</t>
  </si>
  <si>
    <t>vanuit 631010 Cultureel programma (T53)</t>
  </si>
  <si>
    <t>Directe toerekening sportwikkeling/sportstimulering</t>
  </si>
  <si>
    <t>T52 sportaccomodaties</t>
  </si>
  <si>
    <t>A. Sportpark Naastenbest</t>
  </si>
  <si>
    <t>B. Sportpark De Leemkuilen</t>
  </si>
  <si>
    <t>C. Binnensport</t>
  </si>
  <si>
    <t>Prinses Beatrixlaan 27 (sporthal)</t>
  </si>
  <si>
    <t>Mgr Zwijsenstraat 85 (gymzaal)</t>
  </si>
  <si>
    <t>Secr Jansenstraat 7 (gymzaal)</t>
  </si>
  <si>
    <t>Haktol 1a (gymzaal)</t>
  </si>
  <si>
    <t>J Verleunstraat 31 (gymzaal)</t>
  </si>
  <si>
    <t>Rendierhei 10 (gymzaal)</t>
  </si>
  <si>
    <t>W de Zwijgerweg 148-150 (gymzaal)</t>
  </si>
  <si>
    <t>D. Zwembaden</t>
  </si>
  <si>
    <t>Sportlaan 7 (zwembad de Dolfijn)</t>
  </si>
  <si>
    <t>Overdekt zwembad (ZIB)</t>
  </si>
  <si>
    <t>voertuigen/gereedschappen sport</t>
  </si>
  <si>
    <t>Doorbelaste overhead</t>
  </si>
  <si>
    <t>J Verleunstraat 29 (gymzaal)</t>
  </si>
  <si>
    <t>Spuk regeling</t>
  </si>
  <si>
    <t>A. Sportpark Naastenbest, lasten</t>
  </si>
  <si>
    <t>Jacob van Wassenaerstraat 61 (WB)</t>
  </si>
  <si>
    <t>Gildelaan 2 (GM)</t>
  </si>
  <si>
    <t>Jacob van Wassenaerstraat 65 (DKB)</t>
  </si>
  <si>
    <t>Gildelaan 4 (Smashing)</t>
  </si>
  <si>
    <t>Algemene kosten sportpark Naastenbest</t>
  </si>
  <si>
    <t>Onderhoudsvoorzieningen (O139)</t>
  </si>
  <si>
    <t>B. Sportpark Leemkuilen, lasten</t>
  </si>
  <si>
    <t>Sportlaan 4 (bv)</t>
  </si>
  <si>
    <t>Sportlaan 6a (mhcb)</t>
  </si>
  <si>
    <t>Randweg 8 (ltvb)</t>
  </si>
  <si>
    <t>Visvijver, gracht en ijsbaan</t>
  </si>
  <si>
    <t>Ambachtsweg 7 (Jeu de Boules)</t>
  </si>
  <si>
    <t>Algemene kosten sportpark de Leemkuilen</t>
  </si>
  <si>
    <t>A. Sportpark Naastenbest, baten</t>
  </si>
  <si>
    <t>Beatrixlaan ong (Aristos)</t>
  </si>
  <si>
    <t>Verhuur ondergrond algemeen</t>
  </si>
  <si>
    <t>Huren WSD !!</t>
  </si>
  <si>
    <t>B. Sportpark De Leemkuilen, baten</t>
  </si>
  <si>
    <t>Randweg 8 (ltbv)</t>
  </si>
  <si>
    <t>Ambachtsweg 5 (amitie)</t>
  </si>
  <si>
    <t>Ambachtsweg 7</t>
  </si>
  <si>
    <t>C. Binnensport, lasten</t>
  </si>
  <si>
    <t>Electriciteit</t>
  </si>
  <si>
    <t>Verzekeringen (werkmaterieel)</t>
  </si>
  <si>
    <t>Werkkostenregeling</t>
  </si>
  <si>
    <t>Onderhoudsvoorzieningen (O136)</t>
  </si>
  <si>
    <t>Gymzaal Dijkstraten/Aarlesche Erven</t>
  </si>
  <si>
    <t>D. Zwembaden, lasten</t>
  </si>
  <si>
    <t>Duurzame goederen/uitbestedingen</t>
  </si>
  <si>
    <t>Inhuur personeel (wsd)</t>
  </si>
  <si>
    <t>Onderhoudsvoorzieningen (O138)</t>
  </si>
  <si>
    <t>voertuigen/gereedschappen sport (van T04)</t>
  </si>
  <si>
    <t>Machines en vervangen kleine machines sportparken</t>
  </si>
  <si>
    <t>Onderhoudsvoorzieningen (O102</t>
  </si>
  <si>
    <t>Spuk Regeling</t>
  </si>
  <si>
    <t>Directe toerekening sportaccommodaties</t>
  </si>
  <si>
    <t>Jaarwedden doorber van T04 naar sport</t>
  </si>
  <si>
    <t xml:space="preserve">Onderbouwing middelen </t>
  </si>
  <si>
    <t xml:space="preserve">Vanaf 2019 worden alle kapitaallasten per sportpark verzameld op één grootboeknummer. </t>
  </si>
  <si>
    <t>De kapitaallasten tot en met 2019 zijn ook verhuisd naar deze posten.</t>
  </si>
  <si>
    <t>Jacob van Wassenaerstraat 61</t>
  </si>
  <si>
    <t>Betreft accommodatie V.V. Wilhelminaboys.</t>
  </si>
  <si>
    <t>Gildelaan 2</t>
  </si>
  <si>
    <t>Betreft accommodatie Atletiekvereniging Generaal Michaëlis.</t>
  </si>
  <si>
    <t>Technisch onderhoud (inclusief BTW):</t>
  </si>
  <si>
    <t>uren à</t>
  </si>
  <si>
    <t>Jacob van Wassenaerstraat 65</t>
  </si>
  <si>
    <t>Betreft accommodatie Korfbalvereniging DKB.</t>
  </si>
  <si>
    <t>Gildelaan 4</t>
  </si>
  <si>
    <t>Betreft accommodatie Tennisvereniging Smashing '89.</t>
  </si>
  <si>
    <t>Kapitaallasten sportpark Naastenbest</t>
  </si>
  <si>
    <t>Betreft kapitaallastenvolgens de planning vervanging buitensportaccommodaties (dekking uit de reserve buitensport)</t>
  </si>
  <si>
    <t xml:space="preserve">Deze kosten waren voorheen verwerkt via de kostenverdeelstaat. </t>
  </si>
  <si>
    <t>Zij werden verdeeld voor 65% naar sportpark Naastenbest en 35% naar sportpak De leemkuilen.</t>
  </si>
  <si>
    <t>Kosten energie</t>
  </si>
  <si>
    <t>Betreft electriciteitsverbruik t.b.v. beregenings- en drainagepompen</t>
  </si>
  <si>
    <t xml:space="preserve">Onderhoud </t>
  </si>
  <si>
    <t>Betreft beplanting sportpark, onderhoud hekwerken,</t>
  </si>
  <si>
    <t xml:space="preserve">uitbesteed onderhoud sportvelden en machinale </t>
  </si>
  <si>
    <t xml:space="preserve">onderhoudswerkzaamheden </t>
  </si>
  <si>
    <t>Betreft o.m. bodem- en grondonderzoek, graszaad, kunstmest</t>
  </si>
  <si>
    <t xml:space="preserve">en chemische bestrijdingsmiddelen en adviescontract </t>
  </si>
  <si>
    <t>Grassmaster- Veld</t>
  </si>
  <si>
    <t>TARIEVEN BUITENSPORTACCOMMODATIES</t>
  </si>
  <si>
    <r>
      <t>In zijn vergadering van 14 mei 2007 heeft de raad het normenkader</t>
    </r>
    <r>
      <rPr>
        <sz val="10"/>
        <rFont val="Tahoma"/>
        <family val="2"/>
      </rPr>
      <t xml:space="preserve"> ( de tarieven )</t>
    </r>
    <r>
      <rPr>
        <sz val="10"/>
        <color indexed="10"/>
        <rFont val="Tahoma"/>
        <family val="2"/>
      </rPr>
      <t xml:space="preserve"> </t>
    </r>
    <r>
      <rPr>
        <sz val="10"/>
        <rFont val="Tahoma"/>
        <family val="2"/>
      </rPr>
      <t>voor het gebruik van buitensportaccommodaties door verenigingen vastgesteld.</t>
    </r>
  </si>
  <si>
    <t>Voor de berekening van de eigen bijdrage voor de voetbalverenigingen, hockeyvereniging, korfbalvereniging en atletiekvereniging wordt uitgegaan van normatieve investeringen en normatieve onderhoudskosten volgens het "normenkader buitensportaccommodaties".</t>
  </si>
  <si>
    <t>Het % van de eigen bijdrage is vastgesteld op 20,00% van de normatieve kosten van bestaande en nieuwe accommodaties excl.btw.</t>
  </si>
  <si>
    <t>De nieuwe eigenbijdrageregeling gaat voor de overige buitensportverenigingen in op 2012</t>
  </si>
  <si>
    <t>Er wordt geen ingroeimodel toegepast (uitgaande van de huidige bijdrage). Wel worden de resterende jaren van het eerder afgesproken ingroeimodel in stand gehouden.</t>
  </si>
  <si>
    <t>De uitwerking van de afspraken wordt vastgelegd in een door de gemeenteraad vast te stellen "Tarievenverordening buitensportaccommodaties".</t>
  </si>
  <si>
    <t>Betreft accommodatie V.V. Wilhelmina Boys.</t>
  </si>
  <si>
    <t>Gebruikersvergoeding accommodatie op basis van "Normenkader buitensportaccommodaties</t>
  </si>
  <si>
    <t>Op basis van nieuwe gegevens</t>
  </si>
  <si>
    <t>Wilhelmina Boys</t>
  </si>
  <si>
    <t>Geindexeerd</t>
  </si>
  <si>
    <t>Aantal</t>
  </si>
  <si>
    <t>Investering</t>
  </si>
  <si>
    <t>Lev.duur</t>
  </si>
  <si>
    <t>Kap.ln</t>
  </si>
  <si>
    <t>Onderh.</t>
  </si>
  <si>
    <t>Grasveld</t>
  </si>
  <si>
    <t>Kunstgras 2007 Top Veld D</t>
  </si>
  <si>
    <t>Kunstgras 2007 Onder Veld D</t>
  </si>
  <si>
    <t>Kunstgras 2013 Top Veld A</t>
  </si>
  <si>
    <t>Kunstgras 2013 Onder Veld A</t>
  </si>
  <si>
    <t>Kunstgras 2023 Toplaag NON INFILL Veld D</t>
  </si>
  <si>
    <t>Verlichting voor 2021</t>
  </si>
  <si>
    <t>Kleedlokalen voor 2021</t>
  </si>
  <si>
    <t>Kunstgrasveld -1 grasveld 2024</t>
  </si>
  <si>
    <t>Verduurzaming</t>
  </si>
  <si>
    <t>Vergoeding</t>
  </si>
  <si>
    <t>Let op verduurzaming 6 jaar vanaf 2026</t>
  </si>
  <si>
    <t>6 Jaar lang</t>
  </si>
  <si>
    <t>Gebruikersvergoeding accommodatie op basis van "Normenkader buitensportaccommodaties"</t>
  </si>
  <si>
    <t>Atletiek GM</t>
  </si>
  <si>
    <t>Atleitiekbaan</t>
  </si>
  <si>
    <t>Belijning</t>
  </si>
  <si>
    <t>Verlichtiing</t>
  </si>
  <si>
    <t>Materiaal</t>
  </si>
  <si>
    <t>Kleedkamer</t>
  </si>
  <si>
    <t>DKB</t>
  </si>
  <si>
    <t>Ondergrond 2008</t>
  </si>
  <si>
    <t>Kleedlokalen</t>
  </si>
  <si>
    <t>Verlichting 4 vd 6</t>
  </si>
  <si>
    <t>Toplaag Veld</t>
  </si>
  <si>
    <t>Beach Veld</t>
  </si>
  <si>
    <t>Bijdrage door VVC 80%</t>
  </si>
  <si>
    <t>Beach Verlichting</t>
  </si>
  <si>
    <t>Betreft verhuur ondergrond accommodatie tennisvereniging Smashing '89.</t>
  </si>
  <si>
    <t>Accommodatie handbalvereniging Aristos</t>
  </si>
  <si>
    <t>Betreft de verhuur van verharde handbalvelden</t>
  </si>
  <si>
    <t>verharde handbalvelden à</t>
  </si>
  <si>
    <t>Velden zijn afgekeurd</t>
  </si>
  <si>
    <t>Loopt via zaalhuur</t>
  </si>
  <si>
    <t>Sportlaan 4a</t>
  </si>
  <si>
    <t>Betreft accommodatie R.K.V.V. Best Vooruit.</t>
  </si>
  <si>
    <t>Sportlaan 6a</t>
  </si>
  <si>
    <t>Betreft accommodatie Mixed Hockeyclub Best.</t>
  </si>
  <si>
    <t>Betreft het onderhoud van 2 kunstgrasvelden</t>
  </si>
  <si>
    <t>Randweg 8</t>
  </si>
  <si>
    <t>Betreft accommodatie Lawn Tennisvereniging Best (LTV Best).</t>
  </si>
  <si>
    <t>- Leveringen en werken door derden</t>
  </si>
  <si>
    <t>- Aankoop beplantingen</t>
  </si>
  <si>
    <t>- Onderhoud ijsbaan</t>
  </si>
  <si>
    <t>Algemene kosten sportpark De Leemkuilen</t>
  </si>
  <si>
    <t>Gebruikersvergoeding accommodatie op basis van "Normenkader buitensportaccommodaties".</t>
  </si>
  <si>
    <t>Best Vooruit</t>
  </si>
  <si>
    <t>Kunstgras 2007 Top Veld E</t>
  </si>
  <si>
    <t>Kunstgras 2007 Onder Veld E</t>
  </si>
  <si>
    <t>Kunstgras 2007 Top Veld B</t>
  </si>
  <si>
    <t>Kunstgras 2007 Onder Veld B</t>
  </si>
  <si>
    <t>Kunstgras 2011 Top Veld A</t>
  </si>
  <si>
    <t>Kunstgras 2011 Onder Veld A</t>
  </si>
  <si>
    <t xml:space="preserve">Kunstgras 2022 Top Veld Kurk D </t>
  </si>
  <si>
    <t>Kunstgras 2022 Onder Veld D</t>
  </si>
  <si>
    <t>Kunstgras 2023 Top NON INFILL Veld B</t>
  </si>
  <si>
    <t>Kunstgras 2023 Top KURK Veld E</t>
  </si>
  <si>
    <t>Verlichting 2021</t>
  </si>
  <si>
    <t xml:space="preserve">Kleedlokalen bouw in 2024 </t>
  </si>
  <si>
    <t>MCH Hockey</t>
  </si>
  <si>
    <t>Kunstgras 2012</t>
  </si>
  <si>
    <t>Kunstgras 2012 Onderlaag</t>
  </si>
  <si>
    <t>Kunstgras 2007 1/2</t>
  </si>
  <si>
    <t>Kunstgras 2007 1/2 Onderlaag</t>
  </si>
  <si>
    <t>Kunstgras non infill 2024</t>
  </si>
  <si>
    <t xml:space="preserve">Kunstgras non infill ondergrond </t>
  </si>
  <si>
    <t>Kunstgras zand 2024</t>
  </si>
  <si>
    <t>Kunstgras zand ondergrond</t>
  </si>
  <si>
    <t>Kunstgras non infill</t>
  </si>
  <si>
    <t>Kunstgras non infill ondergrond</t>
  </si>
  <si>
    <t>Kunstgras zand</t>
  </si>
  <si>
    <t>Kapitaal-</t>
  </si>
  <si>
    <t>lasten</t>
  </si>
  <si>
    <t>Kunstgras</t>
  </si>
  <si>
    <t>Ledverlichting</t>
  </si>
  <si>
    <t>Ambachtsweg 5</t>
  </si>
  <si>
    <t>Betreft accommodatie Petanqueclub Amité.</t>
  </si>
  <si>
    <t>- huur clubgebouw Ambachtsweg 9</t>
  </si>
  <si>
    <t>- huur visvijver</t>
  </si>
  <si>
    <t>Kapitaallasten sportpark De Leemkuilen</t>
  </si>
  <si>
    <t>Kapitaallasten sportaccommodaties</t>
  </si>
  <si>
    <t>a. Generaal Michaelis</t>
  </si>
  <si>
    <t>b. Wilhelmina Boys</t>
  </si>
  <si>
    <t>c. De Kanaries Best</t>
  </si>
  <si>
    <t>d. Algemeen</t>
  </si>
  <si>
    <t>e. Best vooruit</t>
  </si>
  <si>
    <t>f. Mixed Hockey Club Best</t>
  </si>
  <si>
    <t>g. Algemeen</t>
  </si>
  <si>
    <t>Sporthal en sportzalen</t>
  </si>
  <si>
    <t>h. Sporthal Naastenbest</t>
  </si>
  <si>
    <t>i. Sportzalen</t>
  </si>
  <si>
    <t>j. Zwembaden (vastgoed)</t>
  </si>
  <si>
    <t>k. Zwembaden (overig)</t>
  </si>
  <si>
    <t>l. groot materieel sportparken</t>
  </si>
  <si>
    <t>Afschrijvingen sportaccommodaties</t>
  </si>
  <si>
    <t>C: Binnensport</t>
  </si>
  <si>
    <t>Prinses Beatrixlaan 27</t>
  </si>
  <si>
    <t>Betreft sporthal Naestenbest.</t>
  </si>
  <si>
    <t>Inleenpersoneel</t>
  </si>
  <si>
    <t>Technisch onderhoud door WSD</t>
  </si>
  <si>
    <t>OZB Sporthal Naestenbest</t>
  </si>
  <si>
    <t>Dvierse duurzame goederen en diensten:</t>
  </si>
  <si>
    <t>- containerkosten (50%)</t>
  </si>
  <si>
    <t>- telefoonkosten</t>
  </si>
  <si>
    <t>- schoonmaak- en verbandmiddelen</t>
  </si>
  <si>
    <t>- keukenbenodigdheden</t>
  </si>
  <si>
    <t>- centrale antenne</t>
  </si>
  <si>
    <t>- aanvulling ivm nieuwe sporthal</t>
  </si>
  <si>
    <t>- onderhoudscontract zonnepanelen</t>
  </si>
  <si>
    <t>- Dagelijks onderhoud</t>
  </si>
  <si>
    <t>- Water</t>
  </si>
  <si>
    <t>Water (miv 2020 naar 43812)</t>
  </si>
  <si>
    <t>Betreft de raming voor de kosten van het (uit te besteden) schoonmaken van de sporthal.</t>
  </si>
  <si>
    <t>Betreft een storting in het onderhoudsfonds.</t>
  </si>
  <si>
    <t>Mgr Zwijsenstraat 85</t>
  </si>
  <si>
    <t>Betreft Tweespangymzaal (v.h. Ludwinagymzaal) die is ondergebracht in Brede School.</t>
  </si>
  <si>
    <t>Secr Jansenstraat 7</t>
  </si>
  <si>
    <t>Betreft Bernardusgymzaal.</t>
  </si>
  <si>
    <t xml:space="preserve">Specificatie aank. niet duurzame goederen en </t>
  </si>
  <si>
    <t>diensten:</t>
  </si>
  <si>
    <t>- uitbesteed schoonmaakonderhoud</t>
  </si>
  <si>
    <t>- verbandmiddelen, toiletpapier e.d.</t>
  </si>
  <si>
    <t>- laboratoriumonderzoek legionella</t>
  </si>
  <si>
    <t>- overige kosten</t>
  </si>
  <si>
    <t>Haktol 1a</t>
  </si>
  <si>
    <t>Betreft Zevenspronggymzaal.</t>
  </si>
  <si>
    <t>Specificatie aank. niet duurzame goederen en diensten:</t>
  </si>
  <si>
    <t>Betreft een storting in het onderhoudsfonds</t>
  </si>
  <si>
    <t>J Verleunstraat 31</t>
  </si>
  <si>
    <t>Betreft Paersackergymzaal.</t>
  </si>
  <si>
    <t>Rendierhei 10</t>
  </si>
  <si>
    <t>Betreft gymzaal Heivelden.</t>
  </si>
  <si>
    <t>W de Zwijgerweg 148-150</t>
  </si>
  <si>
    <t>Betreft sportzaal Heerbeeck College.</t>
  </si>
  <si>
    <t>Geschat aandeel in de jaarlijkse exploitatielasten (55% van € 40.840,22).</t>
  </si>
  <si>
    <t>Gymzaal Dijkstraten-Aarlesche Erven</t>
  </si>
  <si>
    <t xml:space="preserve">Nieuw beleid 2026, lijst nieuw beleid nr 8e </t>
  </si>
  <si>
    <t>Raming exploitatielasten</t>
  </si>
  <si>
    <t>Gehele zaal:</t>
  </si>
  <si>
    <t>Kleine zaal</t>
  </si>
  <si>
    <t>Totaal exclusief gymnastiekonderwijs</t>
  </si>
  <si>
    <t>Verhuur reclame borden</t>
  </si>
  <si>
    <t>Sporthal Naestenbest (hele zaal)</t>
  </si>
  <si>
    <t>Fictieve vergoeding gymnastiekonderwijs (1)</t>
  </si>
  <si>
    <t>Sporthal Naestenbest (2/3 zaal)</t>
  </si>
  <si>
    <t>Sporthal Naestenbest (1/3 zaal)</t>
  </si>
  <si>
    <t>Turnhal</t>
  </si>
  <si>
    <t>€ 14,00 (verenigingen uit Best)</t>
  </si>
  <si>
    <t>€ 29,60 (andere partijen, 1 oktober t/m 31 maart)</t>
  </si>
  <si>
    <t>€ 55,90 (andere partijen, 1 april t/m 30 september)</t>
  </si>
  <si>
    <t>Gymzalen: Bernardus, Heivelden, Paersacker, Zevensprong</t>
  </si>
  <si>
    <t>Subtotaal oude sporthal</t>
  </si>
  <si>
    <t>(A)</t>
  </si>
  <si>
    <t>Grote zaal Heerbeeck College</t>
  </si>
  <si>
    <t>3de gymzaal Heerbeeck College</t>
  </si>
  <si>
    <t>Nieuwe sporthal:</t>
  </si>
  <si>
    <t xml:space="preserve">Verhuur van ruimte sporthal </t>
  </si>
  <si>
    <t>Best Fit Sportschool</t>
  </si>
  <si>
    <t>Fysio Best</t>
  </si>
  <si>
    <t>jovo's sportcafé bv</t>
  </si>
  <si>
    <t>Fysio van Nunen</t>
  </si>
  <si>
    <t>Logopediepraktijk Heivelden</t>
  </si>
  <si>
    <t>Subtotaal verhuur sporthal</t>
  </si>
  <si>
    <t>Gehele zaal</t>
  </si>
  <si>
    <t>uren verenigingen buiten Best</t>
  </si>
  <si>
    <t>Subtotaal exclusief gymnastiekonderwijs</t>
  </si>
  <si>
    <t>Fictieve vergoeding gymnastiekonderwijs (2)</t>
  </si>
  <si>
    <t>Gebruik door Heerbeeckcollege</t>
  </si>
  <si>
    <t>1/3 hal       uren à</t>
  </si>
  <si>
    <t>Subtotaal nieuwe sporthal</t>
  </si>
  <si>
    <t>(B)</t>
  </si>
  <si>
    <t>Totaal generaal sporthal Naestenbest</t>
  </si>
  <si>
    <t>(A)+(B)+(C)</t>
  </si>
  <si>
    <t>De verhuur van de Tweespanggymzaal is vervallen in verband met het vormen van de brede school.</t>
  </si>
  <si>
    <t>Secr.Jansenstraat 7</t>
  </si>
  <si>
    <t>Diverse verenigingen maken gebruik van de Bernardusgymzaal</t>
  </si>
  <si>
    <t>Fictieve vergoeding gymnastiekonderwijs</t>
  </si>
  <si>
    <t>Diverse verenigingen maken gebruik van de Zevenspronggymzaal</t>
  </si>
  <si>
    <t>Diverse verenigingen maken gebruik van de Paersackergymzaal</t>
  </si>
  <si>
    <t>Diverse verenigingen maken gebruik van gymzaal Heivelden</t>
  </si>
  <si>
    <t>Op doordeweekse dagen tussen 17.00 en 23.00 uur en in de weekeinden tussen 09.00 en 18.00 uur heeft de gemeente de beschikking over de sportzaal van het Heerbeeck College.</t>
  </si>
  <si>
    <t>Grote zaal</t>
  </si>
  <si>
    <t>3e gymzaal</t>
  </si>
  <si>
    <t>D: Zwembad</t>
  </si>
  <si>
    <t>Sportlaan 7 (zwembad De Dolfijn)</t>
  </si>
  <si>
    <t>Het betreft werkzaamheden m.b.t. toezicht en kassa.</t>
  </si>
  <si>
    <t>Veiligheid Dolfijn-beveiliging (27)</t>
  </si>
  <si>
    <t xml:space="preserve">Uitbesteed onderhoud aan WSD en </t>
  </si>
  <si>
    <t>technisch onderhoud door WSD</t>
  </si>
  <si>
    <t>- Gasverbruik</t>
  </si>
  <si>
    <t>Vervanging van meubilair</t>
  </si>
  <si>
    <t>Specificatie overige kosten</t>
  </si>
  <si>
    <t>- advertentiekosten</t>
  </si>
  <si>
    <t xml:space="preserve">- entreekaartjes, abonnementen, folders e.d. </t>
  </si>
  <si>
    <t>- onderhoud plantsoenen en ligweide</t>
  </si>
  <si>
    <t>- schoonmaak en verbandmiddelen</t>
  </si>
  <si>
    <t>- kosten zwemvierdaagse en spelweek</t>
  </si>
  <si>
    <t>- zwemwaterzuivering, chemicaliën</t>
  </si>
  <si>
    <t xml:space="preserve">- zwemwateronderzoek </t>
  </si>
  <si>
    <t>- containerkosten</t>
  </si>
  <si>
    <t>- legionella preventieonderzoek</t>
  </si>
  <si>
    <t>- overige kosten / dagelijks onderhoud</t>
  </si>
  <si>
    <t>A03/22 begrotingswijzijziging 2022</t>
  </si>
  <si>
    <t>Exploitatie vastgoed A03/22 begrotingswijziging 2022</t>
  </si>
  <si>
    <t>Directe toerekening sportaccomodaties</t>
  </si>
  <si>
    <t>- Beheer (gemeentelijke gebouwen en vastgoed)</t>
  </si>
  <si>
    <t>- Team beheer buiten (cluster sportacc)</t>
  </si>
  <si>
    <t>Machines en vervanging kleine machines (sportparken)</t>
  </si>
  <si>
    <t>bestelauto Peugeot 11-VV-DK</t>
  </si>
  <si>
    <t>bestelauto Peugeot 67-VT-ZZ</t>
  </si>
  <si>
    <t>tractor met frontlader en aanhangwagen</t>
  </si>
  <si>
    <t>Vervanging kleine machines</t>
  </si>
  <si>
    <t>Onderh. en reparatie door derden inclusief div. materialen</t>
  </si>
  <si>
    <t>Met de horeca-exploitant van het openluchtzwembad is een overeenkomst aangegaan. De exploitant plaats verkoopautomaten voor fris, snoep, koffie en ijs. Per verkocht product ontvangt de gemeente € 0,10. Tevens ontvangt de gemeente vanaf 2012 € 2.000 voor het gebruik van de frituur.</t>
  </si>
  <si>
    <t>Verpachting consumptieverkoop</t>
  </si>
  <si>
    <t>Verhuur zwembad aan een plaatselijke zwemvereniging</t>
  </si>
  <si>
    <t>Totaal huren</t>
  </si>
  <si>
    <t>Raming opbrengst (inclusief BTW)</t>
  </si>
  <si>
    <t>Dagentree</t>
  </si>
  <si>
    <t xml:space="preserve"> dagentree à</t>
  </si>
  <si>
    <t>10 badenkaart</t>
  </si>
  <si>
    <t xml:space="preserve"> 10-badenkaarten à</t>
  </si>
  <si>
    <t>Jeugdabonnement</t>
  </si>
  <si>
    <t xml:space="preserve"> jeugdabonnementen à</t>
  </si>
  <si>
    <t>Volwassenenabonnement</t>
  </si>
  <si>
    <t xml:space="preserve"> volwassenenabonnementen à</t>
  </si>
  <si>
    <t>Gezinsabonnement</t>
  </si>
  <si>
    <t xml:space="preserve"> gezinsabonnementen à</t>
  </si>
  <si>
    <t>Dekking extra lasten voor veiligheid (27)</t>
  </si>
  <si>
    <t>Opbrengst entrees</t>
  </si>
  <si>
    <t>Als gevolg van het BTW-regime met betrekking tot zwembaden</t>
  </si>
  <si>
    <t>dient over de opbrengst 6% BTW afgedragen te worden.</t>
  </si>
  <si>
    <t>T53 Cultuurpresentatie, cultuurproductie en cultuurparticipatie</t>
  </si>
  <si>
    <t>Lokale omroep</t>
  </si>
  <si>
    <t>Algemene culturele zaken</t>
  </si>
  <si>
    <t>Cultureel programma</t>
  </si>
  <si>
    <t>Cursusaanbod welzijn</t>
  </si>
  <si>
    <t>Cultuureducatie</t>
  </si>
  <si>
    <t>Cultuurloper/CMK</t>
  </si>
  <si>
    <t>Onderhoud en advies kunstwerken</t>
  </si>
  <si>
    <t>Cultuurorganisaties</t>
  </si>
  <si>
    <t>Max de Bossusstraat 1 (Tejaterke)</t>
  </si>
  <si>
    <t>Uitvoeringsbudget</t>
  </si>
  <si>
    <t>Community art</t>
  </si>
  <si>
    <t>Beeldende kunst</t>
  </si>
  <si>
    <t>Directe toerekening cultuur (incl kunst)</t>
  </si>
  <si>
    <t>Cultuurloper / CMK</t>
  </si>
  <si>
    <t xml:space="preserve">Uitvoeringsbudget nieuwe cultuurnota </t>
  </si>
  <si>
    <t>Community Art</t>
  </si>
  <si>
    <t>Programma 'De Cultuur Loper (nr 16)</t>
  </si>
  <si>
    <t>Let op wordt verhoogd met ongeveer 11 cent per kind</t>
  </si>
  <si>
    <t>Bij het programma 'De cultuur Loper' wordt rekening gehouden</t>
  </si>
  <si>
    <t>Vanuit cultuuredcatie</t>
  </si>
  <si>
    <t>met 50% rijksbijdrage</t>
  </si>
  <si>
    <t>Let op gaat naart TUURLIJK 2e firap</t>
  </si>
  <si>
    <t>(ovb van cultuurorganisaties)</t>
  </si>
  <si>
    <t>Naar algemeen culturele zaken</t>
  </si>
  <si>
    <t>Kosten tbv kunstwerken dekking vanuit subside of reserve kunst</t>
  </si>
  <si>
    <t>Vanuit Cultureel programma</t>
  </si>
  <si>
    <t>Advieskosten</t>
  </si>
  <si>
    <t>Waterverbruik drinkwaterfonteinen</t>
  </si>
  <si>
    <t>Rep./oh kunstwerken/oorlogsmonumenten</t>
  </si>
  <si>
    <t>Subsidie ten behoeve van maatschappelijke evenementen</t>
  </si>
  <si>
    <t xml:space="preserve">- carnavalsoptocht </t>
  </si>
  <si>
    <t>- koningsdag</t>
  </si>
  <si>
    <t>- herdenkings- en bevrijdingsdag</t>
  </si>
  <si>
    <t>- sinterklaasoptocht</t>
  </si>
  <si>
    <t>- schaatsbaan</t>
  </si>
  <si>
    <t>- diverse</t>
  </si>
  <si>
    <t>- tienertent</t>
  </si>
  <si>
    <t>Subsidie ten behoeve van culturele aktiviteiten</t>
  </si>
  <si>
    <t>Subsidie lokale omroep 1,68 per woning</t>
  </si>
  <si>
    <t xml:space="preserve">  </t>
  </si>
  <si>
    <t>Betreft het verzorgen van cursussen op het gebied van welzijn</t>
  </si>
  <si>
    <t>Subsidie tbv Bibliotheek</t>
  </si>
  <si>
    <t>Totaal 832101</t>
  </si>
  <si>
    <t>Subsidie muziek-, dans- en dramaonderwijs /cultuureducatie</t>
  </si>
  <si>
    <t xml:space="preserve">Cutlturele activiteiten </t>
  </si>
  <si>
    <t>Correctie tbv Culturele reserve</t>
  </si>
  <si>
    <t>Overboeking naar Subsidie Culturele activiteiten</t>
  </si>
  <si>
    <t>TBV CMK 631004</t>
  </si>
  <si>
    <t>Aframing Kaderbrief 2026</t>
  </si>
  <si>
    <t>Totaal 442401</t>
  </si>
  <si>
    <t>Cultureel educatie</t>
  </si>
  <si>
    <t xml:space="preserve">In de 'Nadere regeling subsidieverstrekking muziek-, dans- en dramaonderwijs gemeente Best' is bepaald dat 70% van de totale </t>
  </si>
  <si>
    <t>subsidie bestemd is voor activiteiten op locatie Culturele Hotspot en 30% van de totale subsidie bestemd is voor activiteiten met een</t>
  </si>
  <si>
    <t>BL21-17934</t>
  </si>
  <si>
    <t>innovatief karakter of die reuring in het centrum veroorzaken.</t>
  </si>
  <si>
    <t>- Regie en ontwikkeling (cultuur)</t>
  </si>
  <si>
    <t>- Regie en ontwikkeling (gem. gebouwen en vastgoed)</t>
  </si>
  <si>
    <t>- Regie en ontwikkeling (kunst)</t>
  </si>
  <si>
    <t>Nieuw beleid 2025</t>
  </si>
  <si>
    <t>Coordinerende taken culturele voorzieningen (Tuurlijk), nr 11</t>
  </si>
  <si>
    <t>John, moet deze nog blijven staan?</t>
  </si>
  <si>
    <t>Coordinerende taken culturele voorzieningen, nr 11</t>
  </si>
  <si>
    <t>(Bijdrage uit de Brede regeling combinatiefunctionarissen)</t>
  </si>
  <si>
    <t>Totaal 84310</t>
  </si>
  <si>
    <t>Buurthuis Naastebuur en 't Tejaterke (P195)</t>
  </si>
  <si>
    <t>Verhuur Buurthuis Naastebuur/'t Tejaterke</t>
  </si>
  <si>
    <t>Regionaal Historisch Centrum</t>
  </si>
  <si>
    <t xml:space="preserve">Bij raadsbesluit van 19 februari 1979, goedgekeurd d.d. 24 oktober 1979, G nr. 83.691 is de gemeente Best toegetreden tot de gemeenschappelijke regeling "Regeling Streekarchief Zuid-Oost Brabant". De bijdragen van de deelnemende gemeenten zijn deels op inwoneraantallen en deels op basis van de omvang van de opgeslagen archieven. Inmiddels nemen 20 gemeenten deel aan het streekarchief. Vanaf 1 januari 2003 luidt de naam van het streekarchief Regionaal Historisch Centrum Eindhoven (RHCe). </t>
  </si>
  <si>
    <t xml:space="preserve">Het bedrijfsplan 2014-2017 van het RHCe is geactualiseerd. De meest in het oog springende wijziging ten opzichte van het vorige bedrijfsplan is de verdeelsystematiek van de kosten. De verdeelsleutels voor de kostenverdeling zijn vereenvoudigd. De kosten van het RHCe worden nu zoveel als mogelijk verdeeld over de deelnemende gemeenten op basis van inwoneraantallen. </t>
  </si>
  <si>
    <t>Bijdrage conform begroting 2023 MRE:</t>
  </si>
  <si>
    <t>- Kosten archiefbewaarplaats/depot van aan gemeente toegerekende m²</t>
  </si>
  <si>
    <t>- Duurzame Digitale Opslagvoorziening (naar verhouding inwoneraantal)</t>
  </si>
  <si>
    <t xml:space="preserve">- Verdeling kosten RHCe excl. Archiefbewaarplaats/depot </t>
  </si>
  <si>
    <t>(naar verhouding inwoneraantal)</t>
  </si>
  <si>
    <t>Totaal gemeentelijke bijdrage RHCe</t>
  </si>
  <si>
    <t>Joe Mann Theater</t>
  </si>
  <si>
    <t>Archeologie en monumentenzorg</t>
  </si>
  <si>
    <t>ODZOB Archeologie/monumenten</t>
  </si>
  <si>
    <t>Belastingen en heffingen (ozb) Joe Mann</t>
  </si>
  <si>
    <t>Belastingen en heffingen (rioolrecht) Joe Mann</t>
  </si>
  <si>
    <t>Verzekeringen (brandverzekering) Joe Mann</t>
  </si>
  <si>
    <t>Directe toerekening musea en cultureel erfgoed</t>
  </si>
  <si>
    <t>Uitvoering monumentenbeleid</t>
  </si>
  <si>
    <t>Subsidie instandhouding monumenten</t>
  </si>
  <si>
    <t xml:space="preserve">Subsidie erfgoed </t>
  </si>
  <si>
    <t>ODZOB Archeologie/cultuurhistorie</t>
  </si>
  <si>
    <t>Regiepersoneel (werkprogramma ODZOB)</t>
  </si>
  <si>
    <t>- Meer en kwalitatief oz archeologie (buiten werkprogramma ODZOB)</t>
  </si>
  <si>
    <t>Onderhoud Joe Mann theater</t>
  </si>
  <si>
    <t>Joe Mannweg 6 (natuurtheater)</t>
  </si>
  <si>
    <t>In de vergadering van 5 juni 2012 heeft het college besloten tot:</t>
  </si>
  <si>
    <t>Het Joe Mann natuurtheater, de toegangspoort, de oprijlaan en het Joe Mann-herdenkingsmonument aan te wijzen als gemeentelijke monumenten.</t>
  </si>
  <si>
    <t>In de vergadering van 9 december 2014 heeft het college ingestemd met de overeenkomst tot vestiging</t>
  </si>
  <si>
    <t xml:space="preserve">van een recht van erfpacht voor Natuurtheater Joe Mann. In mei 2022 is de overeenkomst beëindigd. </t>
  </si>
  <si>
    <t>Het beheer is weer terug bij de gemeente.</t>
  </si>
  <si>
    <t>Raadhuisplein 32 (bibliotheek)</t>
  </si>
  <si>
    <t>Onderhoudsvoorzieningen (O107)</t>
  </si>
  <si>
    <t>Directe toerekening media</t>
  </si>
  <si>
    <t>Raadhuisplein 32</t>
  </si>
  <si>
    <t>Betreft kosten openbare bibliotheek gevestigd aan Raadhuisplein 32.</t>
  </si>
  <si>
    <t>Verhuiskosten bibiliotheek raadsvoorstel IN23-00467</t>
  </si>
  <si>
    <t>Beheerskosten vve</t>
  </si>
  <si>
    <t>Subsidiebijstelling a.g.v. Wet stelsel openbare bibliotheek-</t>
  </si>
  <si>
    <t>voorzieningen.a.v. centralisatie inkoop e-content</t>
  </si>
  <si>
    <t>Extra subsidie tbv huurlasten</t>
  </si>
  <si>
    <t xml:space="preserve">W01-2025: </t>
  </si>
  <si>
    <t>Totaal 442406</t>
  </si>
  <si>
    <t>was buurthuis Naastenbuur/'t Tejaterke (opbrengst staat onder taakveld 53)</t>
  </si>
  <si>
    <t>- Beheer buitendienst</t>
  </si>
  <si>
    <t>Betreft de verhuur van het pand Raadhuisplein 32</t>
  </si>
  <si>
    <t>T57 Openbaar groen, (openlucht) recreatie</t>
  </si>
  <si>
    <t>Bevordering toerisme</t>
  </si>
  <si>
    <t>GLOW</t>
  </si>
  <si>
    <t>Landschapsfonds</t>
  </si>
  <si>
    <t>Doorbelast overhead</t>
  </si>
  <si>
    <t xml:space="preserve">Klokken, uurwerken, speelwerken </t>
  </si>
  <si>
    <t>Onderhoud plantsoenen</t>
  </si>
  <si>
    <t>Natuurbeheer Vleutse Broek</t>
  </si>
  <si>
    <t>Onderhoud bossen, heide en vennen</t>
  </si>
  <si>
    <t>Onderhoud bomen</t>
  </si>
  <si>
    <t>Subsidies, contributies en bijdragen bossen</t>
  </si>
  <si>
    <t>Onderhoud hondentoiletten</t>
  </si>
  <si>
    <t>Vaste werken en leveringen</t>
  </si>
  <si>
    <t>Onderhoud recreatieve voorzieningen</t>
  </si>
  <si>
    <t>Prinses Beatrixlaan 3 (dierenweide)</t>
  </si>
  <si>
    <t>Onderhoud speelelementen en speelplaatsen (P170)</t>
  </si>
  <si>
    <t>Machinepark en  bestelwagens (plantsoenen en bossen)</t>
  </si>
  <si>
    <t>Doorbelasting overhead</t>
  </si>
  <si>
    <t>Verzekeringen (fiets))</t>
  </si>
  <si>
    <t>Projecten Landschapsinvesteringsregeling</t>
  </si>
  <si>
    <t>Overige uitgaven</t>
  </si>
  <si>
    <t>Directe toerekening openbaar groen en recreatie</t>
  </si>
  <si>
    <t>Jaarwedden etc. plantsoenen etc</t>
  </si>
  <si>
    <t>Jaarwedden doorber.van T04 naar groen</t>
  </si>
  <si>
    <t>Afschrijving doorber. van T04 naar groen</t>
  </si>
  <si>
    <t>Rotondesponsoring</t>
  </si>
  <si>
    <t>Huur</t>
  </si>
  <si>
    <t>Houtverkopingen</t>
  </si>
  <si>
    <t>Pacht van de jacht en visserij</t>
  </si>
  <si>
    <t>Bijdrage van het rijk in recreatieve bossen</t>
  </si>
  <si>
    <t>Klokken, uurwerken, speelwerken e.d.</t>
  </si>
  <si>
    <t>- onderhoudscontract carilloninstallatie</t>
  </si>
  <si>
    <t>- vervangen/herstellen bandspeelwerk</t>
  </si>
  <si>
    <t>- inboet plantmaterialen</t>
  </si>
  <si>
    <t>- verwerking groenafval plantsoenen</t>
  </si>
  <si>
    <t>- bollen, perkplanten</t>
  </si>
  <si>
    <t>- diversen (water, herstel hekwerken, bestratingen e.d.)</t>
  </si>
  <si>
    <t>Mutatie 1e finrap 2021:</t>
  </si>
  <si>
    <t>Bemesten oude plantsoenen (inzet WSD dividend)</t>
  </si>
  <si>
    <t>Uitbesteed onderhoud (meerjarencontracten):</t>
  </si>
  <si>
    <t>Wijkbestek 1 , (Vogels)</t>
  </si>
  <si>
    <t>Wijkbestek 2 , (WSD) (wachten op aanbesteding)</t>
  </si>
  <si>
    <t>Wijkbestek Berm 3 , (Vogels)</t>
  </si>
  <si>
    <t>Snoeibestek, (Donkergroen)</t>
  </si>
  <si>
    <t>Kaderbrief 2024: areaaluitbreiding onderhoud groen</t>
  </si>
  <si>
    <t>Meerkosten Dijkstraten, Aarle en Steegsche Velden</t>
  </si>
  <si>
    <t>Totaal 43814</t>
  </si>
  <si>
    <t>Beheer natuur Vleutse Broek</t>
  </si>
  <si>
    <t xml:space="preserve">  huur hoogwerker t.b.v. snoeien van bomen</t>
  </si>
  <si>
    <t>- onderzoek van grond en bomen</t>
  </si>
  <si>
    <t>- ziektebestrijding en bemesting</t>
  </si>
  <si>
    <t>- vervanging bomen en overige leveringen zoals</t>
  </si>
  <si>
    <t xml:space="preserve">  bomengrond, boompalen, water geven,</t>
  </si>
  <si>
    <t xml:space="preserve">- Onderhoud bomen centrum </t>
  </si>
  <si>
    <t>Verwijderen stamschot bomen buitengebied</t>
  </si>
  <si>
    <t>- stortkosten</t>
  </si>
  <si>
    <t>- klepelmaaien/ reparatie hekwerken</t>
  </si>
  <si>
    <t>- kosten areaaluitbreiding</t>
  </si>
  <si>
    <t>Uitbestede werkzaamheden WSD</t>
  </si>
  <si>
    <t>- Onderhoud stroken</t>
  </si>
  <si>
    <t>stroken 2x p.w. reiningen a €</t>
  </si>
  <si>
    <t xml:space="preserve">ledigen afvalbakken 2x p.w. a € </t>
  </si>
  <si>
    <t>WSD Bestek hondentoiletten</t>
  </si>
  <si>
    <t>- Onderhoud 10 hondentoiletten</t>
  </si>
  <si>
    <t>- Onderhoud/vervangen afvalbakken</t>
  </si>
  <si>
    <t>Subsidies, contributies en bijdragen</t>
  </si>
  <si>
    <t>Het betreft contributies voor:</t>
  </si>
  <si>
    <t>- Bosgroep Het Zuiden</t>
  </si>
  <si>
    <t>- Vereniging van Bos- en natuureigenaren</t>
  </si>
  <si>
    <t>- Unie van Bosgroepen (bijdr. FSC groepscertificering)</t>
  </si>
  <si>
    <t>- Klankbordgroep</t>
  </si>
  <si>
    <t>- Diverse</t>
  </si>
  <si>
    <t>- aframen budgetten cf Kaderbrief 2017</t>
  </si>
  <si>
    <t>- IVN</t>
  </si>
  <si>
    <t>- Onderhoud loof- en dennenbossen</t>
  </si>
  <si>
    <t>- Begrazen van het Langven e.o.</t>
  </si>
  <si>
    <t>- Onderhoud raster</t>
  </si>
  <si>
    <t xml:space="preserve">- Onderhoud paden, borden, slagbomen, vuilnisbakken </t>
  </si>
  <si>
    <t xml:space="preserve">   e.d. in de bossen</t>
  </si>
  <si>
    <t xml:space="preserve">- Onderhoud wandelroutenetwerk en 2 ommetjes </t>
  </si>
  <si>
    <t>- Coördinatie, beheer en ond. interlokale recr. routes *</t>
  </si>
  <si>
    <t>* Het college heeft op 25 februari 2014 besloten om samen met 20 andere gemeenten in Zuidoost Brabant een overeenkomst af te sluiten voor de coördinatie, beheer en onderhoud van de interlokale recreatieve routes. Het benodigde budget van € 10.615 wordt gedekt uit de verlaagde inwonersbijdrage SRE.</t>
  </si>
  <si>
    <t>beheer Dierenweide :</t>
  </si>
  <si>
    <t>- beheer door WSD</t>
  </si>
  <si>
    <t>+ dierverzorgingsmiddelen</t>
  </si>
  <si>
    <t>+ vrijwilligersvergoedingen</t>
  </si>
  <si>
    <t xml:space="preserve">- onderhoud </t>
  </si>
  <si>
    <t>Onderhoud speelelementen en speelplaatsen</t>
  </si>
  <si>
    <t>Oh.speelelementen (dekking uit R223)</t>
  </si>
  <si>
    <t>Kosten bestelwagen bossen</t>
  </si>
  <si>
    <t>- Bijdrage groenonderhoud Wadi's</t>
  </si>
  <si>
    <t xml:space="preserve">  uit product 09.07 Riolering en waterzuivering</t>
  </si>
  <si>
    <t>Werken voor derden</t>
  </si>
  <si>
    <t>- Muziekinstituut Best-Oirschot</t>
  </si>
  <si>
    <t>- Vereniging van Huiseigenaren Hoge Akker</t>
  </si>
  <si>
    <t>- Woningstichting Vitalis (ANWS)</t>
  </si>
  <si>
    <t>- Heerbeeckcollege</t>
  </si>
  <si>
    <t>- Mobest</t>
  </si>
  <si>
    <t>- De Wig</t>
  </si>
  <si>
    <t>- Snuffeltje</t>
  </si>
  <si>
    <t>- SKON</t>
  </si>
  <si>
    <t>- Heuvelhummeltje</t>
  </si>
  <si>
    <t>Sponsoring rotondes</t>
  </si>
  <si>
    <t>Totaal 83800</t>
  </si>
  <si>
    <t>- Opbrengst loofbossen en dennenbossen</t>
  </si>
  <si>
    <t>- aanpassen budgetten cf Kaderbrief 2017</t>
  </si>
  <si>
    <t>Huurovereenkomst inzake het genot van de jacht op alle bejaagbare gemeente-gronden met de Koninklijk Erkende Jagersvereniging Best</t>
  </si>
  <si>
    <t>Beheerssubsidie in het kader van de Subsidieregeling Natuurbeheer</t>
  </si>
  <si>
    <t>Toerisme en recreatie in Best</t>
  </si>
  <si>
    <t>- bewegwijzering</t>
  </si>
  <si>
    <t>- kosten website VVV</t>
  </si>
  <si>
    <t>- bevordering toerisme</t>
  </si>
  <si>
    <t>- overige</t>
  </si>
  <si>
    <t>- profilering Best (W01/21)</t>
  </si>
  <si>
    <t>Subsidie toerisme en recreatie in Best</t>
  </si>
  <si>
    <t>- Landschapsfonds algemeen (afdr. natuurcomp. Dijkstraten)</t>
  </si>
  <si>
    <t>- Landschapsfonds algemeen (afdr. natuurcomp. Aarlesche Erven)</t>
  </si>
  <si>
    <t>Landschapsinvesteringsregeling (LIR)</t>
  </si>
  <si>
    <t>Betreft afdracht vanuit de grondexploitaties. Wordt</t>
  </si>
  <si>
    <t>niet meer gestort in vrije algemene reserve</t>
  </si>
  <si>
    <t>- Afdracht natuur compensatie Dijkstraten</t>
  </si>
  <si>
    <t>- Afdracht natuur compensatie Aarlesche Erven</t>
  </si>
  <si>
    <t>Bovenstaande middelen moeten voor dit specifieke doel worden ingezet. De Provincie Noord-Brabant ziet hier op toe. De ontvangsten worden toegevoegd aan de Reserve landschapsinvesteringsregelingen (R228). Zie hiervoor T010.</t>
  </si>
  <si>
    <t>Projecten landschapsinvesteringsregeling (dekking uit reserve LIR)</t>
  </si>
  <si>
    <t>Project Nieuwe Heide nieuw budget 2026, nr 12</t>
  </si>
  <si>
    <t>Project stuctuurvisie buitengebied nieuw budget 2026 , nr 31</t>
  </si>
  <si>
    <t>- W02/25 1e firap : GLOW</t>
  </si>
  <si>
    <t>- Ondersteuning (plantsoenen)</t>
  </si>
  <si>
    <t>- Beheer Vastgoed</t>
  </si>
  <si>
    <t>Correctie 2021 Senior mw beheer openbare ruimte / vac.</t>
  </si>
  <si>
    <t>Correctie 2022 Senior mw beheer openbare ruimte / vac.</t>
  </si>
  <si>
    <t>Correctie 2023 Senior mw beheer openbare ruimte / vac.</t>
  </si>
  <si>
    <t>Correctie 2024 Senior mw beheer openbare ruimte / vac.</t>
  </si>
  <si>
    <t>Kaderbrief 2026 formatie groen en ecologie (nieuw beleid 2026, nr 10)</t>
  </si>
  <si>
    <t>07. Maatschappelijke ondersteuning</t>
  </si>
  <si>
    <t>Tot dit taakveld behoren algemene voorzieningen (waarvoor geen individuele beschikking van de gemeente nodig is) gericht op participatie:</t>
  </si>
  <si>
    <t>ondersteunen op participatie gerichte burgerinitiatieven, ondersteuning vrijwilligers en mantelzorg;</t>
  </si>
  <si>
    <t>sociaal en cultureel werk, Algemeen Maatschappelijk Werk (AMW), wijkopbouw;</t>
  </si>
  <si>
    <t>preventie (bijv. eenzaamheidsbestrijding, preventie op het gebied van GGZ);</t>
  </si>
  <si>
    <t>buurt- en clubhuizen;</t>
  </si>
  <si>
    <t>collectief aanvullend vervoer;</t>
  </si>
  <si>
    <t>toegankelijkheid voorzieningen (inclusie);</t>
  </si>
  <si>
    <t>kinderopvang: toezicht op en handhaving van de kwaliteit van de kinderopvang en peuterspeelzalen;</t>
  </si>
  <si>
    <t>aanvraag en verstrekking kinderopvangtoeslag Sociaal Medische Indicatie;</t>
  </si>
  <si>
    <t>activiteiten volgend uit de Wet Inburgering;</t>
  </si>
  <si>
    <t>noodopvang vluchtelingen;</t>
  </si>
  <si>
    <t>vreemdelingen;</t>
  </si>
  <si>
    <t>LHBT-beleid;</t>
  </si>
  <si>
    <t>Tot dit taakveld behoren niet:</t>
  </si>
  <si>
    <t>peuterspeelzalen: deze horen thuis onder taakveld 4.3;</t>
  </si>
  <si>
    <t>inburgering oudkomers, hoort thuis onder taakveld 6.5.</t>
  </si>
  <si>
    <t>Jongerencentrum</t>
  </si>
  <si>
    <t>Uitvoering Vergrijzingsprogramma</t>
  </si>
  <si>
    <t>Uitvoering inclusie-agenda</t>
  </si>
  <si>
    <t>Koningin Emmalaan 27 (vso)</t>
  </si>
  <si>
    <t>Onderhoudsvoorzieningen (O121)</t>
  </si>
  <si>
    <t>Vlinderhei 12 (vso)</t>
  </si>
  <si>
    <t>Onderhoudsvoorzieningen (O122)</t>
  </si>
  <si>
    <t>Burgemeester Notermansstraat 29A (vso)</t>
  </si>
  <si>
    <t>Spar 2 (vso)</t>
  </si>
  <si>
    <t>Onderhoudsvoorzieningen (O120)</t>
  </si>
  <si>
    <t>Trompstraat 39 (vso)</t>
  </si>
  <si>
    <t>Onderhoudsvoorzieningen (O123)</t>
  </si>
  <si>
    <t>Vlinderhei 7 (vso)</t>
  </si>
  <si>
    <t>Belastingen en heffingen (afvalstoffenheffing, ozb, rioolrecht)</t>
  </si>
  <si>
    <t>Onderhoudsvoorzieningen (O124)</t>
  </si>
  <si>
    <t>Burgemeester Notermansstraat 27 (vso)</t>
  </si>
  <si>
    <t>Onderhoudsvoorzieningen (O126)</t>
  </si>
  <si>
    <t>Wildheuvel 1-3 (schoolwoningen-vso)</t>
  </si>
  <si>
    <t>Belastingen en heffingen (ozb, waterschapslasten)</t>
  </si>
  <si>
    <t>Wildheuvel 9-19 (schoolwoningen-vso)</t>
  </si>
  <si>
    <t>Joh. Verleunstraat 27/27a (schoolwoningen-vso)</t>
  </si>
  <si>
    <t>Burgerinitiatieven respijtzorg</t>
  </si>
  <si>
    <t>Maatschappelijk werk en huiselijk geweld</t>
  </si>
  <si>
    <t>Welzijnsfonds</t>
  </si>
  <si>
    <t>Inkomensoverdrachten aan overige instellingen</t>
  </si>
  <si>
    <t>Adviesraad sociaal domein</t>
  </si>
  <si>
    <t>Dementievoorzieningen</t>
  </si>
  <si>
    <t>A01/22 begrotingswijziging 2022</t>
  </si>
  <si>
    <t>Directe toerekening samenkracht en burgerparticipatie</t>
  </si>
  <si>
    <t>Subsidie zelfredzaamheid, participatie en mantelzorgondersteuning</t>
  </si>
  <si>
    <t>Algemene voorzieningen welzijn</t>
  </si>
  <si>
    <t>Diverse buurtaccommodaties</t>
  </si>
  <si>
    <t>Buutrcentra Vlinderhei 16 / Zessprong</t>
  </si>
  <si>
    <t>Onderhoudsvoorzieningen (O133)</t>
  </si>
  <si>
    <t>GGZ</t>
  </si>
  <si>
    <t>Ondersteuning en waardering mantelzorgers</t>
  </si>
  <si>
    <t>Integrale wijkontwikkeling</t>
  </si>
  <si>
    <t>Belastingen en heffingen (ozb, afvalstoffen, waterschap, rioolheffing)</t>
  </si>
  <si>
    <t>Onderhoudsvoorzieningen (O119)</t>
  </si>
  <si>
    <t>Buurtbudget</t>
  </si>
  <si>
    <t>BS Valpreventie</t>
  </si>
  <si>
    <t>BS Versterken sociale basis</t>
  </si>
  <si>
    <t>BS Mantelzorg</t>
  </si>
  <si>
    <t>BS Eén tegen eenzaamheid</t>
  </si>
  <si>
    <t>BS Welzijn op recept</t>
  </si>
  <si>
    <t>Burg Notermansstraat 27 (vso)</t>
  </si>
  <si>
    <t>Vlinderhei 16 (buurtvoorziening)</t>
  </si>
  <si>
    <t>Haktol 1 (KDV Zevensprong)</t>
  </si>
  <si>
    <t>Den Dries 17 (KDV Op 't Erf)</t>
  </si>
  <si>
    <t>Maatstok 1 (KDV Platijn)</t>
  </si>
  <si>
    <t>Verhuur jongerencentrum TODO</t>
  </si>
  <si>
    <t>Inkomensoverdracht van het rijk</t>
  </si>
  <si>
    <t>Vernieuwende initiatieven ten aanzien van respijtzorg</t>
  </si>
  <si>
    <t>B.T.W. niet compensabel/niet aftrekbaar</t>
  </si>
  <si>
    <t>- Lumens Groep</t>
  </si>
  <si>
    <t>Herrubricering middelen sociaal domein</t>
  </si>
  <si>
    <t>- Stichting Slachtofferhulp Nederland regio Brabant NZO</t>
  </si>
  <si>
    <t>subsidie welzijnsfonds (o.a. Scouting)</t>
  </si>
  <si>
    <t>Budget WMO - adviesraad</t>
  </si>
  <si>
    <t>Aframing</t>
  </si>
  <si>
    <t>Nieuw budget 2026, teamleider (nr 15)</t>
  </si>
  <si>
    <t>Afschrijvingen T61</t>
  </si>
  <si>
    <t>collectieve verzekering WA en ongevallen voor vrijwilligers</t>
  </si>
  <si>
    <t>- Coorporatie Slimmer Leven 2020</t>
  </si>
  <si>
    <t>Aanvulling op basis van meicirculaire 2019:</t>
  </si>
  <si>
    <t>Met ingang van 1 januari 2020 treedt de Wet verplichte ggz</t>
  </si>
  <si>
    <t>in werking. Voor de gemeentelijke taken en bijbehorende kosten</t>
  </si>
  <si>
    <t>is structureel een bedrag toegevoegd aan het gemeentefonds.</t>
  </si>
  <si>
    <t>Dit bedrag wordt geoormerkt tbv gem. taken en bijbehorende kosten</t>
  </si>
  <si>
    <t xml:space="preserve">(deze middelen worden ingezet voor lokale implementatie) </t>
  </si>
  <si>
    <t xml:space="preserve">Invoering Wet verplichte ggz: herverdeling </t>
  </si>
  <si>
    <t>- A01/22 begrotingswijziging 2022</t>
  </si>
  <si>
    <t>LEV (incl. huur Bestwijzer)</t>
  </si>
  <si>
    <t>Vlinderhei 16</t>
  </si>
  <si>
    <t>Subsidie beheersstichting</t>
  </si>
  <si>
    <t>Clientondersteuning, collectieve preventie en inloopfunctie GGZe</t>
  </si>
  <si>
    <t>Herverdeling naar taakveld T67 1c</t>
  </si>
  <si>
    <t>Clientenondersteuning MEE ZO-Brabant</t>
  </si>
  <si>
    <t>Wet verplichte GGZ</t>
  </si>
  <si>
    <t>Ovb cliëntondersteuning naar #640001</t>
  </si>
  <si>
    <t>Samen op ons Best</t>
  </si>
  <si>
    <t>Herverdeling vanuit integrale wijkontwikkeling</t>
  </si>
  <si>
    <t>Brede SPUK Valpreventie</t>
  </si>
  <si>
    <t>Over naar 629006  Tuurlijk T51</t>
  </si>
  <si>
    <t>Brede SPUK Versterken sociale basis</t>
  </si>
  <si>
    <t>Brede SPUK Mantelzorg</t>
  </si>
  <si>
    <t>Brede SPUK Eén tegen eenzaamheid</t>
  </si>
  <si>
    <t>Brede SPUK Welzijn op recept</t>
  </si>
  <si>
    <t>Uitvoeringskosten</t>
  </si>
  <si>
    <t>Koningin Emmalaan 27</t>
  </si>
  <si>
    <t>Verhuur aan Partou</t>
  </si>
  <si>
    <t>Vlinderhei 12</t>
  </si>
  <si>
    <t>Verhuur aan Korein Kinderplein</t>
  </si>
  <si>
    <t>Spar 2</t>
  </si>
  <si>
    <t>Verhuur aan Stichting Kinderopvang Brabant</t>
  </si>
  <si>
    <t>Trompstraat 39</t>
  </si>
  <si>
    <t>Vlinderhei 7</t>
  </si>
  <si>
    <t>Burgemeester Notermansstraat 27</t>
  </si>
  <si>
    <t>Buurtaccommodaties</t>
  </si>
  <si>
    <t>- huur ondergrond buurthuis Het Centrum</t>
  </si>
  <si>
    <t>- huur ondergrond buurthuis buurtvereniging Aarle</t>
  </si>
  <si>
    <t>- huur ondergrond buurthuis OVS</t>
  </si>
  <si>
    <t>- huur og gebruikersvergoeding buurthuis Vlinderhei 16</t>
  </si>
  <si>
    <t>Wildheuvel 1-3</t>
  </si>
  <si>
    <t>Wildheuvel 9-19</t>
  </si>
  <si>
    <t>Verhuur aan Little People</t>
  </si>
  <si>
    <t>Joh. Verleunstraat 27/27a</t>
  </si>
  <si>
    <t>m2</t>
  </si>
  <si>
    <t>prijs per m2</t>
  </si>
  <si>
    <t>Verhuur aan Korein</t>
  </si>
  <si>
    <t>Let op bij overboeking naar Tuurlijk T51</t>
  </si>
  <si>
    <t>07. Sociaal Domein</t>
  </si>
  <si>
    <t>Gemeentewinkel</t>
  </si>
  <si>
    <t>T622 Toegang en eerstelijnsvoorzieningen Jeugd</t>
  </si>
  <si>
    <t>6.22 - Toegang en eerstelijnsvoorzieningen Jeugd</t>
  </si>
  <si>
    <t>Centra voor jeugd en gezin</t>
  </si>
  <si>
    <t>Subsidie centrum voor jeugd en gezin</t>
  </si>
  <si>
    <t>Bijdrage jeugd regionaal</t>
  </si>
  <si>
    <t>Bijdrage inkoop jeugd</t>
  </si>
  <si>
    <t>W02/25 1e financiele rapportage</t>
  </si>
  <si>
    <t>- Verhoging budget als gevolg van verschuiving budgetten binnen het sociaal domein.</t>
  </si>
  <si>
    <t>Preventief jeugdbeleid</t>
  </si>
  <si>
    <t>Subsidies</t>
  </si>
  <si>
    <t>- Obv de decembercirculaire 2024 worden middelen voor het onderdeel Jeugd geoormerkt.</t>
  </si>
  <si>
    <t>- Ovb vanuit budget voorschoolse voorzieningen vanwege verhoogde inzet preventief jeugdbeleid.</t>
  </si>
  <si>
    <t>Nieuw budget 2026 Ondersteuning Jongeren (nr 17)</t>
  </si>
  <si>
    <t>Subsidie preventief jeugdbeleid Lumens</t>
  </si>
  <si>
    <t>Herijking middelen sociaal domein nav 2e finrap '25</t>
  </si>
  <si>
    <t>Directe toerekening jeugd toegang/1e lijns</t>
  </si>
  <si>
    <t>Nieuw budget 2026 Gedragswetenschappper (nr 16)</t>
  </si>
  <si>
    <t>Nieuw budget 2026 Jeugd en gezinsbegeleider (nr 18)</t>
  </si>
  <si>
    <t>T623 Toegang en eerstelijnsvoorzieningen Integraal</t>
  </si>
  <si>
    <t>6.23 - Toegang en eerstelijnsvoorzieningen Integraal</t>
  </si>
  <si>
    <t>Belastingen en heffingen (afvalstoffen, ozb, waterschap, rioolrecht)</t>
  </si>
  <si>
    <t>Verzekeringen (brandverzekeringen)</t>
  </si>
  <si>
    <t>Onderhoudsvoorzieningen (O132)</t>
  </si>
  <si>
    <t>Exploitatie Bestwijzer</t>
  </si>
  <si>
    <t>Exploitatielasten Bestwijzer:</t>
  </si>
  <si>
    <t>Schoonmaakkosten ( w.o. Asito, Python, QS Ned.)</t>
  </si>
  <si>
    <t>Communicatiekosten</t>
  </si>
  <si>
    <t>Ledigen container (w.o. Baetsen, Box)</t>
  </si>
  <si>
    <t>Beveiligingskosten (w.o. CQB alarm, SMC abonnement)</t>
  </si>
  <si>
    <t>Huisvestingskosten (w.o. beplanting, klein onderhoud, servicek'n VVE)</t>
  </si>
  <si>
    <t>Activiteitenkosten (w.o. RK designs, informatiemarkt, thema-activiteit.)</t>
  </si>
  <si>
    <t>Vrijwilligerskosten (w.o. vergoeding, scholing, geschenken)</t>
  </si>
  <si>
    <t>Kantoorkosten (w.o. kantine-koffiepassen, div.abon., drukwerk, IT k'n)</t>
  </si>
  <si>
    <t>Overige kosten (w.o. advieskosten)</t>
  </si>
  <si>
    <t>- personele inzet afdeling communicatie t.b.v. Bestwijzer</t>
  </si>
  <si>
    <t>A03/22 Begrotingswijziging 2022</t>
  </si>
  <si>
    <t>Integrale toegang</t>
  </si>
  <si>
    <t>- Toegang jeugd en Wmo</t>
  </si>
  <si>
    <t>Compensatie extra uitgaven vanuit decembercirculaire 2021</t>
  </si>
  <si>
    <t>W02/25 1e financiele rapportage (werkelijke loonkosten)</t>
  </si>
  <si>
    <t>Nieuw budget 2026, dekking teamleider soc domein (nr 15)</t>
  </si>
  <si>
    <t>Directe toerekening integraal toegang/1e lijns</t>
  </si>
  <si>
    <t>- Team Ruimtelijke ontwikkelingen</t>
  </si>
  <si>
    <t>- Team Beheer buiten</t>
  </si>
  <si>
    <t>Nazarethstraat 173 (Bestwijzer)</t>
  </si>
  <si>
    <t>- Verhuur Ontmoeting</t>
  </si>
  <si>
    <t>- Huur GGD</t>
  </si>
  <si>
    <t>07. Werk en inkomen</t>
  </si>
  <si>
    <t>Participatiewet uitkeringen</t>
  </si>
  <si>
    <t>Sociale verstrekkingen in geld</t>
  </si>
  <si>
    <t>Uitvoering participatiewet compensabel</t>
  </si>
  <si>
    <t>Uitvoering participatiewet niet compensabel</t>
  </si>
  <si>
    <t>Participatiewet toeslag beschermde woonvormen</t>
  </si>
  <si>
    <t>Directe toerekening inkomensvoorzieningen</t>
  </si>
  <si>
    <t>Uitkeringen aan ondernemers (bbz)</t>
  </si>
  <si>
    <t>Inkomensvoorzieningen ondernemers (bbz)</t>
  </si>
  <si>
    <t xml:space="preserve">Kapitaalverstrekking Bbz </t>
  </si>
  <si>
    <t>Bbz advieskosten uitgaven / afdrachten rijk</t>
  </si>
  <si>
    <t>Uitvoering BBZ</t>
  </si>
  <si>
    <t>Bbz uitkering en kapitaalverstr starters</t>
  </si>
  <si>
    <t>Loonkostensubsidie participatiewet</t>
  </si>
  <si>
    <t>Inkomensvoorzieningen Ioaw</t>
  </si>
  <si>
    <t>Inkomensvoorzieningen Ioaz</t>
  </si>
  <si>
    <t>Advieskosten Ioaz</t>
  </si>
  <si>
    <t>Bijzondere bijstand onbelast</t>
  </si>
  <si>
    <t>Bijzondere bijstand belast</t>
  </si>
  <si>
    <t>Sociaal fonds</t>
  </si>
  <si>
    <t>Kwijtschelding gemeentelijke belastingen</t>
  </si>
  <si>
    <t>overige kapitaaloverdracht instel/person.</t>
  </si>
  <si>
    <t>Voedselbank</t>
  </si>
  <si>
    <t>Gemeentelijke kredietbank</t>
  </si>
  <si>
    <t>Ondersteuning minima / minimabeleid</t>
  </si>
  <si>
    <t>Compensatie eigen bijdrage ziektekosten</t>
  </si>
  <si>
    <t>Inkomensvoorzieningen (BUIG)</t>
  </si>
  <si>
    <t>Overdrachten van het rijk</t>
  </si>
  <si>
    <t>Verhaal onderhoudsbijdrage participatiewet</t>
  </si>
  <si>
    <t>Verhaal sociale uitkeringen in geld</t>
  </si>
  <si>
    <t>Terugvordering uitkeringen participatiewet</t>
  </si>
  <si>
    <t>Boetes participatiewet</t>
  </si>
  <si>
    <t>kapitaalverstrekking BBZ</t>
  </si>
  <si>
    <t>Inkomensoverdrachten van overige instellingen</t>
  </si>
  <si>
    <t>Rente kapitaalverstrekking Bbz</t>
  </si>
  <si>
    <t>verhaal sociale uitkeringen natura</t>
  </si>
  <si>
    <t>Op basis van ontwikkelingen uitkeringsdossiers</t>
  </si>
  <si>
    <t>W02/25 1e fin.rapportage</t>
  </si>
  <si>
    <t>Voor de jaren 2023 e.v. wordt er gerekend met een gemiddeld aantal uitkeringsdossiers van 350 à € 14.900.</t>
  </si>
  <si>
    <t>Kosten bijzonder onderzoek, communicatieplan</t>
  </si>
  <si>
    <t>Klanttevredenheidsonderzoek SoZa (elke 2 jaar)</t>
  </si>
  <si>
    <t>Kosten handboek WMO</t>
  </si>
  <si>
    <t>Klanttevredenheidsonderzoek</t>
  </si>
  <si>
    <t>Diverse uitvoeringskosten WWB</t>
  </si>
  <si>
    <t>Onder de diverse uitvoeringskosten WWB worden o.m. de volgende kosten</t>
  </si>
  <si>
    <t xml:space="preserve">bedoeld: </t>
  </si>
  <si>
    <t>- Kosten voor het opvragen van gegevens in Suwinet en GGD adviezen</t>
  </si>
  <si>
    <t>- Kosten bijzonder onderzoek</t>
  </si>
  <si>
    <t xml:space="preserve">- Onderhoud handboek WWB (Schulinck) </t>
  </si>
  <si>
    <t>- GRIP op de WMO (Schulinck)</t>
  </si>
  <si>
    <t>- Budget minima t.b.v communicatieplan Soza</t>
  </si>
  <si>
    <t>- Diverse voorlichtingsmaterialen/ NIBUD prijzengids</t>
  </si>
  <si>
    <r>
      <t xml:space="preserve">x klanten à </t>
    </r>
    <r>
      <rPr>
        <sz val="10"/>
        <rFont val="Calibri"/>
        <family val="2"/>
      </rPr>
      <t>€</t>
    </r>
    <r>
      <rPr>
        <sz val="10"/>
        <rFont val="Tahoma"/>
        <family val="2"/>
      </rPr>
      <t xml:space="preserve"> 4.117</t>
    </r>
  </si>
  <si>
    <t>Hieronder valt zak- en kleedgeld.</t>
  </si>
  <si>
    <t>Ten behoeve van mensen die op eigen kracht niet in staat zijn</t>
  </si>
  <si>
    <t>om het wettelijk minimumloon te verdienen</t>
  </si>
  <si>
    <t>- team ondersteuning &amp; participatie</t>
  </si>
  <si>
    <t>- Coordinator leergeld (nr 17) -samenwerking met andere gemeenten</t>
  </si>
  <si>
    <t>In formatie? Emile -&gt; niet in formatie, wordt ingehuurd dus budget laten staan.</t>
  </si>
  <si>
    <t>-Kaderbrief 2025 (12) armoederegisseur (RSD)</t>
  </si>
  <si>
    <t>Niet in Staat B, wordt gedekt uit budget</t>
  </si>
  <si>
    <t>-Kaderbrief 2025 (13) uitvoeringsbudg laaggeletterdheid</t>
  </si>
  <si>
    <t>Geen formatie maar uitvoeringsbudget, als budget laten staan.</t>
  </si>
  <si>
    <t>Naar taakvled 65</t>
  </si>
  <si>
    <t>Nieuwe budgetten 2026</t>
  </si>
  <si>
    <t>Klantmanagers werk-zorg en inkomen (nr 20)</t>
  </si>
  <si>
    <t>Kwaliteitsmedewerker inkomensregeingen (nr 21)</t>
  </si>
  <si>
    <t>Junior klantmanager inkomen (nr 22)</t>
  </si>
  <si>
    <t>Medewerker uitkeringsadministratie (nr 23)</t>
  </si>
  <si>
    <t>Ondersteuinend medewerker Soc Domein (nr 24)</t>
  </si>
  <si>
    <t>Toegekende uitkeringen voor levensonderhoud van gevestigde</t>
  </si>
  <si>
    <t>zelfstandigen</t>
  </si>
  <si>
    <t>Bbz-verstrekkingen</t>
  </si>
  <si>
    <t>Normbaten kapitaalverstrekking</t>
  </si>
  <si>
    <t>Bbz advieskosten uitgaven en afdrachten rijk</t>
  </si>
  <si>
    <t>Uitvoering door Motivity</t>
  </si>
  <si>
    <t>Uitvoering bbz</t>
  </si>
  <si>
    <t>Ondersteuning zelfstandigen, advieskosten</t>
  </si>
  <si>
    <t>Bbz uitkering en kapitaalverstrekking starters</t>
  </si>
  <si>
    <t>Uitgaven voor levensonderhoud voor beginnende zelfstandigen</t>
  </si>
  <si>
    <t>Inkomensvoorzieningen ioaw</t>
  </si>
  <si>
    <t>Totaal na bijstelling</t>
  </si>
  <si>
    <t>Inkomensvoorzieningen ioaz</t>
  </si>
  <si>
    <t>Dit betreffen kosten inzake voortgangsrapportages</t>
  </si>
  <si>
    <t xml:space="preserve">Bijzondere bijstand onbelast </t>
  </si>
  <si>
    <t>- Budget bijzondere bijstand</t>
  </si>
  <si>
    <t>Alle bijstand die wordt verstrekt boven de algemene bijstand (basisnorm plus eventuele toeslag) valt onder de bijzondere bijstand. Bijzondere bijstand is alleen mogelijk als iemand in bijzondere omstandigheden verkeert, waardoor hij hogere noodzakelijke kosten heeft dan waarin de algemene bijstand voorziet.</t>
  </si>
  <si>
    <t>Betreft voornamelijk bijzondere bijstand voor levensonderhoud aan 18 t/m 20 jarigen, indien de middelen van de ouders/verzorgers niet toereikend zijn of betrokkene zijn onderhoudsrecht jegens zijn ouders niet ten gelde kan maken. Verder toeslag voormalig alleenstaande ouder en extra bijstand voor de vaste lasten zoals huur en vastrecht aan personen die tijdelijk zijn opgenomen in een inrichting of aan hen die tijdelijk dubbele vaste woonlasten hebben.</t>
  </si>
  <si>
    <t>Een fonds waaruit geput kan worden na een collegebesluit, wanneer alle overige mogelijkheden om de financiële hulp te bieden niet mogelijk zijn.</t>
  </si>
  <si>
    <t>450 toegekende verzoeken</t>
  </si>
  <si>
    <t>Voor een drietal gemeentelijke belastingen kan kwijtschelding worden aangevraagd. Het betreft de onroerende-zaakbelastingen, het rioolrecht en de afvalstoffenheffing.</t>
  </si>
  <si>
    <t>Raming budget t.b.v. dienstverlening door Gemeentelijke kredietbanken</t>
  </si>
  <si>
    <t>Ondersteuning minima</t>
  </si>
  <si>
    <t>Budget tbv ondersteuning minima</t>
  </si>
  <si>
    <t>Hiervan wordt onder meer betaald:</t>
  </si>
  <si>
    <t>- Ondersteuning minima 18- / Stichting Leergeld</t>
  </si>
  <si>
    <t>- Meedoenregeling 18+ / uitvoering door gemeente</t>
  </si>
  <si>
    <t>Compensatie eigen bijdrage</t>
  </si>
  <si>
    <t>Inkomensvoorzieningen (buig)</t>
  </si>
  <si>
    <t>Inkomensdeel t.b.v. het verstrekken van algemene bijstand</t>
  </si>
  <si>
    <t>De werkelijke uitgaven worden gebaseerd op basis van de verdeling van het macrobudget.</t>
  </si>
  <si>
    <t>Gemeenten met inwoners tussen 25.000 - 40.0000 ontvangen een gemeentelijk budget</t>
  </si>
  <si>
    <t xml:space="preserve">gebaseerd op een mix van een objectief model en o.b.v. historie. Het effect van objectieve </t>
  </si>
  <si>
    <t>factoren hebben altijd pas een effect na 2 jaar. (T-2 berekening)</t>
  </si>
  <si>
    <t>Raming verhaal onderhoudsbijdrage</t>
  </si>
  <si>
    <t>De kosten van bijstand moeten door de gemeente in voorkomende gevallen op derden worden verhaald, zoals bijvoorbeeld op de onderhoudsplichtige echtgenoot.</t>
  </si>
  <si>
    <t>Raming aflossing terugvordering</t>
  </si>
  <si>
    <t>De kosten van bijstand moeten door de gemeenten in voorkomende gevallen van de bijstandsontvanger zelf worden teruggevorderd. Daartoe zijn in de wet specifieke gronden opgenomen, bijvoorbeeld het verstrekken van onjuiste informatie.</t>
  </si>
  <si>
    <t>Raming administratieve boete</t>
  </si>
  <si>
    <t>Als een uitkeringsgerechtigde zich niet houdt aan bepaalde verplichtingen, is de gemeente in beginsel verplicht een administratieve maatregel (beter bekend als sanctie of strafkorting) of een boete op te leggen.</t>
  </si>
  <si>
    <t>Declaratie BBZ aan het Rijk:</t>
  </si>
  <si>
    <t>De bijdrage van het rijk bedraagt 75% van grootboek-</t>
  </si>
  <si>
    <t>nummer 638011-44110</t>
  </si>
  <si>
    <t>Onder deze post wordt de bijdrage van het Rijk van 75% van de bestedingen van toegekende uitkeringen voor levensonderhoud van gevestigde zelfstandigen verantwoord, alsmede het 'algemene budget' vanuit het Rijk.</t>
  </si>
  <si>
    <t>Declaratie BBZ:</t>
  </si>
  <si>
    <t>nummer 638012-44110</t>
  </si>
  <si>
    <t>- aangezien het lastig in te schatten is wat het bedrag aan terug te</t>
  </si>
  <si>
    <t>ontvangen aflossingen in het begrotingsjaar is, wordt het bedrag</t>
  </si>
  <si>
    <t>gelijk gesteld aan de normbaten die aan het Rijk betaald dient te worden</t>
  </si>
  <si>
    <t>(budgetneutraal)</t>
  </si>
  <si>
    <t>Dit betreft de werkelijk ontvangen rente van verstrekte BBZ-leningen</t>
  </si>
  <si>
    <t>Raming terugvordering ten onrechte verstrekte uitkeringen</t>
  </si>
  <si>
    <t>Kadernota 2026</t>
  </si>
  <si>
    <t>Bijdrage gemeente Oirschot kwaliteitsmedewerker inkomen (nr 21)</t>
  </si>
  <si>
    <t>Bijdrage gemeente Oirschot medewerker uitkeringsadministratie (nr 223)</t>
  </si>
  <si>
    <t>T64 WSW en beschut werk</t>
  </si>
  <si>
    <t>6.4 - WSW en beschut werk</t>
  </si>
  <si>
    <t>Tot dit taakveld behoren voorzieningen ter bevordering van maatschappelijke participatie die niet gericht zijn op doorstromen naar arbeid:</t>
  </si>
  <si>
    <t>beschut werken;</t>
  </si>
  <si>
    <t>bestaande werkverbanden sociale werkvoorziening, bestaande Wsw en begeleid werken dienstbetrekkingen.</t>
  </si>
  <si>
    <t>dagbesteding</t>
  </si>
  <si>
    <t>participatievoorzieningen gericht (her)integratie in het arbeidsproces, die horen thuis onder taakveld 6.5;</t>
  </si>
  <si>
    <t>de baten die betrekking hebben op het Wsw-budget (integratie-uitkering sociaal domein). Deze horen thuis onder taakveld 0.7.</t>
  </si>
  <si>
    <t>Uitv wet sociale werkvoorziening oud</t>
  </si>
  <si>
    <t xml:space="preserve">WSD: </t>
  </si>
  <si>
    <t xml:space="preserve">Totaal WSD - bijdrage in bestuurskosten </t>
  </si>
  <si>
    <t>gemeenschappelijke regeling van de WSD</t>
  </si>
  <si>
    <t>cf concept-begroting 2026 WSD</t>
  </si>
  <si>
    <t>Budget vanwege rijksbijdrage sociale infrastructuur</t>
  </si>
  <si>
    <t>Bijdrage WSD, op basis van septembercirculaire 2023</t>
  </si>
  <si>
    <t>W01-2025 uitv soc werkvoorziening</t>
  </si>
  <si>
    <t>Meicirculaire 2025</t>
  </si>
  <si>
    <t>De Wsw inclusief de taken uit de modernisering worden momenteel uitgevoerd door het werkvoorzieningsschap De Dommel (WSD). In het transitiearrangement is overeengekomen dat WSD voor de komende jaren voor de zittende groep Wsw-ers uitvoering blijft geven aan de uitvoering van de Wet. De gemeente zal voor de uitvoering van deze taak de Rijksmiddelen aan de WSD beschikbaar stellen.</t>
  </si>
  <si>
    <t>Wet inburgering</t>
  </si>
  <si>
    <t>Scholing en activering compensabel</t>
  </si>
  <si>
    <t>Opleiding en begeleiding zelfstandigen</t>
  </si>
  <si>
    <t>Uitvoeringsbudget laaggeletterdheid</t>
  </si>
  <si>
    <t>Directe toerekening arbeidsparticipatie</t>
  </si>
  <si>
    <t>Inkomensoverdrachten overige overheden</t>
  </si>
  <si>
    <t>Budget nieuwe doelgroepen:</t>
  </si>
  <si>
    <t>Budget voor de nieuwe doelgroep begeleiding beschut werken</t>
  </si>
  <si>
    <t>extra lasten tov financiële foto Kaderbrief 2025:</t>
  </si>
  <si>
    <t>Meicirculaire 2024</t>
  </si>
  <si>
    <t>W01-2025 scholing activering compensabel (septembercirculaire '24)</t>
  </si>
  <si>
    <t>Stand septembercirculaire 2024</t>
  </si>
  <si>
    <t>Stand meicirculaire 2025</t>
  </si>
  <si>
    <t>Budget voor de nieuwe doelgroep begeleiding wajong/regulier werk</t>
  </si>
  <si>
    <t>(m.i.v. 2023 via de algemene uitkering)</t>
  </si>
  <si>
    <t>Budget voor de nieuwe doelgroep begeleiding regulier werk</t>
  </si>
  <si>
    <t>Correctie afdracht WSD</t>
  </si>
  <si>
    <t>Correctie obv rekenmodel Berenschot</t>
  </si>
  <si>
    <t>deze correctie dient nog als extra mutatie meicirculaire 2025 betiteld te worden</t>
  </si>
  <si>
    <t>Totaal budget tbv nieuwe doelgroep cf rekenmodel Berenschot</t>
  </si>
  <si>
    <t>Budget voor het klassieke re-integratie budget:</t>
  </si>
  <si>
    <t>- scholing en activering compensabel</t>
  </si>
  <si>
    <t>- scholing en activering niet-compensabel</t>
  </si>
  <si>
    <t>- overige kosten participatiebudget</t>
  </si>
  <si>
    <t>- individuele studietoeslag</t>
  </si>
  <si>
    <t>Totaal budget tbv klassieke re-integratie</t>
  </si>
  <si>
    <t>Budget ter compensatie voor uitvoeringskosten Taaleis Pw</t>
  </si>
  <si>
    <t>Ovb van #636009: cliëntondersteuning</t>
  </si>
  <si>
    <t>Kosten ICT reintegratie</t>
  </si>
  <si>
    <t>Dekking accountmanager werk/jobhunter (nr 17)</t>
  </si>
  <si>
    <t>Opgenomen op staat B 2023 - 0,89 fte</t>
  </si>
  <si>
    <t>Kaderbrief 2024: dekking taalnetwerkcoördinator</t>
  </si>
  <si>
    <t>Er is nog geen uitspraak van de belastingdienst welke kosten van reintegratie wel of niet compensabel zijn.</t>
  </si>
  <si>
    <t xml:space="preserve">Hierbij wordt mogelijk een relatie gelegd met de koppeling aan individuele uitgaven. Vooralsnog worden al deze </t>
  </si>
  <si>
    <t>uitgaven geboekt op deze post, aangezien de werkelijke kosten op het budget 'niet compensabel' erg beperkt zijn.</t>
  </si>
  <si>
    <t>Kosten opleiding / begeleiding BBZ (klassiek)</t>
  </si>
  <si>
    <t>Uitvoeringskosten (van taakveld 63)</t>
  </si>
  <si>
    <t>- Team ondersteuning en participatie</t>
  </si>
  <si>
    <t>- Oormerken integratie-uitkering Inburgering cf meicirc. 2022:</t>
  </si>
  <si>
    <t>- uitvoeringskosten</t>
  </si>
  <si>
    <t xml:space="preserve">  Dekking uitbreiding Klantmanager werk, zorg en inburgering</t>
  </si>
  <si>
    <t xml:space="preserve">  Opgenomen op staat B 2023 - 0,89 fte</t>
  </si>
  <si>
    <t>- ondertussengroep / compensatie uitstel</t>
  </si>
  <si>
    <t>- Kaderbrief 2024: Taalnetwerkcoördinator bijdrage gemeente Oirschot</t>
  </si>
  <si>
    <t>T660 hulpmiddelen en diensten (wmo)</t>
  </si>
  <si>
    <t>6.60 - Hulpmiddelen en diensten (Wmo)</t>
  </si>
  <si>
    <t>Hulpmiddelen - rolstoelen</t>
  </si>
  <si>
    <t>Rolstoelen</t>
  </si>
  <si>
    <t>Meicirculaire 2024: Wmo hulpmiddelen</t>
  </si>
  <si>
    <t>Meicirculaire 2025: Wmo hulpmiddelen</t>
  </si>
  <si>
    <t>Als een inwoner zich door beperkingen incidenteel dan wel dagelijks zittend moet verplaatsen in en rond de woning kan hij/zij in aanmerking komen voor een rolstoelvoorziening. Deze voorziening kan bestaan uit:</t>
  </si>
  <si>
    <t>- een algemene rolstoelvoorziening bijv. via een rolstoelpool;</t>
  </si>
  <si>
    <t>- een rolstoelvoorziening in natura;</t>
  </si>
  <si>
    <t>- een persoonsgebonden budget te besteden aan een</t>
  </si>
  <si>
    <t xml:space="preserve">  (sport)rolstoel.</t>
  </si>
  <si>
    <t>Collectief Vraagafhankelijk Vervoer (CVV)</t>
  </si>
  <si>
    <t>Gemeentelijke bijdrage aan Trafficon inzake contractbeheer Taxbus</t>
  </si>
  <si>
    <t>Taxbus / Financiële tegemoetkoming vervoer</t>
  </si>
  <si>
    <t xml:space="preserve">Als een inwoner zich door beperkingen niet op de gebruikelijke manier (bijvoorbeeld met een fiets, auto of het openbaar vervoer) op de (middel)lange afstand kan verplaatsen, kan hij/zij in aanmerking voor een vervoersvoorziening, bijvoorbeeld in de vorm van deelname aan het collectief vraagafhankelijke vervoer (cvv/Taxbus) of een tegemoetkoming in het gebruik van een taxi/eigen auto.  </t>
  </si>
  <si>
    <t>Hulpmiddelen - vervoersvoorzieningen</t>
  </si>
  <si>
    <t>Kosten huur o.b.v. gemiddelde kosten</t>
  </si>
  <si>
    <t>Als een inwoner op basis van beperkingen zich niet op de gebruikelijke manier (bijvoorbeeld te voet of met de fiets) kan verplaatsen kan hij/zij in aanmerking voor een vervoervoorsziening. Hierbij kan gedacht worden aan een scootmobiel of een driewielfiets.</t>
  </si>
  <si>
    <t>Gehandicaptenparkeerkaart (GPK)</t>
  </si>
  <si>
    <t>Het betreft het verstrekken van invalideparkeerkaarten</t>
  </si>
  <si>
    <t>Aanpassingen hulpmiddelen</t>
  </si>
  <si>
    <t>Het betreft de kosten voor aanpassingen aan reeds</t>
  </si>
  <si>
    <t>verstrekte hulpmiddelen zoals rolstoelen en scootmobielen</t>
  </si>
  <si>
    <t>Hulpmiddelen - woonvoorzieningen</t>
  </si>
  <si>
    <t>Maandnota's van Welzorg/ Ligtvoet</t>
  </si>
  <si>
    <t>Het betreft de huur van woonvoorzieningen die in bruikleen worden verstrekt aan inwoners die dit middel vanwege een beperking nodig hebben. Het gaat hierbij bijvoorbeeld om een tillift of een douchestoel.</t>
  </si>
  <si>
    <t>Trapliften</t>
  </si>
  <si>
    <t>Het gaat hierbij om aanschaf, onderhoud en reparaties van trapliften</t>
  </si>
  <si>
    <t>Woningaanpassingen</t>
  </si>
  <si>
    <t>Sociale verstrekkingen</t>
  </si>
  <si>
    <t>Als een inwoner door een beperking geen normaal gebruik meer kan maken van zijn/haar woning, kan hij/zij in aanmerking komen voor een aanpassing van de woning zoals een traplift of een aanpassing van een natte cel.</t>
  </si>
  <si>
    <t>Sociaal medische adviezen</t>
  </si>
  <si>
    <t xml:space="preserve">Betreft kosten voor onafhankelijke (medische) adviezen </t>
  </si>
  <si>
    <t>bijvoorbeeld via Trompetter &amp; van Eeden of SCIO consult</t>
  </si>
  <si>
    <t>Uitvoeringskosten nota moz</t>
  </si>
  <si>
    <t>Subsidiering Valpreventie</t>
  </si>
  <si>
    <t>Betreft subsidie LEV.</t>
  </si>
  <si>
    <t>Betreft communicatiemiddelen en ontmoetingsevenement</t>
  </si>
  <si>
    <t>Uitvoeringskosten wonen en zorg</t>
  </si>
  <si>
    <t>Kosten uitvoering nota 'Wonen en zorg'</t>
  </si>
  <si>
    <t>Af: budget uitvoering Vergrijzingsprogramma (zie T.61)</t>
  </si>
  <si>
    <t>Af: budget uitvoering Inclusie-agenda (zie T.61)</t>
  </si>
  <si>
    <t>Directe toerekening maatwerk voorzieningen WMO</t>
  </si>
  <si>
    <t>Over naar T691 grootboek 684901</t>
  </si>
  <si>
    <t>Betreft bijdragen invalideparkeerkaarten</t>
  </si>
  <si>
    <t>T6711 huishoudelijke hulp (Wmo)</t>
  </si>
  <si>
    <t>6.711 - Huishoudelijke hulp (Wmo)</t>
  </si>
  <si>
    <t>Verhaal sociale uitkering in natura</t>
  </si>
  <si>
    <t>Huishoudelijke ondersteuning</t>
  </si>
  <si>
    <t xml:space="preserve">Inwoners die door een beperking één of meer huishoudelijke taken niet kunnen uitvoeren en geen huisgenoten hebben die de taken kunnen overnemen, kunnen in aanmerking komen voor hulp bij het huishouden. Er is de keuze tussen hulp in natura (via een zorgaanbieder waarmee de gemeente een overeenkomst heeft gesloten) of een persoonsgebonden budget waarmee men zelf de hulp in kan kopen. </t>
  </si>
  <si>
    <t>Eigen bijdragen huishoudelijke ondersteuning</t>
  </si>
  <si>
    <t xml:space="preserve">Voor veel Wmo-voorzieningen geldt een eigen bijdrage. De hoogte van de eigen bijdrage die inwoners moeten betalen hangt mede af van de inkoopkosten van de voorziening voor de gemeente en het verzamelinkomen van de aanvrager.  </t>
  </si>
  <si>
    <t xml:space="preserve">De eigen bijdrage wordt definitief vastgesteld en geïnd door het Central Administratie Kantoor (CAK) en afgedragen aan de gemeente. </t>
  </si>
  <si>
    <t>Verwachte eigen bijdragen vanwege nieuwe abonnementsstructuur</t>
  </si>
  <si>
    <t>6.712 - Begeleiding (Wmo)</t>
  </si>
  <si>
    <t>Wmo begeleiding</t>
  </si>
  <si>
    <t>Budget begeleiding</t>
  </si>
  <si>
    <t>(incl. PGB WMO begeleiding)</t>
  </si>
  <si>
    <t>Ambulantisering van de zorg (ggz)</t>
  </si>
  <si>
    <t>W01-2025 wmo begeleiding</t>
  </si>
  <si>
    <t>Als een inwoner beperkingen in zijn zelfredzaamheid of participatie ondervindt, en hij deze beperkingen niet op eigen kracht, met zijn sociale netwerk of met gebruikelijke of algemene voorzieningen kan verminderen of wegnemen, kan er een maatwerkvoorziening begeleiding worden ingezet. De maatwerkvoorziening levert een bijdrage aan het realiseren van een situatie waarin de cliënt in staat wordt gesteld tot zelfredzaamheid of participatie en zo lang mogelijk zelfstandig kan blijven wonen. De begeleiding kan individueel of groepsgewijs worden geboden en kan ook ter ontlasting van de mantelzorger worden ingezet.</t>
  </si>
  <si>
    <t>Directe toerekening begeleiding Wmo</t>
  </si>
  <si>
    <t>Automatiseringskosten diverse sociaal domein</t>
  </si>
  <si>
    <t>Automatiseringskosten I Samenleving</t>
  </si>
  <si>
    <t>Kosten Integraal Zorgakkoord</t>
  </si>
  <si>
    <t>Eigen bijdragen Wmo begeleiding</t>
  </si>
  <si>
    <t>Verwachte eigen bijdragen</t>
  </si>
  <si>
    <t>Correctie eigen bijdragen vanwege nieuwe abonnementsstructuur</t>
  </si>
  <si>
    <t>T6713 Dagbesteding (Wmo)</t>
  </si>
  <si>
    <t>6.713 - Dagbesteding (Wmo)</t>
  </si>
  <si>
    <t>Inkomensoversdrachten aan overige instellingen</t>
  </si>
  <si>
    <t>Wmo dagbesteding</t>
  </si>
  <si>
    <t>Budget dagbesteding</t>
  </si>
  <si>
    <t>Inloopfunctie GGZ</t>
  </si>
  <si>
    <t>Inloopfunctie GGZe</t>
  </si>
  <si>
    <t>T6714 Overige maatwerkarrangementen (Wmo)</t>
  </si>
  <si>
    <t>6.714 - Overige maatwerkarrangementen (Wmo)</t>
  </si>
  <si>
    <t>Overige maatwerkarrangementen (Wmo)</t>
  </si>
  <si>
    <t>Budget overige maatwerkvoorzieningen</t>
  </si>
  <si>
    <t>T6752 jeugdhulp ambulant regionaal</t>
  </si>
  <si>
    <t>6.752 - Jeugdhulp ambulant regionaal</t>
  </si>
  <si>
    <t>Directe toerekening jeugdhulp ambulant regionaal</t>
  </si>
  <si>
    <t>Jeugdhulp begeleiding regionaal</t>
  </si>
  <si>
    <t>Jeugdhulp zonder verblijf: begeleiding en persoonlijke verzorging</t>
  </si>
  <si>
    <t>herijking middelen sociaal domein</t>
  </si>
  <si>
    <t>decembercirculaire 2021, stijging zorgsalarissen sociaal domein</t>
  </si>
  <si>
    <t>meicirculaire 2022</t>
  </si>
  <si>
    <t>Kaderbrief 2024: dekking inzet jongerenwerk Lumens (zie T62)</t>
  </si>
  <si>
    <t>meicirculaire 2023</t>
  </si>
  <si>
    <t>Kaderbrief 2025 (16) uitbreiding jongerenwerk (VAR)</t>
  </si>
  <si>
    <t>Meicirculaire 2024: terugdraaien besparingsverlies jeugd</t>
  </si>
  <si>
    <t>Meicirculaire 2024: werkdrukverlaging jeugdbescherming</t>
  </si>
  <si>
    <t>Meicirculaire 2024: correctie extrapoloatie jeugdbescherming</t>
  </si>
  <si>
    <t>Meicirculaire 2024: vrijval reservering comp.midd. voogdij 18+</t>
  </si>
  <si>
    <t>Herijking middelen sociaal domein</t>
  </si>
  <si>
    <t xml:space="preserve">W01-2025 jeugdhulp begeleiding regionaal </t>
  </si>
  <si>
    <t>W02-2025 1e Fin.Rapportage</t>
  </si>
  <si>
    <t>Kaderbrief 2026: verwachte tekorten sociaal domein</t>
  </si>
  <si>
    <t>Herijking middelen sociaal domein nav 2e frinap '25</t>
  </si>
  <si>
    <t>Jeugdhulp behandeling regionaal</t>
  </si>
  <si>
    <t>Jeugdhulp zonder verblijf: behandeling</t>
  </si>
  <si>
    <t>Jeugdhulp dagbesteding regionaal</t>
  </si>
  <si>
    <t>Jeugdhulp zonder verblijf: dagbesteding en dagbehandeling</t>
  </si>
  <si>
    <t>Overige jeugdhulp zonder verblijf regionaal</t>
  </si>
  <si>
    <t>Jeugdhulp zonder verblijf: overige maatwerkarrangementen</t>
  </si>
  <si>
    <t>Jeugdhulp GGZ zonder verblijf regionaal</t>
  </si>
  <si>
    <t>Jeugdhulp zonder verblijf: GGZ</t>
  </si>
  <si>
    <t>Kaderbrief 2025 (17) schoolmaatsch werk / jeugdverplk basisteam (VAR)</t>
  </si>
  <si>
    <t>Automatiseringskosten - zorg voor jeugd</t>
  </si>
  <si>
    <t>T6762 jeugdhulp met verblijf regionaal</t>
  </si>
  <si>
    <t>6.762 - Jeugdhulp met verblijf regionaal</t>
  </si>
  <si>
    <t>Pleegzorg verblijf regionaal</t>
  </si>
  <si>
    <t>Jeugdhulp met verblijf: pleegzorg</t>
  </si>
  <si>
    <t>Gezinsgerichte jeugdhulp regionaal</t>
  </si>
  <si>
    <t>Jeugdhulp met verblijf: gezinsgericht</t>
  </si>
  <si>
    <t>Overige jeugdhulp met verblijf regionaal</t>
  </si>
  <si>
    <t>Jeugdhulp met verblijf: overige maatwerkarrangementen</t>
  </si>
  <si>
    <t>Crisis jeugdhulp regionaal</t>
  </si>
  <si>
    <t>Jeugdhulp met verblijf: crisisdienst</t>
  </si>
  <si>
    <t>Jeugdhulp GGZ met verblijf regionaal</t>
  </si>
  <si>
    <t>Jeugdhulp met verblijf: GGZ</t>
  </si>
  <si>
    <t>Jeugdhulp gesloten plaatsing regionaal</t>
  </si>
  <si>
    <t>Jeugdhulp met verblijf: gesloten plaatsing</t>
  </si>
  <si>
    <t>6.791 - PGB Wmo</t>
  </si>
  <si>
    <t>PGB's op grond van de Wmo</t>
  </si>
  <si>
    <t>PGB sociale verstrekkingen Wmo</t>
  </si>
  <si>
    <t>6.792 - PGB Jeugd</t>
  </si>
  <si>
    <t>PGB's op grond van de Jeugdwet</t>
  </si>
  <si>
    <t>PGB sociale verstrekkingen Jeugd</t>
  </si>
  <si>
    <t>T6821 Jeugdbescherming</t>
  </si>
  <si>
    <t>6.821 - Jeugdbescherming</t>
  </si>
  <si>
    <t>Inkomensvoorzieningen overige overheden</t>
  </si>
  <si>
    <t>Individuele voorzieningen</t>
  </si>
  <si>
    <t>T6822 Jeugdreclassering</t>
  </si>
  <si>
    <t>6.822 - Jeugdreclassering</t>
  </si>
  <si>
    <t>Begeleiding en controle</t>
  </si>
  <si>
    <t>T691 Coördinatie en beleid Wmo</t>
  </si>
  <si>
    <t>6.91 - Coördinatie en beleid Wmo</t>
  </si>
  <si>
    <t>Directe toerekening personeelslkosten Wmo</t>
  </si>
  <si>
    <t>Lasten van 678901</t>
  </si>
  <si>
    <t>Kaderbrief 2025 (14) beleidsmedewerker wmo</t>
  </si>
  <si>
    <t>Suzanne van Haaren in formatie (2026)</t>
  </si>
  <si>
    <t>Kaderbrief 2025 (15) strategisch adviseur maatschappij (RSD)</t>
  </si>
  <si>
    <t>Tijdelijke functie Sandra Broos</t>
  </si>
  <si>
    <t>T692 Coördinatie en beleid Jeugd</t>
  </si>
  <si>
    <t>6.92 - Coördinatie en beleid Jeugd</t>
  </si>
  <si>
    <t>Directe toerekening personeelskosten Jeugd</t>
  </si>
  <si>
    <t>Gedeelte al in de lonen 2026 opgenomen!! Emile is het zo juist?</t>
  </si>
  <si>
    <t>In formatie</t>
  </si>
  <si>
    <t>GGD</t>
  </si>
  <si>
    <t>inkomensoverdr.aan overheidsinstellingen</t>
  </si>
  <si>
    <t>Lokaal gezondheidsbeleid</t>
  </si>
  <si>
    <t>inkomensoverdr ov instellingen</t>
  </si>
  <si>
    <t>Collectieve preventie GGZ</t>
  </si>
  <si>
    <t>Directe toerekening gezondheidsbeleid</t>
  </si>
  <si>
    <t>Jeugdgezondheidszorg</t>
  </si>
  <si>
    <t>BS Terugdringen gezondheidsachterstanden</t>
  </si>
  <si>
    <t>BS Kansrijke start</t>
  </si>
  <si>
    <t>BS Mentale gezondheid</t>
  </si>
  <si>
    <t>BS Aanpak overgewicht en obesitas</t>
  </si>
  <si>
    <t>BS Leefomgeving</t>
  </si>
  <si>
    <t>BS OKO &amp; Vroegsignalering alcoholproblematiek</t>
  </si>
  <si>
    <t>BS Versterken kennis- en adviesfunctie GGD</t>
  </si>
  <si>
    <t>BS Coördinatiekosten regionale aanpak preventie</t>
  </si>
  <si>
    <t>Lasten cf de Begroting 2026 van de GGD</t>
  </si>
  <si>
    <t>Inwonerbijdrage (€ 23,772) per inwoner in 2026</t>
  </si>
  <si>
    <t>+ bijdrage pubercontactmoment)</t>
  </si>
  <si>
    <t xml:space="preserve">Jeugdzorg 0-4 jaar cf begroting 2026 GGD </t>
  </si>
  <si>
    <t>Vergoeding huur Best Wijzer (cf begroting gemeente Best)</t>
  </si>
  <si>
    <t>Brede SPUK Terugdringen gezondheidsachterstanden</t>
  </si>
  <si>
    <t>Brede SPUK Kansrijke start</t>
  </si>
  <si>
    <t>Brede SPUK Mentale Gezondheid</t>
  </si>
  <si>
    <t>Brede SPUK Aanpak overgewicht en obesitas</t>
  </si>
  <si>
    <t>Brede SPUK Leefomgeving</t>
  </si>
  <si>
    <t>Brede SPUK Opgroei kansrijke omgeving en vroegsignalering alcoholproblematiek</t>
  </si>
  <si>
    <t>Brede SPUK Versterken kennis- en adviesfunctie GGD</t>
  </si>
  <si>
    <t>Brede SPUK Coördinatiekosten regionale aanpak preventie</t>
  </si>
  <si>
    <t>Overheveling naar budget 643901</t>
  </si>
  <si>
    <t>09. Milieu</t>
  </si>
  <si>
    <t>T72 Riolering</t>
  </si>
  <si>
    <t>647001</t>
  </si>
  <si>
    <t>riolen algemeen</t>
  </si>
  <si>
    <t>647002</t>
  </si>
  <si>
    <t>drukriolering</t>
  </si>
  <si>
    <t>647003</t>
  </si>
  <si>
    <t>kolkenzuiger</t>
  </si>
  <si>
    <t>647004</t>
  </si>
  <si>
    <t>maken rioolhuisaansl</t>
  </si>
  <si>
    <t>647005</t>
  </si>
  <si>
    <t>rioolrecht</t>
  </si>
  <si>
    <t>647006</t>
  </si>
  <si>
    <t>corr comp btw riol</t>
  </si>
  <si>
    <t>647007</t>
  </si>
  <si>
    <t>straatrein  617017</t>
  </si>
  <si>
    <t>647008</t>
  </si>
  <si>
    <t>klim ad watersyst</t>
  </si>
  <si>
    <t>647901</t>
  </si>
  <si>
    <t>dir toerek riolering</t>
  </si>
  <si>
    <t>Correctie compensabele btw op riolering</t>
  </si>
  <si>
    <t>Directe toerekening riolering</t>
  </si>
  <si>
    <t>Saldo is het totaal van de indirecte lasten (overhead) / en correctie compensabele btw op riolering</t>
  </si>
  <si>
    <t>Saldo is totaal van:</t>
  </si>
  <si>
    <t>compensabele btw riolering</t>
  </si>
  <si>
    <t>indirecte lasten (overhead)</t>
  </si>
  <si>
    <t>nog overal aanpassen 44360 inkomensoverdr aan ov overheden moet zijn: 44410 kapitaaloverdr aan het rijk</t>
  </si>
  <si>
    <t>Straatreiniging, aandeel riolering</t>
  </si>
  <si>
    <t>Overnemen van Taakveld 21, tabel 1</t>
  </si>
  <si>
    <t>Investeringsbijdragen rijk</t>
  </si>
  <si>
    <t>Riolen algemeen</t>
  </si>
  <si>
    <t>LET OP FORMULE INDEX DOORTREKKEN</t>
  </si>
  <si>
    <t>Drukriolering</t>
  </si>
  <si>
    <t>Inspectie en reiniging riolering</t>
  </si>
  <si>
    <t>Schoonmaken van straatkolken</t>
  </si>
  <si>
    <t>Kolkenzuiger</t>
  </si>
  <si>
    <t>Ontstoppen van rioolhuisaansluitingen</t>
  </si>
  <si>
    <t>Vervangen versleten huisaansluitingen</t>
  </si>
  <si>
    <t>Het maken van rioolhuisaansluitingen</t>
  </si>
  <si>
    <t>Invorderen van rioolrecht</t>
  </si>
  <si>
    <t>Rioolrecht</t>
  </si>
  <si>
    <t>Klimaatadaptief watersysteem</t>
  </si>
  <si>
    <t>Overige uitgaven (doorbelasting)</t>
  </si>
  <si>
    <t>Maken van rioolhuisaansluitingen</t>
  </si>
  <si>
    <t>Belasting op huishoudens</t>
  </si>
  <si>
    <t>TOELICHTING /SPECIFICATIE</t>
  </si>
  <si>
    <t>Straatreiniging (dbl 6210601)</t>
  </si>
  <si>
    <t xml:space="preserve">Betreft de doorberekening van een gedeelte van de kosten van straatreiniging </t>
  </si>
  <si>
    <t>Beheren en instandhouden 176,0 km vrijverval riolering.</t>
  </si>
  <si>
    <t>Beheren en instandhouden 16 stuks gemalen.</t>
  </si>
  <si>
    <t>- Onderhoud/reparaties gemalen inclusief herstraten</t>
  </si>
  <si>
    <t>- Reinigen gemalen</t>
  </si>
  <si>
    <t>- Bouwkundig onderhoud pompkelders</t>
  </si>
  <si>
    <t>- Telefoonkosten pompgemalen</t>
  </si>
  <si>
    <t>- Lidmaatschap stichting KLIC-Zuid</t>
  </si>
  <si>
    <t>Bijdr aan taakveld 032.057.1, groenonderhoud Wadi's</t>
  </si>
  <si>
    <t>Betreft de compensabele btw</t>
  </si>
  <si>
    <t>- Compensabele btw exploitatie</t>
  </si>
  <si>
    <t>- Compensabele btw investeringen</t>
  </si>
  <si>
    <t>Beheren en instandhouden 49,2 km drukriolering.</t>
  </si>
  <si>
    <t>Beheren en instandhouden 204 stuks pompen.</t>
  </si>
  <si>
    <t>- Onderhoud en vernieuwing pompen</t>
  </si>
  <si>
    <t>- Onderhoud elektrotechnische installaties</t>
  </si>
  <si>
    <t>- Reparaties pompen gemalen</t>
  </si>
  <si>
    <t>Inhuur budgetten</t>
  </si>
  <si>
    <t>- Inspectie rioleringen</t>
  </si>
  <si>
    <t>- Afvoeren r.k.g. slib 200 ton</t>
  </si>
  <si>
    <t>- Reiniging</t>
  </si>
  <si>
    <t>- Inspectie oude rioleringen</t>
  </si>
  <si>
    <t>- Lidmaatschap stichting Rioned</t>
  </si>
  <si>
    <t>Ontstoppen door aannemers</t>
  </si>
  <si>
    <t>Vervangen van versleten huisaansluitingen</t>
  </si>
  <si>
    <t>Werken en leveringen door derden</t>
  </si>
  <si>
    <t>Het maken van 20 rioolhuisaansluitingen</t>
  </si>
  <si>
    <t>Kosten van invorderen van rioolrecht</t>
  </si>
  <si>
    <t xml:space="preserve">De invordering van de gemeentelijke  belastingen en heffingen is met ingang  van 2009 niet meer aan Brabant </t>
  </si>
  <si>
    <t>Water uitbesteed maar in eigen beheer uitgevoerd. In plaats van kosten voor derden wordt nu de tijdsbesteding</t>
  </si>
  <si>
    <t>van de vakgroep Belasting en invordering begroot.</t>
  </si>
  <si>
    <t>Opbrengst inclusief BTW</t>
  </si>
  <si>
    <t>De meeropbrengst van het rioolrecht wordt in de voorziening rioolbeheer gestort, als spaardeel voor vervangingsinvesteringen.</t>
  </si>
  <si>
    <t>Betreft een storting in de voorziening rioolbeheer</t>
  </si>
  <si>
    <t>647004 - opbrengst maken rioolhuisaansluiting</t>
  </si>
  <si>
    <t>647901 - directe toerekening riolering (baten heff  en inv)</t>
  </si>
  <si>
    <t>647005 - opbrengst rioolrechten</t>
  </si>
  <si>
    <t xml:space="preserve">Af: </t>
  </si>
  <si>
    <t>6470071 - straatreiniging</t>
  </si>
  <si>
    <t>647001 - riolen algemeen</t>
  </si>
  <si>
    <t>647002 - drukriolering</t>
  </si>
  <si>
    <t>647001 - inspectie en reiniging riolering</t>
  </si>
  <si>
    <t>647001 - schoonmaken van straatkolken</t>
  </si>
  <si>
    <t>647003 - kosten kolkenzuiger</t>
  </si>
  <si>
    <t>647004 - ontstoppen van rioolhuisaansluitingen</t>
  </si>
  <si>
    <t>647004 - vervangen versleten rioolhuisaansluitingen</t>
  </si>
  <si>
    <t>647004 - maken van rioolhuisaansluitingen</t>
  </si>
  <si>
    <t>647005 - kosten van invorderen van rioolrecht</t>
  </si>
  <si>
    <t>647901 - directe toerekening riolering</t>
  </si>
  <si>
    <t>647008 - klimaatadaptief watersysteem</t>
  </si>
  <si>
    <t>subtotaal onttrekkingen</t>
  </si>
  <si>
    <t>Indirecte toerekening cf tabel 1:</t>
  </si>
  <si>
    <t>Per saldo storting in voorziening rioolbeheer</t>
  </si>
  <si>
    <t>Niet ten laste van exploitatie:</t>
  </si>
  <si>
    <t>Investeringen t.l.v. voorziening rioolbeheer:</t>
  </si>
  <si>
    <t>- Water Riolerings Plan 2023</t>
  </si>
  <si>
    <t>- Water Riolerings Plan 2024</t>
  </si>
  <si>
    <t>- Water Riolerings Plan 2025</t>
  </si>
  <si>
    <t>- Water Riolerings Plan 2026</t>
  </si>
  <si>
    <t>- Water Riolerings Plan 2027</t>
  </si>
  <si>
    <t>- Water Riolerings Plan 2028</t>
  </si>
  <si>
    <t>Totaal vervangingsinvesteringen t.l.v. voorziening</t>
  </si>
  <si>
    <t>Kaderbrief 2025 (B44) Klimaatadaptief watersysteem</t>
  </si>
  <si>
    <t>Totaal inhuur</t>
  </si>
  <si>
    <t>- Ondersteuning</t>
  </si>
  <si>
    <t>geen uren verdeeld naar dit taakveld in 2024</t>
  </si>
  <si>
    <t xml:space="preserve">Onderstaande posten zijn doorbelast vanaf T061, ozb woningen. </t>
  </si>
  <si>
    <r>
      <rPr>
        <b/>
        <sz val="10"/>
        <color theme="1"/>
        <rFont val="Tahoma"/>
        <family val="2"/>
      </rPr>
      <t xml:space="preserve">Attentie budgetbeheerder: </t>
    </r>
    <r>
      <rPr>
        <i/>
        <sz val="10"/>
        <color theme="1"/>
        <rFont val="Tahoma"/>
        <family val="2"/>
      </rPr>
      <t>Dit budget is uitsluitend bestemd voor doorbelastingsdoeleinden, er mag niet op geboekt worden.</t>
    </r>
  </si>
  <si>
    <t>Doorbelasting lasten heffing en invordering (T061)</t>
  </si>
  <si>
    <t>Doorbelasting baten heffing en invordering (T061)</t>
  </si>
  <si>
    <t>Opbrengst rioolheffing</t>
  </si>
  <si>
    <t>Heffing op basis van de 'Verordening Rioolheffing 2024'.</t>
  </si>
  <si>
    <t>x</t>
  </si>
  <si>
    <t>2027-2029</t>
  </si>
  <si>
    <t>Basistarief 2025 (na afronding)</t>
  </si>
  <si>
    <t xml:space="preserve">Inflatiecorrectie </t>
  </si>
  <si>
    <t>Basistarief 2026 (na afronding)</t>
  </si>
  <si>
    <t>Verhoging per 500 m³ (t/m 5.000 m³)</t>
  </si>
  <si>
    <t>Garageboxen 2025</t>
  </si>
  <si>
    <t>Tarief garageboxen 2025</t>
  </si>
  <si>
    <t>Controle verordening verordening</t>
  </si>
  <si>
    <t>Aansluitingen per 1-8-2023:</t>
  </si>
  <si>
    <t>waarvan met aantal m3 afgevoerd water</t>
  </si>
  <si>
    <t>&lt;  500 (art 6, lid 1a verordening)</t>
  </si>
  <si>
    <t xml:space="preserve">    501 t/m 1000 (cf art 6, lid 1b)</t>
  </si>
  <si>
    <t>Opbrengst 2019</t>
  </si>
  <si>
    <t xml:space="preserve">  1001 t/m 1500 (cf art 6, lid 1b)</t>
  </si>
  <si>
    <t>Grootverbruikers</t>
  </si>
  <si>
    <t xml:space="preserve">  1501 t/m 2000 (cf art 6, lid 1b)</t>
  </si>
  <si>
    <t xml:space="preserve">  2001 t/m 2500 (cf art 6, lid 1b)</t>
  </si>
  <si>
    <t xml:space="preserve">  2501 t/m 3000 (cf art 6, lid 1b)</t>
  </si>
  <si>
    <t xml:space="preserve">  3001 t/m 3500 (cf art 6, lid 1b)</t>
  </si>
  <si>
    <t>nieuwbouw 2019</t>
  </si>
  <si>
    <t xml:space="preserve">  3501 t/m 4000 (cf art 6, lid 1b)</t>
  </si>
  <si>
    <t>nieuwbouw 2020</t>
  </si>
  <si>
    <t xml:space="preserve">  4001 t/m 4500 (cf art 6, lid 1b)</t>
  </si>
  <si>
    <t xml:space="preserve">  4501 t/m 5000 (cf art 6, lid 1b)</t>
  </si>
  <si>
    <t>nieuwbouw 2021</t>
  </si>
  <si>
    <t>&gt; 5000 (cf belastingcohier 2023)</t>
  </si>
  <si>
    <t xml:space="preserve">Subtotaal </t>
  </si>
  <si>
    <t xml:space="preserve">Nieuwbouw 2025:   </t>
  </si>
  <si>
    <t xml:space="preserve">Nieuwbouw 2026:   </t>
  </si>
  <si>
    <t>Garageboxen ed (cf art 6 lid 2)</t>
  </si>
  <si>
    <t>Overige (cf art 6 lid 2)</t>
  </si>
  <si>
    <t xml:space="preserve">Totale opbrengst </t>
  </si>
  <si>
    <t>Opbrengst woningen</t>
  </si>
  <si>
    <t>Opbrengst niet-woningen</t>
  </si>
  <si>
    <t>uitrekenen niet woingen cf lijst John</t>
  </si>
  <si>
    <t>Basistarief (na afronding)</t>
  </si>
  <si>
    <t>BTW totaal</t>
  </si>
  <si>
    <t xml:space="preserve">Compensabele btw betreft geen uitgaven. De btw mag wel </t>
  </si>
  <si>
    <t>meegenomen worden voor de bepaling van het tarief</t>
  </si>
  <si>
    <t>Kapitaaloverdracht aan het rijk</t>
  </si>
  <si>
    <t>Tabel 1: berekening integrale kostprijs: riolering</t>
  </si>
  <si>
    <t>T73 Afval</t>
  </si>
  <si>
    <t>Correctie compensabele btw op afval</t>
  </si>
  <si>
    <t>Correctie  Overige goederen en diensten (doorbelasting)</t>
  </si>
  <si>
    <t>Saldo is het totaal van de indirecte lasten (overhead) / en correctie compensabele btw op afval</t>
  </si>
  <si>
    <t>en storting in de egalisatiereserve afvalverwijdering (zie Taakveld 10)</t>
  </si>
  <si>
    <t>compensabele btw afval</t>
  </si>
  <si>
    <t>storting in egalisatiereserve afval (zie T10)</t>
  </si>
  <si>
    <t>Straatreiniging, aandeel afval</t>
  </si>
  <si>
    <t>aangepast Zie taakveld 21</t>
  </si>
  <si>
    <t>Inzamelen clandestien gestort vuil</t>
  </si>
  <si>
    <t>Huisvuilophaaldienst</t>
  </si>
  <si>
    <t>Huisvuilinzameling</t>
  </si>
  <si>
    <t>Huisvuilverwerking</t>
  </si>
  <si>
    <t xml:space="preserve">Afschrijvingen    </t>
  </si>
  <si>
    <t>Inzamelen van chemische afvalstoffen</t>
  </si>
  <si>
    <t>Heffen van reinigingsrechten</t>
  </si>
  <si>
    <t>De Dieze 26 milieustraat</t>
  </si>
  <si>
    <t xml:space="preserve">Transportkostenvereveningsregeling </t>
  </si>
  <si>
    <t>Regionale Milieudienst</t>
  </si>
  <si>
    <t>Pasjessysteem milieustraat</t>
  </si>
  <si>
    <t>Directe toerekening afval</t>
  </si>
  <si>
    <t>Afvalstoffenheffing / reinigingsrechten</t>
  </si>
  <si>
    <t>Doorbelaste kosten straatreiniging</t>
  </si>
  <si>
    <t>Betreft 1/3 van de totale kosten voor straatreiniging.</t>
  </si>
  <si>
    <t>Kosten voor straatreiniging worden voor 1/3 toegerekend  aan wegbeheer, voor 1/3 aan afvalinzameling- en verwijdering en  voor 1/3 aan rioolheffing. Voor straatreiniging wordt verwezen naar taakveld 21.</t>
  </si>
  <si>
    <t>Stortkosten afval</t>
  </si>
  <si>
    <t>Kosten huisvuilophaaldienst</t>
  </si>
  <si>
    <t>Inzameling afval :</t>
  </si>
  <si>
    <t>Aantal rondes/</t>
  </si>
  <si>
    <t>ledigingen</t>
  </si>
  <si>
    <t>Prijs</t>
  </si>
  <si>
    <t>PMD</t>
  </si>
  <si>
    <t>PMD oOndergronds</t>
  </si>
  <si>
    <t>Papier</t>
  </si>
  <si>
    <t>Glas</t>
  </si>
  <si>
    <t>Huishoudelijk Restafval</t>
  </si>
  <si>
    <t>Restafval ondergronds</t>
  </si>
  <si>
    <t>Restafval bovengronds</t>
  </si>
  <si>
    <t>Rolcontainers</t>
  </si>
  <si>
    <t>GFT</t>
  </si>
  <si>
    <t>Etensresten</t>
  </si>
  <si>
    <t>Luiers/Incomateriaal</t>
  </si>
  <si>
    <t>Totaal inzameling 43815</t>
  </si>
  <si>
    <t>Verwerkingskosten afval :</t>
  </si>
  <si>
    <t>Afvalstroom</t>
  </si>
  <si>
    <t>Tonnage</t>
  </si>
  <si>
    <t>Restafval/huisafval</t>
  </si>
  <si>
    <t>Tuinafval (was 850)</t>
  </si>
  <si>
    <t>Luiers/Inc.</t>
  </si>
  <si>
    <t>Extra lasten prijsstijging</t>
  </si>
  <si>
    <t>Op en Overslag Huish.afval</t>
  </si>
  <si>
    <t>Op en Overslag GFT</t>
  </si>
  <si>
    <t>Op en Overslag PMD</t>
  </si>
  <si>
    <t>Op en Overslag</t>
  </si>
  <si>
    <t>-Huur containers (aanbesteding)</t>
  </si>
  <si>
    <t>-Managementsysteem (aanbesteding)</t>
  </si>
  <si>
    <t>-Publicaties ophalen huisvuil</t>
  </si>
  <si>
    <t>-10 containers à  €  300</t>
  </si>
  <si>
    <t>-Reinigen 1.100 liter containers en GFT mini-</t>
  </si>
  <si>
    <t xml:space="preserve">  containers max. 6x/jaar: 6 x € 931,00</t>
  </si>
  <si>
    <t>-Onderhoud cocons (exclusief WSD)</t>
  </si>
  <si>
    <t>-Onderhoud ondergrondse containers</t>
  </si>
  <si>
    <t>-Stortkosten vlooienmarkten</t>
  </si>
  <si>
    <t>-Inzamelen en afvoeren snoeihout</t>
  </si>
  <si>
    <t>-Externe kosten</t>
  </si>
  <si>
    <t>-Diverse kosten</t>
  </si>
  <si>
    <t>-Proceskosten</t>
  </si>
  <si>
    <t>-Stijging abonnement</t>
  </si>
  <si>
    <t>- Aanpak zwerfafval o.a. educatie, opschoondag en vrijwill.</t>
  </si>
  <si>
    <t>Betreft de BTW over :</t>
  </si>
  <si>
    <t>Vaste werken en leveringen (ophalen + stortrechten)</t>
  </si>
  <si>
    <t>- Inzamelkosten huis aan huis:</t>
  </si>
  <si>
    <t xml:space="preserve">inzameldagen à € </t>
  </si>
  <si>
    <t>- Aanschaf KCA-boxen:</t>
  </si>
  <si>
    <t>boxen à €</t>
  </si>
  <si>
    <t>- Kosten voorlichting</t>
  </si>
  <si>
    <t>Kosten heffen van afvalstoffenheffing</t>
  </si>
  <si>
    <t>Diverse kosten ivm verzenden aanslagen</t>
  </si>
  <si>
    <t>Milieustraat</t>
  </si>
  <si>
    <t>Betreft de huur voor de ondergrond van de milieustraat</t>
  </si>
  <si>
    <t>-Bezoekers milieustraat:</t>
  </si>
  <si>
    <t xml:space="preserve">bezoekers à </t>
  </si>
  <si>
    <t>-onderhoudskosten milieustraat</t>
  </si>
  <si>
    <t>- waterverbruik</t>
  </si>
  <si>
    <t>De kosten voor de gemeente Best worden geraamd op:</t>
  </si>
  <si>
    <t>Dienstverlening milieustraat WSD 12mnd a € 25.000</t>
  </si>
  <si>
    <t>Overige externe kosten</t>
  </si>
  <si>
    <t>Verwerkingskosten afval Renewi</t>
  </si>
  <si>
    <t>Snoeihout</t>
  </si>
  <si>
    <t>Bijdrage aan kringloopwinkels 4kw a € 15.000</t>
  </si>
  <si>
    <t>Management fee/administratiekosten</t>
  </si>
  <si>
    <t>Diverse materiaalkosten</t>
  </si>
  <si>
    <t>Extra ivm prijsstijgiingen</t>
  </si>
  <si>
    <t xml:space="preserve">Transportkostenvereveningsregeling voor restafval en GFT-afval </t>
  </si>
  <si>
    <t>Betreft de regionale vereveningsregeling voor het storten van GFT en restafval bij overslaglocaties en eindverwerkers.</t>
  </si>
  <si>
    <t>Bijdrage aan Milieudienst Regio Eindhoven:</t>
  </si>
  <si>
    <t>SRE programma Materiaaltransitie</t>
  </si>
  <si>
    <t>1-1-2020:</t>
  </si>
  <si>
    <t>1-1-2021:</t>
  </si>
  <si>
    <t>1-1-2022:</t>
  </si>
  <si>
    <t>1-1-2023:</t>
  </si>
  <si>
    <t>Invoering pasjessysteem milieustraat</t>
  </si>
  <si>
    <t>- Regie en Ontwikkeling (gem. gebouwen en vastgoed)</t>
  </si>
  <si>
    <t>Opbrengsten afvalstromen</t>
  </si>
  <si>
    <t>Plastic (70% vermarkt)</t>
  </si>
  <si>
    <t>Drankkarton</t>
  </si>
  <si>
    <t xml:space="preserve">Papier registratievergoeding </t>
  </si>
  <si>
    <t>Papier buurtver(70%)</t>
  </si>
  <si>
    <t>Glas wit</t>
  </si>
  <si>
    <t>Glas bruin</t>
  </si>
  <si>
    <t>Glas groen</t>
  </si>
  <si>
    <t>Glas garantievergoed</t>
  </si>
  <si>
    <t>Betreft de opbrengst van de toegangstarieven van de milieustraat</t>
  </si>
  <si>
    <t>-Opbrengst van toegangstarieven van de milieustraat</t>
  </si>
  <si>
    <t>-Glas/Papier/hout</t>
  </si>
  <si>
    <t>-Schrootafval oa ijzer/elektra</t>
  </si>
  <si>
    <t>De totale kosten van vuilophaal en -afvoer worden geraamd op:</t>
  </si>
  <si>
    <t>-grootboeknummers 648001 t/m 648004</t>
  </si>
  <si>
    <t>-grootboeknummers 648005</t>
  </si>
  <si>
    <t>-storting in egalisatiereserve afvalverwijdering (zie T10)</t>
  </si>
  <si>
    <t>-Totaal indirecte lasten (overhead)</t>
  </si>
  <si>
    <t>De netto lasten bedragen</t>
  </si>
  <si>
    <t>Aantal deelnemers</t>
  </si>
  <si>
    <t>Tarief per deelnemer per jaar</t>
  </si>
  <si>
    <t>Tarief per deelnemer per maand</t>
  </si>
  <si>
    <t>Tariefsverhoging in %</t>
  </si>
  <si>
    <t>deelnemers x 12 mnd. à €</t>
  </si>
  <si>
    <t>stand april 2020</t>
  </si>
  <si>
    <t>BTW</t>
  </si>
  <si>
    <t>nieuwbouiw 2021</t>
  </si>
  <si>
    <t>nieuwbouiw 2022</t>
  </si>
  <si>
    <t>nieuwbouiw 2023</t>
  </si>
  <si>
    <t>Tabel 1: berekening integrale kostprijs: afvalinzameling</t>
  </si>
  <si>
    <t>zit in T10, last vanwege storting in reserve.</t>
  </si>
  <si>
    <t>Milieu</t>
  </si>
  <si>
    <t xml:space="preserve">Taakveld </t>
  </si>
  <si>
    <t>T74 Milieubeheer</t>
  </si>
  <si>
    <t>Milieubeleid</t>
  </si>
  <si>
    <t>Geluidsonderzoeken</t>
  </si>
  <si>
    <t>Bevordering duurzaamheid</t>
  </si>
  <si>
    <t>Inkomensoverdracht overige</t>
  </si>
  <si>
    <t>Duurzaamheid</t>
  </si>
  <si>
    <t>Vergunningverlening milieu</t>
  </si>
  <si>
    <t>Bestrijding van plaagdieren</t>
  </si>
  <si>
    <t>Handhaving milieuwetgeving</t>
  </si>
  <si>
    <t>Capaciteit klimaatbeleid</t>
  </si>
  <si>
    <t>De Groene Zone Isoleren</t>
  </si>
  <si>
    <t>Verduurzaming maatschappelijk vastgoed van derden</t>
  </si>
  <si>
    <t>Warmtenet</t>
  </si>
  <si>
    <t>Overdrachten Rijk (VPB)</t>
  </si>
  <si>
    <t>Overige goederen en diensten (saldering)</t>
  </si>
  <si>
    <t>ODZOB milieu vergunningen</t>
  </si>
  <si>
    <t>Let A4/23</t>
  </si>
  <si>
    <t>ODZOB milieu m.b.t. leges</t>
  </si>
  <si>
    <t>ODZOB Milieu Juridische ondersteuning</t>
  </si>
  <si>
    <t>ODZOB Onderzoek en advies</t>
  </si>
  <si>
    <t>Directe toerekening milieubeheer</t>
  </si>
  <si>
    <t>Directe toerekening vergunning milieu titel 2</t>
  </si>
  <si>
    <t>Zonnepanelen</t>
  </si>
  <si>
    <t>Berekening hogere waarden</t>
  </si>
  <si>
    <t>Controle warmtenet</t>
  </si>
  <si>
    <t>Uitvoering milieuwetgeving (titel 2)</t>
  </si>
  <si>
    <t>Expl lasten</t>
  </si>
  <si>
    <t>Eliminatie saldo</t>
  </si>
  <si>
    <t>Kap</t>
  </si>
  <si>
    <t>Expl baten deelnemers</t>
  </si>
  <si>
    <t>Expl baten subsidie</t>
  </si>
  <si>
    <t>Inkomensoverdrachten van het Rijk</t>
  </si>
  <si>
    <t>-Uitvoeringsbudget milieuprogrogramma</t>
  </si>
  <si>
    <t xml:space="preserve"> - Bodem</t>
  </si>
  <si>
    <t xml:space="preserve"> - Geluid</t>
  </si>
  <si>
    <t xml:space="preserve"> - Lucht</t>
  </si>
  <si>
    <t xml:space="preserve"> - Overige</t>
  </si>
  <si>
    <t>Budgetnummer voor incidentele geluidsprojecten</t>
  </si>
  <si>
    <t>Maatschappelijke initiatieven duurzaamheid*</t>
  </si>
  <si>
    <t>* cf subsidieplafond</t>
  </si>
  <si>
    <t>- Uitvoering convenant GPR gebouw</t>
  </si>
  <si>
    <t>- Uitvoering toetsing milieuprestatie van een</t>
  </si>
  <si>
    <t>gebouw (GPR)</t>
  </si>
  <si>
    <t>-Uitvoeringsbudget duurzaamheidsprogramma</t>
  </si>
  <si>
    <t>- Uitvoering programma energietransitie</t>
  </si>
  <si>
    <t>- Laadpalen</t>
  </si>
  <si>
    <t>- Versnellen op duurzaamheid</t>
  </si>
  <si>
    <t xml:space="preserve">- Ontsluiten route duurzaam Best </t>
  </si>
  <si>
    <t xml:space="preserve">- Energieloket </t>
  </si>
  <si>
    <t>- Project Groen Daken cf Amendement PvdA</t>
  </si>
  <si>
    <t>- Projectmatige aanpak zonneladder/SDE+</t>
  </si>
  <si>
    <t xml:space="preserve">  Af: dekking uit budget duurzaamheid</t>
  </si>
  <si>
    <t>Kaderbrief 2025 (19a) energie hubs, regisseur (cdoke)</t>
  </si>
  <si>
    <t>Kaderbrief 2025 (19b) energie hubs, overige kosten (VAR)</t>
  </si>
  <si>
    <t>- Advertentiekosten voor aanvraag milieuvergunningen:</t>
  </si>
  <si>
    <t xml:space="preserve">   (doorbelasting vanuit overhead communicatie &amp; JZ)</t>
  </si>
  <si>
    <t>- Verdelgingsmiddelen</t>
  </si>
  <si>
    <t>- Serviceovereenkomst Kennis- en Adviescentrum</t>
  </si>
  <si>
    <t xml:space="preserve">  Dierplagen</t>
  </si>
  <si>
    <t>- processierups bestrijding</t>
  </si>
  <si>
    <t>In het budget hieronder zijn kosten voor het verrichten van geluidonderzoeken (inclusief consignatiedienst ODZOB) de kosten voor juridische procedures als gevolg van handhavingsacties a.g.v. geluidmetingen opgenomen. Deze kosten zijn afhankelijk van de complexiteit van overtredingen, het aantal overtredingen en de omvang van eventuele juridische procedures.</t>
  </si>
  <si>
    <t>Budget geluidsonderz/juridische kn milieuwetgeving</t>
  </si>
  <si>
    <t>- Personele capaciteit voor energietransitie en klimaatmitigatie.</t>
  </si>
  <si>
    <t>Let op na 2027 geen dekking meer! Echter toezegging Rijk financiering t/m 2030?</t>
  </si>
  <si>
    <t>De lasten worden gedekt middels de "Jetten-gelden" (CDOKE)</t>
  </si>
  <si>
    <t>Lonen duurzaamheid verwerkt onder de salarislasten</t>
  </si>
  <si>
    <t>De capaciteit kan bestaan uit inhuur of eigen formatie.</t>
  </si>
  <si>
    <t>Kaderbrief 2025 (19a) energie Hubs - regisseur</t>
  </si>
  <si>
    <t>De Groene Zone isoleren</t>
  </si>
  <si>
    <t>Energieadviezen welke de gemeente betaald voor de deelnemers.</t>
  </si>
  <si>
    <t>Dekking vindt plaats uit de subsidie Nationaal Isolatie Programma (NIP)</t>
  </si>
  <si>
    <t>Dit betreft een regeling voor verduurzaaming van maatschappelijk</t>
  </si>
  <si>
    <t>dat niet van de gemeente is.</t>
  </si>
  <si>
    <t>Er zijn middelen geresereveerd voor een (kleinschalig) Warmtenet in deze begroting. Hieronder zijn de verwachte uitgaven mbt de exploitatie opgenomen. De benodigde investeringen worden verwerkt in de I&amp;F staat, de kapitaallasten  worden doorbelast via grootboeknummer 649902. Vanwege de onzekerheden in dit project zijn geraamde voordelen vooralsnog verrrekend met het begrotingssaldo.</t>
  </si>
  <si>
    <t>Verwezen wordt naar nieuw beleid 2026, nr 25.</t>
  </si>
  <si>
    <t>Inkomensoverdrachten aan het Rijk (Vpb)</t>
  </si>
  <si>
    <t>Electriciteitsverbruik warmtenet</t>
  </si>
  <si>
    <t>Onderhoudslasten warmtenet</t>
  </si>
  <si>
    <t>Eliminatie voor- en nadelen warmtenet (risicomijding),</t>
  </si>
  <si>
    <t>cf Begroting 2026 lijst nieuw beleid, onderdeel 25i</t>
  </si>
  <si>
    <t>ODZOB Milieu vergunningen</t>
  </si>
  <si>
    <t>ODZOB Milieu Vergunning</t>
  </si>
  <si>
    <t>Conform Uitvoeringsprogramma ODZOB</t>
  </si>
  <si>
    <t>ODZOB Milieu m.b.t. leges</t>
  </si>
  <si>
    <t>ODZOB Milieu leges (hogere waarde procedures)</t>
  </si>
  <si>
    <t>Buiten het werkprogramma ODZOB</t>
  </si>
  <si>
    <t>Deze werkzaamheden van ODZOB hebben betrekking op hogere waarde procedures (leges).</t>
  </si>
  <si>
    <t>EXTRACOMPTABEL OVERZICHT BIJDRAGE AAN ODZOB</t>
  </si>
  <si>
    <t>Totale bijdrage aan Omgevingsdienst Zuidoost-Brabant</t>
  </si>
  <si>
    <t>616006 - ODZOB Externe veiligheid</t>
  </si>
  <si>
    <t>633002 - ODZOB Archeologie/cultuurhistorie</t>
  </si>
  <si>
    <t>649007 - ODZOB Milieu Vergunning</t>
  </si>
  <si>
    <t>649011 - ODZOB Milieu Juridische ondersteuning</t>
  </si>
  <si>
    <t>649012 - ODZOB Milieu onderzoek en advies</t>
  </si>
  <si>
    <t>653002 - ODZOB VTH</t>
  </si>
  <si>
    <t>653003 - ODZOB Bouw</t>
  </si>
  <si>
    <t>653004 - ODZOB Collectieve taken</t>
  </si>
  <si>
    <t>653009 - ODZOB toezicht en handhaving</t>
  </si>
  <si>
    <t>653010 - ODZOB Handhaving klacht afhandeling</t>
  </si>
  <si>
    <t>653011 - ODZOB Samen Sterk in buitengebied</t>
  </si>
  <si>
    <t>- team omgevingsadvies</t>
  </si>
  <si>
    <t>- Lonen Duurzaamheid (649018 cdoke)</t>
  </si>
  <si>
    <t>Salaris conform urenverdeling 2026 opgenomen van: Jolie, Iris, Toine en Myriam.</t>
  </si>
  <si>
    <t>Kaderbrief 2025 (18a) energiearmoede / energiecoaches (VAR)</t>
  </si>
  <si>
    <t>Directe toerekening leges milieu titel 2</t>
  </si>
  <si>
    <t>Betreft legesgerelateerde apparaatskosten:</t>
  </si>
  <si>
    <t>leges voor bodeminformatie en voor hogere waarden procedures</t>
  </si>
  <si>
    <t xml:space="preserve">Betreft een rijkssubsidie over de periode augustus 2017 t/m juli 2032 voor zonnepanelen op het gemeentehuis, de sporthal en de gemeentwerf. </t>
  </si>
  <si>
    <t xml:space="preserve">Uitvoering van de milieuwetgeving </t>
  </si>
  <si>
    <t>Leges voor bodeminformatie</t>
  </si>
  <si>
    <t>(was geluidsonderzoeken)</t>
  </si>
  <si>
    <t>Leges voor hogere waarde procedures</t>
  </si>
  <si>
    <t>- Subsidie vanuit het rijk in te zetten tot en met 2027</t>
  </si>
  <si>
    <t>Let op na 2027 geen dekking meer!</t>
  </si>
  <si>
    <t>De capaciteit kan bestaan uit inhuur of eigen formatie. Zie ook T83</t>
  </si>
  <si>
    <t>voor een deel van de formatie.</t>
  </si>
  <si>
    <t>Er zijn middelen geresereveerd voor een (kleinschalig) Warmtenet in deze begroting. Hieronder zijn de verwachte baten mbt de exploitatie opgenomen. De benodigde investeringen worden verwerkt in de I&amp;F staat, de kapitaallasten  worden doorbelast via grootboeknummer 649902. Vanwege de onzekerheden in dit project zijn geraamde voordelen vooralsnog verrrekend met het begrotingssaldo.</t>
  </si>
  <si>
    <t>Bijdragen van deelnemers Warmtenet, vastrecht</t>
  </si>
  <si>
    <t>Bijdragen van deelnemers Warmtenet, warmte</t>
  </si>
  <si>
    <t>Totaal deelnemers</t>
  </si>
  <si>
    <t>Inkomensoverdrachten van het Rijk (SDE subsidie 15 jaar,</t>
  </si>
  <si>
    <t xml:space="preserve"> 2027 t/m 2041)</t>
  </si>
  <si>
    <t>Totaal warmtenet baten</t>
  </si>
  <si>
    <t>Titel 2: berekening integrale kostprijs: vergunningverlening milieu</t>
  </si>
  <si>
    <t>totaal opslag overhead</t>
  </si>
  <si>
    <t>Beheer</t>
  </si>
  <si>
    <t>T75 Begraafplaatsen en crematoria</t>
  </si>
  <si>
    <t>Algemene begraafplaats (titel 1)</t>
  </si>
  <si>
    <t>Directe toerekening begraafplaats (titel 1)</t>
  </si>
  <si>
    <t>Algemene begraafplaats kosten (titel 1)</t>
  </si>
  <si>
    <t>Onderhoud en beheer van de algemene begraafplaatsen en het (mede)verzorgen van de ter aarde bestellingen.</t>
  </si>
  <si>
    <t>- grafruimingskosten: 1 x</t>
  </si>
  <si>
    <t>- grafkosten: 3 x</t>
  </si>
  <si>
    <t>- kosten ter aarde bestelling indien niemand hierin voorziet</t>
  </si>
  <si>
    <t xml:space="preserve">  (conform art. 22 van de wet op de lijkbezorging)</t>
  </si>
  <si>
    <t xml:space="preserve">- kosten van beplantingen </t>
  </si>
  <si>
    <t>- W01-2025 oormerken algemene uitkering gemeentefonds</t>
  </si>
  <si>
    <t xml:space="preserve">  let op: geen formules gebruikt ivm aansluiting met W01</t>
  </si>
  <si>
    <t>Algemene begraafplaats leges (titel 1)</t>
  </si>
  <si>
    <t>Op grond van de "Verordening Lijkbezorgingsrechten 2017" worden voor het gebruik van de algemene begraafplaats en voor het verlenen van diensten door of namens de gemeente rechten geheven. De tarieven worden afgestemd met de Antonius-Avondmaalparochie.</t>
  </si>
  <si>
    <t>Let op tarieven aanpassen op basis van 'verordening lijkbezorgingsrechten 2017'</t>
  </si>
  <si>
    <t>- Doorberekende grafkosten 3 p.j. x € 90,00</t>
  </si>
  <si>
    <t>Tarieven lopen parallel</t>
  </si>
  <si>
    <t>- Grafrechten voor 20 jaar: € 925 x 3 p.j.:</t>
  </si>
  <si>
    <t>met tarieven van kerkbestuur</t>
  </si>
  <si>
    <t>- Verlenging grafrechten 10 jaar: € 465 x 2 p.j.:</t>
  </si>
  <si>
    <t>St. Antonius</t>
  </si>
  <si>
    <t xml:space="preserve">- Incidentele legesopbrengsten: </t>
  </si>
  <si>
    <t>Nieuwe tarieven vermeld, cijfers nog op oude tarieven gebaseerd!!</t>
  </si>
  <si>
    <t>Totale opbrengst grafrechten</t>
  </si>
  <si>
    <t>Nog aanpassen!!</t>
  </si>
  <si>
    <t>Tabel 1: berekening integrale kostprijs: (onderdeel)</t>
  </si>
  <si>
    <t>Totaalopslag overhead</t>
  </si>
  <si>
    <t>10. Ruimte en bouwen</t>
  </si>
  <si>
    <t>651001</t>
  </si>
  <si>
    <t>bestemmingsplannen</t>
  </si>
  <si>
    <t>651003</t>
  </si>
  <si>
    <t>omgevingsplan</t>
  </si>
  <si>
    <t>651002</t>
  </si>
  <si>
    <t>omgevingswet</t>
  </si>
  <si>
    <t>651005</t>
  </si>
  <si>
    <t>netwerksamenwrk</t>
  </si>
  <si>
    <t>Kostenverhaal derden</t>
  </si>
  <si>
    <t>651007</t>
  </si>
  <si>
    <t>kostenverhaal derden</t>
  </si>
  <si>
    <t>651008</t>
  </si>
  <si>
    <t>herinr statgeb west</t>
  </si>
  <si>
    <t>Actualisatie omgevingsvisie (dekking uit VAR)</t>
  </si>
  <si>
    <t>651004</t>
  </si>
  <si>
    <t>brainpoort avenue</t>
  </si>
  <si>
    <t>Gebiedsontwikkeling Wilhelminadorp</t>
  </si>
  <si>
    <t>651009</t>
  </si>
  <si>
    <t>visie woonwagenzaken</t>
  </si>
  <si>
    <t>Stedenbouwkundige visie dorpsplein</t>
  </si>
  <si>
    <t>651011</t>
  </si>
  <si>
    <t>gebiedsvisie wilhdrp</t>
  </si>
  <si>
    <t>651901</t>
  </si>
  <si>
    <t>dir toerek ruimt ord</t>
  </si>
  <si>
    <t>651902</t>
  </si>
  <si>
    <t>dir toerek ipni ttl2</t>
  </si>
  <si>
    <t>651903</t>
  </si>
  <si>
    <t>dir toerek kstenverh</t>
  </si>
  <si>
    <t>Bestemmingsplannen</t>
  </si>
  <si>
    <t>Kosten algemene plannen</t>
  </si>
  <si>
    <t>Omgevingswet</t>
  </si>
  <si>
    <t>Omgevingsplan</t>
  </si>
  <si>
    <t xml:space="preserve">Samenwerkingsverband Brainport Avenue  </t>
  </si>
  <si>
    <t>Samenwerkingsverband Het Groene Woud</t>
  </si>
  <si>
    <t>N108</t>
  </si>
  <si>
    <t>Herinrichting stationsgebied West</t>
  </si>
  <si>
    <t>Visie Dorpsplein (dekking uit VAR)</t>
  </si>
  <si>
    <t>Actualisatie Omgevingsvisie (dekking uit VAR)</t>
  </si>
  <si>
    <t>Directe toerekening ruimtelijke ordening</t>
  </si>
  <si>
    <t>Directe toerek ipni, titel 2</t>
  </si>
  <si>
    <t>Directe toerek kostenverhaal</t>
  </si>
  <si>
    <t>N099</t>
  </si>
  <si>
    <t>Leges voor principeverzoeken (ipni)</t>
  </si>
  <si>
    <t>Kostenverhaal</t>
  </si>
  <si>
    <t>B.T.W. compensabel.</t>
  </si>
  <si>
    <t>- kosten bestemmingsplannen (regulier budget)</t>
  </si>
  <si>
    <t>- budget voor projectenbureau o.a. voor opstartfases van projecten</t>
  </si>
  <si>
    <t>Nieuw budget 2026: transitie landelijk gebied (nr 30)</t>
  </si>
  <si>
    <t>Brainport Avenue</t>
  </si>
  <si>
    <t>Bijdrage programmabureau</t>
  </si>
  <si>
    <t>Omgevingsplannen</t>
  </si>
  <si>
    <t>Kaderbrief 2025 (25) Gebiedsdekkend omgevingsplan</t>
  </si>
  <si>
    <t>Netwerksamenwerkingen</t>
  </si>
  <si>
    <t>- Netw samenwerking 't Groene Woud, alg bijdrage</t>
  </si>
  <si>
    <t>- Kaderbrief 2024: 't Groene Woud, bijdrage Leaderprogramma</t>
  </si>
  <si>
    <t>Stopt in 2027</t>
  </si>
  <si>
    <t>- Kaderbrief 2024: Van Gogh Nationaal Park, alg bijdrage</t>
  </si>
  <si>
    <t>W14/24 Stationsomgeving Oost-grondaankopen</t>
  </si>
  <si>
    <t xml:space="preserve">W14/24 Stationsomgeving Oost-overige uitgaven </t>
  </si>
  <si>
    <t>Kaderbrief 2025 (22) gebiedsontwikkeling stationsomgeving</t>
  </si>
  <si>
    <t>Herontwikkeling stationsgebied, expertise</t>
  </si>
  <si>
    <t>Nieuw budget 2026, ontwikkeling Stationsgeb West (nr 28-uit VAR)</t>
  </si>
  <si>
    <t>Incidenteel geld aangevraagd voor de periode van 4 jaar. Einde is 2029!</t>
  </si>
  <si>
    <t>Visie Dorpsplein (dekking VAR)</t>
  </si>
  <si>
    <t>Nieuw beleid 2026, nr26 Visie dorpsplein en omgeving</t>
  </si>
  <si>
    <t>Nieuw beleid 2026, nr 27 actualisatie omgevingsvisie</t>
  </si>
  <si>
    <t>Invoering omgevingswet</t>
  </si>
  <si>
    <t>- Uren Stationsomgeving dekking middels budget 651008</t>
  </si>
  <si>
    <t>Let op verwerking uren stationsomgeving. Graag overleg met Joost</t>
  </si>
  <si>
    <t>Kaderbrief 2024: Beleidsmedewerker R&amp;O (Taakstelling)</t>
  </si>
  <si>
    <t>Kaderbrief 2024: Vergunningen jurist Omgevingswet</t>
  </si>
  <si>
    <t>Incidenteel alleen voor 2024 en 2025</t>
  </si>
  <si>
    <t>Kaderbrief 2025 (20) senior medew RO</t>
  </si>
  <si>
    <t>vanaf 2026 in formatie (adv ruimtelijke ontwikkeling)</t>
  </si>
  <si>
    <t>Kaderbrief 2025 (21) projectondersteuner</t>
  </si>
  <si>
    <t>vanaf 2026 in formatie (Susan Spanjers)</t>
  </si>
  <si>
    <t>Kaderbrief 2025 (23) Medewerker ruimtelijke kwaliteit (VAR)</t>
  </si>
  <si>
    <t>incidenteel alleen voor 2025</t>
  </si>
  <si>
    <t>Kaderbrief 2025 (24) Omgevingsplan RX base coordinator</t>
  </si>
  <si>
    <t>vanaf 2026 in formatie (coor omg plan en ex base)</t>
  </si>
  <si>
    <t>Kaderbrief 2025 (26) Omgevingsvisie en programma's</t>
  </si>
  <si>
    <t>vanaf 2026 in formatie (med ruimtelijke ontwikkeling a)</t>
  </si>
  <si>
    <t>W01/2025 toevoeging salarislasten RO</t>
  </si>
  <si>
    <t>let op. formules ontbreken</t>
  </si>
  <si>
    <t>- Advertentiekosten ten behoeve van bestemmings-</t>
  </si>
  <si>
    <t xml:space="preserve">  plannen (doorbelasting vanuit communicatie,</t>
  </si>
  <si>
    <t xml:space="preserve">  budgetbewaking via communicatie &amp; JZ)</t>
  </si>
  <si>
    <t>Directe toerekening ipni, titel 2</t>
  </si>
  <si>
    <t>Directe toerekening kostenverhaal</t>
  </si>
  <si>
    <t>Leges ipni, titel 2</t>
  </si>
  <si>
    <t>Leges principeverzoeken</t>
  </si>
  <si>
    <t>Betreft verzoeken om medewerking te verlenen in afwijking van bestemmingsplan.</t>
  </si>
  <si>
    <t>Hier staan apparaatskosten IPNI tegenover.</t>
  </si>
  <si>
    <t xml:space="preserve">W14/2024 Grondverkopen Stationsgebied Oost </t>
  </si>
  <si>
    <t>Overige goederen en diensten, verhaalde kosten (=directe</t>
  </si>
  <si>
    <t>toerekening kostenverhaal)</t>
  </si>
  <si>
    <t>W14/2024: Stationsomgeving Oost</t>
  </si>
  <si>
    <t>Kostenverhaal 50% expertisekosten</t>
  </si>
  <si>
    <t>Titel 2 IPNI: l berekening kostendekking (obv opslagpercentages taakveld Overhead T04)</t>
  </si>
  <si>
    <t>Taakveld 81 - Ruimtelijke ordening</t>
  </si>
  <si>
    <t>Directe loonkosten RO (in relatie met IPNI leges)</t>
  </si>
  <si>
    <t>Directe loonkosten uitvoering (in relatie met IPNI leges)</t>
  </si>
  <si>
    <t>T82 grondexploitatie</t>
  </si>
  <si>
    <t>planontwikkeling overig</t>
  </si>
  <si>
    <t>directe toerekening planontwikkeling</t>
  </si>
  <si>
    <t>vtu advies derden</t>
  </si>
  <si>
    <t>brm algemeen</t>
  </si>
  <si>
    <t>wrm algemeen</t>
  </si>
  <si>
    <t>directe toerekening planuitvoering</t>
  </si>
  <si>
    <t>rente rekening courant</t>
  </si>
  <si>
    <t>afdracht overige</t>
  </si>
  <si>
    <t>tijdelijk beheer</t>
  </si>
  <si>
    <t>mutatie bouwgrondexploitatie</t>
  </si>
  <si>
    <t>controle: dotatie voorzieningen NCW</t>
  </si>
  <si>
    <t>Verbij-zondering</t>
  </si>
  <si>
    <t>2025 B2</t>
  </si>
  <si>
    <t>Planontwikkeling overige</t>
  </si>
  <si>
    <t>kosten algemene plannen</t>
  </si>
  <si>
    <t>inhuur personeel</t>
  </si>
  <si>
    <t>uitbestede investeringen</t>
  </si>
  <si>
    <t>G0501</t>
  </si>
  <si>
    <t>Afdracht overige</t>
  </si>
  <si>
    <t>Rente rekening courant</t>
  </si>
  <si>
    <t>Toegerekende rente (rek-crt)</t>
  </si>
  <si>
    <t>Tijdelijk beheer</t>
  </si>
  <si>
    <t>aank.niet duurz.goederen dnst.</t>
  </si>
  <si>
    <t>Mutatie bouwgrondexploitatie</t>
  </si>
  <si>
    <t>Mutatie boekwaarde grondexploitatie</t>
  </si>
  <si>
    <t>Directe toerekening planontwikkeling</t>
  </si>
  <si>
    <t>Verrekeningen (overhead)</t>
  </si>
  <si>
    <t>Directe toerekening planuitvoering</t>
  </si>
  <si>
    <t>grondverkopen sociaal</t>
  </si>
  <si>
    <t>opbrengst verkoop grond</t>
  </si>
  <si>
    <t>Grondverkopen vrije sector</t>
  </si>
  <si>
    <t>Grondverkopen overig</t>
  </si>
  <si>
    <t xml:space="preserve">De betaalde btw i.v.m. de grondexploitatie is voor het merendeel compensabel zoals aanleg van wegen, plantsoenen </t>
  </si>
  <si>
    <t xml:space="preserve">en openbare verlichting. In een aantal gevallen kan er sprake zijn van aftrekbare btw of een combinatie van </t>
  </si>
  <si>
    <t>compensabele en aftrekbare btw. Op fondsstortingen, rente, af- en toename boekwaarde is geen btw van toepassing.</t>
  </si>
  <si>
    <t>De opbrengst grondverkopen is netto verantwoord. De hierover verschuldigde B.T.W. wordt na ontvangst afgedragen</t>
  </si>
  <si>
    <t>aan de Belastingdienst.</t>
  </si>
  <si>
    <t xml:space="preserve">De posten af- en toename boekwaarde vormen de tegenhanger van de bedragen verantwoord </t>
  </si>
  <si>
    <t>op de Mutaties Investerings- en financieringsstaat.</t>
  </si>
  <si>
    <t>De saldi worden middels 6.980.102/6.980.101 (zie product 11.02.002 reserves en voorzieningen)</t>
  </si>
  <si>
    <t>aan de reserves en voorzieningen toegevoegd c.q. onttrokken.</t>
  </si>
  <si>
    <t>planontwikkeling overige</t>
  </si>
  <si>
    <t>aank. niet duurz.goederen en dnst.</t>
  </si>
  <si>
    <t>aarlesche erven</t>
  </si>
  <si>
    <t>steegsche velden oost</t>
  </si>
  <si>
    <t>centrumplan</t>
  </si>
  <si>
    <t>steegsche velden noord</t>
  </si>
  <si>
    <t>Stelpost correctie lagere toerekening aan grex (zie T04)</t>
  </si>
  <si>
    <t>Bezuiningsdoelstelling loonkosten</t>
  </si>
  <si>
    <t>Overige verrekeningen (overhead GREX) - Taakveld 04</t>
  </si>
  <si>
    <t>Toerekening overhead vanaf 2025</t>
  </si>
  <si>
    <t>4. Opslag loonkosten overhead-vakinhoudelijk advies</t>
  </si>
  <si>
    <t>Totaal doorbelast aan de grondexploitatie</t>
  </si>
  <si>
    <t>Dekking van uit de grondexploitatie:</t>
  </si>
  <si>
    <t>dijkstraten</t>
  </si>
  <si>
    <t>molenstraat</t>
  </si>
  <si>
    <t>Niet gedekt door de grondexploitatie</t>
  </si>
  <si>
    <t>- Overige personeelslasten T04 (1201)</t>
  </si>
  <si>
    <t>- Huisvesting T04 (1202)</t>
  </si>
  <si>
    <t>- Ondersteuning T04 (1203)</t>
  </si>
  <si>
    <t>- Advies en Financiën T04 (1204)</t>
  </si>
  <si>
    <t>- Directie T04 (1205)</t>
  </si>
  <si>
    <t xml:space="preserve">- Management Omgevingszaken T04 </t>
  </si>
  <si>
    <t>- Werf en vervoermiddelen (opslag op buitendienst) 1210</t>
  </si>
  <si>
    <t>was voor invulling definitief overhead:</t>
  </si>
  <si>
    <t>Totaal doorbelast aan de grondexploitatie:</t>
  </si>
  <si>
    <t>Deze kosten worden als volgt aan de complexen doorberekend:</t>
  </si>
  <si>
    <t>Directe planuitvoeringskosten niet gedekt door de grex:</t>
  </si>
  <si>
    <t>Directe planontwikkelingskosten niet gedekt door de grex:</t>
  </si>
  <si>
    <t>Afdracht natuur compensatie Dijkstraten</t>
  </si>
  <si>
    <t>Afdracht natuur compensatie Aarlesche Erven</t>
  </si>
  <si>
    <t>rente boekwaarde</t>
  </si>
  <si>
    <t>Het renteomslagpercentage voor de grondexploitaties vanaf 2024 is 0,38%.</t>
  </si>
  <si>
    <t xml:space="preserve">De MPG grexen is gemaakt voorafgaand aan de berekening van het omslagpercentage 2024 en gaat uit van een omslagrente van 0,35%. </t>
  </si>
  <si>
    <t>overboekingen (onderhanden werken)</t>
  </si>
  <si>
    <t>dotatie voorziening nadelig saldo Aarle</t>
  </si>
  <si>
    <t>dotatie voorziening nadelig saldo steegsche velden oost</t>
  </si>
  <si>
    <t>div.</t>
  </si>
  <si>
    <t>opbrengst verk grond</t>
  </si>
  <si>
    <t>grondverkopen vrije sector</t>
  </si>
  <si>
    <t>grondverkopen overig</t>
  </si>
  <si>
    <t>bijdrage derden</t>
  </si>
  <si>
    <t>T83 Wonen en bouwen</t>
  </si>
  <si>
    <t>Leefbare en duurzame wijken</t>
  </si>
  <si>
    <t>Schaalsprong woningbouw</t>
  </si>
  <si>
    <t>Welstandstoezicht</t>
  </si>
  <si>
    <t>Omgevingsvergunningen</t>
  </si>
  <si>
    <t>Handhaving ruimtelijke regelgeving</t>
  </si>
  <si>
    <t>Handhaving woonwagencentrum</t>
  </si>
  <si>
    <t>Uitvoering 2e fase wet Bibob</t>
  </si>
  <si>
    <t>Uitvoering urgentieverordening</t>
  </si>
  <si>
    <t>Visie volkshuisvestingsbeleid</t>
  </si>
  <si>
    <t>ODZOB Bouw</t>
  </si>
  <si>
    <t>ODZOB Collectieve taken</t>
  </si>
  <si>
    <t>ODZOB toezicht en handhaving</t>
  </si>
  <si>
    <t>ODZOB handhaving klacht afhandeling</t>
  </si>
  <si>
    <t>ODZOB Samen Sterk in buitengebied</t>
  </si>
  <si>
    <t>Directe toerekening wonen en bouwen</t>
  </si>
  <si>
    <t>Directe toerekening vergunning wonen titel 2</t>
  </si>
  <si>
    <t>Leges omgevingsvergunningen</t>
  </si>
  <si>
    <t>- Beoordeling bouwplannen door commissie ruimtelijke kwaliteit</t>
  </si>
  <si>
    <t xml:space="preserve">- Aankoop niet duurzame goederen en diensten  </t>
  </si>
  <si>
    <t>- uitvoering van de Wkb</t>
  </si>
  <si>
    <t xml:space="preserve">Juridisch budget handhaving ruimtelijke regelgeving </t>
  </si>
  <si>
    <t>In 2026 653006, 653007 en 653008 samengevoegd tot een budget.</t>
  </si>
  <si>
    <t>Aandeel Urgentieregeling</t>
  </si>
  <si>
    <t xml:space="preserve">- Uitvoeren visie op wonen/woondeal </t>
  </si>
  <si>
    <t>Woningbouwversnelling</t>
  </si>
  <si>
    <t xml:space="preserve">Begeleiding van een collectieve duurzaamheidsaanpak voor particulieren. </t>
  </si>
  <si>
    <t xml:space="preserve">Dit budget maakt onderdeel uit van de totale Jetten-gelden </t>
  </si>
  <si>
    <t xml:space="preserve">en is hiervoor apart gereserveerd. </t>
  </si>
  <si>
    <t>Budget opgepakt in 2026 en verplaatst naar T74. Volgend jaar verwijderen.</t>
  </si>
  <si>
    <t>Schaalsprong woningbouw 2026 - 2029</t>
  </si>
  <si>
    <t>Zie T21 voor toelichting schaalsprong</t>
  </si>
  <si>
    <t xml:space="preserve">* Vanwege de overdracht van taken aan gemeenten op het gebied van vergunningverlening, toezicht en handhaving (VTH) bij provinciale inrichtingen wordt vanaf 2014 een structureel bedrag toegevoegd aan het gemeentefonds. De gemeenten zullen het milieudeel van de omgevingsvergunningen zelf gaan toetsen en vergunnen. Deze taak zal belegd worden bij de ODZOB. Het ontvangen bedrag wordt hiervoor geoormerkt. </t>
  </si>
  <si>
    <t>ODZOB collectieve taken</t>
  </si>
  <si>
    <t>conform werkprogramma ODZOB</t>
  </si>
  <si>
    <t>ODZOB handhaving klachtafhandeling</t>
  </si>
  <si>
    <t>Regeling Verwijdering Calamiteuze Stoffen</t>
  </si>
  <si>
    <t>Dit betreft een regeling voor het verwijderen en saneren</t>
  </si>
  <si>
    <t>van vervuilde grond i.v.m. dumping drugsafval.</t>
  </si>
  <si>
    <t>616006 - ODZOB Eterne veiligheid</t>
  </si>
  <si>
    <t>653003 - ODZOB Bouw (incl ophoging 1e firap 2023)</t>
  </si>
  <si>
    <t>- doorbelaste automatiseringskosten Squit XO</t>
  </si>
  <si>
    <t>- doorbelaste advertentiekosten comm en JZ</t>
  </si>
  <si>
    <t>Het betreft kosten van publicaties i.v.m. verlening van omgevings-vergunningen op grond van de Wabo; deze kosten worden in de vorm van leges terugontvangen.</t>
  </si>
  <si>
    <t>Doorbelasting van de automatiserings- en advertentiekosten vindt plaats vanuit de het taakveld overhead.</t>
  </si>
  <si>
    <t>Budgetbewaking via automatisering en communicatie.</t>
  </si>
  <si>
    <t xml:space="preserve">Het betreft leges voor bouw-,aanleg- en sloopvergunningen. Heffing vindt plaats krachtens de legesverordening. </t>
  </si>
  <si>
    <t>Uitgangspunt bij deze legesheffing is volledige kostendekking.</t>
  </si>
  <si>
    <t xml:space="preserve">Uitsluitend de leges bouwvergunningen (excl. sloop- en aanlegvergunningen) worden hier verantwoord. </t>
  </si>
  <si>
    <t xml:space="preserve">Totaal opbrengst leges bouwvergunningen </t>
  </si>
  <si>
    <t>Bijstelling opbrengst leges bouwvergunningen a.g.v. invoering omgevingswet</t>
  </si>
  <si>
    <t>Sloopvergunningen en sloopmeldingen</t>
  </si>
  <si>
    <t xml:space="preserve">Extra opbrengst leges </t>
  </si>
  <si>
    <t>Aanlegvergunningen</t>
  </si>
  <si>
    <t>Totale opbrengst leges</t>
  </si>
  <si>
    <t>Kostendekkendheid leges:</t>
  </si>
  <si>
    <t xml:space="preserve">Totale lasten exclusief Algemeen belang Woningwet </t>
  </si>
  <si>
    <t>(niet gedekt door leges)</t>
  </si>
  <si>
    <t>Indirecte lasten</t>
  </si>
  <si>
    <t>ruimtelijke regelgeving</t>
  </si>
  <si>
    <t>Saldo leges</t>
  </si>
  <si>
    <t>Hier worden dwangsommen geraamd, bedoeld voor het ongedaan maken van ongewenste situaties in het kader van geldende regelgeving.</t>
  </si>
  <si>
    <t>Titel 2: berekening integrale kostprijs: vergunningen incl handh vergunningen</t>
  </si>
  <si>
    <t>1-1-2029:</t>
  </si>
  <si>
    <t>paspoorten in 2030 à</t>
  </si>
  <si>
    <t>id  &gt; 18 jr in 2030</t>
  </si>
  <si>
    <t>id &lt; 18 jr in 2030</t>
  </si>
  <si>
    <t>verkochte rijbewijzen in 2030 à</t>
  </si>
  <si>
    <t>verklaring omtrent gedrag 2030</t>
  </si>
  <si>
    <t xml:space="preserve"> x huur stemlokalen 2030 x 1</t>
  </si>
  <si>
    <t>huwelijksvoltrekkingen in 2030 à</t>
  </si>
  <si>
    <t>boekjes in 2030 à</t>
  </si>
  <si>
    <t>identiteitskaarten &gt; 18 jr in 2030</t>
  </si>
  <si>
    <t>identiteitskaarten &lt; 18 jr in 2030</t>
  </si>
  <si>
    <t>rijbewijzen in 2030 à</t>
  </si>
  <si>
    <t>2030: reguliere periodieke verhogingen</t>
  </si>
  <si>
    <t>2030: personeelsbeleid (structureel)</t>
  </si>
  <si>
    <t>2030: loonstijging 4,6%</t>
  </si>
  <si>
    <t>van de loonsom 2030</t>
  </si>
  <si>
    <t>Bijdrage 2030</t>
  </si>
  <si>
    <t>1-1-2030</t>
  </si>
  <si>
    <t xml:space="preserve"> inwoners in 2030 ad</t>
  </si>
  <si>
    <t xml:space="preserve">   2029: per marktdag / per meter € 2,26</t>
  </si>
  <si>
    <t xml:space="preserve">   2030: per marktdag / per meter € 2,26</t>
  </si>
  <si>
    <t xml:space="preserve">   2029: 200 x 4 x € 19,11</t>
  </si>
  <si>
    <t xml:space="preserve">   2029: 160 x € 72,01</t>
  </si>
  <si>
    <t xml:space="preserve">   2030: 160 x € 72,01</t>
  </si>
  <si>
    <t>- Water Riolerings Plan 2029</t>
  </si>
  <si>
    <t>- Water Riolerings Plan 2030</t>
  </si>
  <si>
    <t>Hoofdjaar</t>
  </si>
  <si>
    <t>inwoners per 1-1-2030 a</t>
  </si>
  <si>
    <t>nakijken. Vreemd verloop budgetten</t>
  </si>
  <si>
    <t>% 2030</t>
  </si>
  <si>
    <t xml:space="preserve">   2030: 200 x 4 x € 19,11</t>
  </si>
  <si>
    <t>index prijs ipv loon??</t>
  </si>
  <si>
    <t>prijsindex ipv loonindex?</t>
  </si>
  <si>
    <t>moet dit niet prijsindex zijn? Nu wordt met de loonindex gerekend</t>
  </si>
  <si>
    <t>moet dit niet loonindex zijn? Nu wordt met de prijsindex gerekend</t>
  </si>
  <si>
    <t xml:space="preserve">Waarom index 2026 voor </t>
  </si>
  <si>
    <t>de jaren 2027 tm 2030</t>
  </si>
  <si>
    <t>2030 aangepast naar index</t>
  </si>
  <si>
    <t>prijsindex</t>
  </si>
  <si>
    <t>loonindex</t>
  </si>
  <si>
    <t>waarom verschillend?</t>
  </si>
  <si>
    <t>Begroot 2028</t>
  </si>
  <si>
    <t>Begroot 2029</t>
  </si>
  <si>
    <t>6791 - PGB Wmo</t>
  </si>
  <si>
    <t>6792 - PGB Jeugd</t>
  </si>
  <si>
    <t>VERSCHIL</t>
  </si>
  <si>
    <t>Correctie</t>
  </si>
  <si>
    <t>TAAKVELDENRAMING 2026 (OUD)</t>
  </si>
  <si>
    <t>TAAKVELDENRAMING 2027 (NIEUW)</t>
  </si>
  <si>
    <t>verschil 2026</t>
  </si>
  <si>
    <t>verschil 2027</t>
  </si>
  <si>
    <t>verschil 2029</t>
  </si>
  <si>
    <t>W01-2026 septembercirculaire</t>
  </si>
  <si>
    <t>W01-26 septembercirculaire 2025</t>
  </si>
  <si>
    <t>W01-2026 septembercirculaire 2025</t>
  </si>
  <si>
    <t>W02 budget 2026 naar T81</t>
  </si>
  <si>
    <t>Duurzame investeringen</t>
  </si>
  <si>
    <t>Verrekeningen</t>
  </si>
  <si>
    <t>Sportlaan 10</t>
  </si>
  <si>
    <t>W02-2026, verkoop sportlaan 10 en afwaardering boekwaarde.</t>
  </si>
  <si>
    <t>Huurlasten (leasepenningen V15 en V17)</t>
  </si>
  <si>
    <t>W02-2026</t>
  </si>
  <si>
    <t>W02-2026 oormerken middelen participatiewet</t>
  </si>
  <si>
    <t>Bijdrage Oirschot participatiewet</t>
  </si>
  <si>
    <t>W02-2026 decembercirculaire 2026</t>
  </si>
  <si>
    <t>Storting in  DR openbare ruimte tlv exploitatie (R353)</t>
  </si>
  <si>
    <t xml:space="preserve"> 2030</t>
  </si>
  <si>
    <t>2030</t>
  </si>
  <si>
    <t>W02-26 bijdragen in stimulering landschap (R228)</t>
  </si>
  <si>
    <t>W02-26 Bijdrage uit 'DR Vlinderhei 16, buurtcentrum (R335)</t>
  </si>
  <si>
    <t>- W02-26 Inhuur senior medewerker veiligheid</t>
  </si>
  <si>
    <t xml:space="preserve">V08 leasepenningen </t>
  </si>
  <si>
    <t>Totaal 43805</t>
  </si>
  <si>
    <t>Huren en pachten</t>
  </si>
  <si>
    <t>W02-2026 hoger budget onderwijs achterstandenbeleid</t>
  </si>
  <si>
    <t>W02-2026 hogere bijdrage onderwijsachterstandenbeleid</t>
  </si>
  <si>
    <t>W02-2026 Voertuig V16, leasepennningen</t>
  </si>
  <si>
    <t>W02-2026 stimuleringsregeling landschap provincie</t>
  </si>
  <si>
    <t>W02-2026 V06 leasepenningen</t>
  </si>
  <si>
    <t>W02-2026 V11 leasepenningen</t>
  </si>
  <si>
    <t>W02-2026 hogere BUIG uitkering</t>
  </si>
  <si>
    <t>W02-26 hogere buiguitkering</t>
  </si>
  <si>
    <t>Reguliere subsidie</t>
  </si>
  <si>
    <t>W02-2026 aankoopbijdrage Sportlaan 10</t>
  </si>
  <si>
    <t>Directe toerekening inkomensvoorzienignen</t>
  </si>
  <si>
    <t>W02-2026 Formatieuitbreiding ivm participatie Oirschot</t>
  </si>
  <si>
    <t>-W02-26 Extra budget inburgeringsplicht</t>
  </si>
  <si>
    <t>W02-26 specifieke uitkering inburgering</t>
  </si>
  <si>
    <t>W02-2026 inhuur inplementatie participatiewet</t>
  </si>
  <si>
    <t>W02-2026 eenmalige bijdrage stimuleringsregeling landschap</t>
  </si>
  <si>
    <t>W02-2026 geluidsonderzoeken project Oirschotseweg</t>
  </si>
  <si>
    <t>W02-2026 bijdrage gevelmaatregelen Oirschotseweg</t>
  </si>
  <si>
    <t>W02-2026 extra cdoke gelden</t>
  </si>
  <si>
    <t>Schaalsprong regionale ontwikkeling</t>
  </si>
  <si>
    <t>W02-2026 inzet inhuurbudget schaalsprong</t>
  </si>
  <si>
    <t>G0901</t>
  </si>
  <si>
    <t>W02-2026 De Berk</t>
  </si>
  <si>
    <t>MFA Bricks</t>
  </si>
  <si>
    <t>IKC Bricks</t>
  </si>
  <si>
    <t>W03/2026 IKC Bricks overige uitgaven</t>
  </si>
  <si>
    <t>W03/2026 IKC Bricks huren</t>
  </si>
  <si>
    <t>W04-2026, extra budget Best-Oirschot</t>
  </si>
  <si>
    <t>W04-2026, extra budget Best Oirschot</t>
  </si>
  <si>
    <t>W05-2026 strategische grond</t>
  </si>
  <si>
    <t>W05-26 informatievoorz WOO</t>
  </si>
  <si>
    <t>W05-2026 woo inhuur</t>
  </si>
  <si>
    <t>Cameratoezicht bedrijventerreinen</t>
  </si>
  <si>
    <t>Inkomensoverdrachten aan instellingen/pers</t>
  </si>
  <si>
    <t>W05-2026 overheveling cameratoezicht</t>
  </si>
  <si>
    <t>Opvang vluchtelingen/arbeidsmigranten</t>
  </si>
  <si>
    <t>W05-2026, overheveling budget opvang vluchtelingen/arbeidsmigranten.</t>
  </si>
  <si>
    <t>W05-2026</t>
  </si>
  <si>
    <t>W05-2026 bijdragen geluidsonderzoeken</t>
  </si>
  <si>
    <t>W05-26, duurzaamheid</t>
  </si>
  <si>
    <t>Energiearmoede</t>
  </si>
  <si>
    <t>W05-2026 energiearmoede</t>
  </si>
  <si>
    <t>W05-2026 saldo regeling 2025</t>
  </si>
  <si>
    <t>Soorten management plan</t>
  </si>
  <si>
    <t>Inkomensoverdrachten van het waterschap</t>
  </si>
  <si>
    <t>Soorten managementplan</t>
  </si>
  <si>
    <t>W05-2026 overheveling van 2025</t>
  </si>
  <si>
    <t>Inkomensoverdrachten van de provincie</t>
  </si>
  <si>
    <t>Groene daken</t>
  </si>
  <si>
    <t>Inkoemnsoverdrachten instellingen/personen</t>
  </si>
  <si>
    <t>W05-26 overheveling 2025</t>
  </si>
  <si>
    <t>W05-2026 combinatiefunctionarissen</t>
  </si>
  <si>
    <t>W05-26 omgevingswet</t>
  </si>
  <si>
    <t>W05-2026 overheveling 2025</t>
  </si>
  <si>
    <t>Project structuurvisie buitengebied</t>
  </si>
  <si>
    <t>W05-2026, overheveling van 2025</t>
  </si>
  <si>
    <t>W03-2026 bijdrage best -oirschot</t>
  </si>
  <si>
    <t>W05-2026 dekking overhevelingen 2025</t>
  </si>
  <si>
    <t xml:space="preserve">W06-2026 </t>
  </si>
  <si>
    <t>gymzaal Aarlesche erven,  voorschoolse voorz.</t>
  </si>
  <si>
    <t>W09-2026 extra budget Best- Oirschot</t>
  </si>
  <si>
    <t>W09-2026 extra budget Best - Oirschot</t>
  </si>
  <si>
    <t>W12-2026 overheveling van 2025 Best-Oirschot</t>
  </si>
  <si>
    <t>W12-2026 overheveling duurzame mobiliteit</t>
  </si>
  <si>
    <t>W12-2026 overheveling van 2025</t>
  </si>
  <si>
    <t>W12-2026 jaarrekening 2025, overheveling</t>
  </si>
  <si>
    <t>W10 - 2025 afboeking rente Eendracht</t>
  </si>
  <si>
    <t>A01-2026 bijstelling rentelasten treasury</t>
  </si>
  <si>
    <t>A01-2026 bijstelling middelen jeugd</t>
  </si>
  <si>
    <t>A04-2026, correctie overheveling 2025</t>
  </si>
  <si>
    <t>Visie woonwagenzaken</t>
  </si>
  <si>
    <t>A04-2026 overheveling van 2025</t>
  </si>
  <si>
    <t>Terugdraaien bijstelling rentelasten</t>
  </si>
  <si>
    <t>Terugdraaien besparing jeugd</t>
  </si>
  <si>
    <t>Nog in te voeren A01/2026</t>
  </si>
  <si>
    <t>W05/2026 overheveling van 2025</t>
  </si>
  <si>
    <t>Sociaal domein loonindex</t>
  </si>
  <si>
    <t>Herijking middelen sociaal domein nav 2e finrap '26</t>
  </si>
  <si>
    <t>6.751 - Jeugdhulp ambulant lokaal</t>
  </si>
  <si>
    <t>Jeugdhulp begeleiding lokaal</t>
  </si>
  <si>
    <t>Jeugdhulp behandeling lokaal</t>
  </si>
  <si>
    <t>Jeugdhulp dagbesteding lokaal</t>
  </si>
  <si>
    <t>Overige jeugdhulp zonder verblijf lokaal</t>
  </si>
  <si>
    <t>Jeugdhulp GGZ zonder verblijf lokaal</t>
  </si>
  <si>
    <t>t/m 2019</t>
  </si>
  <si>
    <t>nummer</t>
  </si>
  <si>
    <t>,</t>
  </si>
  <si>
    <t>Totaal 43410</t>
  </si>
  <si>
    <t>Herijking middelen sociaal domein nav 2e frinap '26</t>
  </si>
  <si>
    <t>T6753 jeugdhulp ambulant landelijk</t>
  </si>
  <si>
    <t>6.753 - Jeugdhulp ambulant landelijk</t>
  </si>
  <si>
    <t>Jeugdhulp behandeling landelijk</t>
  </si>
  <si>
    <t>T6761 jeugdhulp met verblijf lokaal</t>
  </si>
  <si>
    <t>6.761- Jeugdhulp met verblijf lokaal</t>
  </si>
  <si>
    <t>Overige jeugdhulp met verblijf lokaal</t>
  </si>
  <si>
    <t>Jeugdhulp met verblijf: behandeling</t>
  </si>
  <si>
    <t>6.811 -  Beschermd wonen (Wmo)</t>
  </si>
  <si>
    <t>Wmo beschermd wonen</t>
  </si>
  <si>
    <t>Inkomensoverdrachten gemeenten</t>
  </si>
  <si>
    <t>Doorbelaste kosten Wmo beschermd wonen</t>
  </si>
  <si>
    <t>Totaal 84320</t>
  </si>
  <si>
    <t>Leegstandsbeheer, vanaf 1-4-2025 Gapph BV</t>
  </si>
  <si>
    <t>Burg. Notermanstraat 27-29-29a</t>
  </si>
  <si>
    <t>- verhuur Buurthuis De Zessprong (Heikant)</t>
  </si>
  <si>
    <t>Genugten akkerbouw, Van</t>
  </si>
  <si>
    <t>Schepens Maatschap</t>
  </si>
  <si>
    <t xml:space="preserve">Schepens, L.C.M. </t>
  </si>
  <si>
    <t>Biggelaar</t>
  </si>
  <si>
    <t>Aluminium Verkoop Zuid, zie huren</t>
  </si>
  <si>
    <t>geen index in contract</t>
  </si>
  <si>
    <t>Aluminium Verkoop Zuid - C 4381 (zie pachten)</t>
  </si>
  <si>
    <t>Verduurzaming?</t>
  </si>
  <si>
    <t>Correctie?</t>
  </si>
  <si>
    <t>Vergoeding Heerbeeck huur sportvelden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</si>
</sst>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44" formatCode="_ &quot;€&quot;\ * #,##0.00_ ;_ &quot;€&quot;\ * \-#,##0.00_ ;_ &quot;€&quot;\ * &quot;-&quot;??_ ;_ @_ "/>
    <numFmt numFmtId="43" formatCode="_ * #,##0.00_ ;_ * \-#,##0.00_ ;_ * &quot;-&quot;??_ ;_ @_ "/>
    <numFmt numFmtId="164" formatCode="&quot;€&quot;#,##0_);[Red]\(&quot;€&quot;#,##0\)"/>
    <numFmt numFmtId="165" formatCode="&quot;€&quot;#,##0.00_);[Red]\(&quot;€&quot;#,##0.00\)"/>
    <numFmt numFmtId="166" formatCode="_(&quot;€&quot;* #,##0.00_);_(&quot;€&quot;* \(#,##0.00\);_(&quot;€&quot;* &quot;-&quot;??_);_(@_)"/>
    <numFmt numFmtId="167" formatCode="_(* #,##0.00_);_(* \(#,##0.00\);_(* &quot;-&quot;??_);_(@_)"/>
    <numFmt numFmtId="168" formatCode="0.000%"/>
    <numFmt numFmtId="169" formatCode="_-* #,##0.00_-;_-* #,##0.00\-;_-* &quot;-&quot;??_-;_-@_-"/>
    <numFmt numFmtId="170" formatCode="_ * #,##0_ ;_ * \-#,##0_ ;_ * &quot;-&quot;??_ ;_ @_ "/>
    <numFmt numFmtId="171" formatCode="&quot;€&quot;\ #,##0.00_-"/>
    <numFmt numFmtId="172" formatCode="#,##0.000"/>
    <numFmt numFmtId="173" formatCode="0.0000%"/>
    <numFmt numFmtId="174" formatCode="0_ ;\-0\ "/>
    <numFmt numFmtId="175" formatCode="#,##0_ ;\-#,##0\ "/>
    <numFmt numFmtId="176" formatCode="_-&quot;€&quot;\ * #,##0_-;_-&quot;€&quot;\ * #,##0\-;_-&quot;€&quot;\ * &quot;-&quot;_-;_-@_-"/>
    <numFmt numFmtId="177" formatCode="#,##0.0000000"/>
    <numFmt numFmtId="178" formatCode="0.000000"/>
    <numFmt numFmtId="179" formatCode="#,##0.00_ ;\-#,##0.00\ "/>
    <numFmt numFmtId="180" formatCode="_-* #,##0_-;_-* #,##0\-;_-* &quot;-&quot;??_-;_-@_-"/>
    <numFmt numFmtId="181" formatCode="#,##0.000000"/>
    <numFmt numFmtId="182" formatCode="0.0%"/>
    <numFmt numFmtId="183" formatCode="_ * #,##0.000000_ ;_ * \-#,##0.000000_ ;_ * &quot;-&quot;??_ ;_ @_ "/>
    <numFmt numFmtId="184" formatCode="&quot;€&quot;\ #,##0.00_-;&quot;€&quot;\ #,##0.00\-"/>
    <numFmt numFmtId="185" formatCode="0.0"/>
    <numFmt numFmtId="186" formatCode="0.0000"/>
    <numFmt numFmtId="187" formatCode="_-&quot;€&quot;\ * #,##0.00_-;_-&quot;€&quot;\ * #,##0.00\-;_-&quot;€&quot;\ * &quot;-&quot;??_-;_-@_-"/>
    <numFmt numFmtId="188" formatCode="0.00000%"/>
    <numFmt numFmtId="189" formatCode="0.00000"/>
    <numFmt numFmtId="190" formatCode="#,##0.00000"/>
    <numFmt numFmtId="191" formatCode="&quot;€&quot;\ #,##0.00"/>
    <numFmt numFmtId="192" formatCode="_ * #,##0.000_ ;_ * \-#,##0.000_ ;_ * &quot;-&quot;??_ ;_ @_ "/>
    <numFmt numFmtId="193" formatCode="_ * #,##0.0_ ;_ * \-#,##0.0_ ;_ * &quot;-&quot;??_ ;_ @_ "/>
    <numFmt numFmtId="194" formatCode="&quot;€&quot;\ #,##0_-"/>
    <numFmt numFmtId="195" formatCode="#,##0.00000000000000000000"/>
    <numFmt numFmtId="196" formatCode="#,##0.00_);\(#,##0.00\)"/>
    <numFmt numFmtId="197" formatCode="&quot;€&quot;\ #,##0.000_-"/>
    <numFmt numFmtId="198" formatCode="\€\ #,##0.00"/>
    <numFmt numFmtId="199" formatCode="_ [$€-2]\ * #,##0.00_ ;_ [$€-2]\ * \-#,##0.00_ ;_ [$€-2]\ * &quot;-&quot;??_ ;_ @_ "/>
    <numFmt numFmtId="200" formatCode="#,##0.00_ ;[Red]\-#,##0.00\ "/>
    <numFmt numFmtId="201" formatCode="#,##0_ ;[Red]\-#,##0\ "/>
    <numFmt numFmtId="202" formatCode="_(* #,##0_);_(* \(#,##0\);_(* &quot;-&quot;??_);_(@_)"/>
    <numFmt numFmtId="203" formatCode="0.000"/>
    <numFmt numFmtId="204" formatCode="#,##0.0000"/>
    <numFmt numFmtId="205" formatCode="_ &quot;€&quot;\ * #,##0_ ;_ &quot;€&quot;\ * \-#,##0_ ;_ &quot;€&quot;\ * &quot;-&quot;??_ ;_ @_ "/>
    <numFmt numFmtId="206" formatCode="_(* #,##0.0000_);_(* \(#,##0.0000\);_(* &quot;-&quot;??_);_(@_)"/>
  </numFmts>
  <fonts count="72" x14ac:knownFonts="1">
    <font>
      <sz val="11"/>
      <color theme="1"/>
      <name val="Aptos Narrow"/>
      <family val="2"/>
      <scheme val="minor"/>
    </font>
    <font>
      <sz val="11"/>
      <color theme="1"/>
      <name val="Aptos Narrow"/>
      <family val="2"/>
      <scheme val="minor"/>
    </font>
    <font>
      <sz val="10"/>
      <name val="Tahoma"/>
      <family val="2"/>
    </font>
    <font>
      <sz val="10"/>
      <name val="Tahoma"/>
      <family val="2"/>
    </font>
    <font>
      <b/>
      <i/>
      <sz val="10"/>
      <name val="Tahoma"/>
      <family val="2"/>
    </font>
    <font>
      <b/>
      <sz val="10"/>
      <name val="Tahoma"/>
      <family val="2"/>
    </font>
    <font>
      <i/>
      <sz val="10"/>
      <name val="Tahoma"/>
      <family val="2"/>
    </font>
    <font>
      <sz val="10"/>
      <name val="Arial"/>
      <family val="2"/>
    </font>
    <font>
      <sz val="10"/>
      <color rgb="FFFF0000"/>
      <name val="Tahoma"/>
      <family val="2"/>
    </font>
    <font>
      <sz val="10"/>
      <color theme="1"/>
      <name val="Tahoma"/>
      <family val="2"/>
    </font>
    <font>
      <b/>
      <sz val="10"/>
      <color theme="1"/>
      <name val="Tahoma"/>
      <family val="2"/>
    </font>
    <font>
      <i/>
      <sz val="10"/>
      <color theme="1"/>
      <name val="Tahoma"/>
      <family val="2"/>
    </font>
    <font>
      <sz val="10"/>
      <color theme="0"/>
      <name val="Tahoma"/>
      <family val="2"/>
    </font>
    <font>
      <b/>
      <sz val="10"/>
      <name val="Arial"/>
      <family val="2"/>
    </font>
    <font>
      <u/>
      <sz val="10"/>
      <name val="Tahoma"/>
      <family val="2"/>
    </font>
    <font>
      <b/>
      <sz val="12"/>
      <name val="Tahoma"/>
      <family val="2"/>
    </font>
    <font>
      <b/>
      <i/>
      <sz val="10"/>
      <color theme="1"/>
      <name val="Tahoma"/>
      <family val="2"/>
    </font>
    <font>
      <i/>
      <sz val="11"/>
      <color theme="1"/>
      <name val="Aptos Narrow"/>
      <family val="2"/>
      <scheme val="minor"/>
    </font>
    <font>
      <sz val="10"/>
      <color rgb="FF222222"/>
      <name val="Tahoma"/>
      <family val="2"/>
    </font>
    <font>
      <b/>
      <sz val="10"/>
      <color rgb="FF333333"/>
      <name val="Tahoma"/>
      <family val="2"/>
    </font>
    <font>
      <sz val="10"/>
      <color indexed="63"/>
      <name val="Tahoma"/>
      <family val="2"/>
    </font>
    <font>
      <i/>
      <u/>
      <sz val="10"/>
      <name val="Tahoma"/>
      <family val="2"/>
    </font>
    <font>
      <sz val="9"/>
      <name val="Tahoma"/>
      <family val="2"/>
    </font>
    <font>
      <b/>
      <sz val="10"/>
      <color rgb="FFFF0000"/>
      <name val="Tahoma"/>
      <family val="2"/>
    </font>
    <font>
      <sz val="12"/>
      <name val="Helv"/>
    </font>
    <font>
      <b/>
      <u/>
      <sz val="10"/>
      <name val="Tahoma"/>
      <family val="2"/>
    </font>
    <font>
      <b/>
      <sz val="11"/>
      <color theme="1"/>
      <name val="Aptos Narrow"/>
      <family val="2"/>
      <scheme val="minor"/>
    </font>
    <font>
      <sz val="10"/>
      <name val="Arial"/>
      <family val="2"/>
    </font>
    <font>
      <b/>
      <sz val="11"/>
      <name val="Calibri"/>
      <family val="2"/>
    </font>
    <font>
      <sz val="10"/>
      <color theme="1"/>
      <name val="Arial"/>
      <family val="2"/>
    </font>
    <font>
      <b/>
      <sz val="10"/>
      <color theme="1"/>
      <name val="Arial"/>
      <family val="2"/>
    </font>
    <font>
      <sz val="9"/>
      <color indexed="8"/>
      <name val="Tahoma"/>
      <family val="2"/>
    </font>
    <font>
      <sz val="10"/>
      <color indexed="10"/>
      <name val="Tahoma"/>
      <family val="2"/>
    </font>
    <font>
      <i/>
      <sz val="10"/>
      <name val="Arial"/>
      <family val="2"/>
    </font>
    <font>
      <i/>
      <sz val="9"/>
      <name val="Tahoma"/>
      <family val="2"/>
    </font>
    <font>
      <sz val="10"/>
      <color rgb="FF006100"/>
      <name val="Tahoma"/>
      <family val="2"/>
    </font>
    <font>
      <sz val="9.5"/>
      <name val="Tahoma"/>
      <family val="2"/>
    </font>
    <font>
      <sz val="10"/>
      <name val="Calibri"/>
      <family val="2"/>
    </font>
    <font>
      <sz val="10"/>
      <color rgb="FFFF0000"/>
      <name val="Arial"/>
      <family val="2"/>
    </font>
    <font>
      <sz val="10"/>
      <color rgb="FF000000"/>
      <name val="Arial"/>
      <family val="2"/>
    </font>
    <font>
      <i/>
      <sz val="10"/>
      <color rgb="FFFF0000"/>
      <name val="Tahoma"/>
      <family val="2"/>
    </font>
    <font>
      <sz val="12"/>
      <name val="Tms Rmn"/>
    </font>
    <font>
      <b/>
      <sz val="12"/>
      <color theme="1"/>
      <name val="Tahoma"/>
      <family val="2"/>
    </font>
    <font>
      <sz val="8"/>
      <name val="Tahoma"/>
      <family val="2"/>
    </font>
    <font>
      <b/>
      <sz val="10"/>
      <color indexed="8"/>
      <name val="Tahoma"/>
      <family val="2"/>
    </font>
    <font>
      <i/>
      <sz val="10"/>
      <color indexed="8"/>
      <name val="Tahoma"/>
      <family val="2"/>
    </font>
    <font>
      <b/>
      <sz val="9"/>
      <name val="Tahoma"/>
      <family val="2"/>
    </font>
    <font>
      <b/>
      <i/>
      <sz val="10"/>
      <name val="Arial"/>
      <family val="2"/>
    </font>
    <font>
      <u/>
      <sz val="10"/>
      <name val="Arial"/>
      <family val="2"/>
    </font>
    <font>
      <u/>
      <sz val="11"/>
      <color theme="10"/>
      <name val="Aptos Narrow"/>
      <family val="2"/>
      <scheme val="minor"/>
    </font>
    <font>
      <u/>
      <sz val="14"/>
      <color theme="1"/>
      <name val="Aptos Narrow"/>
      <family val="2"/>
      <scheme val="minor"/>
    </font>
    <font>
      <sz val="14"/>
      <color theme="1"/>
      <name val="Aptos Narrow"/>
      <family val="2"/>
      <scheme val="minor"/>
    </font>
    <font>
      <sz val="8"/>
      <name val="Aptos Narrow"/>
      <family val="2"/>
      <scheme val="minor"/>
    </font>
    <font>
      <b/>
      <i/>
      <sz val="11"/>
      <color theme="1"/>
      <name val="Aptos Narrow"/>
      <family val="2"/>
      <scheme val="minor"/>
    </font>
    <font>
      <u/>
      <sz val="11"/>
      <color theme="1"/>
      <name val="Aptos Narrow"/>
      <family val="2"/>
      <scheme val="minor"/>
    </font>
    <font>
      <u/>
      <sz val="10"/>
      <color theme="10"/>
      <name val="Tahoma"/>
      <family val="2"/>
    </font>
    <font>
      <b/>
      <sz val="16"/>
      <color theme="1"/>
      <name val="Aptos Narrow"/>
      <family val="2"/>
      <scheme val="minor"/>
    </font>
    <font>
      <sz val="9"/>
      <color indexed="81"/>
      <name val="Tahoma"/>
      <family val="2"/>
    </font>
    <font>
      <b/>
      <sz val="9"/>
      <color indexed="81"/>
      <name val="Tahoma"/>
      <family val="2"/>
    </font>
    <font>
      <sz val="10"/>
      <name val="Aptos Narrow"/>
      <family val="2"/>
      <scheme val="minor"/>
    </font>
    <font>
      <sz val="10"/>
      <color rgb="FFFFFF00"/>
      <name val="Tahoma"/>
      <family val="2"/>
    </font>
    <font>
      <b/>
      <sz val="11"/>
      <color rgb="FFFF0000"/>
      <name val="Aptos Narrow"/>
      <family val="2"/>
      <scheme val="minor"/>
    </font>
    <font>
      <b/>
      <sz val="12"/>
      <color theme="1"/>
      <name val="Aptos Narrow"/>
      <family val="2"/>
      <scheme val="minor"/>
    </font>
    <font>
      <b/>
      <u/>
      <sz val="14"/>
      <color theme="1"/>
      <name val="Aptos Narrow"/>
      <family val="2"/>
      <scheme val="minor"/>
    </font>
    <font>
      <b/>
      <sz val="14"/>
      <color theme="1"/>
      <name val="Aptos Narrow"/>
      <family val="2"/>
      <scheme val="minor"/>
    </font>
    <font>
      <b/>
      <i/>
      <sz val="10"/>
      <color rgb="FFFF0000"/>
      <name val="Tahoma"/>
      <family val="2"/>
    </font>
    <font>
      <sz val="11"/>
      <color rgb="FFFF0000"/>
      <name val="Aptos Narrow"/>
      <family val="2"/>
      <scheme val="minor"/>
    </font>
    <font>
      <sz val="10"/>
      <color rgb="FFFF0000"/>
      <name val="Aptos Narrow"/>
      <family val="2"/>
      <scheme val="minor"/>
    </font>
    <font>
      <b/>
      <sz val="10"/>
      <color rgb="FFFF0000"/>
      <name val="Arial"/>
      <family val="2"/>
    </font>
    <font>
      <sz val="11"/>
      <name val="Aptos Narrow"/>
      <family val="2"/>
      <scheme val="minor"/>
    </font>
    <font>
      <sz val="11"/>
      <color rgb="FF000000"/>
      <name val="Aptos Narrow"/>
      <family val="2"/>
      <scheme val="minor"/>
    </font>
    <font>
      <sz val="11"/>
      <name val="Arial"/>
      <family val="2"/>
    </font>
  </fonts>
  <fills count="13">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theme="5" tint="0.59999389629810485"/>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6" tint="0.79998168889431442"/>
        <bgColor indexed="64"/>
      </patternFill>
    </fill>
  </fills>
  <borders count="61">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bottom style="double">
        <color indexed="64"/>
      </bottom>
      <diagonal/>
    </border>
    <border>
      <left style="thin">
        <color indexed="8"/>
      </left>
      <right style="thin">
        <color indexed="64"/>
      </right>
      <top/>
      <bottom style="thin">
        <color indexed="64"/>
      </bottom>
      <diagonal/>
    </border>
    <border>
      <left style="thin">
        <color indexed="8"/>
      </left>
      <right style="thin">
        <color indexed="64"/>
      </right>
      <top/>
      <bottom/>
      <diagonal/>
    </border>
    <border>
      <left/>
      <right/>
      <top/>
      <bottom style="dotted">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thin">
        <color indexed="64"/>
      </left>
      <right/>
      <top style="double">
        <color indexed="64"/>
      </top>
      <bottom/>
      <diagonal/>
    </border>
    <border>
      <left/>
      <right/>
      <top style="dotted">
        <color indexed="64"/>
      </top>
      <bottom style="thin">
        <color indexed="64"/>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style="thin">
        <color indexed="64"/>
      </left>
      <right style="thin">
        <color rgb="FF000000"/>
      </right>
      <top/>
      <bottom/>
      <diagonal/>
    </border>
    <border>
      <left/>
      <right style="thin">
        <color rgb="FF000000"/>
      </right>
      <top/>
      <bottom style="thin">
        <color indexed="64"/>
      </bottom>
      <diagonal/>
    </border>
    <border>
      <left style="thin">
        <color indexed="64"/>
      </left>
      <right/>
      <top style="thin">
        <color indexed="64"/>
      </top>
      <bottom style="double">
        <color indexed="64"/>
      </bottom>
      <diagonal/>
    </border>
    <border>
      <left/>
      <right/>
      <top style="thin">
        <color theme="4" tint="0.39997558519241921"/>
      </top>
      <bottom/>
      <diagonal/>
    </border>
    <border>
      <left/>
      <right/>
      <top/>
      <bottom style="thin">
        <color theme="4" tint="0.39997558519241921"/>
      </bottom>
      <diagonal/>
    </border>
    <border>
      <left/>
      <right/>
      <top style="thin">
        <color auto="1"/>
      </top>
      <bottom/>
      <diagonal/>
    </border>
    <border>
      <left/>
      <right/>
      <top style="thin">
        <color auto="1"/>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tted">
        <color indexed="64"/>
      </bottom>
      <diagonal/>
    </border>
    <border>
      <left/>
      <right/>
      <top style="thin">
        <color indexed="64"/>
      </top>
      <bottom style="medium">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top style="thin">
        <color indexed="8"/>
      </top>
      <bottom style="thin">
        <color indexed="8"/>
      </bottom>
      <diagonal/>
    </border>
    <border>
      <left/>
      <right/>
      <top style="thin">
        <color indexed="8"/>
      </top>
      <bottom style="double">
        <color indexed="64"/>
      </bottom>
      <diagonal/>
    </border>
    <border>
      <left/>
      <right/>
      <top style="thin">
        <color auto="1"/>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tted">
        <color indexed="64"/>
      </bottom>
      <diagonal/>
    </border>
  </borders>
  <cellStyleXfs count="73">
    <xf numFmtId="0" fontId="0" fillId="0" borderId="0"/>
    <xf numFmtId="9" fontId="1" fillId="0" borderId="0" applyFont="0" applyFill="0" applyBorder="0" applyAlignment="0" applyProtection="0"/>
    <xf numFmtId="0" fontId="2" fillId="0" borderId="0"/>
    <xf numFmtId="16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167" fontId="3" fillId="0" borderId="0" applyFont="0" applyFill="0" applyBorder="0" applyAlignment="0" applyProtection="0"/>
    <xf numFmtId="0" fontId="7" fillId="0" borderId="0"/>
    <xf numFmtId="0" fontId="3" fillId="0" borderId="0"/>
    <xf numFmtId="0" fontId="3" fillId="0" borderId="0"/>
    <xf numFmtId="0" fontId="1" fillId="0" borderId="0"/>
    <xf numFmtId="0" fontId="3" fillId="0" borderId="0"/>
    <xf numFmtId="9" fontId="3" fillId="0" borderId="0" applyFont="0" applyFill="0" applyBorder="0" applyAlignment="0" applyProtection="0"/>
    <xf numFmtId="0" fontId="7" fillId="0" borderId="0"/>
    <xf numFmtId="167" fontId="3" fillId="0" borderId="0" applyFont="0" applyFill="0" applyBorder="0" applyAlignment="0" applyProtection="0"/>
    <xf numFmtId="167" fontId="3" fillId="0" borderId="0" applyFont="0" applyFill="0" applyBorder="0" applyAlignment="0" applyProtection="0"/>
    <xf numFmtId="169" fontId="7" fillId="0" borderId="0" applyFont="0" applyFill="0" applyBorder="0" applyAlignment="0" applyProtection="0"/>
    <xf numFmtId="0" fontId="7" fillId="0" borderId="0"/>
    <xf numFmtId="0" fontId="1" fillId="0" borderId="0"/>
    <xf numFmtId="0" fontId="7" fillId="0" borderId="0"/>
    <xf numFmtId="0" fontId="24" fillId="0" borderId="0"/>
    <xf numFmtId="0" fontId="27" fillId="0" borderId="0"/>
    <xf numFmtId="169" fontId="3" fillId="0" borderId="0" applyFont="0" applyFill="0" applyBorder="0" applyAlignment="0" applyProtection="0"/>
    <xf numFmtId="0" fontId="3" fillId="0" borderId="0"/>
    <xf numFmtId="0" fontId="3" fillId="0" borderId="0"/>
    <xf numFmtId="0" fontId="3" fillId="0" borderId="0"/>
    <xf numFmtId="0" fontId="3" fillId="0" borderId="0"/>
    <xf numFmtId="0" fontId="24" fillId="0" borderId="0"/>
    <xf numFmtId="0" fontId="1" fillId="0" borderId="0"/>
    <xf numFmtId="0" fontId="1" fillId="0" borderId="0"/>
    <xf numFmtId="0" fontId="3" fillId="0" borderId="0"/>
    <xf numFmtId="0" fontId="7" fillId="0" borderId="0"/>
    <xf numFmtId="0" fontId="35" fillId="3" borderId="0" applyNumberFormat="0" applyBorder="0" applyAlignment="0" applyProtection="0"/>
    <xf numFmtId="0" fontId="3" fillId="0" borderId="0"/>
    <xf numFmtId="167" fontId="3" fillId="0" borderId="0" applyFont="0" applyFill="0" applyBorder="0" applyAlignment="0" applyProtection="0"/>
    <xf numFmtId="9" fontId="3" fillId="0" borderId="0" applyFont="0" applyFill="0" applyBorder="0" applyAlignment="0" applyProtection="0"/>
    <xf numFmtId="0" fontId="39" fillId="0" borderId="0"/>
    <xf numFmtId="167" fontId="3" fillId="0" borderId="0" applyFont="0" applyFill="0" applyBorder="0" applyAlignment="0" applyProtection="0"/>
    <xf numFmtId="0" fontId="41" fillId="0" borderId="0"/>
    <xf numFmtId="0" fontId="1" fillId="0" borderId="0"/>
    <xf numFmtId="166" fontId="3" fillId="0" borderId="0" applyFont="0" applyFill="0" applyBorder="0" applyAlignment="0" applyProtection="0"/>
    <xf numFmtId="9" fontId="3" fillId="0" borderId="0" applyFont="0" applyFill="0" applyBorder="0" applyAlignment="0" applyProtection="0"/>
    <xf numFmtId="0" fontId="7" fillId="0" borderId="0"/>
    <xf numFmtId="0" fontId="49" fillId="0" borderId="0" applyNumberFormat="0" applyFill="0" applyBorder="0" applyAlignment="0" applyProtection="0"/>
    <xf numFmtId="0" fontId="1" fillId="0" borderId="0"/>
    <xf numFmtId="167" fontId="1" fillId="0" borderId="0" applyFont="0" applyFill="0" applyBorder="0" applyAlignment="0" applyProtection="0"/>
    <xf numFmtId="169" fontId="2" fillId="0" borderId="0" applyFont="0" applyFill="0" applyBorder="0" applyAlignment="0" applyProtection="0"/>
    <xf numFmtId="0" fontId="2" fillId="0" borderId="0"/>
    <xf numFmtId="16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7" fillId="0" borderId="0"/>
    <xf numFmtId="16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1" fillId="0" borderId="0" applyFont="0" applyFill="0" applyBorder="0" applyAlignment="0" applyProtection="0"/>
    <xf numFmtId="167" fontId="2" fillId="0" borderId="0" applyFont="0" applyFill="0" applyBorder="0" applyAlignment="0" applyProtection="0"/>
    <xf numFmtId="44" fontId="1" fillId="0" borderId="0" applyFont="0" applyFill="0" applyBorder="0" applyAlignment="0" applyProtection="0"/>
  </cellStyleXfs>
  <cellXfs count="2638">
    <xf numFmtId="0" fontId="0" fillId="0" borderId="0" xfId="0"/>
    <xf numFmtId="1" fontId="10" fillId="0" borderId="3" xfId="5" applyNumberFormat="1" applyFont="1" applyFill="1" applyBorder="1" applyAlignment="1">
      <alignment horizontal="left"/>
    </xf>
    <xf numFmtId="1" fontId="10" fillId="0" borderId="0" xfId="5" applyNumberFormat="1" applyFont="1" applyFill="1" applyBorder="1" applyAlignment="1">
      <alignment horizontal="center"/>
    </xf>
    <xf numFmtId="1" fontId="10" fillId="0" borderId="3" xfId="5" applyNumberFormat="1" applyFont="1" applyFill="1" applyBorder="1" applyAlignment="1">
      <alignment horizontal="center"/>
    </xf>
    <xf numFmtId="1" fontId="5" fillId="0" borderId="3" xfId="3" applyNumberFormat="1" applyFont="1" applyFill="1" applyBorder="1" applyAlignment="1">
      <alignment horizontal="left"/>
    </xf>
    <xf numFmtId="1" fontId="5" fillId="0" borderId="0" xfId="3" applyNumberFormat="1" applyFont="1" applyFill="1" applyBorder="1" applyAlignment="1">
      <alignment horizontal="center"/>
    </xf>
    <xf numFmtId="1" fontId="5" fillId="0" borderId="3" xfId="3" applyNumberFormat="1" applyFont="1" applyFill="1" applyBorder="1" applyAlignment="1">
      <alignment horizontal="center"/>
    </xf>
    <xf numFmtId="3" fontId="3" fillId="0" borderId="3" xfId="3" applyNumberFormat="1" applyFill="1" applyBorder="1"/>
    <xf numFmtId="3" fontId="3" fillId="0" borderId="4" xfId="3" applyNumberFormat="1" applyFill="1" applyBorder="1"/>
    <xf numFmtId="3" fontId="3" fillId="0" borderId="8" xfId="3" applyNumberFormat="1" applyFill="1" applyBorder="1"/>
    <xf numFmtId="3" fontId="3" fillId="0" borderId="2" xfId="3" applyNumberFormat="1" applyFill="1" applyBorder="1"/>
    <xf numFmtId="173" fontId="9" fillId="0" borderId="0" xfId="13" applyNumberFormat="1" applyFont="1" applyFill="1" applyAlignment="1">
      <alignment horizontal="right"/>
    </xf>
    <xf numFmtId="173" fontId="9" fillId="0" borderId="6" xfId="13" applyNumberFormat="1" applyFont="1" applyFill="1" applyBorder="1" applyAlignment="1">
      <alignment horizontal="right"/>
    </xf>
    <xf numFmtId="3" fontId="3" fillId="0" borderId="4" xfId="7" applyNumberFormat="1" applyFill="1" applyBorder="1"/>
    <xf numFmtId="3" fontId="3" fillId="0" borderId="2" xfId="7" applyNumberFormat="1" applyFill="1" applyBorder="1"/>
    <xf numFmtId="3" fontId="3" fillId="0" borderId="3" xfId="15" applyNumberFormat="1" applyFill="1" applyBorder="1"/>
    <xf numFmtId="0" fontId="0" fillId="0" borderId="0" xfId="0" applyAlignment="1">
      <alignment horizontal="center"/>
    </xf>
    <xf numFmtId="170" fontId="4" fillId="0" borderId="0" xfId="16" applyNumberFormat="1" applyFont="1" applyFill="1"/>
    <xf numFmtId="49" fontId="4" fillId="0" borderId="0" xfId="16" applyNumberFormat="1" applyFont="1" applyFill="1" applyAlignment="1">
      <alignment horizontal="right"/>
    </xf>
    <xf numFmtId="10" fontId="0" fillId="0" borderId="0" xfId="1" applyNumberFormat="1" applyFont="1" applyFill="1"/>
    <xf numFmtId="170" fontId="5" fillId="0" borderId="0" xfId="16" applyNumberFormat="1" applyFont="1" applyFill="1"/>
    <xf numFmtId="170" fontId="8" fillId="0" borderId="0" xfId="16" applyNumberFormat="1" applyFont="1" applyFill="1"/>
    <xf numFmtId="10" fontId="5" fillId="0" borderId="0" xfId="1" applyNumberFormat="1" applyFont="1" applyFill="1"/>
    <xf numFmtId="3" fontId="0" fillId="0" borderId="0" xfId="0" applyNumberFormat="1" applyAlignment="1">
      <alignment horizontal="right"/>
    </xf>
    <xf numFmtId="167" fontId="0" fillId="0" borderId="0" xfId="16" applyFont="1" applyFill="1"/>
    <xf numFmtId="3" fontId="3" fillId="0" borderId="3" xfId="23" applyNumberFormat="1" applyFill="1" applyBorder="1"/>
    <xf numFmtId="3" fontId="3" fillId="0" borderId="4" xfId="23" applyNumberFormat="1" applyFill="1" applyBorder="1"/>
    <xf numFmtId="0" fontId="0" fillId="0" borderId="0" xfId="3" applyNumberFormat="1" applyFont="1" applyFill="1"/>
    <xf numFmtId="3" fontId="3" fillId="0" borderId="2" xfId="23" applyNumberFormat="1" applyFill="1" applyBorder="1"/>
    <xf numFmtId="0" fontId="0" fillId="0" borderId="0" xfId="3" applyNumberFormat="1" applyFont="1" applyFill="1" applyAlignment="1">
      <alignment horizontal="left"/>
    </xf>
    <xf numFmtId="1" fontId="0" fillId="0" borderId="0" xfId="3" applyNumberFormat="1" applyFont="1" applyFill="1" applyAlignment="1">
      <alignment horizontal="left"/>
    </xf>
    <xf numFmtId="0" fontId="0" fillId="0" borderId="0" xfId="23" applyNumberFormat="1" applyFont="1" applyFill="1"/>
    <xf numFmtId="1" fontId="0" fillId="0" borderId="0" xfId="23" applyNumberFormat="1" applyFont="1" applyFill="1"/>
    <xf numFmtId="0" fontId="0" fillId="0" borderId="0" xfId="23" applyNumberFormat="1" applyFont="1" applyFill="1" applyAlignment="1">
      <alignment horizontal="left"/>
    </xf>
    <xf numFmtId="1" fontId="0" fillId="0" borderId="0" xfId="23" applyNumberFormat="1" applyFont="1" applyFill="1" applyAlignment="1">
      <alignment horizontal="left"/>
    </xf>
    <xf numFmtId="3" fontId="3" fillId="0" borderId="0" xfId="23" applyNumberFormat="1" applyFill="1" applyBorder="1"/>
    <xf numFmtId="180" fontId="5" fillId="0" borderId="0" xfId="3" applyNumberFormat="1" applyFont="1" applyFill="1"/>
    <xf numFmtId="170" fontId="0" fillId="0" borderId="0" xfId="15" applyNumberFormat="1" applyFont="1" applyFill="1"/>
    <xf numFmtId="3" fontId="3" fillId="0" borderId="0" xfId="15" applyNumberFormat="1" applyFill="1" applyBorder="1"/>
    <xf numFmtId="3" fontId="3" fillId="0" borderId="2" xfId="15" applyNumberFormat="1" applyFill="1" applyBorder="1"/>
    <xf numFmtId="3" fontId="3" fillId="0" borderId="4" xfId="15" applyNumberFormat="1" applyFill="1" applyBorder="1"/>
    <xf numFmtId="3" fontId="3" fillId="0" borderId="2" xfId="16" applyNumberFormat="1" applyFill="1" applyBorder="1"/>
    <xf numFmtId="3" fontId="3" fillId="0" borderId="4" xfId="16" applyNumberFormat="1" applyFill="1" applyBorder="1"/>
    <xf numFmtId="180" fontId="5" fillId="0" borderId="0" xfId="3" applyNumberFormat="1" applyFont="1" applyFill="1" applyBorder="1"/>
    <xf numFmtId="3" fontId="3" fillId="0" borderId="3" xfId="16" applyNumberFormat="1" applyFill="1" applyBorder="1"/>
    <xf numFmtId="170" fontId="5" fillId="0" borderId="0" xfId="15" applyNumberFormat="1" applyFont="1" applyFill="1"/>
    <xf numFmtId="3" fontId="3" fillId="0" borderId="7" xfId="15" applyNumberFormat="1" applyFill="1" applyBorder="1"/>
    <xf numFmtId="170" fontId="5" fillId="0" borderId="0" xfId="15" applyNumberFormat="1" applyFont="1" applyFill="1" applyAlignment="1">
      <alignment horizontal="center"/>
    </xf>
    <xf numFmtId="170" fontId="0" fillId="0" borderId="0" xfId="15" applyNumberFormat="1" applyFont="1" applyFill="1" applyAlignment="1">
      <alignment horizontal="center"/>
    </xf>
    <xf numFmtId="170" fontId="7" fillId="0" borderId="0" xfId="3" applyNumberFormat="1" applyFont="1" applyFill="1" applyAlignment="1">
      <alignment horizontal="right"/>
    </xf>
    <xf numFmtId="170" fontId="7" fillId="0" borderId="0" xfId="3" applyNumberFormat="1" applyFont="1" applyFill="1"/>
    <xf numFmtId="169" fontId="0" fillId="0" borderId="0" xfId="3" applyFont="1" applyFill="1" applyAlignment="1">
      <alignment horizontal="right"/>
    </xf>
    <xf numFmtId="180" fontId="0" fillId="0" borderId="0" xfId="3" applyNumberFormat="1" applyFont="1" applyFill="1"/>
    <xf numFmtId="170" fontId="0" fillId="0" borderId="0" xfId="3" applyNumberFormat="1" applyFont="1" applyFill="1"/>
    <xf numFmtId="170" fontId="0" fillId="0" borderId="0" xfId="3" applyNumberFormat="1" applyFont="1" applyFill="1" applyAlignment="1">
      <alignment horizontal="right"/>
    </xf>
    <xf numFmtId="10" fontId="6" fillId="0" borderId="0" xfId="13" quotePrefix="1" applyNumberFormat="1" applyFont="1" applyFill="1" applyBorder="1" applyAlignment="1">
      <alignment horizontal="right"/>
    </xf>
    <xf numFmtId="193" fontId="0" fillId="0" borderId="0" xfId="3" applyNumberFormat="1" applyFont="1" applyFill="1"/>
    <xf numFmtId="167" fontId="0" fillId="0" borderId="0" xfId="15" applyFont="1" applyFill="1"/>
    <xf numFmtId="3" fontId="3" fillId="0" borderId="0" xfId="3" applyNumberFormat="1" applyFill="1" applyBorder="1"/>
    <xf numFmtId="1" fontId="6" fillId="0" borderId="6" xfId="3" applyNumberFormat="1" applyFont="1" applyFill="1" applyBorder="1" applyAlignment="1">
      <alignment horizontal="right"/>
    </xf>
    <xf numFmtId="1" fontId="6" fillId="0" borderId="6" xfId="3" applyNumberFormat="1" applyFont="1" applyFill="1" applyBorder="1"/>
    <xf numFmtId="1" fontId="6" fillId="0" borderId="6" xfId="33" applyNumberFormat="1" applyFont="1" applyFill="1" applyBorder="1" applyAlignment="1">
      <alignment horizontal="right"/>
    </xf>
    <xf numFmtId="0" fontId="5" fillId="0" borderId="0" xfId="33" applyFont="1" applyFill="1" applyBorder="1"/>
    <xf numFmtId="3" fontId="3" fillId="0" borderId="3" xfId="35" applyNumberFormat="1" applyFill="1" applyBorder="1"/>
    <xf numFmtId="3" fontId="3" fillId="0" borderId="2" xfId="35" applyNumberFormat="1" applyFill="1" applyBorder="1"/>
    <xf numFmtId="3" fontId="3" fillId="0" borderId="4" xfId="35" applyNumberFormat="1" applyFill="1" applyBorder="1"/>
    <xf numFmtId="1" fontId="3" fillId="0" borderId="4" xfId="35" applyNumberFormat="1" applyFill="1" applyBorder="1"/>
    <xf numFmtId="3" fontId="3" fillId="0" borderId="2" xfId="38" applyNumberFormat="1" applyFill="1" applyBorder="1"/>
    <xf numFmtId="3" fontId="3" fillId="0" borderId="4" xfId="38" applyNumberFormat="1" applyFill="1" applyBorder="1"/>
    <xf numFmtId="1" fontId="3" fillId="0" borderId="4" xfId="38" applyNumberFormat="1" applyFill="1" applyBorder="1"/>
    <xf numFmtId="1" fontId="3" fillId="0" borderId="4" xfId="15" applyNumberFormat="1" applyFill="1" applyBorder="1"/>
    <xf numFmtId="3" fontId="9" fillId="0" borderId="3" xfId="23" applyNumberFormat="1" applyFont="1" applyFill="1" applyBorder="1"/>
    <xf numFmtId="3" fontId="9" fillId="0" borderId="2" xfId="23" applyNumberFormat="1" applyFont="1" applyFill="1" applyBorder="1"/>
    <xf numFmtId="3" fontId="9" fillId="0" borderId="4" xfId="23" applyNumberFormat="1" applyFont="1" applyFill="1" applyBorder="1"/>
    <xf numFmtId="169" fontId="9" fillId="0" borderId="0" xfId="3" applyFont="1" applyFill="1"/>
    <xf numFmtId="169" fontId="9" fillId="0" borderId="0" xfId="3" applyFont="1" applyFill="1" applyBorder="1"/>
    <xf numFmtId="169" fontId="9" fillId="0" borderId="6" xfId="3" applyFont="1" applyFill="1" applyBorder="1"/>
    <xf numFmtId="169" fontId="10" fillId="0" borderId="0" xfId="3" applyFont="1" applyFill="1" applyBorder="1"/>
    <xf numFmtId="180" fontId="9" fillId="0" borderId="0" xfId="3" applyNumberFormat="1" applyFont="1" applyFill="1" applyBorder="1"/>
    <xf numFmtId="180" fontId="9" fillId="0" borderId="6" xfId="3" applyNumberFormat="1" applyFont="1" applyFill="1" applyBorder="1"/>
    <xf numFmtId="3" fontId="9" fillId="0" borderId="6" xfId="3" applyNumberFormat="1" applyFont="1" applyFill="1" applyBorder="1"/>
    <xf numFmtId="9" fontId="0" fillId="0" borderId="0" xfId="13" applyFont="1" applyFill="1"/>
    <xf numFmtId="9" fontId="0" fillId="0" borderId="0" xfId="13" applyFont="1" applyFill="1" applyBorder="1"/>
    <xf numFmtId="166" fontId="0" fillId="0" borderId="0" xfId="41" applyFont="1" applyFill="1"/>
    <xf numFmtId="3" fontId="3" fillId="0" borderId="1" xfId="23" applyNumberFormat="1" applyFill="1" applyBorder="1"/>
    <xf numFmtId="3" fontId="3" fillId="0" borderId="6" xfId="23" applyNumberFormat="1" applyFill="1" applyBorder="1"/>
    <xf numFmtId="3" fontId="3" fillId="0" borderId="5" xfId="23" applyNumberFormat="1" applyFill="1" applyBorder="1"/>
    <xf numFmtId="3" fontId="3" fillId="0" borderId="7" xfId="23" applyNumberFormat="1" applyFill="1" applyBorder="1"/>
    <xf numFmtId="10" fontId="0" fillId="0" borderId="0" xfId="13" applyNumberFormat="1" applyFont="1" applyFill="1"/>
    <xf numFmtId="3" fontId="5" fillId="0" borderId="0" xfId="23" applyNumberFormat="1" applyFont="1" applyFill="1" applyBorder="1"/>
    <xf numFmtId="3" fontId="0" fillId="0" borderId="0" xfId="13" applyNumberFormat="1" applyFont="1" applyFill="1"/>
    <xf numFmtId="9" fontId="7" fillId="0" borderId="0" xfId="13" applyFont="1" applyFill="1" applyBorder="1" applyAlignment="1">
      <alignment horizontal="right"/>
    </xf>
    <xf numFmtId="9" fontId="6" fillId="0" borderId="0" xfId="42" applyFont="1" applyFill="1" applyBorder="1"/>
    <xf numFmtId="0" fontId="49" fillId="0" borderId="0" xfId="44"/>
    <xf numFmtId="0" fontId="50" fillId="0" borderId="0" xfId="44" applyFont="1"/>
    <xf numFmtId="0" fontId="51" fillId="0" borderId="0" xfId="0" applyFont="1"/>
    <xf numFmtId="0" fontId="50" fillId="0" borderId="0" xfId="44" applyFont="1" applyFill="1"/>
    <xf numFmtId="0" fontId="26" fillId="0" borderId="0" xfId="0" applyFont="1"/>
    <xf numFmtId="49" fontId="26" fillId="0" borderId="0" xfId="0" applyNumberFormat="1" applyFont="1"/>
    <xf numFmtId="10" fontId="0" fillId="0" borderId="0" xfId="0" applyNumberFormat="1"/>
    <xf numFmtId="10" fontId="0" fillId="0" borderId="0" xfId="1" applyNumberFormat="1" applyFont="1"/>
    <xf numFmtId="0" fontId="26" fillId="0" borderId="0" xfId="0" applyFont="1" applyAlignment="1">
      <alignment horizontal="center"/>
    </xf>
    <xf numFmtId="0" fontId="53" fillId="0" borderId="0" xfId="0" applyFont="1" applyAlignment="1">
      <alignment horizontal="right"/>
    </xf>
    <xf numFmtId="0" fontId="0" fillId="0" borderId="0" xfId="0" applyAlignment="1">
      <alignment horizontal="right"/>
    </xf>
    <xf numFmtId="3" fontId="26" fillId="0" borderId="0" xfId="0" applyNumberFormat="1" applyFont="1" applyAlignment="1">
      <alignment horizontal="right"/>
    </xf>
    <xf numFmtId="167" fontId="0" fillId="0" borderId="0" xfId="0" applyNumberFormat="1"/>
    <xf numFmtId="170" fontId="26" fillId="0" borderId="0" xfId="46" applyNumberFormat="1" applyFont="1"/>
    <xf numFmtId="170" fontId="0" fillId="0" borderId="0" xfId="46" applyNumberFormat="1" applyFont="1"/>
    <xf numFmtId="3" fontId="26" fillId="0" borderId="0" xfId="0" applyNumberFormat="1" applyFont="1"/>
    <xf numFmtId="0" fontId="54" fillId="0" borderId="0" xfId="44" applyFont="1"/>
    <xf numFmtId="0" fontId="54" fillId="0" borderId="0" xfId="44" applyFont="1" applyFill="1"/>
    <xf numFmtId="0" fontId="1" fillId="0" borderId="0" xfId="0" applyFont="1"/>
    <xf numFmtId="170" fontId="1" fillId="0" borderId="0" xfId="46" applyNumberFormat="1" applyFont="1"/>
    <xf numFmtId="167" fontId="0" fillId="0" borderId="0" xfId="46" applyFont="1"/>
    <xf numFmtId="3" fontId="2" fillId="0" borderId="0" xfId="2" applyNumberFormat="1"/>
    <xf numFmtId="0" fontId="2" fillId="0" borderId="0" xfId="2"/>
    <xf numFmtId="170" fontId="2" fillId="0" borderId="0" xfId="16" applyNumberFormat="1" applyFont="1" applyFill="1"/>
    <xf numFmtId="170" fontId="9" fillId="0" borderId="0" xfId="16" applyNumberFormat="1" applyFont="1" applyFill="1"/>
    <xf numFmtId="3" fontId="9" fillId="0" borderId="3" xfId="16" applyNumberFormat="1" applyFont="1" applyFill="1" applyBorder="1"/>
    <xf numFmtId="3" fontId="9" fillId="0" borderId="0" xfId="16" applyNumberFormat="1" applyFont="1" applyFill="1" applyBorder="1"/>
    <xf numFmtId="3" fontId="9" fillId="0" borderId="3" xfId="17" applyNumberFormat="1" applyFont="1" applyFill="1" applyBorder="1"/>
    <xf numFmtId="3" fontId="9" fillId="0" borderId="0" xfId="17" applyNumberFormat="1" applyFont="1" applyFill="1" applyBorder="1"/>
    <xf numFmtId="1" fontId="9" fillId="0" borderId="4" xfId="16" applyNumberFormat="1" applyFont="1" applyFill="1" applyBorder="1"/>
    <xf numFmtId="1" fontId="9" fillId="0" borderId="0" xfId="16" applyNumberFormat="1" applyFont="1" applyFill="1" applyBorder="1"/>
    <xf numFmtId="10" fontId="9" fillId="0" borderId="0" xfId="1" applyNumberFormat="1" applyFont="1" applyFill="1"/>
    <xf numFmtId="170" fontId="9" fillId="0" borderId="0" xfId="16" applyNumberFormat="1" applyFont="1" applyFill="1" applyAlignment="1"/>
    <xf numFmtId="169" fontId="9" fillId="0" borderId="0" xfId="5" applyFont="1" applyFill="1" applyBorder="1" applyAlignment="1">
      <alignment horizontal="left" vertical="top"/>
    </xf>
    <xf numFmtId="169" fontId="9" fillId="0" borderId="0" xfId="5" applyFont="1" applyFill="1" applyBorder="1" applyAlignment="1">
      <alignment horizontal="left" vertical="top" wrapText="1"/>
    </xf>
    <xf numFmtId="169" fontId="9" fillId="0" borderId="0" xfId="5" applyFont="1" applyFill="1" applyAlignment="1">
      <alignment horizontal="justify" vertical="top"/>
    </xf>
    <xf numFmtId="169" fontId="9" fillId="0" borderId="0" xfId="5" applyFont="1" applyFill="1" applyAlignment="1">
      <alignment vertical="top"/>
    </xf>
    <xf numFmtId="180" fontId="9" fillId="0" borderId="0" xfId="5" applyNumberFormat="1" applyFont="1" applyFill="1" applyBorder="1"/>
    <xf numFmtId="167" fontId="9" fillId="0" borderId="0" xfId="1" applyNumberFormat="1" applyFont="1" applyFill="1"/>
    <xf numFmtId="167" fontId="9" fillId="0" borderId="0" xfId="16" applyFont="1" applyFill="1"/>
    <xf numFmtId="170" fontId="9" fillId="0" borderId="0" xfId="16" applyNumberFormat="1" applyFont="1" applyFill="1" applyBorder="1"/>
    <xf numFmtId="3" fontId="9" fillId="0" borderId="0" xfId="0" applyNumberFormat="1" applyFont="1"/>
    <xf numFmtId="170" fontId="9" fillId="0" borderId="0" xfId="16" quotePrefix="1" applyNumberFormat="1" applyFont="1" applyFill="1"/>
    <xf numFmtId="4" fontId="9" fillId="0" borderId="0" xfId="5" applyNumberFormat="1" applyFont="1" applyFill="1" applyBorder="1"/>
    <xf numFmtId="9" fontId="9" fillId="0" borderId="0" xfId="1" applyFont="1" applyFill="1" applyBorder="1" applyAlignment="1">
      <alignment horizontal="center"/>
    </xf>
    <xf numFmtId="170" fontId="9" fillId="0" borderId="0" xfId="16" applyNumberFormat="1" applyFont="1" applyFill="1" applyAlignment="1">
      <alignment horizontal="right"/>
    </xf>
    <xf numFmtId="183" fontId="9" fillId="0" borderId="0" xfId="16" applyNumberFormat="1" applyFont="1" applyFill="1"/>
    <xf numFmtId="10" fontId="9" fillId="0" borderId="0" xfId="16" applyNumberFormat="1" applyFont="1" applyFill="1"/>
    <xf numFmtId="9" fontId="9" fillId="0" borderId="2" xfId="1" applyFont="1" applyFill="1" applyBorder="1"/>
    <xf numFmtId="3" fontId="2" fillId="0" borderId="7" xfId="2" applyNumberFormat="1" applyBorder="1"/>
    <xf numFmtId="1" fontId="2" fillId="0" borderId="0" xfId="2" applyNumberFormat="1" applyAlignment="1">
      <alignment horizontal="center"/>
    </xf>
    <xf numFmtId="3" fontId="2" fillId="0" borderId="3" xfId="23" applyNumberFormat="1" applyFont="1" applyFill="1" applyBorder="1"/>
    <xf numFmtId="3" fontId="2" fillId="0" borderId="2" xfId="23" applyNumberFormat="1" applyFont="1" applyFill="1" applyBorder="1"/>
    <xf numFmtId="3" fontId="2" fillId="0" borderId="4" xfId="23" applyNumberFormat="1" applyFont="1" applyFill="1" applyBorder="1"/>
    <xf numFmtId="0" fontId="9" fillId="0" borderId="0" xfId="23" applyNumberFormat="1" applyFont="1" applyFill="1"/>
    <xf numFmtId="1" fontId="9" fillId="0" borderId="0" xfId="23" applyNumberFormat="1" applyFont="1" applyFill="1"/>
    <xf numFmtId="0" fontId="2" fillId="0" borderId="6" xfId="2" applyBorder="1"/>
    <xf numFmtId="170" fontId="26" fillId="4" borderId="0" xfId="46" applyNumberFormat="1" applyFont="1" applyFill="1" applyAlignment="1">
      <alignment horizontal="right"/>
    </xf>
    <xf numFmtId="175" fontId="2" fillId="0" borderId="0" xfId="2" applyNumberFormat="1"/>
    <xf numFmtId="169" fontId="10" fillId="0" borderId="12" xfId="3" applyFont="1" applyFill="1" applyBorder="1"/>
    <xf numFmtId="180" fontId="9" fillId="0" borderId="0" xfId="3" applyNumberFormat="1" applyFont="1" applyFill="1"/>
    <xf numFmtId="0" fontId="6" fillId="0" borderId="0" xfId="2" applyFont="1" applyAlignment="1">
      <alignment horizontal="right"/>
    </xf>
    <xf numFmtId="1" fontId="5" fillId="0" borderId="0" xfId="0" applyNumberFormat="1" applyFont="1" applyAlignment="1">
      <alignment horizontal="center"/>
    </xf>
    <xf numFmtId="3" fontId="2" fillId="0" borderId="4" xfId="2" applyNumberFormat="1" applyBorder="1"/>
    <xf numFmtId="0" fontId="49" fillId="0" borderId="0" xfId="44" applyFill="1"/>
    <xf numFmtId="1" fontId="6" fillId="0" borderId="0" xfId="9" applyNumberFormat="1" applyFont="1" applyAlignment="1">
      <alignment horizontal="right"/>
    </xf>
    <xf numFmtId="0" fontId="0" fillId="0" borderId="0" xfId="0" applyAlignment="1">
      <alignment horizontal="left"/>
    </xf>
    <xf numFmtId="169" fontId="26" fillId="0" borderId="0" xfId="3" applyFont="1" applyFill="1" applyAlignment="1">
      <alignment horizontal="right"/>
    </xf>
    <xf numFmtId="170" fontId="26" fillId="0" borderId="0" xfId="3" applyNumberFormat="1" applyFont="1" applyFill="1" applyAlignment="1">
      <alignment horizontal="right"/>
    </xf>
    <xf numFmtId="9" fontId="26" fillId="0" borderId="0" xfId="13" applyFont="1" applyFill="1"/>
    <xf numFmtId="174" fontId="5" fillId="0" borderId="0" xfId="3" applyNumberFormat="1" applyFont="1" applyFill="1"/>
    <xf numFmtId="170" fontId="26" fillId="0" borderId="0" xfId="3" applyNumberFormat="1" applyFont="1" applyFill="1"/>
    <xf numFmtId="0" fontId="55" fillId="0" borderId="0" xfId="44" applyFont="1" applyFill="1"/>
    <xf numFmtId="0" fontId="2" fillId="0" borderId="0" xfId="9" applyFont="1"/>
    <xf numFmtId="1" fontId="2" fillId="0" borderId="7" xfId="2" quotePrefix="1" applyNumberFormat="1" applyBorder="1" applyAlignment="1">
      <alignment horizontal="center"/>
    </xf>
    <xf numFmtId="0" fontId="2" fillId="0" borderId="5" xfId="2" applyBorder="1"/>
    <xf numFmtId="173" fontId="2" fillId="0" borderId="0" xfId="1" applyNumberFormat="1" applyFont="1" applyFill="1"/>
    <xf numFmtId="188" fontId="2" fillId="0" borderId="0" xfId="1" applyNumberFormat="1" applyFont="1" applyFill="1"/>
    <xf numFmtId="170" fontId="26" fillId="0" borderId="0" xfId="0" applyNumberFormat="1" applyFont="1" applyAlignment="1">
      <alignment horizontal="right"/>
    </xf>
    <xf numFmtId="170" fontId="0" fillId="2" borderId="0" xfId="46" applyNumberFormat="1" applyFont="1" applyFill="1" applyAlignment="1">
      <alignment horizontal="right"/>
    </xf>
    <xf numFmtId="170" fontId="0" fillId="0" borderId="0" xfId="0" applyNumberFormat="1" applyAlignment="1">
      <alignment horizontal="right"/>
    </xf>
    <xf numFmtId="0" fontId="0" fillId="0" borderId="0" xfId="0" quotePrefix="1"/>
    <xf numFmtId="0" fontId="0" fillId="5" borderId="0" xfId="0" applyFill="1"/>
    <xf numFmtId="0" fontId="0" fillId="5" borderId="0" xfId="0" applyFill="1" applyAlignment="1">
      <alignment horizontal="center"/>
    </xf>
    <xf numFmtId="0" fontId="0" fillId="5" borderId="0" xfId="0" applyFill="1" applyAlignment="1">
      <alignment horizontal="right"/>
    </xf>
    <xf numFmtId="0" fontId="1" fillId="5" borderId="0" xfId="0" applyFont="1" applyFill="1"/>
    <xf numFmtId="170" fontId="26" fillId="5" borderId="0" xfId="46" applyNumberFormat="1" applyFont="1" applyFill="1" applyAlignment="1">
      <alignment horizontal="right"/>
    </xf>
    <xf numFmtId="170" fontId="26" fillId="0" borderId="0" xfId="0" applyNumberFormat="1" applyFont="1"/>
    <xf numFmtId="0" fontId="56" fillId="5" borderId="0" xfId="0" applyFont="1" applyFill="1"/>
    <xf numFmtId="0" fontId="53" fillId="5" borderId="0" xfId="0" applyFont="1" applyFill="1"/>
    <xf numFmtId="0" fontId="17" fillId="5" borderId="0" xfId="0" applyFont="1" applyFill="1"/>
    <xf numFmtId="0" fontId="17" fillId="5" borderId="0" xfId="0" applyFont="1" applyFill="1" applyAlignment="1">
      <alignment horizontal="center"/>
    </xf>
    <xf numFmtId="170" fontId="17" fillId="5" borderId="0" xfId="0" applyNumberFormat="1" applyFont="1" applyFill="1" applyAlignment="1">
      <alignment horizontal="right"/>
    </xf>
    <xf numFmtId="200" fontId="1" fillId="0" borderId="0" xfId="0" applyNumberFormat="1" applyFont="1"/>
    <xf numFmtId="200" fontId="0" fillId="0" borderId="0" xfId="0" applyNumberFormat="1"/>
    <xf numFmtId="200" fontId="0" fillId="0" borderId="0" xfId="0" applyNumberFormat="1" applyAlignment="1">
      <alignment horizontal="center"/>
    </xf>
    <xf numFmtId="200" fontId="0" fillId="0" borderId="0" xfId="0" applyNumberFormat="1" applyAlignment="1">
      <alignment horizontal="right"/>
    </xf>
    <xf numFmtId="201" fontId="0" fillId="0" borderId="0" xfId="0" applyNumberFormat="1" applyAlignment="1">
      <alignment horizontal="right"/>
    </xf>
    <xf numFmtId="0" fontId="53" fillId="6" borderId="0" xfId="0" quotePrefix="1" applyFont="1" applyFill="1"/>
    <xf numFmtId="0" fontId="0" fillId="6" borderId="0" xfId="0" applyFill="1"/>
    <xf numFmtId="0" fontId="0" fillId="6" borderId="0" xfId="0" applyFill="1" applyAlignment="1">
      <alignment horizontal="center"/>
    </xf>
    <xf numFmtId="0" fontId="53" fillId="0" borderId="0" xfId="0" quotePrefix="1" applyFont="1"/>
    <xf numFmtId="200" fontId="53" fillId="0" borderId="0" xfId="0" applyNumberFormat="1" applyFont="1"/>
    <xf numFmtId="0" fontId="26" fillId="4" borderId="0" xfId="0" applyFont="1" applyFill="1"/>
    <xf numFmtId="200" fontId="0" fillId="0" borderId="0" xfId="0" quotePrefix="1" applyNumberFormat="1"/>
    <xf numFmtId="170" fontId="0" fillId="0" borderId="0" xfId="46" applyNumberFormat="1" applyFont="1" applyFill="1"/>
    <xf numFmtId="201" fontId="0" fillId="0" borderId="0" xfId="0" quotePrefix="1" applyNumberFormat="1"/>
    <xf numFmtId="201" fontId="26" fillId="0" borderId="0" xfId="0" quotePrefix="1" applyNumberFormat="1" applyFont="1"/>
    <xf numFmtId="0" fontId="17" fillId="0" borderId="0" xfId="0" applyFont="1" applyAlignment="1">
      <alignment horizontal="right"/>
    </xf>
    <xf numFmtId="200" fontId="0" fillId="5" borderId="0" xfId="0" applyNumberFormat="1" applyFill="1"/>
    <xf numFmtId="200" fontId="0" fillId="5" borderId="0" xfId="0" applyNumberFormat="1" applyFill="1" applyAlignment="1">
      <alignment horizontal="center"/>
    </xf>
    <xf numFmtId="201" fontId="0" fillId="5" borderId="0" xfId="0" applyNumberFormat="1" applyFill="1" applyAlignment="1">
      <alignment horizontal="right"/>
    </xf>
    <xf numFmtId="200" fontId="0" fillId="4" borderId="0" xfId="0" applyNumberFormat="1" applyFill="1"/>
    <xf numFmtId="200" fontId="0" fillId="4" borderId="0" xfId="0" applyNumberFormat="1" applyFill="1" applyAlignment="1">
      <alignment horizontal="center"/>
    </xf>
    <xf numFmtId="201" fontId="0" fillId="4" borderId="0" xfId="0" applyNumberFormat="1" applyFill="1" applyAlignment="1">
      <alignment horizontal="right"/>
    </xf>
    <xf numFmtId="200" fontId="0" fillId="4" borderId="0" xfId="0" quotePrefix="1" applyNumberFormat="1" applyFill="1"/>
    <xf numFmtId="201" fontId="0" fillId="4" borderId="0" xfId="0" quotePrefix="1" applyNumberFormat="1" applyFill="1"/>
    <xf numFmtId="201" fontId="0" fillId="2" borderId="0" xfId="0" applyNumberFormat="1" applyFill="1" applyAlignment="1">
      <alignment horizontal="right"/>
    </xf>
    <xf numFmtId="200" fontId="26" fillId="2" borderId="0" xfId="0" applyNumberFormat="1" applyFont="1" applyFill="1"/>
    <xf numFmtId="200" fontId="0" fillId="2" borderId="0" xfId="0" applyNumberFormat="1" applyFill="1"/>
    <xf numFmtId="200" fontId="0" fillId="2" borderId="0" xfId="0" applyNumberFormat="1" applyFill="1" applyAlignment="1">
      <alignment horizontal="center"/>
    </xf>
    <xf numFmtId="0" fontId="53" fillId="0" borderId="0" xfId="0" applyFont="1"/>
    <xf numFmtId="3" fontId="0" fillId="0" borderId="0" xfId="0" applyNumberFormat="1"/>
    <xf numFmtId="3" fontId="0" fillId="9" borderId="0" xfId="0" applyNumberFormat="1" applyFill="1"/>
    <xf numFmtId="1" fontId="53" fillId="0" borderId="0" xfId="0" applyNumberFormat="1" applyFont="1"/>
    <xf numFmtId="0" fontId="0" fillId="9" borderId="0" xfId="0" applyFill="1" applyAlignment="1">
      <alignment horizontal="center"/>
    </xf>
    <xf numFmtId="0" fontId="2" fillId="0" borderId="0" xfId="2" applyAlignment="1">
      <alignment horizontal="center" vertical="top" wrapText="1"/>
    </xf>
    <xf numFmtId="200" fontId="0" fillId="9" borderId="0" xfId="0" applyNumberFormat="1" applyFill="1"/>
    <xf numFmtId="0" fontId="0" fillId="9" borderId="0" xfId="0" quotePrefix="1" applyFill="1"/>
    <xf numFmtId="3" fontId="26" fillId="0" borderId="28" xfId="0" applyNumberFormat="1" applyFont="1" applyBorder="1" applyAlignment="1">
      <alignment horizontal="right"/>
    </xf>
    <xf numFmtId="3" fontId="26" fillId="0" borderId="29" xfId="0" applyNumberFormat="1" applyFont="1" applyBorder="1" applyAlignment="1">
      <alignment horizontal="right"/>
    </xf>
    <xf numFmtId="3" fontId="26" fillId="0" borderId="30" xfId="0" applyNumberFormat="1" applyFont="1" applyBorder="1" applyAlignment="1">
      <alignment horizontal="right"/>
    </xf>
    <xf numFmtId="3" fontId="2" fillId="0" borderId="2" xfId="3" applyNumberFormat="1" applyFont="1" applyFill="1" applyBorder="1"/>
    <xf numFmtId="3" fontId="2" fillId="0" borderId="3" xfId="3" applyNumberFormat="1" applyFont="1" applyFill="1" applyBorder="1"/>
    <xf numFmtId="3" fontId="2" fillId="0" borderId="4" xfId="3" applyNumberFormat="1" applyFont="1" applyFill="1" applyBorder="1"/>
    <xf numFmtId="3" fontId="2" fillId="0" borderId="8" xfId="3" applyNumberFormat="1" applyFont="1" applyFill="1" applyBorder="1"/>
    <xf numFmtId="1" fontId="2" fillId="0" borderId="0" xfId="3" applyNumberFormat="1" applyFont="1" applyFill="1" applyBorder="1" applyAlignment="1">
      <alignment horizontal="left"/>
    </xf>
    <xf numFmtId="0" fontId="2" fillId="0" borderId="0" xfId="3" applyNumberFormat="1" applyFont="1" applyFill="1" applyBorder="1" applyAlignment="1">
      <alignment horizontal="left"/>
    </xf>
    <xf numFmtId="10" fontId="2" fillId="0" borderId="0" xfId="13" applyNumberFormat="1" applyFont="1" applyFill="1"/>
    <xf numFmtId="3" fontId="2" fillId="0" borderId="7" xfId="3" applyNumberFormat="1" applyFont="1" applyFill="1" applyBorder="1"/>
    <xf numFmtId="180" fontId="2" fillId="0" borderId="0" xfId="3" applyNumberFormat="1" applyFont="1" applyFill="1"/>
    <xf numFmtId="3" fontId="2" fillId="0" borderId="10" xfId="3" applyNumberFormat="1" applyFont="1" applyFill="1" applyBorder="1"/>
    <xf numFmtId="3" fontId="2" fillId="0" borderId="0" xfId="3" applyNumberFormat="1" applyFont="1" applyFill="1" applyBorder="1"/>
    <xf numFmtId="170" fontId="2" fillId="0" borderId="0" xfId="15" applyNumberFormat="1" applyFont="1" applyFill="1"/>
    <xf numFmtId="170" fontId="2" fillId="0" borderId="0" xfId="15" applyNumberFormat="1" applyFont="1" applyFill="1" applyBorder="1"/>
    <xf numFmtId="3" fontId="2" fillId="0" borderId="9" xfId="3" applyNumberFormat="1" applyFont="1" applyFill="1" applyBorder="1"/>
    <xf numFmtId="3" fontId="2" fillId="0" borderId="2" xfId="3" applyNumberFormat="1" applyFont="1" applyFill="1" applyBorder="1" applyProtection="1"/>
    <xf numFmtId="3" fontId="2" fillId="0" borderId="3" xfId="3" applyNumberFormat="1" applyFont="1" applyFill="1" applyBorder="1" applyProtection="1"/>
    <xf numFmtId="3" fontId="2" fillId="0" borderId="7" xfId="3" applyNumberFormat="1" applyFont="1" applyFill="1" applyBorder="1" applyProtection="1"/>
    <xf numFmtId="3" fontId="2" fillId="0" borderId="0" xfId="3" applyNumberFormat="1" applyFont="1" applyFill="1" applyBorder="1" applyAlignment="1">
      <alignment horizontal="right"/>
    </xf>
    <xf numFmtId="1" fontId="2" fillId="0" borderId="0" xfId="33" quotePrefix="1" applyNumberFormat="1" applyFont="1" applyFill="1" applyBorder="1" applyAlignment="1">
      <alignment horizontal="center"/>
    </xf>
    <xf numFmtId="0" fontId="2" fillId="0" borderId="0" xfId="33" applyFont="1" applyFill="1" applyBorder="1"/>
    <xf numFmtId="3" fontId="2" fillId="0" borderId="0" xfId="33" applyNumberFormat="1" applyFont="1" applyFill="1" applyBorder="1"/>
    <xf numFmtId="0" fontId="2" fillId="0" borderId="0" xfId="33" applyFont="1" applyFill="1"/>
    <xf numFmtId="167" fontId="2" fillId="0" borderId="0" xfId="15" applyFont="1" applyFill="1" applyBorder="1"/>
    <xf numFmtId="9" fontId="2" fillId="0" borderId="0" xfId="13" applyFont="1" applyFill="1" applyBorder="1"/>
    <xf numFmtId="170" fontId="9" fillId="0" borderId="0" xfId="1" applyNumberFormat="1" applyFont="1" applyFill="1"/>
    <xf numFmtId="202" fontId="0" fillId="0" borderId="0" xfId="46" applyNumberFormat="1" applyFont="1" applyAlignment="1">
      <alignment horizontal="right"/>
    </xf>
    <xf numFmtId="170" fontId="0" fillId="0" borderId="0" xfId="0" applyNumberFormat="1"/>
    <xf numFmtId="202" fontId="2" fillId="0" borderId="0" xfId="46" applyNumberFormat="1" applyFont="1" applyFill="1"/>
    <xf numFmtId="49" fontId="26" fillId="0" borderId="0" xfId="0" applyNumberFormat="1" applyFont="1" applyAlignment="1">
      <alignment horizontal="right"/>
    </xf>
    <xf numFmtId="0" fontId="1" fillId="8" borderId="0" xfId="0" applyFont="1" applyFill="1"/>
    <xf numFmtId="0" fontId="0" fillId="8" borderId="0" xfId="0" applyFill="1"/>
    <xf numFmtId="0" fontId="0" fillId="8" borderId="0" xfId="0" applyFill="1" applyAlignment="1">
      <alignment horizontal="center"/>
    </xf>
    <xf numFmtId="3" fontId="26" fillId="8" borderId="0" xfId="0" applyNumberFormat="1" applyFont="1" applyFill="1" applyAlignment="1">
      <alignment horizontal="right"/>
    </xf>
    <xf numFmtId="0" fontId="26" fillId="8" borderId="0" xfId="0" applyFont="1" applyFill="1"/>
    <xf numFmtId="0" fontId="26" fillId="8" borderId="0" xfId="0" applyFont="1" applyFill="1" applyAlignment="1">
      <alignment horizontal="center"/>
    </xf>
    <xf numFmtId="0" fontId="54" fillId="2" borderId="0" xfId="0" applyFont="1" applyFill="1"/>
    <xf numFmtId="0" fontId="0" fillId="2" borderId="0" xfId="0" applyFill="1"/>
    <xf numFmtId="3" fontId="0" fillId="2" borderId="0" xfId="0" applyNumberFormat="1" applyFill="1"/>
    <xf numFmtId="3" fontId="3" fillId="0" borderId="32" xfId="23" applyNumberFormat="1" applyFill="1" applyBorder="1"/>
    <xf numFmtId="3" fontId="3" fillId="0" borderId="31" xfId="23" applyNumberFormat="1" applyFill="1" applyBorder="1"/>
    <xf numFmtId="3" fontId="3" fillId="0" borderId="33" xfId="23" applyNumberFormat="1" applyFill="1" applyBorder="1"/>
    <xf numFmtId="9" fontId="6" fillId="0" borderId="0" xfId="13" applyFont="1" applyFill="1" applyBorder="1"/>
    <xf numFmtId="170" fontId="0" fillId="7" borderId="0" xfId="0" applyNumberFormat="1" applyFill="1" applyAlignment="1">
      <alignment horizontal="right"/>
    </xf>
    <xf numFmtId="3" fontId="2" fillId="0" borderId="0" xfId="46" applyNumberFormat="1" applyFont="1" applyFill="1" applyBorder="1" applyAlignment="1">
      <alignment vertical="top" wrapText="1"/>
    </xf>
    <xf numFmtId="3" fontId="2" fillId="0" borderId="0" xfId="46" applyNumberFormat="1" applyFont="1" applyFill="1" applyAlignment="1">
      <alignment vertical="top" wrapText="1"/>
    </xf>
    <xf numFmtId="0" fontId="0" fillId="0" borderId="0" xfId="0" pivotButton="1"/>
    <xf numFmtId="3" fontId="2" fillId="0" borderId="3" xfId="35" applyNumberFormat="1" applyFont="1" applyFill="1" applyBorder="1"/>
    <xf numFmtId="3" fontId="2" fillId="0" borderId="2" xfId="35" applyNumberFormat="1" applyFont="1" applyFill="1" applyBorder="1"/>
    <xf numFmtId="0" fontId="2" fillId="0" borderId="0" xfId="9" applyFont="1" applyAlignment="1">
      <alignment vertical="top" wrapText="1"/>
    </xf>
    <xf numFmtId="3" fontId="2" fillId="0" borderId="2" xfId="71" applyNumberFormat="1" applyFill="1" applyBorder="1"/>
    <xf numFmtId="3" fontId="2" fillId="0" borderId="4" xfId="71" applyNumberFormat="1" applyFill="1" applyBorder="1"/>
    <xf numFmtId="1" fontId="2" fillId="0" borderId="4" xfId="71" applyNumberFormat="1" applyFill="1" applyBorder="1"/>
    <xf numFmtId="0" fontId="26" fillId="10" borderId="36" xfId="0" applyFont="1" applyFill="1" applyBorder="1"/>
    <xf numFmtId="44" fontId="0" fillId="0" borderId="0" xfId="0" applyNumberFormat="1"/>
    <xf numFmtId="44" fontId="26" fillId="10" borderId="35" xfId="0" applyNumberFormat="1" applyFont="1" applyFill="1" applyBorder="1"/>
    <xf numFmtId="0" fontId="26" fillId="10" borderId="35" xfId="0" applyFont="1" applyFill="1" applyBorder="1" applyAlignment="1">
      <alignment horizontal="left"/>
    </xf>
    <xf numFmtId="0" fontId="26" fillId="10" borderId="0" xfId="0" applyFont="1" applyFill="1"/>
    <xf numFmtId="44" fontId="0" fillId="2" borderId="0" xfId="0" applyNumberFormat="1" applyFill="1"/>
    <xf numFmtId="0" fontId="0" fillId="0" borderId="0" xfId="0" applyAlignment="1">
      <alignment horizontal="left" indent="1"/>
    </xf>
    <xf numFmtId="44" fontId="0" fillId="0" borderId="0" xfId="72" applyFont="1"/>
    <xf numFmtId="0" fontId="0" fillId="11" borderId="0" xfId="0" applyFill="1"/>
    <xf numFmtId="1" fontId="0" fillId="0" borderId="0" xfId="0" applyNumberFormat="1"/>
    <xf numFmtId="44" fontId="0" fillId="0" borderId="6" xfId="0" applyNumberFormat="1" applyBorder="1"/>
    <xf numFmtId="205" fontId="0" fillId="0" borderId="0" xfId="72" applyNumberFormat="1" applyFont="1"/>
    <xf numFmtId="205" fontId="0" fillId="0" borderId="6" xfId="72" applyNumberFormat="1" applyFont="1" applyBorder="1"/>
    <xf numFmtId="3" fontId="2" fillId="0" borderId="0" xfId="58" applyNumberFormat="1" applyFont="1" applyFill="1" applyBorder="1"/>
    <xf numFmtId="44" fontId="0" fillId="0" borderId="6" xfId="72" applyFont="1" applyBorder="1"/>
    <xf numFmtId="44" fontId="0" fillId="12" borderId="0" xfId="0" applyNumberFormat="1" applyFill="1"/>
    <xf numFmtId="44" fontId="0" fillId="0" borderId="0" xfId="72" applyFont="1" applyBorder="1"/>
    <xf numFmtId="0" fontId="0" fillId="12" borderId="0" xfId="0" applyFill="1"/>
    <xf numFmtId="3" fontId="2" fillId="0" borderId="0" xfId="23" applyNumberFormat="1" applyFont="1" applyBorder="1"/>
    <xf numFmtId="3" fontId="0" fillId="0" borderId="37" xfId="0" applyNumberFormat="1" applyBorder="1"/>
    <xf numFmtId="169" fontId="9" fillId="0" borderId="37" xfId="3" applyFont="1" applyFill="1" applyBorder="1"/>
    <xf numFmtId="0" fontId="2" fillId="0" borderId="0" xfId="2" applyAlignment="1">
      <alignment horizontal="left" vertical="top" wrapText="1"/>
    </xf>
    <xf numFmtId="0" fontId="9" fillId="0" borderId="0" xfId="0" applyFont="1" applyAlignment="1">
      <alignment horizontal="left" vertical="top" wrapText="1"/>
    </xf>
    <xf numFmtId="0" fontId="2" fillId="0" borderId="0" xfId="64" applyAlignment="1">
      <alignment horizontal="left" vertical="top" wrapText="1"/>
    </xf>
    <xf numFmtId="1" fontId="2" fillId="0" borderId="0" xfId="2" applyNumberFormat="1"/>
    <xf numFmtId="49" fontId="2" fillId="0" borderId="0" xfId="2" applyNumberFormat="1" applyAlignment="1">
      <alignment horizontal="center"/>
    </xf>
    <xf numFmtId="3" fontId="2" fillId="0" borderId="0" xfId="2" applyNumberFormat="1" applyAlignment="1">
      <alignment horizontal="center"/>
    </xf>
    <xf numFmtId="0" fontId="4" fillId="0" borderId="0" xfId="2" applyFont="1"/>
    <xf numFmtId="0" fontId="3" fillId="0" borderId="0" xfId="2" applyFont="1"/>
    <xf numFmtId="0" fontId="2" fillId="0" borderId="0" xfId="2" applyAlignment="1">
      <alignment horizontal="left"/>
    </xf>
    <xf numFmtId="168" fontId="2" fillId="0" borderId="0" xfId="2" applyNumberFormat="1"/>
    <xf numFmtId="0" fontId="2" fillId="0" borderId="0" xfId="2" quotePrefix="1"/>
    <xf numFmtId="0" fontId="5" fillId="0" borderId="0" xfId="2" applyFont="1" applyAlignment="1">
      <alignment horizontal="center"/>
    </xf>
    <xf numFmtId="10" fontId="2" fillId="0" borderId="0" xfId="2" applyNumberFormat="1"/>
    <xf numFmtId="0" fontId="3" fillId="0" borderId="0" xfId="2" applyFont="1" applyAlignment="1">
      <alignment horizontal="left"/>
    </xf>
    <xf numFmtId="1" fontId="5" fillId="0" borderId="0" xfId="2" applyNumberFormat="1" applyFont="1"/>
    <xf numFmtId="49" fontId="5" fillId="0" borderId="0" xfId="2" applyNumberFormat="1" applyFont="1" applyAlignment="1">
      <alignment horizontal="center"/>
    </xf>
    <xf numFmtId="3" fontId="5" fillId="0" borderId="0" xfId="2" applyNumberFormat="1" applyFont="1" applyAlignment="1">
      <alignment horizontal="center"/>
    </xf>
    <xf numFmtId="1" fontId="2" fillId="0" borderId="1" xfId="2" applyNumberFormat="1" applyBorder="1"/>
    <xf numFmtId="0" fontId="2" fillId="0" borderId="2" xfId="2" applyBorder="1"/>
    <xf numFmtId="3" fontId="2" fillId="0" borderId="3" xfId="2" applyNumberFormat="1" applyBorder="1"/>
    <xf numFmtId="3" fontId="2" fillId="0" borderId="2" xfId="2" applyNumberFormat="1" applyBorder="1"/>
    <xf numFmtId="0" fontId="2" fillId="0" borderId="1" xfId="2" applyBorder="1"/>
    <xf numFmtId="49" fontId="2" fillId="0" borderId="37" xfId="2" applyNumberFormat="1" applyBorder="1" applyAlignment="1">
      <alignment horizontal="center"/>
    </xf>
    <xf numFmtId="3" fontId="2" fillId="0" borderId="37" xfId="2" applyNumberFormat="1" applyBorder="1" applyAlignment="1">
      <alignment horizontal="center"/>
    </xf>
    <xf numFmtId="0" fontId="2" fillId="0" borderId="37" xfId="2" applyBorder="1"/>
    <xf numFmtId="1" fontId="2" fillId="0" borderId="5" xfId="2" applyNumberFormat="1" applyBorder="1"/>
    <xf numFmtId="49" fontId="2" fillId="0" borderId="6" xfId="2" applyNumberFormat="1" applyBorder="1" applyAlignment="1">
      <alignment horizontal="center"/>
    </xf>
    <xf numFmtId="3" fontId="2" fillId="0" borderId="6" xfId="2" applyNumberFormat="1" applyBorder="1" applyAlignment="1">
      <alignment horizontal="center"/>
    </xf>
    <xf numFmtId="0" fontId="2" fillId="0" borderId="37" xfId="2" applyBorder="1" applyAlignment="1">
      <alignment horizontal="center" vertical="center"/>
    </xf>
    <xf numFmtId="49" fontId="2" fillId="0" borderId="7" xfId="2" applyNumberFormat="1" applyBorder="1" applyAlignment="1">
      <alignment horizontal="center" vertical="center"/>
    </xf>
    <xf numFmtId="0" fontId="2" fillId="0" borderId="6" xfId="2" applyBorder="1" applyAlignment="1">
      <alignment horizontal="center" vertical="center"/>
    </xf>
    <xf numFmtId="0" fontId="2" fillId="0" borderId="4" xfId="2" applyBorder="1" applyAlignment="1">
      <alignment horizontal="center" vertical="center"/>
    </xf>
    <xf numFmtId="49" fontId="5" fillId="0" borderId="3" xfId="2" applyNumberFormat="1" applyFont="1" applyBorder="1" applyAlignment="1">
      <alignment horizontal="center"/>
    </xf>
    <xf numFmtId="1" fontId="5" fillId="0" borderId="3" xfId="2" applyNumberFormat="1" applyFont="1" applyBorder="1" applyAlignment="1">
      <alignment horizontal="center"/>
    </xf>
    <xf numFmtId="0" fontId="5" fillId="0" borderId="1" xfId="2" applyFont="1" applyBorder="1"/>
    <xf numFmtId="1" fontId="5" fillId="0" borderId="3" xfId="2" applyNumberFormat="1" applyFont="1" applyBorder="1" applyAlignment="1">
      <alignment horizontal="left"/>
    </xf>
    <xf numFmtId="0" fontId="6" fillId="0" borderId="1" xfId="2" applyFont="1" applyBorder="1"/>
    <xf numFmtId="0" fontId="2" fillId="0" borderId="3" xfId="2" applyBorder="1"/>
    <xf numFmtId="1" fontId="2" fillId="0" borderId="0" xfId="2" applyNumberFormat="1" applyAlignment="1">
      <alignment horizontal="left"/>
    </xf>
    <xf numFmtId="1" fontId="2" fillId="0" borderId="3" xfId="2" applyNumberFormat="1" applyBorder="1" applyAlignment="1">
      <alignment horizontal="center"/>
    </xf>
    <xf numFmtId="3" fontId="2" fillId="0" borderId="3" xfId="2" applyNumberFormat="1" applyBorder="1" applyAlignment="1">
      <alignment horizontal="center"/>
    </xf>
    <xf numFmtId="3" fontId="2" fillId="0" borderId="1" xfId="2" applyNumberFormat="1" applyBorder="1"/>
    <xf numFmtId="1" fontId="2" fillId="0" borderId="3" xfId="2" quotePrefix="1" applyNumberFormat="1" applyBorder="1" applyAlignment="1">
      <alignment horizontal="center"/>
    </xf>
    <xf numFmtId="49" fontId="2" fillId="0" borderId="3" xfId="2" quotePrefix="1" applyNumberFormat="1" applyBorder="1" applyAlignment="1">
      <alignment horizontal="center"/>
    </xf>
    <xf numFmtId="3" fontId="2" fillId="0" borderId="8" xfId="2" applyNumberFormat="1" applyBorder="1"/>
    <xf numFmtId="49" fontId="2" fillId="0" borderId="3" xfId="2" applyNumberFormat="1" applyBorder="1" applyAlignment="1">
      <alignment horizontal="center"/>
    </xf>
    <xf numFmtId="3" fontId="2" fillId="0" borderId="9" xfId="2" applyNumberFormat="1" applyBorder="1"/>
    <xf numFmtId="3" fontId="2" fillId="0" borderId="7" xfId="2" applyNumberFormat="1" applyBorder="1" applyAlignment="1">
      <alignment horizontal="right"/>
    </xf>
    <xf numFmtId="3" fontId="2" fillId="0" borderId="3" xfId="2" quotePrefix="1" applyNumberFormat="1" applyBorder="1" applyAlignment="1">
      <alignment horizontal="center"/>
    </xf>
    <xf numFmtId="1" fontId="5" fillId="0" borderId="3" xfId="2" quotePrefix="1" applyNumberFormat="1" applyFont="1" applyBorder="1" applyAlignment="1">
      <alignment horizontal="left"/>
    </xf>
    <xf numFmtId="3" fontId="6" fillId="0" borderId="1" xfId="2" applyNumberFormat="1" applyFont="1" applyBorder="1"/>
    <xf numFmtId="1" fontId="7" fillId="0" borderId="3" xfId="4" applyNumberFormat="1" applyFont="1" applyBorder="1" applyAlignment="1">
      <alignment horizontal="center"/>
    </xf>
    <xf numFmtId="49" fontId="7" fillId="0" borderId="3" xfId="4" applyNumberFormat="1" applyFont="1" applyBorder="1" applyAlignment="1">
      <alignment horizontal="center"/>
    </xf>
    <xf numFmtId="0" fontId="7" fillId="0" borderId="1" xfId="4" applyFont="1" applyBorder="1"/>
    <xf numFmtId="1" fontId="2" fillId="0" borderId="3" xfId="2" applyNumberFormat="1" applyBorder="1" applyAlignment="1">
      <alignment horizontal="center" vertical="center"/>
    </xf>
    <xf numFmtId="49" fontId="2" fillId="0" borderId="3" xfId="2" applyNumberFormat="1" applyBorder="1" applyAlignment="1">
      <alignment horizontal="center" vertical="center"/>
    </xf>
    <xf numFmtId="0" fontId="2" fillId="0" borderId="1" xfId="2" applyBorder="1" applyAlignment="1">
      <alignment horizontal="center" vertical="center"/>
    </xf>
    <xf numFmtId="0" fontId="2" fillId="0" borderId="0" xfId="2" applyAlignment="1">
      <alignment horizontal="center" vertical="center"/>
    </xf>
    <xf numFmtId="0" fontId="2" fillId="0" borderId="2" xfId="2" applyBorder="1" applyAlignment="1">
      <alignment horizontal="center" vertical="center"/>
    </xf>
    <xf numFmtId="0" fontId="2" fillId="0" borderId="9" xfId="2" applyBorder="1"/>
    <xf numFmtId="0" fontId="8" fillId="0" borderId="0" xfId="2" applyFont="1"/>
    <xf numFmtId="0" fontId="9" fillId="0" borderId="0" xfId="2" applyFont="1"/>
    <xf numFmtId="0" fontId="10" fillId="0" borderId="1" xfId="6" applyFont="1" applyBorder="1"/>
    <xf numFmtId="0" fontId="9" fillId="0" borderId="0" xfId="6" applyFont="1"/>
    <xf numFmtId="0" fontId="9" fillId="0" borderId="2" xfId="6" applyFont="1" applyBorder="1"/>
    <xf numFmtId="0" fontId="9" fillId="0" borderId="3" xfId="6" applyFont="1" applyBorder="1"/>
    <xf numFmtId="1" fontId="10" fillId="0" borderId="3" xfId="6" applyNumberFormat="1" applyFont="1" applyBorder="1" applyAlignment="1">
      <alignment horizontal="left"/>
    </xf>
    <xf numFmtId="1" fontId="10" fillId="0" borderId="0" xfId="6" applyNumberFormat="1" applyFont="1" applyAlignment="1">
      <alignment horizontal="center"/>
    </xf>
    <xf numFmtId="1" fontId="10" fillId="0" borderId="3" xfId="6" applyNumberFormat="1" applyFont="1" applyBorder="1" applyAlignment="1">
      <alignment horizontal="center"/>
    </xf>
    <xf numFmtId="0" fontId="11" fillId="0" borderId="1" xfId="6" applyFont="1" applyBorder="1"/>
    <xf numFmtId="1" fontId="9" fillId="0" borderId="0" xfId="2" applyNumberFormat="1" applyFont="1" applyAlignment="1">
      <alignment horizontal="left"/>
    </xf>
    <xf numFmtId="1" fontId="9" fillId="0" borderId="3" xfId="6" applyNumberFormat="1" applyFont="1" applyBorder="1" applyAlignment="1">
      <alignment horizontal="center"/>
    </xf>
    <xf numFmtId="1" fontId="9" fillId="0" borderId="0" xfId="6" applyNumberFormat="1" applyFont="1" applyAlignment="1">
      <alignment horizontal="center"/>
    </xf>
    <xf numFmtId="0" fontId="9" fillId="0" borderId="1" xfId="2" applyFont="1" applyBorder="1"/>
    <xf numFmtId="3" fontId="9" fillId="0" borderId="2" xfId="6" applyNumberFormat="1" applyFont="1" applyBorder="1"/>
    <xf numFmtId="1" fontId="9" fillId="0" borderId="3" xfId="6" quotePrefix="1" applyNumberFormat="1" applyFont="1" applyBorder="1" applyAlignment="1">
      <alignment horizontal="center"/>
    </xf>
    <xf numFmtId="1" fontId="9" fillId="0" borderId="0" xfId="6" quotePrefix="1" applyNumberFormat="1" applyFont="1" applyAlignment="1">
      <alignment horizontal="center"/>
    </xf>
    <xf numFmtId="0" fontId="9" fillId="0" borderId="1" xfId="6" applyFont="1" applyBorder="1"/>
    <xf numFmtId="3" fontId="9" fillId="0" borderId="10" xfId="6" applyNumberFormat="1" applyFont="1" applyBorder="1"/>
    <xf numFmtId="1" fontId="9" fillId="0" borderId="3" xfId="2" quotePrefix="1" applyNumberFormat="1" applyFont="1" applyBorder="1" applyAlignment="1">
      <alignment horizontal="center"/>
    </xf>
    <xf numFmtId="49" fontId="9" fillId="0" borderId="3" xfId="2" quotePrefix="1" applyNumberFormat="1" applyFont="1" applyBorder="1" applyAlignment="1">
      <alignment horizontal="center"/>
    </xf>
    <xf numFmtId="0" fontId="9" fillId="0" borderId="2" xfId="2" applyFont="1" applyBorder="1"/>
    <xf numFmtId="3" fontId="9" fillId="0" borderId="2" xfId="2" applyNumberFormat="1" applyFont="1" applyBorder="1"/>
    <xf numFmtId="0" fontId="5" fillId="0" borderId="0" xfId="2" applyFont="1"/>
    <xf numFmtId="1" fontId="5" fillId="0" borderId="0" xfId="2" applyNumberFormat="1" applyFont="1" applyAlignment="1">
      <alignment horizontal="center"/>
    </xf>
    <xf numFmtId="0" fontId="6" fillId="0" borderId="0" xfId="2" applyFont="1"/>
    <xf numFmtId="1" fontId="2" fillId="0" borderId="0" xfId="2" quotePrefix="1" applyNumberFormat="1" applyAlignment="1">
      <alignment horizontal="center"/>
    </xf>
    <xf numFmtId="3" fontId="5" fillId="0" borderId="3" xfId="2" applyNumberFormat="1" applyFont="1" applyBorder="1" applyAlignment="1">
      <alignment horizontal="center"/>
    </xf>
    <xf numFmtId="1" fontId="5" fillId="0" borderId="3" xfId="2" applyNumberFormat="1" applyFont="1" applyBorder="1" applyAlignment="1">
      <alignment horizontal="right"/>
    </xf>
    <xf numFmtId="1" fontId="2" fillId="0" borderId="3" xfId="2" quotePrefix="1" applyNumberFormat="1" applyBorder="1" applyAlignment="1">
      <alignment horizontal="right"/>
    </xf>
    <xf numFmtId="49" fontId="2" fillId="0" borderId="7" xfId="2" quotePrefix="1" applyNumberFormat="1" applyBorder="1" applyAlignment="1">
      <alignment horizontal="center"/>
    </xf>
    <xf numFmtId="0" fontId="2" fillId="0" borderId="4" xfId="2" applyBorder="1"/>
    <xf numFmtId="3" fontId="2" fillId="0" borderId="11" xfId="2" applyNumberFormat="1" applyBorder="1"/>
    <xf numFmtId="49" fontId="2" fillId="0" borderId="0" xfId="2" quotePrefix="1" applyNumberFormat="1" applyAlignment="1">
      <alignment horizontal="center"/>
    </xf>
    <xf numFmtId="3" fontId="2" fillId="0" borderId="0" xfId="2" quotePrefix="1" applyNumberFormat="1" applyAlignment="1">
      <alignment horizontal="center"/>
    </xf>
    <xf numFmtId="1" fontId="5" fillId="0" borderId="0" xfId="2" applyNumberFormat="1" applyFont="1" applyAlignment="1">
      <alignment horizontal="left"/>
    </xf>
    <xf numFmtId="3" fontId="2" fillId="0" borderId="0" xfId="2" applyNumberFormat="1" applyAlignment="1">
      <alignment horizontal="right"/>
    </xf>
    <xf numFmtId="1" fontId="6" fillId="0" borderId="6" xfId="2" applyNumberFormat="1" applyFont="1" applyBorder="1" applyAlignment="1">
      <alignment horizontal="center"/>
    </xf>
    <xf numFmtId="1" fontId="6" fillId="0" borderId="0" xfId="2" applyNumberFormat="1" applyFont="1"/>
    <xf numFmtId="3" fontId="6" fillId="0" borderId="0" xfId="2" applyNumberFormat="1" applyFont="1"/>
    <xf numFmtId="3" fontId="2" fillId="0" borderId="0" xfId="2" quotePrefix="1" applyNumberFormat="1"/>
    <xf numFmtId="0" fontId="2" fillId="0" borderId="0" xfId="2" applyAlignment="1">
      <alignment horizontal="justify" vertical="top" wrapText="1"/>
    </xf>
    <xf numFmtId="0" fontId="2" fillId="0" borderId="0" xfId="2" applyAlignment="1">
      <alignment horizontal="center"/>
    </xf>
    <xf numFmtId="0" fontId="2" fillId="0" borderId="0" xfId="2" applyAlignment="1">
      <alignment vertical="top"/>
    </xf>
    <xf numFmtId="3" fontId="2" fillId="0" borderId="0" xfId="2" applyNumberFormat="1" applyAlignment="1">
      <alignment vertical="top" wrapText="1"/>
    </xf>
    <xf numFmtId="49" fontId="2" fillId="0" borderId="0" xfId="2" applyNumberFormat="1" applyAlignment="1">
      <alignment vertical="top"/>
    </xf>
    <xf numFmtId="49" fontId="2" fillId="0" borderId="0" xfId="2" applyNumberFormat="1" applyAlignment="1">
      <alignment horizontal="center" vertical="top" wrapText="1"/>
    </xf>
    <xf numFmtId="0" fontId="2" fillId="0" borderId="0" xfId="2" applyAlignment="1">
      <alignment vertical="top" wrapText="1"/>
    </xf>
    <xf numFmtId="4" fontId="12" fillId="0" borderId="0" xfId="2" applyNumberFormat="1" applyFont="1"/>
    <xf numFmtId="1" fontId="6" fillId="0" borderId="6" xfId="2" applyNumberFormat="1" applyFont="1" applyBorder="1" applyAlignment="1">
      <alignment horizontal="right"/>
    </xf>
    <xf numFmtId="3" fontId="2" fillId="0" borderId="0" xfId="2" quotePrefix="1" applyNumberFormat="1" applyAlignment="1">
      <alignment horizontal="left"/>
    </xf>
    <xf numFmtId="4" fontId="2" fillId="0" borderId="0" xfId="2" applyNumberFormat="1" applyAlignment="1">
      <alignment horizontal="center"/>
    </xf>
    <xf numFmtId="3" fontId="5" fillId="0" borderId="0" xfId="2" applyNumberFormat="1" applyFont="1"/>
    <xf numFmtId="1" fontId="2" fillId="0" borderId="0" xfId="2" quotePrefix="1" applyNumberFormat="1"/>
    <xf numFmtId="3" fontId="2" fillId="0" borderId="12" xfId="2" applyNumberFormat="1" applyBorder="1"/>
    <xf numFmtId="171" fontId="2" fillId="0" borderId="0" xfId="2" applyNumberFormat="1"/>
    <xf numFmtId="0" fontId="2" fillId="0" borderId="0" xfId="2" applyAlignment="1">
      <alignment wrapText="1"/>
    </xf>
    <xf numFmtId="3" fontId="2" fillId="0" borderId="0" xfId="2" applyNumberFormat="1" applyAlignment="1">
      <alignment horizontal="right" vertical="top" wrapText="1"/>
    </xf>
    <xf numFmtId="1" fontId="7" fillId="0" borderId="0" xfId="4" quotePrefix="1" applyNumberFormat="1" applyFont="1" applyAlignment="1">
      <alignment horizontal="center"/>
    </xf>
    <xf numFmtId="0" fontId="13" fillId="0" borderId="0" xfId="4" applyFont="1"/>
    <xf numFmtId="49" fontId="7" fillId="0" borderId="0" xfId="4" quotePrefix="1" applyNumberFormat="1" applyFont="1" applyAlignment="1">
      <alignment horizontal="center"/>
    </xf>
    <xf numFmtId="1" fontId="2" fillId="0" borderId="0" xfId="2" applyNumberFormat="1" applyAlignment="1">
      <alignment horizontal="justify" vertical="top" wrapText="1"/>
    </xf>
    <xf numFmtId="1" fontId="2" fillId="0" borderId="0" xfId="2" applyNumberFormat="1" applyAlignment="1">
      <alignment horizontal="center" vertical="top" wrapText="1"/>
    </xf>
    <xf numFmtId="0" fontId="2" fillId="0" borderId="0" xfId="2" applyAlignment="1">
      <alignment vertical="top" readingOrder="1"/>
    </xf>
    <xf numFmtId="1" fontId="6" fillId="0" borderId="6" xfId="2" applyNumberFormat="1" applyFont="1" applyBorder="1"/>
    <xf numFmtId="0" fontId="14" fillId="0" borderId="0" xfId="2" applyFont="1"/>
    <xf numFmtId="1" fontId="2" fillId="0" borderId="0" xfId="2" applyNumberFormat="1" applyAlignment="1">
      <alignment horizontal="right"/>
    </xf>
    <xf numFmtId="49" fontId="2" fillId="0" borderId="0" xfId="2" quotePrefix="1" applyNumberFormat="1"/>
    <xf numFmtId="3" fontId="5" fillId="0" borderId="0" xfId="2" applyNumberFormat="1" applyFont="1" applyAlignment="1">
      <alignment vertical="top"/>
    </xf>
    <xf numFmtId="1" fontId="6" fillId="0" borderId="0" xfId="2" applyNumberFormat="1" applyFont="1" applyAlignment="1">
      <alignment horizontal="left"/>
    </xf>
    <xf numFmtId="1" fontId="5" fillId="0" borderId="0" xfId="2" quotePrefix="1" applyNumberFormat="1" applyFont="1"/>
    <xf numFmtId="172" fontId="2" fillId="0" borderId="0" xfId="2" applyNumberFormat="1" applyAlignment="1">
      <alignment horizontal="left"/>
    </xf>
    <xf numFmtId="1" fontId="6" fillId="0" borderId="0" xfId="2" quotePrefix="1" applyNumberFormat="1" applyFont="1" applyAlignment="1">
      <alignment horizontal="left"/>
    </xf>
    <xf numFmtId="3" fontId="2" fillId="0" borderId="6" xfId="2" applyNumberFormat="1" applyBorder="1"/>
    <xf numFmtId="3" fontId="6" fillId="0" borderId="37" xfId="2" applyNumberFormat="1" applyFont="1" applyBorder="1"/>
    <xf numFmtId="1" fontId="5" fillId="0" borderId="0" xfId="2" quotePrefix="1" applyNumberFormat="1" applyFont="1" applyAlignment="1">
      <alignment horizontal="left"/>
    </xf>
    <xf numFmtId="1" fontId="2" fillId="0" borderId="0" xfId="2" quotePrefix="1" applyNumberFormat="1" applyAlignment="1">
      <alignment horizontal="left"/>
    </xf>
    <xf numFmtId="3" fontId="14" fillId="0" borderId="0" xfId="2" quotePrefix="1" applyNumberFormat="1" applyFont="1" applyAlignment="1">
      <alignment horizontal="center"/>
    </xf>
    <xf numFmtId="0" fontId="2" fillId="0" borderId="0" xfId="8" applyFont="1"/>
    <xf numFmtId="0" fontId="6" fillId="0" borderId="0" xfId="8" applyFont="1"/>
    <xf numFmtId="1" fontId="3" fillId="0" borderId="0" xfId="9" applyNumberFormat="1"/>
    <xf numFmtId="0" fontId="2" fillId="0" borderId="0" xfId="2" applyAlignment="1">
      <alignment horizontal="justify" wrapText="1"/>
    </xf>
    <xf numFmtId="1" fontId="3" fillId="0" borderId="0" xfId="10" quotePrefix="1" applyNumberFormat="1" applyAlignment="1">
      <alignment horizontal="left"/>
    </xf>
    <xf numFmtId="1" fontId="6" fillId="0" borderId="0" xfId="10" quotePrefix="1" applyNumberFormat="1" applyFont="1" applyAlignment="1">
      <alignment horizontal="left"/>
    </xf>
    <xf numFmtId="1" fontId="3" fillId="0" borderId="0" xfId="10" applyNumberFormat="1" applyAlignment="1">
      <alignment horizontal="left"/>
    </xf>
    <xf numFmtId="0" fontId="6" fillId="0" borderId="0" xfId="2" applyFont="1" applyAlignment="1">
      <alignment horizontal="justify" wrapText="1"/>
    </xf>
    <xf numFmtId="0" fontId="6" fillId="0" borderId="0" xfId="2" applyFont="1" applyAlignment="1">
      <alignment wrapText="1"/>
    </xf>
    <xf numFmtId="0" fontId="5" fillId="0" borderId="0" xfId="2" applyFont="1" applyAlignment="1">
      <alignment horizontal="left"/>
    </xf>
    <xf numFmtId="1" fontId="2" fillId="0" borderId="0" xfId="2" quotePrefix="1" applyNumberFormat="1" applyAlignment="1">
      <alignment horizontal="right"/>
    </xf>
    <xf numFmtId="1" fontId="2" fillId="0" borderId="0" xfId="10" quotePrefix="1" applyNumberFormat="1" applyFont="1" applyAlignment="1">
      <alignment horizontal="left"/>
    </xf>
    <xf numFmtId="1" fontId="3" fillId="0" borderId="0" xfId="2" applyNumberFormat="1" applyFont="1"/>
    <xf numFmtId="49" fontId="3" fillId="0" borderId="0" xfId="2" applyNumberFormat="1" applyFont="1" applyAlignment="1">
      <alignment horizontal="center"/>
    </xf>
    <xf numFmtId="3" fontId="3" fillId="0" borderId="0" xfId="2" applyNumberFormat="1" applyFont="1" applyAlignment="1">
      <alignment horizontal="center"/>
    </xf>
    <xf numFmtId="0" fontId="4" fillId="0" borderId="0" xfId="9" applyFont="1"/>
    <xf numFmtId="1" fontId="5" fillId="0" borderId="0" xfId="9" applyNumberFormat="1" applyFont="1"/>
    <xf numFmtId="0" fontId="3" fillId="0" borderId="0" xfId="9"/>
    <xf numFmtId="1" fontId="3" fillId="0" borderId="1" xfId="9" applyNumberFormat="1" applyBorder="1"/>
    <xf numFmtId="49" fontId="3" fillId="0" borderId="0" xfId="9" applyNumberFormat="1" applyAlignment="1">
      <alignment horizontal="center"/>
    </xf>
    <xf numFmtId="3" fontId="3" fillId="0" borderId="0" xfId="9" applyNumberFormat="1" applyAlignment="1">
      <alignment horizontal="center"/>
    </xf>
    <xf numFmtId="3" fontId="3" fillId="0" borderId="3" xfId="9" applyNumberFormat="1" applyBorder="1"/>
    <xf numFmtId="0" fontId="7" fillId="0" borderId="0" xfId="2" applyFont="1"/>
    <xf numFmtId="199" fontId="2" fillId="0" borderId="0" xfId="2" applyNumberFormat="1"/>
    <xf numFmtId="49" fontId="2" fillId="0" borderId="0" xfId="43" applyNumberFormat="1" applyFont="1" applyAlignment="1">
      <alignment horizontal="left" vertical="center"/>
    </xf>
    <xf numFmtId="1" fontId="2" fillId="0" borderId="1" xfId="9" applyNumberFormat="1" applyFont="1" applyBorder="1"/>
    <xf numFmtId="0" fontId="7" fillId="0" borderId="0" xfId="43"/>
    <xf numFmtId="3" fontId="3" fillId="0" borderId="2" xfId="9" applyNumberFormat="1" applyBorder="1"/>
    <xf numFmtId="1" fontId="3" fillId="0" borderId="5" xfId="9" applyNumberFormat="1" applyBorder="1"/>
    <xf numFmtId="49" fontId="3" fillId="0" borderId="6" xfId="9" applyNumberFormat="1" applyBorder="1" applyAlignment="1">
      <alignment horizontal="center"/>
    </xf>
    <xf numFmtId="3" fontId="3" fillId="0" borderId="6" xfId="9" applyNumberFormat="1" applyBorder="1" applyAlignment="1">
      <alignment horizontal="center"/>
    </xf>
    <xf numFmtId="0" fontId="3" fillId="0" borderId="6" xfId="9" applyBorder="1"/>
    <xf numFmtId="3" fontId="3" fillId="0" borderId="7" xfId="9" applyNumberFormat="1" applyBorder="1"/>
    <xf numFmtId="3" fontId="3" fillId="0" borderId="0" xfId="9" applyNumberFormat="1"/>
    <xf numFmtId="1" fontId="3" fillId="0" borderId="0" xfId="9" applyNumberFormat="1" applyAlignment="1">
      <alignment horizontal="left"/>
    </xf>
    <xf numFmtId="0" fontId="3" fillId="0" borderId="37" xfId="9" applyBorder="1" applyAlignment="1">
      <alignment horizontal="center" vertical="center"/>
    </xf>
    <xf numFmtId="49" fontId="3" fillId="0" borderId="7" xfId="9" applyNumberFormat="1" applyBorder="1" applyAlignment="1">
      <alignment horizontal="center" vertical="center"/>
    </xf>
    <xf numFmtId="0" fontId="3" fillId="0" borderId="6" xfId="9" applyBorder="1" applyAlignment="1">
      <alignment horizontal="center" vertical="center"/>
    </xf>
    <xf numFmtId="0" fontId="6" fillId="0" borderId="1" xfId="2" applyFont="1" applyBorder="1" applyAlignment="1">
      <alignment vertical="center"/>
    </xf>
    <xf numFmtId="0" fontId="2" fillId="0" borderId="27" xfId="2" applyBorder="1"/>
    <xf numFmtId="1" fontId="5" fillId="0" borderId="3" xfId="2" quotePrefix="1" applyNumberFormat="1" applyFont="1" applyBorder="1" applyAlignment="1">
      <alignment horizontal="center"/>
    </xf>
    <xf numFmtId="0" fontId="5" fillId="0" borderId="0" xfId="2" quotePrefix="1" applyFont="1" applyAlignment="1">
      <alignment horizontal="left"/>
    </xf>
    <xf numFmtId="0" fontId="2" fillId="0" borderId="1" xfId="2" applyBorder="1" applyAlignment="1">
      <alignment vertical="center"/>
    </xf>
    <xf numFmtId="1" fontId="2" fillId="0" borderId="1" xfId="2" applyNumberFormat="1" applyBorder="1" applyAlignment="1">
      <alignment horizontal="left"/>
    </xf>
    <xf numFmtId="3" fontId="2" fillId="0" borderId="10" xfId="2" applyNumberFormat="1" applyBorder="1"/>
    <xf numFmtId="3" fontId="2" fillId="0" borderId="3" xfId="2" applyNumberFormat="1" applyBorder="1" applyAlignment="1">
      <alignment horizontal="right"/>
    </xf>
    <xf numFmtId="3" fontId="2" fillId="0" borderId="0" xfId="2" applyNumberFormat="1" applyAlignment="1">
      <alignment horizontal="left"/>
    </xf>
    <xf numFmtId="0" fontId="6" fillId="0" borderId="6" xfId="2" applyFont="1" applyBorder="1"/>
    <xf numFmtId="0" fontId="2" fillId="0" borderId="0" xfId="2" applyAlignment="1">
      <alignment horizontal="justify" vertical="top"/>
    </xf>
    <xf numFmtId="0" fontId="6" fillId="0" borderId="0" xfId="2" applyFont="1" applyAlignment="1">
      <alignment horizontal="center"/>
    </xf>
    <xf numFmtId="1" fontId="6" fillId="0" borderId="0" xfId="2" applyNumberFormat="1" applyFont="1" applyAlignment="1">
      <alignment horizontal="right"/>
    </xf>
    <xf numFmtId="0" fontId="2" fillId="0" borderId="0" xfId="2" applyAlignment="1">
      <alignment horizontal="center" vertical="top"/>
    </xf>
    <xf numFmtId="10" fontId="13" fillId="0" borderId="0" xfId="25" applyNumberFormat="1" applyFont="1"/>
    <xf numFmtId="0" fontId="6" fillId="0" borderId="0" xfId="2" quotePrefix="1" applyFont="1" applyAlignment="1">
      <alignment horizontal="left"/>
    </xf>
    <xf numFmtId="0" fontId="2" fillId="0" borderId="0" xfId="2" quotePrefix="1" applyAlignment="1">
      <alignment horizontal="left"/>
    </xf>
    <xf numFmtId="0" fontId="3" fillId="0" borderId="0" xfId="25" applyAlignment="1">
      <alignment horizontal="left"/>
    </xf>
    <xf numFmtId="0" fontId="3" fillId="0" borderId="0" xfId="25"/>
    <xf numFmtId="0" fontId="2" fillId="0" borderId="0" xfId="25" applyFont="1" applyAlignment="1">
      <alignment horizontal="left"/>
    </xf>
    <xf numFmtId="4" fontId="2" fillId="0" borderId="0" xfId="2" applyNumberFormat="1"/>
    <xf numFmtId="10" fontId="2" fillId="0" borderId="0" xfId="1" applyNumberFormat="1" applyFont="1" applyFill="1"/>
    <xf numFmtId="0" fontId="7" fillId="0" borderId="0" xfId="2" quotePrefix="1" applyFont="1"/>
    <xf numFmtId="1" fontId="2" fillId="0" borderId="0" xfId="2" applyNumberFormat="1" applyAlignment="1">
      <alignment vertical="top"/>
    </xf>
    <xf numFmtId="1" fontId="5" fillId="0" borderId="0" xfId="2" applyNumberFormat="1" applyFont="1" applyAlignment="1">
      <alignment horizontal="left" vertical="top"/>
    </xf>
    <xf numFmtId="0" fontId="9" fillId="0" borderId="0" xfId="2" applyFont="1" applyAlignment="1">
      <alignment horizontal="left"/>
    </xf>
    <xf numFmtId="1" fontId="15" fillId="0" borderId="0" xfId="2" applyNumberFormat="1" applyFont="1"/>
    <xf numFmtId="174" fontId="6" fillId="0" borderId="6" xfId="2" applyNumberFormat="1" applyFont="1" applyBorder="1" applyAlignment="1">
      <alignment horizontal="right"/>
    </xf>
    <xf numFmtId="1" fontId="9" fillId="0" borderId="0" xfId="2" applyNumberFormat="1" applyFont="1"/>
    <xf numFmtId="175" fontId="9" fillId="0" borderId="0" xfId="2" applyNumberFormat="1" applyFont="1"/>
    <xf numFmtId="1" fontId="16" fillId="0" borderId="0" xfId="2" applyNumberFormat="1" applyFont="1"/>
    <xf numFmtId="1" fontId="4" fillId="0" borderId="0" xfId="2" applyNumberFormat="1" applyFont="1"/>
    <xf numFmtId="3" fontId="4" fillId="0" borderId="0" xfId="2" quotePrefix="1" applyNumberFormat="1" applyFont="1" applyAlignment="1">
      <alignment horizontal="right"/>
    </xf>
    <xf numFmtId="0" fontId="17" fillId="0" borderId="0" xfId="2" applyFont="1"/>
    <xf numFmtId="173" fontId="2" fillId="0" borderId="0" xfId="2" applyNumberFormat="1"/>
    <xf numFmtId="173" fontId="0" fillId="0" borderId="0" xfId="0" applyNumberFormat="1"/>
    <xf numFmtId="3" fontId="9" fillId="0" borderId="0" xfId="2" applyNumberFormat="1" applyFont="1"/>
    <xf numFmtId="175" fontId="9" fillId="0" borderId="6" xfId="2" applyNumberFormat="1" applyFont="1" applyBorder="1"/>
    <xf numFmtId="10" fontId="9" fillId="0" borderId="0" xfId="2" applyNumberFormat="1" applyFont="1"/>
    <xf numFmtId="173" fontId="13" fillId="0" borderId="0" xfId="25" applyNumberFormat="1" applyFont="1"/>
    <xf numFmtId="173" fontId="5" fillId="0" borderId="0" xfId="2" applyNumberFormat="1" applyFont="1"/>
    <xf numFmtId="0" fontId="3" fillId="0" borderId="0" xfId="24"/>
    <xf numFmtId="1" fontId="3" fillId="0" borderId="0" xfId="9" applyNumberFormat="1" applyAlignment="1">
      <alignment horizontal="center"/>
    </xf>
    <xf numFmtId="0" fontId="3" fillId="0" borderId="0" xfId="9" applyAlignment="1">
      <alignment horizontal="center"/>
    </xf>
    <xf numFmtId="0" fontId="3" fillId="0" borderId="2" xfId="9" applyBorder="1"/>
    <xf numFmtId="0" fontId="34" fillId="0" borderId="0" xfId="9" applyFont="1"/>
    <xf numFmtId="0" fontId="22" fillId="0" borderId="0" xfId="2" applyFont="1"/>
    <xf numFmtId="0" fontId="3" fillId="0" borderId="4" xfId="9" applyBorder="1" applyAlignment="1">
      <alignment horizontal="center" vertical="center"/>
    </xf>
    <xf numFmtId="1" fontId="2" fillId="0" borderId="37" xfId="2" applyNumberFormat="1" applyBorder="1" applyAlignment="1">
      <alignment horizontal="center" vertical="center"/>
    </xf>
    <xf numFmtId="0" fontId="2" fillId="0" borderId="0" xfId="2" applyAlignment="1">
      <alignment vertical="center"/>
    </xf>
    <xf numFmtId="0" fontId="3" fillId="0" borderId="3" xfId="9" applyBorder="1" applyAlignment="1">
      <alignment horizontal="center"/>
    </xf>
    <xf numFmtId="1" fontId="6" fillId="0" borderId="3" xfId="2" applyNumberFormat="1" applyFont="1" applyBorder="1" applyAlignment="1">
      <alignment horizontal="center"/>
    </xf>
    <xf numFmtId="0" fontId="7" fillId="0" borderId="0" xfId="25" applyFont="1"/>
    <xf numFmtId="0" fontId="6" fillId="0" borderId="0" xfId="9" applyFont="1"/>
    <xf numFmtId="1" fontId="7" fillId="0" borderId="3" xfId="25" applyNumberFormat="1" applyFont="1" applyBorder="1" applyAlignment="1">
      <alignment horizontal="center"/>
    </xf>
    <xf numFmtId="0" fontId="3" fillId="0" borderId="3" xfId="9" applyBorder="1"/>
    <xf numFmtId="0" fontId="2" fillId="0" borderId="0" xfId="2" quotePrefix="1" applyAlignment="1">
      <alignment vertical="top"/>
    </xf>
    <xf numFmtId="1" fontId="6" fillId="0" borderId="0" xfId="2" applyNumberFormat="1" applyFont="1" applyAlignment="1">
      <alignment horizontal="center"/>
    </xf>
    <xf numFmtId="1" fontId="7" fillId="0" borderId="0" xfId="2" quotePrefix="1" applyNumberFormat="1" applyFont="1" applyAlignment="1">
      <alignment horizontal="center"/>
    </xf>
    <xf numFmtId="3" fontId="7" fillId="0" borderId="0" xfId="2" applyNumberFormat="1" applyFont="1" applyAlignment="1">
      <alignment horizontal="right"/>
    </xf>
    <xf numFmtId="175" fontId="2" fillId="0" borderId="0" xfId="2" applyNumberFormat="1" applyAlignment="1">
      <alignment horizontal="right"/>
    </xf>
    <xf numFmtId="1" fontId="13" fillId="0" borderId="0" xfId="2" quotePrefix="1" applyNumberFormat="1" applyFont="1" applyAlignment="1">
      <alignment horizontal="center"/>
    </xf>
    <xf numFmtId="1" fontId="7" fillId="0" borderId="0" xfId="25" applyNumberFormat="1" applyFont="1" applyAlignment="1">
      <alignment horizontal="center"/>
    </xf>
    <xf numFmtId="0" fontId="47" fillId="0" borderId="0" xfId="2" quotePrefix="1" applyFont="1"/>
    <xf numFmtId="175" fontId="3" fillId="0" borderId="0" xfId="25" applyNumberFormat="1"/>
    <xf numFmtId="175" fontId="5" fillId="0" borderId="0" xfId="2" applyNumberFormat="1" applyFont="1"/>
    <xf numFmtId="0" fontId="48" fillId="0" borderId="0" xfId="2" quotePrefix="1" applyFont="1"/>
    <xf numFmtId="1" fontId="3" fillId="0" borderId="0" xfId="25" applyNumberFormat="1" applyAlignment="1">
      <alignment horizontal="left"/>
    </xf>
    <xf numFmtId="1" fontId="3" fillId="0" borderId="0" xfId="25" applyNumberFormat="1" applyAlignment="1">
      <alignment horizontal="center"/>
    </xf>
    <xf numFmtId="0" fontId="8" fillId="0" borderId="0" xfId="2" applyFont="1" applyAlignment="1">
      <alignment horizontal="left"/>
    </xf>
    <xf numFmtId="3" fontId="8" fillId="0" borderId="0" xfId="2" applyNumberFormat="1" applyFont="1"/>
    <xf numFmtId="3" fontId="5" fillId="0" borderId="0" xfId="0" applyNumberFormat="1" applyFont="1"/>
    <xf numFmtId="0" fontId="8" fillId="0" borderId="0" xfId="2" applyFont="1" applyAlignment="1">
      <alignment horizontal="center"/>
    </xf>
    <xf numFmtId="175" fontId="8" fillId="0" borderId="0" xfId="2" applyNumberFormat="1" applyFont="1"/>
    <xf numFmtId="3" fontId="3" fillId="0" borderId="0" xfId="25" applyNumberFormat="1"/>
    <xf numFmtId="0" fontId="5" fillId="0" borderId="0" xfId="0" applyFont="1"/>
    <xf numFmtId="3" fontId="13" fillId="0" borderId="0" xfId="2" applyNumberFormat="1" applyFont="1" applyAlignment="1">
      <alignment horizontal="right"/>
    </xf>
    <xf numFmtId="1" fontId="2" fillId="0" borderId="1" xfId="2" applyNumberFormat="1" applyBorder="1" applyAlignment="1">
      <alignment horizontal="center"/>
    </xf>
    <xf numFmtId="0" fontId="5" fillId="0" borderId="1" xfId="2" applyFont="1" applyBorder="1" applyAlignment="1">
      <alignment vertical="top"/>
    </xf>
    <xf numFmtId="0" fontId="5" fillId="0" borderId="1" xfId="2" applyFont="1" applyBorder="1" applyAlignment="1">
      <alignment horizontal="left"/>
    </xf>
    <xf numFmtId="0" fontId="6" fillId="0" borderId="1" xfId="2" applyFont="1" applyBorder="1" applyAlignment="1">
      <alignment horizontal="left"/>
    </xf>
    <xf numFmtId="0" fontId="2" fillId="0" borderId="1" xfId="2" applyBorder="1" applyAlignment="1">
      <alignment horizontal="left"/>
    </xf>
    <xf numFmtId="0" fontId="6" fillId="0" borderId="0" xfId="2" applyFont="1" applyAlignment="1">
      <alignment horizontal="left"/>
    </xf>
    <xf numFmtId="1" fontId="2" fillId="0" borderId="0" xfId="2" applyNumberFormat="1" applyAlignment="1">
      <alignment horizontal="center" vertical="top"/>
    </xf>
    <xf numFmtId="3" fontId="2" fillId="0" borderId="0" xfId="2" applyNumberFormat="1" applyAlignment="1">
      <alignment vertical="top"/>
    </xf>
    <xf numFmtId="0" fontId="44" fillId="0" borderId="0" xfId="2" applyFont="1"/>
    <xf numFmtId="0" fontId="45" fillId="0" borderId="0" xfId="2" applyFont="1"/>
    <xf numFmtId="0" fontId="5" fillId="0" borderId="0" xfId="2" applyFont="1" applyAlignment="1">
      <alignment vertical="top"/>
    </xf>
    <xf numFmtId="0" fontId="5" fillId="0" borderId="0" xfId="2" applyFont="1" applyAlignment="1">
      <alignment horizontal="justify" vertical="top" wrapText="1"/>
    </xf>
    <xf numFmtId="0" fontId="6" fillId="0" borderId="0" xfId="2" applyFont="1" applyAlignment="1">
      <alignment vertical="top"/>
    </xf>
    <xf numFmtId="3" fontId="2" fillId="0" borderId="37" xfId="2" applyNumberFormat="1" applyBorder="1"/>
    <xf numFmtId="0" fontId="2" fillId="0" borderId="0" xfId="24" applyFont="1"/>
    <xf numFmtId="1" fontId="15" fillId="0" borderId="0" xfId="2" applyNumberFormat="1" applyFont="1" applyAlignment="1">
      <alignment horizontal="center"/>
    </xf>
    <xf numFmtId="1" fontId="9" fillId="0" borderId="0" xfId="2" applyNumberFormat="1" applyFont="1" applyAlignment="1">
      <alignment horizontal="center"/>
    </xf>
    <xf numFmtId="1" fontId="11" fillId="0" borderId="0" xfId="2" applyNumberFormat="1" applyFont="1"/>
    <xf numFmtId="1" fontId="16" fillId="0" borderId="0" xfId="2" applyNumberFormat="1" applyFont="1" applyAlignment="1">
      <alignment horizontal="center"/>
    </xf>
    <xf numFmtId="3" fontId="9" fillId="0" borderId="6" xfId="2" applyNumberFormat="1" applyFont="1" applyBorder="1"/>
    <xf numFmtId="3" fontId="5" fillId="0" borderId="0" xfId="2" quotePrefix="1" applyNumberFormat="1" applyFont="1" applyAlignment="1">
      <alignment horizontal="right"/>
    </xf>
    <xf numFmtId="0" fontId="9" fillId="0" borderId="0" xfId="2" applyFont="1" applyAlignment="1">
      <alignment horizontal="right"/>
    </xf>
    <xf numFmtId="1" fontId="9" fillId="0" borderId="0" xfId="24" applyNumberFormat="1" applyFont="1"/>
    <xf numFmtId="1" fontId="9" fillId="0" borderId="0" xfId="24" applyNumberFormat="1" applyFont="1" applyAlignment="1">
      <alignment horizontal="center"/>
    </xf>
    <xf numFmtId="0" fontId="9" fillId="0" borderId="0" xfId="24" applyFont="1"/>
    <xf numFmtId="3" fontId="9" fillId="0" borderId="0" xfId="24" applyNumberFormat="1" applyFont="1"/>
    <xf numFmtId="1" fontId="3" fillId="0" borderId="0" xfId="24" applyNumberFormat="1"/>
    <xf numFmtId="1" fontId="3" fillId="0" borderId="0" xfId="24" applyNumberFormat="1" applyAlignment="1">
      <alignment horizontal="center"/>
    </xf>
    <xf numFmtId="0" fontId="3" fillId="0" borderId="4" xfId="9" applyBorder="1"/>
    <xf numFmtId="166" fontId="2" fillId="0" borderId="0" xfId="2" applyNumberFormat="1"/>
    <xf numFmtId="3" fontId="3" fillId="0" borderId="1" xfId="9" applyNumberFormat="1" applyBorder="1"/>
    <xf numFmtId="3" fontId="3" fillId="0" borderId="5" xfId="9" applyNumberFormat="1" applyBorder="1"/>
    <xf numFmtId="2" fontId="5" fillId="0" borderId="1" xfId="2" applyNumberFormat="1" applyFont="1" applyBorder="1"/>
    <xf numFmtId="2" fontId="2" fillId="0" borderId="0" xfId="2" applyNumberFormat="1"/>
    <xf numFmtId="2" fontId="6" fillId="0" borderId="1" xfId="2" applyNumberFormat="1" applyFont="1" applyBorder="1"/>
    <xf numFmtId="2" fontId="2" fillId="0" borderId="1" xfId="2" applyNumberFormat="1" applyBorder="1"/>
    <xf numFmtId="2" fontId="2" fillId="0" borderId="2" xfId="2" applyNumberFormat="1" applyBorder="1"/>
    <xf numFmtId="2" fontId="2" fillId="0" borderId="3" xfId="2" quotePrefix="1" applyNumberFormat="1" applyBorder="1" applyAlignment="1">
      <alignment horizontal="center"/>
    </xf>
    <xf numFmtId="2" fontId="5" fillId="0" borderId="3" xfId="2" applyNumberFormat="1" applyFont="1" applyBorder="1" applyAlignment="1">
      <alignment horizontal="center"/>
    </xf>
    <xf numFmtId="0" fontId="9" fillId="0" borderId="0" xfId="0" applyFont="1" applyAlignment="1">
      <alignment vertical="top"/>
    </xf>
    <xf numFmtId="2" fontId="5" fillId="0" borderId="1" xfId="2" applyNumberFormat="1" applyFont="1" applyBorder="1" applyAlignment="1">
      <alignment horizontal="left"/>
    </xf>
    <xf numFmtId="2" fontId="2" fillId="0" borderId="5" xfId="2" applyNumberFormat="1" applyBorder="1"/>
    <xf numFmtId="2" fontId="2" fillId="0" borderId="6" xfId="2" applyNumberFormat="1" applyBorder="1"/>
    <xf numFmtId="0" fontId="5" fillId="0" borderId="2" xfId="2" applyFont="1" applyBorder="1"/>
    <xf numFmtId="198" fontId="2" fillId="0" borderId="0" xfId="2" applyNumberFormat="1"/>
    <xf numFmtId="0" fontId="43" fillId="0" borderId="0" xfId="2" applyFont="1"/>
    <xf numFmtId="1" fontId="5" fillId="0" borderId="0" xfId="25" applyNumberFormat="1" applyFont="1" applyAlignment="1">
      <alignment horizontal="left"/>
    </xf>
    <xf numFmtId="0" fontId="5" fillId="0" borderId="0" xfId="25" applyFont="1"/>
    <xf numFmtId="0" fontId="3" fillId="0" borderId="0" xfId="25" quotePrefix="1"/>
    <xf numFmtId="1" fontId="3" fillId="0" borderId="0" xfId="25" quotePrefix="1" applyNumberFormat="1" applyAlignment="1">
      <alignment horizontal="center"/>
    </xf>
    <xf numFmtId="0" fontId="2" fillId="0" borderId="0" xfId="2" applyAlignment="1">
      <alignment horizontal="left" vertical="top"/>
    </xf>
    <xf numFmtId="0" fontId="5" fillId="0" borderId="0" xfId="25" applyFont="1" applyAlignment="1">
      <alignment horizontal="left"/>
    </xf>
    <xf numFmtId="0" fontId="0" fillId="0" borderId="0" xfId="0" applyAlignment="1">
      <alignment wrapText="1"/>
    </xf>
    <xf numFmtId="0" fontId="2" fillId="0" borderId="0" xfId="25" applyFont="1"/>
    <xf numFmtId="0" fontId="6" fillId="0" borderId="6" xfId="2" applyFont="1" applyBorder="1" applyAlignment="1">
      <alignment horizontal="right"/>
    </xf>
    <xf numFmtId="0" fontId="4" fillId="0" borderId="0" xfId="2" applyFont="1" applyAlignment="1">
      <alignment horizontal="right"/>
    </xf>
    <xf numFmtId="0" fontId="4" fillId="0" borderId="6" xfId="2" applyFont="1" applyBorder="1" applyAlignment="1">
      <alignment horizontal="right"/>
    </xf>
    <xf numFmtId="0" fontId="0" fillId="0" borderId="0" xfId="0" applyAlignment="1">
      <alignment vertical="top"/>
    </xf>
    <xf numFmtId="174" fontId="6" fillId="0" borderId="0" xfId="2" applyNumberFormat="1" applyFont="1" applyAlignment="1">
      <alignment horizontal="right"/>
    </xf>
    <xf numFmtId="10" fontId="5" fillId="0" borderId="0" xfId="2" applyNumberFormat="1" applyFont="1"/>
    <xf numFmtId="0" fontId="1" fillId="0" borderId="0" xfId="40"/>
    <xf numFmtId="0" fontId="3" fillId="0" borderId="1" xfId="9" applyBorder="1" applyAlignment="1">
      <alignment vertical="center"/>
    </xf>
    <xf numFmtId="0" fontId="6" fillId="0" borderId="0" xfId="9" applyFont="1" applyAlignment="1">
      <alignment vertical="center"/>
    </xf>
    <xf numFmtId="0" fontId="6" fillId="0" borderId="2" xfId="9" applyFont="1" applyBorder="1"/>
    <xf numFmtId="49" fontId="0" fillId="0" borderId="0" xfId="9" applyNumberFormat="1" applyFont="1" applyAlignment="1">
      <alignment horizontal="center"/>
    </xf>
    <xf numFmtId="49" fontId="3" fillId="0" borderId="37" xfId="9" applyNumberFormat="1" applyBorder="1" applyAlignment="1">
      <alignment horizontal="center"/>
    </xf>
    <xf numFmtId="3" fontId="3" fillId="0" borderId="37" xfId="9" applyNumberFormat="1" applyBorder="1" applyAlignment="1">
      <alignment horizontal="center"/>
    </xf>
    <xf numFmtId="0" fontId="3" fillId="0" borderId="37" xfId="9" applyBorder="1"/>
    <xf numFmtId="0" fontId="3" fillId="0" borderId="0" xfId="9" applyAlignment="1">
      <alignment horizontal="right"/>
    </xf>
    <xf numFmtId="3" fontId="3" fillId="0" borderId="6" xfId="9" applyNumberFormat="1" applyBorder="1"/>
    <xf numFmtId="1" fontId="5" fillId="0" borderId="1" xfId="2" applyNumberFormat="1" applyFont="1" applyBorder="1" applyAlignment="1">
      <alignment horizontal="left"/>
    </xf>
    <xf numFmtId="1" fontId="2" fillId="0" borderId="1" xfId="2" quotePrefix="1" applyNumberFormat="1" applyBorder="1" applyAlignment="1">
      <alignment horizontal="center"/>
    </xf>
    <xf numFmtId="1" fontId="2" fillId="0" borderId="1" xfId="2" applyNumberFormat="1" applyBorder="1" applyAlignment="1">
      <alignment horizontal="center" vertical="center"/>
    </xf>
    <xf numFmtId="1" fontId="3" fillId="0" borderId="1" xfId="25" applyNumberFormat="1" applyBorder="1" applyAlignment="1">
      <alignment horizontal="center"/>
    </xf>
    <xf numFmtId="1" fontId="3" fillId="0" borderId="3" xfId="25" applyNumberFormat="1" applyBorder="1" applyAlignment="1">
      <alignment horizontal="center"/>
    </xf>
    <xf numFmtId="0" fontId="3" fillId="0" borderId="1" xfId="25" applyBorder="1"/>
    <xf numFmtId="0" fontId="5" fillId="0" borderId="3" xfId="2" applyFont="1" applyBorder="1" applyAlignment="1">
      <alignment horizontal="center"/>
    </xf>
    <xf numFmtId="1" fontId="5" fillId="0" borderId="1" xfId="2" quotePrefix="1" applyNumberFormat="1" applyFont="1" applyBorder="1" applyAlignment="1">
      <alignment horizontal="left"/>
    </xf>
    <xf numFmtId="0" fontId="13" fillId="0" borderId="1" xfId="2" applyFont="1" applyBorder="1"/>
    <xf numFmtId="1" fontId="2" fillId="0" borderId="5" xfId="2" quotePrefix="1" applyNumberFormat="1" applyBorder="1" applyAlignment="1">
      <alignment horizontal="center"/>
    </xf>
    <xf numFmtId="3" fontId="2" fillId="0" borderId="0" xfId="2" applyNumberFormat="1" applyAlignment="1">
      <alignment horizontal="justify" vertical="top" wrapText="1"/>
    </xf>
    <xf numFmtId="1" fontId="21" fillId="0" borderId="0" xfId="2" applyNumberFormat="1" applyFont="1"/>
    <xf numFmtId="0" fontId="2" fillId="0" borderId="0" xfId="2" applyAlignment="1">
      <alignment horizontal="right"/>
    </xf>
    <xf numFmtId="43" fontId="2" fillId="0" borderId="0" xfId="2" applyNumberFormat="1"/>
    <xf numFmtId="193" fontId="2" fillId="0" borderId="0" xfId="2" applyNumberFormat="1"/>
    <xf numFmtId="171" fontId="2" fillId="0" borderId="0" xfId="2" applyNumberFormat="1" applyAlignment="1">
      <alignment horizontal="right"/>
    </xf>
    <xf numFmtId="197" fontId="2" fillId="0" borderId="0" xfId="2" applyNumberFormat="1" applyAlignment="1">
      <alignment horizontal="right"/>
    </xf>
    <xf numFmtId="0" fontId="21" fillId="0" borderId="0" xfId="2" applyFont="1" applyAlignment="1">
      <alignment horizontal="right"/>
    </xf>
    <xf numFmtId="1" fontId="2" fillId="0" borderId="0" xfId="2" quotePrefix="1" applyNumberFormat="1" applyAlignment="1">
      <alignment vertical="top"/>
    </xf>
    <xf numFmtId="1" fontId="2" fillId="0" borderId="0" xfId="2" quotePrefix="1" applyNumberFormat="1" applyAlignment="1">
      <alignment horizontal="center" vertical="top"/>
    </xf>
    <xf numFmtId="3" fontId="2" fillId="0" borderId="6" xfId="2" applyNumberFormat="1" applyBorder="1" applyAlignment="1">
      <alignment vertical="top"/>
    </xf>
    <xf numFmtId="4" fontId="2" fillId="0" borderId="0" xfId="2" applyNumberFormat="1" applyAlignment="1">
      <alignment vertical="top"/>
    </xf>
    <xf numFmtId="4" fontId="5" fillId="0" borderId="0" xfId="2" applyNumberFormat="1" applyFont="1" applyAlignment="1">
      <alignment vertical="top"/>
    </xf>
    <xf numFmtId="182" fontId="2" fillId="0" borderId="0" xfId="2" applyNumberFormat="1" applyAlignment="1">
      <alignment vertical="top"/>
    </xf>
    <xf numFmtId="171" fontId="2" fillId="0" borderId="0" xfId="2" applyNumberFormat="1" applyAlignment="1">
      <alignment horizontal="right" vertical="top"/>
    </xf>
    <xf numFmtId="17" fontId="2" fillId="0" borderId="0" xfId="2" applyNumberFormat="1"/>
    <xf numFmtId="0" fontId="13" fillId="0" borderId="0" xfId="2" applyFont="1"/>
    <xf numFmtId="1" fontId="5" fillId="0" borderId="0" xfId="2" quotePrefix="1" applyNumberFormat="1" applyFont="1" applyAlignment="1">
      <alignment horizontal="center"/>
    </xf>
    <xf numFmtId="172" fontId="2" fillId="0" borderId="0" xfId="2" applyNumberFormat="1"/>
    <xf numFmtId="173" fontId="10" fillId="0" borderId="0" xfId="25" applyNumberFormat="1" applyFont="1"/>
    <xf numFmtId="1" fontId="10" fillId="0" borderId="0" xfId="9" applyNumberFormat="1" applyFont="1"/>
    <xf numFmtId="1" fontId="9" fillId="0" borderId="0" xfId="9" applyNumberFormat="1" applyFont="1"/>
    <xf numFmtId="0" fontId="9" fillId="0" borderId="0" xfId="9" applyFont="1"/>
    <xf numFmtId="1" fontId="9" fillId="0" borderId="1" xfId="9" applyNumberFormat="1" applyFont="1" applyBorder="1"/>
    <xf numFmtId="49" fontId="9" fillId="0" borderId="0" xfId="9" applyNumberFormat="1" applyFont="1" applyAlignment="1">
      <alignment horizontal="center"/>
    </xf>
    <xf numFmtId="3" fontId="9" fillId="0" borderId="0" xfId="9" applyNumberFormat="1" applyFont="1" applyAlignment="1">
      <alignment horizontal="center"/>
    </xf>
    <xf numFmtId="0" fontId="9" fillId="0" borderId="2" xfId="9" applyFont="1" applyBorder="1"/>
    <xf numFmtId="3" fontId="9" fillId="0" borderId="3" xfId="9" applyNumberFormat="1" applyFont="1" applyBorder="1"/>
    <xf numFmtId="202" fontId="9" fillId="0" borderId="0" xfId="46" applyNumberFormat="1" applyFont="1" applyFill="1"/>
    <xf numFmtId="0" fontId="10" fillId="0" borderId="0" xfId="2" applyFont="1"/>
    <xf numFmtId="3" fontId="9" fillId="0" borderId="2" xfId="9" applyNumberFormat="1" applyFont="1" applyBorder="1"/>
    <xf numFmtId="1" fontId="9" fillId="0" borderId="5" xfId="9" applyNumberFormat="1" applyFont="1" applyBorder="1"/>
    <xf numFmtId="49" fontId="9" fillId="0" borderId="6" xfId="9" applyNumberFormat="1" applyFont="1" applyBorder="1" applyAlignment="1">
      <alignment horizontal="center"/>
    </xf>
    <xf numFmtId="3" fontId="9" fillId="0" borderId="6" xfId="9" applyNumberFormat="1" applyFont="1" applyBorder="1" applyAlignment="1">
      <alignment horizontal="center"/>
    </xf>
    <xf numFmtId="0" fontId="9" fillId="0" borderId="6" xfId="9" applyFont="1" applyBorder="1"/>
    <xf numFmtId="3" fontId="9" fillId="0" borderId="0" xfId="9" applyNumberFormat="1" applyFont="1"/>
    <xf numFmtId="3" fontId="9" fillId="0" borderId="6" xfId="9" applyNumberFormat="1" applyFont="1" applyBorder="1"/>
    <xf numFmtId="1" fontId="10" fillId="0" borderId="0" xfId="2" applyNumberFormat="1" applyFont="1"/>
    <xf numFmtId="1" fontId="10" fillId="0" borderId="0" xfId="2" applyNumberFormat="1" applyFont="1" applyAlignment="1">
      <alignment horizontal="center"/>
    </xf>
    <xf numFmtId="0" fontId="16" fillId="0" borderId="0" xfId="2" applyFont="1"/>
    <xf numFmtId="49" fontId="9" fillId="0" borderId="7" xfId="9" applyNumberFormat="1" applyFont="1" applyBorder="1" applyAlignment="1">
      <alignment horizontal="center" vertical="center"/>
    </xf>
    <xf numFmtId="0" fontId="9" fillId="0" borderId="4" xfId="9" applyFont="1" applyBorder="1" applyAlignment="1">
      <alignment horizontal="center" vertical="center"/>
    </xf>
    <xf numFmtId="1" fontId="10" fillId="0" borderId="0" xfId="2" applyNumberFormat="1" applyFont="1" applyAlignment="1">
      <alignment horizontal="left"/>
    </xf>
    <xf numFmtId="1" fontId="10" fillId="0" borderId="3" xfId="2" applyNumberFormat="1" applyFont="1" applyBorder="1" applyAlignment="1">
      <alignment horizontal="center"/>
    </xf>
    <xf numFmtId="0" fontId="9" fillId="0" borderId="37" xfId="2" applyFont="1" applyBorder="1"/>
    <xf numFmtId="1" fontId="10" fillId="0" borderId="1" xfId="2" applyNumberFormat="1" applyFont="1" applyBorder="1" applyAlignment="1">
      <alignment horizontal="left"/>
    </xf>
    <xf numFmtId="0" fontId="10" fillId="0" borderId="1" xfId="2" applyFont="1" applyBorder="1"/>
    <xf numFmtId="0" fontId="9" fillId="0" borderId="3" xfId="2" applyFont="1" applyBorder="1"/>
    <xf numFmtId="1" fontId="10" fillId="0" borderId="1" xfId="2" applyNumberFormat="1" applyFont="1" applyBorder="1"/>
    <xf numFmtId="0" fontId="11" fillId="0" borderId="1" xfId="2" applyFont="1" applyBorder="1"/>
    <xf numFmtId="1" fontId="9" fillId="0" borderId="1" xfId="2" applyNumberFormat="1" applyFont="1" applyBorder="1" applyAlignment="1">
      <alignment horizontal="center"/>
    </xf>
    <xf numFmtId="1" fontId="9" fillId="0" borderId="3" xfId="2" applyNumberFormat="1" applyFont="1" applyBorder="1" applyAlignment="1">
      <alignment horizontal="center"/>
    </xf>
    <xf numFmtId="3" fontId="9" fillId="0" borderId="3" xfId="2" applyNumberFormat="1" applyFont="1" applyBorder="1"/>
    <xf numFmtId="3" fontId="9" fillId="0" borderId="8" xfId="2" applyNumberFormat="1" applyFont="1" applyBorder="1"/>
    <xf numFmtId="0" fontId="9" fillId="0" borderId="9" xfId="2" applyFont="1" applyBorder="1"/>
    <xf numFmtId="1" fontId="9" fillId="0" borderId="1" xfId="2" quotePrefix="1" applyNumberFormat="1" applyFont="1" applyBorder="1" applyAlignment="1">
      <alignment horizontal="center"/>
    </xf>
    <xf numFmtId="3" fontId="9" fillId="0" borderId="10" xfId="2" applyNumberFormat="1" applyFont="1" applyBorder="1"/>
    <xf numFmtId="3" fontId="9" fillId="0" borderId="9" xfId="2" applyNumberFormat="1" applyFont="1" applyBorder="1"/>
    <xf numFmtId="10" fontId="9" fillId="0" borderId="0" xfId="2" quotePrefix="1" applyNumberFormat="1" applyFont="1"/>
    <xf numFmtId="1" fontId="10" fillId="0" borderId="1" xfId="2" quotePrefix="1" applyNumberFormat="1" applyFont="1" applyBorder="1" applyAlignment="1">
      <alignment horizontal="left"/>
    </xf>
    <xf numFmtId="1" fontId="10" fillId="0" borderId="3" xfId="2" quotePrefix="1" applyNumberFormat="1" applyFont="1" applyBorder="1" applyAlignment="1">
      <alignment horizontal="center"/>
    </xf>
    <xf numFmtId="3" fontId="9" fillId="0" borderId="7" xfId="2" applyNumberFormat="1" applyFont="1" applyBorder="1"/>
    <xf numFmtId="0" fontId="30" fillId="0" borderId="1" xfId="2" applyFont="1" applyBorder="1"/>
    <xf numFmtId="1" fontId="9" fillId="0" borderId="5" xfId="2" quotePrefix="1" applyNumberFormat="1" applyFont="1" applyBorder="1" applyAlignment="1">
      <alignment horizontal="center"/>
    </xf>
    <xf numFmtId="1" fontId="9" fillId="0" borderId="7" xfId="2" quotePrefix="1" applyNumberFormat="1" applyFont="1" applyBorder="1" applyAlignment="1">
      <alignment horizontal="center"/>
    </xf>
    <xf numFmtId="0" fontId="9" fillId="0" borderId="5" xfId="2" applyFont="1" applyBorder="1"/>
    <xf numFmtId="0" fontId="9" fillId="0" borderId="6" xfId="2" applyFont="1" applyBorder="1"/>
    <xf numFmtId="3" fontId="9" fillId="0" borderId="4" xfId="2" applyNumberFormat="1" applyFont="1" applyBorder="1"/>
    <xf numFmtId="1" fontId="9" fillId="0" borderId="0" xfId="2" quotePrefix="1" applyNumberFormat="1" applyFont="1" applyAlignment="1">
      <alignment horizontal="center"/>
    </xf>
    <xf numFmtId="0" fontId="11" fillId="0" borderId="2" xfId="2" applyFont="1" applyBorder="1"/>
    <xf numFmtId="1" fontId="11" fillId="0" borderId="6" xfId="2" applyNumberFormat="1" applyFont="1" applyBorder="1" applyAlignment="1">
      <alignment horizontal="right"/>
    </xf>
    <xf numFmtId="0" fontId="9" fillId="0" borderId="0" xfId="2" quotePrefix="1" applyFont="1"/>
    <xf numFmtId="3" fontId="9" fillId="0" borderId="0" xfId="2" quotePrefix="1" applyNumberFormat="1" applyFont="1" applyAlignment="1">
      <alignment horizontal="left"/>
    </xf>
    <xf numFmtId="3" fontId="9" fillId="0" borderId="0" xfId="2" applyNumberFormat="1" applyFont="1" applyAlignment="1">
      <alignment horizontal="left"/>
    </xf>
    <xf numFmtId="1" fontId="11" fillId="0" borderId="0" xfId="2" applyNumberFormat="1" applyFont="1" applyAlignment="1">
      <alignment horizontal="right"/>
    </xf>
    <xf numFmtId="3" fontId="9" fillId="0" borderId="0" xfId="2" applyNumberFormat="1" applyFont="1" applyAlignment="1">
      <alignment horizontal="right"/>
    </xf>
    <xf numFmtId="0" fontId="11" fillId="0" borderId="0" xfId="2" applyFont="1"/>
    <xf numFmtId="0" fontId="9" fillId="0" borderId="0" xfId="2" quotePrefix="1" applyFont="1" applyAlignment="1">
      <alignment horizontal="left"/>
    </xf>
    <xf numFmtId="0" fontId="9" fillId="0" borderId="0" xfId="2" applyFont="1" applyAlignment="1">
      <alignment horizontal="justify" vertical="top" wrapText="1"/>
    </xf>
    <xf numFmtId="0" fontId="9" fillId="0" borderId="0" xfId="2" applyFont="1" applyAlignment="1">
      <alignment horizontal="center"/>
    </xf>
    <xf numFmtId="1" fontId="9" fillId="0" borderId="0" xfId="2" applyNumberFormat="1" applyFont="1" applyAlignment="1">
      <alignment horizontal="justify" vertical="top" wrapText="1"/>
    </xf>
    <xf numFmtId="0" fontId="9" fillId="0" borderId="0" xfId="2" applyFont="1" applyAlignment="1">
      <alignment vertical="top" wrapText="1"/>
    </xf>
    <xf numFmtId="3" fontId="9" fillId="0" borderId="0" xfId="2" applyNumberFormat="1" applyFont="1" applyAlignment="1">
      <alignment horizontal="center"/>
    </xf>
    <xf numFmtId="3" fontId="9" fillId="0" borderId="0" xfId="2" quotePrefix="1" applyNumberFormat="1" applyFont="1"/>
    <xf numFmtId="3" fontId="9" fillId="0" borderId="37" xfId="2" applyNumberFormat="1" applyFont="1" applyBorder="1"/>
    <xf numFmtId="1" fontId="9" fillId="0" borderId="0" xfId="2" applyNumberFormat="1" applyFont="1" applyAlignment="1">
      <alignment horizontal="center" vertical="top" wrapText="1"/>
    </xf>
    <xf numFmtId="0" fontId="11" fillId="0" borderId="0" xfId="2" applyFont="1" applyAlignment="1">
      <alignment vertical="top"/>
    </xf>
    <xf numFmtId="1" fontId="10" fillId="0" borderId="0" xfId="2" applyNumberFormat="1" applyFont="1" applyAlignment="1">
      <alignment vertical="top"/>
    </xf>
    <xf numFmtId="3" fontId="9" fillId="0" borderId="0" xfId="2" applyNumberFormat="1" applyFont="1" applyAlignment="1">
      <alignment vertical="top"/>
    </xf>
    <xf numFmtId="1" fontId="10" fillId="0" borderId="0" xfId="2" quotePrefix="1" applyNumberFormat="1" applyFont="1" applyAlignment="1">
      <alignment horizontal="left"/>
    </xf>
    <xf numFmtId="0" fontId="30" fillId="0" borderId="0" xfId="2" applyFont="1"/>
    <xf numFmtId="1" fontId="10" fillId="0" borderId="0" xfId="2" quotePrefix="1" applyNumberFormat="1" applyFont="1" applyAlignment="1">
      <alignment horizontal="center"/>
    </xf>
    <xf numFmtId="1" fontId="9" fillId="0" borderId="0" xfId="2" applyNumberFormat="1" applyFont="1" applyAlignment="1">
      <alignment vertical="top"/>
    </xf>
    <xf numFmtId="9" fontId="9" fillId="0" borderId="0" xfId="2" applyNumberFormat="1" applyFont="1" applyAlignment="1">
      <alignment horizontal="justify" vertical="top" wrapText="1"/>
    </xf>
    <xf numFmtId="168" fontId="5" fillId="0" borderId="0" xfId="2" applyNumberFormat="1" applyFont="1"/>
    <xf numFmtId="1" fontId="10" fillId="0" borderId="0" xfId="2" applyNumberFormat="1" applyFont="1" applyAlignment="1">
      <alignment horizontal="center" vertical="top"/>
    </xf>
    <xf numFmtId="167" fontId="9" fillId="0" borderId="0" xfId="2" applyNumberFormat="1" applyFont="1"/>
    <xf numFmtId="2" fontId="10" fillId="0" borderId="0" xfId="2" applyNumberFormat="1" applyFont="1"/>
    <xf numFmtId="4" fontId="10" fillId="0" borderId="0" xfId="2" applyNumberFormat="1" applyFont="1"/>
    <xf numFmtId="196" fontId="9" fillId="0" borderId="0" xfId="2" applyNumberFormat="1" applyFont="1"/>
    <xf numFmtId="1" fontId="9" fillId="0" borderId="6" xfId="2" applyNumberFormat="1" applyFont="1" applyBorder="1"/>
    <xf numFmtId="1" fontId="9" fillId="0" borderId="6" xfId="2" applyNumberFormat="1" applyFont="1" applyBorder="1" applyAlignment="1">
      <alignment horizontal="center"/>
    </xf>
    <xf numFmtId="0" fontId="9" fillId="0" borderId="0" xfId="39" applyFont="1"/>
    <xf numFmtId="0" fontId="9" fillId="0" borderId="0" xfId="39" applyFont="1" applyAlignment="1">
      <alignment horizontal="center"/>
    </xf>
    <xf numFmtId="3" fontId="9" fillId="0" borderId="12" xfId="9" applyNumberFormat="1" applyFont="1" applyBorder="1"/>
    <xf numFmtId="3" fontId="9" fillId="0" borderId="12" xfId="2" applyNumberFormat="1" applyFont="1" applyBorder="1"/>
    <xf numFmtId="4" fontId="9" fillId="0" borderId="0" xfId="2" applyNumberFormat="1" applyFont="1"/>
    <xf numFmtId="1" fontId="42" fillId="0" borderId="0" xfId="2" applyNumberFormat="1" applyFont="1"/>
    <xf numFmtId="174" fontId="11" fillId="0" borderId="6" xfId="2" applyNumberFormat="1" applyFont="1" applyBorder="1" applyAlignment="1">
      <alignment horizontal="right"/>
    </xf>
    <xf numFmtId="3" fontId="10" fillId="0" borderId="0" xfId="2" quotePrefix="1" applyNumberFormat="1" applyFont="1" applyAlignment="1">
      <alignment horizontal="right"/>
    </xf>
    <xf numFmtId="1" fontId="9" fillId="0" borderId="0" xfId="2" quotePrefix="1" applyNumberFormat="1" applyFont="1"/>
    <xf numFmtId="175" fontId="9" fillId="0" borderId="0" xfId="2" applyNumberFormat="1" applyFont="1" applyAlignment="1">
      <alignment vertical="top"/>
    </xf>
    <xf numFmtId="173" fontId="10" fillId="0" borderId="0" xfId="2" applyNumberFormat="1" applyFont="1"/>
    <xf numFmtId="0" fontId="10" fillId="0" borderId="0" xfId="2" applyFont="1" applyAlignment="1">
      <alignment horizontal="right"/>
    </xf>
    <xf numFmtId="173" fontId="9" fillId="0" borderId="0" xfId="2" applyNumberFormat="1" applyFont="1"/>
    <xf numFmtId="173" fontId="30" fillId="0" borderId="0" xfId="25" applyNumberFormat="1" applyFont="1"/>
    <xf numFmtId="0" fontId="5" fillId="0" borderId="0" xfId="9" applyFont="1"/>
    <xf numFmtId="0" fontId="3" fillId="0" borderId="37" xfId="9" applyBorder="1" applyAlignment="1">
      <alignment vertical="center"/>
    </xf>
    <xf numFmtId="1" fontId="3" fillId="0" borderId="37" xfId="9" applyNumberFormat="1" applyBorder="1"/>
    <xf numFmtId="1" fontId="3" fillId="0" borderId="6" xfId="9" applyNumberFormat="1" applyBorder="1"/>
    <xf numFmtId="3" fontId="3" fillId="0" borderId="37" xfId="9" applyNumberFormat="1" applyBorder="1"/>
    <xf numFmtId="1" fontId="5" fillId="0" borderId="0" xfId="9" applyNumberFormat="1" applyFont="1" applyAlignment="1">
      <alignment horizontal="center"/>
    </xf>
    <xf numFmtId="175" fontId="3" fillId="0" borderId="0" xfId="9" applyNumberFormat="1"/>
    <xf numFmtId="1" fontId="5" fillId="0" borderId="1" xfId="9" quotePrefix="1" applyNumberFormat="1" applyFont="1" applyBorder="1" applyAlignment="1">
      <alignment horizontal="left"/>
    </xf>
    <xf numFmtId="1" fontId="5" fillId="0" borderId="3" xfId="9" quotePrefix="1" applyNumberFormat="1" applyFont="1" applyBorder="1" applyAlignment="1">
      <alignment horizontal="center"/>
    </xf>
    <xf numFmtId="0" fontId="5" fillId="0" borderId="1" xfId="9" applyFont="1" applyBorder="1"/>
    <xf numFmtId="1" fontId="3" fillId="0" borderId="1" xfId="9" quotePrefix="1" applyNumberFormat="1" applyBorder="1" applyAlignment="1">
      <alignment horizontal="center"/>
    </xf>
    <xf numFmtId="1" fontId="3" fillId="0" borderId="3" xfId="9" quotePrefix="1" applyNumberFormat="1" applyBorder="1" applyAlignment="1">
      <alignment horizontal="center"/>
    </xf>
    <xf numFmtId="0" fontId="6" fillId="0" borderId="1" xfId="9" applyFont="1" applyBorder="1"/>
    <xf numFmtId="1" fontId="3" fillId="0" borderId="1" xfId="9" applyNumberFormat="1" applyBorder="1" applyAlignment="1">
      <alignment horizontal="center"/>
    </xf>
    <xf numFmtId="0" fontId="3" fillId="0" borderId="1" xfId="9" applyBorder="1"/>
    <xf numFmtId="3" fontId="3" fillId="0" borderId="8" xfId="9" applyNumberFormat="1" applyBorder="1"/>
    <xf numFmtId="1" fontId="3" fillId="0" borderId="3" xfId="9" applyNumberFormat="1" applyBorder="1" applyAlignment="1">
      <alignment horizontal="center"/>
    </xf>
    <xf numFmtId="1" fontId="5" fillId="0" borderId="0" xfId="9" applyNumberFormat="1" applyFont="1" applyAlignment="1">
      <alignment vertical="top"/>
    </xf>
    <xf numFmtId="1" fontId="3" fillId="0" borderId="5" xfId="9" quotePrefix="1" applyNumberFormat="1" applyBorder="1" applyAlignment="1">
      <alignment horizontal="center"/>
    </xf>
    <xf numFmtId="1" fontId="3" fillId="0" borderId="7" xfId="9" quotePrefix="1" applyNumberFormat="1" applyBorder="1" applyAlignment="1">
      <alignment horizontal="center"/>
    </xf>
    <xf numFmtId="0" fontId="3" fillId="0" borderId="5" xfId="9" applyBorder="1"/>
    <xf numFmtId="3" fontId="3" fillId="0" borderId="4" xfId="9" applyNumberFormat="1" applyBorder="1"/>
    <xf numFmtId="1" fontId="3" fillId="0" borderId="0" xfId="9" quotePrefix="1" applyNumberFormat="1" applyAlignment="1">
      <alignment horizontal="center"/>
    </xf>
    <xf numFmtId="1" fontId="5" fillId="0" borderId="0" xfId="9" quotePrefix="1" applyNumberFormat="1" applyFont="1"/>
    <xf numFmtId="1" fontId="5" fillId="0" borderId="0" xfId="9" applyNumberFormat="1" applyFont="1" applyAlignment="1">
      <alignment horizontal="left"/>
    </xf>
    <xf numFmtId="3" fontId="5" fillId="0" borderId="0" xfId="9" applyNumberFormat="1" applyFont="1"/>
    <xf numFmtId="1" fontId="6" fillId="0" borderId="6" xfId="9" applyNumberFormat="1" applyFont="1" applyBorder="1" applyAlignment="1">
      <alignment horizontal="right"/>
    </xf>
    <xf numFmtId="1" fontId="3" fillId="0" borderId="0" xfId="9" applyNumberFormat="1" applyAlignment="1">
      <alignment horizontal="center" vertical="top"/>
    </xf>
    <xf numFmtId="3" fontId="2" fillId="0" borderId="0" xfId="9" applyNumberFormat="1" applyFont="1" applyAlignment="1">
      <alignment vertical="top"/>
    </xf>
    <xf numFmtId="3" fontId="3" fillId="0" borderId="0" xfId="9" applyNumberFormat="1" applyAlignment="1">
      <alignment vertical="top"/>
    </xf>
    <xf numFmtId="3" fontId="3" fillId="0" borderId="0" xfId="9" quotePrefix="1" applyNumberFormat="1" applyAlignment="1">
      <alignment vertical="top"/>
    </xf>
    <xf numFmtId="0" fontId="3" fillId="0" borderId="0" xfId="9" applyAlignment="1">
      <alignment vertical="top"/>
    </xf>
    <xf numFmtId="49" fontId="2" fillId="0" borderId="0" xfId="9" applyNumberFormat="1" applyFont="1" applyAlignment="1">
      <alignment vertical="top"/>
    </xf>
    <xf numFmtId="1" fontId="3" fillId="0" borderId="0" xfId="9" applyNumberFormat="1" applyAlignment="1">
      <alignment horizontal="right"/>
    </xf>
    <xf numFmtId="3" fontId="6" fillId="0" borderId="0" xfId="9" applyNumberFormat="1" applyFont="1"/>
    <xf numFmtId="3" fontId="2" fillId="0" borderId="0" xfId="9" applyNumberFormat="1" applyFont="1"/>
    <xf numFmtId="1" fontId="5" fillId="0" borderId="0" xfId="9" applyNumberFormat="1" applyFont="1" applyAlignment="1">
      <alignment horizontal="left" vertical="top"/>
    </xf>
    <xf numFmtId="0" fontId="3" fillId="0" borderId="0" xfId="9" applyAlignment="1">
      <alignment vertical="top" wrapText="1"/>
    </xf>
    <xf numFmtId="0" fontId="3" fillId="0" borderId="0" xfId="9" applyAlignment="1">
      <alignment horizontal="left" vertical="top" wrapText="1"/>
    </xf>
    <xf numFmtId="3" fontId="3" fillId="0" borderId="0" xfId="9" applyNumberFormat="1" applyAlignment="1">
      <alignment horizontal="right"/>
    </xf>
    <xf numFmtId="0" fontId="3" fillId="0" borderId="0" xfId="9" quotePrefix="1"/>
    <xf numFmtId="0" fontId="32" fillId="0" borderId="0" xfId="9" applyFont="1"/>
    <xf numFmtId="3" fontId="3" fillId="0" borderId="0" xfId="9" quotePrefix="1" applyNumberFormat="1"/>
    <xf numFmtId="3" fontId="3" fillId="0" borderId="0" xfId="9" quotePrefix="1" applyNumberFormat="1" applyAlignment="1">
      <alignment horizontal="left" vertical="top" wrapText="1"/>
    </xf>
    <xf numFmtId="0" fontId="3" fillId="0" borderId="0" xfId="34"/>
    <xf numFmtId="1" fontId="3" fillId="0" borderId="0" xfId="34" applyNumberFormat="1"/>
    <xf numFmtId="1" fontId="3" fillId="0" borderId="0" xfId="34" applyNumberFormat="1" applyAlignment="1">
      <alignment horizontal="center"/>
    </xf>
    <xf numFmtId="0" fontId="4" fillId="0" borderId="0" xfId="0" applyFont="1"/>
    <xf numFmtId="1" fontId="3" fillId="0" borderId="0" xfId="34" applyNumberFormat="1" applyAlignment="1">
      <alignment horizontal="left"/>
    </xf>
    <xf numFmtId="0" fontId="3" fillId="0" borderId="0" xfId="34" quotePrefix="1"/>
    <xf numFmtId="1" fontId="5" fillId="0" borderId="0" xfId="34" applyNumberFormat="1" applyFont="1"/>
    <xf numFmtId="0" fontId="3" fillId="0" borderId="1" xfId="34" applyBorder="1" applyAlignment="1">
      <alignment vertical="center"/>
    </xf>
    <xf numFmtId="0" fontId="6" fillId="0" borderId="0" xfId="34" applyFont="1" applyAlignment="1">
      <alignment vertical="center"/>
    </xf>
    <xf numFmtId="0" fontId="6" fillId="0" borderId="0" xfId="34" applyFont="1"/>
    <xf numFmtId="0" fontId="6" fillId="0" borderId="2" xfId="34" applyFont="1" applyBorder="1"/>
    <xf numFmtId="3" fontId="3" fillId="0" borderId="3" xfId="34" applyNumberFormat="1" applyBorder="1"/>
    <xf numFmtId="1" fontId="3" fillId="0" borderId="1" xfId="34" applyNumberFormat="1" applyBorder="1"/>
    <xf numFmtId="49" fontId="3" fillId="0" borderId="0" xfId="34" applyNumberFormat="1" applyAlignment="1">
      <alignment horizontal="center"/>
    </xf>
    <xf numFmtId="3" fontId="3" fillId="0" borderId="0" xfId="34" applyNumberFormat="1" applyAlignment="1">
      <alignment horizontal="center"/>
    </xf>
    <xf numFmtId="0" fontId="3" fillId="0" borderId="2" xfId="34" applyBorder="1"/>
    <xf numFmtId="3" fontId="3" fillId="0" borderId="2" xfId="34" applyNumberFormat="1" applyBorder="1"/>
    <xf numFmtId="1" fontId="3" fillId="0" borderId="5" xfId="34" applyNumberFormat="1" applyBorder="1"/>
    <xf numFmtId="49" fontId="3" fillId="0" borderId="6" xfId="34" applyNumberFormat="1" applyBorder="1" applyAlignment="1">
      <alignment horizontal="center"/>
    </xf>
    <xf numFmtId="3" fontId="3" fillId="0" borderId="6" xfId="34" applyNumberFormat="1" applyBorder="1" applyAlignment="1">
      <alignment horizontal="center"/>
    </xf>
    <xf numFmtId="0" fontId="3" fillId="0" borderId="6" xfId="34" applyBorder="1"/>
    <xf numFmtId="3" fontId="3" fillId="0" borderId="0" xfId="34" applyNumberFormat="1"/>
    <xf numFmtId="1" fontId="5" fillId="0" borderId="0" xfId="34" applyNumberFormat="1" applyFont="1" applyAlignment="1">
      <alignment horizontal="center"/>
    </xf>
    <xf numFmtId="0" fontId="3" fillId="0" borderId="37" xfId="34" applyBorder="1" applyAlignment="1">
      <alignment horizontal="center" vertical="center"/>
    </xf>
    <xf numFmtId="49" fontId="3" fillId="0" borderId="7" xfId="34" applyNumberFormat="1" applyBorder="1" applyAlignment="1">
      <alignment horizontal="center" vertical="center"/>
    </xf>
    <xf numFmtId="0" fontId="3" fillId="0" borderId="3" xfId="34" applyBorder="1" applyAlignment="1">
      <alignment horizontal="center"/>
    </xf>
    <xf numFmtId="0" fontId="3" fillId="0" borderId="37" xfId="34" applyBorder="1"/>
    <xf numFmtId="1" fontId="5" fillId="0" borderId="3" xfId="34" applyNumberFormat="1" applyFont="1" applyBorder="1" applyAlignment="1">
      <alignment horizontal="left"/>
    </xf>
    <xf numFmtId="1" fontId="5" fillId="0" borderId="3" xfId="34" applyNumberFormat="1" applyFont="1" applyBorder="1" applyAlignment="1">
      <alignment horizontal="center"/>
    </xf>
    <xf numFmtId="0" fontId="5" fillId="0" borderId="1" xfId="34" applyFont="1" applyBorder="1"/>
    <xf numFmtId="1" fontId="3" fillId="0" borderId="3" xfId="34" applyNumberFormat="1" applyBorder="1" applyAlignment="1">
      <alignment horizontal="center"/>
    </xf>
    <xf numFmtId="0" fontId="6" fillId="0" borderId="1" xfId="34" applyFont="1" applyBorder="1"/>
    <xf numFmtId="0" fontId="3" fillId="0" borderId="1" xfId="34" applyBorder="1"/>
    <xf numFmtId="1" fontId="3" fillId="0" borderId="1" xfId="34" applyNumberFormat="1" applyBorder="1" applyAlignment="1">
      <alignment horizontal="left"/>
    </xf>
    <xf numFmtId="3" fontId="3" fillId="0" borderId="10" xfId="34" applyNumberFormat="1" applyBorder="1"/>
    <xf numFmtId="1" fontId="3" fillId="0" borderId="7" xfId="34" applyNumberFormat="1" applyBorder="1" applyAlignment="1">
      <alignment horizontal="center"/>
    </xf>
    <xf numFmtId="0" fontId="3" fillId="0" borderId="5" xfId="34" applyBorder="1"/>
    <xf numFmtId="3" fontId="3" fillId="0" borderId="4" xfId="34" applyNumberFormat="1" applyBorder="1"/>
    <xf numFmtId="3" fontId="3" fillId="0" borderId="7" xfId="34" applyNumberFormat="1" applyBorder="1"/>
    <xf numFmtId="1" fontId="5" fillId="0" borderId="0" xfId="34" quotePrefix="1" applyNumberFormat="1" applyFont="1"/>
    <xf numFmtId="1" fontId="3" fillId="0" borderId="0" xfId="34" quotePrefix="1" applyNumberFormat="1" applyAlignment="1">
      <alignment horizontal="center"/>
    </xf>
    <xf numFmtId="0" fontId="5" fillId="0" borderId="0" xfId="34" applyFont="1"/>
    <xf numFmtId="0" fontId="3" fillId="0" borderId="0" xfId="34" applyAlignment="1">
      <alignment horizontal="left"/>
    </xf>
    <xf numFmtId="1" fontId="5" fillId="0" borderId="0" xfId="34" applyNumberFormat="1" applyFont="1" applyAlignment="1">
      <alignment horizontal="left"/>
    </xf>
    <xf numFmtId="0" fontId="5" fillId="0" borderId="0" xfId="34" applyFont="1" applyAlignment="1">
      <alignment horizontal="left"/>
    </xf>
    <xf numFmtId="0" fontId="40" fillId="0" borderId="0" xfId="34" applyFont="1" applyAlignment="1">
      <alignment horizontal="center"/>
    </xf>
    <xf numFmtId="0" fontId="6" fillId="0" borderId="6" xfId="34" applyFont="1" applyBorder="1" applyAlignment="1">
      <alignment horizontal="right"/>
    </xf>
    <xf numFmtId="0" fontId="6" fillId="0" borderId="0" xfId="34" applyFont="1" applyAlignment="1">
      <alignment horizontal="left"/>
    </xf>
    <xf numFmtId="1" fontId="3" fillId="0" borderId="0" xfId="34" applyNumberFormat="1" applyAlignment="1">
      <alignment horizontal="center" vertical="top"/>
    </xf>
    <xf numFmtId="3" fontId="3" fillId="0" borderId="0" xfId="34" quotePrefix="1" applyNumberFormat="1"/>
    <xf numFmtId="3" fontId="2" fillId="0" borderId="0" xfId="34" quotePrefix="1" applyNumberFormat="1" applyFont="1"/>
    <xf numFmtId="0" fontId="2" fillId="0" borderId="0" xfId="34" applyFont="1"/>
    <xf numFmtId="3" fontId="3" fillId="0" borderId="6" xfId="34" applyNumberFormat="1" applyBorder="1"/>
    <xf numFmtId="49" fontId="3" fillId="0" borderId="37" xfId="34" applyNumberFormat="1" applyBorder="1" applyAlignment="1">
      <alignment horizontal="center"/>
    </xf>
    <xf numFmtId="3" fontId="3" fillId="0" borderId="37" xfId="34" applyNumberFormat="1" applyBorder="1" applyAlignment="1">
      <alignment horizontal="center"/>
    </xf>
    <xf numFmtId="49" fontId="3" fillId="0" borderId="3" xfId="34" applyNumberFormat="1" applyBorder="1" applyAlignment="1">
      <alignment horizontal="center" vertical="center"/>
    </xf>
    <xf numFmtId="3" fontId="3" fillId="0" borderId="3" xfId="34" applyNumberFormat="1" applyBorder="1" applyAlignment="1">
      <alignment horizontal="center" vertical="center" wrapText="1"/>
    </xf>
    <xf numFmtId="0" fontId="3" fillId="0" borderId="1" xfId="34" applyBorder="1" applyAlignment="1">
      <alignment horizontal="center" vertical="center"/>
    </xf>
    <xf numFmtId="0" fontId="3" fillId="0" borderId="0" xfId="34" applyAlignment="1">
      <alignment horizontal="center" vertical="center"/>
    </xf>
    <xf numFmtId="0" fontId="3" fillId="0" borderId="3" xfId="34" applyBorder="1"/>
    <xf numFmtId="1" fontId="3" fillId="0" borderId="3" xfId="34" quotePrefix="1" applyNumberFormat="1" applyBorder="1" applyAlignment="1">
      <alignment horizontal="center"/>
    </xf>
    <xf numFmtId="3" fontId="3" fillId="0" borderId="8" xfId="34" applyNumberFormat="1" applyBorder="1"/>
    <xf numFmtId="3" fontId="3" fillId="0" borderId="9" xfId="34" applyNumberFormat="1" applyBorder="1"/>
    <xf numFmtId="1" fontId="3" fillId="0" borderId="7" xfId="34" quotePrefix="1" applyNumberFormat="1" applyBorder="1" applyAlignment="1">
      <alignment horizontal="center"/>
    </xf>
    <xf numFmtId="1" fontId="6" fillId="0" borderId="6" xfId="34" applyNumberFormat="1" applyFont="1" applyBorder="1" applyAlignment="1">
      <alignment horizontal="right"/>
    </xf>
    <xf numFmtId="3" fontId="6" fillId="0" borderId="0" xfId="34" applyNumberFormat="1" applyFont="1"/>
    <xf numFmtId="0" fontId="3" fillId="0" borderId="0" xfId="34" applyAlignment="1">
      <alignment horizontal="center"/>
    </xf>
    <xf numFmtId="0" fontId="2" fillId="0" borderId="0" xfId="34" quotePrefix="1" applyFont="1"/>
    <xf numFmtId="3" fontId="3" fillId="0" borderId="0" xfId="34" applyNumberFormat="1" applyAlignment="1">
      <alignment horizontal="right"/>
    </xf>
    <xf numFmtId="1" fontId="6" fillId="0" borderId="0" xfId="34" applyNumberFormat="1" applyFont="1" applyAlignment="1">
      <alignment horizontal="right"/>
    </xf>
    <xf numFmtId="3" fontId="3" fillId="0" borderId="0" xfId="34" quotePrefix="1" applyNumberFormat="1" applyAlignment="1">
      <alignment horizontal="right"/>
    </xf>
    <xf numFmtId="1" fontId="2" fillId="0" borderId="0" xfId="64" applyNumberFormat="1" applyAlignment="1">
      <alignment horizontal="left"/>
    </xf>
    <xf numFmtId="0" fontId="2" fillId="0" borderId="0" xfId="64"/>
    <xf numFmtId="1" fontId="2" fillId="0" borderId="0" xfId="64" applyNumberFormat="1"/>
    <xf numFmtId="1" fontId="2" fillId="0" borderId="0" xfId="64" applyNumberFormat="1" applyAlignment="1">
      <alignment horizontal="center"/>
    </xf>
    <xf numFmtId="0" fontId="2" fillId="0" borderId="0" xfId="59"/>
    <xf numFmtId="0" fontId="5" fillId="0" borderId="0" xfId="59" applyFont="1"/>
    <xf numFmtId="0" fontId="5" fillId="0" borderId="0" xfId="64" applyFont="1"/>
    <xf numFmtId="0" fontId="2" fillId="0" borderId="0" xfId="64" quotePrefix="1"/>
    <xf numFmtId="1" fontId="5" fillId="0" borderId="0" xfId="64" applyNumberFormat="1" applyFont="1"/>
    <xf numFmtId="0" fontId="2" fillId="0" borderId="1" xfId="64" applyBorder="1" applyAlignment="1">
      <alignment vertical="center"/>
    </xf>
    <xf numFmtId="0" fontId="6" fillId="0" borderId="0" xfId="64" applyFont="1" applyAlignment="1">
      <alignment vertical="center"/>
    </xf>
    <xf numFmtId="0" fontId="6" fillId="0" borderId="0" xfId="64" applyFont="1"/>
    <xf numFmtId="0" fontId="6" fillId="0" borderId="2" xfId="64" applyFont="1" applyBorder="1"/>
    <xf numFmtId="3" fontId="2" fillId="0" borderId="3" xfId="64" applyNumberFormat="1" applyBorder="1"/>
    <xf numFmtId="1" fontId="2" fillId="0" borderId="1" xfId="64" applyNumberFormat="1" applyBorder="1"/>
    <xf numFmtId="49" fontId="2" fillId="0" borderId="0" xfId="64" applyNumberFormat="1" applyAlignment="1">
      <alignment horizontal="center"/>
    </xf>
    <xf numFmtId="3" fontId="2" fillId="0" borderId="0" xfId="64" applyNumberFormat="1" applyAlignment="1">
      <alignment horizontal="center"/>
    </xf>
    <xf numFmtId="0" fontId="2" fillId="0" borderId="2" xfId="64" applyBorder="1"/>
    <xf numFmtId="3" fontId="2" fillId="0" borderId="2" xfId="64" applyNumberFormat="1" applyBorder="1"/>
    <xf numFmtId="1" fontId="2" fillId="0" borderId="5" xfId="64" applyNumberFormat="1" applyBorder="1"/>
    <xf numFmtId="49" fontId="2" fillId="0" borderId="6" xfId="64" applyNumberFormat="1" applyBorder="1" applyAlignment="1">
      <alignment horizontal="center"/>
    </xf>
    <xf numFmtId="3" fontId="2" fillId="0" borderId="6" xfId="64" applyNumberFormat="1" applyBorder="1" applyAlignment="1">
      <alignment horizontal="center"/>
    </xf>
    <xf numFmtId="0" fontId="2" fillId="0" borderId="6" xfId="64" applyBorder="1"/>
    <xf numFmtId="3" fontId="2" fillId="0" borderId="0" xfId="64" applyNumberFormat="1"/>
    <xf numFmtId="1" fontId="5" fillId="0" borderId="0" xfId="64" applyNumberFormat="1" applyFont="1" applyAlignment="1">
      <alignment horizontal="center"/>
    </xf>
    <xf numFmtId="49" fontId="2" fillId="0" borderId="7" xfId="64" applyNumberFormat="1" applyBorder="1" applyAlignment="1">
      <alignment horizontal="center" vertical="center"/>
    </xf>
    <xf numFmtId="0" fontId="2" fillId="0" borderId="3" xfId="64" applyBorder="1" applyAlignment="1">
      <alignment horizontal="center"/>
    </xf>
    <xf numFmtId="0" fontId="2" fillId="0" borderId="37" xfId="64" applyBorder="1"/>
    <xf numFmtId="1" fontId="5" fillId="0" borderId="3" xfId="64" applyNumberFormat="1" applyFont="1" applyBorder="1" applyAlignment="1">
      <alignment horizontal="left"/>
    </xf>
    <xf numFmtId="1" fontId="5" fillId="0" borderId="3" xfId="64" applyNumberFormat="1" applyFont="1" applyBorder="1" applyAlignment="1">
      <alignment horizontal="center"/>
    </xf>
    <xf numFmtId="0" fontId="5" fillId="0" borderId="1" xfId="64" applyFont="1" applyBorder="1"/>
    <xf numFmtId="1" fontId="2" fillId="0" borderId="3" xfId="64" applyNumberFormat="1" applyBorder="1" applyAlignment="1">
      <alignment horizontal="center"/>
    </xf>
    <xf numFmtId="0" fontId="6" fillId="0" borderId="1" xfId="64" applyFont="1" applyBorder="1"/>
    <xf numFmtId="0" fontId="2" fillId="0" borderId="1" xfId="64" applyBorder="1"/>
    <xf numFmtId="1" fontId="2" fillId="0" borderId="1" xfId="64" applyNumberFormat="1" applyBorder="1" applyAlignment="1">
      <alignment horizontal="left"/>
    </xf>
    <xf numFmtId="3" fontId="2" fillId="0" borderId="10" xfId="64" applyNumberFormat="1" applyBorder="1"/>
    <xf numFmtId="1" fontId="2" fillId="0" borderId="7" xfId="64" applyNumberFormat="1" applyBorder="1" applyAlignment="1">
      <alignment horizontal="center"/>
    </xf>
    <xf numFmtId="0" fontId="2" fillId="0" borderId="5" xfId="64" applyBorder="1"/>
    <xf numFmtId="3" fontId="2" fillId="0" borderId="4" xfId="64" applyNumberFormat="1" applyBorder="1"/>
    <xf numFmtId="3" fontId="2" fillId="0" borderId="7" xfId="64" applyNumberFormat="1" applyBorder="1"/>
    <xf numFmtId="1" fontId="5" fillId="0" borderId="0" xfId="64" quotePrefix="1" applyNumberFormat="1" applyFont="1"/>
    <xf numFmtId="1" fontId="2" fillId="0" borderId="0" xfId="64" quotePrefix="1" applyNumberFormat="1" applyAlignment="1">
      <alignment horizontal="center"/>
    </xf>
    <xf numFmtId="0" fontId="2" fillId="0" borderId="0" xfId="64" applyAlignment="1">
      <alignment horizontal="left"/>
    </xf>
    <xf numFmtId="1" fontId="5" fillId="0" borderId="0" xfId="64" applyNumberFormat="1" applyFont="1" applyAlignment="1">
      <alignment horizontal="left"/>
    </xf>
    <xf numFmtId="0" fontId="5" fillId="0" borderId="0" xfId="64" applyFont="1" applyAlignment="1">
      <alignment horizontal="left"/>
    </xf>
    <xf numFmtId="0" fontId="40" fillId="0" borderId="0" xfId="64" applyFont="1" applyAlignment="1">
      <alignment horizontal="center"/>
    </xf>
    <xf numFmtId="0" fontId="6" fillId="0" borderId="6" xfId="64" applyFont="1" applyBorder="1" applyAlignment="1">
      <alignment horizontal="right"/>
    </xf>
    <xf numFmtId="0" fontId="6" fillId="0" borderId="0" xfId="64" applyFont="1" applyAlignment="1">
      <alignment horizontal="left"/>
    </xf>
    <xf numFmtId="1" fontId="2" fillId="0" borderId="0" xfId="64" applyNumberFormat="1" applyAlignment="1">
      <alignment horizontal="center" vertical="top"/>
    </xf>
    <xf numFmtId="3" fontId="5" fillId="0" borderId="0" xfId="34" applyNumberFormat="1" applyFont="1"/>
    <xf numFmtId="0" fontId="6" fillId="0" borderId="0" xfId="34" applyFont="1" applyAlignment="1">
      <alignment horizontal="right"/>
    </xf>
    <xf numFmtId="1" fontId="5" fillId="0" borderId="3" xfId="34" quotePrefix="1" applyNumberFormat="1" applyFont="1" applyBorder="1" applyAlignment="1">
      <alignment horizontal="left"/>
    </xf>
    <xf numFmtId="1" fontId="5" fillId="0" borderId="3" xfId="34" quotePrefix="1" applyNumberFormat="1" applyFont="1" applyBorder="1" applyAlignment="1">
      <alignment horizontal="center"/>
    </xf>
    <xf numFmtId="0" fontId="5" fillId="0" borderId="1" xfId="34" applyFont="1" applyBorder="1" applyAlignment="1">
      <alignment horizontal="left"/>
    </xf>
    <xf numFmtId="1" fontId="3" fillId="0" borderId="1" xfId="34" quotePrefix="1" applyNumberFormat="1" applyBorder="1" applyAlignment="1">
      <alignment horizontal="left"/>
    </xf>
    <xf numFmtId="182" fontId="2" fillId="0" borderId="0" xfId="1" applyNumberFormat="1" applyFont="1" applyFill="1"/>
    <xf numFmtId="0" fontId="3" fillId="0" borderId="0" xfId="34" applyAlignment="1">
      <alignment horizontal="left" vertical="top" wrapText="1"/>
    </xf>
    <xf numFmtId="0" fontId="3" fillId="0" borderId="0" xfId="34" applyAlignment="1">
      <alignment vertical="top" wrapText="1"/>
    </xf>
    <xf numFmtId="49" fontId="2" fillId="0" borderId="0" xfId="37" applyNumberFormat="1" applyFont="1" applyAlignment="1">
      <alignment horizontal="left" vertical="center"/>
    </xf>
    <xf numFmtId="1" fontId="3" fillId="0" borderId="0" xfId="34" quotePrefix="1" applyNumberFormat="1" applyAlignment="1">
      <alignment horizontal="left"/>
    </xf>
    <xf numFmtId="3" fontId="3" fillId="0" borderId="1" xfId="34" applyNumberFormat="1" applyBorder="1"/>
    <xf numFmtId="0" fontId="3" fillId="0" borderId="0" xfId="34" applyAlignment="1">
      <alignment vertical="top"/>
    </xf>
    <xf numFmtId="3" fontId="3" fillId="0" borderId="0" xfId="34" applyNumberFormat="1" applyAlignment="1">
      <alignment horizontal="right" vertical="top"/>
    </xf>
    <xf numFmtId="0" fontId="2" fillId="0" borderId="0" xfId="34" applyFont="1" applyAlignment="1">
      <alignment vertical="top"/>
    </xf>
    <xf numFmtId="0" fontId="3" fillId="0" borderId="0" xfId="34" quotePrefix="1" applyAlignment="1">
      <alignment vertical="top"/>
    </xf>
    <xf numFmtId="0" fontId="3" fillId="0" borderId="0" xfId="34" applyAlignment="1">
      <alignment wrapText="1"/>
    </xf>
    <xf numFmtId="0" fontId="3" fillId="0" borderId="0" xfId="34" applyAlignment="1">
      <alignment horizontal="justify" vertical="top"/>
    </xf>
    <xf numFmtId="1" fontId="5" fillId="0" borderId="0" xfId="34" quotePrefix="1" applyNumberFormat="1" applyFont="1" applyAlignment="1">
      <alignment horizontal="left"/>
    </xf>
    <xf numFmtId="1" fontId="5" fillId="0" borderId="0" xfId="34" quotePrefix="1" applyNumberFormat="1" applyFont="1" applyAlignment="1">
      <alignment horizontal="center"/>
    </xf>
    <xf numFmtId="3" fontId="3" fillId="0" borderId="0" xfId="34" applyNumberFormat="1" applyAlignment="1">
      <alignment vertical="top"/>
    </xf>
    <xf numFmtId="0" fontId="3" fillId="0" borderId="0" xfId="34" applyAlignment="1">
      <alignment horizontal="justify" vertical="top" wrapText="1"/>
    </xf>
    <xf numFmtId="1" fontId="2" fillId="0" borderId="0" xfId="34" applyNumberFormat="1" applyFont="1" applyAlignment="1">
      <alignment horizontal="left"/>
    </xf>
    <xf numFmtId="3" fontId="2" fillId="0" borderId="0" xfId="34" applyNumberFormat="1" applyFont="1"/>
    <xf numFmtId="0" fontId="3" fillId="0" borderId="4" xfId="34" applyBorder="1" applyAlignment="1">
      <alignment horizontal="center" vertical="center"/>
    </xf>
    <xf numFmtId="1" fontId="5" fillId="0" borderId="1" xfId="34" applyNumberFormat="1" applyFont="1" applyBorder="1" applyAlignment="1">
      <alignment horizontal="left"/>
    </xf>
    <xf numFmtId="1" fontId="3" fillId="0" borderId="1" xfId="34" quotePrefix="1" applyNumberFormat="1" applyBorder="1" applyAlignment="1">
      <alignment horizontal="center"/>
    </xf>
    <xf numFmtId="1" fontId="3" fillId="0" borderId="1" xfId="34" applyNumberFormat="1" applyBorder="1" applyAlignment="1">
      <alignment horizontal="center"/>
    </xf>
    <xf numFmtId="1" fontId="5" fillId="0" borderId="1" xfId="34" quotePrefix="1" applyNumberFormat="1" applyFont="1" applyBorder="1" applyAlignment="1">
      <alignment horizontal="left"/>
    </xf>
    <xf numFmtId="1" fontId="3" fillId="0" borderId="5" xfId="34" applyNumberFormat="1" applyBorder="1" applyAlignment="1">
      <alignment horizontal="center"/>
    </xf>
    <xf numFmtId="174" fontId="6" fillId="0" borderId="6" xfId="34" applyNumberFormat="1" applyFont="1" applyBorder="1" applyAlignment="1">
      <alignment horizontal="right"/>
    </xf>
    <xf numFmtId="1" fontId="32" fillId="0" borderId="0" xfId="34" applyNumberFormat="1" applyFont="1" applyAlignment="1">
      <alignment horizontal="left"/>
    </xf>
    <xf numFmtId="1" fontId="32" fillId="0" borderId="0" xfId="34" applyNumberFormat="1" applyFont="1" applyAlignment="1">
      <alignment horizontal="right"/>
    </xf>
    <xf numFmtId="3" fontId="6" fillId="0" borderId="0" xfId="34" quotePrefix="1" applyNumberFormat="1" applyFont="1"/>
    <xf numFmtId="2" fontId="3" fillId="0" borderId="0" xfId="34" quotePrefix="1" applyNumberFormat="1" applyAlignment="1">
      <alignment vertical="top"/>
    </xf>
    <xf numFmtId="179" fontId="5" fillId="0" borderId="0" xfId="34" applyNumberFormat="1" applyFont="1" applyAlignment="1">
      <alignment horizontal="left"/>
    </xf>
    <xf numFmtId="175" fontId="3" fillId="0" borderId="0" xfId="34" applyNumberFormat="1" applyAlignment="1">
      <alignment horizontal="right"/>
    </xf>
    <xf numFmtId="3" fontId="3" fillId="0" borderId="15" xfId="34" applyNumberFormat="1" applyBorder="1"/>
    <xf numFmtId="0" fontId="5" fillId="0" borderId="0" xfId="24" applyFont="1"/>
    <xf numFmtId="1" fontId="3" fillId="0" borderId="3" xfId="34" applyNumberFormat="1" applyBorder="1" applyAlignment="1">
      <alignment horizontal="center" vertical="center"/>
    </xf>
    <xf numFmtId="3" fontId="3" fillId="0" borderId="25" xfId="34" applyNumberFormat="1" applyBorder="1"/>
    <xf numFmtId="2" fontId="5" fillId="0" borderId="1" xfId="34" applyNumberFormat="1" applyFont="1" applyBorder="1"/>
    <xf numFmtId="3" fontId="3" fillId="0" borderId="2" xfId="34" applyNumberFormat="1" applyBorder="1" applyAlignment="1">
      <alignment horizontal="right"/>
    </xf>
    <xf numFmtId="3" fontId="3" fillId="0" borderId="7" xfId="34" applyNumberFormat="1" applyBorder="1" applyAlignment="1">
      <alignment horizontal="right"/>
    </xf>
    <xf numFmtId="1" fontId="3" fillId="0" borderId="1" xfId="34" applyNumberFormat="1" applyBorder="1" applyAlignment="1">
      <alignment horizontal="center" vertical="center"/>
    </xf>
    <xf numFmtId="0" fontId="3" fillId="0" borderId="2" xfId="34" applyBorder="1" applyAlignment="1">
      <alignment horizontal="center"/>
    </xf>
    <xf numFmtId="1" fontId="2" fillId="0" borderId="1" xfId="34" applyNumberFormat="1" applyFont="1" applyBorder="1" applyAlignment="1">
      <alignment horizontal="center"/>
    </xf>
    <xf numFmtId="1" fontId="2" fillId="0" borderId="3" xfId="34" quotePrefix="1" applyNumberFormat="1" applyFont="1" applyBorder="1" applyAlignment="1">
      <alignment horizontal="center"/>
    </xf>
    <xf numFmtId="1" fontId="2" fillId="0" borderId="5" xfId="34" quotePrefix="1" applyNumberFormat="1" applyFont="1" applyBorder="1" applyAlignment="1">
      <alignment horizontal="center"/>
    </xf>
    <xf numFmtId="1" fontId="2" fillId="0" borderId="7" xfId="34" quotePrefix="1" applyNumberFormat="1" applyFont="1" applyBorder="1" applyAlignment="1">
      <alignment horizontal="center"/>
    </xf>
    <xf numFmtId="0" fontId="2" fillId="0" borderId="5" xfId="34" applyFont="1" applyBorder="1"/>
    <xf numFmtId="0" fontId="2" fillId="0" borderId="6" xfId="34" applyFont="1" applyBorder="1"/>
    <xf numFmtId="3" fontId="2" fillId="0" borderId="6" xfId="34" applyNumberFormat="1" applyFont="1" applyBorder="1"/>
    <xf numFmtId="3" fontId="2" fillId="0" borderId="8" xfId="34" applyNumberFormat="1" applyFont="1" applyBorder="1"/>
    <xf numFmtId="3" fontId="2" fillId="0" borderId="10" xfId="34" applyNumberFormat="1" applyFont="1" applyBorder="1"/>
    <xf numFmtId="1" fontId="6" fillId="0" borderId="6" xfId="34" applyNumberFormat="1" applyFont="1" applyBorder="1"/>
    <xf numFmtId="1" fontId="6" fillId="0" borderId="0" xfId="34" applyNumberFormat="1" applyFont="1" applyAlignment="1">
      <alignment horizontal="center"/>
    </xf>
    <xf numFmtId="0" fontId="7" fillId="0" borderId="0" xfId="34" quotePrefix="1" applyFont="1"/>
    <xf numFmtId="39" fontId="7" fillId="0" borderId="0" xfId="34" quotePrefix="1" applyNumberFormat="1" applyFont="1"/>
    <xf numFmtId="0" fontId="7" fillId="0" borderId="0" xfId="34" quotePrefix="1" applyFont="1" applyAlignment="1">
      <alignment vertical="top"/>
    </xf>
    <xf numFmtId="1" fontId="6" fillId="0" borderId="0" xfId="34" applyNumberFormat="1" applyFont="1"/>
    <xf numFmtId="194" fontId="3" fillId="0" borderId="0" xfId="34" applyNumberFormat="1"/>
    <xf numFmtId="0" fontId="4" fillId="0" borderId="0" xfId="34" quotePrefix="1" applyFont="1"/>
    <xf numFmtId="3" fontId="32" fillId="0" borderId="0" xfId="34" applyNumberFormat="1" applyFont="1"/>
    <xf numFmtId="0" fontId="6" fillId="0" borderId="6" xfId="34" applyFont="1" applyBorder="1" applyAlignment="1">
      <alignment vertical="top"/>
    </xf>
    <xf numFmtId="0" fontId="6" fillId="0" borderId="0" xfId="34" applyFont="1" applyAlignment="1">
      <alignment horizontal="center" vertical="top"/>
    </xf>
    <xf numFmtId="0" fontId="6" fillId="0" borderId="0" xfId="34" quotePrefix="1" applyFont="1"/>
    <xf numFmtId="2" fontId="5" fillId="0" borderId="0" xfId="34" applyNumberFormat="1" applyFont="1"/>
    <xf numFmtId="2" fontId="3" fillId="0" borderId="0" xfId="34" applyNumberFormat="1" applyAlignment="1">
      <alignment wrapText="1"/>
    </xf>
    <xf numFmtId="2" fontId="6" fillId="0" borderId="0" xfId="34" applyNumberFormat="1" applyFont="1"/>
    <xf numFmtId="2" fontId="3" fillId="0" borderId="0" xfId="34" applyNumberFormat="1"/>
    <xf numFmtId="2" fontId="3" fillId="0" borderId="0" xfId="34" applyNumberFormat="1" applyAlignment="1">
      <alignment horizontal="left" vertical="top" wrapText="1"/>
    </xf>
    <xf numFmtId="1" fontId="6" fillId="0" borderId="0" xfId="34" quotePrefix="1" applyNumberFormat="1" applyFont="1" applyAlignment="1">
      <alignment horizontal="left"/>
    </xf>
    <xf numFmtId="1" fontId="21" fillId="0" borderId="0" xfId="34" applyNumberFormat="1" applyFont="1"/>
    <xf numFmtId="1" fontId="2" fillId="0" borderId="0" xfId="34" applyNumberFormat="1" applyFont="1"/>
    <xf numFmtId="3" fontId="2" fillId="0" borderId="0" xfId="34" applyNumberFormat="1" applyFont="1" applyAlignment="1">
      <alignment horizontal="right"/>
    </xf>
    <xf numFmtId="3" fontId="5" fillId="0" borderId="0" xfId="34" quotePrefix="1" applyNumberFormat="1" applyFont="1"/>
    <xf numFmtId="0" fontId="4" fillId="0" borderId="0" xfId="24" applyFont="1"/>
    <xf numFmtId="3" fontId="2" fillId="0" borderId="2" xfId="34" applyNumberFormat="1" applyFont="1" applyBorder="1"/>
    <xf numFmtId="3" fontId="2" fillId="0" borderId="3" xfId="34" applyNumberFormat="1" applyFont="1" applyBorder="1"/>
    <xf numFmtId="1" fontId="2" fillId="0" borderId="1" xfId="34" applyNumberFormat="1" applyFont="1" applyBorder="1"/>
    <xf numFmtId="10" fontId="3" fillId="0" borderId="0" xfId="34" applyNumberFormat="1"/>
    <xf numFmtId="0" fontId="2" fillId="0" borderId="0" xfId="0" applyFont="1"/>
    <xf numFmtId="0" fontId="3" fillId="0" borderId="2" xfId="34" applyBorder="1" applyAlignment="1">
      <alignment horizontal="center" vertical="center"/>
    </xf>
    <xf numFmtId="3" fontId="3" fillId="0" borderId="3" xfId="34" applyNumberFormat="1" applyBorder="1" applyAlignment="1">
      <alignment horizontal="right"/>
    </xf>
    <xf numFmtId="3" fontId="3" fillId="0" borderId="1" xfId="34" applyNumberFormat="1" applyBorder="1" applyAlignment="1">
      <alignment horizontal="right"/>
    </xf>
    <xf numFmtId="1" fontId="3" fillId="0" borderId="3" xfId="31" applyNumberFormat="1" applyBorder="1" applyAlignment="1">
      <alignment horizontal="center"/>
    </xf>
    <xf numFmtId="0" fontId="0" fillId="0" borderId="0" xfId="31" applyFont="1" applyAlignment="1">
      <alignment horizontal="left"/>
    </xf>
    <xf numFmtId="0" fontId="3" fillId="0" borderId="0" xfId="31"/>
    <xf numFmtId="0" fontId="2" fillId="0" borderId="0" xfId="34" applyFont="1" applyAlignment="1">
      <alignment horizontal="left"/>
    </xf>
    <xf numFmtId="1" fontId="2" fillId="0" borderId="3" xfId="34" applyNumberFormat="1" applyFont="1" applyBorder="1" applyAlignment="1">
      <alignment horizontal="center"/>
    </xf>
    <xf numFmtId="0" fontId="2" fillId="0" borderId="1" xfId="34" applyFont="1" applyBorder="1"/>
    <xf numFmtId="0" fontId="3" fillId="0" borderId="0" xfId="34" applyAlignment="1">
      <alignment horizontal="right"/>
    </xf>
    <xf numFmtId="3" fontId="3" fillId="0" borderId="24" xfId="34" applyNumberFormat="1" applyBorder="1"/>
    <xf numFmtId="0" fontId="3" fillId="0" borderId="0" xfId="34" applyAlignment="1">
      <alignment horizontal="justify" vertical="justify" wrapText="1"/>
    </xf>
    <xf numFmtId="175" fontId="3" fillId="0" borderId="0" xfId="34" applyNumberFormat="1"/>
    <xf numFmtId="3" fontId="3" fillId="0" borderId="6" xfId="34" applyNumberFormat="1" applyBorder="1" applyAlignment="1">
      <alignment horizontal="right"/>
    </xf>
    <xf numFmtId="0" fontId="6" fillId="0" borderId="6" xfId="34" applyFont="1" applyBorder="1"/>
    <xf numFmtId="0" fontId="6" fillId="0" borderId="0" xfId="34" applyFont="1" applyAlignment="1">
      <alignment horizontal="center"/>
    </xf>
    <xf numFmtId="3" fontId="3" fillId="0" borderId="0" xfId="34" applyNumberFormat="1" applyAlignment="1">
      <alignment horizontal="right" vertical="top" wrapText="1"/>
    </xf>
    <xf numFmtId="1" fontId="2" fillId="0" borderId="0" xfId="34" quotePrefix="1" applyNumberFormat="1" applyFont="1" applyAlignment="1">
      <alignment horizontal="center"/>
    </xf>
    <xf numFmtId="0" fontId="2" fillId="0" borderId="0" xfId="34" applyFont="1" applyAlignment="1">
      <alignment horizontal="right"/>
    </xf>
    <xf numFmtId="1" fontId="2" fillId="0" borderId="0" xfId="34" applyNumberFormat="1" applyFont="1" applyAlignment="1">
      <alignment horizontal="center"/>
    </xf>
    <xf numFmtId="1" fontId="3" fillId="0" borderId="37" xfId="9" applyNumberFormat="1" applyBorder="1" applyAlignment="1">
      <alignment horizontal="center"/>
    </xf>
    <xf numFmtId="1" fontId="3" fillId="0" borderId="6" xfId="9" applyNumberFormat="1" applyBorder="1" applyAlignment="1">
      <alignment horizontal="center"/>
    </xf>
    <xf numFmtId="10" fontId="3" fillId="0" borderId="0" xfId="9" applyNumberFormat="1"/>
    <xf numFmtId="1" fontId="3" fillId="0" borderId="3" xfId="9" applyNumberFormat="1" applyBorder="1" applyAlignment="1">
      <alignment horizontal="center" vertical="center" wrapText="1"/>
    </xf>
    <xf numFmtId="49" fontId="3" fillId="0" borderId="3" xfId="9" applyNumberFormat="1" applyBorder="1" applyAlignment="1">
      <alignment horizontal="center" vertical="center"/>
    </xf>
    <xf numFmtId="0" fontId="3" fillId="0" borderId="1" xfId="9" applyBorder="1" applyAlignment="1">
      <alignment horizontal="center" vertical="center"/>
    </xf>
    <xf numFmtId="0" fontId="3" fillId="0" borderId="0" xfId="9" applyAlignment="1">
      <alignment horizontal="center" vertical="center"/>
    </xf>
    <xf numFmtId="0" fontId="3" fillId="0" borderId="2" xfId="9" applyBorder="1" applyAlignment="1">
      <alignment horizontal="center" vertical="center"/>
    </xf>
    <xf numFmtId="1" fontId="5" fillId="0" borderId="1" xfId="2" applyNumberFormat="1" applyFont="1" applyBorder="1" applyAlignment="1">
      <alignment horizontal="center"/>
    </xf>
    <xf numFmtId="1" fontId="5" fillId="0" borderId="1" xfId="2" quotePrefix="1" applyNumberFormat="1" applyFont="1" applyBorder="1" applyAlignment="1">
      <alignment horizontal="center"/>
    </xf>
    <xf numFmtId="1" fontId="7" fillId="0" borderId="0" xfId="2" applyNumberFormat="1" applyFont="1" applyAlignment="1">
      <alignment horizontal="left"/>
    </xf>
    <xf numFmtId="0" fontId="29" fillId="0" borderId="0" xfId="2" applyFont="1"/>
    <xf numFmtId="3" fontId="29" fillId="0" borderId="2" xfId="2" applyNumberFormat="1" applyFont="1" applyBorder="1"/>
    <xf numFmtId="3" fontId="29" fillId="0" borderId="3" xfId="2" applyNumberFormat="1" applyFont="1" applyBorder="1"/>
    <xf numFmtId="1" fontId="29" fillId="0" borderId="3" xfId="2" quotePrefix="1" applyNumberFormat="1" applyFont="1" applyBorder="1" applyAlignment="1">
      <alignment horizontal="center"/>
    </xf>
    <xf numFmtId="1" fontId="29" fillId="0" borderId="0" xfId="2" applyNumberFormat="1" applyFont="1"/>
    <xf numFmtId="1" fontId="29" fillId="0" borderId="3" xfId="2" applyNumberFormat="1" applyFont="1" applyBorder="1" applyAlignment="1">
      <alignment horizontal="center"/>
    </xf>
    <xf numFmtId="0" fontId="29" fillId="0" borderId="1" xfId="2" applyFont="1" applyBorder="1"/>
    <xf numFmtId="3" fontId="30" fillId="0" borderId="2" xfId="2" applyNumberFormat="1" applyFont="1" applyBorder="1" applyAlignment="1">
      <alignment horizontal="right"/>
    </xf>
    <xf numFmtId="179" fontId="2" fillId="0" borderId="0" xfId="2" applyNumberFormat="1"/>
    <xf numFmtId="0" fontId="21" fillId="0" borderId="0" xfId="2" quotePrefix="1" applyFont="1"/>
    <xf numFmtId="167" fontId="2" fillId="0" borderId="0" xfId="46" applyFont="1" applyFill="1"/>
    <xf numFmtId="167" fontId="2" fillId="0" borderId="0" xfId="2" applyNumberFormat="1"/>
    <xf numFmtId="0" fontId="2" fillId="0" borderId="0" xfId="2" quotePrefix="1" applyAlignment="1">
      <alignment horizontal="center"/>
    </xf>
    <xf numFmtId="4" fontId="2" fillId="0" borderId="0" xfId="2" applyNumberFormat="1" applyAlignment="1">
      <alignment horizontal="right"/>
    </xf>
    <xf numFmtId="39" fontId="2" fillId="0" borderId="0" xfId="2" applyNumberFormat="1"/>
    <xf numFmtId="1" fontId="3" fillId="0" borderId="3" xfId="10" applyNumberFormat="1" applyBorder="1" applyAlignment="1">
      <alignment horizontal="center"/>
    </xf>
    <xf numFmtId="0" fontId="3" fillId="0" borderId="0" xfId="10" applyAlignment="1">
      <alignment horizontal="left"/>
    </xf>
    <xf numFmtId="0" fontId="3" fillId="0" borderId="0" xfId="10"/>
    <xf numFmtId="1" fontId="2" fillId="0" borderId="1" xfId="2" quotePrefix="1" applyNumberFormat="1" applyBorder="1" applyAlignment="1">
      <alignment horizontal="left"/>
    </xf>
    <xf numFmtId="0" fontId="2" fillId="0" borderId="0" xfId="2" applyAlignment="1">
      <alignment horizontal="justify" vertical="center" wrapText="1"/>
    </xf>
    <xf numFmtId="165" fontId="2" fillId="0" borderId="0" xfId="2" applyNumberFormat="1" applyAlignment="1">
      <alignment horizontal="right" vertical="center" wrapText="1"/>
    </xf>
    <xf numFmtId="164" fontId="2" fillId="0" borderId="0" xfId="2" applyNumberFormat="1" applyAlignment="1">
      <alignment horizontal="right" vertical="center" wrapText="1"/>
    </xf>
    <xf numFmtId="3" fontId="3" fillId="0" borderId="0" xfId="9" applyNumberFormat="1" applyAlignment="1">
      <alignment horizontal="right" vertical="top"/>
    </xf>
    <xf numFmtId="3" fontId="2" fillId="0" borderId="0" xfId="64" applyNumberFormat="1" applyAlignment="1">
      <alignment horizontal="right" vertical="top"/>
    </xf>
    <xf numFmtId="0" fontId="2" fillId="0" borderId="0" xfId="9" applyFont="1" applyAlignment="1">
      <alignment vertical="top"/>
    </xf>
    <xf numFmtId="0" fontId="5" fillId="0" borderId="0" xfId="9" applyFont="1" applyAlignment="1">
      <alignment vertical="top"/>
    </xf>
    <xf numFmtId="0" fontId="6" fillId="0" borderId="0" xfId="9" applyFont="1" applyAlignment="1">
      <alignment vertical="top"/>
    </xf>
    <xf numFmtId="0" fontId="3" fillId="0" borderId="7" xfId="9" applyBorder="1"/>
    <xf numFmtId="167" fontId="6" fillId="0" borderId="0" xfId="46" applyFont="1" applyFill="1"/>
    <xf numFmtId="167" fontId="6" fillId="0" borderId="0" xfId="46" applyFont="1" applyFill="1" applyAlignment="1">
      <alignment horizontal="right"/>
    </xf>
    <xf numFmtId="1" fontId="2" fillId="0" borderId="37" xfId="2" quotePrefix="1" applyNumberFormat="1" applyBorder="1" applyAlignment="1">
      <alignment horizontal="center"/>
    </xf>
    <xf numFmtId="1" fontId="2" fillId="0" borderId="0" xfId="2" quotePrefix="1" applyNumberFormat="1" applyAlignment="1">
      <alignment wrapText="1"/>
    </xf>
    <xf numFmtId="3" fontId="2" fillId="0" borderId="0" xfId="2" applyNumberFormat="1" applyAlignment="1">
      <alignment horizontal="right" vertical="top"/>
    </xf>
    <xf numFmtId="165" fontId="5" fillId="0" borderId="0" xfId="2" applyNumberFormat="1" applyFont="1" applyAlignment="1">
      <alignment horizontal="right" vertical="center" wrapText="1"/>
    </xf>
    <xf numFmtId="164" fontId="5" fillId="0" borderId="0" xfId="2" applyNumberFormat="1" applyFont="1" applyAlignment="1">
      <alignment horizontal="right" vertical="center" wrapText="1"/>
    </xf>
    <xf numFmtId="0" fontId="6" fillId="0" borderId="0" xfId="24" applyFont="1"/>
    <xf numFmtId="1" fontId="5" fillId="0" borderId="0" xfId="9" quotePrefix="1" applyNumberFormat="1" applyFont="1" applyAlignment="1">
      <alignment horizontal="left"/>
    </xf>
    <xf numFmtId="1" fontId="5" fillId="0" borderId="0" xfId="9" quotePrefix="1" applyNumberFormat="1" applyFont="1" applyAlignment="1">
      <alignment horizontal="center"/>
    </xf>
    <xf numFmtId="0" fontId="6" fillId="0" borderId="0" xfId="2" quotePrefix="1" applyFont="1"/>
    <xf numFmtId="0" fontId="6" fillId="0" borderId="1" xfId="9" applyFont="1" applyBorder="1" applyAlignment="1">
      <alignment vertical="center"/>
    </xf>
    <xf numFmtId="0" fontId="6" fillId="0" borderId="31" xfId="9" applyFont="1" applyBorder="1"/>
    <xf numFmtId="0" fontId="4" fillId="0" borderId="1" xfId="9" applyFont="1" applyBorder="1" applyAlignment="1">
      <alignment vertical="center"/>
    </xf>
    <xf numFmtId="3" fontId="3" fillId="0" borderId="32" xfId="9" applyNumberFormat="1" applyBorder="1"/>
    <xf numFmtId="1" fontId="4" fillId="0" borderId="1" xfId="9" applyNumberFormat="1" applyFont="1" applyBorder="1"/>
    <xf numFmtId="0" fontId="5" fillId="0" borderId="0" xfId="2" applyFont="1" applyAlignment="1">
      <alignment horizontal="right"/>
    </xf>
    <xf numFmtId="10" fontId="2" fillId="0" borderId="0" xfId="2" applyNumberFormat="1" applyAlignment="1">
      <alignment horizontal="right"/>
    </xf>
    <xf numFmtId="3" fontId="3" fillId="0" borderId="31" xfId="9" applyNumberFormat="1" applyBorder="1"/>
    <xf numFmtId="3" fontId="3" fillId="0" borderId="3" xfId="9" applyNumberFormat="1" applyBorder="1" applyAlignment="1">
      <alignment horizontal="center" vertical="center" wrapText="1"/>
    </xf>
    <xf numFmtId="0" fontId="5" fillId="0" borderId="1" xfId="9" applyFont="1" applyBorder="1" applyAlignment="1">
      <alignment vertical="center"/>
    </xf>
    <xf numFmtId="1" fontId="2" fillId="0" borderId="3" xfId="2" quotePrefix="1" applyNumberFormat="1" applyBorder="1" applyAlignment="1">
      <alignment horizontal="left"/>
    </xf>
    <xf numFmtId="1" fontId="2" fillId="0" borderId="3" xfId="2" applyNumberFormat="1" applyBorder="1"/>
    <xf numFmtId="1" fontId="13" fillId="0" borderId="3" xfId="2" applyNumberFormat="1" applyFont="1" applyBorder="1" applyAlignment="1">
      <alignment horizontal="left"/>
    </xf>
    <xf numFmtId="1" fontId="13" fillId="0" borderId="3" xfId="2" applyNumberFormat="1" applyFont="1" applyBorder="1" applyAlignment="1">
      <alignment horizontal="center"/>
    </xf>
    <xf numFmtId="3" fontId="7" fillId="0" borderId="2" xfId="2" applyNumberFormat="1" applyFont="1" applyBorder="1"/>
    <xf numFmtId="3" fontId="7" fillId="0" borderId="3" xfId="2" applyNumberFormat="1" applyFont="1" applyBorder="1"/>
    <xf numFmtId="1" fontId="7" fillId="0" borderId="3" xfId="2" quotePrefix="1" applyNumberFormat="1" applyFont="1" applyBorder="1" applyAlignment="1">
      <alignment horizontal="center"/>
    </xf>
    <xf numFmtId="0" fontId="33" fillId="0" borderId="1" xfId="2" applyFont="1" applyBorder="1"/>
    <xf numFmtId="1" fontId="29" fillId="0" borderId="0" xfId="2" applyNumberFormat="1" applyFont="1" applyAlignment="1">
      <alignment horizontal="left"/>
    </xf>
    <xf numFmtId="179" fontId="2" fillId="0" borderId="0" xfId="46" applyNumberFormat="1" applyFont="1" applyFill="1" applyAlignment="1">
      <alignment horizontal="right"/>
    </xf>
    <xf numFmtId="179" fontId="2" fillId="0" borderId="0" xfId="46" applyNumberFormat="1" applyFont="1" applyFill="1"/>
    <xf numFmtId="3" fontId="3" fillId="0" borderId="10" xfId="9" applyNumberFormat="1" applyBorder="1"/>
    <xf numFmtId="1" fontId="5" fillId="0" borderId="7" xfId="2" applyNumberFormat="1" applyFont="1" applyBorder="1" applyAlignment="1">
      <alignment horizontal="left"/>
    </xf>
    <xf numFmtId="1" fontId="5" fillId="0" borderId="7" xfId="2" applyNumberFormat="1" applyFont="1" applyBorder="1" applyAlignment="1">
      <alignment horizontal="center"/>
    </xf>
    <xf numFmtId="171" fontId="2" fillId="0" borderId="0" xfId="2" applyNumberFormat="1" applyAlignment="1">
      <alignment horizontal="left"/>
    </xf>
    <xf numFmtId="0" fontId="5" fillId="0" borderId="0" xfId="2" quotePrefix="1" applyFont="1"/>
    <xf numFmtId="0" fontId="2" fillId="0" borderId="0" xfId="2" applyAlignment="1">
      <alignment vertical="justify"/>
    </xf>
    <xf numFmtId="0" fontId="26" fillId="0" borderId="0" xfId="2" applyFont="1" applyAlignment="1">
      <alignment horizontal="left"/>
    </xf>
    <xf numFmtId="0" fontId="26" fillId="0" borderId="0" xfId="2" applyFont="1" applyAlignment="1">
      <alignment horizontal="right"/>
    </xf>
    <xf numFmtId="3" fontId="4" fillId="0" borderId="0" xfId="2" applyNumberFormat="1" applyFont="1" applyAlignment="1">
      <alignment horizontal="right" wrapText="1"/>
    </xf>
    <xf numFmtId="3" fontId="4" fillId="0" borderId="0" xfId="2" applyNumberFormat="1" applyFont="1" applyAlignment="1">
      <alignment horizontal="right"/>
    </xf>
    <xf numFmtId="0" fontId="26" fillId="0" borderId="0" xfId="2" applyFont="1"/>
    <xf numFmtId="170" fontId="2" fillId="0" borderId="0" xfId="2" applyNumberFormat="1"/>
    <xf numFmtId="3" fontId="22" fillId="0" borderId="0" xfId="2" applyNumberFormat="1" applyFont="1" applyAlignment="1">
      <alignment horizontal="right"/>
    </xf>
    <xf numFmtId="1" fontId="34" fillId="0" borderId="0" xfId="2" applyNumberFormat="1" applyFont="1" applyAlignment="1">
      <alignment horizontal="right"/>
    </xf>
    <xf numFmtId="192" fontId="2" fillId="0" borderId="0" xfId="2" applyNumberFormat="1" applyAlignment="1">
      <alignment horizontal="right"/>
    </xf>
    <xf numFmtId="1" fontId="5" fillId="0" borderId="0" xfId="2" applyNumberFormat="1" applyFont="1" applyAlignment="1">
      <alignment horizontal="right"/>
    </xf>
    <xf numFmtId="10" fontId="6" fillId="0" borderId="0" xfId="2" applyNumberFormat="1" applyFont="1"/>
    <xf numFmtId="170" fontId="2" fillId="0" borderId="0" xfId="2" applyNumberFormat="1" applyAlignment="1">
      <alignment horizontal="right"/>
    </xf>
    <xf numFmtId="170" fontId="5" fillId="0" borderId="0" xfId="2" applyNumberFormat="1" applyFont="1"/>
    <xf numFmtId="3" fontId="34" fillId="0" borderId="0" xfId="2" applyNumberFormat="1" applyFont="1" applyAlignment="1">
      <alignment horizontal="right"/>
    </xf>
    <xf numFmtId="3" fontId="6" fillId="0" borderId="0" xfId="2" applyNumberFormat="1" applyFont="1" applyAlignment="1">
      <alignment horizontal="right"/>
    </xf>
    <xf numFmtId="180" fontId="2" fillId="0" borderId="0" xfId="2" applyNumberFormat="1"/>
    <xf numFmtId="165" fontId="2" fillId="0" borderId="0" xfId="2" applyNumberFormat="1" applyAlignment="1">
      <alignment horizontal="right"/>
    </xf>
    <xf numFmtId="0" fontId="6" fillId="0" borderId="0" xfId="2" applyFont="1" applyAlignment="1">
      <alignment horizontal="right" vertical="top"/>
    </xf>
    <xf numFmtId="0" fontId="6" fillId="0" borderId="6" xfId="2" applyFont="1" applyBorder="1" applyAlignment="1">
      <alignment horizontal="right" vertical="top"/>
    </xf>
    <xf numFmtId="1" fontId="13" fillId="0" borderId="0" xfId="2" applyNumberFormat="1" applyFont="1" applyAlignment="1">
      <alignment horizontal="left"/>
    </xf>
    <xf numFmtId="1" fontId="13" fillId="0" borderId="0" xfId="2" applyNumberFormat="1" applyFont="1" applyAlignment="1">
      <alignment horizontal="center"/>
    </xf>
    <xf numFmtId="39" fontId="7" fillId="0" borderId="0" xfId="2" applyNumberFormat="1" applyFont="1"/>
    <xf numFmtId="1" fontId="7" fillId="0" borderId="0" xfId="2" applyNumberFormat="1" applyFont="1" applyAlignment="1">
      <alignment horizontal="center"/>
    </xf>
    <xf numFmtId="0" fontId="33" fillId="0" borderId="0" xfId="2" applyFont="1" applyAlignment="1">
      <alignment horizontal="right"/>
    </xf>
    <xf numFmtId="0" fontId="7" fillId="0" borderId="0" xfId="2" applyFont="1" applyAlignment="1">
      <alignment horizontal="left"/>
    </xf>
    <xf numFmtId="0" fontId="7" fillId="0" borderId="0" xfId="2" applyFont="1" applyAlignment="1">
      <alignment horizontal="center"/>
    </xf>
    <xf numFmtId="3" fontId="13" fillId="0" borderId="0" xfId="2" applyNumberFormat="1" applyFont="1"/>
    <xf numFmtId="3" fontId="13" fillId="0" borderId="37" xfId="2" applyNumberFormat="1" applyFont="1" applyBorder="1" applyAlignment="1">
      <alignment horizontal="right"/>
    </xf>
    <xf numFmtId="3" fontId="13" fillId="0" borderId="6" xfId="2" applyNumberFormat="1" applyFont="1" applyBorder="1" applyAlignment="1">
      <alignment horizontal="right"/>
    </xf>
    <xf numFmtId="0" fontId="6" fillId="0" borderId="0" xfId="2" applyFont="1" applyAlignment="1">
      <alignment horizontal="center" vertical="top"/>
    </xf>
    <xf numFmtId="0" fontId="5" fillId="0" borderId="6" xfId="2" applyFont="1" applyBorder="1"/>
    <xf numFmtId="0" fontId="3" fillId="0" borderId="0" xfId="9" applyAlignment="1">
      <alignment horizontal="left"/>
    </xf>
    <xf numFmtId="1" fontId="0" fillId="0" borderId="1" xfId="9" applyNumberFormat="1" applyFont="1" applyBorder="1"/>
    <xf numFmtId="0" fontId="5" fillId="0" borderId="0" xfId="9" applyFont="1" applyAlignment="1">
      <alignment horizontal="center"/>
    </xf>
    <xf numFmtId="1" fontId="5" fillId="0" borderId="3" xfId="9" applyNumberFormat="1" applyFont="1" applyBorder="1" applyAlignment="1">
      <alignment horizontal="left"/>
    </xf>
    <xf numFmtId="1" fontId="5" fillId="0" borderId="3" xfId="9" applyNumberFormat="1" applyFont="1" applyBorder="1" applyAlignment="1">
      <alignment horizontal="center"/>
    </xf>
    <xf numFmtId="3" fontId="5" fillId="0" borderId="1" xfId="9" applyNumberFormat="1" applyFont="1" applyBorder="1"/>
    <xf numFmtId="0" fontId="2" fillId="0" borderId="1" xfId="9" applyFont="1" applyBorder="1"/>
    <xf numFmtId="0" fontId="5" fillId="0" borderId="1" xfId="9" applyFont="1" applyBorder="1" applyAlignment="1">
      <alignment horizontal="left" vertical="center"/>
    </xf>
    <xf numFmtId="0" fontId="6" fillId="0" borderId="1" xfId="9" applyFont="1" applyBorder="1" applyAlignment="1">
      <alignment horizontal="left" vertical="center"/>
    </xf>
    <xf numFmtId="1" fontId="3" fillId="0" borderId="3" xfId="9" applyNumberFormat="1" applyBorder="1" applyAlignment="1">
      <alignment horizontal="center" vertical="center"/>
    </xf>
    <xf numFmtId="3" fontId="3" fillId="0" borderId="9" xfId="9" applyNumberFormat="1" applyBorder="1"/>
    <xf numFmtId="1" fontId="5" fillId="0" borderId="3" xfId="9" quotePrefix="1" applyNumberFormat="1" applyFont="1" applyBorder="1" applyAlignment="1">
      <alignment horizontal="left"/>
    </xf>
    <xf numFmtId="0" fontId="3" fillId="0" borderId="0" xfId="9" quotePrefix="1" applyAlignment="1">
      <alignment vertical="top"/>
    </xf>
    <xf numFmtId="0" fontId="3" fillId="0" borderId="0" xfId="9" quotePrefix="1" applyAlignment="1">
      <alignment horizontal="left" vertical="top" wrapText="1"/>
    </xf>
    <xf numFmtId="3" fontId="3" fillId="0" borderId="15" xfId="9" applyNumberFormat="1" applyBorder="1"/>
    <xf numFmtId="0" fontId="2" fillId="0" borderId="0" xfId="9" quotePrefix="1" applyFont="1"/>
    <xf numFmtId="0" fontId="3" fillId="0" borderId="0" xfId="9" applyAlignment="1">
      <alignment wrapText="1"/>
    </xf>
    <xf numFmtId="1" fontId="6" fillId="0" borderId="0" xfId="9" applyNumberFormat="1" applyFont="1" applyAlignment="1">
      <alignment horizontal="center"/>
    </xf>
    <xf numFmtId="1" fontId="5" fillId="0" borderId="16" xfId="9" applyNumberFormat="1" applyFont="1" applyBorder="1" applyAlignment="1">
      <alignment horizontal="left"/>
    </xf>
    <xf numFmtId="1" fontId="5" fillId="0" borderId="17" xfId="9" applyNumberFormat="1" applyFont="1" applyBorder="1" applyAlignment="1">
      <alignment horizontal="center"/>
    </xf>
    <xf numFmtId="0" fontId="5" fillId="0" borderId="17" xfId="9" applyFont="1" applyBorder="1"/>
    <xf numFmtId="0" fontId="3" fillId="0" borderId="17" xfId="9" applyBorder="1"/>
    <xf numFmtId="0" fontId="3" fillId="0" borderId="17" xfId="9" applyBorder="1" applyAlignment="1">
      <alignment wrapText="1"/>
    </xf>
    <xf numFmtId="0" fontId="3" fillId="0" borderId="18" xfId="9" applyBorder="1"/>
    <xf numFmtId="1" fontId="3" fillId="0" borderId="19" xfId="9" applyNumberFormat="1" applyBorder="1"/>
    <xf numFmtId="0" fontId="3" fillId="0" borderId="20" xfId="9" applyBorder="1"/>
    <xf numFmtId="1" fontId="5" fillId="0" borderId="19" xfId="9" applyNumberFormat="1" applyFont="1" applyBorder="1" applyAlignment="1">
      <alignment horizontal="left"/>
    </xf>
    <xf numFmtId="1" fontId="3" fillId="0" borderId="19" xfId="9" applyNumberFormat="1" applyBorder="1" applyAlignment="1">
      <alignment horizontal="center"/>
    </xf>
    <xf numFmtId="175" fontId="31" fillId="0" borderId="0" xfId="18" applyNumberFormat="1" applyFont="1" applyAlignment="1">
      <alignment horizontal="left" vertical="top"/>
    </xf>
    <xf numFmtId="1" fontId="3" fillId="0" borderId="21" xfId="9" applyNumberFormat="1" applyBorder="1"/>
    <xf numFmtId="1" fontId="3" fillId="0" borderId="22" xfId="9" applyNumberFormat="1" applyBorder="1" applyAlignment="1">
      <alignment horizontal="center"/>
    </xf>
    <xf numFmtId="0" fontId="3" fillId="0" borderId="22" xfId="9" applyBorder="1"/>
    <xf numFmtId="0" fontId="3" fillId="0" borderId="23" xfId="9" applyBorder="1"/>
    <xf numFmtId="3" fontId="2" fillId="0" borderId="1" xfId="15" applyNumberFormat="1" applyFont="1" applyFill="1" applyBorder="1"/>
    <xf numFmtId="1" fontId="5" fillId="0" borderId="1" xfId="9" applyNumberFormat="1" applyFont="1" applyBorder="1"/>
    <xf numFmtId="1" fontId="2" fillId="0" borderId="0" xfId="9" applyNumberFormat="1" applyFont="1" applyAlignment="1">
      <alignment horizontal="left"/>
    </xf>
    <xf numFmtId="1" fontId="2" fillId="0" borderId="3" xfId="9" applyNumberFormat="1" applyFont="1" applyBorder="1" applyAlignment="1">
      <alignment horizontal="center"/>
    </xf>
    <xf numFmtId="1" fontId="2" fillId="0" borderId="3" xfId="9" quotePrefix="1" applyNumberFormat="1" applyFont="1" applyBorder="1" applyAlignment="1">
      <alignment horizontal="center"/>
    </xf>
    <xf numFmtId="3" fontId="2" fillId="0" borderId="2" xfId="9" applyNumberFormat="1" applyFont="1" applyBorder="1"/>
    <xf numFmtId="3" fontId="2" fillId="0" borderId="3" xfId="9" applyNumberFormat="1" applyFont="1" applyBorder="1"/>
    <xf numFmtId="3" fontId="3" fillId="0" borderId="25" xfId="9" applyNumberFormat="1" applyBorder="1"/>
    <xf numFmtId="2" fontId="3" fillId="0" borderId="0" xfId="9" applyNumberFormat="1"/>
    <xf numFmtId="2" fontId="5" fillId="0" borderId="0" xfId="9" applyNumberFormat="1" applyFont="1"/>
    <xf numFmtId="3" fontId="2" fillId="0" borderId="1" xfId="9" applyNumberFormat="1" applyFont="1" applyBorder="1"/>
    <xf numFmtId="4" fontId="3" fillId="0" borderId="0" xfId="9" applyNumberFormat="1"/>
    <xf numFmtId="3" fontId="3" fillId="0" borderId="34" xfId="9" applyNumberFormat="1" applyBorder="1"/>
    <xf numFmtId="1" fontId="2" fillId="0" borderId="0" xfId="9" applyNumberFormat="1" applyFont="1"/>
    <xf numFmtId="3" fontId="2" fillId="0" borderId="8" xfId="9" applyNumberFormat="1" applyFont="1" applyBorder="1"/>
    <xf numFmtId="3" fontId="3" fillId="0" borderId="0" xfId="9" applyNumberFormat="1" applyAlignment="1">
      <alignment horizontal="left" vertical="top" wrapText="1"/>
    </xf>
    <xf numFmtId="0" fontId="3" fillId="0" borderId="0" xfId="9" applyAlignment="1">
      <alignment horizontal="justify" vertical="top" wrapText="1"/>
    </xf>
    <xf numFmtId="3" fontId="3" fillId="0" borderId="0" xfId="9" quotePrefix="1" applyNumberFormat="1" applyAlignment="1">
      <alignment horizontal="right"/>
    </xf>
    <xf numFmtId="171" fontId="3" fillId="0" borderId="0" xfId="9" applyNumberFormat="1"/>
    <xf numFmtId="0" fontId="13" fillId="0" borderId="0" xfId="9" applyFont="1"/>
    <xf numFmtId="10" fontId="26" fillId="0" borderId="0" xfId="2" applyNumberFormat="1" applyFont="1"/>
    <xf numFmtId="175" fontId="9" fillId="0" borderId="0" xfId="2" applyNumberFormat="1" applyFont="1" applyAlignment="1">
      <alignment horizontal="right" vertical="top"/>
    </xf>
    <xf numFmtId="173" fontId="13" fillId="0" borderId="0" xfId="2" applyNumberFormat="1" applyFont="1"/>
    <xf numFmtId="0" fontId="3" fillId="0" borderId="5" xfId="9" applyBorder="1" applyAlignment="1">
      <alignment vertical="center"/>
    </xf>
    <xf numFmtId="0" fontId="3" fillId="0" borderId="6" xfId="9" applyBorder="1" applyAlignment="1">
      <alignment vertical="center"/>
    </xf>
    <xf numFmtId="3" fontId="4" fillId="0" borderId="0" xfId="2" applyNumberFormat="1" applyFont="1"/>
    <xf numFmtId="1" fontId="6" fillId="0" borderId="0" xfId="24" applyNumberFormat="1" applyFont="1"/>
    <xf numFmtId="1" fontId="6" fillId="0" borderId="0" xfId="24" applyNumberFormat="1" applyFont="1" applyAlignment="1">
      <alignment horizontal="center"/>
    </xf>
    <xf numFmtId="3" fontId="3" fillId="0" borderId="0" xfId="24" applyNumberFormat="1"/>
    <xf numFmtId="10" fontId="9" fillId="0" borderId="0" xfId="24" applyNumberFormat="1" applyFont="1" applyAlignment="1">
      <alignment horizontal="right"/>
    </xf>
    <xf numFmtId="0" fontId="9" fillId="0" borderId="0" xfId="24" applyFont="1" applyAlignment="1">
      <alignment horizontal="right"/>
    </xf>
    <xf numFmtId="1" fontId="2" fillId="0" borderId="0" xfId="2" applyNumberFormat="1" applyAlignment="1">
      <alignment horizontal="center" vertical="center"/>
    </xf>
    <xf numFmtId="0" fontId="5" fillId="0" borderId="0" xfId="2" applyFont="1" applyAlignment="1">
      <alignment horizontal="left" vertical="center"/>
    </xf>
    <xf numFmtId="1" fontId="2" fillId="0" borderId="0" xfId="2" applyNumberFormat="1" applyAlignment="1">
      <alignment horizontal="left" vertical="center"/>
    </xf>
    <xf numFmtId="3" fontId="2" fillId="0" borderId="0" xfId="46" applyNumberFormat="1" applyFont="1" applyFill="1"/>
    <xf numFmtId="1" fontId="6" fillId="0" borderId="0" xfId="2" quotePrefix="1" applyNumberFormat="1" applyFont="1" applyAlignment="1">
      <alignment horizontal="right"/>
    </xf>
    <xf numFmtId="2" fontId="2" fillId="0" borderId="0" xfId="2" applyNumberFormat="1" applyAlignment="1">
      <alignment horizontal="justify" vertical="top" wrapText="1"/>
    </xf>
    <xf numFmtId="0" fontId="6" fillId="0" borderId="0" xfId="2" quotePrefix="1" applyFont="1" applyAlignment="1">
      <alignment horizontal="right"/>
    </xf>
    <xf numFmtId="191" fontId="2" fillId="0" borderId="0" xfId="2" applyNumberFormat="1"/>
    <xf numFmtId="3" fontId="60" fillId="0" borderId="0" xfId="2" applyNumberFormat="1" applyFont="1"/>
    <xf numFmtId="1" fontId="25" fillId="0" borderId="0" xfId="2" applyNumberFormat="1" applyFont="1"/>
    <xf numFmtId="0" fontId="0" fillId="0" borderId="0" xfId="0" applyAlignment="1">
      <alignment vertical="top" wrapText="1"/>
    </xf>
    <xf numFmtId="0" fontId="0" fillId="0" borderId="0" xfId="0" applyAlignment="1">
      <alignment horizontal="justify" vertical="top" wrapText="1"/>
    </xf>
    <xf numFmtId="3" fontId="2" fillId="0" borderId="0" xfId="2" applyNumberFormat="1" applyAlignment="1">
      <alignment wrapText="1"/>
    </xf>
    <xf numFmtId="0" fontId="5" fillId="0" borderId="0" xfId="24" applyFont="1" applyAlignment="1">
      <alignment horizontal="right"/>
    </xf>
    <xf numFmtId="1" fontId="15" fillId="0" borderId="0" xfId="27" applyNumberFormat="1" applyFont="1"/>
    <xf numFmtId="0" fontId="9" fillId="0" borderId="0" xfId="27" applyFont="1"/>
    <xf numFmtId="3" fontId="9" fillId="0" borderId="0" xfId="27" applyNumberFormat="1" applyFont="1"/>
    <xf numFmtId="0" fontId="9" fillId="0" borderId="0" xfId="27" applyFont="1" applyAlignment="1">
      <alignment horizontal="right"/>
    </xf>
    <xf numFmtId="1" fontId="9" fillId="0" borderId="0" xfId="27" applyNumberFormat="1" applyFont="1"/>
    <xf numFmtId="0" fontId="5" fillId="0" borderId="0" xfId="27" applyFont="1" applyAlignment="1">
      <alignment horizontal="right"/>
    </xf>
    <xf numFmtId="1" fontId="16" fillId="0" borderId="0" xfId="27" applyNumberFormat="1" applyFont="1"/>
    <xf numFmtId="3" fontId="9" fillId="0" borderId="6" xfId="27" applyNumberFormat="1" applyFont="1" applyBorder="1"/>
    <xf numFmtId="0" fontId="10" fillId="0" borderId="0" xfId="27" applyFont="1"/>
    <xf numFmtId="1" fontId="6" fillId="0" borderId="0" xfId="27" applyNumberFormat="1" applyFont="1"/>
    <xf numFmtId="1" fontId="3" fillId="0" borderId="0" xfId="27" applyNumberFormat="1"/>
    <xf numFmtId="3" fontId="3" fillId="0" borderId="0" xfId="27" applyNumberFormat="1"/>
    <xf numFmtId="3" fontId="5" fillId="0" borderId="0" xfId="27" quotePrefix="1" applyNumberFormat="1" applyFont="1" applyAlignment="1">
      <alignment horizontal="right"/>
    </xf>
    <xf numFmtId="173" fontId="5" fillId="0" borderId="0" xfId="25" applyNumberFormat="1" applyFont="1"/>
    <xf numFmtId="175" fontId="10" fillId="0" borderId="0" xfId="2" applyNumberFormat="1" applyFont="1"/>
    <xf numFmtId="3" fontId="11" fillId="0" borderId="0" xfId="2" applyNumberFormat="1" applyFont="1"/>
    <xf numFmtId="0" fontId="6" fillId="0" borderId="0" xfId="9" applyFont="1" applyAlignment="1">
      <alignment horizontal="center" vertical="center"/>
    </xf>
    <xf numFmtId="3" fontId="2" fillId="0" borderId="2" xfId="2" applyNumberFormat="1" applyBorder="1" applyAlignment="1">
      <alignment horizontal="right"/>
    </xf>
    <xf numFmtId="49" fontId="5" fillId="0" borderId="3" xfId="2" quotePrefix="1" applyNumberFormat="1" applyFont="1" applyBorder="1" applyAlignment="1">
      <alignment horizontal="center"/>
    </xf>
    <xf numFmtId="1" fontId="3" fillId="0" borderId="0" xfId="2" applyNumberFormat="1" applyFont="1" applyAlignment="1">
      <alignment horizontal="center"/>
    </xf>
    <xf numFmtId="0" fontId="2" fillId="0" borderId="3" xfId="2" applyBorder="1" applyAlignment="1">
      <alignment horizontal="center"/>
    </xf>
    <xf numFmtId="49" fontId="2" fillId="0" borderId="1" xfId="2" quotePrefix="1" applyNumberFormat="1" applyBorder="1" applyAlignment="1">
      <alignment horizontal="center"/>
    </xf>
    <xf numFmtId="49" fontId="3" fillId="0" borderId="5" xfId="9" applyNumberFormat="1" applyBorder="1" applyAlignment="1">
      <alignment horizontal="center" vertical="center"/>
    </xf>
    <xf numFmtId="3" fontId="2" fillId="0" borderId="14" xfId="2" applyNumberFormat="1" applyBorder="1"/>
    <xf numFmtId="0" fontId="2" fillId="0" borderId="1" xfId="2" applyBorder="1" applyAlignment="1">
      <alignment horizontal="left" vertical="center"/>
    </xf>
    <xf numFmtId="3" fontId="2" fillId="0" borderId="13" xfId="2" applyNumberFormat="1" applyBorder="1"/>
    <xf numFmtId="1" fontId="5" fillId="0" borderId="3" xfId="2" quotePrefix="1" applyNumberFormat="1" applyFont="1" applyBorder="1" applyAlignment="1">
      <alignment horizontal="justify"/>
    </xf>
    <xf numFmtId="1" fontId="5" fillId="0" borderId="3" xfId="2" applyNumberFormat="1" applyFont="1" applyBorder="1" applyAlignment="1">
      <alignment horizontal="left" vertical="center"/>
    </xf>
    <xf numFmtId="1" fontId="5" fillId="0" borderId="3" xfId="2" applyNumberFormat="1" applyFont="1" applyBorder="1" applyAlignment="1">
      <alignment horizontal="center" vertical="center"/>
    </xf>
    <xf numFmtId="0" fontId="6" fillId="0" borderId="1" xfId="2" applyFont="1" applyBorder="1" applyAlignment="1">
      <alignment horizontal="left" vertical="center"/>
    </xf>
    <xf numFmtId="49" fontId="2" fillId="0" borderId="1" xfId="2" applyNumberFormat="1" applyBorder="1" applyAlignment="1">
      <alignment horizontal="center"/>
    </xf>
    <xf numFmtId="49" fontId="5" fillId="0" borderId="3" xfId="2" applyNumberFormat="1" applyFont="1" applyBorder="1" applyAlignment="1">
      <alignment horizontal="center" vertical="center"/>
    </xf>
    <xf numFmtId="0" fontId="6" fillId="0" borderId="0" xfId="2" quotePrefix="1" applyFont="1" applyAlignment="1">
      <alignment vertical="top"/>
    </xf>
    <xf numFmtId="0" fontId="2" fillId="0" borderId="0" xfId="28" applyFont="1" applyAlignment="1">
      <alignment horizontal="left"/>
    </xf>
    <xf numFmtId="3" fontId="2" fillId="0" borderId="0" xfId="28" applyNumberFormat="1" applyFont="1"/>
    <xf numFmtId="189" fontId="2" fillId="0" borderId="0" xfId="2" applyNumberFormat="1" applyAlignment="1">
      <alignment horizontal="left"/>
    </xf>
    <xf numFmtId="190" fontId="2" fillId="0" borderId="0" xfId="2" applyNumberFormat="1" applyAlignment="1">
      <alignment horizontal="left"/>
    </xf>
    <xf numFmtId="0" fontId="2" fillId="0" borderId="0" xfId="30" quotePrefix="1" applyFont="1"/>
    <xf numFmtId="0" fontId="5" fillId="0" borderId="0" xfId="30" quotePrefix="1" applyFont="1"/>
    <xf numFmtId="0" fontId="21" fillId="0" borderId="0" xfId="30" quotePrefix="1" applyFont="1"/>
    <xf numFmtId="175" fontId="2" fillId="0" borderId="0" xfId="28" applyNumberFormat="1" applyFont="1"/>
    <xf numFmtId="174" fontId="2" fillId="0" borderId="0" xfId="2" applyNumberFormat="1" applyAlignment="1">
      <alignment horizontal="right"/>
    </xf>
    <xf numFmtId="3" fontId="2" fillId="0" borderId="0" xfId="2" applyNumberFormat="1" applyAlignment="1">
      <alignment horizontal="right" wrapText="1"/>
    </xf>
    <xf numFmtId="3" fontId="6" fillId="0" borderId="0" xfId="2" applyNumberFormat="1" applyFont="1" applyAlignment="1">
      <alignment horizontal="center"/>
    </xf>
    <xf numFmtId="10" fontId="13" fillId="0" borderId="0" xfId="2" applyNumberFormat="1" applyFont="1"/>
    <xf numFmtId="10" fontId="5" fillId="0" borderId="0" xfId="25" applyNumberFormat="1" applyFont="1"/>
    <xf numFmtId="173" fontId="3" fillId="0" borderId="0" xfId="25" applyNumberFormat="1" applyAlignment="1">
      <alignment horizontal="right"/>
    </xf>
    <xf numFmtId="173" fontId="3" fillId="0" borderId="0" xfId="25" applyNumberFormat="1"/>
    <xf numFmtId="173" fontId="2" fillId="0" borderId="0" xfId="25" applyNumberFormat="1" applyFont="1"/>
    <xf numFmtId="173" fontId="59" fillId="0" borderId="0" xfId="0" applyNumberFormat="1" applyFont="1"/>
    <xf numFmtId="173" fontId="3" fillId="0" borderId="6" xfId="25" applyNumberFormat="1" applyBorder="1"/>
    <xf numFmtId="173" fontId="2" fillId="0" borderId="6" xfId="25" applyNumberFormat="1" applyFont="1" applyBorder="1"/>
    <xf numFmtId="3" fontId="11" fillId="0" borderId="0" xfId="27" applyNumberFormat="1" applyFont="1"/>
    <xf numFmtId="1" fontId="3" fillId="0" borderId="0" xfId="2" applyNumberFormat="1" applyFont="1" applyAlignment="1">
      <alignment horizontal="left"/>
    </xf>
    <xf numFmtId="3" fontId="5" fillId="0" borderId="1" xfId="2" applyNumberFormat="1" applyFont="1" applyBorder="1"/>
    <xf numFmtId="0" fontId="5" fillId="0" borderId="1" xfId="2" quotePrefix="1" applyFont="1" applyBorder="1" applyAlignment="1">
      <alignment horizontal="left"/>
    </xf>
    <xf numFmtId="3" fontId="2" fillId="0" borderId="3" xfId="2" quotePrefix="1" applyNumberFormat="1" applyBorder="1" applyAlignment="1">
      <alignment horizontal="right"/>
    </xf>
    <xf numFmtId="1" fontId="2" fillId="0" borderId="2" xfId="2" quotePrefix="1" applyNumberFormat="1" applyBorder="1" applyAlignment="1">
      <alignment horizontal="center"/>
    </xf>
    <xf numFmtId="1" fontId="2" fillId="0" borderId="2" xfId="2" applyNumberFormat="1" applyBorder="1" applyAlignment="1">
      <alignment horizontal="center"/>
    </xf>
    <xf numFmtId="186" fontId="2" fillId="0" borderId="0" xfId="2" applyNumberFormat="1"/>
    <xf numFmtId="49" fontId="5" fillId="0" borderId="0" xfId="9" applyNumberFormat="1" applyFont="1" applyAlignment="1">
      <alignment horizontal="center"/>
    </xf>
    <xf numFmtId="49" fontId="3" fillId="0" borderId="0" xfId="9" quotePrefix="1" applyNumberFormat="1" applyAlignment="1">
      <alignment horizontal="center"/>
    </xf>
    <xf numFmtId="0" fontId="2" fillId="0" borderId="0" xfId="2" applyAlignment="1">
      <alignment horizontal="justify" vertical="justify" wrapText="1"/>
    </xf>
    <xf numFmtId="1" fontId="6" fillId="0" borderId="0" xfId="2" quotePrefix="1" applyNumberFormat="1" applyFont="1" applyAlignment="1">
      <alignment horizontal="center"/>
    </xf>
    <xf numFmtId="0" fontId="3" fillId="0" borderId="0" xfId="2" applyFont="1" applyAlignment="1">
      <alignment vertical="top"/>
    </xf>
    <xf numFmtId="37" fontId="2" fillId="0" borderId="0" xfId="2" applyNumberFormat="1"/>
    <xf numFmtId="37" fontId="2" fillId="0" borderId="0" xfId="2" applyNumberFormat="1" applyAlignment="1">
      <alignment vertical="top"/>
    </xf>
    <xf numFmtId="2" fontId="2" fillId="0" borderId="0" xfId="2" applyNumberFormat="1" applyAlignment="1">
      <alignment vertical="top"/>
    </xf>
    <xf numFmtId="3" fontId="2" fillId="0" borderId="12" xfId="2" applyNumberFormat="1" applyBorder="1" applyAlignment="1">
      <alignment vertical="top"/>
    </xf>
    <xf numFmtId="2" fontId="2" fillId="0" borderId="0" xfId="2" quotePrefix="1" applyNumberFormat="1" applyAlignment="1">
      <alignment vertical="top"/>
    </xf>
    <xf numFmtId="1" fontId="6" fillId="0" borderId="0" xfId="2" quotePrefix="1" applyNumberFormat="1" applyFont="1"/>
    <xf numFmtId="0" fontId="2" fillId="0" borderId="0" xfId="2" applyAlignment="1">
      <alignment horizontal="right" vertical="top"/>
    </xf>
    <xf numFmtId="0" fontId="3" fillId="0" borderId="0" xfId="26"/>
    <xf numFmtId="1" fontId="6" fillId="0" borderId="37" xfId="2" applyNumberFormat="1" applyFont="1" applyBorder="1"/>
    <xf numFmtId="1" fontId="5" fillId="0" borderId="0" xfId="2" quotePrefix="1" applyNumberFormat="1" applyFont="1" applyAlignment="1">
      <alignment horizontal="left" vertical="top"/>
    </xf>
    <xf numFmtId="187" fontId="2" fillId="0" borderId="0" xfId="2" applyNumberFormat="1" applyAlignment="1">
      <alignment vertical="top"/>
    </xf>
    <xf numFmtId="0" fontId="6" fillId="0" borderId="6" xfId="2" applyFont="1" applyBorder="1" applyAlignment="1">
      <alignment horizontal="right" vertical="top" wrapText="1"/>
    </xf>
    <xf numFmtId="0" fontId="14" fillId="0" borderId="0" xfId="2" quotePrefix="1" applyFont="1"/>
    <xf numFmtId="1" fontId="5" fillId="0" borderId="0" xfId="27" applyNumberFormat="1" applyFont="1"/>
    <xf numFmtId="3" fontId="4" fillId="0" borderId="0" xfId="27" applyNumberFormat="1" applyFont="1"/>
    <xf numFmtId="1" fontId="2" fillId="0" borderId="37" xfId="2" applyNumberFormat="1" applyBorder="1"/>
    <xf numFmtId="1" fontId="5" fillId="0" borderId="1" xfId="2" applyNumberFormat="1" applyFont="1" applyBorder="1"/>
    <xf numFmtId="1" fontId="2" fillId="0" borderId="6" xfId="2" applyNumberFormat="1" applyBorder="1"/>
    <xf numFmtId="3" fontId="2" fillId="0" borderId="25" xfId="2" applyNumberFormat="1" applyBorder="1"/>
    <xf numFmtId="0" fontId="62" fillId="0" borderId="0" xfId="0" applyFont="1"/>
    <xf numFmtId="3" fontId="2" fillId="0" borderId="34" xfId="2" applyNumberFormat="1" applyBorder="1"/>
    <xf numFmtId="0" fontId="17" fillId="0" borderId="0" xfId="0" applyFont="1"/>
    <xf numFmtId="3" fontId="0" fillId="0" borderId="6" xfId="0" applyNumberFormat="1" applyBorder="1"/>
    <xf numFmtId="3" fontId="61" fillId="0" borderId="0" xfId="0" applyNumberFormat="1" applyFont="1"/>
    <xf numFmtId="3" fontId="17" fillId="0" borderId="0" xfId="0" applyNumberFormat="1" applyFont="1"/>
    <xf numFmtId="1" fontId="5" fillId="0" borderId="0" xfId="2" applyNumberFormat="1" applyFont="1" applyAlignment="1">
      <alignment horizontal="left" wrapText="1"/>
    </xf>
    <xf numFmtId="1" fontId="2" fillId="0" borderId="0" xfId="2" applyNumberFormat="1" applyAlignment="1">
      <alignment horizontal="center" wrapText="1"/>
    </xf>
    <xf numFmtId="3" fontId="3" fillId="0" borderId="0" xfId="26" applyNumberFormat="1"/>
    <xf numFmtId="3" fontId="2" fillId="0" borderId="0" xfId="26" applyNumberFormat="1" applyFont="1"/>
    <xf numFmtId="14" fontId="2" fillId="0" borderId="0" xfId="2" applyNumberFormat="1"/>
    <xf numFmtId="14" fontId="2" fillId="0" borderId="0" xfId="2" applyNumberFormat="1" applyAlignment="1">
      <alignment horizontal="right"/>
    </xf>
    <xf numFmtId="1" fontId="3" fillId="0" borderId="0" xfId="12" applyNumberFormat="1"/>
    <xf numFmtId="1" fontId="3" fillId="0" borderId="0" xfId="12" applyNumberFormat="1" applyAlignment="1">
      <alignment horizontal="center"/>
    </xf>
    <xf numFmtId="0" fontId="3" fillId="0" borderId="0" xfId="12"/>
    <xf numFmtId="1" fontId="3" fillId="0" borderId="2" xfId="9" applyNumberFormat="1" applyBorder="1" applyAlignment="1">
      <alignment horizontal="center"/>
    </xf>
    <xf numFmtId="1" fontId="3" fillId="0" borderId="2" xfId="9" quotePrefix="1" applyNumberFormat="1" applyBorder="1" applyAlignment="1">
      <alignment horizontal="center"/>
    </xf>
    <xf numFmtId="1" fontId="3" fillId="0" borderId="4" xfId="9" quotePrefix="1" applyNumberFormat="1" applyBorder="1" applyAlignment="1">
      <alignment horizontal="center"/>
    </xf>
    <xf numFmtId="0" fontId="28" fillId="0" borderId="0" xfId="2" applyFont="1"/>
    <xf numFmtId="1" fontId="3" fillId="0" borderId="7" xfId="9" applyNumberFormat="1" applyBorder="1" applyAlignment="1">
      <alignment horizontal="center"/>
    </xf>
    <xf numFmtId="1" fontId="3" fillId="0" borderId="4" xfId="9" applyNumberFormat="1" applyBorder="1" applyAlignment="1">
      <alignment horizontal="center"/>
    </xf>
    <xf numFmtId="1" fontId="5" fillId="0" borderId="0" xfId="12" applyNumberFormat="1" applyFont="1" applyAlignment="1">
      <alignment horizontal="left"/>
    </xf>
    <xf numFmtId="0" fontId="6" fillId="0" borderId="0" xfId="12" applyFont="1"/>
    <xf numFmtId="0" fontId="3" fillId="0" borderId="0" xfId="12" quotePrefix="1"/>
    <xf numFmtId="0" fontId="2" fillId="0" borderId="0" xfId="12" quotePrefix="1" applyFont="1"/>
    <xf numFmtId="0" fontId="3" fillId="0" borderId="0" xfId="24" quotePrefix="1"/>
    <xf numFmtId="1" fontId="3" fillId="0" borderId="0" xfId="12" applyNumberFormat="1" applyAlignment="1">
      <alignment horizontal="left"/>
    </xf>
    <xf numFmtId="202" fontId="2" fillId="0" borderId="0" xfId="2" applyNumberFormat="1"/>
    <xf numFmtId="1" fontId="3" fillId="0" borderId="3" xfId="12" quotePrefix="1" applyNumberFormat="1" applyBorder="1" applyAlignment="1">
      <alignment horizontal="center"/>
    </xf>
    <xf numFmtId="0" fontId="3" fillId="0" borderId="1" xfId="12" applyBorder="1"/>
    <xf numFmtId="3" fontId="3" fillId="0" borderId="2" xfId="12" applyNumberFormat="1" applyBorder="1"/>
    <xf numFmtId="1" fontId="3" fillId="0" borderId="0" xfId="9" applyNumberFormat="1" applyAlignment="1">
      <alignment vertical="top"/>
    </xf>
    <xf numFmtId="1" fontId="3" fillId="0" borderId="0" xfId="9" applyNumberFormat="1" applyAlignment="1">
      <alignment horizontal="justify" vertical="top" wrapText="1"/>
    </xf>
    <xf numFmtId="1" fontId="6" fillId="0" borderId="6" xfId="9" quotePrefix="1" applyNumberFormat="1" applyFont="1" applyBorder="1" applyAlignment="1">
      <alignment horizontal="right"/>
    </xf>
    <xf numFmtId="0" fontId="5" fillId="0" borderId="0" xfId="9" applyFont="1" applyAlignment="1">
      <alignment horizontal="left"/>
    </xf>
    <xf numFmtId="0" fontId="6" fillId="0" borderId="6" xfId="9" applyFont="1" applyBorder="1" applyAlignment="1">
      <alignment horizontal="right"/>
    </xf>
    <xf numFmtId="179" fontId="3" fillId="0" borderId="0" xfId="9" applyNumberFormat="1"/>
    <xf numFmtId="179" fontId="3" fillId="0" borderId="0" xfId="9" applyNumberFormat="1" applyAlignment="1">
      <alignment vertical="top"/>
    </xf>
    <xf numFmtId="179" fontId="5" fillId="0" borderId="0" xfId="9" applyNumberFormat="1" applyFont="1" applyAlignment="1">
      <alignment vertical="top"/>
    </xf>
    <xf numFmtId="179" fontId="6" fillId="0" borderId="0" xfId="9" applyNumberFormat="1" applyFont="1" applyAlignment="1">
      <alignment vertical="top"/>
    </xf>
    <xf numFmtId="10" fontId="9" fillId="0" borderId="0" xfId="0" applyNumberFormat="1" applyFont="1"/>
    <xf numFmtId="1" fontId="2" fillId="0" borderId="0" xfId="12" applyNumberFormat="1" applyFont="1"/>
    <xf numFmtId="1" fontId="2" fillId="0" borderId="0" xfId="12" applyNumberFormat="1" applyFont="1" applyAlignment="1">
      <alignment horizontal="center"/>
    </xf>
    <xf numFmtId="0" fontId="2" fillId="0" borderId="0" xfId="12" applyFont="1"/>
    <xf numFmtId="49" fontId="2" fillId="0" borderId="0" xfId="9" applyNumberFormat="1" applyFont="1" applyAlignment="1">
      <alignment horizontal="center"/>
    </xf>
    <xf numFmtId="3" fontId="2" fillId="0" borderId="0" xfId="9" applyNumberFormat="1" applyFont="1" applyAlignment="1">
      <alignment horizontal="center"/>
    </xf>
    <xf numFmtId="0" fontId="2" fillId="0" borderId="2" xfId="9" applyFont="1" applyBorder="1"/>
    <xf numFmtId="1" fontId="2" fillId="0" borderId="5" xfId="9" applyNumberFormat="1" applyFont="1" applyBorder="1"/>
    <xf numFmtId="49" fontId="2" fillId="0" borderId="6" xfId="9" applyNumberFormat="1" applyFont="1" applyBorder="1" applyAlignment="1">
      <alignment horizontal="center"/>
    </xf>
    <xf numFmtId="3" fontId="2" fillId="0" borderId="6" xfId="9" applyNumberFormat="1" applyFont="1" applyBorder="1" applyAlignment="1">
      <alignment horizontal="center"/>
    </xf>
    <xf numFmtId="0" fontId="2" fillId="0" borderId="6" xfId="9" applyFont="1" applyBorder="1"/>
    <xf numFmtId="0" fontId="2" fillId="0" borderId="37" xfId="9" applyFont="1" applyBorder="1" applyAlignment="1">
      <alignment vertical="center"/>
    </xf>
    <xf numFmtId="0" fontId="2" fillId="0" borderId="37" xfId="9" applyFont="1" applyBorder="1"/>
    <xf numFmtId="1" fontId="2" fillId="0" borderId="37" xfId="9" applyNumberFormat="1" applyFont="1" applyBorder="1"/>
    <xf numFmtId="1" fontId="2" fillId="0" borderId="6" xfId="9" applyNumberFormat="1" applyFont="1" applyBorder="1"/>
    <xf numFmtId="3" fontId="2" fillId="0" borderId="7" xfId="9" applyNumberFormat="1" applyFont="1" applyBorder="1"/>
    <xf numFmtId="3" fontId="2" fillId="0" borderId="37" xfId="9" applyNumberFormat="1" applyFont="1" applyBorder="1"/>
    <xf numFmtId="3" fontId="2" fillId="0" borderId="6" xfId="9" applyNumberFormat="1" applyFont="1" applyBorder="1"/>
    <xf numFmtId="49" fontId="2" fillId="0" borderId="7" xfId="9" applyNumberFormat="1" applyFont="1" applyBorder="1" applyAlignment="1">
      <alignment horizontal="center" vertical="center"/>
    </xf>
    <xf numFmtId="0" fontId="2" fillId="0" borderId="4" xfId="9" applyFont="1" applyBorder="1" applyAlignment="1">
      <alignment horizontal="center" vertical="center"/>
    </xf>
    <xf numFmtId="0" fontId="2" fillId="0" borderId="7" xfId="2" applyBorder="1"/>
    <xf numFmtId="1" fontId="5" fillId="0" borderId="0" xfId="2" quotePrefix="1" applyNumberFormat="1" applyFont="1" applyAlignment="1">
      <alignment horizontal="right"/>
    </xf>
    <xf numFmtId="173" fontId="13" fillId="0" borderId="0" xfId="10" applyNumberFormat="1" applyFont="1"/>
    <xf numFmtId="173" fontId="5" fillId="0" borderId="6" xfId="2" applyNumberFormat="1" applyFont="1" applyBorder="1"/>
    <xf numFmtId="173" fontId="3" fillId="0" borderId="0" xfId="10" applyNumberFormat="1" applyAlignment="1">
      <alignment horizontal="right"/>
    </xf>
    <xf numFmtId="173" fontId="3" fillId="0" borderId="0" xfId="10" applyNumberFormat="1"/>
    <xf numFmtId="44" fontId="2" fillId="0" borderId="0" xfId="72" applyFont="1" applyFill="1" applyBorder="1"/>
    <xf numFmtId="44" fontId="2" fillId="0" borderId="6" xfId="72" applyFont="1" applyFill="1" applyBorder="1"/>
    <xf numFmtId="44" fontId="2" fillId="0" borderId="37" xfId="2" applyNumberFormat="1" applyBorder="1"/>
    <xf numFmtId="44" fontId="2" fillId="0" borderId="0" xfId="2" applyNumberFormat="1"/>
    <xf numFmtId="1" fontId="25" fillId="0" borderId="0" xfId="2" applyNumberFormat="1" applyFont="1" applyAlignment="1">
      <alignment horizontal="center"/>
    </xf>
    <xf numFmtId="1" fontId="14" fillId="0" borderId="0" xfId="2" applyNumberFormat="1" applyFont="1"/>
    <xf numFmtId="1" fontId="14" fillId="0" borderId="0" xfId="2" applyNumberFormat="1" applyFont="1" applyAlignment="1">
      <alignment horizontal="center"/>
    </xf>
    <xf numFmtId="173" fontId="2" fillId="0" borderId="6" xfId="2" applyNumberFormat="1" applyBorder="1"/>
    <xf numFmtId="185" fontId="2" fillId="0" borderId="0" xfId="2" applyNumberFormat="1"/>
    <xf numFmtId="185" fontId="14" fillId="0" borderId="0" xfId="2" applyNumberFormat="1" applyFont="1"/>
    <xf numFmtId="1" fontId="3" fillId="0" borderId="0" xfId="6" applyNumberFormat="1" applyAlignment="1">
      <alignment horizontal="center"/>
    </xf>
    <xf numFmtId="0" fontId="3" fillId="0" borderId="0" xfId="6" quotePrefix="1"/>
    <xf numFmtId="0" fontId="5" fillId="0" borderId="0" xfId="6" applyFont="1"/>
    <xf numFmtId="3" fontId="5" fillId="0" borderId="0" xfId="6" applyNumberFormat="1" applyFont="1" applyAlignment="1">
      <alignment horizontal="right"/>
    </xf>
    <xf numFmtId="10" fontId="2" fillId="0" borderId="0" xfId="2" applyNumberFormat="1" applyAlignment="1">
      <alignment vertical="top"/>
    </xf>
    <xf numFmtId="204" fontId="2" fillId="0" borderId="0" xfId="2" applyNumberFormat="1"/>
    <xf numFmtId="10" fontId="10" fillId="0" borderId="0" xfId="2" applyNumberFormat="1" applyFont="1"/>
    <xf numFmtId="9" fontId="2" fillId="0" borderId="0" xfId="2" applyNumberFormat="1"/>
    <xf numFmtId="4" fontId="3" fillId="0" borderId="0" xfId="12" applyNumberFormat="1"/>
    <xf numFmtId="0" fontId="27" fillId="0" borderId="0" xfId="22"/>
    <xf numFmtId="0" fontId="4" fillId="0" borderId="0" xfId="22" applyFont="1"/>
    <xf numFmtId="0" fontId="2" fillId="0" borderId="0" xfId="22" applyFont="1"/>
    <xf numFmtId="0" fontId="3" fillId="0" borderId="0" xfId="12" applyAlignment="1">
      <alignment horizontal="left"/>
    </xf>
    <xf numFmtId="1" fontId="5" fillId="0" borderId="0" xfId="12" applyNumberFormat="1" applyFont="1"/>
    <xf numFmtId="1" fontId="5" fillId="0" borderId="0" xfId="12" applyNumberFormat="1" applyFont="1" applyAlignment="1">
      <alignment horizontal="center"/>
    </xf>
    <xf numFmtId="3" fontId="3" fillId="0" borderId="0" xfId="12" applyNumberFormat="1"/>
    <xf numFmtId="1" fontId="27" fillId="0" borderId="0" xfId="22" applyNumberFormat="1"/>
    <xf numFmtId="1" fontId="5" fillId="0" borderId="3" xfId="12" applyNumberFormat="1" applyFont="1" applyBorder="1" applyAlignment="1">
      <alignment horizontal="left"/>
    </xf>
    <xf numFmtId="1" fontId="5" fillId="0" borderId="3" xfId="12" applyNumberFormat="1" applyFont="1" applyBorder="1" applyAlignment="1">
      <alignment horizontal="center"/>
    </xf>
    <xf numFmtId="0" fontId="5" fillId="0" borderId="1" xfId="12" applyFont="1" applyBorder="1"/>
    <xf numFmtId="3" fontId="3" fillId="0" borderId="3" xfId="12" applyNumberFormat="1" applyBorder="1"/>
    <xf numFmtId="0" fontId="6" fillId="0" borderId="1" xfId="12" applyFont="1" applyBorder="1"/>
    <xf numFmtId="1" fontId="3" fillId="0" borderId="3" xfId="12" applyNumberFormat="1" applyBorder="1" applyAlignment="1">
      <alignment horizontal="center"/>
    </xf>
    <xf numFmtId="0" fontId="2" fillId="0" borderId="0" xfId="22" applyFont="1" applyAlignment="1">
      <alignment horizontal="left"/>
    </xf>
    <xf numFmtId="1" fontId="2" fillId="0" borderId="3" xfId="22" applyNumberFormat="1" applyFont="1" applyBorder="1" applyAlignment="1">
      <alignment horizontal="center"/>
    </xf>
    <xf numFmtId="0" fontId="2" fillId="0" borderId="1" xfId="22" applyFont="1" applyBorder="1"/>
    <xf numFmtId="3" fontId="2" fillId="0" borderId="2" xfId="22" applyNumberFormat="1" applyFont="1" applyBorder="1"/>
    <xf numFmtId="3" fontId="2" fillId="0" borderId="7" xfId="22" applyNumberFormat="1" applyFont="1" applyBorder="1"/>
    <xf numFmtId="0" fontId="3" fillId="0" borderId="0" xfId="22" applyFont="1"/>
    <xf numFmtId="3" fontId="3" fillId="0" borderId="8" xfId="12" applyNumberFormat="1" applyBorder="1"/>
    <xf numFmtId="1" fontId="5" fillId="0" borderId="3" xfId="22" applyNumberFormat="1" applyFont="1" applyBorder="1" applyAlignment="1">
      <alignment horizontal="left"/>
    </xf>
    <xf numFmtId="1" fontId="5" fillId="0" borderId="3" xfId="22" applyNumberFormat="1" applyFont="1" applyBorder="1" applyAlignment="1">
      <alignment horizontal="center"/>
    </xf>
    <xf numFmtId="0" fontId="5" fillId="0" borderId="1" xfId="22" applyFont="1" applyBorder="1"/>
    <xf numFmtId="3" fontId="2" fillId="0" borderId="3" xfId="22" applyNumberFormat="1" applyFont="1" applyBorder="1"/>
    <xf numFmtId="1" fontId="2" fillId="0" borderId="3" xfId="22" quotePrefix="1" applyNumberFormat="1" applyFont="1" applyBorder="1" applyAlignment="1">
      <alignment horizontal="center"/>
    </xf>
    <xf numFmtId="0" fontId="6" fillId="0" borderId="1" xfId="22" applyFont="1" applyBorder="1"/>
    <xf numFmtId="3" fontId="2" fillId="0" borderId="8" xfId="22" applyNumberFormat="1" applyFont="1" applyBorder="1"/>
    <xf numFmtId="3" fontId="2" fillId="0" borderId="9" xfId="22" applyNumberFormat="1" applyFont="1" applyBorder="1"/>
    <xf numFmtId="0" fontId="3" fillId="0" borderId="0" xfId="12" applyAlignment="1">
      <alignment horizontal="right"/>
    </xf>
    <xf numFmtId="1" fontId="5" fillId="0" borderId="3" xfId="22" quotePrefix="1" applyNumberFormat="1" applyFont="1" applyBorder="1" applyAlignment="1">
      <alignment horizontal="left"/>
    </xf>
    <xf numFmtId="10" fontId="2" fillId="0" borderId="0" xfId="22" applyNumberFormat="1" applyFont="1"/>
    <xf numFmtId="1" fontId="2" fillId="0" borderId="0" xfId="22" applyNumberFormat="1" applyFont="1"/>
    <xf numFmtId="1" fontId="3" fillId="0" borderId="0" xfId="12" quotePrefix="1" applyNumberFormat="1" applyAlignment="1">
      <alignment horizontal="center"/>
    </xf>
    <xf numFmtId="0" fontId="5" fillId="0" borderId="0" xfId="12" applyFont="1"/>
    <xf numFmtId="49" fontId="6" fillId="0" borderId="6" xfId="22" applyNumberFormat="1" applyFont="1" applyBorder="1" applyAlignment="1">
      <alignment horizontal="right"/>
    </xf>
    <xf numFmtId="1" fontId="5" fillId="0" borderId="0" xfId="22" applyNumberFormat="1" applyFont="1" applyAlignment="1">
      <alignment horizontal="left" vertical="top"/>
    </xf>
    <xf numFmtId="0" fontId="6" fillId="0" borderId="0" xfId="22" applyFont="1" applyAlignment="1">
      <alignment vertical="top" wrapText="1"/>
    </xf>
    <xf numFmtId="0" fontId="2" fillId="0" borderId="0" xfId="22" applyFont="1" applyAlignment="1">
      <alignment vertical="top" wrapText="1"/>
    </xf>
    <xf numFmtId="3" fontId="6" fillId="0" borderId="0" xfId="22" applyNumberFormat="1" applyFont="1" applyAlignment="1">
      <alignment vertical="top"/>
    </xf>
    <xf numFmtId="1" fontId="2" fillId="0" borderId="0" xfId="22" applyNumberFormat="1" applyFont="1" applyAlignment="1">
      <alignment horizontal="center" vertical="top"/>
    </xf>
    <xf numFmtId="0" fontId="2" fillId="0" borderId="0" xfId="22" applyFont="1" applyAlignment="1">
      <alignment vertical="top"/>
    </xf>
    <xf numFmtId="3" fontId="2" fillId="0" borderId="0" xfId="22" applyNumberFormat="1" applyFont="1" applyAlignment="1">
      <alignment vertical="top"/>
    </xf>
    <xf numFmtId="3" fontId="2" fillId="0" borderId="0" xfId="22" applyNumberFormat="1" applyFont="1" applyAlignment="1">
      <alignment horizontal="right" vertical="top"/>
    </xf>
    <xf numFmtId="0" fontId="5" fillId="0" borderId="0" xfId="22" applyFont="1" applyAlignment="1">
      <alignment vertical="top" wrapText="1"/>
    </xf>
    <xf numFmtId="3" fontId="2" fillId="0" borderId="0" xfId="22" applyNumberFormat="1" applyFont="1"/>
    <xf numFmtId="1" fontId="5" fillId="0" borderId="0" xfId="22" applyNumberFormat="1" applyFont="1" applyAlignment="1">
      <alignment horizontal="left"/>
    </xf>
    <xf numFmtId="0" fontId="5" fillId="0" borderId="0" xfId="22" applyFont="1"/>
    <xf numFmtId="0" fontId="6" fillId="0" borderId="0" xfId="22" applyFont="1"/>
    <xf numFmtId="49" fontId="6" fillId="0" borderId="0" xfId="22" applyNumberFormat="1" applyFont="1" applyAlignment="1">
      <alignment horizontal="right"/>
    </xf>
    <xf numFmtId="1" fontId="2" fillId="0" borderId="0" xfId="22" applyNumberFormat="1" applyFont="1" applyAlignment="1">
      <alignment horizontal="center"/>
    </xf>
    <xf numFmtId="3" fontId="2" fillId="0" borderId="0" xfId="22" applyNumberFormat="1" applyFont="1" applyAlignment="1">
      <alignment horizontal="right"/>
    </xf>
    <xf numFmtId="1" fontId="2" fillId="0" borderId="0" xfId="22" applyNumberFormat="1" applyFont="1" applyAlignment="1">
      <alignment horizontal="left"/>
    </xf>
    <xf numFmtId="0" fontId="2" fillId="0" borderId="0" xfId="22" quotePrefix="1" applyFont="1"/>
    <xf numFmtId="4" fontId="2" fillId="0" borderId="0" xfId="22" applyNumberFormat="1" applyFont="1"/>
    <xf numFmtId="0" fontId="5" fillId="0" borderId="0" xfId="22" applyFont="1" applyAlignment="1">
      <alignment horizontal="left"/>
    </xf>
    <xf numFmtId="0" fontId="6" fillId="0" borderId="0" xfId="22" applyFont="1" applyAlignment="1">
      <alignment horizontal="left"/>
    </xf>
    <xf numFmtId="0" fontId="6" fillId="0" borderId="0" xfId="12" quotePrefix="1" applyFont="1"/>
    <xf numFmtId="1" fontId="6" fillId="0" borderId="0" xfId="12" applyNumberFormat="1" applyFont="1" applyAlignment="1">
      <alignment horizontal="right"/>
    </xf>
    <xf numFmtId="0" fontId="2" fillId="0" borderId="0" xfId="22" quotePrefix="1" applyFont="1" applyAlignment="1">
      <alignment vertical="top"/>
    </xf>
    <xf numFmtId="0" fontId="2" fillId="0" borderId="0" xfId="22" quotePrefix="1" applyFont="1" applyAlignment="1">
      <alignment horizontal="left" vertical="top" wrapText="1"/>
    </xf>
    <xf numFmtId="0" fontId="2" fillId="0" borderId="0" xfId="22" applyFont="1" applyAlignment="1">
      <alignment horizontal="justify" vertical="top" wrapText="1"/>
    </xf>
    <xf numFmtId="0" fontId="2" fillId="0" borderId="0" xfId="22" applyFont="1" applyAlignment="1">
      <alignment horizontal="left" vertical="top"/>
    </xf>
    <xf numFmtId="0" fontId="5" fillId="0" borderId="0" xfId="22" applyFont="1" applyAlignment="1">
      <alignment horizontal="left" vertical="top" wrapText="1"/>
    </xf>
    <xf numFmtId="0" fontId="2" fillId="0" borderId="0" xfId="22" applyFont="1" applyAlignment="1">
      <alignment horizontal="left" vertical="top" wrapText="1"/>
    </xf>
    <xf numFmtId="0" fontId="9" fillId="0" borderId="0" xfId="0" applyFont="1"/>
    <xf numFmtId="0" fontId="9" fillId="0" borderId="0" xfId="0" applyFont="1" applyAlignment="1">
      <alignment horizontal="center"/>
    </xf>
    <xf numFmtId="1" fontId="9" fillId="0" borderId="0" xfId="0" applyNumberFormat="1" applyFont="1"/>
    <xf numFmtId="1" fontId="9" fillId="0" borderId="0" xfId="0" applyNumberFormat="1" applyFont="1" applyAlignment="1">
      <alignment horizontal="center"/>
    </xf>
    <xf numFmtId="0" fontId="20" fillId="0" borderId="0" xfId="0" applyFont="1" applyAlignment="1">
      <alignment horizontal="left" vertical="center"/>
    </xf>
    <xf numFmtId="0" fontId="20" fillId="0" borderId="0" xfId="0" applyFont="1" applyAlignment="1">
      <alignment horizontal="center" vertical="center"/>
    </xf>
    <xf numFmtId="0" fontId="9" fillId="0" borderId="0" xfId="0" applyFont="1" applyAlignment="1">
      <alignment horizontal="left"/>
    </xf>
    <xf numFmtId="0" fontId="9" fillId="0" borderId="0" xfId="0" quotePrefix="1" applyFont="1"/>
    <xf numFmtId="1" fontId="9" fillId="0" borderId="0" xfId="0" applyNumberFormat="1" applyFont="1" applyAlignment="1">
      <alignment horizontal="left"/>
    </xf>
    <xf numFmtId="0" fontId="9" fillId="0" borderId="1" xfId="0" applyFont="1" applyBorder="1"/>
    <xf numFmtId="0" fontId="8" fillId="0" borderId="0" xfId="0" applyFont="1"/>
    <xf numFmtId="1" fontId="5" fillId="0" borderId="0" xfId="0" applyNumberFormat="1" applyFont="1"/>
    <xf numFmtId="49" fontId="9" fillId="0" borderId="7" xfId="0" applyNumberFormat="1" applyFont="1" applyBorder="1" applyAlignment="1">
      <alignment horizontal="center" vertical="center"/>
    </xf>
    <xf numFmtId="1" fontId="9" fillId="0" borderId="3" xfId="0" quotePrefix="1" applyNumberFormat="1" applyFont="1" applyBorder="1" applyAlignment="1">
      <alignment horizontal="center"/>
    </xf>
    <xf numFmtId="0" fontId="9" fillId="0" borderId="37" xfId="0" applyFont="1" applyBorder="1"/>
    <xf numFmtId="3" fontId="9" fillId="0" borderId="3" xfId="0" applyNumberFormat="1" applyFont="1" applyBorder="1"/>
    <xf numFmtId="1" fontId="5" fillId="0" borderId="3" xfId="0" applyNumberFormat="1" applyFont="1" applyBorder="1" applyAlignment="1">
      <alignment horizontal="left"/>
    </xf>
    <xf numFmtId="1" fontId="5" fillId="0" borderId="3" xfId="0" applyNumberFormat="1" applyFont="1" applyBorder="1" applyAlignment="1">
      <alignment horizontal="center"/>
    </xf>
    <xf numFmtId="3" fontId="9" fillId="0" borderId="2" xfId="0" applyNumberFormat="1" applyFont="1" applyBorder="1"/>
    <xf numFmtId="0" fontId="5" fillId="0" borderId="1" xfId="0" applyFont="1" applyBorder="1"/>
    <xf numFmtId="3" fontId="5" fillId="0" borderId="2" xfId="0" applyNumberFormat="1" applyFont="1" applyBorder="1" applyAlignment="1">
      <alignment horizontal="right"/>
    </xf>
    <xf numFmtId="3" fontId="5" fillId="0" borderId="0" xfId="0" applyNumberFormat="1" applyFont="1" applyAlignment="1">
      <alignment horizontal="right"/>
    </xf>
    <xf numFmtId="0" fontId="6" fillId="0" borderId="1" xfId="0" applyFont="1" applyBorder="1"/>
    <xf numFmtId="0" fontId="9" fillId="0" borderId="0" xfId="0" applyFont="1" applyAlignment="1">
      <alignment horizontal="center" vertical="top" wrapText="1"/>
    </xf>
    <xf numFmtId="1" fontId="9" fillId="0" borderId="3" xfId="0" applyNumberFormat="1" applyFont="1" applyBorder="1" applyAlignment="1">
      <alignment horizontal="center"/>
    </xf>
    <xf numFmtId="1" fontId="5" fillId="0" borderId="1" xfId="0" quotePrefix="1" applyNumberFormat="1" applyFont="1" applyBorder="1" applyAlignment="1">
      <alignment horizontal="left"/>
    </xf>
    <xf numFmtId="1" fontId="5" fillId="0" borderId="3" xfId="0" quotePrefix="1" applyNumberFormat="1" applyFont="1" applyBorder="1" applyAlignment="1">
      <alignment horizontal="left"/>
    </xf>
    <xf numFmtId="1" fontId="9" fillId="0" borderId="0" xfId="0" quotePrefix="1" applyNumberFormat="1" applyFont="1" applyAlignment="1">
      <alignment horizontal="center"/>
    </xf>
    <xf numFmtId="1" fontId="6" fillId="0" borderId="1" xfId="0" quotePrefix="1" applyNumberFormat="1" applyFont="1" applyBorder="1" applyAlignment="1">
      <alignment horizontal="left"/>
    </xf>
    <xf numFmtId="1" fontId="5" fillId="0" borderId="3" xfId="0" quotePrefix="1" applyNumberFormat="1" applyFont="1" applyBorder="1" applyAlignment="1">
      <alignment horizontal="center"/>
    </xf>
    <xf numFmtId="1" fontId="9" fillId="0" borderId="7" xfId="0" quotePrefix="1" applyNumberFormat="1" applyFont="1" applyBorder="1" applyAlignment="1">
      <alignment horizontal="center"/>
    </xf>
    <xf numFmtId="0" fontId="5" fillId="0" borderId="5" xfId="0" applyFont="1" applyBorder="1"/>
    <xf numFmtId="0" fontId="5" fillId="0" borderId="6" xfId="0" applyFont="1" applyBorder="1"/>
    <xf numFmtId="3" fontId="5" fillId="0" borderId="4" xfId="0" applyNumberFormat="1" applyFont="1" applyBorder="1" applyAlignment="1">
      <alignment horizontal="right"/>
    </xf>
    <xf numFmtId="1" fontId="9" fillId="0" borderId="37" xfId="0" quotePrefix="1" applyNumberFormat="1" applyFont="1" applyBorder="1" applyAlignment="1">
      <alignment horizontal="center"/>
    </xf>
    <xf numFmtId="3" fontId="9" fillId="0" borderId="37" xfId="0" applyNumberFormat="1" applyFont="1" applyBorder="1"/>
    <xf numFmtId="39" fontId="9" fillId="0" borderId="0" xfId="0" applyNumberFormat="1" applyFont="1"/>
    <xf numFmtId="0" fontId="6" fillId="0" borderId="0" xfId="0" applyFont="1" applyAlignment="1">
      <alignment horizontal="right"/>
    </xf>
    <xf numFmtId="1" fontId="5" fillId="0" borderId="0" xfId="0" applyNumberFormat="1" applyFont="1" applyAlignment="1">
      <alignment horizontal="left"/>
    </xf>
    <xf numFmtId="1" fontId="5" fillId="0" borderId="0" xfId="0" quotePrefix="1" applyNumberFormat="1" applyFont="1" applyAlignment="1">
      <alignment horizontal="center"/>
    </xf>
    <xf numFmtId="3" fontId="9" fillId="0" borderId="0" xfId="0" applyNumberFormat="1" applyFont="1" applyAlignment="1">
      <alignment horizontal="right"/>
    </xf>
    <xf numFmtId="184" fontId="6" fillId="0" borderId="0" xfId="0" applyNumberFormat="1" applyFont="1" applyAlignment="1">
      <alignment horizontal="center"/>
    </xf>
    <xf numFmtId="39" fontId="9" fillId="0" borderId="0" xfId="0" quotePrefix="1" applyNumberFormat="1" applyFont="1"/>
    <xf numFmtId="39" fontId="5" fillId="0" borderId="0" xfId="0" applyNumberFormat="1" applyFont="1"/>
    <xf numFmtId="1" fontId="9" fillId="0" borderId="0" xfId="0" quotePrefix="1" applyNumberFormat="1" applyFont="1" applyAlignment="1">
      <alignment horizontal="left"/>
    </xf>
    <xf numFmtId="0" fontId="9" fillId="0" borderId="0" xfId="0" quotePrefix="1" applyFont="1" applyAlignment="1">
      <alignment horizontal="left"/>
    </xf>
    <xf numFmtId="0" fontId="5" fillId="0" borderId="0" xfId="0" quotePrefix="1" applyFont="1"/>
    <xf numFmtId="173" fontId="9" fillId="0" borderId="0" xfId="0" applyNumberFormat="1" applyFont="1"/>
    <xf numFmtId="0" fontId="9" fillId="0" borderId="1" xfId="9" applyFont="1" applyBorder="1" applyAlignment="1">
      <alignment vertical="center"/>
    </xf>
    <xf numFmtId="49" fontId="9" fillId="0" borderId="37" xfId="9" applyNumberFormat="1" applyFont="1" applyBorder="1" applyAlignment="1">
      <alignment horizontal="center"/>
    </xf>
    <xf numFmtId="3" fontId="9" fillId="0" borderId="37" xfId="9" applyNumberFormat="1" applyFont="1" applyBorder="1" applyAlignment="1">
      <alignment horizontal="center"/>
    </xf>
    <xf numFmtId="0" fontId="9" fillId="0" borderId="37" xfId="9" applyFont="1" applyBorder="1"/>
    <xf numFmtId="3" fontId="2" fillId="0" borderId="3" xfId="0" applyNumberFormat="1" applyFont="1" applyBorder="1"/>
    <xf numFmtId="3" fontId="2" fillId="0" borderId="2" xfId="0" applyNumberFormat="1" applyFont="1" applyBorder="1"/>
    <xf numFmtId="1" fontId="9" fillId="0" borderId="3" xfId="0" quotePrefix="1" applyNumberFormat="1" applyFont="1" applyBorder="1" applyAlignment="1">
      <alignment horizontal="right"/>
    </xf>
    <xf numFmtId="3" fontId="9" fillId="0" borderId="2" xfId="0" applyNumberFormat="1" applyFont="1" applyBorder="1" applyAlignment="1">
      <alignment horizontal="right"/>
    </xf>
    <xf numFmtId="3" fontId="2" fillId="0" borderId="3" xfId="0" applyNumberFormat="1" applyFont="1" applyBorder="1" applyAlignment="1">
      <alignment horizontal="right"/>
    </xf>
    <xf numFmtId="3" fontId="6" fillId="0" borderId="0" xfId="0" applyNumberFormat="1" applyFont="1"/>
    <xf numFmtId="3" fontId="5" fillId="0" borderId="3" xfId="0" applyNumberFormat="1" applyFont="1" applyBorder="1" applyAlignment="1">
      <alignment horizontal="right"/>
    </xf>
    <xf numFmtId="1" fontId="9" fillId="0" borderId="1" xfId="0" quotePrefix="1" applyNumberFormat="1" applyFont="1" applyBorder="1" applyAlignment="1">
      <alignment horizontal="center"/>
    </xf>
    <xf numFmtId="1" fontId="5" fillId="0" borderId="1" xfId="0" quotePrefix="1" applyNumberFormat="1" applyFont="1" applyBorder="1" applyAlignment="1">
      <alignment horizontal="center"/>
    </xf>
    <xf numFmtId="1" fontId="5" fillId="0" borderId="1" xfId="0" applyNumberFormat="1" applyFont="1" applyBorder="1" applyAlignment="1">
      <alignment horizontal="left"/>
    </xf>
    <xf numFmtId="0" fontId="2" fillId="0" borderId="3" xfId="0" applyFont="1" applyBorder="1"/>
    <xf numFmtId="1" fontId="9" fillId="0" borderId="1" xfId="0" applyNumberFormat="1" applyFont="1" applyBorder="1" applyAlignment="1">
      <alignment horizontal="center"/>
    </xf>
    <xf numFmtId="49" fontId="5" fillId="0" borderId="3" xfId="0" applyNumberFormat="1" applyFont="1" applyBorder="1" applyAlignment="1">
      <alignment horizontal="center"/>
    </xf>
    <xf numFmtId="0" fontId="9" fillId="0" borderId="2" xfId="0" applyFont="1" applyBorder="1"/>
    <xf numFmtId="49" fontId="9" fillId="0" borderId="3" xfId="0" applyNumberFormat="1" applyFont="1" applyBorder="1" applyAlignment="1">
      <alignment horizontal="center"/>
    </xf>
    <xf numFmtId="49" fontId="9" fillId="0" borderId="3" xfId="0" quotePrefix="1" applyNumberFormat="1" applyFont="1" applyBorder="1" applyAlignment="1">
      <alignment horizontal="center"/>
    </xf>
    <xf numFmtId="0" fontId="6" fillId="0" borderId="0" xfId="0" applyFont="1"/>
    <xf numFmtId="3" fontId="8" fillId="0" borderId="2" xfId="0" applyNumberFormat="1" applyFont="1" applyBorder="1"/>
    <xf numFmtId="3" fontId="23" fillId="0" borderId="2" xfId="0" applyNumberFormat="1" applyFont="1" applyBorder="1" applyAlignment="1">
      <alignment horizontal="right"/>
    </xf>
    <xf numFmtId="3" fontId="2" fillId="0" borderId="2" xfId="0" applyNumberFormat="1" applyFont="1" applyBorder="1" applyAlignment="1">
      <alignment horizontal="right"/>
    </xf>
    <xf numFmtId="170" fontId="9" fillId="0" borderId="0" xfId="0" applyNumberFormat="1" applyFont="1"/>
    <xf numFmtId="1" fontId="9" fillId="0" borderId="6" xfId="0" applyNumberFormat="1" applyFont="1" applyBorder="1" applyAlignment="1">
      <alignment horizontal="left"/>
    </xf>
    <xf numFmtId="0" fontId="9" fillId="0" borderId="6" xfId="0" applyFont="1" applyBorder="1"/>
    <xf numFmtId="0" fontId="9" fillId="0" borderId="6" xfId="0" applyFont="1" applyBorder="1" applyAlignment="1">
      <alignment horizontal="center"/>
    </xf>
    <xf numFmtId="3" fontId="5" fillId="0" borderId="6" xfId="0" applyNumberFormat="1" applyFont="1" applyBorder="1"/>
    <xf numFmtId="3" fontId="9" fillId="0" borderId="6" xfId="0" applyNumberFormat="1" applyFont="1" applyBorder="1"/>
    <xf numFmtId="3" fontId="2" fillId="0" borderId="7" xfId="0" applyNumberFormat="1" applyFont="1" applyBorder="1"/>
    <xf numFmtId="3" fontId="9" fillId="0" borderId="6" xfId="0" applyNumberFormat="1" applyFont="1" applyBorder="1" applyAlignment="1">
      <alignment horizontal="right"/>
    </xf>
    <xf numFmtId="0" fontId="9" fillId="0" borderId="0" xfId="0" applyFont="1" applyAlignment="1">
      <alignment wrapText="1"/>
    </xf>
    <xf numFmtId="0" fontId="9" fillId="0" borderId="0" xfId="0" applyFont="1" applyAlignment="1">
      <alignment horizontal="justify" vertical="top" wrapText="1"/>
    </xf>
    <xf numFmtId="0" fontId="5" fillId="0" borderId="0" xfId="0" applyFont="1" applyAlignment="1">
      <alignment vertical="top"/>
    </xf>
    <xf numFmtId="3" fontId="9" fillId="0" borderId="37" xfId="0" applyNumberFormat="1" applyFont="1" applyBorder="1" applyAlignment="1">
      <alignment horizontal="right"/>
    </xf>
    <xf numFmtId="0" fontId="4" fillId="0" borderId="0" xfId="0" applyFont="1" applyAlignment="1">
      <alignment horizontal="right"/>
    </xf>
    <xf numFmtId="0" fontId="6" fillId="0" borderId="0" xfId="0" quotePrefix="1" applyFont="1"/>
    <xf numFmtId="1" fontId="9" fillId="0" borderId="0" xfId="20" applyNumberFormat="1" applyFont="1" applyAlignment="1">
      <alignment horizontal="center"/>
    </xf>
    <xf numFmtId="0" fontId="6" fillId="0" borderId="0" xfId="0" applyFont="1" applyAlignment="1">
      <alignment horizontal="left"/>
    </xf>
    <xf numFmtId="3" fontId="6" fillId="0" borderId="0" xfId="0" applyNumberFormat="1" applyFont="1" applyAlignment="1">
      <alignment horizontal="left"/>
    </xf>
    <xf numFmtId="3" fontId="5" fillId="0" borderId="0" xfId="0" applyNumberFormat="1" applyFont="1" applyAlignment="1">
      <alignment horizontal="left"/>
    </xf>
    <xf numFmtId="0" fontId="6" fillId="0" borderId="0" xfId="0" applyFont="1" applyAlignment="1">
      <alignment horizontal="center"/>
    </xf>
    <xf numFmtId="3" fontId="9" fillId="0" borderId="0" xfId="0" applyNumberFormat="1" applyFont="1" applyAlignment="1">
      <alignment horizontal="center"/>
    </xf>
    <xf numFmtId="3" fontId="9" fillId="0" borderId="0" xfId="0" applyNumberFormat="1" applyFont="1" applyAlignment="1">
      <alignment horizontal="left"/>
    </xf>
    <xf numFmtId="4" fontId="9" fillId="0" borderId="0" xfId="0" applyNumberFormat="1" applyFont="1" applyAlignment="1">
      <alignment horizontal="center"/>
    </xf>
    <xf numFmtId="182" fontId="9" fillId="0" borderId="0" xfId="0" applyNumberFormat="1" applyFont="1" applyAlignment="1">
      <alignment horizontal="left"/>
    </xf>
    <xf numFmtId="0" fontId="9" fillId="0" borderId="0" xfId="21" applyFont="1"/>
    <xf numFmtId="39" fontId="6" fillId="0" borderId="0" xfId="0" applyNumberFormat="1" applyFont="1" applyAlignment="1">
      <alignment horizontal="center"/>
    </xf>
    <xf numFmtId="3" fontId="2" fillId="0" borderId="0" xfId="0" applyNumberFormat="1" applyFont="1" applyAlignment="1">
      <alignment horizontal="right"/>
    </xf>
    <xf numFmtId="3" fontId="2" fillId="0" borderId="0" xfId="0" applyNumberFormat="1" applyFont="1" applyAlignment="1">
      <alignment horizontal="left"/>
    </xf>
    <xf numFmtId="3" fontId="4" fillId="0" borderId="0" xfId="0" applyNumberFormat="1" applyFont="1" applyAlignment="1">
      <alignment horizontal="right"/>
    </xf>
    <xf numFmtId="182" fontId="9" fillId="0" borderId="0" xfId="0" applyNumberFormat="1" applyFont="1" applyAlignment="1">
      <alignment horizontal="center"/>
    </xf>
    <xf numFmtId="1" fontId="9" fillId="0" borderId="0" xfId="0" applyNumberFormat="1" applyFont="1" applyAlignment="1">
      <alignment horizontal="center" vertical="top"/>
    </xf>
    <xf numFmtId="0" fontId="9" fillId="0" borderId="0" xfId="0" applyFont="1" applyAlignment="1">
      <alignment vertical="top" wrapText="1"/>
    </xf>
    <xf numFmtId="0" fontId="6" fillId="0" borderId="0" xfId="21" applyFont="1"/>
    <xf numFmtId="1" fontId="5" fillId="0" borderId="0" xfId="0" quotePrefix="1" applyNumberFormat="1" applyFont="1" applyAlignment="1">
      <alignment horizontal="left"/>
    </xf>
    <xf numFmtId="3" fontId="5" fillId="0" borderId="37" xfId="0" applyNumberFormat="1" applyFont="1" applyBorder="1" applyAlignment="1">
      <alignment horizontal="right"/>
    </xf>
    <xf numFmtId="9" fontId="5" fillId="0" borderId="0" xfId="0" applyNumberFormat="1" applyFont="1" applyAlignment="1">
      <alignment horizontal="center"/>
    </xf>
    <xf numFmtId="3" fontId="9" fillId="0" borderId="0" xfId="0" applyNumberFormat="1" applyFont="1" applyAlignment="1">
      <alignment horizontal="left" vertical="top" wrapText="1"/>
    </xf>
    <xf numFmtId="1" fontId="9" fillId="0" borderId="0" xfId="0" applyNumberFormat="1" applyFont="1" applyAlignment="1">
      <alignment horizontal="center" vertical="top" wrapText="1"/>
    </xf>
    <xf numFmtId="1" fontId="9" fillId="0" borderId="0" xfId="0" applyNumberFormat="1" applyFont="1" applyAlignment="1">
      <alignment horizontal="justify" vertical="top" wrapText="1"/>
    </xf>
    <xf numFmtId="3" fontId="9" fillId="0" borderId="0" xfId="0" applyNumberFormat="1" applyFont="1" applyAlignment="1">
      <alignment horizontal="left" vertical="top"/>
    </xf>
    <xf numFmtId="0" fontId="9" fillId="0" borderId="0" xfId="0" applyFont="1" applyAlignment="1">
      <alignment horizontal="left" vertical="top"/>
    </xf>
    <xf numFmtId="0" fontId="9" fillId="0" borderId="0" xfId="0" applyFont="1" applyAlignment="1">
      <alignment horizontal="center" vertical="top"/>
    </xf>
    <xf numFmtId="175" fontId="9" fillId="0" borderId="0" xfId="0" applyNumberFormat="1" applyFont="1" applyAlignment="1">
      <alignment vertical="top"/>
    </xf>
    <xf numFmtId="1" fontId="9" fillId="0" borderId="0" xfId="0" quotePrefix="1" applyNumberFormat="1" applyFont="1"/>
    <xf numFmtId="3" fontId="9" fillId="0" borderId="0" xfId="0" applyNumberFormat="1" applyFont="1" applyAlignment="1">
      <alignment horizontal="right" vertical="top"/>
    </xf>
    <xf numFmtId="1" fontId="9" fillId="0" borderId="0" xfId="0" applyNumberFormat="1" applyFont="1" applyAlignment="1">
      <alignment vertical="top"/>
    </xf>
    <xf numFmtId="1" fontId="10" fillId="0" borderId="0" xfId="0" applyNumberFormat="1" applyFont="1" applyAlignment="1">
      <alignment horizontal="left" vertical="top"/>
    </xf>
    <xf numFmtId="1" fontId="25" fillId="0" borderId="0" xfId="0" applyNumberFormat="1" applyFont="1" applyAlignment="1">
      <alignment horizontal="left"/>
    </xf>
    <xf numFmtId="0" fontId="6" fillId="0" borderId="0" xfId="0" applyFont="1" applyAlignment="1">
      <alignment horizontal="right" vertical="top"/>
    </xf>
    <xf numFmtId="3" fontId="6" fillId="0" borderId="0" xfId="0" applyNumberFormat="1" applyFont="1" applyAlignment="1">
      <alignment horizontal="center" vertical="top"/>
    </xf>
    <xf numFmtId="1" fontId="25" fillId="0" borderId="0" xfId="0" applyNumberFormat="1" applyFont="1" applyAlignment="1">
      <alignment horizontal="center"/>
    </xf>
    <xf numFmtId="0" fontId="14" fillId="0" borderId="0" xfId="0" applyFont="1"/>
    <xf numFmtId="0" fontId="9" fillId="0" borderId="0" xfId="0" applyFont="1" applyAlignment="1">
      <alignment horizontal="justify" vertical="top"/>
    </xf>
    <xf numFmtId="3" fontId="6" fillId="0" borderId="0" xfId="0" applyNumberFormat="1" applyFont="1" applyAlignment="1">
      <alignment vertical="top"/>
    </xf>
    <xf numFmtId="0" fontId="25" fillId="0" borderId="0" xfId="0" applyFont="1"/>
    <xf numFmtId="0" fontId="10" fillId="0" borderId="0" xfId="0" applyFont="1" applyAlignment="1">
      <alignment horizontal="left"/>
    </xf>
    <xf numFmtId="0" fontId="6" fillId="0" borderId="0" xfId="0" quotePrefix="1" applyFont="1" applyAlignment="1">
      <alignment horizontal="left"/>
    </xf>
    <xf numFmtId="0" fontId="5" fillId="0" borderId="0" xfId="0" applyFont="1" applyAlignment="1">
      <alignment horizontal="left"/>
    </xf>
    <xf numFmtId="0" fontId="10" fillId="0" borderId="0" xfId="0" applyFont="1" applyAlignment="1">
      <alignment horizontal="left" vertical="top"/>
    </xf>
    <xf numFmtId="1" fontId="10" fillId="0" borderId="0" xfId="0" applyNumberFormat="1" applyFont="1" applyAlignment="1">
      <alignment horizontal="left"/>
    </xf>
    <xf numFmtId="0" fontId="9" fillId="0" borderId="0" xfId="0" applyFont="1" applyAlignment="1">
      <alignment horizontal="center" vertical="center"/>
    </xf>
    <xf numFmtId="1" fontId="9" fillId="0" borderId="0" xfId="0" applyNumberFormat="1" applyFont="1" applyAlignment="1">
      <alignment horizontal="center" vertical="center"/>
    </xf>
    <xf numFmtId="1" fontId="4" fillId="0" borderId="0" xfId="0" applyNumberFormat="1" applyFont="1" applyAlignment="1">
      <alignment horizontal="right"/>
    </xf>
    <xf numFmtId="173" fontId="5" fillId="0" borderId="0" xfId="0" applyNumberFormat="1" applyFont="1"/>
    <xf numFmtId="1" fontId="4" fillId="0" borderId="0" xfId="0" applyNumberFormat="1" applyFont="1"/>
    <xf numFmtId="0" fontId="4" fillId="0" borderId="0" xfId="0" quotePrefix="1" applyFont="1"/>
    <xf numFmtId="181" fontId="9" fillId="0" borderId="0" xfId="0" applyNumberFormat="1" applyFont="1"/>
    <xf numFmtId="3" fontId="9" fillId="0" borderId="0" xfId="0" quotePrefix="1" applyNumberFormat="1" applyFont="1" applyAlignment="1">
      <alignment horizontal="right"/>
    </xf>
    <xf numFmtId="0" fontId="9" fillId="0" borderId="0" xfId="0" quotePrefix="1" applyFont="1" applyAlignment="1">
      <alignment horizontal="right"/>
    </xf>
    <xf numFmtId="0" fontId="5" fillId="0" borderId="0" xfId="11" applyFont="1"/>
    <xf numFmtId="3" fontId="5" fillId="0" borderId="2" xfId="0" applyNumberFormat="1" applyFont="1" applyBorder="1"/>
    <xf numFmtId="3" fontId="5" fillId="0" borderId="3" xfId="0" applyNumberFormat="1" applyFont="1" applyBorder="1"/>
    <xf numFmtId="3" fontId="5" fillId="0" borderId="1" xfId="0" applyNumberFormat="1" applyFont="1" applyBorder="1"/>
    <xf numFmtId="2" fontId="9" fillId="0" borderId="1" xfId="0" applyNumberFormat="1" applyFont="1" applyBorder="1"/>
    <xf numFmtId="2" fontId="9" fillId="0" borderId="0" xfId="0" applyNumberFormat="1" applyFont="1"/>
    <xf numFmtId="2" fontId="5" fillId="0" borderId="1" xfId="0" applyNumberFormat="1" applyFont="1" applyBorder="1"/>
    <xf numFmtId="2" fontId="9" fillId="0" borderId="2" xfId="0" applyNumberFormat="1" applyFont="1" applyBorder="1"/>
    <xf numFmtId="3" fontId="9" fillId="0" borderId="3" xfId="0" quotePrefix="1" applyNumberFormat="1" applyFont="1" applyBorder="1" applyAlignment="1">
      <alignment horizontal="center"/>
    </xf>
    <xf numFmtId="2" fontId="6" fillId="0" borderId="1" xfId="0" applyNumberFormat="1" applyFont="1" applyBorder="1"/>
    <xf numFmtId="3" fontId="5" fillId="0" borderId="10" xfId="0" applyNumberFormat="1" applyFont="1" applyBorder="1"/>
    <xf numFmtId="4" fontId="9" fillId="0" borderId="2" xfId="0" applyNumberFormat="1" applyFont="1" applyBorder="1"/>
    <xf numFmtId="1" fontId="9" fillId="0" borderId="3" xfId="0" applyNumberFormat="1" applyFont="1" applyBorder="1" applyAlignment="1">
      <alignment horizontal="center" vertical="top"/>
    </xf>
    <xf numFmtId="3" fontId="9" fillId="0" borderId="3" xfId="6" applyNumberFormat="1" applyFont="1" applyBorder="1"/>
    <xf numFmtId="3" fontId="9" fillId="0" borderId="0" xfId="6" applyNumberFormat="1" applyFont="1"/>
    <xf numFmtId="1" fontId="2" fillId="0" borderId="3" xfId="0" quotePrefix="1" applyNumberFormat="1" applyFont="1" applyBorder="1" applyAlignment="1">
      <alignment horizontal="center"/>
    </xf>
    <xf numFmtId="0" fontId="2" fillId="0" borderId="1" xfId="0" applyFont="1" applyBorder="1"/>
    <xf numFmtId="3" fontId="9" fillId="0" borderId="4" xfId="0" applyNumberFormat="1" applyFont="1" applyBorder="1"/>
    <xf numFmtId="0" fontId="21" fillId="0" borderId="0" xfId="0" quotePrefix="1" applyFont="1"/>
    <xf numFmtId="3" fontId="2" fillId="0" borderId="0" xfId="0" applyNumberFormat="1" applyFont="1"/>
    <xf numFmtId="0" fontId="2" fillId="0" borderId="0" xfId="0" applyFont="1" applyAlignment="1">
      <alignment horizontal="left"/>
    </xf>
    <xf numFmtId="175" fontId="9" fillId="0" borderId="0" xfId="0" applyNumberFormat="1" applyFont="1"/>
    <xf numFmtId="0" fontId="6" fillId="0" borderId="6" xfId="0" applyFont="1" applyBorder="1" applyAlignment="1">
      <alignment horizontal="right" vertical="top"/>
    </xf>
    <xf numFmtId="0" fontId="6" fillId="0" borderId="0" xfId="0" applyFont="1" applyAlignment="1">
      <alignment horizontal="center" vertical="top"/>
    </xf>
    <xf numFmtId="3" fontId="9" fillId="0" borderId="0" xfId="0" quotePrefix="1" applyNumberFormat="1" applyFont="1"/>
    <xf numFmtId="203" fontId="9" fillId="0" borderId="0" xfId="0" applyNumberFormat="1" applyFont="1"/>
    <xf numFmtId="172" fontId="9" fillId="0" borderId="0" xfId="0" applyNumberFormat="1" applyFont="1"/>
    <xf numFmtId="39" fontId="9" fillId="0" borderId="0" xfId="0" applyNumberFormat="1" applyFont="1" applyAlignment="1">
      <alignment horizontal="left"/>
    </xf>
    <xf numFmtId="0" fontId="6" fillId="0" borderId="0" xfId="0" applyFont="1" applyAlignment="1">
      <alignment horizontal="left" vertical="top"/>
    </xf>
    <xf numFmtId="0" fontId="6" fillId="0" borderId="0" xfId="0" applyFont="1" applyAlignment="1">
      <alignment vertical="top"/>
    </xf>
    <xf numFmtId="37" fontId="9" fillId="0" borderId="0" xfId="0" applyNumberFormat="1" applyFont="1"/>
    <xf numFmtId="39" fontId="5" fillId="0" borderId="0" xfId="0" applyNumberFormat="1" applyFont="1" applyAlignment="1">
      <alignment horizontal="left"/>
    </xf>
    <xf numFmtId="39" fontId="6" fillId="0" borderId="0" xfId="0" applyNumberFormat="1" applyFont="1" applyAlignment="1">
      <alignment horizontal="left"/>
    </xf>
    <xf numFmtId="0" fontId="9" fillId="0" borderId="0" xfId="18" quotePrefix="1" applyFont="1"/>
    <xf numFmtId="1" fontId="6" fillId="0" borderId="0" xfId="0" applyNumberFormat="1" applyFont="1" applyAlignment="1">
      <alignment horizontal="center"/>
    </xf>
    <xf numFmtId="1" fontId="2" fillId="0" borderId="0" xfId="0" applyNumberFormat="1" applyFont="1" applyAlignment="1">
      <alignment horizontal="center"/>
    </xf>
    <xf numFmtId="1" fontId="2" fillId="0" borderId="0" xfId="0" applyNumberFormat="1" applyFont="1" applyAlignment="1">
      <alignment horizontal="left"/>
    </xf>
    <xf numFmtId="173" fontId="9" fillId="0" borderId="0" xfId="0" applyNumberFormat="1" applyFont="1" applyAlignment="1">
      <alignment horizontal="right"/>
    </xf>
    <xf numFmtId="0" fontId="5" fillId="0" borderId="0" xfId="19" applyFont="1"/>
    <xf numFmtId="0" fontId="19" fillId="0" borderId="0" xfId="2" applyFont="1" applyAlignment="1">
      <alignment vertical="top"/>
    </xf>
    <xf numFmtId="0" fontId="18" fillId="0" borderId="0" xfId="2" applyFont="1" applyAlignment="1">
      <alignment vertical="top"/>
    </xf>
    <xf numFmtId="1" fontId="2" fillId="0" borderId="3" xfId="14" applyNumberFormat="1" applyFont="1" applyBorder="1" applyAlignment="1">
      <alignment horizontal="center"/>
    </xf>
    <xf numFmtId="0" fontId="2" fillId="0" borderId="0" xfId="14" applyFont="1" applyAlignment="1">
      <alignment horizontal="left"/>
    </xf>
    <xf numFmtId="0" fontId="7" fillId="0" borderId="0" xfId="14"/>
    <xf numFmtId="0" fontId="6" fillId="0" borderId="0" xfId="2" applyFont="1" applyAlignment="1">
      <alignment horizontal="right" vertical="top" wrapText="1"/>
    </xf>
    <xf numFmtId="0" fontId="2" fillId="0" borderId="0" xfId="2" quotePrefix="1" applyAlignment="1">
      <alignment horizontal="left" vertical="top"/>
    </xf>
    <xf numFmtId="0" fontId="5" fillId="0" borderId="0" xfId="2" applyFont="1" applyAlignment="1">
      <alignment horizontal="left" vertical="top"/>
    </xf>
    <xf numFmtId="0" fontId="2" fillId="0" borderId="0" xfId="2" applyAlignment="1">
      <alignment horizontal="right" vertical="top" wrapText="1"/>
    </xf>
    <xf numFmtId="1" fontId="4" fillId="0" borderId="0" xfId="2" applyNumberFormat="1" applyFont="1" applyAlignment="1">
      <alignment horizontal="right"/>
    </xf>
    <xf numFmtId="173" fontId="3" fillId="0" borderId="0" xfId="2" applyNumberFormat="1" applyFont="1"/>
    <xf numFmtId="3" fontId="3" fillId="0" borderId="0" xfId="2" applyNumberFormat="1" applyFont="1" applyAlignment="1">
      <alignment horizontal="right"/>
    </xf>
    <xf numFmtId="3" fontId="3" fillId="0" borderId="0" xfId="2" applyNumberFormat="1" applyFont="1"/>
    <xf numFmtId="1" fontId="2" fillId="0" borderId="37" xfId="2" applyNumberFormat="1" applyBorder="1" applyAlignment="1">
      <alignment horizontal="center"/>
    </xf>
    <xf numFmtId="3" fontId="3" fillId="0" borderId="0" xfId="12" applyNumberFormat="1" applyAlignment="1">
      <alignment horizontal="right"/>
    </xf>
    <xf numFmtId="49" fontId="3" fillId="0" borderId="3" xfId="9" applyNumberFormat="1" applyBorder="1" applyAlignment="1">
      <alignment horizontal="center"/>
    </xf>
    <xf numFmtId="0" fontId="6" fillId="0" borderId="6" xfId="2" quotePrefix="1" applyFont="1" applyBorder="1" applyAlignment="1">
      <alignment horizontal="right"/>
    </xf>
    <xf numFmtId="174" fontId="6" fillId="0" borderId="0" xfId="2" applyNumberFormat="1" applyFont="1"/>
    <xf numFmtId="0" fontId="14" fillId="0" borderId="0" xfId="2" applyFont="1" applyAlignment="1">
      <alignment vertical="top"/>
    </xf>
    <xf numFmtId="174" fontId="6" fillId="0" borderId="0" xfId="2" applyNumberFormat="1" applyFont="1" applyAlignment="1">
      <alignment horizontal="center"/>
    </xf>
    <xf numFmtId="17" fontId="2" fillId="0" borderId="0" xfId="2" quotePrefix="1" applyNumberFormat="1" applyAlignment="1">
      <alignment vertical="top"/>
    </xf>
    <xf numFmtId="1" fontId="6" fillId="0" borderId="0" xfId="2" applyNumberFormat="1" applyFont="1" applyAlignment="1">
      <alignment vertical="top"/>
    </xf>
    <xf numFmtId="49" fontId="6" fillId="0" borderId="0" xfId="2" applyNumberFormat="1" applyFont="1" applyAlignment="1">
      <alignment horizontal="center"/>
    </xf>
    <xf numFmtId="49" fontId="6" fillId="0" borderId="0" xfId="2" applyNumberFormat="1" applyFont="1" applyAlignment="1">
      <alignment horizontal="right"/>
    </xf>
    <xf numFmtId="176" fontId="2" fillId="0" borderId="0" xfId="2" applyNumberFormat="1" applyAlignment="1">
      <alignment horizontal="left"/>
    </xf>
    <xf numFmtId="0" fontId="2" fillId="0" borderId="0" xfId="2" applyAlignment="1">
      <alignment vertical="justify" wrapText="1"/>
    </xf>
    <xf numFmtId="191" fontId="2" fillId="0" borderId="0" xfId="2" applyNumberFormat="1" applyAlignment="1">
      <alignment horizontal="right"/>
    </xf>
    <xf numFmtId="175" fontId="2" fillId="0" borderId="0" xfId="2" applyNumberFormat="1" applyAlignment="1">
      <alignment horizontal="center"/>
    </xf>
    <xf numFmtId="175" fontId="2" fillId="0" borderId="0" xfId="2" quotePrefix="1" applyNumberFormat="1" applyAlignment="1">
      <alignment horizontal="center"/>
    </xf>
    <xf numFmtId="0" fontId="3" fillId="0" borderId="0" xfId="10" applyAlignment="1">
      <alignment vertical="top"/>
    </xf>
    <xf numFmtId="0" fontId="3" fillId="0" borderId="0" xfId="10" quotePrefix="1" applyAlignment="1">
      <alignment vertical="top"/>
    </xf>
    <xf numFmtId="0" fontId="14" fillId="0" borderId="0" xfId="2" quotePrefix="1" applyFont="1" applyAlignment="1">
      <alignment horizontal="left"/>
    </xf>
    <xf numFmtId="0" fontId="14" fillId="0" borderId="0" xfId="2" applyFont="1" applyAlignment="1">
      <alignment horizontal="left" vertical="top"/>
    </xf>
    <xf numFmtId="3" fontId="2" fillId="0" borderId="0" xfId="2" quotePrefix="1" applyNumberFormat="1" applyAlignment="1">
      <alignment horizontal="right"/>
    </xf>
    <xf numFmtId="173" fontId="3" fillId="0" borderId="6" xfId="10" applyNumberFormat="1" applyBorder="1"/>
    <xf numFmtId="3" fontId="10" fillId="0" borderId="0" xfId="2" applyNumberFormat="1" applyFont="1"/>
    <xf numFmtId="173" fontId="10" fillId="0" borderId="0" xfId="2" applyNumberFormat="1" applyFont="1" applyAlignment="1">
      <alignment horizontal="right"/>
    </xf>
    <xf numFmtId="10" fontId="9" fillId="0" borderId="0" xfId="2" applyNumberFormat="1" applyFont="1" applyAlignment="1">
      <alignment horizontal="right"/>
    </xf>
    <xf numFmtId="177" fontId="2" fillId="0" borderId="0" xfId="2" applyNumberFormat="1" applyAlignment="1">
      <alignment horizontal="right"/>
    </xf>
    <xf numFmtId="173" fontId="9" fillId="0" borderId="0" xfId="2" applyNumberFormat="1" applyFont="1" applyAlignment="1">
      <alignment horizontal="right"/>
    </xf>
    <xf numFmtId="10" fontId="9" fillId="0" borderId="6" xfId="2" applyNumberFormat="1" applyFont="1" applyBorder="1"/>
    <xf numFmtId="3" fontId="3" fillId="0" borderId="0" xfId="10" applyNumberFormat="1"/>
    <xf numFmtId="3" fontId="3" fillId="0" borderId="6" xfId="10" applyNumberFormat="1" applyBorder="1"/>
    <xf numFmtId="3" fontId="10" fillId="0" borderId="0" xfId="2" applyNumberFormat="1" applyFont="1" applyAlignment="1">
      <alignment horizontal="right"/>
    </xf>
    <xf numFmtId="3" fontId="5" fillId="0" borderId="0" xfId="2" applyNumberFormat="1" applyFont="1" applyAlignment="1">
      <alignment horizontal="right"/>
    </xf>
    <xf numFmtId="178" fontId="2" fillId="0" borderId="0" xfId="2" applyNumberFormat="1"/>
    <xf numFmtId="0" fontId="2" fillId="0" borderId="3" xfId="9" applyFont="1" applyBorder="1"/>
    <xf numFmtId="3" fontId="2" fillId="0" borderId="10" xfId="9" applyNumberFormat="1" applyFont="1" applyBorder="1"/>
    <xf numFmtId="3" fontId="2" fillId="0" borderId="4" xfId="9" applyNumberFormat="1" applyFont="1" applyBorder="1"/>
    <xf numFmtId="3" fontId="2" fillId="0" borderId="9" xfId="12" applyNumberFormat="1" applyFont="1" applyBorder="1"/>
    <xf numFmtId="3" fontId="2" fillId="0" borderId="0" xfId="0" applyNumberFormat="1" applyFont="1" applyAlignment="1" applyProtection="1">
      <alignment horizontal="right"/>
      <protection locked="0"/>
    </xf>
    <xf numFmtId="3" fontId="2" fillId="0" borderId="0" xfId="15" applyNumberFormat="1" applyFont="1" applyFill="1"/>
    <xf numFmtId="0" fontId="2" fillId="0" borderId="0" xfId="30" applyFont="1" applyAlignment="1">
      <alignment vertical="top" wrapText="1"/>
    </xf>
    <xf numFmtId="3" fontId="34" fillId="0" borderId="0" xfId="9" applyNumberFormat="1" applyFont="1"/>
    <xf numFmtId="3" fontId="34" fillId="0" borderId="0" xfId="2" applyNumberFormat="1" applyFont="1"/>
    <xf numFmtId="3" fontId="7" fillId="0" borderId="0" xfId="2" applyNumberFormat="1" applyFont="1"/>
    <xf numFmtId="3" fontId="7" fillId="0" borderId="37" xfId="2" applyNumberFormat="1" applyFont="1" applyBorder="1"/>
    <xf numFmtId="3" fontId="2" fillId="0" borderId="0" xfId="25" applyNumberFormat="1" applyFont="1"/>
    <xf numFmtId="175" fontId="2" fillId="0" borderId="0" xfId="0" applyNumberFormat="1" applyFont="1"/>
    <xf numFmtId="175" fontId="2" fillId="0" borderId="0" xfId="25" applyNumberFormat="1" applyFont="1"/>
    <xf numFmtId="175" fontId="2" fillId="0" borderId="6" xfId="0" applyNumberFormat="1" applyFont="1" applyBorder="1"/>
    <xf numFmtId="175" fontId="2" fillId="0" borderId="6" xfId="25" applyNumberFormat="1" applyFont="1" applyBorder="1"/>
    <xf numFmtId="180" fontId="5" fillId="0" borderId="0" xfId="3" applyNumberFormat="1" applyFont="1" applyFill="1" applyBorder="1" applyAlignment="1">
      <alignment horizontal="right"/>
    </xf>
    <xf numFmtId="169" fontId="2" fillId="0" borderId="0" xfId="3" applyFont="1" applyFill="1"/>
    <xf numFmtId="1" fontId="2" fillId="0" borderId="0" xfId="9" applyNumberFormat="1" applyFont="1" applyAlignment="1">
      <alignment horizontal="center"/>
    </xf>
    <xf numFmtId="49" fontId="2" fillId="0" borderId="37" xfId="9" applyNumberFormat="1" applyFont="1" applyBorder="1" applyAlignment="1">
      <alignment horizontal="center"/>
    </xf>
    <xf numFmtId="1" fontId="2" fillId="0" borderId="37" xfId="9" applyNumberFormat="1" applyFont="1" applyBorder="1" applyAlignment="1">
      <alignment horizontal="center"/>
    </xf>
    <xf numFmtId="1" fontId="2" fillId="0" borderId="6" xfId="9" applyNumberFormat="1" applyFont="1" applyBorder="1" applyAlignment="1">
      <alignment horizontal="center"/>
    </xf>
    <xf numFmtId="10" fontId="2" fillId="0" borderId="0" xfId="9" applyNumberFormat="1" applyFont="1"/>
    <xf numFmtId="1" fontId="2" fillId="0" borderId="3" xfId="9" applyNumberFormat="1" applyFont="1" applyBorder="1" applyAlignment="1">
      <alignment horizontal="center" vertical="center" wrapText="1"/>
    </xf>
    <xf numFmtId="49" fontId="2" fillId="0" borderId="3" xfId="9" applyNumberFormat="1" applyFont="1" applyBorder="1" applyAlignment="1">
      <alignment horizontal="center" vertical="center"/>
    </xf>
    <xf numFmtId="0" fontId="2" fillId="0" borderId="1" xfId="9" applyFont="1" applyBorder="1" applyAlignment="1">
      <alignment horizontal="center" vertical="center"/>
    </xf>
    <xf numFmtId="0" fontId="2" fillId="0" borderId="0" xfId="9" applyFont="1" applyAlignment="1">
      <alignment horizontal="center" vertical="center"/>
    </xf>
    <xf numFmtId="0" fontId="2" fillId="0" borderId="2" xfId="9" applyFont="1" applyBorder="1" applyAlignment="1">
      <alignment horizontal="center" vertical="center"/>
    </xf>
    <xf numFmtId="1" fontId="10" fillId="0" borderId="3" xfId="2" applyNumberFormat="1" applyFont="1" applyBorder="1" applyAlignment="1">
      <alignment horizontal="left"/>
    </xf>
    <xf numFmtId="3" fontId="10" fillId="0" borderId="2" xfId="2" applyNumberFormat="1" applyFont="1" applyBorder="1" applyAlignment="1">
      <alignment horizontal="right"/>
    </xf>
    <xf numFmtId="3" fontId="9" fillId="0" borderId="2" xfId="2" applyNumberFormat="1" applyFont="1" applyBorder="1" applyAlignment="1">
      <alignment horizontal="right"/>
    </xf>
    <xf numFmtId="1" fontId="10" fillId="0" borderId="3" xfId="2" quotePrefix="1" applyNumberFormat="1" applyFont="1" applyBorder="1" applyAlignment="1">
      <alignment horizontal="left"/>
    </xf>
    <xf numFmtId="3" fontId="9" fillId="0" borderId="8" xfId="2" applyNumberFormat="1" applyFont="1" applyBorder="1" applyAlignment="1">
      <alignment horizontal="right"/>
    </xf>
    <xf numFmtId="1" fontId="35" fillId="0" borderId="0" xfId="33" applyNumberFormat="1" applyFill="1" applyBorder="1" applyAlignment="1">
      <alignment horizontal="left"/>
    </xf>
    <xf numFmtId="1" fontId="35" fillId="0" borderId="0" xfId="33" quotePrefix="1" applyNumberFormat="1" applyFill="1" applyBorder="1" applyAlignment="1">
      <alignment horizontal="center"/>
    </xf>
    <xf numFmtId="0" fontId="35" fillId="0" borderId="0" xfId="33" applyFill="1" applyBorder="1"/>
    <xf numFmtId="3" fontId="35" fillId="0" borderId="0" xfId="33" applyNumberFormat="1" applyFill="1" applyBorder="1"/>
    <xf numFmtId="170" fontId="2" fillId="0" borderId="0" xfId="3" applyNumberFormat="1" applyFont="1" applyFill="1"/>
    <xf numFmtId="175" fontId="2" fillId="0" borderId="0" xfId="3" applyNumberFormat="1" applyFont="1" applyFill="1"/>
    <xf numFmtId="168" fontId="9" fillId="0" borderId="0" xfId="13" applyNumberFormat="1" applyFont="1" applyFill="1"/>
    <xf numFmtId="180" fontId="9" fillId="0" borderId="0" xfId="58" applyNumberFormat="1" applyFont="1" applyFill="1"/>
    <xf numFmtId="4" fontId="2" fillId="0" borderId="0" xfId="12" applyNumberFormat="1" applyFont="1"/>
    <xf numFmtId="3" fontId="2" fillId="0" borderId="0" xfId="0" applyNumberFormat="1" applyFont="1" applyAlignment="1">
      <alignment horizontal="center"/>
    </xf>
    <xf numFmtId="0" fontId="2" fillId="0" borderId="0" xfId="0" applyFont="1" applyAlignment="1">
      <alignment vertical="top"/>
    </xf>
    <xf numFmtId="3" fontId="2" fillId="0" borderId="3" xfId="2" applyNumberFormat="1" applyBorder="1" applyAlignment="1">
      <alignment horizontal="center" vertical="center"/>
    </xf>
    <xf numFmtId="49" fontId="5" fillId="0" borderId="2" xfId="2" applyNumberFormat="1" applyFont="1" applyBorder="1" applyAlignment="1">
      <alignment horizontal="center"/>
    </xf>
    <xf numFmtId="49" fontId="2" fillId="0" borderId="2" xfId="2" quotePrefix="1" applyNumberFormat="1" applyBorder="1" applyAlignment="1">
      <alignment horizontal="center"/>
    </xf>
    <xf numFmtId="49" fontId="2" fillId="0" borderId="2" xfId="2" applyNumberFormat="1" applyBorder="1" applyAlignment="1">
      <alignment horizontal="center"/>
    </xf>
    <xf numFmtId="49" fontId="2" fillId="0" borderId="4" xfId="2" quotePrefix="1" applyNumberFormat="1" applyBorder="1" applyAlignment="1">
      <alignment horizontal="center"/>
    </xf>
    <xf numFmtId="3" fontId="2" fillId="0" borderId="10" xfId="22" applyNumberFormat="1" applyFont="1" applyBorder="1"/>
    <xf numFmtId="1" fontId="2" fillId="0" borderId="7" xfId="22" quotePrefix="1" applyNumberFormat="1" applyFont="1" applyBorder="1" applyAlignment="1">
      <alignment horizontal="center"/>
    </xf>
    <xf numFmtId="0" fontId="2" fillId="0" borderId="5" xfId="22" applyFont="1" applyBorder="1"/>
    <xf numFmtId="0" fontId="2" fillId="0" borderId="6" xfId="22" applyFont="1" applyBorder="1"/>
    <xf numFmtId="3" fontId="2" fillId="0" borderId="4" xfId="22" applyNumberFormat="1" applyFont="1" applyBorder="1"/>
    <xf numFmtId="0" fontId="6" fillId="0" borderId="6" xfId="0" applyFont="1" applyBorder="1" applyAlignment="1">
      <alignment horizontal="right"/>
    </xf>
    <xf numFmtId="1" fontId="3" fillId="0" borderId="1" xfId="12" quotePrefix="1" applyNumberFormat="1" applyBorder="1" applyAlignment="1">
      <alignment horizontal="center"/>
    </xf>
    <xf numFmtId="1" fontId="5" fillId="0" borderId="1" xfId="9" applyNumberFormat="1" applyFont="1" applyBorder="1" applyAlignment="1">
      <alignment horizontal="center"/>
    </xf>
    <xf numFmtId="0" fontId="63" fillId="0" borderId="0" xfId="44" applyFont="1"/>
    <xf numFmtId="0" fontId="64" fillId="0" borderId="0" xfId="0" applyFont="1"/>
    <xf numFmtId="206" fontId="2" fillId="0" borderId="0" xfId="46" applyNumberFormat="1" applyFont="1" applyFill="1"/>
    <xf numFmtId="0" fontId="2" fillId="5" borderId="0" xfId="2" applyFill="1" applyAlignment="1">
      <alignment vertical="top"/>
    </xf>
    <xf numFmtId="0" fontId="2" fillId="5" borderId="0" xfId="2" applyFill="1"/>
    <xf numFmtId="0" fontId="2" fillId="5" borderId="0" xfId="2" quotePrefix="1" applyFill="1" applyAlignment="1">
      <alignment horizontal="left" vertical="top"/>
    </xf>
    <xf numFmtId="0" fontId="2" fillId="5" borderId="0" xfId="2" applyFill="1" applyAlignment="1">
      <alignment vertical="justify" wrapText="1"/>
    </xf>
    <xf numFmtId="1" fontId="2" fillId="5" borderId="0" xfId="2" applyNumberFormat="1" applyFill="1" applyAlignment="1">
      <alignment horizontal="center"/>
    </xf>
    <xf numFmtId="0" fontId="2" fillId="5" borderId="0" xfId="2" applyFill="1" applyAlignment="1">
      <alignment horizontal="left" vertical="top"/>
    </xf>
    <xf numFmtId="1" fontId="16" fillId="0" borderId="0" xfId="0" applyNumberFormat="1" applyFont="1"/>
    <xf numFmtId="1" fontId="16" fillId="0" borderId="0" xfId="0" applyNumberFormat="1" applyFont="1" applyAlignment="1">
      <alignment horizontal="right"/>
    </xf>
    <xf numFmtId="202" fontId="6" fillId="0" borderId="0" xfId="46" applyNumberFormat="1" applyFont="1" applyFill="1"/>
    <xf numFmtId="202" fontId="32" fillId="0" borderId="0" xfId="46" applyNumberFormat="1" applyFont="1" applyFill="1"/>
    <xf numFmtId="202" fontId="7" fillId="0" borderId="0" xfId="46" applyNumberFormat="1" applyFont="1" applyFill="1"/>
    <xf numFmtId="202" fontId="13" fillId="0" borderId="0" xfId="46" applyNumberFormat="1" applyFont="1" applyFill="1" applyAlignment="1">
      <alignment horizontal="right"/>
    </xf>
    <xf numFmtId="202" fontId="2" fillId="0" borderId="0" xfId="46" applyNumberFormat="1" applyFont="1" applyFill="1" applyAlignment="1">
      <alignment horizontal="left" vertical="justify"/>
    </xf>
    <xf numFmtId="202" fontId="2" fillId="0" borderId="0" xfId="46" applyNumberFormat="1" applyFont="1" applyFill="1" applyAlignment="1">
      <alignment horizontal="left" vertical="top" wrapText="1"/>
    </xf>
    <xf numFmtId="202" fontId="5" fillId="0" borderId="0" xfId="46" applyNumberFormat="1" applyFont="1" applyFill="1" applyAlignment="1">
      <alignment horizontal="right"/>
    </xf>
    <xf numFmtId="202" fontId="5" fillId="0" borderId="0" xfId="46" applyNumberFormat="1" applyFont="1" applyFill="1"/>
    <xf numFmtId="202" fontId="0" fillId="0" borderId="0" xfId="46" applyNumberFormat="1" applyFont="1" applyFill="1"/>
    <xf numFmtId="202" fontId="6" fillId="0" borderId="0" xfId="46" applyNumberFormat="1" applyFont="1" applyFill="1" applyAlignment="1">
      <alignment horizontal="right"/>
    </xf>
    <xf numFmtId="202" fontId="23" fillId="0" borderId="0" xfId="46" applyNumberFormat="1" applyFont="1" applyFill="1" applyAlignment="1">
      <alignment horizontal="right"/>
    </xf>
    <xf numFmtId="202" fontId="6" fillId="0" borderId="0" xfId="46" applyNumberFormat="1" applyFont="1" applyFill="1" applyAlignment="1">
      <alignment horizontal="center"/>
    </xf>
    <xf numFmtId="202" fontId="7" fillId="0" borderId="0" xfId="46" applyNumberFormat="1" applyFont="1" applyFill="1" applyAlignment="1">
      <alignment horizontal="right"/>
    </xf>
    <xf numFmtId="202" fontId="33" fillId="0" borderId="0" xfId="46" applyNumberFormat="1" applyFont="1" applyFill="1" applyAlignment="1">
      <alignment horizontal="right"/>
    </xf>
    <xf numFmtId="202" fontId="6" fillId="0" borderId="0" xfId="46" applyNumberFormat="1" applyFont="1" applyFill="1" applyAlignment="1">
      <alignment horizontal="right" vertical="top"/>
    </xf>
    <xf numFmtId="202" fontId="6" fillId="0" borderId="0" xfId="46" applyNumberFormat="1" applyFont="1" applyFill="1" applyAlignment="1">
      <alignment horizontal="center" vertical="top"/>
    </xf>
    <xf numFmtId="202" fontId="2" fillId="0" borderId="0" xfId="46" applyNumberFormat="1" applyFont="1" applyFill="1" applyBorder="1"/>
    <xf numFmtId="3" fontId="2" fillId="0" borderId="38" xfId="2" applyNumberFormat="1" applyBorder="1"/>
    <xf numFmtId="175" fontId="9" fillId="0" borderId="38" xfId="2" applyNumberFormat="1" applyFont="1" applyBorder="1"/>
    <xf numFmtId="0" fontId="6" fillId="0" borderId="39" xfId="9" applyFont="1" applyBorder="1" applyAlignment="1">
      <alignment vertical="center"/>
    </xf>
    <xf numFmtId="0" fontId="6" fillId="0" borderId="40" xfId="9" applyFont="1" applyBorder="1" applyAlignment="1">
      <alignment vertical="center"/>
    </xf>
    <xf numFmtId="0" fontId="6" fillId="0" borderId="40" xfId="9" applyFont="1" applyBorder="1"/>
    <xf numFmtId="0" fontId="6" fillId="0" borderId="41" xfId="9" applyFont="1" applyBorder="1"/>
    <xf numFmtId="0" fontId="6" fillId="0" borderId="42" xfId="9" applyFont="1" applyBorder="1"/>
    <xf numFmtId="1" fontId="3" fillId="0" borderId="39" xfId="9" applyNumberFormat="1" applyBorder="1"/>
    <xf numFmtId="49" fontId="3" fillId="0" borderId="40" xfId="9" applyNumberFormat="1" applyBorder="1" applyAlignment="1">
      <alignment horizontal="center"/>
    </xf>
    <xf numFmtId="3" fontId="3" fillId="0" borderId="40" xfId="9" applyNumberFormat="1" applyBorder="1" applyAlignment="1">
      <alignment horizontal="center"/>
    </xf>
    <xf numFmtId="0" fontId="3" fillId="0" borderId="40" xfId="9" applyBorder="1"/>
    <xf numFmtId="3" fontId="3" fillId="0" borderId="42" xfId="23" applyNumberFormat="1" applyFill="1" applyBorder="1"/>
    <xf numFmtId="1" fontId="3" fillId="0" borderId="40" xfId="9" applyNumberFormat="1" applyBorder="1"/>
    <xf numFmtId="0" fontId="3" fillId="0" borderId="41" xfId="9" applyBorder="1"/>
    <xf numFmtId="3" fontId="3" fillId="0" borderId="41" xfId="9" applyNumberFormat="1" applyBorder="1"/>
    <xf numFmtId="3" fontId="3" fillId="0" borderId="42" xfId="9" applyNumberFormat="1" applyBorder="1"/>
    <xf numFmtId="3" fontId="3" fillId="0" borderId="43" xfId="9" applyNumberFormat="1" applyBorder="1" applyAlignment="1">
      <alignment horizontal="center" vertical="center" wrapText="1"/>
    </xf>
    <xf numFmtId="49" fontId="3" fillId="0" borderId="43" xfId="9" applyNumberFormat="1" applyBorder="1" applyAlignment="1">
      <alignment horizontal="center" vertical="center" wrapText="1"/>
    </xf>
    <xf numFmtId="0" fontId="3" fillId="0" borderId="44" xfId="9" applyBorder="1" applyAlignment="1">
      <alignment horizontal="center" vertical="center"/>
    </xf>
    <xf numFmtId="0" fontId="3" fillId="0" borderId="45" xfId="9" applyBorder="1"/>
    <xf numFmtId="0" fontId="3" fillId="0" borderId="42" xfId="9" applyBorder="1"/>
    <xf numFmtId="1" fontId="3" fillId="0" borderId="43" xfId="9" applyNumberFormat="1" applyBorder="1" applyAlignment="1">
      <alignment horizontal="center" vertical="center" wrapText="1"/>
    </xf>
    <xf numFmtId="49" fontId="3" fillId="0" borderId="43" xfId="9" applyNumberFormat="1" applyBorder="1" applyAlignment="1">
      <alignment horizontal="center" vertical="center"/>
    </xf>
    <xf numFmtId="0" fontId="3" fillId="0" borderId="43" xfId="9" applyBorder="1"/>
    <xf numFmtId="3" fontId="2" fillId="0" borderId="38" xfId="2" applyNumberFormat="1" applyBorder="1" applyAlignment="1">
      <alignment vertical="top"/>
    </xf>
    <xf numFmtId="0" fontId="6" fillId="0" borderId="40" xfId="9" applyFont="1" applyBorder="1" applyAlignment="1">
      <alignment horizontal="center" vertical="center"/>
    </xf>
    <xf numFmtId="3" fontId="3" fillId="0" borderId="42" xfId="3" applyNumberFormat="1" applyFill="1" applyBorder="1"/>
    <xf numFmtId="1" fontId="3" fillId="0" borderId="40" xfId="9" applyNumberFormat="1" applyBorder="1" applyAlignment="1">
      <alignment horizontal="center"/>
    </xf>
    <xf numFmtId="1" fontId="2" fillId="0" borderId="43" xfId="2" applyNumberFormat="1" applyBorder="1" applyAlignment="1">
      <alignment horizontal="center" vertical="center"/>
    </xf>
    <xf numFmtId="0" fontId="3" fillId="0" borderId="45" xfId="9" applyBorder="1" applyAlignment="1">
      <alignment horizontal="center" vertical="center"/>
    </xf>
    <xf numFmtId="0" fontId="2" fillId="0" borderId="44" xfId="2" applyBorder="1" applyAlignment="1">
      <alignment horizontal="center" vertical="center"/>
    </xf>
    <xf numFmtId="0" fontId="2" fillId="0" borderId="45" xfId="2" applyBorder="1"/>
    <xf numFmtId="0" fontId="2" fillId="0" borderId="43" xfId="2" applyBorder="1"/>
    <xf numFmtId="0" fontId="2" fillId="0" borderId="44" xfId="2" applyBorder="1"/>
    <xf numFmtId="175" fontId="2" fillId="0" borderId="38" xfId="2" applyNumberFormat="1" applyBorder="1"/>
    <xf numFmtId="3" fontId="2" fillId="0" borderId="38" xfId="2" applyNumberFormat="1" applyBorder="1" applyAlignment="1">
      <alignment horizontal="right"/>
    </xf>
    <xf numFmtId="1" fontId="5" fillId="0" borderId="43" xfId="2" applyNumberFormat="1" applyFont="1" applyBorder="1" applyAlignment="1">
      <alignment horizontal="left"/>
    </xf>
    <xf numFmtId="0" fontId="5" fillId="0" borderId="44" xfId="2" applyFont="1" applyBorder="1"/>
    <xf numFmtId="3" fontId="2" fillId="2" borderId="38" xfId="2" applyNumberFormat="1" applyFill="1" applyBorder="1"/>
    <xf numFmtId="3" fontId="0" fillId="0" borderId="38" xfId="0" applyNumberFormat="1" applyBorder="1"/>
    <xf numFmtId="0" fontId="6" fillId="0" borderId="39" xfId="2" applyFont="1" applyBorder="1" applyAlignment="1">
      <alignment vertical="center"/>
    </xf>
    <xf numFmtId="0" fontId="6" fillId="0" borderId="40" xfId="2" applyFont="1" applyBorder="1" applyAlignment="1">
      <alignment vertical="center"/>
    </xf>
    <xf numFmtId="0" fontId="6" fillId="0" borderId="40" xfId="2" applyFont="1" applyBorder="1"/>
    <xf numFmtId="0" fontId="6" fillId="0" borderId="41" xfId="2" applyFont="1" applyBorder="1"/>
    <xf numFmtId="1" fontId="2" fillId="0" borderId="39" xfId="2" applyNumberFormat="1" applyBorder="1"/>
    <xf numFmtId="49" fontId="2" fillId="0" borderId="40" xfId="2" applyNumberFormat="1" applyBorder="1" applyAlignment="1">
      <alignment horizontal="center"/>
    </xf>
    <xf numFmtId="3" fontId="2" fillId="0" borderId="40" xfId="2" applyNumberFormat="1" applyBorder="1" applyAlignment="1">
      <alignment horizontal="center"/>
    </xf>
    <xf numFmtId="0" fontId="2" fillId="0" borderId="40" xfId="2" applyBorder="1"/>
    <xf numFmtId="0" fontId="2" fillId="0" borderId="41" xfId="2" applyBorder="1"/>
    <xf numFmtId="1" fontId="2" fillId="0" borderId="44" xfId="2" applyNumberFormat="1" applyBorder="1"/>
    <xf numFmtId="3" fontId="2" fillId="0" borderId="41" xfId="3" applyNumberFormat="1" applyFont="1" applyFill="1" applyBorder="1"/>
    <xf numFmtId="1" fontId="2" fillId="0" borderId="40" xfId="2" applyNumberFormat="1" applyBorder="1"/>
    <xf numFmtId="3" fontId="2" fillId="0" borderId="41" xfId="2" applyNumberFormat="1" applyBorder="1"/>
    <xf numFmtId="49" fontId="2" fillId="0" borderId="43" xfId="2" applyNumberFormat="1" applyBorder="1" applyAlignment="1">
      <alignment horizontal="center" vertical="center" wrapText="1"/>
    </xf>
    <xf numFmtId="0" fontId="2" fillId="0" borderId="45" xfId="2" applyBorder="1" applyAlignment="1">
      <alignment horizontal="center" vertical="center"/>
    </xf>
    <xf numFmtId="3" fontId="2" fillId="0" borderId="40" xfId="2" applyNumberFormat="1" applyBorder="1"/>
    <xf numFmtId="3" fontId="5" fillId="0" borderId="38" xfId="2" applyNumberFormat="1" applyFont="1" applyBorder="1"/>
    <xf numFmtId="1" fontId="6" fillId="0" borderId="40" xfId="2" applyNumberFormat="1" applyFont="1" applyBorder="1" applyAlignment="1">
      <alignment horizontal="center" vertical="center"/>
    </xf>
    <xf numFmtId="1" fontId="2" fillId="0" borderId="40" xfId="2" applyNumberFormat="1" applyBorder="1" applyAlignment="1">
      <alignment horizontal="center"/>
    </xf>
    <xf numFmtId="0" fontId="2" fillId="0" borderId="42" xfId="2" applyBorder="1"/>
    <xf numFmtId="49" fontId="2" fillId="0" borderId="43" xfId="2" quotePrefix="1" applyNumberFormat="1" applyBorder="1" applyAlignment="1">
      <alignment horizontal="center"/>
    </xf>
    <xf numFmtId="1" fontId="2" fillId="0" borderId="43" xfId="2" quotePrefix="1" applyNumberFormat="1" applyBorder="1" applyAlignment="1">
      <alignment horizontal="center"/>
    </xf>
    <xf numFmtId="1" fontId="6" fillId="0" borderId="40" xfId="9" applyNumberFormat="1" applyFont="1" applyBorder="1" applyAlignment="1">
      <alignment vertical="center"/>
    </xf>
    <xf numFmtId="3" fontId="3" fillId="0" borderId="42" xfId="7" applyNumberFormat="1" applyFill="1" applyBorder="1"/>
    <xf numFmtId="1" fontId="3" fillId="0" borderId="44" xfId="9" applyNumberFormat="1" applyBorder="1"/>
    <xf numFmtId="1" fontId="5" fillId="0" borderId="43" xfId="2" applyNumberFormat="1" applyFont="1" applyBorder="1" applyAlignment="1">
      <alignment horizontal="center"/>
    </xf>
    <xf numFmtId="1" fontId="9" fillId="0" borderId="39" xfId="9" applyNumberFormat="1" applyFont="1" applyBorder="1"/>
    <xf numFmtId="49" fontId="9" fillId="0" borderId="40" xfId="9" applyNumberFormat="1" applyFont="1" applyBorder="1" applyAlignment="1">
      <alignment horizontal="center"/>
    </xf>
    <xf numFmtId="3" fontId="9" fillId="0" borderId="40" xfId="9" applyNumberFormat="1" applyFont="1" applyBorder="1" applyAlignment="1">
      <alignment horizontal="center"/>
    </xf>
    <xf numFmtId="0" fontId="9" fillId="0" borderId="40" xfId="9" applyFont="1" applyBorder="1"/>
    <xf numFmtId="0" fontId="9" fillId="0" borderId="41" xfId="9" applyFont="1" applyBorder="1"/>
    <xf numFmtId="3" fontId="9" fillId="0" borderId="42" xfId="16" applyNumberFormat="1" applyFont="1" applyFill="1" applyBorder="1"/>
    <xf numFmtId="1" fontId="9" fillId="0" borderId="44" xfId="9" applyNumberFormat="1" applyFont="1" applyBorder="1"/>
    <xf numFmtId="1" fontId="9" fillId="0" borderId="40" xfId="9" applyNumberFormat="1" applyFont="1" applyBorder="1"/>
    <xf numFmtId="3" fontId="9" fillId="0" borderId="41" xfId="9" applyNumberFormat="1" applyFont="1" applyBorder="1"/>
    <xf numFmtId="49" fontId="9" fillId="0" borderId="43" xfId="0" applyNumberFormat="1" applyFont="1" applyBorder="1" applyAlignment="1">
      <alignment horizontal="center" vertical="center" wrapText="1"/>
    </xf>
    <xf numFmtId="0" fontId="9" fillId="0" borderId="45" xfId="0" applyFont="1" applyBorder="1"/>
    <xf numFmtId="0" fontId="2" fillId="0" borderId="41" xfId="0" applyFont="1" applyBorder="1"/>
    <xf numFmtId="1" fontId="2" fillId="0" borderId="41" xfId="16" applyNumberFormat="1" applyFont="1" applyFill="1" applyBorder="1"/>
    <xf numFmtId="1" fontId="9" fillId="0" borderId="43" xfId="0" quotePrefix="1" applyNumberFormat="1" applyFont="1" applyBorder="1" applyAlignment="1">
      <alignment horizontal="center"/>
    </xf>
    <xf numFmtId="0" fontId="9" fillId="0" borderId="44" xfId="0" applyFont="1" applyBorder="1"/>
    <xf numFmtId="3" fontId="9" fillId="0" borderId="45" xfId="0" applyNumberFormat="1" applyFont="1" applyBorder="1"/>
    <xf numFmtId="3" fontId="5" fillId="0" borderId="42" xfId="0" applyNumberFormat="1" applyFont="1" applyBorder="1" applyAlignment="1">
      <alignment horizontal="right"/>
    </xf>
    <xf numFmtId="3" fontId="5" fillId="0" borderId="41" xfId="0" applyNumberFormat="1" applyFont="1" applyBorder="1" applyAlignment="1">
      <alignment horizontal="right"/>
    </xf>
    <xf numFmtId="3" fontId="5" fillId="0" borderId="43" xfId="0" applyNumberFormat="1" applyFont="1" applyBorder="1" applyAlignment="1">
      <alignment horizontal="right"/>
    </xf>
    <xf numFmtId="3" fontId="5" fillId="0" borderId="42" xfId="0" applyNumberFormat="1" applyFont="1" applyBorder="1"/>
    <xf numFmtId="0" fontId="6" fillId="0" borderId="40" xfId="0" applyFont="1" applyBorder="1" applyAlignment="1">
      <alignment horizontal="right"/>
    </xf>
    <xf numFmtId="3" fontId="5" fillId="0" borderId="40" xfId="0" applyNumberFormat="1" applyFont="1" applyBorder="1" applyAlignment="1">
      <alignment horizontal="right"/>
    </xf>
    <xf numFmtId="3" fontId="9" fillId="0" borderId="38" xfId="0" applyNumberFormat="1" applyFont="1" applyBorder="1" applyAlignment="1">
      <alignment horizontal="right"/>
    </xf>
    <xf numFmtId="3" fontId="9" fillId="0" borderId="38" xfId="0" applyNumberFormat="1" applyFont="1" applyBorder="1"/>
    <xf numFmtId="3" fontId="9" fillId="0" borderId="40" xfId="0" applyNumberFormat="1" applyFont="1" applyBorder="1" applyAlignment="1">
      <alignment horizontal="right"/>
    </xf>
    <xf numFmtId="3" fontId="5" fillId="0" borderId="38" xfId="0" applyNumberFormat="1" applyFont="1" applyBorder="1" applyAlignment="1">
      <alignment horizontal="right"/>
    </xf>
    <xf numFmtId="9" fontId="5" fillId="0" borderId="40" xfId="1" applyFont="1" applyFill="1" applyBorder="1" applyAlignment="1">
      <alignment horizontal="center"/>
    </xf>
    <xf numFmtId="0" fontId="6" fillId="0" borderId="40" xfId="0" applyFont="1" applyBorder="1" applyAlignment="1">
      <alignment horizontal="center"/>
    </xf>
    <xf numFmtId="3" fontId="5" fillId="0" borderId="40" xfId="0" applyNumberFormat="1" applyFont="1" applyBorder="1"/>
    <xf numFmtId="3" fontId="5" fillId="0" borderId="38" xfId="0" applyNumberFormat="1" applyFont="1" applyBorder="1"/>
    <xf numFmtId="3" fontId="9" fillId="0" borderId="40" xfId="0" applyNumberFormat="1" applyFont="1" applyBorder="1"/>
    <xf numFmtId="3" fontId="10" fillId="0" borderId="40" xfId="0" applyNumberFormat="1" applyFont="1" applyBorder="1" applyAlignment="1">
      <alignment horizontal="right"/>
    </xf>
    <xf numFmtId="0" fontId="9" fillId="0" borderId="41" xfId="0" applyFont="1" applyBorder="1"/>
    <xf numFmtId="1" fontId="9" fillId="0" borderId="41" xfId="16" applyNumberFormat="1" applyFont="1" applyFill="1" applyBorder="1"/>
    <xf numFmtId="3" fontId="6" fillId="0" borderId="40" xfId="0" applyNumberFormat="1" applyFont="1" applyBorder="1" applyAlignment="1">
      <alignment horizontal="center"/>
    </xf>
    <xf numFmtId="3" fontId="3" fillId="0" borderId="38" xfId="12" applyNumberFormat="1" applyBorder="1"/>
    <xf numFmtId="3" fontId="2" fillId="0" borderId="38" xfId="22" applyNumberFormat="1" applyFont="1" applyBorder="1" applyAlignment="1">
      <alignment vertical="top"/>
    </xf>
    <xf numFmtId="3" fontId="2" fillId="0" borderId="38" xfId="22" applyNumberFormat="1" applyFont="1" applyBorder="1"/>
    <xf numFmtId="0" fontId="6" fillId="0" borderId="40" xfId="2" applyFont="1" applyBorder="1" applyAlignment="1">
      <alignment horizontal="right"/>
    </xf>
    <xf numFmtId="1" fontId="2" fillId="0" borderId="39" xfId="9" applyNumberFormat="1" applyFont="1" applyBorder="1"/>
    <xf numFmtId="49" fontId="2" fillId="0" borderId="40" xfId="9" applyNumberFormat="1" applyFont="1" applyBorder="1" applyAlignment="1">
      <alignment horizontal="center"/>
    </xf>
    <xf numFmtId="3" fontId="2" fillId="0" borderId="40" xfId="9" applyNumberFormat="1" applyFont="1" applyBorder="1" applyAlignment="1">
      <alignment horizontal="center"/>
    </xf>
    <xf numFmtId="0" fontId="2" fillId="0" borderId="40" xfId="9" applyFont="1" applyBorder="1"/>
    <xf numFmtId="0" fontId="2" fillId="0" borderId="41" xfId="9" applyFont="1" applyBorder="1"/>
    <xf numFmtId="3" fontId="2" fillId="0" borderId="42" xfId="23" applyNumberFormat="1" applyFont="1" applyFill="1" applyBorder="1"/>
    <xf numFmtId="1" fontId="2" fillId="0" borderId="40" xfId="9" applyNumberFormat="1" applyFont="1" applyBorder="1"/>
    <xf numFmtId="3" fontId="2" fillId="0" borderId="41" xfId="9" applyNumberFormat="1" applyFont="1" applyBorder="1"/>
    <xf numFmtId="0" fontId="6" fillId="0" borderId="44" xfId="9" applyFont="1" applyBorder="1" applyAlignment="1">
      <alignment vertical="center"/>
    </xf>
    <xf numFmtId="0" fontId="2" fillId="0" borderId="45" xfId="9" applyFont="1" applyBorder="1"/>
    <xf numFmtId="1" fontId="2" fillId="0" borderId="44" xfId="9" applyNumberFormat="1" applyFont="1" applyBorder="1"/>
    <xf numFmtId="3" fontId="2" fillId="0" borderId="43" xfId="9" applyNumberFormat="1" applyFont="1" applyBorder="1"/>
    <xf numFmtId="3" fontId="2" fillId="0" borderId="42" xfId="9" applyNumberFormat="1" applyFont="1" applyBorder="1"/>
    <xf numFmtId="49" fontId="2" fillId="0" borderId="43" xfId="9" applyNumberFormat="1" applyFont="1" applyBorder="1" applyAlignment="1">
      <alignment horizontal="center" vertical="center" wrapText="1"/>
    </xf>
    <xf numFmtId="0" fontId="2" fillId="0" borderId="45" xfId="9" applyFont="1" applyBorder="1" applyAlignment="1">
      <alignment horizontal="center" vertical="center"/>
    </xf>
    <xf numFmtId="0" fontId="2" fillId="0" borderId="42" xfId="9" applyFont="1" applyBorder="1"/>
    <xf numFmtId="3" fontId="2" fillId="0" borderId="46" xfId="2" applyNumberFormat="1" applyBorder="1"/>
    <xf numFmtId="3" fontId="2" fillId="0" borderId="46" xfId="2" applyNumberFormat="1" applyBorder="1" applyAlignment="1">
      <alignment horizontal="right" vertical="top" wrapText="1"/>
    </xf>
    <xf numFmtId="3" fontId="2" fillId="0" borderId="38" xfId="9" applyNumberFormat="1" applyFont="1" applyBorder="1"/>
    <xf numFmtId="3" fontId="2" fillId="0" borderId="47" xfId="2" applyNumberFormat="1" applyBorder="1"/>
    <xf numFmtId="3" fontId="3" fillId="0" borderId="43" xfId="9" applyNumberFormat="1" applyBorder="1"/>
    <xf numFmtId="3" fontId="3" fillId="0" borderId="41" xfId="23" applyNumberFormat="1" applyFill="1" applyBorder="1"/>
    <xf numFmtId="3" fontId="2" fillId="0" borderId="42" xfId="3" applyNumberFormat="1" applyFont="1" applyFill="1" applyBorder="1"/>
    <xf numFmtId="3" fontId="2" fillId="0" borderId="42" xfId="2" applyNumberFormat="1" applyBorder="1" applyAlignment="1">
      <alignment horizontal="right"/>
    </xf>
    <xf numFmtId="3" fontId="2" fillId="0" borderId="41" xfId="2" applyNumberFormat="1" applyBorder="1" applyAlignment="1">
      <alignment horizontal="right"/>
    </xf>
    <xf numFmtId="37" fontId="2" fillId="0" borderId="38" xfId="2" applyNumberFormat="1" applyBorder="1"/>
    <xf numFmtId="49" fontId="3" fillId="0" borderId="44" xfId="9" applyNumberFormat="1" applyBorder="1" applyAlignment="1">
      <alignment horizontal="center" vertical="center" wrapText="1"/>
    </xf>
    <xf numFmtId="3" fontId="2" fillId="0" borderId="43" xfId="2" applyNumberFormat="1" applyBorder="1"/>
    <xf numFmtId="3" fontId="2" fillId="0" borderId="42" xfId="2" applyNumberFormat="1" applyBorder="1"/>
    <xf numFmtId="3" fontId="2" fillId="0" borderId="38" xfId="28" applyNumberFormat="1" applyFont="1" applyBorder="1"/>
    <xf numFmtId="3" fontId="2" fillId="0" borderId="38" xfId="2" applyNumberFormat="1" applyBorder="1" applyAlignment="1">
      <alignment horizontal="right" vertical="top" wrapText="1"/>
    </xf>
    <xf numFmtId="3" fontId="9" fillId="0" borderId="38" xfId="2" applyNumberFormat="1" applyFont="1" applyBorder="1"/>
    <xf numFmtId="49" fontId="3" fillId="0" borderId="44" xfId="9" applyNumberFormat="1" applyBorder="1" applyAlignment="1">
      <alignment horizontal="center" vertical="center"/>
    </xf>
    <xf numFmtId="3" fontId="2" fillId="0" borderId="38" xfId="3" applyNumberFormat="1" applyFont="1" applyFill="1" applyBorder="1"/>
    <xf numFmtId="3" fontId="3" fillId="0" borderId="42" xfId="15" applyNumberFormat="1" applyFill="1" applyBorder="1"/>
    <xf numFmtId="1" fontId="2" fillId="0" borderId="44" xfId="2" applyNumberFormat="1" applyBorder="1" applyAlignment="1">
      <alignment horizontal="center" vertical="center"/>
    </xf>
    <xf numFmtId="3" fontId="2" fillId="0" borderId="38" xfId="2" applyNumberFormat="1" applyBorder="1" applyAlignment="1">
      <alignment wrapText="1"/>
    </xf>
    <xf numFmtId="3" fontId="3" fillId="0" borderId="42" xfId="16" applyNumberFormat="1" applyFill="1" applyBorder="1"/>
    <xf numFmtId="0" fontId="3" fillId="0" borderId="44" xfId="9" applyBorder="1" applyAlignment="1">
      <alignment vertical="center"/>
    </xf>
    <xf numFmtId="3" fontId="3" fillId="0" borderId="38" xfId="9" applyNumberFormat="1" applyBorder="1"/>
    <xf numFmtId="1" fontId="3" fillId="0" borderId="43" xfId="9" applyNumberFormat="1" applyBorder="1" applyAlignment="1">
      <alignment horizontal="center" vertical="center"/>
    </xf>
    <xf numFmtId="3" fontId="3" fillId="0" borderId="45" xfId="9" applyNumberFormat="1" applyBorder="1"/>
    <xf numFmtId="3" fontId="3" fillId="0" borderId="40" xfId="9" applyNumberFormat="1" applyBorder="1"/>
    <xf numFmtId="3" fontId="2" fillId="0" borderId="38" xfId="32" applyNumberFormat="1" applyFont="1" applyBorder="1"/>
    <xf numFmtId="3" fontId="3" fillId="0" borderId="38" xfId="25" applyNumberFormat="1" applyBorder="1"/>
    <xf numFmtId="0" fontId="6" fillId="0" borderId="48" xfId="9" applyFont="1" applyBorder="1"/>
    <xf numFmtId="3" fontId="3" fillId="0" borderId="49" xfId="23" applyNumberFormat="1" applyFill="1" applyBorder="1"/>
    <xf numFmtId="3" fontId="2" fillId="0" borderId="45" xfId="2" applyNumberFormat="1" applyBorder="1"/>
    <xf numFmtId="3" fontId="30" fillId="0" borderId="41" xfId="2" applyNumberFormat="1" applyFont="1" applyBorder="1" applyAlignment="1">
      <alignment horizontal="right"/>
    </xf>
    <xf numFmtId="170" fontId="5" fillId="0" borderId="38" xfId="2" applyNumberFormat="1" applyFont="1" applyBorder="1"/>
    <xf numFmtId="202" fontId="5" fillId="0" borderId="38" xfId="46" applyNumberFormat="1" applyFont="1" applyFill="1" applyBorder="1"/>
    <xf numFmtId="0" fontId="5" fillId="0" borderId="38" xfId="2" applyFont="1" applyBorder="1"/>
    <xf numFmtId="0" fontId="2" fillId="0" borderId="38" xfId="2" applyBorder="1"/>
    <xf numFmtId="170" fontId="0" fillId="0" borderId="38" xfId="3" applyNumberFormat="1" applyFont="1" applyFill="1" applyBorder="1"/>
    <xf numFmtId="180" fontId="2" fillId="0" borderId="38" xfId="2" applyNumberFormat="1" applyBorder="1"/>
    <xf numFmtId="1" fontId="2" fillId="0" borderId="38" xfId="2" applyNumberFormat="1" applyBorder="1"/>
    <xf numFmtId="3" fontId="3" fillId="0" borderId="41" xfId="3" applyNumberFormat="1" applyFill="1" applyBorder="1"/>
    <xf numFmtId="3" fontId="3" fillId="0" borderId="38" xfId="9" applyNumberFormat="1" applyBorder="1" applyAlignment="1">
      <alignment horizontal="right" vertical="top"/>
    </xf>
    <xf numFmtId="1" fontId="6" fillId="0" borderId="40" xfId="9" applyNumberFormat="1" applyFont="1" applyBorder="1" applyAlignment="1">
      <alignment horizontal="center" vertical="center"/>
    </xf>
    <xf numFmtId="1" fontId="2" fillId="0" borderId="40" xfId="9" applyNumberFormat="1" applyFont="1" applyBorder="1" applyAlignment="1">
      <alignment horizontal="center"/>
    </xf>
    <xf numFmtId="3" fontId="9" fillId="0" borderId="41" xfId="2" applyNumberFormat="1" applyFont="1" applyBorder="1" applyAlignment="1">
      <alignment horizontal="right"/>
    </xf>
    <xf numFmtId="3" fontId="2" fillId="0" borderId="40" xfId="3" applyNumberFormat="1" applyFont="1" applyFill="1" applyBorder="1"/>
    <xf numFmtId="3" fontId="2" fillId="0" borderId="38" xfId="33" applyNumberFormat="1" applyFont="1" applyFill="1" applyBorder="1"/>
    <xf numFmtId="175" fontId="2" fillId="0" borderId="40" xfId="3" applyNumberFormat="1" applyFont="1" applyFill="1" applyBorder="1"/>
    <xf numFmtId="0" fontId="6" fillId="0" borderId="39" xfId="34" applyFont="1" applyBorder="1" applyAlignment="1">
      <alignment vertical="center"/>
    </xf>
    <xf numFmtId="0" fontId="6" fillId="0" borderId="40" xfId="34" applyFont="1" applyBorder="1" applyAlignment="1">
      <alignment vertical="center"/>
    </xf>
    <xf numFmtId="0" fontId="6" fillId="0" borderId="40" xfId="34" applyFont="1" applyBorder="1"/>
    <xf numFmtId="0" fontId="6" fillId="0" borderId="41" xfId="34" applyFont="1" applyBorder="1"/>
    <xf numFmtId="1" fontId="3" fillId="0" borderId="39" xfId="34" applyNumberFormat="1" applyBorder="1"/>
    <xf numFmtId="49" fontId="3" fillId="0" borderId="40" xfId="34" applyNumberFormat="1" applyBorder="1" applyAlignment="1">
      <alignment horizontal="center"/>
    </xf>
    <xf numFmtId="3" fontId="3" fillId="0" borderId="40" xfId="34" applyNumberFormat="1" applyBorder="1" applyAlignment="1">
      <alignment horizontal="center"/>
    </xf>
    <xf numFmtId="0" fontId="3" fillId="0" borderId="40" xfId="34" applyBorder="1"/>
    <xf numFmtId="0" fontId="3" fillId="0" borderId="41" xfId="34" applyBorder="1"/>
    <xf numFmtId="3" fontId="3" fillId="0" borderId="42" xfId="35" applyNumberFormat="1" applyFill="1" applyBorder="1"/>
    <xf numFmtId="1" fontId="3" fillId="0" borderId="40" xfId="34" applyNumberFormat="1" applyBorder="1"/>
    <xf numFmtId="3" fontId="3" fillId="0" borderId="41" xfId="34" applyNumberFormat="1" applyBorder="1"/>
    <xf numFmtId="49" fontId="3" fillId="0" borderId="43" xfId="34" applyNumberFormat="1" applyBorder="1" applyAlignment="1">
      <alignment horizontal="center" vertical="center" wrapText="1"/>
    </xf>
    <xf numFmtId="0" fontId="3" fillId="0" borderId="44" xfId="34" applyBorder="1" applyAlignment="1">
      <alignment horizontal="center" vertical="center"/>
    </xf>
    <xf numFmtId="0" fontId="3" fillId="0" borderId="45" xfId="34" applyBorder="1" applyAlignment="1">
      <alignment horizontal="center" vertical="center"/>
    </xf>
    <xf numFmtId="0" fontId="3" fillId="0" borderId="45" xfId="34" applyBorder="1"/>
    <xf numFmtId="0" fontId="3" fillId="0" borderId="42" xfId="34" applyBorder="1"/>
    <xf numFmtId="0" fontId="3" fillId="0" borderId="43" xfId="34" applyBorder="1"/>
    <xf numFmtId="1" fontId="3" fillId="0" borderId="43" xfId="34" applyNumberFormat="1" applyBorder="1" applyAlignment="1">
      <alignment horizontal="center" vertical="center" wrapText="1"/>
    </xf>
    <xf numFmtId="0" fontId="3" fillId="0" borderId="44" xfId="34" applyBorder="1"/>
    <xf numFmtId="3" fontId="3" fillId="0" borderId="45" xfId="34" applyNumberFormat="1" applyBorder="1"/>
    <xf numFmtId="3" fontId="3" fillId="0" borderId="43" xfId="34" applyNumberFormat="1" applyBorder="1"/>
    <xf numFmtId="3" fontId="3" fillId="0" borderId="38" xfId="34" applyNumberFormat="1" applyBorder="1"/>
    <xf numFmtId="3" fontId="3" fillId="0" borderId="38" xfId="34" applyNumberFormat="1" applyBorder="1" applyAlignment="1">
      <alignment horizontal="right" vertical="top" wrapText="1"/>
    </xf>
    <xf numFmtId="175" fontId="3" fillId="0" borderId="38" xfId="34" applyNumberFormat="1" applyBorder="1"/>
    <xf numFmtId="3" fontId="3" fillId="0" borderId="40" xfId="34" applyNumberFormat="1" applyBorder="1"/>
    <xf numFmtId="3" fontId="2" fillId="0" borderId="38" xfId="34" applyNumberFormat="1" applyFont="1" applyBorder="1"/>
    <xf numFmtId="1" fontId="0" fillId="0" borderId="39" xfId="34" applyNumberFormat="1" applyFont="1" applyBorder="1"/>
    <xf numFmtId="1" fontId="3" fillId="0" borderId="41" xfId="35" applyNumberFormat="1" applyFill="1" applyBorder="1"/>
    <xf numFmtId="1" fontId="3" fillId="0" borderId="44" xfId="34" applyNumberFormat="1" applyBorder="1"/>
    <xf numFmtId="1" fontId="3" fillId="0" borderId="44" xfId="34" applyNumberFormat="1" applyBorder="1" applyAlignment="1">
      <alignment horizontal="center" vertical="center"/>
    </xf>
    <xf numFmtId="3" fontId="3" fillId="0" borderId="38" xfId="34" applyNumberFormat="1" applyBorder="1" applyAlignment="1">
      <alignment horizontal="right" vertical="top"/>
    </xf>
    <xf numFmtId="3" fontId="3" fillId="0" borderId="38" xfId="34" applyNumberFormat="1" applyBorder="1" applyAlignment="1">
      <alignment vertical="top"/>
    </xf>
    <xf numFmtId="1" fontId="3" fillId="0" borderId="44" xfId="34" quotePrefix="1" applyNumberFormat="1" applyBorder="1" applyAlignment="1">
      <alignment horizontal="center"/>
    </xf>
    <xf numFmtId="1" fontId="3" fillId="0" borderId="43" xfId="34" quotePrefix="1" applyNumberFormat="1" applyBorder="1" applyAlignment="1">
      <alignment horizontal="center"/>
    </xf>
    <xf numFmtId="3" fontId="3" fillId="0" borderId="46" xfId="34" applyNumberFormat="1" applyBorder="1"/>
    <xf numFmtId="3" fontId="3" fillId="0" borderId="42" xfId="38" applyNumberFormat="1" applyFill="1" applyBorder="1"/>
    <xf numFmtId="1" fontId="3" fillId="0" borderId="41" xfId="38" applyNumberFormat="1" applyFill="1" applyBorder="1"/>
    <xf numFmtId="1" fontId="3" fillId="0" borderId="41" xfId="15" applyNumberFormat="1" applyFill="1" applyBorder="1"/>
    <xf numFmtId="0" fontId="3" fillId="0" borderId="44" xfId="9" applyBorder="1"/>
    <xf numFmtId="0" fontId="11" fillId="0" borderId="39" xfId="9" applyFont="1" applyBorder="1" applyAlignment="1">
      <alignment vertical="center"/>
    </xf>
    <xf numFmtId="0" fontId="11" fillId="0" borderId="40" xfId="9" applyFont="1" applyBorder="1" applyAlignment="1">
      <alignment vertical="center"/>
    </xf>
    <xf numFmtId="0" fontId="11" fillId="0" borderId="40" xfId="9" applyFont="1" applyBorder="1"/>
    <xf numFmtId="0" fontId="11" fillId="0" borderId="41" xfId="9" applyFont="1" applyBorder="1"/>
    <xf numFmtId="3" fontId="9" fillId="0" borderId="42" xfId="23" applyNumberFormat="1" applyFont="1" applyFill="1" applyBorder="1"/>
    <xf numFmtId="49" fontId="9" fillId="0" borderId="43" xfId="9" applyNumberFormat="1" applyFont="1" applyBorder="1" applyAlignment="1">
      <alignment horizontal="center" vertical="center" wrapText="1"/>
    </xf>
    <xf numFmtId="0" fontId="9" fillId="0" borderId="45" xfId="9" applyFont="1" applyBorder="1" applyAlignment="1">
      <alignment horizontal="center" vertical="center"/>
    </xf>
    <xf numFmtId="0" fontId="9" fillId="0" borderId="45" xfId="9" applyFont="1" applyBorder="1"/>
    <xf numFmtId="0" fontId="9" fillId="0" borderId="42" xfId="9" applyFont="1" applyBorder="1"/>
    <xf numFmtId="0" fontId="9" fillId="0" borderId="44" xfId="2" applyFont="1" applyBorder="1"/>
    <xf numFmtId="0" fontId="9" fillId="0" borderId="45" xfId="2" applyFont="1" applyBorder="1"/>
    <xf numFmtId="0" fontId="9" fillId="0" borderId="43" xfId="2" applyFont="1" applyBorder="1"/>
    <xf numFmtId="3" fontId="9" fillId="0" borderId="38" xfId="2" applyNumberFormat="1" applyFont="1" applyBorder="1" applyAlignment="1">
      <alignment vertical="top"/>
    </xf>
    <xf numFmtId="1" fontId="9" fillId="0" borderId="38" xfId="2" applyNumberFormat="1" applyFont="1" applyBorder="1"/>
    <xf numFmtId="1" fontId="9" fillId="0" borderId="38" xfId="2" applyNumberFormat="1" applyFont="1" applyBorder="1" applyAlignment="1">
      <alignment horizontal="center"/>
    </xf>
    <xf numFmtId="0" fontId="9" fillId="0" borderId="38" xfId="2" applyFont="1" applyBorder="1"/>
    <xf numFmtId="3" fontId="2" fillId="0" borderId="50" xfId="2" applyNumberFormat="1" applyBorder="1"/>
    <xf numFmtId="3" fontId="2" fillId="0" borderId="51" xfId="2" applyNumberFormat="1" applyBorder="1"/>
    <xf numFmtId="3" fontId="2" fillId="0" borderId="52" xfId="2" applyNumberFormat="1" applyBorder="1"/>
    <xf numFmtId="175" fontId="9" fillId="0" borderId="52" xfId="2" applyNumberFormat="1" applyFont="1" applyBorder="1"/>
    <xf numFmtId="0" fontId="6" fillId="0" borderId="53" xfId="9" applyFont="1" applyBorder="1" applyAlignment="1">
      <alignment vertical="center"/>
    </xf>
    <xf numFmtId="0" fontId="6" fillId="0" borderId="54" xfId="9" applyFont="1" applyBorder="1" applyAlignment="1">
      <alignment vertical="center"/>
    </xf>
    <xf numFmtId="0" fontId="6" fillId="0" borderId="54" xfId="9" applyFont="1" applyBorder="1"/>
    <xf numFmtId="0" fontId="6" fillId="0" borderId="55" xfId="9" applyFont="1" applyBorder="1"/>
    <xf numFmtId="0" fontId="6" fillId="0" borderId="56" xfId="9" applyFont="1" applyBorder="1"/>
    <xf numFmtId="1" fontId="3" fillId="0" borderId="53" xfId="9" applyNumberFormat="1" applyBorder="1"/>
    <xf numFmtId="49" fontId="3" fillId="0" borderId="54" xfId="9" applyNumberFormat="1" applyBorder="1" applyAlignment="1">
      <alignment horizontal="center"/>
    </xf>
    <xf numFmtId="3" fontId="3" fillId="0" borderId="54" xfId="9" applyNumberFormat="1" applyBorder="1" applyAlignment="1">
      <alignment horizontal="center"/>
    </xf>
    <xf numFmtId="0" fontId="3" fillId="0" borderId="54" xfId="9" applyBorder="1"/>
    <xf numFmtId="3" fontId="3" fillId="0" borderId="53" xfId="23" applyNumberFormat="1" applyFill="1" applyBorder="1"/>
    <xf numFmtId="3" fontId="3" fillId="0" borderId="56" xfId="23" applyNumberFormat="1" applyFill="1" applyBorder="1"/>
    <xf numFmtId="1" fontId="3" fillId="0" borderId="54" xfId="9" applyNumberFormat="1" applyBorder="1"/>
    <xf numFmtId="0" fontId="3" fillId="0" borderId="55" xfId="9" applyBorder="1"/>
    <xf numFmtId="3" fontId="3" fillId="0" borderId="55" xfId="9" applyNumberFormat="1" applyBorder="1"/>
    <xf numFmtId="3" fontId="3" fillId="0" borderId="56" xfId="9" applyNumberFormat="1" applyBorder="1"/>
    <xf numFmtId="3" fontId="3" fillId="0" borderId="57" xfId="9" applyNumberFormat="1" applyBorder="1" applyAlignment="1">
      <alignment horizontal="center" vertical="center" wrapText="1"/>
    </xf>
    <xf numFmtId="49" fontId="3" fillId="0" borderId="57" xfId="9" applyNumberFormat="1" applyBorder="1" applyAlignment="1">
      <alignment horizontal="center" vertical="center" wrapText="1"/>
    </xf>
    <xf numFmtId="0" fontId="3" fillId="0" borderId="58" xfId="9" applyBorder="1" applyAlignment="1">
      <alignment horizontal="center" vertical="center"/>
    </xf>
    <xf numFmtId="0" fontId="3" fillId="0" borderId="59" xfId="9" applyBorder="1"/>
    <xf numFmtId="0" fontId="3" fillId="0" borderId="56" xfId="9" applyBorder="1"/>
    <xf numFmtId="1" fontId="3" fillId="0" borderId="57" xfId="9" applyNumberFormat="1" applyBorder="1" applyAlignment="1">
      <alignment horizontal="center" vertical="center" wrapText="1"/>
    </xf>
    <xf numFmtId="49" fontId="3" fillId="0" borderId="57" xfId="9" applyNumberFormat="1" applyBorder="1" applyAlignment="1">
      <alignment horizontal="center" vertical="center"/>
    </xf>
    <xf numFmtId="0" fontId="3" fillId="0" borderId="57" xfId="9" applyBorder="1"/>
    <xf numFmtId="3" fontId="2" fillId="0" borderId="52" xfId="2" applyNumberFormat="1" applyBorder="1" applyAlignment="1">
      <alignment vertical="top"/>
    </xf>
    <xf numFmtId="0" fontId="6" fillId="0" borderId="54" xfId="9" applyFont="1" applyBorder="1" applyAlignment="1">
      <alignment horizontal="center" vertical="center"/>
    </xf>
    <xf numFmtId="3" fontId="3" fillId="0" borderId="56" xfId="3" applyNumberFormat="1" applyFill="1" applyBorder="1"/>
    <xf numFmtId="1" fontId="3" fillId="0" borderId="54" xfId="9" applyNumberFormat="1" applyBorder="1" applyAlignment="1">
      <alignment horizontal="center"/>
    </xf>
    <xf numFmtId="1" fontId="2" fillId="0" borderId="57" xfId="2" applyNumberFormat="1" applyBorder="1" applyAlignment="1">
      <alignment horizontal="center" vertical="center"/>
    </xf>
    <xf numFmtId="0" fontId="3" fillId="0" borderId="59" xfId="9" applyBorder="1" applyAlignment="1">
      <alignment horizontal="center" vertical="center"/>
    </xf>
    <xf numFmtId="49" fontId="2" fillId="0" borderId="57" xfId="2" applyNumberFormat="1" applyBorder="1" applyAlignment="1">
      <alignment horizontal="center" vertical="center"/>
    </xf>
    <xf numFmtId="3" fontId="2" fillId="0" borderId="57" xfId="2" applyNumberFormat="1" applyBorder="1" applyAlignment="1">
      <alignment horizontal="center" vertical="center"/>
    </xf>
    <xf numFmtId="0" fontId="2" fillId="0" borderId="58" xfId="2" applyBorder="1" applyAlignment="1">
      <alignment horizontal="center" vertical="center"/>
    </xf>
    <xf numFmtId="0" fontId="2" fillId="0" borderId="59" xfId="2" applyBorder="1"/>
    <xf numFmtId="1" fontId="5" fillId="0" borderId="53" xfId="2" applyNumberFormat="1" applyFont="1" applyBorder="1"/>
    <xf numFmtId="1" fontId="5" fillId="0" borderId="53" xfId="2" applyNumberFormat="1" applyFont="1" applyBorder="1" applyAlignment="1">
      <alignment horizontal="center"/>
    </xf>
    <xf numFmtId="1" fontId="5" fillId="0" borderId="54" xfId="2" applyNumberFormat="1" applyFont="1" applyBorder="1" applyAlignment="1">
      <alignment horizontal="center"/>
    </xf>
    <xf numFmtId="0" fontId="5" fillId="0" borderId="54" xfId="2" applyFont="1" applyBorder="1"/>
    <xf numFmtId="3" fontId="46" fillId="0" borderId="55" xfId="2" applyNumberFormat="1" applyFont="1" applyBorder="1"/>
    <xf numFmtId="1" fontId="5" fillId="0" borderId="53" xfId="9" applyNumberFormat="1" applyFont="1" applyBorder="1"/>
    <xf numFmtId="49" fontId="5" fillId="0" borderId="54" xfId="9" applyNumberFormat="1" applyFont="1" applyBorder="1" applyAlignment="1">
      <alignment horizontal="center"/>
    </xf>
    <xf numFmtId="3" fontId="5" fillId="0" borderId="54" xfId="9" applyNumberFormat="1" applyFont="1" applyBorder="1" applyAlignment="1">
      <alignment horizontal="center"/>
    </xf>
    <xf numFmtId="0" fontId="5" fillId="0" borderId="54" xfId="9" applyFont="1" applyBorder="1"/>
    <xf numFmtId="0" fontId="5" fillId="0" borderId="55" xfId="9" applyFont="1" applyBorder="1"/>
    <xf numFmtId="3" fontId="46" fillId="0" borderId="56" xfId="23" applyNumberFormat="1" applyFont="1" applyFill="1" applyBorder="1" applyAlignment="1"/>
    <xf numFmtId="0" fontId="2" fillId="0" borderId="57" xfId="2" applyBorder="1"/>
    <xf numFmtId="0" fontId="2" fillId="0" borderId="58" xfId="2" applyBorder="1"/>
    <xf numFmtId="175" fontId="2" fillId="0" borderId="60" xfId="2" applyNumberFormat="1" applyBorder="1"/>
    <xf numFmtId="1" fontId="5" fillId="0" borderId="57" xfId="2" applyNumberFormat="1" applyFont="1" applyBorder="1" applyAlignment="1">
      <alignment horizontal="left"/>
    </xf>
    <xf numFmtId="0" fontId="5" fillId="0" borderId="58" xfId="2" applyFont="1" applyBorder="1"/>
    <xf numFmtId="2" fontId="0" fillId="0" borderId="0" xfId="0" applyNumberFormat="1" applyAlignment="1">
      <alignment vertical="top" wrapText="1"/>
    </xf>
    <xf numFmtId="1" fontId="2" fillId="0" borderId="0" xfId="2" applyNumberFormat="1" applyAlignment="1">
      <alignment horizontal="left" vertical="top" wrapText="1"/>
    </xf>
    <xf numFmtId="0" fontId="2" fillId="0" borderId="0" xfId="2" applyAlignment="1">
      <alignment horizontal="left" vertical="justify"/>
    </xf>
    <xf numFmtId="172" fontId="8" fillId="0" borderId="0" xfId="2" applyNumberFormat="1" applyFont="1" applyAlignment="1">
      <alignment horizontal="left"/>
    </xf>
    <xf numFmtId="1" fontId="8" fillId="0" borderId="0" xfId="2" applyNumberFormat="1" applyFont="1" applyAlignment="1">
      <alignment horizontal="right"/>
    </xf>
    <xf numFmtId="3" fontId="8" fillId="0" borderId="0" xfId="2" applyNumberFormat="1" applyFont="1" applyAlignment="1">
      <alignment horizontal="center"/>
    </xf>
    <xf numFmtId="171" fontId="8" fillId="0" borderId="0" xfId="2" applyNumberFormat="1" applyFont="1" applyAlignment="1">
      <alignment horizontal="right"/>
    </xf>
    <xf numFmtId="3" fontId="8" fillId="0" borderId="0" xfId="2" quotePrefix="1" applyNumberFormat="1" applyFont="1" applyAlignment="1">
      <alignment horizontal="center"/>
    </xf>
    <xf numFmtId="0" fontId="8" fillId="0" borderId="0" xfId="2" quotePrefix="1" applyFont="1" applyAlignment="1">
      <alignment horizontal="center"/>
    </xf>
    <xf numFmtId="176" fontId="8" fillId="0" borderId="0" xfId="2" applyNumberFormat="1" applyFont="1" applyAlignment="1">
      <alignment horizontal="left"/>
    </xf>
    <xf numFmtId="191" fontId="8" fillId="0" borderId="0" xfId="2" applyNumberFormat="1" applyFont="1" applyAlignment="1">
      <alignment horizontal="right"/>
    </xf>
    <xf numFmtId="175" fontId="8" fillId="0" borderId="0" xfId="2" applyNumberFormat="1" applyFont="1" applyAlignment="1">
      <alignment horizontal="center"/>
    </xf>
    <xf numFmtId="1" fontId="23" fillId="0" borderId="0" xfId="0" applyNumberFormat="1" applyFont="1" applyAlignment="1">
      <alignment horizontal="center"/>
    </xf>
    <xf numFmtId="3" fontId="8" fillId="0" borderId="0" xfId="0" applyNumberFormat="1" applyFont="1"/>
    <xf numFmtId="0" fontId="8" fillId="0" borderId="0" xfId="0" quotePrefix="1" applyFont="1"/>
    <xf numFmtId="0" fontId="23" fillId="0" borderId="0" xfId="0" applyFont="1"/>
    <xf numFmtId="3" fontId="8" fillId="0" borderId="38" xfId="0" applyNumberFormat="1" applyFont="1" applyBorder="1"/>
    <xf numFmtId="0" fontId="8" fillId="0" borderId="0" xfId="0" applyFont="1" applyAlignment="1">
      <alignment horizontal="left"/>
    </xf>
    <xf numFmtId="3" fontId="8" fillId="0" borderId="0" xfId="0" applyNumberFormat="1" applyFont="1" applyAlignment="1">
      <alignment horizontal="center"/>
    </xf>
    <xf numFmtId="1" fontId="8" fillId="0" borderId="0" xfId="0" applyNumberFormat="1" applyFont="1"/>
    <xf numFmtId="4" fontId="8" fillId="0" borderId="0" xfId="0" applyNumberFormat="1" applyFont="1" applyAlignment="1">
      <alignment horizontal="center"/>
    </xf>
    <xf numFmtId="182" fontId="8" fillId="0" borderId="0" xfId="0" applyNumberFormat="1" applyFont="1" applyAlignment="1">
      <alignment horizontal="left"/>
    </xf>
    <xf numFmtId="1" fontId="8" fillId="0" borderId="0" xfId="0" applyNumberFormat="1" applyFont="1" applyAlignment="1">
      <alignment horizontal="center"/>
    </xf>
    <xf numFmtId="0" fontId="2" fillId="0" borderId="0" xfId="2" applyAlignment="1">
      <alignment horizontal="left" wrapText="1"/>
    </xf>
    <xf numFmtId="3" fontId="8" fillId="0" borderId="0" xfId="0" quotePrefix="1" applyNumberFormat="1" applyFont="1"/>
    <xf numFmtId="172" fontId="8" fillId="0" borderId="0" xfId="0" applyNumberFormat="1" applyFont="1"/>
    <xf numFmtId="37" fontId="8" fillId="0" borderId="0" xfId="0" applyNumberFormat="1" applyFont="1"/>
    <xf numFmtId="1" fontId="8" fillId="0" borderId="0" xfId="0" quotePrefix="1" applyNumberFormat="1" applyFont="1" applyAlignment="1">
      <alignment horizontal="center"/>
    </xf>
    <xf numFmtId="184" fontId="40" fillId="0" borderId="0" xfId="0" applyNumberFormat="1" applyFont="1" applyAlignment="1">
      <alignment horizontal="center"/>
    </xf>
    <xf numFmtId="0" fontId="6" fillId="0" borderId="56" xfId="2" applyFont="1" applyBorder="1"/>
    <xf numFmtId="1" fontId="8" fillId="0" borderId="0" xfId="2" quotePrefix="1" applyNumberFormat="1" applyFont="1" applyAlignment="1">
      <alignment horizontal="right"/>
    </xf>
    <xf numFmtId="3" fontId="8" fillId="0" borderId="0" xfId="2" applyNumberFormat="1" applyFont="1" applyAlignment="1">
      <alignment horizontal="left"/>
    </xf>
    <xf numFmtId="187" fontId="8" fillId="0" borderId="0" xfId="2" applyNumberFormat="1" applyFont="1" applyAlignment="1">
      <alignment vertical="top"/>
    </xf>
    <xf numFmtId="1" fontId="8" fillId="0" borderId="0" xfId="2" applyNumberFormat="1" applyFont="1"/>
    <xf numFmtId="189" fontId="8" fillId="0" borderId="0" xfId="2" applyNumberFormat="1" applyFont="1" applyAlignment="1">
      <alignment horizontal="left"/>
    </xf>
    <xf numFmtId="1" fontId="8" fillId="0" borderId="0" xfId="2" quotePrefix="1" applyNumberFormat="1" applyFont="1" applyAlignment="1">
      <alignment horizontal="left"/>
    </xf>
    <xf numFmtId="190" fontId="8" fillId="0" borderId="0" xfId="2" applyNumberFormat="1" applyFont="1" applyAlignment="1">
      <alignment horizontal="left"/>
    </xf>
    <xf numFmtId="0" fontId="8" fillId="0" borderId="0" xfId="2" quotePrefix="1" applyFont="1"/>
    <xf numFmtId="191" fontId="8" fillId="0" borderId="0" xfId="2" applyNumberFormat="1" applyFont="1"/>
    <xf numFmtId="4" fontId="8" fillId="0" borderId="0" xfId="2" applyNumberFormat="1" applyFont="1"/>
    <xf numFmtId="4" fontId="8" fillId="0" borderId="0" xfId="2" applyNumberFormat="1" applyFont="1" applyAlignment="1">
      <alignment horizontal="right"/>
    </xf>
    <xf numFmtId="3" fontId="8" fillId="0" borderId="0" xfId="2" quotePrefix="1" applyNumberFormat="1" applyFont="1"/>
    <xf numFmtId="171" fontId="8" fillId="0" borderId="0" xfId="2" applyNumberFormat="1" applyFont="1" applyAlignment="1">
      <alignment horizontal="left"/>
    </xf>
    <xf numFmtId="182" fontId="8" fillId="0" borderId="0" xfId="0" applyNumberFormat="1" applyFont="1" applyAlignment="1">
      <alignment horizontal="center"/>
    </xf>
    <xf numFmtId="1" fontId="8" fillId="0" borderId="0" xfId="2" applyNumberFormat="1" applyFont="1" applyAlignment="1">
      <alignment horizontal="center" vertical="top" wrapText="1"/>
    </xf>
    <xf numFmtId="0" fontId="8" fillId="0" borderId="0" xfId="2" applyFont="1" applyAlignment="1">
      <alignment vertical="top"/>
    </xf>
    <xf numFmtId="171" fontId="8" fillId="0" borderId="0" xfId="2" applyNumberFormat="1" applyFont="1" applyAlignment="1">
      <alignment horizontal="right" vertical="top"/>
    </xf>
    <xf numFmtId="171" fontId="8" fillId="0" borderId="0" xfId="2" applyNumberFormat="1" applyFont="1"/>
    <xf numFmtId="0" fontId="9" fillId="2" borderId="0" xfId="0" applyFont="1" applyFill="1"/>
    <xf numFmtId="3" fontId="9" fillId="2" borderId="0" xfId="0" applyNumberFormat="1" applyFont="1" applyFill="1"/>
    <xf numFmtId="0" fontId="9" fillId="2" borderId="0" xfId="0" quotePrefix="1" applyFont="1" applyFill="1"/>
    <xf numFmtId="1" fontId="9" fillId="2" borderId="0" xfId="0" applyNumberFormat="1" applyFont="1" applyFill="1" applyAlignment="1">
      <alignment horizontal="center"/>
    </xf>
    <xf numFmtId="0" fontId="6" fillId="2" borderId="0" xfId="0" applyFont="1" applyFill="1" applyAlignment="1">
      <alignment horizontal="right"/>
    </xf>
    <xf numFmtId="3" fontId="9" fillId="2" borderId="0" xfId="0" applyNumberFormat="1" applyFont="1" applyFill="1" applyAlignment="1">
      <alignment horizontal="right"/>
    </xf>
    <xf numFmtId="173" fontId="23" fillId="0" borderId="0" xfId="0" applyNumberFormat="1" applyFont="1"/>
    <xf numFmtId="3" fontId="8" fillId="0" borderId="0" xfId="0" applyNumberFormat="1" applyFont="1" applyAlignment="1">
      <alignment horizontal="right"/>
    </xf>
    <xf numFmtId="3" fontId="8" fillId="0" borderId="3" xfId="0" applyNumberFormat="1" applyFont="1" applyBorder="1"/>
    <xf numFmtId="3" fontId="8" fillId="0" borderId="0" xfId="22" applyNumberFormat="1" applyFont="1"/>
    <xf numFmtId="3" fontId="8" fillId="0" borderId="0" xfId="12" applyNumberFormat="1" applyFont="1"/>
    <xf numFmtId="188" fontId="8" fillId="0" borderId="0" xfId="1" applyNumberFormat="1" applyFont="1" applyFill="1"/>
    <xf numFmtId="173" fontId="67" fillId="0" borderId="0" xfId="0" applyNumberFormat="1" applyFont="1"/>
    <xf numFmtId="173" fontId="66" fillId="0" borderId="0" xfId="0" applyNumberFormat="1" applyFont="1"/>
    <xf numFmtId="3" fontId="40" fillId="0" borderId="0" xfId="2" applyNumberFormat="1" applyFont="1"/>
    <xf numFmtId="173" fontId="8" fillId="0" borderId="0" xfId="1" applyNumberFormat="1" applyFont="1" applyFill="1"/>
    <xf numFmtId="1" fontId="23" fillId="0" borderId="0" xfId="2" quotePrefix="1" applyNumberFormat="1" applyFont="1" applyAlignment="1">
      <alignment horizontal="right"/>
    </xf>
    <xf numFmtId="173" fontId="23" fillId="0" borderId="0" xfId="2" applyNumberFormat="1" applyFont="1"/>
    <xf numFmtId="173" fontId="23" fillId="0" borderId="6" xfId="2" applyNumberFormat="1" applyFont="1" applyBorder="1"/>
    <xf numFmtId="173" fontId="8" fillId="0" borderId="0" xfId="10" applyNumberFormat="1" applyFont="1"/>
    <xf numFmtId="173" fontId="8" fillId="0" borderId="0" xfId="2" applyNumberFormat="1" applyFont="1"/>
    <xf numFmtId="1" fontId="23" fillId="0" borderId="0" xfId="2" applyNumberFormat="1" applyFont="1"/>
    <xf numFmtId="0" fontId="23" fillId="0" borderId="0" xfId="2" applyFont="1" applyAlignment="1">
      <alignment horizontal="right"/>
    </xf>
    <xf numFmtId="0" fontId="8" fillId="0" borderId="0" xfId="2" applyFont="1" applyAlignment="1">
      <alignment horizontal="right"/>
    </xf>
    <xf numFmtId="180" fontId="8" fillId="0" borderId="0" xfId="3" applyNumberFormat="1" applyFont="1" applyFill="1"/>
    <xf numFmtId="3" fontId="8" fillId="0" borderId="3" xfId="2" applyNumberFormat="1" applyFont="1" applyBorder="1"/>
    <xf numFmtId="175" fontId="8" fillId="0" borderId="0" xfId="28" applyNumberFormat="1" applyFont="1"/>
    <xf numFmtId="3" fontId="23" fillId="0" borderId="0" xfId="2" quotePrefix="1" applyNumberFormat="1" applyFont="1" applyAlignment="1">
      <alignment horizontal="right"/>
    </xf>
    <xf numFmtId="10" fontId="23" fillId="0" borderId="0" xfId="2" applyNumberFormat="1" applyFont="1"/>
    <xf numFmtId="10" fontId="68" fillId="0" borderId="0" xfId="25" applyNumberFormat="1" applyFont="1"/>
    <xf numFmtId="173" fontId="8" fillId="0" borderId="0" xfId="25" applyNumberFormat="1" applyFont="1"/>
    <xf numFmtId="173" fontId="8" fillId="0" borderId="6" xfId="25" applyNumberFormat="1" applyFont="1" applyBorder="1"/>
    <xf numFmtId="0" fontId="38" fillId="0" borderId="0" xfId="2" applyFont="1"/>
    <xf numFmtId="173" fontId="68" fillId="0" borderId="0" xfId="2" applyNumberFormat="1" applyFont="1"/>
    <xf numFmtId="3" fontId="8" fillId="0" borderId="0" xfId="0" applyNumberFormat="1" applyFont="1" applyAlignment="1" applyProtection="1">
      <alignment horizontal="right"/>
      <protection locked="0"/>
    </xf>
    <xf numFmtId="3" fontId="8" fillId="0" borderId="0" xfId="15" applyNumberFormat="1" applyFont="1" applyFill="1"/>
    <xf numFmtId="3" fontId="8" fillId="0" borderId="0" xfId="26" applyNumberFormat="1" applyFont="1"/>
    <xf numFmtId="179" fontId="8" fillId="0" borderId="0" xfId="2" applyNumberFormat="1" applyFont="1"/>
    <xf numFmtId="3" fontId="23" fillId="0" borderId="0" xfId="27" quotePrefix="1" applyNumberFormat="1" applyFont="1" applyAlignment="1">
      <alignment horizontal="right"/>
    </xf>
    <xf numFmtId="3" fontId="8" fillId="0" borderId="0" xfId="27" applyNumberFormat="1" applyFont="1"/>
    <xf numFmtId="175" fontId="8" fillId="0" borderId="38" xfId="2" applyNumberFormat="1" applyFont="1" applyBorder="1"/>
    <xf numFmtId="0" fontId="23" fillId="0" borderId="0" xfId="2" applyFont="1"/>
    <xf numFmtId="0" fontId="8" fillId="0" borderId="6" xfId="2" applyFont="1" applyBorder="1"/>
    <xf numFmtId="10" fontId="8" fillId="0" borderId="0" xfId="2" applyNumberFormat="1" applyFont="1"/>
    <xf numFmtId="3" fontId="8" fillId="0" borderId="2" xfId="2" applyNumberFormat="1" applyFont="1" applyBorder="1"/>
    <xf numFmtId="3" fontId="2" fillId="2" borderId="2" xfId="2" applyNumberFormat="1" applyFill="1" applyBorder="1"/>
    <xf numFmtId="3" fontId="8" fillId="0" borderId="0" xfId="46" applyNumberFormat="1" applyFont="1" applyFill="1"/>
    <xf numFmtId="3" fontId="8" fillId="0" borderId="0" xfId="46" applyNumberFormat="1" applyFont="1" applyFill="1" applyAlignment="1">
      <alignment vertical="top" wrapText="1"/>
    </xf>
    <xf numFmtId="3" fontId="65" fillId="0" borderId="0" xfId="2" quotePrefix="1" applyNumberFormat="1" applyFont="1" applyAlignment="1">
      <alignment horizontal="right"/>
    </xf>
    <xf numFmtId="0" fontId="61" fillId="0" borderId="0" xfId="0" applyFont="1"/>
    <xf numFmtId="3" fontId="8" fillId="0" borderId="3" xfId="9" applyNumberFormat="1" applyFont="1" applyBorder="1"/>
    <xf numFmtId="179" fontId="8" fillId="0" borderId="0" xfId="46" applyNumberFormat="1" applyFont="1" applyFill="1"/>
    <xf numFmtId="3" fontId="8" fillId="0" borderId="8" xfId="2" applyNumberFormat="1" applyFont="1" applyBorder="1"/>
    <xf numFmtId="3" fontId="2" fillId="2" borderId="0" xfId="2" applyNumberFormat="1" applyFill="1"/>
    <xf numFmtId="202" fontId="2" fillId="2" borderId="0" xfId="46" applyNumberFormat="1" applyFont="1" applyFill="1"/>
    <xf numFmtId="3" fontId="8" fillId="0" borderId="2" xfId="2" applyNumberFormat="1" applyFont="1" applyBorder="1" applyAlignment="1">
      <alignment horizontal="right"/>
    </xf>
    <xf numFmtId="175" fontId="8" fillId="0" borderId="0" xfId="3" applyNumberFormat="1" applyFont="1" applyFill="1"/>
    <xf numFmtId="3" fontId="8" fillId="0" borderId="3" xfId="34" applyNumberFormat="1" applyFont="1" applyBorder="1" applyAlignment="1">
      <alignment horizontal="right"/>
    </xf>
    <xf numFmtId="0" fontId="3" fillId="0" borderId="9" xfId="34" applyBorder="1"/>
    <xf numFmtId="0" fontId="2" fillId="0" borderId="9" xfId="34" applyFont="1" applyBorder="1"/>
    <xf numFmtId="0" fontId="2" fillId="0" borderId="3" xfId="34" applyFont="1" applyBorder="1"/>
    <xf numFmtId="3" fontId="8" fillId="0" borderId="6" xfId="34" applyNumberFormat="1" applyFont="1" applyBorder="1" applyAlignment="1">
      <alignment horizontal="right"/>
    </xf>
    <xf numFmtId="3" fontId="8" fillId="0" borderId="0" xfId="34" applyNumberFormat="1" applyFont="1" applyAlignment="1">
      <alignment horizontal="right"/>
    </xf>
    <xf numFmtId="3" fontId="8" fillId="0" borderId="0" xfId="34" applyNumberFormat="1" applyFont="1"/>
    <xf numFmtId="3" fontId="8" fillId="0" borderId="6" xfId="34" applyNumberFormat="1" applyFont="1" applyBorder="1"/>
    <xf numFmtId="1" fontId="2" fillId="2" borderId="0" xfId="2" applyNumberFormat="1" applyFill="1" applyAlignment="1">
      <alignment horizontal="right"/>
    </xf>
    <xf numFmtId="0" fontId="2" fillId="2" borderId="0" xfId="2" applyFill="1"/>
    <xf numFmtId="197" fontId="2" fillId="2" borderId="0" xfId="2" applyNumberFormat="1" applyFill="1" applyAlignment="1">
      <alignment horizontal="right"/>
    </xf>
    <xf numFmtId="175" fontId="8" fillId="0" borderId="52" xfId="2" applyNumberFormat="1" applyFont="1" applyBorder="1"/>
    <xf numFmtId="3" fontId="2" fillId="2" borderId="52" xfId="2" applyNumberFormat="1" applyFill="1" applyBorder="1"/>
    <xf numFmtId="173" fontId="8" fillId="0" borderId="6" xfId="10" applyNumberFormat="1" applyFont="1" applyBorder="1"/>
    <xf numFmtId="3" fontId="8" fillId="0" borderId="0" xfId="2" applyNumberFormat="1" applyFont="1" applyAlignment="1">
      <alignment horizontal="right"/>
    </xf>
    <xf numFmtId="173" fontId="23" fillId="0" borderId="0" xfId="2" applyNumberFormat="1" applyFont="1" applyAlignment="1">
      <alignment horizontal="right"/>
    </xf>
    <xf numFmtId="173" fontId="8" fillId="0" borderId="0" xfId="2" applyNumberFormat="1" applyFont="1" applyAlignment="1">
      <alignment horizontal="right"/>
    </xf>
    <xf numFmtId="3" fontId="8" fillId="0" borderId="0" xfId="10" applyNumberFormat="1" applyFont="1"/>
    <xf numFmtId="3" fontId="8" fillId="0" borderId="6" xfId="10" applyNumberFormat="1" applyFont="1" applyBorder="1"/>
    <xf numFmtId="173" fontId="8" fillId="0" borderId="6" xfId="2" applyNumberFormat="1" applyFont="1" applyBorder="1"/>
    <xf numFmtId="9" fontId="8" fillId="0" borderId="0" xfId="2" applyNumberFormat="1" applyFont="1"/>
    <xf numFmtId="170" fontId="26" fillId="0" borderId="0" xfId="46" applyNumberFormat="1" applyFont="1" applyFill="1"/>
    <xf numFmtId="3" fontId="8" fillId="0" borderId="0" xfId="2" applyNumberFormat="1" applyFont="1" applyAlignment="1">
      <alignment vertical="top"/>
    </xf>
    <xf numFmtId="3" fontId="23" fillId="0" borderId="0" xfId="2" applyNumberFormat="1" applyFont="1"/>
    <xf numFmtId="3" fontId="23" fillId="0" borderId="6" xfId="2" applyNumberFormat="1" applyFont="1" applyBorder="1"/>
    <xf numFmtId="0" fontId="23" fillId="0" borderId="0" xfId="9" applyFont="1"/>
    <xf numFmtId="167" fontId="0" fillId="2" borderId="0" xfId="0" applyNumberFormat="1" applyFill="1"/>
    <xf numFmtId="167" fontId="0" fillId="9" borderId="0" xfId="0" applyNumberFormat="1" applyFill="1"/>
    <xf numFmtId="3" fontId="2" fillId="2" borderId="2" xfId="22" applyNumberFormat="1" applyFont="1" applyFill="1" applyBorder="1"/>
    <xf numFmtId="3" fontId="2" fillId="2" borderId="3" xfId="22" applyNumberFormat="1" applyFont="1" applyFill="1" applyBorder="1"/>
    <xf numFmtId="1" fontId="3" fillId="5" borderId="0" xfId="34" applyNumberFormat="1" applyFill="1" applyAlignment="1">
      <alignment horizontal="left"/>
    </xf>
    <xf numFmtId="0" fontId="3" fillId="5" borderId="0" xfId="34" applyFill="1"/>
    <xf numFmtId="3" fontId="3" fillId="5" borderId="0" xfId="34" applyNumberFormat="1" applyFill="1"/>
    <xf numFmtId="1" fontId="3" fillId="5" borderId="0" xfId="9" applyNumberFormat="1" applyFill="1" applyAlignment="1">
      <alignment horizontal="center"/>
    </xf>
    <xf numFmtId="1" fontId="3" fillId="5" borderId="0" xfId="9" applyNumberFormat="1" applyFill="1"/>
    <xf numFmtId="0" fontId="3" fillId="5" borderId="0" xfId="9" applyFill="1"/>
    <xf numFmtId="1" fontId="3" fillId="5" borderId="0" xfId="9" applyNumberFormat="1" applyFill="1" applyAlignment="1">
      <alignment horizontal="center" vertical="top"/>
    </xf>
    <xf numFmtId="3" fontId="2" fillId="5" borderId="0" xfId="9" applyNumberFormat="1" applyFont="1" applyFill="1" applyAlignment="1">
      <alignment vertical="top"/>
    </xf>
    <xf numFmtId="0" fontId="3" fillId="5" borderId="0" xfId="9" applyFill="1" applyAlignment="1">
      <alignment vertical="top"/>
    </xf>
    <xf numFmtId="3" fontId="3" fillId="5" borderId="0" xfId="9" applyNumberFormat="1" applyFill="1"/>
    <xf numFmtId="1" fontId="32" fillId="5" borderId="0" xfId="34" applyNumberFormat="1" applyFont="1" applyFill="1" applyAlignment="1">
      <alignment horizontal="left"/>
    </xf>
    <xf numFmtId="1" fontId="32" fillId="5" borderId="0" xfId="34" applyNumberFormat="1" applyFont="1" applyFill="1" applyAlignment="1">
      <alignment horizontal="right"/>
    </xf>
    <xf numFmtId="1" fontId="3" fillId="5" borderId="0" xfId="34" applyNumberFormat="1" applyFill="1" applyAlignment="1">
      <alignment horizontal="center"/>
    </xf>
    <xf numFmtId="3" fontId="2" fillId="5" borderId="0" xfId="34" quotePrefix="1" applyNumberFormat="1" applyFont="1" applyFill="1"/>
    <xf numFmtId="179" fontId="5" fillId="5" borderId="0" xfId="34" applyNumberFormat="1" applyFont="1" applyFill="1" applyAlignment="1">
      <alignment horizontal="left"/>
    </xf>
    <xf numFmtId="175" fontId="3" fillId="5" borderId="0" xfId="34" applyNumberFormat="1" applyFill="1" applyAlignment="1">
      <alignment horizontal="right"/>
    </xf>
    <xf numFmtId="3" fontId="3" fillId="5" borderId="0" xfId="34" applyNumberFormat="1" applyFill="1" applyAlignment="1">
      <alignment horizontal="right"/>
    </xf>
    <xf numFmtId="1" fontId="2" fillId="5" borderId="0" xfId="2" quotePrefix="1" applyNumberFormat="1" applyFill="1" applyAlignment="1">
      <alignment horizontal="center" vertical="top"/>
    </xf>
    <xf numFmtId="0" fontId="2" fillId="5" borderId="0" xfId="2" applyFill="1" applyAlignment="1">
      <alignment horizontal="justify" vertical="top" wrapText="1"/>
    </xf>
    <xf numFmtId="3" fontId="2" fillId="5" borderId="0" xfId="2" applyNumberFormat="1" applyFill="1" applyAlignment="1">
      <alignment vertical="top"/>
    </xf>
    <xf numFmtId="3" fontId="2" fillId="5" borderId="0" xfId="2" applyNumberFormat="1" applyFill="1"/>
    <xf numFmtId="0" fontId="3" fillId="5" borderId="0" xfId="2" applyFont="1" applyFill="1"/>
    <xf numFmtId="0" fontId="2" fillId="5" borderId="0" xfId="2" applyFill="1" applyAlignment="1">
      <alignment horizontal="center"/>
    </xf>
    <xf numFmtId="0" fontId="2" fillId="5" borderId="0" xfId="9" applyFont="1" applyFill="1" applyAlignment="1">
      <alignment vertical="top"/>
    </xf>
    <xf numFmtId="3" fontId="3" fillId="5" borderId="0" xfId="9" applyNumberFormat="1" applyFill="1" applyAlignment="1">
      <alignment horizontal="right" vertical="top"/>
    </xf>
    <xf numFmtId="3" fontId="2" fillId="5" borderId="0" xfId="64" applyNumberFormat="1" applyFill="1" applyAlignment="1">
      <alignment horizontal="right" vertical="top"/>
    </xf>
    <xf numFmtId="3" fontId="2" fillId="2" borderId="6" xfId="2" applyNumberFormat="1" applyFill="1" applyBorder="1"/>
    <xf numFmtId="1" fontId="2" fillId="5" borderId="0" xfId="2" applyNumberFormat="1" applyFill="1"/>
    <xf numFmtId="0" fontId="2" fillId="5" borderId="0" xfId="24" applyFont="1" applyFill="1"/>
    <xf numFmtId="3" fontId="2" fillId="5" borderId="6" xfId="2" applyNumberFormat="1" applyFill="1" applyBorder="1"/>
    <xf numFmtId="0" fontId="2" fillId="5" borderId="0" xfId="2" quotePrefix="1" applyFill="1"/>
    <xf numFmtId="1" fontId="3" fillId="5" borderId="0" xfId="34" quotePrefix="1" applyNumberFormat="1" applyFill="1" applyAlignment="1">
      <alignment horizontal="center"/>
    </xf>
    <xf numFmtId="0" fontId="2" fillId="5" borderId="0" xfId="34" quotePrefix="1" applyFont="1" applyFill="1"/>
    <xf numFmtId="1" fontId="5" fillId="5" borderId="0" xfId="34" quotePrefix="1" applyNumberFormat="1" applyFont="1" applyFill="1" applyAlignment="1">
      <alignment horizontal="center"/>
    </xf>
    <xf numFmtId="1" fontId="2" fillId="5" borderId="0" xfId="2" applyNumberFormat="1" applyFill="1" applyAlignment="1">
      <alignment horizontal="left"/>
    </xf>
    <xf numFmtId="1" fontId="3" fillId="5" borderId="0" xfId="25" quotePrefix="1" applyNumberFormat="1" applyFill="1" applyAlignment="1">
      <alignment horizontal="center"/>
    </xf>
    <xf numFmtId="0" fontId="2" fillId="5" borderId="0" xfId="25" applyFont="1" applyFill="1" applyAlignment="1">
      <alignment horizontal="left"/>
    </xf>
    <xf numFmtId="0" fontId="3" fillId="5" borderId="0" xfId="25" applyFill="1"/>
    <xf numFmtId="0" fontId="2" fillId="5" borderId="0" xfId="2" applyFill="1" applyAlignment="1">
      <alignment horizontal="left"/>
    </xf>
    <xf numFmtId="3" fontId="9" fillId="0" borderId="52" xfId="0" applyNumberFormat="1" applyFont="1" applyBorder="1"/>
    <xf numFmtId="1" fontId="9" fillId="5" borderId="0" xfId="0" applyNumberFormat="1" applyFont="1" applyFill="1" applyAlignment="1">
      <alignment horizontal="left"/>
    </xf>
    <xf numFmtId="0" fontId="9" fillId="5" borderId="0" xfId="0" applyFont="1" applyFill="1"/>
    <xf numFmtId="0" fontId="9" fillId="5" borderId="0" xfId="0" applyFont="1" applyFill="1" applyAlignment="1">
      <alignment horizontal="center"/>
    </xf>
    <xf numFmtId="1" fontId="9" fillId="5" borderId="0" xfId="0" applyNumberFormat="1" applyFont="1" applyFill="1" applyAlignment="1">
      <alignment horizontal="center"/>
    </xf>
    <xf numFmtId="3" fontId="9" fillId="5" borderId="0" xfId="0" applyNumberFormat="1" applyFont="1" applyFill="1"/>
    <xf numFmtId="170" fontId="9" fillId="5" borderId="0" xfId="16" applyNumberFormat="1" applyFont="1" applyFill="1"/>
    <xf numFmtId="1" fontId="9" fillId="5" borderId="0" xfId="0" applyNumberFormat="1" applyFont="1" applyFill="1"/>
    <xf numFmtId="3" fontId="2" fillId="2" borderId="4" xfId="2" applyNumberFormat="1" applyFill="1" applyBorder="1"/>
    <xf numFmtId="0" fontId="6" fillId="0" borderId="41" xfId="9" quotePrefix="1" applyFont="1" applyBorder="1" applyAlignment="1">
      <alignment horizontal="right"/>
    </xf>
    <xf numFmtId="0" fontId="3" fillId="5" borderId="0" xfId="9" applyFill="1" applyAlignment="1">
      <alignment wrapText="1"/>
    </xf>
    <xf numFmtId="3" fontId="2" fillId="5" borderId="0" xfId="9" applyNumberFormat="1" applyFont="1" applyFill="1"/>
    <xf numFmtId="3" fontId="7" fillId="0" borderId="52" xfId="2" applyNumberFormat="1" applyFont="1" applyBorder="1"/>
    <xf numFmtId="3" fontId="7" fillId="0" borderId="40" xfId="2" applyNumberFormat="1" applyFont="1" applyBorder="1" applyAlignment="1">
      <alignment horizontal="right"/>
    </xf>
    <xf numFmtId="0" fontId="7" fillId="5" borderId="0" xfId="2" applyFont="1" applyFill="1"/>
    <xf numFmtId="3" fontId="7" fillId="5" borderId="0" xfId="2" applyNumberFormat="1" applyFont="1" applyFill="1"/>
    <xf numFmtId="0" fontId="2" fillId="12" borderId="0" xfId="2" quotePrefix="1" applyFill="1"/>
    <xf numFmtId="0" fontId="2" fillId="12" borderId="0" xfId="2" applyFill="1"/>
    <xf numFmtId="3" fontId="2" fillId="12" borderId="0" xfId="2" applyNumberFormat="1" applyFill="1"/>
    <xf numFmtId="0" fontId="2" fillId="12" borderId="0" xfId="34" applyFont="1" applyFill="1" applyAlignment="1">
      <alignment vertical="top"/>
    </xf>
    <xf numFmtId="0" fontId="3" fillId="12" borderId="0" xfId="34" applyFill="1" applyAlignment="1">
      <alignment vertical="top"/>
    </xf>
    <xf numFmtId="3" fontId="3" fillId="12" borderId="0" xfId="34" applyNumberFormat="1" applyFill="1"/>
    <xf numFmtId="0" fontId="3" fillId="12" borderId="0" xfId="34" applyFill="1"/>
    <xf numFmtId="0" fontId="5" fillId="0" borderId="0" xfId="34" quotePrefix="1" applyFont="1"/>
    <xf numFmtId="3" fontId="3" fillId="0" borderId="52" xfId="34" applyNumberFormat="1" applyBorder="1"/>
    <xf numFmtId="0" fontId="2" fillId="12" borderId="0" xfId="34" quotePrefix="1" applyFont="1" applyFill="1"/>
    <xf numFmtId="1" fontId="3" fillId="12" borderId="0" xfId="34" applyNumberFormat="1" applyFill="1" applyAlignment="1">
      <alignment horizontal="center"/>
    </xf>
    <xf numFmtId="1" fontId="5" fillId="0" borderId="1" xfId="34" quotePrefix="1" applyNumberFormat="1" applyFont="1" applyBorder="1" applyAlignment="1">
      <alignment horizontal="center"/>
    </xf>
    <xf numFmtId="1" fontId="2" fillId="12" borderId="0" xfId="34" applyNumberFormat="1" applyFont="1" applyFill="1"/>
    <xf numFmtId="2" fontId="3" fillId="12" borderId="0" xfId="34" applyNumberFormat="1" applyFill="1"/>
    <xf numFmtId="2" fontId="3" fillId="12" borderId="0" xfId="34" applyNumberFormat="1" applyFill="1" applyAlignment="1">
      <alignment wrapText="1"/>
    </xf>
    <xf numFmtId="3" fontId="2" fillId="12" borderId="0" xfId="34" quotePrefix="1" applyNumberFormat="1" applyFont="1" applyFill="1"/>
    <xf numFmtId="1" fontId="5" fillId="12" borderId="0" xfId="34" applyNumberFormat="1" applyFont="1" applyFill="1" applyAlignment="1">
      <alignment horizontal="center"/>
    </xf>
    <xf numFmtId="3" fontId="3" fillId="12" borderId="6" xfId="34" applyNumberFormat="1" applyFill="1" applyBorder="1"/>
    <xf numFmtId="1" fontId="2" fillId="12" borderId="0" xfId="2" applyNumberFormat="1" applyFill="1" applyAlignment="1">
      <alignment horizontal="center"/>
    </xf>
    <xf numFmtId="0" fontId="2" fillId="0" borderId="58" xfId="9" applyFont="1" applyBorder="1" applyAlignment="1">
      <alignment vertical="center"/>
    </xf>
    <xf numFmtId="0" fontId="2" fillId="0" borderId="59" xfId="9" applyFont="1" applyBorder="1"/>
    <xf numFmtId="3" fontId="2" fillId="0" borderId="57" xfId="9" applyNumberFormat="1" applyFont="1" applyBorder="1"/>
    <xf numFmtId="0" fontId="2" fillId="12" borderId="0" xfId="2" quotePrefix="1" applyFill="1" applyAlignment="1">
      <alignment horizontal="left"/>
    </xf>
    <xf numFmtId="0" fontId="2" fillId="12" borderId="0" xfId="2" applyFill="1" applyAlignment="1">
      <alignment vertical="top"/>
    </xf>
    <xf numFmtId="1" fontId="2" fillId="0" borderId="0" xfId="25" applyNumberFormat="1" applyFont="1"/>
    <xf numFmtId="9" fontId="69" fillId="0" borderId="0" xfId="42" applyFont="1" applyFill="1" applyBorder="1"/>
    <xf numFmtId="175" fontId="2" fillId="0" borderId="0" xfId="25" applyNumberFormat="1" applyFont="1" applyAlignment="1">
      <alignment horizontal="right"/>
    </xf>
    <xf numFmtId="175" fontId="2" fillId="0" borderId="52" xfId="2" applyNumberFormat="1" applyBorder="1"/>
    <xf numFmtId="1" fontId="2" fillId="0" borderId="0" xfId="25" applyNumberFormat="1" applyFont="1" applyAlignment="1">
      <alignment horizontal="left"/>
    </xf>
    <xf numFmtId="175" fontId="2" fillId="0" borderId="54" xfId="2" applyNumberFormat="1" applyBorder="1"/>
    <xf numFmtId="175" fontId="2" fillId="0" borderId="26" xfId="2" applyNumberFormat="1" applyBorder="1"/>
    <xf numFmtId="0" fontId="2" fillId="0" borderId="26" xfId="2" applyBorder="1"/>
    <xf numFmtId="1" fontId="2" fillId="0" borderId="0" xfId="25" applyNumberFormat="1" applyFont="1" applyAlignment="1">
      <alignment horizontal="center"/>
    </xf>
    <xf numFmtId="179" fontId="2" fillId="0" borderId="0" xfId="25" applyNumberFormat="1" applyFont="1"/>
    <xf numFmtId="0" fontId="2" fillId="0" borderId="0" xfId="25" applyFont="1" applyAlignment="1">
      <alignment horizontal="center"/>
    </xf>
    <xf numFmtId="175" fontId="2" fillId="0" borderId="37" xfId="25" applyNumberFormat="1" applyFont="1" applyBorder="1"/>
    <xf numFmtId="175" fontId="2" fillId="0" borderId="6" xfId="2" applyNumberFormat="1" applyBorder="1"/>
    <xf numFmtId="3" fontId="2" fillId="0" borderId="52" xfId="2" applyNumberFormat="1" applyBorder="1" applyAlignment="1">
      <alignment horizontal="right"/>
    </xf>
    <xf numFmtId="0" fontId="7" fillId="12" borderId="0" xfId="2" quotePrefix="1" applyFont="1" applyFill="1"/>
    <xf numFmtId="175" fontId="2" fillId="12" borderId="0" xfId="2" applyNumberFormat="1" applyFill="1"/>
    <xf numFmtId="1" fontId="2" fillId="0" borderId="0" xfId="9" quotePrefix="1" applyNumberFormat="1" applyFont="1" applyAlignment="1">
      <alignment horizontal="center"/>
    </xf>
    <xf numFmtId="1" fontId="6" fillId="0" borderId="0" xfId="9" quotePrefix="1" applyNumberFormat="1" applyFont="1" applyAlignment="1">
      <alignment horizontal="left"/>
    </xf>
    <xf numFmtId="3" fontId="3" fillId="2" borderId="0" xfId="9" applyNumberFormat="1" applyFill="1"/>
    <xf numFmtId="1" fontId="3" fillId="5" borderId="0" xfId="9" quotePrefix="1" applyNumberFormat="1" applyFill="1" applyAlignment="1">
      <alignment horizontal="center"/>
    </xf>
    <xf numFmtId="1" fontId="2" fillId="5" borderId="0" xfId="9" quotePrefix="1" applyNumberFormat="1" applyFont="1" applyFill="1"/>
    <xf numFmtId="3" fontId="3" fillId="0" borderId="52" xfId="9" applyNumberFormat="1" applyBorder="1"/>
    <xf numFmtId="3" fontId="2" fillId="0" borderId="9" xfId="9" applyNumberFormat="1" applyFont="1" applyBorder="1"/>
    <xf numFmtId="3" fontId="2" fillId="0" borderId="34" xfId="9" applyNumberFormat="1" applyFont="1" applyBorder="1"/>
    <xf numFmtId="0" fontId="2" fillId="5" borderId="0" xfId="2" applyFill="1" applyAlignment="1">
      <alignment wrapText="1"/>
    </xf>
    <xf numFmtId="3" fontId="2" fillId="5" borderId="0" xfId="2" applyNumberFormat="1" applyFill="1" applyAlignment="1">
      <alignment horizontal="right" vertical="top" wrapText="1"/>
    </xf>
    <xf numFmtId="0" fontId="9" fillId="5" borderId="0" xfId="0" applyFont="1" applyFill="1" applyAlignment="1">
      <alignment horizontal="left" vertical="top"/>
    </xf>
    <xf numFmtId="0" fontId="9" fillId="5" borderId="0" xfId="0" applyFont="1" applyFill="1" applyAlignment="1">
      <alignment horizontal="left" vertical="top" wrapText="1"/>
    </xf>
    <xf numFmtId="3" fontId="9" fillId="5" borderId="0" xfId="0" applyNumberFormat="1" applyFont="1" applyFill="1" applyAlignment="1">
      <alignment horizontal="right" vertical="top"/>
    </xf>
    <xf numFmtId="3" fontId="9" fillId="5" borderId="0" xfId="0" applyNumberFormat="1" applyFont="1" applyFill="1" applyAlignment="1">
      <alignment horizontal="right"/>
    </xf>
    <xf numFmtId="0" fontId="2" fillId="5" borderId="0" xfId="0" applyFont="1" applyFill="1"/>
    <xf numFmtId="0" fontId="5" fillId="5" borderId="0" xfId="0" applyFont="1" applyFill="1"/>
    <xf numFmtId="3" fontId="2" fillId="5" borderId="0" xfId="0" applyNumberFormat="1" applyFont="1" applyFill="1" applyAlignment="1">
      <alignment horizontal="right"/>
    </xf>
    <xf numFmtId="0" fontId="2" fillId="0" borderId="52" xfId="2" applyBorder="1"/>
    <xf numFmtId="3" fontId="3" fillId="5" borderId="3" xfId="34" applyNumberFormat="1" applyFill="1" applyBorder="1"/>
    <xf numFmtId="3" fontId="3" fillId="5" borderId="0" xfId="34" applyNumberFormat="1" applyFill="1" applyAlignment="1">
      <alignment horizontal="right" vertical="top" wrapText="1"/>
    </xf>
    <xf numFmtId="0" fontId="2" fillId="5" borderId="0" xfId="2" quotePrefix="1" applyFill="1" applyAlignment="1">
      <alignment horizontal="left"/>
    </xf>
    <xf numFmtId="1" fontId="2" fillId="5" borderId="3" xfId="2" applyNumberFormat="1" applyFill="1" applyBorder="1" applyAlignment="1">
      <alignment horizontal="center"/>
    </xf>
    <xf numFmtId="2" fontId="2" fillId="5" borderId="1" xfId="2" applyNumberFormat="1" applyFill="1" applyBorder="1"/>
    <xf numFmtId="2" fontId="2" fillId="5" borderId="0" xfId="2" applyNumberFormat="1" applyFill="1"/>
    <xf numFmtId="2" fontId="2" fillId="5" borderId="2" xfId="2" applyNumberFormat="1" applyFill="1" applyBorder="1"/>
    <xf numFmtId="3" fontId="2" fillId="5" borderId="2" xfId="2" applyNumberFormat="1" applyFill="1" applyBorder="1"/>
    <xf numFmtId="1" fontId="2" fillId="5" borderId="3" xfId="2" quotePrefix="1" applyNumberFormat="1" applyFill="1" applyBorder="1" applyAlignment="1">
      <alignment horizontal="center"/>
    </xf>
    <xf numFmtId="0" fontId="2" fillId="5" borderId="1" xfId="2" applyFill="1" applyBorder="1"/>
    <xf numFmtId="0" fontId="2" fillId="5" borderId="2" xfId="2" applyFill="1" applyBorder="1"/>
    <xf numFmtId="0" fontId="6" fillId="5" borderId="0" xfId="2" applyFont="1" applyFill="1"/>
    <xf numFmtId="0" fontId="6" fillId="5" borderId="0" xfId="2" applyFont="1" applyFill="1" applyAlignment="1">
      <alignment vertical="top"/>
    </xf>
    <xf numFmtId="3" fontId="2" fillId="5" borderId="3" xfId="2" applyNumberFormat="1" applyFill="1" applyBorder="1"/>
    <xf numFmtId="1" fontId="2" fillId="5" borderId="0" xfId="2" quotePrefix="1" applyNumberFormat="1" applyFill="1" applyAlignment="1">
      <alignment horizontal="center"/>
    </xf>
    <xf numFmtId="1" fontId="2" fillId="5" borderId="0" xfId="2" quotePrefix="1" applyNumberFormat="1" applyFill="1"/>
    <xf numFmtId="0" fontId="2" fillId="5" borderId="0" xfId="12" quotePrefix="1" applyFont="1" applyFill="1"/>
    <xf numFmtId="3" fontId="6" fillId="5" borderId="0" xfId="2" applyNumberFormat="1" applyFont="1" applyFill="1"/>
    <xf numFmtId="0" fontId="2" fillId="5" borderId="0" xfId="9" applyFont="1" applyFill="1"/>
    <xf numFmtId="1" fontId="2" fillId="5" borderId="0" xfId="34" applyNumberFormat="1" applyFont="1" applyFill="1"/>
    <xf numFmtId="0" fontId="2" fillId="5" borderId="0" xfId="22" applyFont="1" applyFill="1"/>
    <xf numFmtId="0" fontId="3" fillId="5" borderId="0" xfId="12" applyFill="1"/>
    <xf numFmtId="3" fontId="3" fillId="5" borderId="0" xfId="12" applyNumberFormat="1" applyFill="1"/>
    <xf numFmtId="3" fontId="2" fillId="5" borderId="0" xfId="22" applyNumberFormat="1" applyFont="1" applyFill="1"/>
    <xf numFmtId="3" fontId="8" fillId="5" borderId="0" xfId="22" applyNumberFormat="1" applyFont="1" applyFill="1"/>
    <xf numFmtId="0" fontId="2" fillId="5" borderId="0" xfId="22" quotePrefix="1" applyFont="1" applyFill="1"/>
    <xf numFmtId="3" fontId="8" fillId="0" borderId="0" xfId="22" applyNumberFormat="1" applyFont="1" applyAlignment="1">
      <alignment horizontal="right"/>
    </xf>
    <xf numFmtId="170" fontId="0" fillId="2" borderId="0" xfId="0" applyNumberFormat="1" applyFill="1" applyAlignment="1">
      <alignment horizontal="right"/>
    </xf>
    <xf numFmtId="3" fontId="26" fillId="2" borderId="0" xfId="0" applyNumberFormat="1" applyFont="1" applyFill="1" applyAlignment="1">
      <alignment horizontal="right"/>
    </xf>
    <xf numFmtId="1" fontId="2" fillId="5" borderId="0" xfId="2" applyNumberFormat="1" applyFill="1" applyAlignment="1">
      <alignment horizontal="right"/>
    </xf>
    <xf numFmtId="3" fontId="2" fillId="5" borderId="0" xfId="2" applyNumberFormat="1" applyFill="1" applyAlignment="1">
      <alignment horizontal="right"/>
    </xf>
    <xf numFmtId="3" fontId="0" fillId="2" borderId="0" xfId="0" applyNumberFormat="1" applyFill="1" applyAlignment="1">
      <alignment horizontal="right"/>
    </xf>
    <xf numFmtId="3" fontId="2" fillId="5" borderId="2" xfId="9" applyNumberFormat="1" applyFont="1" applyFill="1" applyBorder="1"/>
    <xf numFmtId="1" fontId="3" fillId="5" borderId="3" xfId="9" applyNumberFormat="1" applyFill="1" applyBorder="1" applyAlignment="1">
      <alignment horizontal="center"/>
    </xf>
    <xf numFmtId="0" fontId="3" fillId="5" borderId="1" xfId="9" applyFill="1" applyBorder="1"/>
    <xf numFmtId="3" fontId="3" fillId="5" borderId="2" xfId="9" applyNumberFormat="1" applyFill="1" applyBorder="1"/>
    <xf numFmtId="0" fontId="9" fillId="2" borderId="0" xfId="9" applyFont="1" applyFill="1"/>
    <xf numFmtId="0" fontId="9" fillId="2" borderId="2" xfId="9" applyFont="1" applyFill="1" applyBorder="1"/>
    <xf numFmtId="3" fontId="9" fillId="2" borderId="3" xfId="9" applyNumberFormat="1" applyFont="1" applyFill="1" applyBorder="1"/>
    <xf numFmtId="1" fontId="6" fillId="5" borderId="0" xfId="2" applyNumberFormat="1" applyFont="1" applyFill="1"/>
    <xf numFmtId="0" fontId="6" fillId="0" borderId="53" xfId="64" applyFont="1" applyBorder="1" applyAlignment="1">
      <alignment vertical="center"/>
    </xf>
    <xf numFmtId="0" fontId="6" fillId="0" borderId="54" xfId="64" applyFont="1" applyBorder="1" applyAlignment="1">
      <alignment vertical="center"/>
    </xf>
    <xf numFmtId="0" fontId="6" fillId="0" borderId="54" xfId="64" applyFont="1" applyBorder="1"/>
    <xf numFmtId="0" fontId="6" fillId="0" borderId="55" xfId="64" applyFont="1" applyBorder="1"/>
    <xf numFmtId="3" fontId="2" fillId="0" borderId="1" xfId="64" applyNumberFormat="1" applyBorder="1" applyAlignment="1">
      <alignment vertical="center"/>
    </xf>
    <xf numFmtId="3" fontId="2" fillId="0" borderId="3" xfId="71" applyNumberFormat="1" applyFill="1" applyBorder="1"/>
    <xf numFmtId="1" fontId="2" fillId="0" borderId="53" xfId="64" applyNumberFormat="1" applyBorder="1"/>
    <xf numFmtId="49" fontId="2" fillId="0" borderId="54" xfId="64" applyNumberFormat="1" applyBorder="1" applyAlignment="1">
      <alignment horizontal="center"/>
    </xf>
    <xf numFmtId="3" fontId="2" fillId="0" borderId="54" xfId="64" applyNumberFormat="1" applyBorder="1" applyAlignment="1">
      <alignment horizontal="center"/>
    </xf>
    <xf numFmtId="0" fontId="2" fillId="0" borderId="54" xfId="64" applyBorder="1"/>
    <xf numFmtId="0" fontId="2" fillId="0" borderId="55" xfId="64" applyBorder="1"/>
    <xf numFmtId="3" fontId="2" fillId="0" borderId="56" xfId="71" applyNumberFormat="1" applyFill="1" applyBorder="1"/>
    <xf numFmtId="1" fontId="0" fillId="0" borderId="53" xfId="64" applyNumberFormat="1" applyFont="1" applyBorder="1"/>
    <xf numFmtId="1" fontId="2" fillId="0" borderId="54" xfId="64" applyNumberFormat="1" applyBorder="1"/>
    <xf numFmtId="3" fontId="2" fillId="0" borderId="55" xfId="64" applyNumberFormat="1" applyBorder="1"/>
    <xf numFmtId="49" fontId="2" fillId="0" borderId="57" xfId="64" applyNumberFormat="1" applyBorder="1" applyAlignment="1">
      <alignment horizontal="center" vertical="center" wrapText="1"/>
    </xf>
    <xf numFmtId="0" fontId="2" fillId="0" borderId="59" xfId="64" applyBorder="1"/>
    <xf numFmtId="1" fontId="2" fillId="0" borderId="55" xfId="71" applyNumberFormat="1" applyFill="1" applyBorder="1"/>
    <xf numFmtId="0" fontId="2" fillId="0" borderId="57" xfId="64" applyBorder="1"/>
    <xf numFmtId="0" fontId="2" fillId="0" borderId="58" xfId="64" applyBorder="1"/>
    <xf numFmtId="1" fontId="5" fillId="0" borderId="3" xfId="64" quotePrefix="1" applyNumberFormat="1" applyFont="1" applyBorder="1" applyAlignment="1">
      <alignment horizontal="left"/>
    </xf>
    <xf numFmtId="1" fontId="2" fillId="0" borderId="3" xfId="64" quotePrefix="1" applyNumberFormat="1" applyBorder="1" applyAlignment="1">
      <alignment horizontal="center"/>
    </xf>
    <xf numFmtId="3" fontId="5" fillId="0" borderId="1" xfId="64" applyNumberFormat="1" applyFont="1" applyBorder="1"/>
    <xf numFmtId="3" fontId="2" fillId="0" borderId="8" xfId="64" applyNumberFormat="1" applyBorder="1"/>
    <xf numFmtId="1" fontId="2" fillId="0" borderId="0" xfId="64" quotePrefix="1" applyNumberFormat="1" applyAlignment="1">
      <alignment horizontal="left"/>
    </xf>
    <xf numFmtId="1" fontId="5" fillId="0" borderId="3" xfId="64" quotePrefix="1" applyNumberFormat="1" applyFont="1" applyBorder="1" applyAlignment="1">
      <alignment horizontal="center"/>
    </xf>
    <xf numFmtId="1" fontId="2" fillId="0" borderId="1" xfId="64" quotePrefix="1" applyNumberFormat="1" applyBorder="1" applyAlignment="1">
      <alignment horizontal="left"/>
    </xf>
    <xf numFmtId="1" fontId="2" fillId="0" borderId="7" xfId="64" quotePrefix="1" applyNumberFormat="1" applyBorder="1" applyAlignment="1">
      <alignment horizontal="center"/>
    </xf>
    <xf numFmtId="3" fontId="5" fillId="0" borderId="0" xfId="64" quotePrefix="1" applyNumberFormat="1" applyFont="1" applyAlignment="1">
      <alignment horizontal="left"/>
    </xf>
    <xf numFmtId="3" fontId="6" fillId="0" borderId="0" xfId="64" quotePrefix="1" applyNumberFormat="1" applyFont="1" applyAlignment="1">
      <alignment horizontal="left"/>
    </xf>
    <xf numFmtId="3" fontId="2" fillId="0" borderId="0" xfId="64" quotePrefix="1" applyNumberFormat="1" applyAlignment="1">
      <alignment horizontal="left"/>
    </xf>
    <xf numFmtId="3" fontId="2" fillId="0" borderId="0" xfId="64" quotePrefix="1" applyNumberFormat="1"/>
    <xf numFmtId="3" fontId="2" fillId="0" borderId="52" xfId="64" applyNumberFormat="1" applyBorder="1"/>
    <xf numFmtId="3" fontId="2" fillId="2" borderId="0" xfId="64" applyNumberFormat="1" applyFill="1"/>
    <xf numFmtId="0" fontId="2" fillId="0" borderId="0" xfId="64" applyAlignment="1">
      <alignment horizontal="justify" wrapText="1"/>
    </xf>
    <xf numFmtId="10" fontId="2" fillId="0" borderId="0" xfId="64" applyNumberFormat="1"/>
    <xf numFmtId="0" fontId="2" fillId="0" borderId="3" xfId="64" applyBorder="1"/>
    <xf numFmtId="1" fontId="2" fillId="0" borderId="3" xfId="64" applyNumberFormat="1" applyBorder="1"/>
    <xf numFmtId="0" fontId="2" fillId="0" borderId="0" xfId="64" applyAlignment="1">
      <alignment horizontal="left" wrapText="1"/>
    </xf>
    <xf numFmtId="3" fontId="2" fillId="0" borderId="1" xfId="64" applyNumberFormat="1" applyBorder="1"/>
    <xf numFmtId="3" fontId="8" fillId="0" borderId="3" xfId="64" applyNumberFormat="1" applyFont="1" applyBorder="1"/>
    <xf numFmtId="3" fontId="8" fillId="0" borderId="2" xfId="64" applyNumberFormat="1" applyFont="1" applyBorder="1"/>
    <xf numFmtId="1" fontId="5" fillId="0" borderId="0" xfId="64" quotePrefix="1" applyNumberFormat="1" applyFont="1" applyAlignment="1">
      <alignment horizontal="left"/>
    </xf>
    <xf numFmtId="1" fontId="5" fillId="0" borderId="0" xfId="64" quotePrefix="1" applyNumberFormat="1" applyFont="1" applyAlignment="1">
      <alignment horizontal="center"/>
    </xf>
    <xf numFmtId="0" fontId="14" fillId="0" borderId="0" xfId="64" applyFont="1"/>
    <xf numFmtId="0" fontId="36" fillId="0" borderId="0" xfId="64" applyFont="1"/>
    <xf numFmtId="0" fontId="22" fillId="0" borderId="0" xfId="64" applyFont="1"/>
    <xf numFmtId="1" fontId="6" fillId="0" borderId="0" xfId="64" applyNumberFormat="1" applyFont="1" applyAlignment="1">
      <alignment horizontal="right"/>
    </xf>
    <xf numFmtId="3" fontId="2" fillId="0" borderId="0" xfId="64" applyNumberFormat="1" applyAlignment="1">
      <alignment horizontal="right"/>
    </xf>
    <xf numFmtId="3" fontId="5" fillId="0" borderId="0" xfId="64" quotePrefix="1" applyNumberFormat="1" applyFont="1"/>
    <xf numFmtId="3" fontId="6" fillId="0" borderId="0" xfId="64" quotePrefix="1" applyNumberFormat="1" applyFont="1"/>
    <xf numFmtId="0" fontId="19" fillId="0" borderId="0" xfId="64" applyFont="1" applyAlignment="1">
      <alignment vertical="top"/>
    </xf>
    <xf numFmtId="0" fontId="2" fillId="0" borderId="0" xfId="64" applyAlignment="1">
      <alignment vertical="center" wrapText="1"/>
    </xf>
    <xf numFmtId="0" fontId="18" fillId="0" borderId="0" xfId="64" applyFont="1" applyAlignment="1">
      <alignment vertical="top"/>
    </xf>
    <xf numFmtId="0" fontId="2" fillId="0" borderId="0" xfId="64" applyAlignment="1">
      <alignment horizontal="left" vertical="center" wrapText="1" indent="1"/>
    </xf>
    <xf numFmtId="0" fontId="2" fillId="0" borderId="59" xfId="64" applyBorder="1" applyAlignment="1">
      <alignment horizontal="center" vertical="center"/>
    </xf>
    <xf numFmtId="0" fontId="2" fillId="0" borderId="4" xfId="64" applyBorder="1" applyAlignment="1">
      <alignment horizontal="center" vertical="center"/>
    </xf>
    <xf numFmtId="0" fontId="6" fillId="0" borderId="56" xfId="64" applyFont="1" applyBorder="1"/>
    <xf numFmtId="1" fontId="2" fillId="0" borderId="58" xfId="64" quotePrefix="1" applyNumberFormat="1" applyBorder="1" applyAlignment="1">
      <alignment horizontal="center"/>
    </xf>
    <xf numFmtId="1" fontId="2" fillId="0" borderId="57" xfId="64" quotePrefix="1" applyNumberFormat="1" applyBorder="1" applyAlignment="1">
      <alignment horizontal="center"/>
    </xf>
    <xf numFmtId="3" fontId="2" fillId="0" borderId="57" xfId="64" applyNumberFormat="1" applyBorder="1"/>
    <xf numFmtId="1" fontId="5" fillId="0" borderId="1" xfId="64" applyNumberFormat="1" applyFont="1" applyBorder="1" applyAlignment="1">
      <alignment horizontal="left"/>
    </xf>
    <xf numFmtId="3" fontId="5" fillId="0" borderId="0" xfId="64" applyNumberFormat="1" applyFont="1"/>
    <xf numFmtId="1" fontId="2" fillId="0" borderId="1" xfId="64" applyNumberFormat="1" applyBorder="1" applyAlignment="1">
      <alignment horizontal="center"/>
    </xf>
    <xf numFmtId="1" fontId="2" fillId="0" borderId="1" xfId="64" quotePrefix="1" applyNumberFormat="1" applyBorder="1" applyAlignment="1">
      <alignment horizontal="center"/>
    </xf>
    <xf numFmtId="1" fontId="2" fillId="0" borderId="5" xfId="64" quotePrefix="1" applyNumberFormat="1" applyBorder="1" applyAlignment="1">
      <alignment horizontal="center"/>
    </xf>
    <xf numFmtId="0" fontId="6" fillId="0" borderId="6" xfId="64" applyFont="1" applyBorder="1" applyAlignment="1">
      <alignment horizontal="right" vertical="top"/>
    </xf>
    <xf numFmtId="3" fontId="6" fillId="0" borderId="0" xfId="64" applyNumberFormat="1" applyFont="1"/>
    <xf numFmtId="0" fontId="6" fillId="0" borderId="0" xfId="64" applyFont="1" applyAlignment="1">
      <alignment horizontal="right" vertical="top"/>
    </xf>
    <xf numFmtId="3" fontId="8" fillId="0" borderId="0" xfId="64" applyNumberFormat="1" applyFont="1"/>
    <xf numFmtId="0" fontId="2" fillId="0" borderId="0" xfId="64" applyAlignment="1">
      <alignment horizontal="left" vertical="top"/>
    </xf>
    <xf numFmtId="1" fontId="2" fillId="5" borderId="0" xfId="64" applyNumberFormat="1" applyFill="1" applyAlignment="1">
      <alignment horizontal="left"/>
    </xf>
    <xf numFmtId="0" fontId="2" fillId="5" borderId="0" xfId="64" applyFill="1"/>
    <xf numFmtId="1" fontId="2" fillId="5" borderId="0" xfId="64" applyNumberFormat="1" applyFill="1" applyAlignment="1">
      <alignment horizontal="center" vertical="top"/>
    </xf>
    <xf numFmtId="0" fontId="2" fillId="5" borderId="0" xfId="64" applyFill="1" applyAlignment="1">
      <alignment horizontal="left" vertical="top"/>
    </xf>
    <xf numFmtId="3" fontId="2" fillId="5" borderId="0" xfId="64" applyNumberFormat="1" applyFill="1"/>
    <xf numFmtId="0" fontId="2" fillId="0" borderId="0" xfId="64" applyAlignment="1">
      <alignment wrapText="1"/>
    </xf>
    <xf numFmtId="0" fontId="2" fillId="0" borderId="0" xfId="64" applyAlignment="1">
      <alignment vertical="top" wrapText="1"/>
    </xf>
    <xf numFmtId="10" fontId="0" fillId="0" borderId="0" xfId="66" applyNumberFormat="1" applyFont="1" applyFill="1"/>
    <xf numFmtId="1" fontId="2" fillId="0" borderId="58" xfId="64" applyNumberFormat="1" applyBorder="1"/>
    <xf numFmtId="49" fontId="2" fillId="0" borderId="37" xfId="64" applyNumberFormat="1" applyBorder="1" applyAlignment="1">
      <alignment horizontal="center"/>
    </xf>
    <xf numFmtId="3" fontId="2" fillId="0" borderId="37" xfId="64" applyNumberFormat="1" applyBorder="1" applyAlignment="1">
      <alignment horizontal="center"/>
    </xf>
    <xf numFmtId="0" fontId="29" fillId="0" borderId="0" xfId="64" applyFont="1"/>
    <xf numFmtId="0" fontId="38" fillId="0" borderId="0" xfId="64" applyFont="1" applyAlignment="1">
      <alignment horizontal="center"/>
    </xf>
    <xf numFmtId="0" fontId="7" fillId="0" borderId="0" xfId="64" applyFont="1"/>
    <xf numFmtId="3" fontId="2" fillId="0" borderId="9" xfId="64" applyNumberFormat="1" applyBorder="1"/>
    <xf numFmtId="0" fontId="2" fillId="0" borderId="0" xfId="64" applyAlignment="1">
      <alignment vertical="top"/>
    </xf>
    <xf numFmtId="3" fontId="2" fillId="2" borderId="0" xfId="64" applyNumberFormat="1" applyFill="1" applyAlignment="1">
      <alignment horizontal="right" vertical="top"/>
    </xf>
    <xf numFmtId="0" fontId="2" fillId="0" borderId="0" xfId="64" quotePrefix="1" applyAlignment="1">
      <alignment vertical="top"/>
    </xf>
    <xf numFmtId="3" fontId="2" fillId="0" borderId="0" xfId="64" applyNumberFormat="1" applyAlignment="1">
      <alignment horizontal="left" vertical="top" wrapText="1"/>
    </xf>
    <xf numFmtId="0" fontId="2" fillId="0" borderId="0" xfId="64" applyAlignment="1">
      <alignment horizontal="center"/>
    </xf>
    <xf numFmtId="0" fontId="2" fillId="0" borderId="0" xfId="64" applyAlignment="1">
      <alignment horizontal="justify" vertical="top"/>
    </xf>
    <xf numFmtId="3" fontId="2" fillId="0" borderId="52" xfId="64" applyNumberFormat="1" applyBorder="1" applyAlignment="1">
      <alignment horizontal="right" vertical="top"/>
    </xf>
    <xf numFmtId="3" fontId="2" fillId="0" borderId="52" xfId="64" applyNumberFormat="1" applyBorder="1" applyAlignment="1">
      <alignment vertical="top"/>
    </xf>
    <xf numFmtId="3" fontId="2" fillId="0" borderId="0" xfId="64" applyNumberFormat="1" applyAlignment="1">
      <alignment vertical="top"/>
    </xf>
    <xf numFmtId="0" fontId="6" fillId="0" borderId="0" xfId="64" applyFont="1" applyAlignment="1">
      <alignment horizontal="right"/>
    </xf>
    <xf numFmtId="0" fontId="2" fillId="0" borderId="0" xfId="64" applyAlignment="1">
      <alignment horizontal="justify" vertical="top" wrapText="1"/>
    </xf>
    <xf numFmtId="0" fontId="2" fillId="0" borderId="0" xfId="64" applyAlignment="1">
      <alignment vertical="top" shrinkToFit="1"/>
    </xf>
    <xf numFmtId="0" fontId="2" fillId="0" borderId="0" xfId="64" applyAlignment="1">
      <alignment horizontal="justify" vertical="top" shrinkToFit="1"/>
    </xf>
    <xf numFmtId="3" fontId="2" fillId="0" borderId="6" xfId="64" applyNumberFormat="1" applyBorder="1"/>
    <xf numFmtId="0" fontId="5" fillId="0" borderId="1" xfId="64" applyFont="1" applyBorder="1" applyAlignment="1">
      <alignment horizontal="left"/>
    </xf>
    <xf numFmtId="1" fontId="2" fillId="0" borderId="0" xfId="64" quotePrefix="1" applyNumberFormat="1"/>
    <xf numFmtId="0" fontId="2" fillId="0" borderId="0" xfId="0" applyFont="1" applyAlignment="1">
      <alignment horizontal="center"/>
    </xf>
    <xf numFmtId="10" fontId="70" fillId="0" borderId="0" xfId="0" applyNumberFormat="1" applyFont="1"/>
    <xf numFmtId="10" fontId="2" fillId="0" borderId="0" xfId="0" applyNumberFormat="1" applyFont="1"/>
    <xf numFmtId="0" fontId="6" fillId="0" borderId="53" xfId="0" applyFont="1" applyBorder="1" applyAlignment="1">
      <alignment vertical="center"/>
    </xf>
    <xf numFmtId="0" fontId="6" fillId="0" borderId="54" xfId="0" applyFont="1" applyBorder="1" applyAlignment="1">
      <alignment vertical="center"/>
    </xf>
    <xf numFmtId="0" fontId="6" fillId="0" borderId="54" xfId="0" applyFont="1" applyBorder="1"/>
    <xf numFmtId="0" fontId="6" fillId="0" borderId="55" xfId="0" applyFont="1" applyBorder="1"/>
    <xf numFmtId="0" fontId="2" fillId="0" borderId="1" xfId="0" applyFont="1" applyBorder="1" applyAlignment="1">
      <alignment vertical="center"/>
    </xf>
    <xf numFmtId="0" fontId="2" fillId="0" borderId="0" xfId="0" applyFont="1" applyAlignment="1">
      <alignment vertical="center"/>
    </xf>
    <xf numFmtId="0" fontId="2" fillId="0" borderId="2" xfId="0" applyFont="1" applyBorder="1"/>
    <xf numFmtId="0" fontId="2" fillId="0" borderId="4" xfId="0" applyFont="1" applyBorder="1"/>
    <xf numFmtId="0" fontId="2" fillId="0" borderId="53" xfId="0" applyFont="1" applyBorder="1"/>
    <xf numFmtId="0" fontId="2" fillId="0" borderId="54" xfId="0" applyFont="1" applyBorder="1" applyAlignment="1">
      <alignment horizontal="center"/>
    </xf>
    <xf numFmtId="0" fontId="2" fillId="0" borderId="54" xfId="0" applyFont="1" applyBorder="1"/>
    <xf numFmtId="0" fontId="2" fillId="0" borderId="55" xfId="0" applyFont="1" applyBorder="1"/>
    <xf numFmtId="0" fontId="2" fillId="0" borderId="56" xfId="0" applyFont="1" applyBorder="1"/>
    <xf numFmtId="3" fontId="2" fillId="0" borderId="56" xfId="0" applyNumberFormat="1" applyFont="1" applyBorder="1"/>
    <xf numFmtId="0" fontId="2" fillId="0" borderId="58" xfId="0" applyFont="1" applyBorder="1"/>
    <xf numFmtId="0" fontId="2" fillId="0" borderId="37" xfId="0" applyFont="1" applyBorder="1" applyAlignment="1">
      <alignment horizontal="center"/>
    </xf>
    <xf numFmtId="0" fontId="2" fillId="0" borderId="37" xfId="0" applyFont="1" applyBorder="1"/>
    <xf numFmtId="0" fontId="2" fillId="0" borderId="5" xfId="0" applyFont="1" applyBorder="1"/>
    <xf numFmtId="0" fontId="2" fillId="0" borderId="6" xfId="0" applyFont="1" applyBorder="1" applyAlignment="1">
      <alignment horizontal="center"/>
    </xf>
    <xf numFmtId="0" fontId="2" fillId="0" borderId="6" xfId="0" applyFont="1" applyBorder="1"/>
    <xf numFmtId="0" fontId="70" fillId="0" borderId="53" xfId="0" applyFont="1" applyBorder="1"/>
    <xf numFmtId="3" fontId="2" fillId="0" borderId="55" xfId="0" applyNumberFormat="1" applyFont="1" applyBorder="1"/>
    <xf numFmtId="0" fontId="5" fillId="0" borderId="0" xfId="0" applyFont="1" applyAlignment="1">
      <alignment horizontal="center"/>
    </xf>
    <xf numFmtId="0" fontId="2" fillId="0" borderId="58"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9" xfId="0" applyFont="1" applyBorder="1"/>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5" fillId="0" borderId="3" xfId="0" applyFont="1" applyBorder="1" applyAlignment="1">
      <alignment horizontal="left"/>
    </xf>
    <xf numFmtId="0" fontId="5" fillId="0" borderId="3" xfId="0" applyFont="1" applyBorder="1" applyAlignment="1">
      <alignment horizontal="center"/>
    </xf>
    <xf numFmtId="0" fontId="2" fillId="0" borderId="1" xfId="0" applyFont="1" applyBorder="1" applyAlignment="1">
      <alignment horizontal="left"/>
    </xf>
    <xf numFmtId="0" fontId="2" fillId="0" borderId="3" xfId="0" applyFont="1" applyBorder="1" applyAlignment="1">
      <alignment horizontal="center"/>
    </xf>
    <xf numFmtId="0" fontId="2" fillId="0" borderId="8" xfId="0" applyFont="1" applyBorder="1"/>
    <xf numFmtId="3" fontId="2" fillId="0" borderId="8" xfId="0" applyNumberFormat="1" applyFont="1" applyBorder="1"/>
    <xf numFmtId="0" fontId="2" fillId="0" borderId="9" xfId="0" applyFont="1" applyBorder="1"/>
    <xf numFmtId="0" fontId="5" fillId="0" borderId="2" xfId="0" applyFont="1" applyBorder="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4" xfId="0" applyFont="1" applyBorder="1" applyAlignment="1">
      <alignment horizontal="center"/>
    </xf>
    <xf numFmtId="0" fontId="2" fillId="0" borderId="7" xfId="0" applyFont="1" applyBorder="1"/>
    <xf numFmtId="3" fontId="2" fillId="2" borderId="0" xfId="0" applyNumberFormat="1" applyFont="1" applyFill="1"/>
    <xf numFmtId="0" fontId="2" fillId="0" borderId="52" xfId="0" applyFont="1" applyBorder="1"/>
    <xf numFmtId="3" fontId="2" fillId="0" borderId="52" xfId="0" applyNumberFormat="1" applyFont="1" applyBorder="1"/>
    <xf numFmtId="0" fontId="2" fillId="0" borderId="0" xfId="0" applyFont="1" applyAlignment="1">
      <alignment horizontal="right"/>
    </xf>
    <xf numFmtId="0" fontId="2" fillId="0" borderId="0" xfId="64" applyAlignment="1">
      <alignment vertical="center"/>
    </xf>
    <xf numFmtId="49" fontId="0" fillId="0" borderId="0" xfId="64" applyNumberFormat="1" applyFont="1" applyAlignment="1">
      <alignment horizontal="center"/>
    </xf>
    <xf numFmtId="1" fontId="2" fillId="0" borderId="1" xfId="64" applyNumberFormat="1" applyBorder="1" applyAlignment="1">
      <alignment horizontal="center" vertical="center" wrapText="1"/>
    </xf>
    <xf numFmtId="49" fontId="2" fillId="0" borderId="3" xfId="64" applyNumberFormat="1" applyBorder="1" applyAlignment="1">
      <alignment horizontal="center" vertical="center"/>
    </xf>
    <xf numFmtId="3" fontId="2" fillId="0" borderId="3" xfId="64" applyNumberFormat="1" applyBorder="1" applyAlignment="1">
      <alignment horizontal="center" vertical="center" wrapText="1"/>
    </xf>
    <xf numFmtId="0" fontId="2" fillId="0" borderId="1" xfId="64" applyBorder="1" applyAlignment="1">
      <alignment horizontal="center" vertical="center"/>
    </xf>
    <xf numFmtId="0" fontId="2" fillId="0" borderId="0" xfId="64" applyAlignment="1">
      <alignment horizontal="center" vertical="center"/>
    </xf>
    <xf numFmtId="1" fontId="2" fillId="0" borderId="2" xfId="71" applyNumberFormat="1" applyFill="1" applyBorder="1"/>
    <xf numFmtId="1" fontId="5" fillId="0" borderId="2" xfId="64" applyNumberFormat="1" applyFont="1" applyBorder="1" applyAlignment="1">
      <alignment horizontal="center"/>
    </xf>
    <xf numFmtId="1" fontId="2" fillId="0" borderId="2" xfId="64" applyNumberFormat="1" applyBorder="1" applyAlignment="1">
      <alignment horizontal="center"/>
    </xf>
    <xf numFmtId="1" fontId="2" fillId="0" borderId="2" xfId="64" quotePrefix="1" applyNumberFormat="1" applyBorder="1" applyAlignment="1">
      <alignment horizontal="center"/>
    </xf>
    <xf numFmtId="1" fontId="2" fillId="0" borderId="4" xfId="64" quotePrefix="1" applyNumberFormat="1" applyBorder="1" applyAlignment="1">
      <alignment horizontal="center"/>
    </xf>
    <xf numFmtId="1" fontId="6" fillId="0" borderId="6" xfId="64" applyNumberFormat="1" applyFont="1" applyBorder="1" applyAlignment="1">
      <alignment horizontal="right"/>
    </xf>
    <xf numFmtId="0" fontId="2" fillId="5" borderId="0" xfId="64" quotePrefix="1" applyFill="1"/>
    <xf numFmtId="1" fontId="2" fillId="5" borderId="0" xfId="64" applyNumberFormat="1" applyFill="1" applyAlignment="1">
      <alignment horizontal="center"/>
    </xf>
    <xf numFmtId="3" fontId="8" fillId="2" borderId="0" xfId="64" applyNumberFormat="1" applyFont="1" applyFill="1"/>
    <xf numFmtId="3" fontId="2" fillId="0" borderId="52" xfId="64" applyNumberFormat="1" applyBorder="1" applyAlignment="1">
      <alignment horizontal="right"/>
    </xf>
    <xf numFmtId="3" fontId="2" fillId="0" borderId="0" xfId="64" quotePrefix="1" applyNumberFormat="1" applyAlignment="1">
      <alignment horizontal="right"/>
    </xf>
    <xf numFmtId="3" fontId="2" fillId="0" borderId="11" xfId="64" applyNumberFormat="1" applyBorder="1"/>
    <xf numFmtId="3" fontId="2" fillId="0" borderId="56" xfId="64" applyNumberFormat="1" applyBorder="1"/>
    <xf numFmtId="0" fontId="2" fillId="0" borderId="57" xfId="0" applyFont="1" applyBorder="1"/>
    <xf numFmtId="0" fontId="2" fillId="0" borderId="10" xfId="0" applyFont="1" applyBorder="1"/>
    <xf numFmtId="3" fontId="2" fillId="0" borderId="10" xfId="0" applyNumberFormat="1" applyFont="1" applyBorder="1"/>
    <xf numFmtId="0" fontId="40" fillId="0" borderId="0" xfId="0" applyFont="1" applyAlignment="1">
      <alignment horizontal="center"/>
    </xf>
    <xf numFmtId="0" fontId="2" fillId="0" borderId="0" xfId="0" applyFont="1" applyAlignment="1">
      <alignment horizontal="center" vertical="top"/>
    </xf>
    <xf numFmtId="1" fontId="2" fillId="0" borderId="0" xfId="71" applyNumberFormat="1" applyFill="1" applyBorder="1"/>
    <xf numFmtId="0" fontId="5" fillId="6" borderId="1" xfId="9" applyFont="1" applyFill="1" applyBorder="1"/>
    <xf numFmtId="0" fontId="3" fillId="6" borderId="0" xfId="9" applyFill="1"/>
    <xf numFmtId="3" fontId="3" fillId="6" borderId="2" xfId="9" applyNumberFormat="1" applyFill="1" applyBorder="1"/>
    <xf numFmtId="0" fontId="2" fillId="6" borderId="0" xfId="9" applyFont="1" applyFill="1"/>
    <xf numFmtId="3" fontId="2" fillId="6" borderId="2" xfId="9" applyNumberFormat="1" applyFont="1" applyFill="1" applyBorder="1"/>
    <xf numFmtId="0" fontId="71" fillId="0" borderId="0" xfId="0" applyFont="1"/>
    <xf numFmtId="3" fontId="3" fillId="0" borderId="43" xfId="34" applyNumberFormat="1" applyBorder="1" applyAlignment="1">
      <alignment horizontal="center" vertical="center" wrapText="1"/>
    </xf>
    <xf numFmtId="3" fontId="3" fillId="0" borderId="42" xfId="34" applyNumberFormat="1" applyBorder="1" applyAlignment="1">
      <alignment horizontal="center" vertical="center" wrapText="1"/>
    </xf>
    <xf numFmtId="0" fontId="3" fillId="0" borderId="44" xfId="34" applyBorder="1" applyAlignment="1">
      <alignment horizontal="center" vertical="center"/>
    </xf>
    <xf numFmtId="0" fontId="3" fillId="0" borderId="39" xfId="34" applyBorder="1" applyAlignment="1">
      <alignment horizontal="center" vertical="center"/>
    </xf>
    <xf numFmtId="0" fontId="26" fillId="0" borderId="0" xfId="0" applyFont="1" applyAlignment="1">
      <alignment horizontal="center"/>
    </xf>
    <xf numFmtId="170" fontId="26" fillId="0" borderId="0" xfId="46" applyNumberFormat="1" applyFont="1" applyAlignment="1">
      <alignment horizontal="center"/>
    </xf>
    <xf numFmtId="3" fontId="2" fillId="0" borderId="0" xfId="2" applyNumberFormat="1" applyAlignment="1">
      <alignment horizontal="left" vertical="top" wrapText="1"/>
    </xf>
    <xf numFmtId="1" fontId="2" fillId="0" borderId="43" xfId="2" applyNumberFormat="1" applyBorder="1" applyAlignment="1">
      <alignment horizontal="center" vertical="center" wrapText="1"/>
    </xf>
    <xf numFmtId="1" fontId="2" fillId="0" borderId="7" xfId="2" applyNumberFormat="1" applyBorder="1" applyAlignment="1">
      <alignment horizontal="center" vertical="center"/>
    </xf>
    <xf numFmtId="3" fontId="2" fillId="0" borderId="43" xfId="2" applyNumberFormat="1" applyBorder="1" applyAlignment="1">
      <alignment horizontal="center" vertical="center" wrapText="1"/>
    </xf>
    <xf numFmtId="3" fontId="2" fillId="0" borderId="7" xfId="2" applyNumberFormat="1" applyBorder="1" applyAlignment="1">
      <alignment horizontal="center" vertical="center"/>
    </xf>
    <xf numFmtId="0" fontId="2" fillId="0" borderId="44" xfId="2" applyBorder="1" applyAlignment="1">
      <alignment horizontal="center" vertical="center"/>
    </xf>
    <xf numFmtId="0" fontId="2" fillId="0" borderId="37" xfId="2" applyBorder="1" applyAlignment="1">
      <alignment horizontal="center" vertical="center"/>
    </xf>
    <xf numFmtId="0" fontId="2" fillId="0" borderId="5" xfId="2" applyBorder="1" applyAlignment="1">
      <alignment horizontal="center" vertical="center"/>
    </xf>
    <xf numFmtId="0" fontId="2" fillId="0" borderId="6" xfId="2" applyBorder="1" applyAlignment="1">
      <alignment horizontal="center" vertical="center"/>
    </xf>
    <xf numFmtId="0" fontId="2" fillId="0" borderId="0" xfId="2" applyAlignment="1">
      <alignment horizontal="left" vertical="top" wrapText="1"/>
    </xf>
    <xf numFmtId="1" fontId="2" fillId="0" borderId="0" xfId="2" applyNumberFormat="1" applyAlignment="1">
      <alignment horizontal="left" vertical="top" wrapText="1"/>
    </xf>
    <xf numFmtId="0" fontId="6" fillId="0" borderId="0" xfId="2" applyFont="1" applyAlignment="1">
      <alignment horizontal="justify" wrapText="1"/>
    </xf>
    <xf numFmtId="0" fontId="9" fillId="0" borderId="0" xfId="11" applyFont="1" applyAlignment="1">
      <alignment horizontal="left" vertical="top" wrapText="1"/>
    </xf>
    <xf numFmtId="4" fontId="2" fillId="0" borderId="0" xfId="2" applyNumberFormat="1" applyAlignment="1">
      <alignment horizontal="left" vertical="top" wrapText="1"/>
    </xf>
    <xf numFmtId="1" fontId="2" fillId="0" borderId="43" xfId="2" applyNumberFormat="1" applyBorder="1" applyAlignment="1">
      <alignment horizontal="left" vertical="top" wrapText="1"/>
    </xf>
    <xf numFmtId="1" fontId="2" fillId="0" borderId="7" xfId="2" applyNumberFormat="1" applyBorder="1" applyAlignment="1">
      <alignment horizontal="left" vertical="top" wrapText="1"/>
    </xf>
    <xf numFmtId="1" fontId="2" fillId="0" borderId="7" xfId="2" applyNumberFormat="1" applyBorder="1" applyAlignment="1">
      <alignment horizontal="center" vertical="center" wrapText="1"/>
    </xf>
    <xf numFmtId="2" fontId="2" fillId="0" borderId="0" xfId="2" applyNumberFormat="1" applyAlignment="1">
      <alignment vertical="top" wrapText="1"/>
    </xf>
    <xf numFmtId="2" fontId="0" fillId="0" borderId="0" xfId="0" applyNumberFormat="1" applyAlignment="1">
      <alignment vertical="top" wrapText="1"/>
    </xf>
    <xf numFmtId="0" fontId="2" fillId="0" borderId="0" xfId="2" applyAlignment="1">
      <alignment horizontal="left" wrapText="1"/>
    </xf>
    <xf numFmtId="0" fontId="2" fillId="0" borderId="0" xfId="2" applyAlignment="1">
      <alignment horizontal="left" vertical="top"/>
    </xf>
    <xf numFmtId="4" fontId="2" fillId="0" borderId="0" xfId="2" quotePrefix="1" applyNumberFormat="1" applyAlignment="1">
      <alignment horizontal="left" vertical="top" wrapText="1"/>
    </xf>
    <xf numFmtId="1" fontId="3" fillId="0" borderId="43" xfId="9" applyNumberFormat="1" applyBorder="1" applyAlignment="1">
      <alignment horizontal="center" vertical="center" wrapText="1"/>
    </xf>
    <xf numFmtId="1" fontId="3" fillId="0" borderId="7" xfId="9" applyNumberFormat="1" applyBorder="1" applyAlignment="1">
      <alignment horizontal="center" vertical="center" wrapText="1"/>
    </xf>
    <xf numFmtId="0" fontId="3" fillId="0" borderId="44" xfId="9" applyBorder="1" applyAlignment="1">
      <alignment horizontal="center" vertical="center"/>
    </xf>
    <xf numFmtId="0" fontId="3" fillId="0" borderId="37" xfId="9" applyBorder="1" applyAlignment="1">
      <alignment horizontal="center" vertical="center"/>
    </xf>
    <xf numFmtId="0" fontId="3" fillId="0" borderId="5" xfId="9" applyBorder="1" applyAlignment="1">
      <alignment horizontal="center" vertical="center"/>
    </xf>
    <xf numFmtId="0" fontId="3" fillId="0" borderId="6" xfId="9" applyBorder="1" applyAlignment="1">
      <alignment horizontal="center" vertical="center"/>
    </xf>
    <xf numFmtId="0" fontId="2" fillId="0" borderId="0" xfId="2" quotePrefix="1" applyAlignment="1">
      <alignment horizontal="left" vertical="top" wrapText="1"/>
    </xf>
    <xf numFmtId="0" fontId="6" fillId="0" borderId="0" xfId="2" quotePrefix="1" applyFont="1" applyAlignment="1">
      <alignment horizontal="left" vertical="top" wrapText="1"/>
    </xf>
    <xf numFmtId="0" fontId="6" fillId="0" borderId="0" xfId="2" applyFont="1" applyAlignment="1">
      <alignment horizontal="left" vertical="top" wrapText="1"/>
    </xf>
    <xf numFmtId="0" fontId="9" fillId="0" borderId="0" xfId="0" applyFont="1" applyAlignment="1">
      <alignment horizontal="left" vertical="top" wrapText="1"/>
    </xf>
    <xf numFmtId="1" fontId="9" fillId="0" borderId="43" xfId="0" applyNumberFormat="1" applyFont="1" applyBorder="1" applyAlignment="1">
      <alignment horizontal="center" vertical="center" wrapText="1"/>
    </xf>
    <xf numFmtId="3" fontId="9" fillId="0" borderId="43" xfId="0" applyNumberFormat="1" applyFont="1" applyBorder="1" applyAlignment="1">
      <alignment horizontal="center" vertical="center" wrapText="1"/>
    </xf>
    <xf numFmtId="0" fontId="9" fillId="0" borderId="44" xfId="0" applyFont="1" applyBorder="1" applyAlignment="1">
      <alignment horizontal="center" vertical="center"/>
    </xf>
    <xf numFmtId="0" fontId="5" fillId="0" borderId="1" xfId="0" applyFont="1" applyBorder="1" applyAlignment="1">
      <alignment vertical="top" wrapText="1"/>
    </xf>
    <xf numFmtId="0" fontId="9" fillId="0" borderId="0" xfId="0" applyFont="1" applyAlignment="1">
      <alignment horizontal="justify" vertical="top" wrapText="1"/>
    </xf>
    <xf numFmtId="3" fontId="9" fillId="0" borderId="0" xfId="0" applyNumberFormat="1" applyFont="1" applyAlignment="1">
      <alignment horizontal="left" vertical="top" wrapText="1"/>
    </xf>
    <xf numFmtId="0" fontId="6" fillId="0" borderId="0" xfId="0" applyFont="1" applyAlignment="1">
      <alignment horizontal="justify" vertical="top" wrapText="1"/>
    </xf>
    <xf numFmtId="3" fontId="9" fillId="0" borderId="0" xfId="0" applyNumberFormat="1" applyFont="1" applyAlignment="1">
      <alignment vertical="top" wrapText="1"/>
    </xf>
    <xf numFmtId="166" fontId="9" fillId="0" borderId="0" xfId="0" applyNumberFormat="1"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vertical="top" wrapText="1"/>
    </xf>
    <xf numFmtId="1" fontId="9" fillId="0" borderId="7" xfId="0" applyNumberFormat="1" applyFont="1" applyBorder="1" applyAlignment="1">
      <alignment horizontal="center" vertical="center" wrapText="1"/>
    </xf>
    <xf numFmtId="3" fontId="9" fillId="0" borderId="7" xfId="0" applyNumberFormat="1" applyFont="1" applyBorder="1" applyAlignment="1">
      <alignment horizontal="center" vertical="center" wrapText="1"/>
    </xf>
    <xf numFmtId="0" fontId="9" fillId="0" borderId="37"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0" xfId="0" applyFont="1" applyAlignment="1">
      <alignment horizontal="left" wrapText="1"/>
    </xf>
    <xf numFmtId="0" fontId="2" fillId="0" borderId="0" xfId="0" applyFont="1" applyAlignment="1">
      <alignment horizontal="justify" vertical="top" wrapText="1"/>
    </xf>
    <xf numFmtId="0" fontId="5" fillId="0" borderId="0" xfId="0" applyFont="1" applyAlignment="1">
      <alignment vertical="top" wrapText="1"/>
    </xf>
    <xf numFmtId="3" fontId="3" fillId="0" borderId="43" xfId="9" applyNumberFormat="1" applyBorder="1" applyAlignment="1">
      <alignment horizontal="center" vertical="center" wrapText="1"/>
    </xf>
    <xf numFmtId="3" fontId="3" fillId="0" borderId="7" xfId="9" applyNumberFormat="1" applyBorder="1" applyAlignment="1">
      <alignment horizontal="center" vertical="center" wrapText="1"/>
    </xf>
    <xf numFmtId="0" fontId="5" fillId="0" borderId="0" xfId="22" applyFont="1" applyAlignment="1">
      <alignment horizontal="left" vertical="top" wrapText="1"/>
    </xf>
    <xf numFmtId="0" fontId="2" fillId="0" borderId="0" xfId="22" applyFont="1" applyAlignment="1">
      <alignment horizontal="left" vertical="top" wrapText="1"/>
    </xf>
    <xf numFmtId="0" fontId="2" fillId="0" borderId="0" xfId="2" applyAlignment="1">
      <alignment horizontal="justify" vertical="top" wrapText="1"/>
    </xf>
    <xf numFmtId="1" fontId="2" fillId="0" borderId="43" xfId="9" applyNumberFormat="1" applyFont="1" applyBorder="1" applyAlignment="1">
      <alignment horizontal="center" vertical="center" wrapText="1"/>
    </xf>
    <xf numFmtId="1" fontId="2" fillId="0" borderId="7" xfId="9" applyNumberFormat="1" applyFont="1" applyBorder="1" applyAlignment="1">
      <alignment horizontal="center" vertical="center" wrapText="1"/>
    </xf>
    <xf numFmtId="3" fontId="2" fillId="0" borderId="43" xfId="9" applyNumberFormat="1" applyFont="1" applyBorder="1" applyAlignment="1">
      <alignment horizontal="center" vertical="center" wrapText="1"/>
    </xf>
    <xf numFmtId="3" fontId="2" fillId="0" borderId="7" xfId="9" applyNumberFormat="1" applyFont="1" applyBorder="1" applyAlignment="1">
      <alignment horizontal="center" vertical="center" wrapText="1"/>
    </xf>
    <xf numFmtId="0" fontId="2" fillId="0" borderId="44" xfId="9" applyFont="1" applyBorder="1" applyAlignment="1">
      <alignment horizontal="center" vertical="center"/>
    </xf>
    <xf numFmtId="0" fontId="2" fillId="0" borderId="37" xfId="9" applyFont="1" applyBorder="1" applyAlignment="1">
      <alignment horizontal="center" vertical="center"/>
    </xf>
    <xf numFmtId="0" fontId="2" fillId="0" borderId="5" xfId="9" applyFont="1" applyBorder="1" applyAlignment="1">
      <alignment horizontal="center" vertical="center"/>
    </xf>
    <xf numFmtId="0" fontId="2" fillId="0" borderId="6" xfId="9" applyFont="1" applyBorder="1" applyAlignment="1">
      <alignment horizontal="center" vertical="center"/>
    </xf>
    <xf numFmtId="0" fontId="2" fillId="0" borderId="0" xfId="9" applyFont="1" applyAlignment="1">
      <alignment horizontal="left" vertical="top" wrapText="1"/>
    </xf>
    <xf numFmtId="1" fontId="3" fillId="0" borderId="42" xfId="9" applyNumberFormat="1" applyBorder="1" applyAlignment="1">
      <alignment horizontal="center" vertical="center" wrapText="1"/>
    </xf>
    <xf numFmtId="3" fontId="3" fillId="0" borderId="42" xfId="9" applyNumberFormat="1" applyBorder="1" applyAlignment="1">
      <alignment horizontal="center" vertical="center" wrapText="1"/>
    </xf>
    <xf numFmtId="0" fontId="3" fillId="0" borderId="39" xfId="9" applyBorder="1" applyAlignment="1">
      <alignment horizontal="center" vertical="center"/>
    </xf>
    <xf numFmtId="3" fontId="2" fillId="0" borderId="7" xfId="2" applyNumberFormat="1" applyBorder="1" applyAlignment="1">
      <alignment horizontal="center" vertical="center" wrapText="1"/>
    </xf>
    <xf numFmtId="0" fontId="6" fillId="0" borderId="0" xfId="2" applyFont="1" applyAlignment="1">
      <alignment vertical="top" wrapText="1"/>
    </xf>
    <xf numFmtId="0" fontId="2" fillId="0" borderId="0" xfId="2" applyAlignment="1">
      <alignment vertical="top" wrapText="1"/>
    </xf>
    <xf numFmtId="0" fontId="0" fillId="0" borderId="0" xfId="0" applyAlignment="1">
      <alignment vertical="top" wrapText="1"/>
    </xf>
    <xf numFmtId="0" fontId="3" fillId="0" borderId="40" xfId="9" applyBorder="1" applyAlignment="1">
      <alignment horizontal="center" vertical="center"/>
    </xf>
    <xf numFmtId="0" fontId="2" fillId="0" borderId="0" xfId="30" quotePrefix="1" applyFont="1" applyAlignment="1">
      <alignment horizontal="left" vertical="top" wrapText="1"/>
    </xf>
    <xf numFmtId="0" fontId="2" fillId="0" borderId="0" xfId="30" applyFont="1" applyAlignment="1">
      <alignment horizontal="left" vertical="top" wrapText="1"/>
    </xf>
    <xf numFmtId="1" fontId="2" fillId="0" borderId="0" xfId="2" applyNumberFormat="1" applyAlignment="1">
      <alignment wrapText="1"/>
    </xf>
    <xf numFmtId="0" fontId="0" fillId="0" borderId="0" xfId="0" applyAlignment="1">
      <alignment wrapText="1"/>
    </xf>
    <xf numFmtId="2" fontId="2" fillId="0" borderId="0" xfId="2" applyNumberFormat="1" applyAlignment="1">
      <alignment horizontal="left" vertical="top" wrapText="1"/>
    </xf>
    <xf numFmtId="0" fontId="3" fillId="0" borderId="0" xfId="9" applyAlignment="1">
      <alignment horizontal="left" vertical="top" wrapText="1"/>
    </xf>
    <xf numFmtId="3" fontId="2" fillId="0" borderId="0" xfId="9" applyNumberFormat="1" applyFont="1" applyAlignment="1">
      <alignment horizontal="left" vertical="top" wrapText="1"/>
    </xf>
    <xf numFmtId="0" fontId="3" fillId="0" borderId="0" xfId="9" quotePrefix="1" applyAlignment="1">
      <alignment vertical="top" wrapText="1"/>
    </xf>
    <xf numFmtId="0" fontId="3" fillId="0" borderId="0" xfId="9" quotePrefix="1" applyAlignment="1">
      <alignment horizontal="left" vertical="top" wrapText="1"/>
    </xf>
    <xf numFmtId="0" fontId="2" fillId="0" borderId="0" xfId="2" applyAlignment="1">
      <alignment horizontal="left" vertical="justify"/>
    </xf>
    <xf numFmtId="1" fontId="2" fillId="0" borderId="0" xfId="2" quotePrefix="1" applyNumberFormat="1" applyAlignment="1">
      <alignment horizontal="left" wrapText="1"/>
    </xf>
    <xf numFmtId="3" fontId="2" fillId="0" borderId="57" xfId="64" applyNumberFormat="1" applyBorder="1" applyAlignment="1">
      <alignment horizontal="center" vertical="center" wrapText="1"/>
    </xf>
    <xf numFmtId="3" fontId="2" fillId="0" borderId="7" xfId="64" applyNumberFormat="1" applyBorder="1" applyAlignment="1">
      <alignment horizontal="center" vertical="center" wrapText="1"/>
    </xf>
    <xf numFmtId="0" fontId="2" fillId="0" borderId="58" xfId="64" applyBorder="1" applyAlignment="1">
      <alignment horizontal="center" vertical="center"/>
    </xf>
    <xf numFmtId="0" fontId="2" fillId="0" borderId="37" xfId="64" applyBorder="1" applyAlignment="1">
      <alignment horizontal="center" vertical="center"/>
    </xf>
    <xf numFmtId="0" fontId="2" fillId="0" borderId="5" xfId="64" applyBorder="1" applyAlignment="1">
      <alignment horizontal="center" vertical="center"/>
    </xf>
    <xf numFmtId="0" fontId="2" fillId="0" borderId="6" xfId="64" applyBorder="1" applyAlignment="1">
      <alignment horizontal="center" vertical="center"/>
    </xf>
    <xf numFmtId="0" fontId="2" fillId="0" borderId="0" xfId="64" applyAlignment="1">
      <alignment horizontal="justify" wrapText="1"/>
    </xf>
    <xf numFmtId="0" fontId="2" fillId="0" borderId="1" xfId="64" applyBorder="1" applyAlignment="1">
      <alignment horizontal="left" wrapText="1"/>
    </xf>
    <xf numFmtId="0" fontId="2" fillId="0" borderId="0" xfId="64" applyAlignment="1">
      <alignment horizontal="left" wrapText="1"/>
    </xf>
    <xf numFmtId="0" fontId="2" fillId="0" borderId="2" xfId="64" applyBorder="1" applyAlignment="1">
      <alignment horizontal="left" wrapText="1"/>
    </xf>
    <xf numFmtId="0" fontId="3" fillId="0" borderId="0" xfId="34" applyAlignment="1">
      <alignment horizontal="left" wrapText="1"/>
    </xf>
    <xf numFmtId="0" fontId="3" fillId="0" borderId="0" xfId="34" applyAlignment="1">
      <alignment vertical="top" wrapText="1" shrinkToFit="1"/>
    </xf>
    <xf numFmtId="0" fontId="3" fillId="0" borderId="0" xfId="34" applyAlignment="1">
      <alignment horizontal="left" vertical="top" wrapText="1"/>
    </xf>
    <xf numFmtId="3" fontId="3" fillId="0" borderId="7" xfId="34" applyNumberFormat="1" applyBorder="1" applyAlignment="1">
      <alignment horizontal="center" vertical="center" wrapText="1"/>
    </xf>
    <xf numFmtId="0" fontId="3" fillId="0" borderId="37" xfId="34" applyBorder="1" applyAlignment="1">
      <alignment horizontal="center" vertical="center"/>
    </xf>
    <xf numFmtId="0" fontId="3" fillId="0" borderId="5" xfId="34" applyBorder="1" applyAlignment="1">
      <alignment horizontal="center" vertical="center"/>
    </xf>
    <xf numFmtId="0" fontId="3" fillId="0" borderId="6" xfId="34" applyBorder="1" applyAlignment="1">
      <alignment horizontal="center" vertical="center"/>
    </xf>
    <xf numFmtId="2" fontId="3" fillId="0" borderId="0" xfId="34" applyNumberFormat="1" applyAlignment="1">
      <alignment horizontal="left" vertical="top" wrapText="1"/>
    </xf>
    <xf numFmtId="195" fontId="3" fillId="0" borderId="0" xfId="34" applyNumberFormat="1" applyAlignment="1">
      <alignment horizontal="left" vertical="top" wrapText="1"/>
    </xf>
    <xf numFmtId="0" fontId="2" fillId="0" borderId="0" xfId="34" applyFont="1" applyAlignment="1">
      <alignment horizontal="left" vertical="top" wrapText="1"/>
    </xf>
    <xf numFmtId="0" fontId="2" fillId="0" borderId="0" xfId="34" applyFont="1" applyAlignment="1">
      <alignment horizontal="left" wrapText="1"/>
    </xf>
    <xf numFmtId="0" fontId="2" fillId="0" borderId="0" xfId="64" applyAlignment="1">
      <alignment horizontal="left" vertical="top" wrapText="1"/>
    </xf>
    <xf numFmtId="3" fontId="2" fillId="0" borderId="0" xfId="64" applyNumberFormat="1" applyAlignment="1">
      <alignment horizontal="left" vertical="top" wrapText="1"/>
    </xf>
    <xf numFmtId="0" fontId="2" fillId="0" borderId="0" xfId="64" quotePrefix="1" applyAlignment="1">
      <alignment horizontal="left" vertical="top" wrapText="1"/>
    </xf>
    <xf numFmtId="0" fontId="2" fillId="0" borderId="58" xfId="0" applyFont="1" applyBorder="1" applyAlignment="1">
      <alignment horizontal="center" vertical="center"/>
    </xf>
    <xf numFmtId="0" fontId="2" fillId="0" borderId="37"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1" fontId="2" fillId="0" borderId="58" xfId="64" applyNumberFormat="1" applyBorder="1" applyAlignment="1">
      <alignment horizontal="center" vertical="center" wrapText="1"/>
    </xf>
    <xf numFmtId="1" fontId="2" fillId="0" borderId="5" xfId="64" applyNumberForma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1" fontId="3" fillId="0" borderId="44" xfId="9" applyNumberFormat="1" applyBorder="1" applyAlignment="1">
      <alignment horizontal="center" vertical="center" wrapText="1"/>
    </xf>
    <xf numFmtId="1" fontId="3" fillId="0" borderId="5" xfId="9" applyNumberFormat="1" applyBorder="1" applyAlignment="1">
      <alignment horizontal="center" vertical="center" wrapText="1"/>
    </xf>
    <xf numFmtId="1" fontId="9" fillId="0" borderId="43" xfId="9" applyNumberFormat="1" applyFont="1" applyBorder="1" applyAlignment="1">
      <alignment horizontal="center" vertical="center" wrapText="1"/>
    </xf>
    <xf numFmtId="1" fontId="9" fillId="0" borderId="7" xfId="9" applyNumberFormat="1" applyFont="1" applyBorder="1" applyAlignment="1">
      <alignment horizontal="center" vertical="center" wrapText="1"/>
    </xf>
    <xf numFmtId="3" fontId="9" fillId="0" borderId="43" xfId="9" applyNumberFormat="1" applyFont="1" applyBorder="1" applyAlignment="1">
      <alignment horizontal="center" vertical="center" wrapText="1"/>
    </xf>
    <xf numFmtId="3" fontId="9" fillId="0" borderId="7" xfId="9" applyNumberFormat="1" applyFont="1" applyBorder="1" applyAlignment="1">
      <alignment horizontal="center" vertical="center" wrapText="1"/>
    </xf>
    <xf numFmtId="0" fontId="9" fillId="0" borderId="44" xfId="9" applyFont="1" applyBorder="1" applyAlignment="1">
      <alignment horizontal="center" vertical="center"/>
    </xf>
    <xf numFmtId="0" fontId="9" fillId="0" borderId="37" xfId="9" applyFont="1" applyBorder="1" applyAlignment="1">
      <alignment horizontal="center" vertical="center"/>
    </xf>
    <xf numFmtId="0" fontId="9" fillId="0" borderId="5" xfId="9" applyFont="1" applyBorder="1" applyAlignment="1">
      <alignment horizontal="center" vertical="center"/>
    </xf>
    <xf numFmtId="0" fontId="9" fillId="0" borderId="6" xfId="9" applyFont="1" applyBorder="1" applyAlignment="1">
      <alignment horizontal="center" vertical="center"/>
    </xf>
    <xf numFmtId="0" fontId="9" fillId="0" borderId="0" xfId="2" applyFont="1" applyAlignment="1">
      <alignment horizontal="left" vertical="top" wrapText="1"/>
    </xf>
    <xf numFmtId="1" fontId="2" fillId="0" borderId="44" xfId="2" applyNumberFormat="1" applyBorder="1" applyAlignment="1">
      <alignment horizontal="center" vertical="center" wrapText="1"/>
    </xf>
    <xf numFmtId="1" fontId="2" fillId="0" borderId="5" xfId="2" applyNumberFormat="1" applyBorder="1" applyAlignment="1">
      <alignment horizontal="center" vertical="center" wrapText="1"/>
    </xf>
    <xf numFmtId="0" fontId="2" fillId="0" borderId="0" xfId="2" applyAlignment="1">
      <alignment wrapText="1"/>
    </xf>
    <xf numFmtId="3" fontId="3" fillId="0" borderId="57" xfId="9" applyNumberFormat="1" applyBorder="1" applyAlignment="1">
      <alignment horizontal="center" vertical="center" wrapText="1"/>
    </xf>
    <xf numFmtId="0" fontId="3" fillId="0" borderId="58" xfId="9" applyBorder="1" applyAlignment="1">
      <alignment horizontal="center" vertical="center"/>
    </xf>
    <xf numFmtId="1" fontId="3" fillId="0" borderId="57" xfId="9" applyNumberFormat="1" applyBorder="1" applyAlignment="1">
      <alignment horizontal="center" vertical="center" wrapText="1"/>
    </xf>
    <xf numFmtId="0" fontId="2" fillId="9" borderId="0" xfId="2" applyFill="1"/>
    <xf numFmtId="170" fontId="0" fillId="9" borderId="0" xfId="3" applyNumberFormat="1" applyFont="1" applyFill="1"/>
    <xf numFmtId="3" fontId="22" fillId="9" borderId="0" xfId="2" applyNumberFormat="1" applyFont="1" applyFill="1" applyAlignment="1">
      <alignment horizontal="right"/>
    </xf>
    <xf numFmtId="170" fontId="2" fillId="9" borderId="0" xfId="2" applyNumberFormat="1" applyFill="1"/>
  </cellXfs>
  <cellStyles count="73">
    <cellStyle name="Goed 2" xfId="33" xr:uid="{2AE1FC70-A988-434F-8031-A08CBB372B14}"/>
    <cellStyle name="Hyperlink" xfId="44" builtinId="8"/>
    <cellStyle name="Komma" xfId="46" builtinId="3"/>
    <cellStyle name="Komma 2" xfId="3" xr:uid="{0FBFC063-1D0A-472E-BA82-76B377355AD0}"/>
    <cellStyle name="Komma 2 2" xfId="15" xr:uid="{0701CCE8-6945-4AAA-A8F1-3268CB5A5716}"/>
    <cellStyle name="Komma 2 2 2" xfId="17" xr:uid="{14BBCF9E-F98E-4392-B744-267FEDE984F4}"/>
    <cellStyle name="Komma 2 2 3" xfId="23" xr:uid="{B0196644-ADE4-491A-BD67-976C88BD88E3}"/>
    <cellStyle name="Komma 2 2 3 2" xfId="58" xr:uid="{A2CC9831-A50C-418C-ACAE-6D314CBFCC35}"/>
    <cellStyle name="Komma 2 2 4" xfId="55" xr:uid="{97CC0DA4-4D32-4AA5-B27F-46298BD6DF05}"/>
    <cellStyle name="Komma 2 3" xfId="47" xr:uid="{3DA7AE91-9451-4B38-BA46-F2770FAD56C7}"/>
    <cellStyle name="Komma 3" xfId="5" xr:uid="{877AE831-B75F-475F-858E-09AF42941C0C}"/>
    <cellStyle name="Komma 3 2" xfId="49" xr:uid="{A07AE4B8-33BB-4B75-9896-6BEDFEB349FE}"/>
    <cellStyle name="Komma 4" xfId="16" xr:uid="{7CAEF451-79B6-4FD3-9459-66BC47319A20}"/>
    <cellStyle name="Komma 4 2" xfId="35" xr:uid="{4F9ED0F1-3B24-4D50-ADC7-7D8586C20BB2}"/>
    <cellStyle name="Komma 4 2 2" xfId="38" xr:uid="{08A34CFF-BEEE-42B7-A64C-30F9024F0546}"/>
    <cellStyle name="Komma 4 2 2 2" xfId="67" xr:uid="{53E98CBD-9765-4426-B08F-653B62772374}"/>
    <cellStyle name="Komma 4 2 3" xfId="65" xr:uid="{ACD4F175-5E08-404F-96E7-543254CF3950}"/>
    <cellStyle name="Komma 4 2 4" xfId="71" xr:uid="{C9A3A885-DB14-4CDA-92EC-F49CCF7E62F4}"/>
    <cellStyle name="Komma 4 3" xfId="56" xr:uid="{96700644-971D-4E59-90E8-D584ADDC5755}"/>
    <cellStyle name="Komma 5" xfId="70" xr:uid="{1318A4B0-B3D9-45B8-8F04-FA877EDEF6DC}"/>
    <cellStyle name="Komma 9" xfId="7" xr:uid="{B1DB89CA-7CE2-4CF0-AE8C-A8C1DAFA7563}"/>
    <cellStyle name="Komma 9 2" xfId="51" xr:uid="{5E0637CE-1429-4474-AF9B-9E75A1E38DF0}"/>
    <cellStyle name="Procent" xfId="1" builtinId="5"/>
    <cellStyle name="Procent 2" xfId="13" xr:uid="{43D82C33-01F5-4BBE-B71D-36E38BD61FA0}"/>
    <cellStyle name="Procent 2 2" xfId="54" xr:uid="{A71CAAA2-820B-48BD-985E-A06CA30A44CE}"/>
    <cellStyle name="Procent 3" xfId="36" xr:uid="{9CC21D44-7BE4-4768-B92D-6D9E3E45D684}"/>
    <cellStyle name="Procent 3 2" xfId="66" xr:uid="{5E86B66A-4650-454E-87C2-8BD78FCA7AE3}"/>
    <cellStyle name="Procent 5" xfId="42" xr:uid="{68C4396C-0D7F-417A-A2B8-6C27CF80C231}"/>
    <cellStyle name="Procent 5 2" xfId="69" xr:uid="{3C792C2C-5553-4C00-821A-4CE19C100DE1}"/>
    <cellStyle name="Standaard" xfId="0" builtinId="0"/>
    <cellStyle name="Standaard 10" xfId="9" xr:uid="{C1391EB9-6305-4A17-98BD-45163CADC918}"/>
    <cellStyle name="Standaard 10 2" xfId="34" xr:uid="{20897017-BA5C-4418-9638-97E7C7123852}"/>
    <cellStyle name="Standaard 10 2 2" xfId="64" xr:uid="{7E478775-2FC0-41CB-A11D-275D4890E3D0}"/>
    <cellStyle name="Standaard 10 3" xfId="52" xr:uid="{4C4A1C81-8904-42E9-ADDE-C92595568F1F}"/>
    <cellStyle name="Standaard 2" xfId="2" xr:uid="{16122501-7CCC-46B2-9439-C1679650DC7F}"/>
    <cellStyle name="Standaard 2 10 2" xfId="25" xr:uid="{08A03A86-1308-4881-9067-4B21C768BF34}"/>
    <cellStyle name="Standaard 2 10 2 2" xfId="11" xr:uid="{ECEA7722-638B-49FD-A169-5FDAB10C70CE}"/>
    <cellStyle name="Standaard 2 10 2 3" xfId="60" xr:uid="{CFE45ECB-623B-4C3C-9642-BB9862BBD8DD}"/>
    <cellStyle name="Standaard 2 2" xfId="10" xr:uid="{8559CC79-378F-4484-ABBB-F8677EF83135}"/>
    <cellStyle name="Standaard 2 2 2" xfId="18" xr:uid="{2DD716E8-8523-44F5-935B-F5A68D04AA7B}"/>
    <cellStyle name="Standaard 2 2 2 2" xfId="43" xr:uid="{75AEC726-B8D8-4554-BC25-FCD3FE268333}"/>
    <cellStyle name="Standaard 2 2 3" xfId="19" xr:uid="{472641FD-7012-4389-AEDE-07D0773417CD}"/>
    <cellStyle name="Standaard 2 2 4" xfId="53" xr:uid="{EBE86DE2-2547-4AC2-B8CC-6CD4DA1FA51C}"/>
    <cellStyle name="Standaard 2 3" xfId="14" xr:uid="{C31F4871-8CA9-414F-900A-DE5E9B65F272}"/>
    <cellStyle name="Standaard 2 3 2" xfId="28" xr:uid="{4A0F003D-0BAC-4049-A93C-97877A308040}"/>
    <cellStyle name="Standaard 2 3 3" xfId="31" xr:uid="{5D024138-3BC2-43E4-B2BB-962736E463B6}"/>
    <cellStyle name="Standaard 2 3 3 2" xfId="63" xr:uid="{D5E776D7-B1F4-45F1-82DB-0E9BEF306F77}"/>
    <cellStyle name="Standaard 2 4" xfId="37" xr:uid="{14627B28-9A2F-4D4A-9D45-0EB781400E43}"/>
    <cellStyle name="Standaard 3" xfId="22" xr:uid="{6F8E2B27-7097-4263-B9FF-A6F883029144}"/>
    <cellStyle name="Standaard 3 2" xfId="26" xr:uid="{C1B51CF5-63D3-4953-A802-7A7071247F36}"/>
    <cellStyle name="Standaard 3 2 2" xfId="61" xr:uid="{DE08D20F-75C6-429C-A149-93556E1C8984}"/>
    <cellStyle name="Standaard 3 3" xfId="30" xr:uid="{B35C1D43-CE5A-4A52-A39D-E9E6581DC29B}"/>
    <cellStyle name="Standaard 3 4" xfId="39" xr:uid="{373B5779-E4C1-4AC0-A0A1-A49C4D4D19E1}"/>
    <cellStyle name="Standaard 3 5" xfId="57" xr:uid="{0BE95D9C-27BA-492A-A7E3-8F6610D1AC7F}"/>
    <cellStyle name="Standaard 4" xfId="21" xr:uid="{A06B832D-2C29-4BDC-9942-79EC421DFC89}"/>
    <cellStyle name="Standaard 4 2" xfId="24" xr:uid="{94E8DD8C-2475-4FD0-8225-7A11A7DA55BD}"/>
    <cellStyle name="Standaard 4 2 2" xfId="40" xr:uid="{835F5EF3-C823-497D-B1B0-F5A462597941}"/>
    <cellStyle name="Standaard 4 2 3" xfId="59" xr:uid="{53A25D62-B490-4627-959A-A00EDB2FC667}"/>
    <cellStyle name="Standaard 4 2 8" xfId="27" xr:uid="{CF5D66A6-E24E-4D0D-BA38-309B34CB2BB0}"/>
    <cellStyle name="Standaard 4 2 8 2" xfId="62" xr:uid="{140AE686-A4D2-45A7-ABA6-C2C72CF6B0A5}"/>
    <cellStyle name="Standaard 5" xfId="4" xr:uid="{5B6C317A-8855-4BA6-B587-106D70A5FA6A}"/>
    <cellStyle name="Standaard 5 2" xfId="32" xr:uid="{A8158B79-6F53-4638-9BE4-18B9D51D02EF}"/>
    <cellStyle name="Standaard 5 3" xfId="48" xr:uid="{B04C2F05-0229-4340-BFF3-771994060E7A}"/>
    <cellStyle name="Standaard 7" xfId="6" xr:uid="{F37ABE47-0609-4020-A7C9-1D819D341C32}"/>
    <cellStyle name="Standaard 7 2" xfId="29" xr:uid="{00471462-F903-4E02-A474-DAB10403B08C}"/>
    <cellStyle name="Standaard 7 3" xfId="50" xr:uid="{36BDAF8E-9813-4C91-8BD1-65346CB4BE90}"/>
    <cellStyle name="Standaard 9" xfId="8" xr:uid="{C70D99F0-EA0D-42C3-B9C3-2E5C3FC78DA1}"/>
    <cellStyle name="Standaard 9 2" xfId="45" xr:uid="{F5115F8F-E04B-47E0-A1FB-5F890857103A}"/>
    <cellStyle name="Standaard_bijlage 12-2010_1" xfId="20" xr:uid="{5AA273FE-EEAF-4E5A-BDFF-C87EA07B644F}"/>
    <cellStyle name="Standaard_Productgroep11.02" xfId="12" xr:uid="{6EB982E6-0188-40DE-9B79-AF92949F5B80}"/>
    <cellStyle name="Valuta" xfId="72" builtinId="4"/>
    <cellStyle name="Valuta 2" xfId="41" xr:uid="{1E4AA632-AF84-4753-A470-9BF9446EB6E2}"/>
    <cellStyle name="Valuta 2 2" xfId="68" xr:uid="{695B2CD3-894F-4458-8F59-1BF6389165FA}"/>
  </cellStyles>
  <dxfs count="3">
    <dxf>
      <fill>
        <patternFill>
          <bgColor theme="6" tint="0.59996337778862885"/>
        </patternFill>
      </fill>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2.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pivotCacheDefinition" Target="pivotCache/pivotCacheDefinition1.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1.xml"/><Relationship Id="rId81" Type="http://schemas.openxmlformats.org/officeDocument/2006/relationships/theme" Target="theme/theme1.xml"/><Relationship Id="rId86"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image" Target="../media/image1.tmp"/></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7.jpg"/><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9.png"/></Relationships>
</file>

<file path=xl/drawings/_rels/drawing3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9.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5.png"/></Relationships>
</file>

<file path=xl/drawings/_rels/drawing43.xml.rels><?xml version="1.0" encoding="UTF-8" standalone="yes"?>
<Relationships xmlns="http://schemas.openxmlformats.org/package/2006/relationships"><Relationship Id="rId1" Type="http://schemas.openxmlformats.org/officeDocument/2006/relationships/image" Target="../media/image46.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7.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8.png"/></Relationships>
</file>

<file path=xl/drawings/_rels/drawing46.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_rels/drawing47.xml.rels><?xml version="1.0" encoding="UTF-8" standalone="yes"?>
<Relationships xmlns="http://schemas.openxmlformats.org/package/2006/relationships"><Relationship Id="rId1" Type="http://schemas.openxmlformats.org/officeDocument/2006/relationships/image" Target="../media/image5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52.png"/></Relationships>
</file>

<file path=xl/drawings/_rels/drawing49.xml.rels><?xml version="1.0" encoding="UTF-8" standalone="yes"?>
<Relationships xmlns="http://schemas.openxmlformats.org/package/2006/relationships"><Relationship Id="rId1" Type="http://schemas.openxmlformats.org/officeDocument/2006/relationships/image" Target="../media/image5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54.png"/></Relationships>
</file>

<file path=xl/drawings/_rels/drawing51.xml.rels><?xml version="1.0" encoding="UTF-8" standalone="yes"?>
<Relationships xmlns="http://schemas.openxmlformats.org/package/2006/relationships"><Relationship Id="rId1" Type="http://schemas.openxmlformats.org/officeDocument/2006/relationships/image" Target="../media/image55.png"/></Relationships>
</file>

<file path=xl/drawings/_rels/drawing52.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image" Target="../media/image56.png"/></Relationships>
</file>

<file path=xl/drawings/_rels/drawing53.xml.rels><?xml version="1.0" encoding="UTF-8" standalone="yes"?>
<Relationships xmlns="http://schemas.openxmlformats.org/package/2006/relationships"><Relationship Id="rId2" Type="http://schemas.openxmlformats.org/officeDocument/2006/relationships/image" Target="../media/image59.png"/><Relationship Id="rId1" Type="http://schemas.openxmlformats.org/officeDocument/2006/relationships/image" Target="../media/image58.png"/></Relationships>
</file>

<file path=xl/drawings/_rels/drawing54.xml.rels><?xml version="1.0" encoding="UTF-8" standalone="yes"?>
<Relationships xmlns="http://schemas.openxmlformats.org/package/2006/relationships"><Relationship Id="rId1" Type="http://schemas.openxmlformats.org/officeDocument/2006/relationships/image" Target="../media/image60.png"/></Relationships>
</file>

<file path=xl/drawings/_rels/drawing55.xml.rels><?xml version="1.0" encoding="UTF-8" standalone="yes"?>
<Relationships xmlns="http://schemas.openxmlformats.org/package/2006/relationships"><Relationship Id="rId1" Type="http://schemas.openxmlformats.org/officeDocument/2006/relationships/image" Target="../media/image6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63.png"/><Relationship Id="rId1" Type="http://schemas.openxmlformats.org/officeDocument/2006/relationships/image" Target="../media/image62.png"/></Relationships>
</file>

<file path=xl/drawings/_rels/drawing57.xml.rels><?xml version="1.0" encoding="UTF-8" standalone="yes"?>
<Relationships xmlns="http://schemas.openxmlformats.org/package/2006/relationships"><Relationship Id="rId1" Type="http://schemas.openxmlformats.org/officeDocument/2006/relationships/image" Target="../media/image64.png"/></Relationships>
</file>

<file path=xl/drawings/_rels/drawing58.xml.rels><?xml version="1.0" encoding="UTF-8" standalone="yes"?>
<Relationships xmlns="http://schemas.openxmlformats.org/package/2006/relationships"><Relationship Id="rId1" Type="http://schemas.openxmlformats.org/officeDocument/2006/relationships/image" Target="../media/image65.png"/></Relationships>
</file>

<file path=xl/drawings/_rels/drawing59.xml.rels><?xml version="1.0" encoding="UTF-8" standalone="yes"?>
<Relationships xmlns="http://schemas.openxmlformats.org/package/2006/relationships"><Relationship Id="rId1" Type="http://schemas.openxmlformats.org/officeDocument/2006/relationships/image" Target="../media/image66.png"/></Relationships>
</file>

<file path=xl/drawings/_rels/drawing60.xml.rels><?xml version="1.0" encoding="UTF-8" standalone="yes"?>
<Relationships xmlns="http://schemas.openxmlformats.org/package/2006/relationships"><Relationship Id="rId1" Type="http://schemas.openxmlformats.org/officeDocument/2006/relationships/image" Target="../media/image67.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0</xdr:colOff>
          <xdr:row>1</xdr:row>
          <xdr:rowOff>7620</xdr:rowOff>
        </xdr:from>
        <xdr:to>
          <xdr:col>7</xdr:col>
          <xdr:colOff>0</xdr:colOff>
          <xdr:row>2</xdr:row>
          <xdr:rowOff>38100</xdr:rowOff>
        </xdr:to>
        <xdr:sp macro="" textlink="">
          <xdr:nvSpPr>
            <xdr:cNvPr id="137217" name="Button 1" hidden="1">
              <a:extLst>
                <a:ext uri="{63B3BB69-23CF-44E3-9099-C40C66FF867C}">
                  <a14:compatExt spid="_x0000_s137217"/>
                </a:ext>
                <a:ext uri="{FF2B5EF4-FFF2-40B4-BE49-F238E27FC236}">
                  <a16:creationId xmlns:a16="http://schemas.microsoft.com/office/drawing/2014/main" id="{00000000-0008-0000-0000-00000118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nl-NL" sz="1000" b="0" i="0" u="none" strike="noStrike" baseline="0">
                  <a:solidFill>
                    <a:srgbClr val="000000"/>
                  </a:solidFill>
                  <a:latin typeface="Arial"/>
                  <a:cs typeface="Arial"/>
                </a:rPr>
                <a:t>Coda inlees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9</xdr:row>
      <xdr:rowOff>9525</xdr:rowOff>
    </xdr:from>
    <xdr:to>
      <xdr:col>4</xdr:col>
      <xdr:colOff>914861</xdr:colOff>
      <xdr:row>13</xdr:row>
      <xdr:rowOff>91557</xdr:rowOff>
    </xdr:to>
    <xdr:pic>
      <xdr:nvPicPr>
        <xdr:cNvPr id="2" name="Afbeelding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0550" y="1724025"/>
          <a:ext cx="3305636" cy="838317"/>
        </a:xfrm>
        <a:prstGeom prst="rect">
          <a:avLst/>
        </a:prstGeom>
      </xdr:spPr>
    </xdr:pic>
    <xdr:clientData/>
  </xdr:twoCellAnchor>
  <xdr:twoCellAnchor>
    <xdr:from>
      <xdr:col>4</xdr:col>
      <xdr:colOff>457200</xdr:colOff>
      <xdr:row>6</xdr:row>
      <xdr:rowOff>57150</xdr:rowOff>
    </xdr:from>
    <xdr:to>
      <xdr:col>5</xdr:col>
      <xdr:colOff>266700</xdr:colOff>
      <xdr:row>12</xdr:row>
      <xdr:rowOff>9525</xdr:rowOff>
    </xdr:to>
    <xdr:cxnSp macro="">
      <xdr:nvCxnSpPr>
        <xdr:cNvPr id="3" name="Rechte verbindingslijn met pijl 2">
          <a:extLst>
            <a:ext uri="{FF2B5EF4-FFF2-40B4-BE49-F238E27FC236}">
              <a16:creationId xmlns:a16="http://schemas.microsoft.com/office/drawing/2014/main" id="{00000000-0008-0000-0100-000003000000}"/>
            </a:ext>
          </a:extLst>
        </xdr:cNvPr>
        <xdr:cNvCxnSpPr/>
      </xdr:nvCxnSpPr>
      <xdr:spPr>
        <a:xfrm flipV="1">
          <a:off x="3438525" y="1200150"/>
          <a:ext cx="942975" cy="109537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352425</xdr:colOff>
      <xdr:row>6</xdr:row>
      <xdr:rowOff>123825</xdr:rowOff>
    </xdr:from>
    <xdr:to>
      <xdr:col>12</xdr:col>
      <xdr:colOff>703257</xdr:colOff>
      <xdr:row>26</xdr:row>
      <xdr:rowOff>16343</xdr:rowOff>
    </xdr:to>
    <xdr:pic>
      <xdr:nvPicPr>
        <xdr:cNvPr id="2" name="Afbeelding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552825" y="1123950"/>
          <a:ext cx="6745282" cy="31367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711201</xdr:colOff>
      <xdr:row>6</xdr:row>
      <xdr:rowOff>81491</xdr:rowOff>
    </xdr:from>
    <xdr:to>
      <xdr:col>12</xdr:col>
      <xdr:colOff>743585</xdr:colOff>
      <xdr:row>20</xdr:row>
      <xdr:rowOff>95363</xdr:rowOff>
    </xdr:to>
    <xdr:pic>
      <xdr:nvPicPr>
        <xdr:cNvPr id="2" name="Afbeelding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679701" y="1033991"/>
          <a:ext cx="6973358" cy="222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104775</xdr:colOff>
      <xdr:row>4</xdr:row>
      <xdr:rowOff>0</xdr:rowOff>
    </xdr:from>
    <xdr:ext cx="6531037" cy="2854325"/>
    <xdr:pic>
      <xdr:nvPicPr>
        <xdr:cNvPr id="24" name="Afbeelding 23">
          <a:extLst>
            <a:ext uri="{FF2B5EF4-FFF2-40B4-BE49-F238E27FC236}">
              <a16:creationId xmlns:a16="http://schemas.microsoft.com/office/drawing/2014/main" id="{00000000-0008-0000-0800-000018000000}"/>
            </a:ext>
          </a:extLst>
        </xdr:cNvPr>
        <xdr:cNvPicPr>
          <a:picLocks noChangeAspect="1"/>
        </xdr:cNvPicPr>
      </xdr:nvPicPr>
      <xdr:blipFill>
        <a:blip xmlns:r="http://schemas.openxmlformats.org/officeDocument/2006/relationships" r:embed="rId1"/>
        <a:stretch>
          <a:fillRect/>
        </a:stretch>
      </xdr:blipFill>
      <xdr:spPr>
        <a:xfrm>
          <a:off x="3971925" y="647700"/>
          <a:ext cx="6531037" cy="2854325"/>
        </a:xfrm>
        <a:prstGeom prst="rect">
          <a:avLst/>
        </a:prstGeom>
      </xdr:spPr>
    </xdr:pic>
    <xdr:clientData/>
  </xdr:oneCellAnchor>
  <xdr:oneCellAnchor>
    <xdr:from>
      <xdr:col>4</xdr:col>
      <xdr:colOff>38100</xdr:colOff>
      <xdr:row>21</xdr:row>
      <xdr:rowOff>38101</xdr:rowOff>
    </xdr:from>
    <xdr:ext cx="6511925" cy="1488690"/>
    <xdr:pic>
      <xdr:nvPicPr>
        <xdr:cNvPr id="25" name="Afbeelding 24">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2"/>
        <a:stretch>
          <a:fillRect/>
        </a:stretch>
      </xdr:blipFill>
      <xdr:spPr>
        <a:xfrm>
          <a:off x="3139440" y="3398521"/>
          <a:ext cx="6511925" cy="148869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4</xdr:col>
      <xdr:colOff>9525</xdr:colOff>
      <xdr:row>5</xdr:row>
      <xdr:rowOff>0</xdr:rowOff>
    </xdr:from>
    <xdr:ext cx="6550273" cy="2768600"/>
    <xdr:pic>
      <xdr:nvPicPr>
        <xdr:cNvPr id="2" name="Afbeelding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3876675" y="809625"/>
          <a:ext cx="6550273" cy="2768600"/>
        </a:xfrm>
        <a:prstGeom prst="rect">
          <a:avLst/>
        </a:prstGeom>
      </xdr:spPr>
    </xdr:pic>
    <xdr:clientData/>
  </xdr:oneCellAnchor>
  <xdr:oneCellAnchor>
    <xdr:from>
      <xdr:col>4</xdr:col>
      <xdr:colOff>9525</xdr:colOff>
      <xdr:row>5</xdr:row>
      <xdr:rowOff>0</xdr:rowOff>
    </xdr:from>
    <xdr:ext cx="6531037" cy="2854325"/>
    <xdr:pic>
      <xdr:nvPicPr>
        <xdr:cNvPr id="4" name="Afbeelding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3876675" y="809625"/>
          <a:ext cx="6531037" cy="2854325"/>
        </a:xfrm>
        <a:prstGeom prst="rect">
          <a:avLst/>
        </a:prstGeom>
      </xdr:spPr>
    </xdr:pic>
    <xdr:clientData/>
  </xdr:oneCellAnchor>
  <xdr:oneCellAnchor>
    <xdr:from>
      <xdr:col>4</xdr:col>
      <xdr:colOff>9525</xdr:colOff>
      <xdr:row>5</xdr:row>
      <xdr:rowOff>0</xdr:rowOff>
    </xdr:from>
    <xdr:ext cx="6507225" cy="2935287"/>
    <xdr:pic>
      <xdr:nvPicPr>
        <xdr:cNvPr id="6" name="Afbeelding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3876675" y="809625"/>
          <a:ext cx="6507225" cy="2935287"/>
        </a:xfrm>
        <a:prstGeom prst="rect">
          <a:avLst/>
        </a:prstGeom>
      </xdr:spPr>
    </xdr:pic>
    <xdr:clientData/>
  </xdr:oneCellAnchor>
  <xdr:oneCellAnchor>
    <xdr:from>
      <xdr:col>4</xdr:col>
      <xdr:colOff>9525</xdr:colOff>
      <xdr:row>5</xdr:row>
      <xdr:rowOff>0</xdr:rowOff>
    </xdr:from>
    <xdr:ext cx="6531037" cy="2854325"/>
    <xdr:pic>
      <xdr:nvPicPr>
        <xdr:cNvPr id="8" name="Afbeelding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3876675" y="809625"/>
          <a:ext cx="6531037" cy="2854325"/>
        </a:xfrm>
        <a:prstGeom prst="rect">
          <a:avLst/>
        </a:prstGeom>
      </xdr:spPr>
    </xdr:pic>
    <xdr:clientData/>
  </xdr:oneCellAnchor>
  <xdr:oneCellAnchor>
    <xdr:from>
      <xdr:col>4</xdr:col>
      <xdr:colOff>9525</xdr:colOff>
      <xdr:row>5</xdr:row>
      <xdr:rowOff>0</xdr:rowOff>
    </xdr:from>
    <xdr:ext cx="6550273" cy="2768600"/>
    <xdr:pic>
      <xdr:nvPicPr>
        <xdr:cNvPr id="10" name="Afbeelding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3876675" y="809625"/>
          <a:ext cx="6550273" cy="2768600"/>
        </a:xfrm>
        <a:prstGeom prst="rect">
          <a:avLst/>
        </a:prstGeom>
      </xdr:spPr>
    </xdr:pic>
    <xdr:clientData/>
  </xdr:oneCellAnchor>
  <xdr:oneCellAnchor>
    <xdr:from>
      <xdr:col>4</xdr:col>
      <xdr:colOff>28575</xdr:colOff>
      <xdr:row>20</xdr:row>
      <xdr:rowOff>19051</xdr:rowOff>
    </xdr:from>
    <xdr:ext cx="6534336" cy="1443307"/>
    <xdr:pic>
      <xdr:nvPicPr>
        <xdr:cNvPr id="11" name="Afbeelding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2"/>
        <a:stretch>
          <a:fillRect/>
        </a:stretch>
      </xdr:blipFill>
      <xdr:spPr>
        <a:xfrm>
          <a:off x="3895725" y="3686176"/>
          <a:ext cx="6534336" cy="1443307"/>
        </a:xfrm>
        <a:prstGeom prst="rect">
          <a:avLst/>
        </a:prstGeom>
      </xdr:spPr>
    </xdr:pic>
    <xdr:clientData/>
  </xdr:oneCellAnchor>
  <xdr:oneCellAnchor>
    <xdr:from>
      <xdr:col>4</xdr:col>
      <xdr:colOff>9525</xdr:colOff>
      <xdr:row>5</xdr:row>
      <xdr:rowOff>0</xdr:rowOff>
    </xdr:from>
    <xdr:ext cx="6531037" cy="2854325"/>
    <xdr:pic>
      <xdr:nvPicPr>
        <xdr:cNvPr id="12" name="Afbeelding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
        <a:stretch>
          <a:fillRect/>
        </a:stretch>
      </xdr:blipFill>
      <xdr:spPr>
        <a:xfrm>
          <a:off x="3876675" y="809625"/>
          <a:ext cx="6531037" cy="2854325"/>
        </a:xfrm>
        <a:prstGeom prst="rect">
          <a:avLst/>
        </a:prstGeom>
      </xdr:spPr>
    </xdr:pic>
    <xdr:clientData/>
  </xdr:oneCellAnchor>
  <xdr:oneCellAnchor>
    <xdr:from>
      <xdr:col>4</xdr:col>
      <xdr:colOff>9525</xdr:colOff>
      <xdr:row>5</xdr:row>
      <xdr:rowOff>0</xdr:rowOff>
    </xdr:from>
    <xdr:ext cx="6507225" cy="2935287"/>
    <xdr:pic>
      <xdr:nvPicPr>
        <xdr:cNvPr id="14" name="Afbeelding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
        <a:stretch>
          <a:fillRect/>
        </a:stretch>
      </xdr:blipFill>
      <xdr:spPr>
        <a:xfrm>
          <a:off x="3876675" y="809625"/>
          <a:ext cx="6507225" cy="2935287"/>
        </a:xfrm>
        <a:prstGeom prst="rect">
          <a:avLst/>
        </a:prstGeom>
      </xdr:spPr>
    </xdr:pic>
    <xdr:clientData/>
  </xdr:oneCellAnchor>
  <xdr:oneCellAnchor>
    <xdr:from>
      <xdr:col>4</xdr:col>
      <xdr:colOff>85725</xdr:colOff>
      <xdr:row>5</xdr:row>
      <xdr:rowOff>28575</xdr:rowOff>
    </xdr:from>
    <xdr:ext cx="6531037" cy="2854325"/>
    <xdr:pic>
      <xdr:nvPicPr>
        <xdr:cNvPr id="16" name="Afbeelding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
        <a:stretch>
          <a:fillRect/>
        </a:stretch>
      </xdr:blipFill>
      <xdr:spPr>
        <a:xfrm>
          <a:off x="3105150" y="838200"/>
          <a:ext cx="6531037" cy="28543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942975</xdr:colOff>
      <xdr:row>4</xdr:row>
      <xdr:rowOff>104775</xdr:rowOff>
    </xdr:from>
    <xdr:ext cx="6531037" cy="2854325"/>
    <xdr:pic>
      <xdr:nvPicPr>
        <xdr:cNvPr id="2" name="Afbeelding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3314700" y="752475"/>
          <a:ext cx="6531037" cy="28543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4</xdr:col>
      <xdr:colOff>53340</xdr:colOff>
      <xdr:row>7</xdr:row>
      <xdr:rowOff>129541</xdr:rowOff>
    </xdr:from>
    <xdr:to>
      <xdr:col>14</xdr:col>
      <xdr:colOff>2890</xdr:colOff>
      <xdr:row>19</xdr:row>
      <xdr:rowOff>76201</xdr:rowOff>
    </xdr:to>
    <xdr:pic>
      <xdr:nvPicPr>
        <xdr:cNvPr id="2" name="Afbeelding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606040" y="1263016"/>
          <a:ext cx="7883875" cy="18897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247650</xdr:colOff>
      <xdr:row>7</xdr:row>
      <xdr:rowOff>57150</xdr:rowOff>
    </xdr:from>
    <xdr:to>
      <xdr:col>10</xdr:col>
      <xdr:colOff>630803</xdr:colOff>
      <xdr:row>16</xdr:row>
      <xdr:rowOff>136383</xdr:rowOff>
    </xdr:to>
    <xdr:pic>
      <xdr:nvPicPr>
        <xdr:cNvPr id="2" name="Afbeelding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4114800" y="1390650"/>
          <a:ext cx="5046593" cy="1538463"/>
        </a:xfrm>
        <a:prstGeom prst="rect">
          <a:avLst/>
        </a:prstGeom>
      </xdr:spPr>
    </xdr:pic>
    <xdr:clientData/>
  </xdr:twoCellAnchor>
  <xdr:twoCellAnchor editAs="oneCell">
    <xdr:from>
      <xdr:col>16</xdr:col>
      <xdr:colOff>0</xdr:colOff>
      <xdr:row>266</xdr:row>
      <xdr:rowOff>19050</xdr:rowOff>
    </xdr:from>
    <xdr:to>
      <xdr:col>25</xdr:col>
      <xdr:colOff>38964</xdr:colOff>
      <xdr:row>275</xdr:row>
      <xdr:rowOff>201</xdr:rowOff>
    </xdr:to>
    <xdr:pic>
      <xdr:nvPicPr>
        <xdr:cNvPr id="3" name="Afbeelding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13354050" y="43691175"/>
          <a:ext cx="6192114" cy="14384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9525</xdr:colOff>
      <xdr:row>6</xdr:row>
      <xdr:rowOff>57151</xdr:rowOff>
    </xdr:from>
    <xdr:to>
      <xdr:col>13</xdr:col>
      <xdr:colOff>589606</xdr:colOff>
      <xdr:row>14</xdr:row>
      <xdr:rowOff>132357</xdr:rowOff>
    </xdr:to>
    <xdr:pic>
      <xdr:nvPicPr>
        <xdr:cNvPr id="2" name="Afbeelding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3876675" y="1028701"/>
          <a:ext cx="7624771" cy="137822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8</xdr:col>
      <xdr:colOff>684558</xdr:colOff>
      <xdr:row>20</xdr:row>
      <xdr:rowOff>60087</xdr:rowOff>
    </xdr:to>
    <xdr:pic>
      <xdr:nvPicPr>
        <xdr:cNvPr id="2" name="Afbeelding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3867150" y="1295400"/>
          <a:ext cx="3694458" cy="20031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0</xdr:colOff>
      <xdr:row>8</xdr:row>
      <xdr:rowOff>1</xdr:rowOff>
    </xdr:from>
    <xdr:to>
      <xdr:col>12</xdr:col>
      <xdr:colOff>476581</xdr:colOff>
      <xdr:row>20</xdr:row>
      <xdr:rowOff>19051</xdr:rowOff>
    </xdr:to>
    <xdr:pic>
      <xdr:nvPicPr>
        <xdr:cNvPr id="2" name="Afbeelding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2476500" y="1295401"/>
          <a:ext cx="6846901" cy="19621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398145</xdr:colOff>
      <xdr:row>7</xdr:row>
      <xdr:rowOff>142875</xdr:rowOff>
    </xdr:from>
    <xdr:to>
      <xdr:col>13</xdr:col>
      <xdr:colOff>627834</xdr:colOff>
      <xdr:row>17</xdr:row>
      <xdr:rowOff>133350</xdr:rowOff>
    </xdr:to>
    <xdr:pic>
      <xdr:nvPicPr>
        <xdr:cNvPr id="2" name="Afbeelding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2284095" y="1276350"/>
          <a:ext cx="8042094" cy="16097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514351</xdr:colOff>
      <xdr:row>7</xdr:row>
      <xdr:rowOff>142876</xdr:rowOff>
    </xdr:from>
    <xdr:to>
      <xdr:col>13</xdr:col>
      <xdr:colOff>512100</xdr:colOff>
      <xdr:row>24</xdr:row>
      <xdr:rowOff>76201</xdr:rowOff>
    </xdr:to>
    <xdr:pic>
      <xdr:nvPicPr>
        <xdr:cNvPr id="2" name="Afbeelding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2343151" y="1276351"/>
          <a:ext cx="7878734" cy="2686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533400</xdr:colOff>
      <xdr:row>2</xdr:row>
      <xdr:rowOff>111248</xdr:rowOff>
    </xdr:from>
    <xdr:to>
      <xdr:col>12</xdr:col>
      <xdr:colOff>438150</xdr:colOff>
      <xdr:row>14</xdr:row>
      <xdr:rowOff>136874</xdr:rowOff>
    </xdr:to>
    <xdr:pic>
      <xdr:nvPicPr>
        <xdr:cNvPr id="2" name="Afbeelding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3009900" y="435098"/>
          <a:ext cx="6143625" cy="19744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495300</xdr:colOff>
      <xdr:row>8</xdr:row>
      <xdr:rowOff>18033</xdr:rowOff>
    </xdr:from>
    <xdr:to>
      <xdr:col>12</xdr:col>
      <xdr:colOff>474345</xdr:colOff>
      <xdr:row>16</xdr:row>
      <xdr:rowOff>91440</xdr:rowOff>
    </xdr:to>
    <xdr:pic>
      <xdr:nvPicPr>
        <xdr:cNvPr id="2" name="Afbeelding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2324100" y="1313433"/>
          <a:ext cx="7019925" cy="13630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48684</xdr:colOff>
      <xdr:row>7</xdr:row>
      <xdr:rowOff>52917</xdr:rowOff>
    </xdr:from>
    <xdr:to>
      <xdr:col>13</xdr:col>
      <xdr:colOff>594297</xdr:colOff>
      <xdr:row>21</xdr:row>
      <xdr:rowOff>92922</xdr:rowOff>
    </xdr:to>
    <xdr:pic>
      <xdr:nvPicPr>
        <xdr:cNvPr id="2" name="Afbeelding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3611034" y="1186392"/>
          <a:ext cx="7571253" cy="2314575"/>
        </a:xfrm>
        <a:prstGeom prst="rect">
          <a:avLst/>
        </a:prstGeom>
      </xdr:spPr>
    </xdr:pic>
    <xdr:clientData/>
  </xdr:twoCellAnchor>
  <xdr:twoCellAnchor editAs="oneCell">
    <xdr:from>
      <xdr:col>16</xdr:col>
      <xdr:colOff>0</xdr:colOff>
      <xdr:row>114</xdr:row>
      <xdr:rowOff>0</xdr:rowOff>
    </xdr:from>
    <xdr:to>
      <xdr:col>18</xdr:col>
      <xdr:colOff>630555</xdr:colOff>
      <xdr:row>141</xdr:row>
      <xdr:rowOff>53340</xdr:rowOff>
    </xdr:to>
    <xdr:pic>
      <xdr:nvPicPr>
        <xdr:cNvPr id="5" name="Afbeelding 4">
          <a:extLst>
            <a:ext uri="{FF2B5EF4-FFF2-40B4-BE49-F238E27FC236}">
              <a16:creationId xmlns:a16="http://schemas.microsoft.com/office/drawing/2014/main" id="{A1437DC8-533D-9F2D-F611-72CB9C9FDF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06300" y="18242280"/>
          <a:ext cx="4975860" cy="43815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647699</xdr:colOff>
      <xdr:row>7</xdr:row>
      <xdr:rowOff>104775</xdr:rowOff>
    </xdr:from>
    <xdr:to>
      <xdr:col>10</xdr:col>
      <xdr:colOff>744222</xdr:colOff>
      <xdr:row>28</xdr:row>
      <xdr:rowOff>152400</xdr:rowOff>
    </xdr:to>
    <xdr:pic>
      <xdr:nvPicPr>
        <xdr:cNvPr id="2" name="Afbeelding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3562349" y="1238250"/>
          <a:ext cx="5394328" cy="3448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381000</xdr:colOff>
      <xdr:row>4</xdr:row>
      <xdr:rowOff>123825</xdr:rowOff>
    </xdr:from>
    <xdr:to>
      <xdr:col>12</xdr:col>
      <xdr:colOff>512445</xdr:colOff>
      <xdr:row>35</xdr:row>
      <xdr:rowOff>2738</xdr:rowOff>
    </xdr:to>
    <xdr:pic>
      <xdr:nvPicPr>
        <xdr:cNvPr id="2" name="Afbeelding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3619500" y="771525"/>
          <a:ext cx="6362700" cy="489858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581025</xdr:colOff>
      <xdr:row>8</xdr:row>
      <xdr:rowOff>19051</xdr:rowOff>
    </xdr:from>
    <xdr:to>
      <xdr:col>11</xdr:col>
      <xdr:colOff>112395</xdr:colOff>
      <xdr:row>21</xdr:row>
      <xdr:rowOff>95232</xdr:rowOff>
    </xdr:to>
    <xdr:pic>
      <xdr:nvPicPr>
        <xdr:cNvPr id="2" name="Afbeelding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3962400" y="1314451"/>
          <a:ext cx="5629275" cy="218882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12</xdr:col>
      <xdr:colOff>594116</xdr:colOff>
      <xdr:row>24</xdr:row>
      <xdr:rowOff>133350</xdr:rowOff>
    </xdr:to>
    <xdr:pic>
      <xdr:nvPicPr>
        <xdr:cNvPr id="2" name="Afbeelding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4029075" y="1295400"/>
          <a:ext cx="6985391" cy="27241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137584</xdr:colOff>
      <xdr:row>6</xdr:row>
      <xdr:rowOff>110068</xdr:rowOff>
    </xdr:from>
    <xdr:to>
      <xdr:col>12</xdr:col>
      <xdr:colOff>94712</xdr:colOff>
      <xdr:row>22</xdr:row>
      <xdr:rowOff>131022</xdr:rowOff>
    </xdr:to>
    <xdr:pic>
      <xdr:nvPicPr>
        <xdr:cNvPr id="2" name="Afbeelding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4360334" y="1157818"/>
          <a:ext cx="6196003" cy="254952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186104</xdr:colOff>
      <xdr:row>7</xdr:row>
      <xdr:rowOff>10026</xdr:rowOff>
    </xdr:from>
    <xdr:to>
      <xdr:col>12</xdr:col>
      <xdr:colOff>422909</xdr:colOff>
      <xdr:row>25</xdr:row>
      <xdr:rowOff>97857</xdr:rowOff>
    </xdr:to>
    <xdr:pic>
      <xdr:nvPicPr>
        <xdr:cNvPr id="2" name="Afbeelding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3319829" y="1143501"/>
          <a:ext cx="6473775" cy="299867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0</xdr:colOff>
      <xdr:row>9</xdr:row>
      <xdr:rowOff>0</xdr:rowOff>
    </xdr:from>
    <xdr:to>
      <xdr:col>13</xdr:col>
      <xdr:colOff>1545</xdr:colOff>
      <xdr:row>31</xdr:row>
      <xdr:rowOff>40105</xdr:rowOff>
    </xdr:to>
    <xdr:pic>
      <xdr:nvPicPr>
        <xdr:cNvPr id="2" name="Afbeelding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3133725" y="1457325"/>
          <a:ext cx="7015755" cy="360245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1</xdr:colOff>
      <xdr:row>8</xdr:row>
      <xdr:rowOff>1</xdr:rowOff>
    </xdr:from>
    <xdr:to>
      <xdr:col>11</xdr:col>
      <xdr:colOff>701253</xdr:colOff>
      <xdr:row>19</xdr:row>
      <xdr:rowOff>19340</xdr:rowOff>
    </xdr:to>
    <xdr:pic>
      <xdr:nvPicPr>
        <xdr:cNvPr id="2" name="Afbeelding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2628901" y="1295401"/>
          <a:ext cx="6145742" cy="179289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10</xdr:col>
      <xdr:colOff>321945</xdr:colOff>
      <xdr:row>24</xdr:row>
      <xdr:rowOff>53340</xdr:rowOff>
    </xdr:to>
    <xdr:pic>
      <xdr:nvPicPr>
        <xdr:cNvPr id="2" name="Afbeelding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2628900" y="1295400"/>
          <a:ext cx="4991100" cy="26384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0</xdr:colOff>
      <xdr:row>6</xdr:row>
      <xdr:rowOff>133350</xdr:rowOff>
    </xdr:from>
    <xdr:to>
      <xdr:col>13</xdr:col>
      <xdr:colOff>327210</xdr:colOff>
      <xdr:row>20</xdr:row>
      <xdr:rowOff>76200</xdr:rowOff>
    </xdr:to>
    <xdr:pic>
      <xdr:nvPicPr>
        <xdr:cNvPr id="2" name="Afbeelding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3867150" y="1104900"/>
          <a:ext cx="7354755" cy="22098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0</xdr:colOff>
      <xdr:row>7</xdr:row>
      <xdr:rowOff>0</xdr:rowOff>
    </xdr:from>
    <xdr:to>
      <xdr:col>13</xdr:col>
      <xdr:colOff>361525</xdr:colOff>
      <xdr:row>18</xdr:row>
      <xdr:rowOff>59055</xdr:rowOff>
    </xdr:to>
    <xdr:pic>
      <xdr:nvPicPr>
        <xdr:cNvPr id="2" name="Afbeelding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3952875" y="1133475"/>
          <a:ext cx="7406215" cy="18478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190500</xdr:colOff>
      <xdr:row>7</xdr:row>
      <xdr:rowOff>28575</xdr:rowOff>
    </xdr:from>
    <xdr:to>
      <xdr:col>13</xdr:col>
      <xdr:colOff>30311</xdr:colOff>
      <xdr:row>28</xdr:row>
      <xdr:rowOff>65405</xdr:rowOff>
    </xdr:to>
    <xdr:pic>
      <xdr:nvPicPr>
        <xdr:cNvPr id="2" name="Afbeelding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3562350" y="1162050"/>
          <a:ext cx="7057857" cy="34258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4</xdr:col>
      <xdr:colOff>95251</xdr:colOff>
      <xdr:row>8</xdr:row>
      <xdr:rowOff>9525</xdr:rowOff>
    </xdr:from>
    <xdr:to>
      <xdr:col>12</xdr:col>
      <xdr:colOff>550546</xdr:colOff>
      <xdr:row>19</xdr:row>
      <xdr:rowOff>98272</xdr:rowOff>
    </xdr:to>
    <xdr:pic>
      <xdr:nvPicPr>
        <xdr:cNvPr id="2" name="Afbeelding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4238626" y="1304925"/>
          <a:ext cx="6705600" cy="1873732"/>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13</xdr:col>
      <xdr:colOff>110490</xdr:colOff>
      <xdr:row>17</xdr:row>
      <xdr:rowOff>1605</xdr:rowOff>
    </xdr:to>
    <xdr:pic>
      <xdr:nvPicPr>
        <xdr:cNvPr id="22" name="Afbeelding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3124200" y="1295400"/>
          <a:ext cx="7162800" cy="145321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590550</xdr:colOff>
      <xdr:row>6</xdr:row>
      <xdr:rowOff>38100</xdr:rowOff>
    </xdr:from>
    <xdr:to>
      <xdr:col>11</xdr:col>
      <xdr:colOff>517397</xdr:colOff>
      <xdr:row>16</xdr:row>
      <xdr:rowOff>22658</xdr:rowOff>
    </xdr:to>
    <xdr:pic>
      <xdr:nvPicPr>
        <xdr:cNvPr id="2" name="Afbeelding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3314700" y="1009650"/>
          <a:ext cx="6108572" cy="1609523"/>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762000</xdr:colOff>
      <xdr:row>6</xdr:row>
      <xdr:rowOff>142875</xdr:rowOff>
    </xdr:from>
    <xdr:to>
      <xdr:col>12</xdr:col>
      <xdr:colOff>213026</xdr:colOff>
      <xdr:row>20</xdr:row>
      <xdr:rowOff>155763</xdr:rowOff>
    </xdr:to>
    <xdr:pic>
      <xdr:nvPicPr>
        <xdr:cNvPr id="2" name="Afbeelding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2971800" y="1114425"/>
          <a:ext cx="6438566" cy="2279838"/>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514351</xdr:colOff>
      <xdr:row>20</xdr:row>
      <xdr:rowOff>180975</xdr:rowOff>
    </xdr:from>
    <xdr:to>
      <xdr:col>12</xdr:col>
      <xdr:colOff>250530</xdr:colOff>
      <xdr:row>43</xdr:row>
      <xdr:rowOff>114300</xdr:rowOff>
    </xdr:to>
    <xdr:pic>
      <xdr:nvPicPr>
        <xdr:cNvPr id="2" name="Afbeelding 1">
          <a:extLst>
            <a:ext uri="{FF2B5EF4-FFF2-40B4-BE49-F238E27FC236}">
              <a16:creationId xmlns:a16="http://schemas.microsoft.com/office/drawing/2014/main" id="{7D6CA747-5213-4A3D-8AC3-2D4CE5BB9E92}"/>
            </a:ext>
          </a:extLst>
        </xdr:cNvPr>
        <xdr:cNvPicPr>
          <a:picLocks noChangeAspect="1"/>
        </xdr:cNvPicPr>
      </xdr:nvPicPr>
      <xdr:blipFill>
        <a:blip xmlns:r="http://schemas.openxmlformats.org/officeDocument/2006/relationships" r:embed="rId1"/>
        <a:stretch>
          <a:fillRect/>
        </a:stretch>
      </xdr:blipFill>
      <xdr:spPr>
        <a:xfrm>
          <a:off x="2343151" y="3400425"/>
          <a:ext cx="6565604" cy="3676650"/>
        </a:xfrm>
        <a:prstGeom prst="rect">
          <a:avLst/>
        </a:prstGeom>
      </xdr:spPr>
    </xdr:pic>
    <xdr:clientData/>
  </xdr:twoCellAnchor>
  <xdr:twoCellAnchor editAs="oneCell">
    <xdr:from>
      <xdr:col>4</xdr:col>
      <xdr:colOff>0</xdr:colOff>
      <xdr:row>10</xdr:row>
      <xdr:rowOff>0</xdr:rowOff>
    </xdr:from>
    <xdr:to>
      <xdr:col>12</xdr:col>
      <xdr:colOff>0</xdr:colOff>
      <xdr:row>23</xdr:row>
      <xdr:rowOff>17952</xdr:rowOff>
    </xdr:to>
    <xdr:pic>
      <xdr:nvPicPr>
        <xdr:cNvPr id="3" name="Afbeelding 2">
          <a:extLst>
            <a:ext uri="{FF2B5EF4-FFF2-40B4-BE49-F238E27FC236}">
              <a16:creationId xmlns:a16="http://schemas.microsoft.com/office/drawing/2014/main" id="{F2F0C6E1-B07C-4EC5-9C8F-434432D74F64}"/>
            </a:ext>
          </a:extLst>
        </xdr:cNvPr>
        <xdr:cNvPicPr>
          <a:picLocks noChangeAspect="1"/>
        </xdr:cNvPicPr>
      </xdr:nvPicPr>
      <xdr:blipFill>
        <a:blip xmlns:r="http://schemas.openxmlformats.org/officeDocument/2006/relationships" r:embed="rId2"/>
        <a:stretch>
          <a:fillRect/>
        </a:stretch>
      </xdr:blipFill>
      <xdr:spPr>
        <a:xfrm>
          <a:off x="2476500" y="1619250"/>
          <a:ext cx="6181725" cy="212297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4</xdr:col>
      <xdr:colOff>180975</xdr:colOff>
      <xdr:row>36</xdr:row>
      <xdr:rowOff>66676</xdr:rowOff>
    </xdr:from>
    <xdr:to>
      <xdr:col>11</xdr:col>
      <xdr:colOff>611387</xdr:colOff>
      <xdr:row>46</xdr:row>
      <xdr:rowOff>91441</xdr:rowOff>
    </xdr:to>
    <xdr:pic>
      <xdr:nvPicPr>
        <xdr:cNvPr id="2" name="Afbeelding 1">
          <a:extLst>
            <a:ext uri="{FF2B5EF4-FFF2-40B4-BE49-F238E27FC236}">
              <a16:creationId xmlns:a16="http://schemas.microsoft.com/office/drawing/2014/main" id="{0C159738-59E1-4B3A-90D8-DF80A80E9D23}"/>
            </a:ext>
          </a:extLst>
        </xdr:cNvPr>
        <xdr:cNvPicPr>
          <a:picLocks noChangeAspect="1"/>
        </xdr:cNvPicPr>
      </xdr:nvPicPr>
      <xdr:blipFill>
        <a:blip xmlns:r="http://schemas.openxmlformats.org/officeDocument/2006/relationships" r:embed="rId1"/>
        <a:stretch>
          <a:fillRect/>
        </a:stretch>
      </xdr:blipFill>
      <xdr:spPr>
        <a:xfrm>
          <a:off x="2657475" y="5895976"/>
          <a:ext cx="5831087" cy="1644015"/>
        </a:xfrm>
        <a:prstGeom prst="rect">
          <a:avLst/>
        </a:prstGeom>
      </xdr:spPr>
    </xdr:pic>
    <xdr:clientData/>
  </xdr:twoCellAnchor>
  <xdr:twoCellAnchor editAs="oneCell">
    <xdr:from>
      <xdr:col>4</xdr:col>
      <xdr:colOff>0</xdr:colOff>
      <xdr:row>10</xdr:row>
      <xdr:rowOff>0</xdr:rowOff>
    </xdr:from>
    <xdr:to>
      <xdr:col>12</xdr:col>
      <xdr:colOff>207645</xdr:colOff>
      <xdr:row>41</xdr:row>
      <xdr:rowOff>967</xdr:rowOff>
    </xdr:to>
    <xdr:pic>
      <xdr:nvPicPr>
        <xdr:cNvPr id="3" name="Afbeelding 2">
          <a:extLst>
            <a:ext uri="{FF2B5EF4-FFF2-40B4-BE49-F238E27FC236}">
              <a16:creationId xmlns:a16="http://schemas.microsoft.com/office/drawing/2014/main" id="{F7FC4942-79F3-41D7-94A6-D4073D706695}"/>
            </a:ext>
          </a:extLst>
        </xdr:cNvPr>
        <xdr:cNvPicPr>
          <a:picLocks noChangeAspect="1"/>
        </xdr:cNvPicPr>
      </xdr:nvPicPr>
      <xdr:blipFill>
        <a:blip xmlns:r="http://schemas.openxmlformats.org/officeDocument/2006/relationships" r:embed="rId2"/>
        <a:stretch>
          <a:fillRect/>
        </a:stretch>
      </xdr:blipFill>
      <xdr:spPr>
        <a:xfrm>
          <a:off x="2476500" y="1619250"/>
          <a:ext cx="6389370" cy="502064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4</xdr:col>
      <xdr:colOff>266701</xdr:colOff>
      <xdr:row>8</xdr:row>
      <xdr:rowOff>50801</xdr:rowOff>
    </xdr:from>
    <xdr:to>
      <xdr:col>13</xdr:col>
      <xdr:colOff>133351</xdr:colOff>
      <xdr:row>24</xdr:row>
      <xdr:rowOff>136367</xdr:rowOff>
    </xdr:to>
    <xdr:pic>
      <xdr:nvPicPr>
        <xdr:cNvPr id="2" name="Afbeelding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2743201" y="1346201"/>
          <a:ext cx="6915150" cy="2680176"/>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838200</xdr:colOff>
      <xdr:row>6</xdr:row>
      <xdr:rowOff>152400</xdr:rowOff>
    </xdr:from>
    <xdr:to>
      <xdr:col>11</xdr:col>
      <xdr:colOff>624840</xdr:colOff>
      <xdr:row>30</xdr:row>
      <xdr:rowOff>97155</xdr:rowOff>
    </xdr:to>
    <xdr:pic>
      <xdr:nvPicPr>
        <xdr:cNvPr id="2" name="Afbeelding 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3276600" y="1123950"/>
          <a:ext cx="6162675" cy="38385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4</xdr:col>
      <xdr:colOff>28575</xdr:colOff>
      <xdr:row>9</xdr:row>
      <xdr:rowOff>0</xdr:rowOff>
    </xdr:from>
    <xdr:to>
      <xdr:col>10</xdr:col>
      <xdr:colOff>778342</xdr:colOff>
      <xdr:row>29</xdr:row>
      <xdr:rowOff>55245</xdr:rowOff>
    </xdr:to>
    <xdr:pic>
      <xdr:nvPicPr>
        <xdr:cNvPr id="2" name="Afbeelding 1">
          <a:extLst>
            <a:ext uri="{FF2B5EF4-FFF2-40B4-BE49-F238E27FC236}">
              <a16:creationId xmlns:a16="http://schemas.microsoft.com/office/drawing/2014/main" id="{13173A8A-2839-4307-981A-42EFA981698A}"/>
            </a:ext>
          </a:extLst>
        </xdr:cNvPr>
        <xdr:cNvPicPr>
          <a:picLocks noChangeAspect="1"/>
        </xdr:cNvPicPr>
      </xdr:nvPicPr>
      <xdr:blipFill>
        <a:blip xmlns:r="http://schemas.openxmlformats.org/officeDocument/2006/relationships" r:embed="rId1"/>
        <a:stretch>
          <a:fillRect/>
        </a:stretch>
      </xdr:blipFill>
      <xdr:spPr>
        <a:xfrm>
          <a:off x="2505075" y="1457325"/>
          <a:ext cx="5369392" cy="329374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4</xdr:col>
      <xdr:colOff>0</xdr:colOff>
      <xdr:row>10</xdr:row>
      <xdr:rowOff>0</xdr:rowOff>
    </xdr:from>
    <xdr:to>
      <xdr:col>12</xdr:col>
      <xdr:colOff>95250</xdr:colOff>
      <xdr:row>16</xdr:row>
      <xdr:rowOff>16733</xdr:rowOff>
    </xdr:to>
    <xdr:pic>
      <xdr:nvPicPr>
        <xdr:cNvPr id="2" name="Afbeelding 1">
          <a:extLst>
            <a:ext uri="{FF2B5EF4-FFF2-40B4-BE49-F238E27FC236}">
              <a16:creationId xmlns:a16="http://schemas.microsoft.com/office/drawing/2014/main" id="{5C38E2F9-476F-4DA1-A3A4-C0C7E9912CF2}"/>
            </a:ext>
          </a:extLst>
        </xdr:cNvPr>
        <xdr:cNvPicPr>
          <a:picLocks noChangeAspect="1"/>
        </xdr:cNvPicPr>
      </xdr:nvPicPr>
      <xdr:blipFill>
        <a:blip xmlns:r="http://schemas.openxmlformats.org/officeDocument/2006/relationships" r:embed="rId1"/>
        <a:stretch>
          <a:fillRect/>
        </a:stretch>
      </xdr:blipFill>
      <xdr:spPr>
        <a:xfrm>
          <a:off x="2476500" y="1619250"/>
          <a:ext cx="6276975" cy="988283"/>
        </a:xfrm>
        <a:prstGeom prst="rect">
          <a:avLst/>
        </a:prstGeom>
      </xdr:spPr>
    </xdr:pic>
    <xdr:clientData/>
  </xdr:twoCellAnchor>
  <xdr:twoCellAnchor editAs="oneCell">
    <xdr:from>
      <xdr:col>4</xdr:col>
      <xdr:colOff>19050</xdr:colOff>
      <xdr:row>15</xdr:row>
      <xdr:rowOff>114300</xdr:rowOff>
    </xdr:from>
    <xdr:to>
      <xdr:col>11</xdr:col>
      <xdr:colOff>247650</xdr:colOff>
      <xdr:row>18</xdr:row>
      <xdr:rowOff>2384</xdr:rowOff>
    </xdr:to>
    <xdr:pic>
      <xdr:nvPicPr>
        <xdr:cNvPr id="3" name="Afbeelding 2">
          <a:extLst>
            <a:ext uri="{FF2B5EF4-FFF2-40B4-BE49-F238E27FC236}">
              <a16:creationId xmlns:a16="http://schemas.microsoft.com/office/drawing/2014/main" id="{2BAB92F5-2CF4-4488-B890-CED3C3802D6E}"/>
            </a:ext>
          </a:extLst>
        </xdr:cNvPr>
        <xdr:cNvPicPr>
          <a:picLocks noChangeAspect="1"/>
        </xdr:cNvPicPr>
      </xdr:nvPicPr>
      <xdr:blipFill>
        <a:blip xmlns:r="http://schemas.openxmlformats.org/officeDocument/2006/relationships" r:embed="rId2"/>
        <a:stretch>
          <a:fillRect/>
        </a:stretch>
      </xdr:blipFill>
      <xdr:spPr>
        <a:xfrm>
          <a:off x="2495550" y="2543175"/>
          <a:ext cx="5629275" cy="373859"/>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647699</xdr:colOff>
      <xdr:row>9</xdr:row>
      <xdr:rowOff>0</xdr:rowOff>
    </xdr:from>
    <xdr:to>
      <xdr:col>11</xdr:col>
      <xdr:colOff>476907</xdr:colOff>
      <xdr:row>21</xdr:row>
      <xdr:rowOff>129540</xdr:rowOff>
    </xdr:to>
    <xdr:pic>
      <xdr:nvPicPr>
        <xdr:cNvPr id="2" name="Afbeelding 1">
          <a:extLst>
            <a:ext uri="{FF2B5EF4-FFF2-40B4-BE49-F238E27FC236}">
              <a16:creationId xmlns:a16="http://schemas.microsoft.com/office/drawing/2014/main" id="{C0C99A2F-7A0B-4216-B5E1-BF8A2AB0168C}"/>
            </a:ext>
          </a:extLst>
        </xdr:cNvPr>
        <xdr:cNvPicPr>
          <a:picLocks noChangeAspect="1"/>
        </xdr:cNvPicPr>
      </xdr:nvPicPr>
      <xdr:blipFill>
        <a:blip xmlns:r="http://schemas.openxmlformats.org/officeDocument/2006/relationships" r:embed="rId1"/>
        <a:stretch>
          <a:fillRect/>
        </a:stretch>
      </xdr:blipFill>
      <xdr:spPr>
        <a:xfrm>
          <a:off x="2476499" y="1457325"/>
          <a:ext cx="5877583" cy="207264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4</xdr:col>
      <xdr:colOff>9526</xdr:colOff>
      <xdr:row>5</xdr:row>
      <xdr:rowOff>85725</xdr:rowOff>
    </xdr:from>
    <xdr:to>
      <xdr:col>12</xdr:col>
      <xdr:colOff>167641</xdr:colOff>
      <xdr:row>18</xdr:row>
      <xdr:rowOff>132091</xdr:rowOff>
    </xdr:to>
    <xdr:pic>
      <xdr:nvPicPr>
        <xdr:cNvPr id="2" name="Afbeelding 1">
          <a:extLst>
            <a:ext uri="{FF2B5EF4-FFF2-40B4-BE49-F238E27FC236}">
              <a16:creationId xmlns:a16="http://schemas.microsoft.com/office/drawing/2014/main" id="{39BA3843-C89A-48B7-BE80-D57E81BDF7FA}"/>
            </a:ext>
          </a:extLst>
        </xdr:cNvPr>
        <xdr:cNvPicPr>
          <a:picLocks noChangeAspect="1"/>
        </xdr:cNvPicPr>
      </xdr:nvPicPr>
      <xdr:blipFill>
        <a:blip xmlns:r="http://schemas.openxmlformats.org/officeDocument/2006/relationships" r:embed="rId1"/>
        <a:stretch>
          <a:fillRect/>
        </a:stretch>
      </xdr:blipFill>
      <xdr:spPr>
        <a:xfrm>
          <a:off x="2486026" y="895350"/>
          <a:ext cx="6339840" cy="2151391"/>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11</xdr:col>
      <xdr:colOff>762000</xdr:colOff>
      <xdr:row>19</xdr:row>
      <xdr:rowOff>92347</xdr:rowOff>
    </xdr:to>
    <xdr:pic>
      <xdr:nvPicPr>
        <xdr:cNvPr id="2" name="Afbeelding 1">
          <a:extLst>
            <a:ext uri="{FF2B5EF4-FFF2-40B4-BE49-F238E27FC236}">
              <a16:creationId xmlns:a16="http://schemas.microsoft.com/office/drawing/2014/main" id="{E2C95252-D00D-4227-96A8-A1F78528D457}"/>
            </a:ext>
          </a:extLst>
        </xdr:cNvPr>
        <xdr:cNvPicPr>
          <a:picLocks noChangeAspect="1"/>
        </xdr:cNvPicPr>
      </xdr:nvPicPr>
      <xdr:blipFill>
        <a:blip xmlns:r="http://schemas.openxmlformats.org/officeDocument/2006/relationships" r:embed="rId1"/>
        <a:stretch>
          <a:fillRect/>
        </a:stretch>
      </xdr:blipFill>
      <xdr:spPr>
        <a:xfrm>
          <a:off x="2476500" y="971550"/>
          <a:ext cx="6162675" cy="2197372"/>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4</xdr:col>
      <xdr:colOff>0</xdr:colOff>
      <xdr:row>7</xdr:row>
      <xdr:rowOff>1</xdr:rowOff>
    </xdr:from>
    <xdr:to>
      <xdr:col>11</xdr:col>
      <xdr:colOff>360045</xdr:colOff>
      <xdr:row>31</xdr:row>
      <xdr:rowOff>132243</xdr:rowOff>
    </xdr:to>
    <xdr:pic>
      <xdr:nvPicPr>
        <xdr:cNvPr id="2" name="Afbeelding 1">
          <a:extLst>
            <a:ext uri="{FF2B5EF4-FFF2-40B4-BE49-F238E27FC236}">
              <a16:creationId xmlns:a16="http://schemas.microsoft.com/office/drawing/2014/main" id="{CDEC83EA-4761-40D2-B2F7-6B31B0950EB7}"/>
            </a:ext>
          </a:extLst>
        </xdr:cNvPr>
        <xdr:cNvPicPr>
          <a:picLocks noChangeAspect="1"/>
        </xdr:cNvPicPr>
      </xdr:nvPicPr>
      <xdr:blipFill>
        <a:blip xmlns:r="http://schemas.openxmlformats.org/officeDocument/2006/relationships" r:embed="rId1"/>
        <a:stretch>
          <a:fillRect/>
        </a:stretch>
      </xdr:blipFill>
      <xdr:spPr>
        <a:xfrm>
          <a:off x="2628900" y="1133476"/>
          <a:ext cx="5760720" cy="4018442"/>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4</xdr:col>
      <xdr:colOff>0</xdr:colOff>
      <xdr:row>6</xdr:row>
      <xdr:rowOff>57150</xdr:rowOff>
    </xdr:from>
    <xdr:to>
      <xdr:col>11</xdr:col>
      <xdr:colOff>476250</xdr:colOff>
      <xdr:row>33</xdr:row>
      <xdr:rowOff>136427</xdr:rowOff>
    </xdr:to>
    <xdr:pic>
      <xdr:nvPicPr>
        <xdr:cNvPr id="2" name="Afbeelding 1">
          <a:extLst>
            <a:ext uri="{FF2B5EF4-FFF2-40B4-BE49-F238E27FC236}">
              <a16:creationId xmlns:a16="http://schemas.microsoft.com/office/drawing/2014/main" id="{664E8D42-E46B-428B-A56B-FD9041238BBF}"/>
            </a:ext>
          </a:extLst>
        </xdr:cNvPr>
        <xdr:cNvPicPr>
          <a:picLocks noChangeAspect="1"/>
        </xdr:cNvPicPr>
      </xdr:nvPicPr>
      <xdr:blipFill>
        <a:blip xmlns:r="http://schemas.openxmlformats.org/officeDocument/2006/relationships" r:embed="rId1"/>
        <a:stretch>
          <a:fillRect/>
        </a:stretch>
      </xdr:blipFill>
      <xdr:spPr>
        <a:xfrm>
          <a:off x="2628900" y="1028700"/>
          <a:ext cx="5876925" cy="4451252"/>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666751</xdr:colOff>
      <xdr:row>6</xdr:row>
      <xdr:rowOff>31750</xdr:rowOff>
    </xdr:from>
    <xdr:to>
      <xdr:col>11</xdr:col>
      <xdr:colOff>514350</xdr:colOff>
      <xdr:row>24</xdr:row>
      <xdr:rowOff>139432</xdr:rowOff>
    </xdr:to>
    <xdr:pic>
      <xdr:nvPicPr>
        <xdr:cNvPr id="2" name="Afbeelding 1">
          <a:extLst>
            <a:ext uri="{FF2B5EF4-FFF2-40B4-BE49-F238E27FC236}">
              <a16:creationId xmlns:a16="http://schemas.microsoft.com/office/drawing/2014/main" id="{6BA00B10-AA29-4FA6-B66A-E7CDBF6D0EAC}"/>
            </a:ext>
          </a:extLst>
        </xdr:cNvPr>
        <xdr:cNvPicPr>
          <a:picLocks noChangeAspect="1"/>
        </xdr:cNvPicPr>
      </xdr:nvPicPr>
      <xdr:blipFill>
        <a:blip xmlns:r="http://schemas.openxmlformats.org/officeDocument/2006/relationships" r:embed="rId1"/>
        <a:stretch>
          <a:fillRect/>
        </a:stretch>
      </xdr:blipFill>
      <xdr:spPr>
        <a:xfrm>
          <a:off x="2628901" y="1003300"/>
          <a:ext cx="5915024" cy="3022332"/>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11</xdr:col>
      <xdr:colOff>624840</xdr:colOff>
      <xdr:row>9</xdr:row>
      <xdr:rowOff>17026</xdr:rowOff>
    </xdr:to>
    <xdr:pic>
      <xdr:nvPicPr>
        <xdr:cNvPr id="2" name="Afbeelding 1">
          <a:extLst>
            <a:ext uri="{FF2B5EF4-FFF2-40B4-BE49-F238E27FC236}">
              <a16:creationId xmlns:a16="http://schemas.microsoft.com/office/drawing/2014/main" id="{CE0EBC32-A5A3-450E-82E8-9B2ED3B645A3}"/>
            </a:ext>
          </a:extLst>
        </xdr:cNvPr>
        <xdr:cNvPicPr>
          <a:picLocks noChangeAspect="1"/>
        </xdr:cNvPicPr>
      </xdr:nvPicPr>
      <xdr:blipFill>
        <a:blip xmlns:r="http://schemas.openxmlformats.org/officeDocument/2006/relationships" r:embed="rId1"/>
        <a:stretch>
          <a:fillRect/>
        </a:stretch>
      </xdr:blipFill>
      <xdr:spPr>
        <a:xfrm>
          <a:off x="2628900" y="971550"/>
          <a:ext cx="6025515" cy="502801"/>
        </a:xfrm>
        <a:prstGeom prst="rect">
          <a:avLst/>
        </a:prstGeom>
      </xdr:spPr>
    </xdr:pic>
    <xdr:clientData/>
  </xdr:twoCellAnchor>
  <xdr:twoCellAnchor editAs="oneCell">
    <xdr:from>
      <xdr:col>3</xdr:col>
      <xdr:colOff>600075</xdr:colOff>
      <xdr:row>9</xdr:row>
      <xdr:rowOff>19050</xdr:rowOff>
    </xdr:from>
    <xdr:to>
      <xdr:col>11</xdr:col>
      <xdr:colOff>605790</xdr:colOff>
      <xdr:row>23</xdr:row>
      <xdr:rowOff>18226</xdr:rowOff>
    </xdr:to>
    <xdr:pic>
      <xdr:nvPicPr>
        <xdr:cNvPr id="3" name="Afbeelding 2">
          <a:extLst>
            <a:ext uri="{FF2B5EF4-FFF2-40B4-BE49-F238E27FC236}">
              <a16:creationId xmlns:a16="http://schemas.microsoft.com/office/drawing/2014/main" id="{4FDA7199-7151-4427-8724-6725F4A0486F}"/>
            </a:ext>
          </a:extLst>
        </xdr:cNvPr>
        <xdr:cNvPicPr>
          <a:picLocks noChangeAspect="1"/>
        </xdr:cNvPicPr>
      </xdr:nvPicPr>
      <xdr:blipFill>
        <a:blip xmlns:r="http://schemas.openxmlformats.org/officeDocument/2006/relationships" r:embed="rId2"/>
        <a:stretch>
          <a:fillRect/>
        </a:stretch>
      </xdr:blipFill>
      <xdr:spPr>
        <a:xfrm>
          <a:off x="2581275" y="1476375"/>
          <a:ext cx="6054090" cy="2266126"/>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4</xdr:col>
      <xdr:colOff>0</xdr:colOff>
      <xdr:row>10</xdr:row>
      <xdr:rowOff>1</xdr:rowOff>
    </xdr:from>
    <xdr:to>
      <xdr:col>11</xdr:col>
      <xdr:colOff>550545</xdr:colOff>
      <xdr:row>13</xdr:row>
      <xdr:rowOff>56056</xdr:rowOff>
    </xdr:to>
    <xdr:pic>
      <xdr:nvPicPr>
        <xdr:cNvPr id="2" name="Afbeelding 1">
          <a:extLst>
            <a:ext uri="{FF2B5EF4-FFF2-40B4-BE49-F238E27FC236}">
              <a16:creationId xmlns:a16="http://schemas.microsoft.com/office/drawing/2014/main" id="{B9CDE2A4-0805-4B98-851D-CD53C1FE41CF}"/>
            </a:ext>
          </a:extLst>
        </xdr:cNvPr>
        <xdr:cNvPicPr>
          <a:picLocks noChangeAspect="1"/>
        </xdr:cNvPicPr>
      </xdr:nvPicPr>
      <xdr:blipFill>
        <a:blip xmlns:r="http://schemas.openxmlformats.org/officeDocument/2006/relationships" r:embed="rId1"/>
        <a:stretch>
          <a:fillRect/>
        </a:stretch>
      </xdr:blipFill>
      <xdr:spPr>
        <a:xfrm>
          <a:off x="2476500" y="1704976"/>
          <a:ext cx="5951220" cy="54183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4</xdr:col>
      <xdr:colOff>28575</xdr:colOff>
      <xdr:row>10</xdr:row>
      <xdr:rowOff>9525</xdr:rowOff>
    </xdr:from>
    <xdr:to>
      <xdr:col>11</xdr:col>
      <xdr:colOff>529644</xdr:colOff>
      <xdr:row>13</xdr:row>
      <xdr:rowOff>76200</xdr:rowOff>
    </xdr:to>
    <xdr:pic>
      <xdr:nvPicPr>
        <xdr:cNvPr id="2" name="Afbeelding 1">
          <a:extLst>
            <a:ext uri="{FF2B5EF4-FFF2-40B4-BE49-F238E27FC236}">
              <a16:creationId xmlns:a16="http://schemas.microsoft.com/office/drawing/2014/main" id="{961D26B2-5584-4735-813C-98D6AF6D517C}"/>
            </a:ext>
          </a:extLst>
        </xdr:cNvPr>
        <xdr:cNvPicPr>
          <a:picLocks noChangeAspect="1"/>
        </xdr:cNvPicPr>
      </xdr:nvPicPr>
      <xdr:blipFill>
        <a:blip xmlns:r="http://schemas.openxmlformats.org/officeDocument/2006/relationships" r:embed="rId1"/>
        <a:stretch>
          <a:fillRect/>
        </a:stretch>
      </xdr:blipFill>
      <xdr:spPr>
        <a:xfrm>
          <a:off x="2505075" y="1714500"/>
          <a:ext cx="5901744" cy="55245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4</xdr:col>
      <xdr:colOff>85725</xdr:colOff>
      <xdr:row>7</xdr:row>
      <xdr:rowOff>142875</xdr:rowOff>
    </xdr:from>
    <xdr:to>
      <xdr:col>11</xdr:col>
      <xdr:colOff>702945</xdr:colOff>
      <xdr:row>30</xdr:row>
      <xdr:rowOff>98055</xdr:rowOff>
    </xdr:to>
    <xdr:pic>
      <xdr:nvPicPr>
        <xdr:cNvPr id="2" name="Afbeelding 1">
          <a:extLst>
            <a:ext uri="{FF2B5EF4-FFF2-40B4-BE49-F238E27FC236}">
              <a16:creationId xmlns:a16="http://schemas.microsoft.com/office/drawing/2014/main" id="{9786C9C1-F44C-4E1F-BD3C-A64BB2746701}"/>
            </a:ext>
          </a:extLst>
        </xdr:cNvPr>
        <xdr:cNvPicPr>
          <a:picLocks noChangeAspect="1"/>
        </xdr:cNvPicPr>
      </xdr:nvPicPr>
      <xdr:blipFill>
        <a:blip xmlns:r="http://schemas.openxmlformats.org/officeDocument/2006/relationships" r:embed="rId1"/>
        <a:stretch>
          <a:fillRect/>
        </a:stretch>
      </xdr:blipFill>
      <xdr:spPr>
        <a:xfrm>
          <a:off x="2714625" y="1276350"/>
          <a:ext cx="6017895" cy="367945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4</xdr:col>
      <xdr:colOff>57150</xdr:colOff>
      <xdr:row>10</xdr:row>
      <xdr:rowOff>0</xdr:rowOff>
    </xdr:from>
    <xdr:to>
      <xdr:col>11</xdr:col>
      <xdr:colOff>476250</xdr:colOff>
      <xdr:row>27</xdr:row>
      <xdr:rowOff>16739</xdr:rowOff>
    </xdr:to>
    <xdr:pic>
      <xdr:nvPicPr>
        <xdr:cNvPr id="2" name="Afbeelding 1">
          <a:extLst>
            <a:ext uri="{FF2B5EF4-FFF2-40B4-BE49-F238E27FC236}">
              <a16:creationId xmlns:a16="http://schemas.microsoft.com/office/drawing/2014/main" id="{C7A12B43-A701-48E0-9B66-F7275A90C816}"/>
            </a:ext>
          </a:extLst>
        </xdr:cNvPr>
        <xdr:cNvPicPr>
          <a:picLocks noChangeAspect="1"/>
        </xdr:cNvPicPr>
      </xdr:nvPicPr>
      <xdr:blipFill>
        <a:blip xmlns:r="http://schemas.openxmlformats.org/officeDocument/2006/relationships" r:embed="rId1"/>
        <a:stretch>
          <a:fillRect/>
        </a:stretch>
      </xdr:blipFill>
      <xdr:spPr>
        <a:xfrm>
          <a:off x="2686050" y="1619250"/>
          <a:ext cx="5819775" cy="2769464"/>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600075</xdr:colOff>
      <xdr:row>9</xdr:row>
      <xdr:rowOff>85725</xdr:rowOff>
    </xdr:from>
    <xdr:to>
      <xdr:col>11</xdr:col>
      <xdr:colOff>167640</xdr:colOff>
      <xdr:row>22</xdr:row>
      <xdr:rowOff>93550</xdr:rowOff>
    </xdr:to>
    <xdr:pic>
      <xdr:nvPicPr>
        <xdr:cNvPr id="2" name="Afbeelding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2428875" y="1543050"/>
          <a:ext cx="5743575" cy="212047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647699</xdr:colOff>
      <xdr:row>10</xdr:row>
      <xdr:rowOff>0</xdr:rowOff>
    </xdr:from>
    <xdr:to>
      <xdr:col>11</xdr:col>
      <xdr:colOff>631508</xdr:colOff>
      <xdr:row>25</xdr:row>
      <xdr:rowOff>15240</xdr:rowOff>
    </xdr:to>
    <xdr:pic>
      <xdr:nvPicPr>
        <xdr:cNvPr id="2" name="Afbeelding 1">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a:stretch>
          <a:fillRect/>
        </a:stretch>
      </xdr:blipFill>
      <xdr:spPr>
        <a:xfrm>
          <a:off x="2476499" y="1619250"/>
          <a:ext cx="6175059" cy="2438400"/>
        </a:xfrm>
        <a:prstGeom prst="rect">
          <a:avLst/>
        </a:prstGeom>
      </xdr:spPr>
    </xdr:pic>
    <xdr:clientData/>
  </xdr:twoCellAnchor>
  <xdr:twoCellAnchor editAs="oneCell">
    <xdr:from>
      <xdr:col>4</xdr:col>
      <xdr:colOff>190500</xdr:colOff>
      <xdr:row>25</xdr:row>
      <xdr:rowOff>28576</xdr:rowOff>
    </xdr:from>
    <xdr:to>
      <xdr:col>11</xdr:col>
      <xdr:colOff>647701</xdr:colOff>
      <xdr:row>29</xdr:row>
      <xdr:rowOff>101240</xdr:rowOff>
    </xdr:to>
    <xdr:pic>
      <xdr:nvPicPr>
        <xdr:cNvPr id="3" name="Afbeelding 2">
          <a:extLst>
            <a:ext uri="{FF2B5EF4-FFF2-40B4-BE49-F238E27FC236}">
              <a16:creationId xmlns:a16="http://schemas.microsoft.com/office/drawing/2014/main" id="{00000000-0008-0000-3400-000003000000}"/>
            </a:ext>
          </a:extLst>
        </xdr:cNvPr>
        <xdr:cNvPicPr>
          <a:picLocks noChangeAspect="1"/>
        </xdr:cNvPicPr>
      </xdr:nvPicPr>
      <xdr:blipFill>
        <a:blip xmlns:r="http://schemas.openxmlformats.org/officeDocument/2006/relationships" r:embed="rId2"/>
        <a:stretch>
          <a:fillRect/>
        </a:stretch>
      </xdr:blipFill>
      <xdr:spPr>
        <a:xfrm>
          <a:off x="2667000" y="4076701"/>
          <a:ext cx="5991226" cy="727984"/>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3</xdr:col>
      <xdr:colOff>1</xdr:colOff>
      <xdr:row>6</xdr:row>
      <xdr:rowOff>133351</xdr:rowOff>
    </xdr:from>
    <xdr:to>
      <xdr:col>12</xdr:col>
      <xdr:colOff>207589</xdr:colOff>
      <xdr:row>36</xdr:row>
      <xdr:rowOff>0</xdr:rowOff>
    </xdr:to>
    <xdr:pic>
      <xdr:nvPicPr>
        <xdr:cNvPr id="3" name="Afbeelding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a:stretch>
          <a:fillRect/>
        </a:stretch>
      </xdr:blipFill>
      <xdr:spPr>
        <a:xfrm>
          <a:off x="2105026" y="1104901"/>
          <a:ext cx="7259898" cy="4724399"/>
        </a:xfrm>
        <a:prstGeom prst="rect">
          <a:avLst/>
        </a:prstGeom>
      </xdr:spPr>
    </xdr:pic>
    <xdr:clientData/>
  </xdr:twoCellAnchor>
  <xdr:twoCellAnchor editAs="oneCell">
    <xdr:from>
      <xdr:col>15</xdr:col>
      <xdr:colOff>373380</xdr:colOff>
      <xdr:row>195</xdr:row>
      <xdr:rowOff>142875</xdr:rowOff>
    </xdr:from>
    <xdr:to>
      <xdr:col>28</xdr:col>
      <xdr:colOff>685227</xdr:colOff>
      <xdr:row>202</xdr:row>
      <xdr:rowOff>129697</xdr:rowOff>
    </xdr:to>
    <xdr:pic>
      <xdr:nvPicPr>
        <xdr:cNvPr id="2" name="Afbeelding 1">
          <a:extLst>
            <a:ext uri="{FF2B5EF4-FFF2-40B4-BE49-F238E27FC236}">
              <a16:creationId xmlns:a16="http://schemas.microsoft.com/office/drawing/2014/main" id="{8E2794E4-988D-9A35-79D2-93DCB84D271B}"/>
            </a:ext>
          </a:extLst>
        </xdr:cNvPr>
        <xdr:cNvPicPr>
          <a:picLocks noChangeAspect="1"/>
        </xdr:cNvPicPr>
      </xdr:nvPicPr>
      <xdr:blipFill>
        <a:blip xmlns:r="http://schemas.openxmlformats.org/officeDocument/2006/relationships" r:embed="rId2"/>
        <a:stretch>
          <a:fillRect/>
        </a:stretch>
      </xdr:blipFill>
      <xdr:spPr>
        <a:xfrm>
          <a:off x="11936730" y="31718250"/>
          <a:ext cx="9808272" cy="1124107"/>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476250</xdr:colOff>
      <xdr:row>8</xdr:row>
      <xdr:rowOff>0</xdr:rowOff>
    </xdr:from>
    <xdr:to>
      <xdr:col>13</xdr:col>
      <xdr:colOff>705462</xdr:colOff>
      <xdr:row>24</xdr:row>
      <xdr:rowOff>2898</xdr:rowOff>
    </xdr:to>
    <xdr:pic>
      <xdr:nvPicPr>
        <xdr:cNvPr id="2" name="Afbeelding 1">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a:stretch>
          <a:fillRect/>
        </a:stretch>
      </xdr:blipFill>
      <xdr:spPr>
        <a:xfrm>
          <a:off x="2466975" y="1409700"/>
          <a:ext cx="7893027" cy="2597508"/>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644525</xdr:colOff>
      <xdr:row>6</xdr:row>
      <xdr:rowOff>149225</xdr:rowOff>
    </xdr:from>
    <xdr:to>
      <xdr:col>12</xdr:col>
      <xdr:colOff>631583</xdr:colOff>
      <xdr:row>22</xdr:row>
      <xdr:rowOff>79695</xdr:rowOff>
    </xdr:to>
    <xdr:pic>
      <xdr:nvPicPr>
        <xdr:cNvPr id="2" name="Afbeelding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a:stretch>
          <a:fillRect/>
        </a:stretch>
      </xdr:blipFill>
      <xdr:spPr>
        <a:xfrm>
          <a:off x="2530475" y="1120775"/>
          <a:ext cx="6984123" cy="252127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13</xdr:col>
      <xdr:colOff>2384</xdr:colOff>
      <xdr:row>21</xdr:row>
      <xdr:rowOff>18783</xdr:rowOff>
    </xdr:to>
    <xdr:pic>
      <xdr:nvPicPr>
        <xdr:cNvPr id="2" name="Afbeelding 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a:stretch>
          <a:fillRect/>
        </a:stretch>
      </xdr:blipFill>
      <xdr:spPr>
        <a:xfrm>
          <a:off x="3076575" y="1295400"/>
          <a:ext cx="7058504" cy="2133333"/>
        </a:xfrm>
        <a:prstGeom prst="rect">
          <a:avLst/>
        </a:prstGeom>
      </xdr:spPr>
    </xdr:pic>
    <xdr:clientData/>
  </xdr:twoCellAnchor>
  <xdr:twoCellAnchor editAs="oneCell">
    <xdr:from>
      <xdr:col>4</xdr:col>
      <xdr:colOff>352425</xdr:colOff>
      <xdr:row>21</xdr:row>
      <xdr:rowOff>114299</xdr:rowOff>
    </xdr:from>
    <xdr:to>
      <xdr:col>13</xdr:col>
      <xdr:colOff>479771</xdr:colOff>
      <xdr:row>29</xdr:row>
      <xdr:rowOff>76200</xdr:rowOff>
    </xdr:to>
    <xdr:pic>
      <xdr:nvPicPr>
        <xdr:cNvPr id="3" name="Afbeelding 2">
          <a:extLst>
            <a:ext uri="{FF2B5EF4-FFF2-40B4-BE49-F238E27FC236}">
              <a16:creationId xmlns:a16="http://schemas.microsoft.com/office/drawing/2014/main" id="{00000000-0008-0000-3800-000003000000}"/>
            </a:ext>
          </a:extLst>
        </xdr:cNvPr>
        <xdr:cNvPicPr>
          <a:picLocks noChangeAspect="1"/>
        </xdr:cNvPicPr>
      </xdr:nvPicPr>
      <xdr:blipFill>
        <a:blip xmlns:r="http://schemas.openxmlformats.org/officeDocument/2006/relationships" r:embed="rId2"/>
        <a:stretch>
          <a:fillRect/>
        </a:stretch>
      </xdr:blipFill>
      <xdr:spPr>
        <a:xfrm>
          <a:off x="3429000" y="3514724"/>
          <a:ext cx="7162511" cy="1257301"/>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4</xdr:col>
      <xdr:colOff>95250</xdr:colOff>
      <xdr:row>8</xdr:row>
      <xdr:rowOff>38100</xdr:rowOff>
    </xdr:from>
    <xdr:to>
      <xdr:col>10</xdr:col>
      <xdr:colOff>324666</xdr:colOff>
      <xdr:row>18</xdr:row>
      <xdr:rowOff>133294</xdr:rowOff>
    </xdr:to>
    <xdr:pic>
      <xdr:nvPicPr>
        <xdr:cNvPr id="2" name="Afbeelding 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xfrm>
          <a:off x="3543300" y="1333500"/>
          <a:ext cx="4869996" cy="1714444"/>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4</xdr:col>
      <xdr:colOff>31750</xdr:colOff>
      <xdr:row>8</xdr:row>
      <xdr:rowOff>25400</xdr:rowOff>
    </xdr:from>
    <xdr:to>
      <xdr:col>13</xdr:col>
      <xdr:colOff>744978</xdr:colOff>
      <xdr:row>28</xdr:row>
      <xdr:rowOff>55880</xdr:rowOff>
    </xdr:to>
    <xdr:pic>
      <xdr:nvPicPr>
        <xdr:cNvPr id="2" name="Afbeelding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stretch>
          <a:fillRect/>
        </a:stretch>
      </xdr:blipFill>
      <xdr:spPr>
        <a:xfrm>
          <a:off x="2708275" y="1320800"/>
          <a:ext cx="7735058" cy="32766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114301</xdr:colOff>
      <xdr:row>12</xdr:row>
      <xdr:rowOff>104774</xdr:rowOff>
    </xdr:from>
    <xdr:to>
      <xdr:col>13</xdr:col>
      <xdr:colOff>187488</xdr:colOff>
      <xdr:row>22</xdr:row>
      <xdr:rowOff>112395</xdr:rowOff>
    </xdr:to>
    <xdr:pic>
      <xdr:nvPicPr>
        <xdr:cNvPr id="2" name="Afbeelding 1">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a:stretch>
          <a:fillRect/>
        </a:stretch>
      </xdr:blipFill>
      <xdr:spPr>
        <a:xfrm>
          <a:off x="2743201" y="2047874"/>
          <a:ext cx="7940837" cy="1628776"/>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619125</xdr:colOff>
      <xdr:row>8</xdr:row>
      <xdr:rowOff>9525</xdr:rowOff>
    </xdr:from>
    <xdr:to>
      <xdr:col>12</xdr:col>
      <xdr:colOff>94616</xdr:colOff>
      <xdr:row>21</xdr:row>
      <xdr:rowOff>56515</xdr:rowOff>
    </xdr:to>
    <xdr:pic>
      <xdr:nvPicPr>
        <xdr:cNvPr id="2" name="Afbeelding 1">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a:stretch>
          <a:fillRect/>
        </a:stretch>
      </xdr:blipFill>
      <xdr:spPr>
        <a:xfrm>
          <a:off x="2447925" y="1419225"/>
          <a:ext cx="6499226" cy="2155825"/>
        </a:xfrm>
        <a:prstGeom prst="rect">
          <a:avLst/>
        </a:prstGeom>
      </xdr:spPr>
    </xdr:pic>
    <xdr:clientData/>
  </xdr:twoCellAnchor>
  <xdr:twoCellAnchor editAs="oneCell">
    <xdr:from>
      <xdr:col>3</xdr:col>
      <xdr:colOff>617220</xdr:colOff>
      <xdr:row>8</xdr:row>
      <xdr:rowOff>7620</xdr:rowOff>
    </xdr:from>
    <xdr:to>
      <xdr:col>12</xdr:col>
      <xdr:colOff>79376</xdr:colOff>
      <xdr:row>21</xdr:row>
      <xdr:rowOff>56515</xdr:rowOff>
    </xdr:to>
    <xdr:pic>
      <xdr:nvPicPr>
        <xdr:cNvPr id="3" name="Afbeelding 2">
          <a:extLst>
            <a:ext uri="{FF2B5EF4-FFF2-40B4-BE49-F238E27FC236}">
              <a16:creationId xmlns:a16="http://schemas.microsoft.com/office/drawing/2014/main" id="{033649A2-86CF-4D58-91D0-C42989634256}"/>
            </a:ext>
          </a:extLst>
        </xdr:cNvPr>
        <xdr:cNvPicPr>
          <a:picLocks noChangeAspect="1"/>
        </xdr:cNvPicPr>
      </xdr:nvPicPr>
      <xdr:blipFill>
        <a:blip xmlns:r="http://schemas.openxmlformats.org/officeDocument/2006/relationships" r:embed="rId1"/>
        <a:stretch>
          <a:fillRect/>
        </a:stretch>
      </xdr:blipFill>
      <xdr:spPr>
        <a:xfrm>
          <a:off x="2446020" y="1287780"/>
          <a:ext cx="6487796" cy="21367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7%20Persoonlijke%20mappen/John/Taakvelden%202026_.xlsm" TargetMode="External"/><Relationship Id="rId2" Type="http://schemas.openxmlformats.org/officeDocument/2006/relationships/externalLinkPath" Target="https://gembestnl.sharepoint.com/sites/ClusterFinancin/Gedeelde%20documenten/Beleid/07%20Persoonlijke%20mappen/John/Taakvelden%202026_.xlsm" TargetMode="External"/><Relationship Id="rId1" Type="http://schemas.openxmlformats.org/officeDocument/2006/relationships/externalLinkPath" Target="/sites/ClusterFinancin/Gedeelde%20documenten/Beleid/07%20Persoonlijke%20mappen/John/Taakvelden%202026_.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07%20Persoonlijke%20mappen/Emile/Marianne/Kopie%20van%2020260629%2003%20Taakvelden%202027%20n&#225;%20aanpassingen%20SD.xlsx" TargetMode="External"/><Relationship Id="rId2" Type="http://schemas.openxmlformats.org/officeDocument/2006/relationships/externalLinkPath" Target="https://gembestnl.sharepoint.com/sites/ClusterFinancin/Gedeelde%20documenten/Beleid/07%20Persoonlijke%20mappen/Emile/Marianne/Kopie%20van%2020260629%2003%20Taakvelden%202027%20n&#225;%20aanpassingen%20SD.xlsx" TargetMode="External"/><Relationship Id="rId1" Type="http://schemas.openxmlformats.org/officeDocument/2006/relationships/externalLinkPath" Target="/sites/ClusterFinancin/Gedeelde%20documenten/Beleid/07%20Persoonlijke%20mappen/Emile/Marianne/Kopie%20van%2020260629%2003%20Taakvelden%202027%20n&#225;%20aanpassingen%20S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KRvCAgjJFEWRh7urK8K7beX4qOnjMzpJv5c6vngCTusoVbVL6-5tTLuvLJa4rJmf" itemId="01XQHHB5MYPX77MTI3QREYSRF2PU2VUTPB">
      <xxl21:absoluteUrl r:id="rId2"/>
      <xxl21:relativeUrl r:id="rId3"/>
    </xxl21:alternateUrls>
    <sheetNames>
      <sheetName val="Inhoudsopgave"/>
      <sheetName val="Blad3"/>
      <sheetName val="Controle inlees CODA"/>
      <sheetName val="Indexering"/>
      <sheetName val="Verwerkingscontrole"/>
      <sheetName val="Recap"/>
      <sheetName val="T01"/>
      <sheetName val="T02"/>
      <sheetName val="T03"/>
      <sheetName val="T04B"/>
      <sheetName val="T04L"/>
      <sheetName val="T04W"/>
      <sheetName val="T05"/>
      <sheetName val="T061"/>
      <sheetName val="T062"/>
      <sheetName val="T064"/>
      <sheetName val="T07"/>
      <sheetName val="T08"/>
      <sheetName val="T09"/>
      <sheetName val="T010"/>
      <sheetName val="T011"/>
      <sheetName val="T11"/>
      <sheetName val="T12"/>
      <sheetName val="T21"/>
      <sheetName val="T22"/>
      <sheetName val="T25"/>
      <sheetName val="T31"/>
      <sheetName val="T33"/>
      <sheetName val="T34"/>
      <sheetName val="T42"/>
      <sheetName val="T43"/>
      <sheetName val="T51"/>
      <sheetName val="T52"/>
      <sheetName val="T53"/>
      <sheetName val="T54"/>
      <sheetName val="T55"/>
      <sheetName val="T56"/>
      <sheetName val="T57"/>
      <sheetName val="T61"/>
      <sheetName val="Blad1"/>
      <sheetName val="T622"/>
      <sheetName val="T623"/>
      <sheetName val="T63"/>
      <sheetName val="T64"/>
      <sheetName val="T65"/>
      <sheetName val="T660"/>
      <sheetName val="T6711"/>
      <sheetName val="T6712"/>
      <sheetName val="T6713"/>
      <sheetName val="T6714"/>
      <sheetName val="T6752"/>
      <sheetName val="T6762"/>
      <sheetName val="T6821"/>
      <sheetName val="T6822"/>
      <sheetName val="T691"/>
      <sheetName val="T692"/>
      <sheetName val="T71"/>
      <sheetName val="T72"/>
      <sheetName val="T73"/>
      <sheetName val="T74"/>
      <sheetName val="T75"/>
      <sheetName val="Blad2"/>
      <sheetName val="T81"/>
      <sheetName val="T82"/>
      <sheetName val="T83"/>
      <sheetName val="voorziening grexen"/>
      <sheetName val="Taakvelden 2026_"/>
    </sheetNames>
    <definedNames>
      <definedName name="Inlees_COD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houdsopgave"/>
      <sheetName val="Inlees CODA"/>
      <sheetName val="draaitabel inlees CODA"/>
      <sheetName val="draaitabel inlees CODA (2)"/>
      <sheetName val="afschrijvingen"/>
      <sheetName val="controle"/>
      <sheetName val="Details1"/>
      <sheetName val="Inhoudsopgave 2"/>
      <sheetName val="Indexering"/>
      <sheetName val="Verwerkingscontrole"/>
      <sheetName val="Recap"/>
      <sheetName val="T01"/>
      <sheetName val="T02"/>
      <sheetName val="T03"/>
      <sheetName val="T04L"/>
      <sheetName val="T04B"/>
      <sheetName val="T04W"/>
      <sheetName val="T05"/>
      <sheetName val="T061"/>
      <sheetName val="T062"/>
      <sheetName val="T064"/>
      <sheetName val="T07"/>
      <sheetName val="T08"/>
      <sheetName val="T09"/>
      <sheetName val="T010"/>
      <sheetName val="T011"/>
      <sheetName val="T11"/>
      <sheetName val="T12"/>
      <sheetName val="T21"/>
      <sheetName val="T22"/>
      <sheetName val="T25"/>
      <sheetName val="T31"/>
      <sheetName val="T33"/>
      <sheetName val="T34"/>
      <sheetName val="T42"/>
      <sheetName val="T43"/>
      <sheetName val="T51"/>
      <sheetName val="T52"/>
      <sheetName val="T53"/>
      <sheetName val="T54"/>
      <sheetName val="T55"/>
      <sheetName val="T56"/>
      <sheetName val="T57"/>
      <sheetName val="T61"/>
      <sheetName val="Blad1"/>
      <sheetName val="T622"/>
      <sheetName val="T623"/>
      <sheetName val="T63"/>
      <sheetName val="T64"/>
      <sheetName val="T65"/>
      <sheetName val="T660"/>
      <sheetName val="T6711"/>
      <sheetName val="T6712"/>
      <sheetName val="T6713"/>
      <sheetName val="T6714"/>
      <sheetName val="T6751"/>
      <sheetName val="T6752"/>
      <sheetName val="T6753"/>
      <sheetName val="T6761"/>
      <sheetName val="T6762"/>
      <sheetName val="T6791"/>
      <sheetName val="T6792"/>
      <sheetName val="T6811"/>
      <sheetName val="T6821"/>
      <sheetName val="T6822"/>
      <sheetName val="T691"/>
      <sheetName val="T692"/>
      <sheetName val="T71"/>
      <sheetName val="T72"/>
      <sheetName val="T73"/>
      <sheetName val="T74"/>
      <sheetName val="T75"/>
      <sheetName val="Blad2"/>
      <sheetName val="T81"/>
      <sheetName val="T82"/>
      <sheetName val="T83"/>
    </sheetNames>
    <sheetDataSet>
      <sheetData sheetId="0"/>
      <sheetData sheetId="1"/>
      <sheetData sheetId="2"/>
      <sheetData sheetId="3"/>
      <sheetData sheetId="4"/>
      <sheetData sheetId="5"/>
      <sheetData sheetId="6"/>
      <sheetData sheetId="7"/>
      <sheetData sheetId="8">
        <row r="4">
          <cell r="G4">
            <v>1.0369999999999999</v>
          </cell>
          <cell r="H4">
            <v>1.028</v>
          </cell>
          <cell r="I4">
            <v>1.026</v>
          </cell>
          <cell r="J4">
            <v>1.0209999999999999</v>
          </cell>
          <cell r="K4">
            <v>1.0229999999999999</v>
          </cell>
          <cell r="L4">
            <v>1.0229999999999999</v>
          </cell>
          <cell r="M4">
            <v>1.0229999999999999</v>
          </cell>
        </row>
        <row r="5">
          <cell r="G5">
            <v>1.052</v>
          </cell>
          <cell r="H5">
            <v>1.0489999999999999</v>
          </cell>
          <cell r="I5">
            <v>1.02</v>
          </cell>
          <cell r="J5">
            <v>1.042</v>
          </cell>
          <cell r="K5">
            <v>1.0369999999999999</v>
          </cell>
          <cell r="L5">
            <v>1.0369999999999999</v>
          </cell>
          <cell r="M5">
            <v>1.0369999999999999</v>
          </cell>
        </row>
        <row r="6">
          <cell r="G6">
            <v>1.0445</v>
          </cell>
          <cell r="H6">
            <v>1.036</v>
          </cell>
          <cell r="I6">
            <v>1.0228200000000001</v>
          </cell>
          <cell r="J6">
            <v>1.03213</v>
          </cell>
          <cell r="K6">
            <v>1.0304199999999999</v>
          </cell>
          <cell r="L6">
            <v>1.0304199999999999</v>
          </cell>
          <cell r="M6">
            <v>1.0304199999999999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le Heinen" refreshedDate="45881.576341435182" createdVersion="8" refreshedVersion="8" minRefreshableVersion="3" recordCount="1313" xr:uid="{762D95F4-06ED-439A-8A95-5C746935C4BB}">
  <cacheSource type="worksheet">
    <worksheetSource ref="A1:J1312" sheet="Inlees CODA"/>
  </cacheSource>
  <cacheFields count="10">
    <cacheField name="Element 2" numFmtId="0">
      <sharedItems containsMixedTypes="1" containsNumber="1" containsInteger="1" minValue="601001" maxValue="696001" count="512">
        <n v="601001"/>
        <n v="601002"/>
        <n v="601003"/>
        <n v="601004"/>
        <n v="601005"/>
        <n v="601901"/>
        <n v="601007"/>
        <n v="601008"/>
        <n v="601011"/>
        <n v="601010"/>
        <n v="601012"/>
        <n v="601013"/>
        <n v="601014"/>
        <n v="601015"/>
        <n v="601016"/>
        <n v="601017"/>
        <n v="601018"/>
        <n v="601020"/>
        <n v="601902"/>
        <n v="602001"/>
        <n v="602901"/>
        <n v="602002"/>
        <n v="602902"/>
        <n v="602003"/>
        <n v="602903"/>
        <n v="602904"/>
        <n v="602005"/>
        <n v="602905"/>
        <n v="602006"/>
        <n v="602907"/>
        <n v="602007"/>
        <n v="602906"/>
        <n v="602004"/>
        <n v="603001"/>
        <n v="603002"/>
        <n v="603003"/>
        <n v="603004"/>
        <n v="603005"/>
        <n v="603007"/>
        <n v="603008"/>
        <n v="603009"/>
        <n v="603010"/>
        <n v="603013"/>
        <n v="603014"/>
        <n v="603015"/>
        <n v="603017"/>
        <n v="603901"/>
        <n v="603006"/>
        <n v="604006"/>
        <n v="604007"/>
        <n v="604008"/>
        <n v="604009"/>
        <n v="604010"/>
        <n v="604011"/>
        <n v="604012"/>
        <n v="604023"/>
        <n v="604013"/>
        <n v="604014"/>
        <n v="604015"/>
        <n v="604016"/>
        <n v="604017"/>
        <n v="604018"/>
        <n v="604019"/>
        <n v="604021"/>
        <n v="604022"/>
        <n v="604060"/>
        <n v="604901"/>
        <n v="604001"/>
        <n v="604002"/>
        <n v="604004"/>
        <n v="604003"/>
        <n v="604058"/>
        <n v="604027"/>
        <n v="604028"/>
        <n v="604029"/>
        <n v="604030"/>
        <n v="604031"/>
        <n v="604032"/>
        <n v="604033"/>
        <n v="604034"/>
        <n v="604035"/>
        <n v="604036"/>
        <n v="604038"/>
        <n v="604056"/>
        <n v="604061"/>
        <n v="604057"/>
        <n v="604062"/>
        <n v="604043"/>
        <n v="604045"/>
        <n v="604046"/>
        <n v="604048"/>
        <n v="604902"/>
        <n v="605001"/>
        <n v="605002"/>
        <n v="605003"/>
        <n v="605901"/>
        <n v="606002"/>
        <n v="606003"/>
        <n v="606901"/>
        <n v="606001"/>
        <n v="607901"/>
        <n v="607001"/>
        <n v="607002"/>
        <n v="609901"/>
        <n v="609001"/>
        <n v="609003"/>
        <n v="609002"/>
        <n v="610001"/>
        <n v="611002"/>
        <n v="611004"/>
        <n v="611005"/>
        <n v="611009"/>
        <n v="611006"/>
        <n v="611007"/>
        <n v="611001"/>
        <n v="611011"/>
        <n v="624002"/>
        <n v="611901"/>
        <n v="612001"/>
        <n v="613001"/>
        <n v="613003"/>
        <n v="613004"/>
        <n v="613005"/>
        <n v="613013"/>
        <n v="613015"/>
        <n v="613016"/>
        <n v="613017"/>
        <n v="613018"/>
        <n v="613022"/>
        <n v="613027"/>
        <n v="613028"/>
        <n v="613030"/>
        <n v="613031"/>
        <n v="613034"/>
        <n v="613035"/>
        <n v="613036"/>
        <n v="613037"/>
        <n v="613038"/>
        <n v="613040"/>
        <n v="613041"/>
        <n v="613048"/>
        <n v="613049"/>
        <n v="613051"/>
        <n v="613052"/>
        <n v="613053"/>
        <n v="614001"/>
        <n v="615001"/>
        <n v="615002"/>
        <n v="615003"/>
        <n v="615004"/>
        <n v="615901"/>
        <n v="616001"/>
        <n v="616002"/>
        <n v="616003"/>
        <n v="616004"/>
        <n v="616005"/>
        <n v="616006"/>
        <n v="616007"/>
        <n v="616903"/>
        <n v="616013"/>
        <n v="616008"/>
        <n v="616016"/>
        <n v="616009"/>
        <n v="616901"/>
        <n v="616902"/>
        <n v="616015"/>
        <n v="616012"/>
        <n v="616010"/>
        <n v="616011"/>
        <n v="617001"/>
        <n v="617002"/>
        <n v="617003"/>
        <n v="617004"/>
        <n v="617005"/>
        <n v="617007"/>
        <n v="617008"/>
        <n v="617009"/>
        <n v="617010"/>
        <n v="617011"/>
        <n v="617014"/>
        <n v="617015"/>
        <n v="617016"/>
        <n v="617017"/>
        <n v="617020"/>
        <n v="617018"/>
        <n v="617021"/>
        <n v="617023"/>
        <n v="617901"/>
        <n v="617902"/>
        <n v="617903"/>
        <n v="618001"/>
        <n v="618901"/>
        <n v="621001"/>
        <n v="621002"/>
        <n v="621901"/>
        <n v="622001"/>
        <n v="622003"/>
        <n v="622004"/>
        <n v="622005"/>
        <n v="622006"/>
        <n v="622009"/>
        <n v="622012"/>
        <n v="622013"/>
        <n v="622015"/>
        <n v="622008"/>
        <n v="622901"/>
        <n v="622902"/>
        <n v="624001"/>
        <n v="624003"/>
        <n v="624901"/>
        <n v="625001"/>
        <n v="625901"/>
        <n v="625902"/>
        <n v="625002"/>
        <n v="625003"/>
        <n v="627001"/>
        <n v="627002"/>
        <n v="627003"/>
        <n v="627004"/>
        <n v="627006"/>
        <n v="627007"/>
        <n v="627008"/>
        <n v="627009"/>
        <n v="627011"/>
        <n v="627012"/>
        <n v="627013"/>
        <n v="627014"/>
        <n v="627015"/>
        <n v="627016"/>
        <n v="627017"/>
        <n v="627018"/>
        <n v="627019"/>
        <n v="627901"/>
        <n v="628001"/>
        <n v="628002"/>
        <n v="628004"/>
        <n v="628007"/>
        <n v="628005"/>
        <n v="628008"/>
        <n v="628901"/>
        <n v="628003"/>
        <n v="629001"/>
        <n v="629002"/>
        <n v="629004"/>
        <n v="629005"/>
        <n v="629901"/>
        <n v="630001"/>
        <n v="630005"/>
        <n v="630002"/>
        <n v="630003"/>
        <n v="630006"/>
        <n v="630007"/>
        <n v="630011"/>
        <n v="630008"/>
        <n v="630009"/>
        <n v="630010"/>
        <n v="630012"/>
        <n v="630004"/>
        <n v="630013"/>
        <n v="630015"/>
        <n v="630016"/>
        <n v="630017"/>
        <n v="630018"/>
        <n v="630019"/>
        <n v="630026"/>
        <n v="630020"/>
        <n v="630022"/>
        <n v="630023"/>
        <n v="630024"/>
        <n v="630901"/>
        <n v="631001"/>
        <n v="631002"/>
        <n v="631004"/>
        <n v="631005"/>
        <n v="631006"/>
        <n v="631007"/>
        <n v="631009"/>
        <n v="631010"/>
        <n v="631011"/>
        <n v="631013"/>
        <n v="631901"/>
        <n v="632001"/>
        <n v="633001"/>
        <n v="633002"/>
        <n v="633003"/>
        <n v="633901"/>
        <n v="634001"/>
        <n v="634901"/>
        <n v="635001"/>
        <n v="635002"/>
        <n v="635003"/>
        <n v="635005"/>
        <n v="635009"/>
        <n v="635010"/>
        <n v="635011"/>
        <n v="635012"/>
        <n v="635013"/>
        <n v="635014"/>
        <s v="635016"/>
        <n v="635901"/>
        <n v="635004"/>
        <n v="635006"/>
        <n v="635007"/>
        <n v="635008"/>
        <n v="636012"/>
        <n v="636013"/>
        <n v="636015"/>
        <n v="636016"/>
        <n v="636018"/>
        <n v="636019"/>
        <n v="636020"/>
        <n v="636024"/>
        <n v="636025"/>
        <n v="636026"/>
        <n v="636021"/>
        <n v="636022"/>
        <n v="636001"/>
        <n v="636002"/>
        <n v="636003"/>
        <n v="636004"/>
        <n v="636901"/>
        <n v="636005"/>
        <n v="636006"/>
        <n v="636007"/>
        <n v="636008"/>
        <n v="636009"/>
        <n v="636010"/>
        <n v="636011"/>
        <n v="636023"/>
        <n v="636027"/>
        <n v="636028"/>
        <n v="636036"/>
        <n v="636037"/>
        <n v="636038"/>
        <n v="636039"/>
        <n v="636040"/>
        <n v="636044"/>
        <n v="636045"/>
        <n v="636046"/>
        <n v="676001"/>
        <n v="676002"/>
        <n v="676003"/>
        <n v="676004"/>
        <n v="676901"/>
        <n v="677001"/>
        <n v="677002"/>
        <n v="677901"/>
        <n v="638002"/>
        <n v="638004"/>
        <n v="638005"/>
        <n v="638003"/>
        <n v="638901"/>
        <n v="638011"/>
        <n v="638012"/>
        <n v="638013"/>
        <n v="638015"/>
        <n v="638016"/>
        <n v="638017"/>
        <n v="638009"/>
        <n v="638020"/>
        <n v="638021"/>
        <n v="638022"/>
        <n v="638023"/>
        <n v="638024"/>
        <n v="638025"/>
        <n v="638026"/>
        <n v="638028"/>
        <n v="638029"/>
        <n v="638027"/>
        <n v="638030"/>
        <n v="638001"/>
        <n v="638006"/>
        <n v="638007"/>
        <n v="638008"/>
        <n v="638014"/>
        <n v="639001"/>
        <n v="640001"/>
        <n v="640003"/>
        <n v="640901"/>
        <n v="640006"/>
        <n v="678001"/>
        <n v="678002"/>
        <n v="678003"/>
        <n v="678004"/>
        <n v="678005"/>
        <n v="678006"/>
        <n v="678007"/>
        <n v="678008"/>
        <n v="678009"/>
        <n v="678010"/>
        <n v="678011"/>
        <n v="678901"/>
        <n v="679001"/>
        <n v="679002"/>
        <n v="680001"/>
        <n v="680901"/>
        <n v="680002"/>
        <n v="681001"/>
        <n v="681002"/>
        <n v="682001"/>
        <n v="688001"/>
        <n v="688002"/>
        <n v="688003"/>
        <n v="688004"/>
        <n v="688005"/>
        <n v="688901"/>
        <n v="691001"/>
        <n v="691002"/>
        <n v="691003"/>
        <n v="691004"/>
        <n v="691005"/>
        <n v="691006"/>
        <n v="683001"/>
        <n v="693001"/>
        <n v="695001"/>
        <n v="696001"/>
        <n v="684901"/>
        <n v="694901"/>
        <n v="646001"/>
        <n v="646002"/>
        <n v="646003"/>
        <n v="646901"/>
        <n v="646004"/>
        <n v="646008"/>
        <n v="646009"/>
        <n v="646010"/>
        <n v="646011"/>
        <n v="646012"/>
        <n v="646013"/>
        <n v="646014"/>
        <n v="646015"/>
        <n v="647007"/>
        <n v="647001"/>
        <n v="647002"/>
        <n v="647003"/>
        <n v="647004"/>
        <n v="647005"/>
        <n v="647006"/>
        <n v="647008"/>
        <n v="647901"/>
        <n v="648006"/>
        <n v="648005"/>
        <n v="648001"/>
        <n v="648002"/>
        <n v="648004"/>
        <n v="648901"/>
        <n v="648003"/>
        <n v="649001"/>
        <n v="649002"/>
        <n v="649003"/>
        <n v="649005"/>
        <n v="649006"/>
        <n v="649013"/>
        <n v="649014"/>
        <n v="649018"/>
        <n v="649019"/>
        <n v="649020"/>
        <n v="649024"/>
        <n v="649007"/>
        <n v="649010"/>
        <n v="649011"/>
        <n v="649012"/>
        <n v="649902"/>
        <n v="649901"/>
        <n v="649015"/>
        <n v="649008"/>
        <n v="649009"/>
        <s v="649024"/>
        <n v="650001"/>
        <n v="650901"/>
        <n v="651001"/>
        <n v="651002"/>
        <n v="651003"/>
        <n v="651004"/>
        <n v="651005"/>
        <n v="651007"/>
        <n v="651008"/>
        <n v="651012"/>
        <s v="651015"/>
        <n v="651901"/>
        <n v="651902"/>
        <n v="651903"/>
        <n v="651006"/>
        <n v="652008"/>
        <n v="652012"/>
        <n v="652034"/>
        <n v="652035"/>
        <n v="652022"/>
        <n v="652023"/>
        <n v="652031"/>
        <n v="652030"/>
        <n v="652901"/>
        <n v="652902"/>
        <n v="652025"/>
        <n v="652026"/>
        <n v="652027"/>
        <n v="653001"/>
        <n v="653002"/>
        <n v="653006"/>
        <n v="653007"/>
        <n v="653008"/>
        <n v="653012"/>
        <n v="653013"/>
        <n v="653014"/>
        <n v="653003"/>
        <n v="653004"/>
        <n v="653009"/>
        <n v="653010"/>
        <n v="653011"/>
        <n v="653901"/>
        <n v="653902"/>
        <n v="653005"/>
      </sharedItems>
    </cacheField>
    <cacheField name="Element 3" numFmtId="0">
      <sharedItems containsMixedTypes="1" containsNumber="1" containsInteger="1" minValue="41000" maxValue="87100" count="69">
        <n v="43819"/>
        <n v="43812"/>
        <n v="41000"/>
        <n v="41101"/>
        <n v="43806"/>
        <n v="43818"/>
        <n v="44380"/>
        <n v="83800"/>
        <n v="44330"/>
        <n v="44360"/>
        <n v="41100"/>
        <n v="47300"/>
        <n v="44310"/>
        <n v="43511"/>
        <n v="43805"/>
        <n v="83700"/>
        <n v="42100"/>
        <n v="47201"/>
        <n v="43801"/>
        <n v="43802"/>
        <n v="43817"/>
        <n v="43100"/>
        <n v="43813"/>
        <n v="83300"/>
        <n v="83600"/>
        <n v="83100"/>
        <n v="43201"/>
        <n v="47501"/>
        <n v="41104"/>
        <n v="43807"/>
        <n v="43808"/>
        <n v="43809"/>
        <n v="47200"/>
        <n v="83520"/>
        <n v="43803"/>
        <n v="43814"/>
        <n v="85200"/>
        <n v="84480"/>
        <n v="85100"/>
        <n v="45100"/>
        <n v="47400"/>
        <n v="82210"/>
        <n v="84310"/>
        <n v="44390"/>
        <n v="84510"/>
        <n v="84580"/>
        <n v="87100"/>
        <n v="47100"/>
        <n v="44320"/>
        <n v="43200"/>
        <n v="84380"/>
        <n v="84340"/>
        <n v="84330"/>
        <n v="84390"/>
        <n v="44340"/>
        <n v="43301"/>
        <n v="43410"/>
        <n v="84320"/>
        <n v="83420"/>
        <n v="84360"/>
        <n v="44110"/>
        <n v="44680"/>
        <n v="84120"/>
        <s v="Over naar T691 grootboek 684901"/>
        <n v="44510"/>
        <n v="82220"/>
        <n v="43815"/>
        <n v="43816"/>
        <n v="43804"/>
      </sharedItems>
    </cacheField>
    <cacheField name="Element 4" numFmtId="0">
      <sharedItems containsNonDate="0" containsString="0" containsBlank="1" count="1">
        <m/>
      </sharedItems>
    </cacheField>
    <cacheField name="Element 5" numFmtId="0">
      <sharedItems containsNonDate="0" containsString="0" containsBlank="1" count="1">
        <m/>
      </sharedItems>
    </cacheField>
    <cacheField name="2025" numFmtId="3">
      <sharedItems containsString="0" containsBlank="1" containsNumber="1" minValue="-59665457" maxValue="9206076.1600000001"/>
    </cacheField>
    <cacheField name="2026" numFmtId="3">
      <sharedItems containsString="0" containsBlank="1" containsNumber="1" minValue="-63264435" maxValue="9058262.0099999979"/>
    </cacheField>
    <cacheField name="2027" numFmtId="3">
      <sharedItems containsString="0" containsBlank="1" containsNumber="1" minValue="-65440609" maxValue="9640142"/>
    </cacheField>
    <cacheField name="2028" numFmtId="3">
      <sharedItems containsString="0" containsBlank="1" containsNumber="1" minValue="-66133443" maxValue="9929614"/>
    </cacheField>
    <cacheField name="2029" numFmtId="3">
      <sharedItems containsString="0" containsBlank="1" containsNumber="1" minValue="-68978504" maxValue="10395576"/>
    </cacheField>
    <cacheField name="Taakveld" numFmtId="0">
      <sharedItems count="59">
        <s v="T01"/>
        <s v="T02"/>
        <s v="T03"/>
        <s v="T04B"/>
        <s v="T04L"/>
        <s v="T04W"/>
        <s v="T05"/>
        <s v="T061"/>
        <s v="T062"/>
        <s v="T064"/>
        <s v="T07"/>
        <s v="T08"/>
        <s v="T09"/>
        <s v="T010"/>
        <s v="T011"/>
        <s v="T11"/>
        <s v="T12"/>
        <s v="T21"/>
        <s v="T22"/>
        <s v="T25"/>
        <s v="T31"/>
        <s v="T33"/>
        <s v="T34"/>
        <s v="T42"/>
        <s v="T43"/>
        <s v="T51"/>
        <s v="T52"/>
        <s v="T53"/>
        <s v="T54"/>
        <s v="T55"/>
        <s v="T56"/>
        <s v="T57"/>
        <s v="T61"/>
        <s v="T622"/>
        <s v="T623"/>
        <s v="T63"/>
        <s v="T64"/>
        <s v="T65"/>
        <s v="T660"/>
        <s v="T6711"/>
        <s v="T6712"/>
        <s v="T6713"/>
        <s v="T6714"/>
        <s v="T6752"/>
        <s v="T6762"/>
        <s v="T6791"/>
        <s v="T6792"/>
        <s v="T6821"/>
        <s v="T6822"/>
        <s v="T691"/>
        <s v="T692"/>
        <s v="T71"/>
        <s v="T72"/>
        <s v="T73"/>
        <s v="T74"/>
        <s v="T75"/>
        <s v="T81"/>
        <s v="T82"/>
        <s v="T8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3">
  <r>
    <x v="0"/>
    <x v="0"/>
    <x v="0"/>
    <x v="0"/>
    <n v="9573"/>
    <n v="9822"/>
    <n v="10038"/>
    <n v="10259"/>
    <n v="10485"/>
    <x v="0"/>
  </r>
  <r>
    <x v="0"/>
    <x v="1"/>
    <x v="0"/>
    <x v="0"/>
    <n v="87915"/>
    <n v="94864"/>
    <n v="86556"/>
    <n v="88285"/>
    <n v="90051"/>
    <x v="0"/>
  </r>
  <r>
    <x v="0"/>
    <x v="1"/>
    <x v="0"/>
    <x v="0"/>
    <n v="7716.1679999999997"/>
    <n v="7916.7883679999995"/>
    <n v="8090.9577120960003"/>
    <n v="8268.9587817621123"/>
    <n v="8450.8758749608787"/>
    <x v="0"/>
  </r>
  <r>
    <x v="0"/>
    <x v="1"/>
    <x v="0"/>
    <x v="0"/>
    <n v="17077"/>
    <n v="17522"/>
    <n v="17907"/>
    <n v="18302"/>
    <n v="18705"/>
    <x v="0"/>
  </r>
  <r>
    <x v="0"/>
    <x v="1"/>
    <x v="0"/>
    <x v="0"/>
    <n v="4085"/>
    <n v="4191"/>
    <n v="4283"/>
    <n v="4377"/>
    <n v="4473"/>
    <x v="0"/>
  </r>
  <r>
    <x v="1"/>
    <x v="0"/>
    <x v="0"/>
    <x v="0"/>
    <n v="11538"/>
    <n v="12121"/>
    <n v="12387"/>
    <n v="12660"/>
    <n v="12938"/>
    <x v="0"/>
  </r>
  <r>
    <x v="1"/>
    <x v="1"/>
    <x v="0"/>
    <x v="0"/>
    <n v="11401"/>
    <n v="11801"/>
    <n v="12149"/>
    <n v="12504"/>
    <n v="12867"/>
    <x v="0"/>
  </r>
  <r>
    <x v="2"/>
    <x v="1"/>
    <x v="0"/>
    <x v="0"/>
    <n v="41778"/>
    <n v="43712"/>
    <n v="45231"/>
    <n v="47118"/>
    <n v="48879.5"/>
    <x v="0"/>
  </r>
  <r>
    <x v="3"/>
    <x v="1"/>
    <x v="0"/>
    <x v="0"/>
    <n v="69833"/>
    <n v="70000"/>
    <n v="71540"/>
    <n v="73114"/>
    <n v="74723"/>
    <x v="0"/>
  </r>
  <r>
    <x v="4"/>
    <x v="1"/>
    <x v="0"/>
    <x v="0"/>
    <n v="1684.8920000000001"/>
    <n v="1728.699192"/>
    <n v="1766.7305742240001"/>
    <n v="1805.5986468569281"/>
    <n v="1845.3218170877806"/>
    <x v="0"/>
  </r>
  <r>
    <x v="5"/>
    <x v="2"/>
    <x v="0"/>
    <x v="0"/>
    <n v="0"/>
    <n v="0"/>
    <n v="0"/>
    <n v="0"/>
    <n v="0"/>
    <x v="0"/>
  </r>
  <r>
    <x v="6"/>
    <x v="3"/>
    <x v="0"/>
    <x v="0"/>
    <n v="88189"/>
    <n v="117492"/>
    <n v="119842"/>
    <n v="50933"/>
    <n v="0"/>
    <x v="0"/>
  </r>
  <r>
    <x v="6"/>
    <x v="3"/>
    <x v="0"/>
    <x v="0"/>
    <n v="171730"/>
    <n v="178593"/>
    <n v="189339"/>
    <n v="195577"/>
    <n v="199488"/>
    <x v="0"/>
  </r>
  <r>
    <x v="7"/>
    <x v="4"/>
    <x v="0"/>
    <x v="0"/>
    <n v="4736"/>
    <n v="6700"/>
    <n v="6847"/>
    <n v="6997"/>
    <n v="7150"/>
    <x v="0"/>
  </r>
  <r>
    <x v="7"/>
    <x v="1"/>
    <x v="0"/>
    <x v="0"/>
    <n v="35193"/>
    <n v="3276"/>
    <n v="3348"/>
    <n v="3422"/>
    <n v="3497"/>
    <x v="0"/>
  </r>
  <r>
    <x v="7"/>
    <x v="0"/>
    <x v="0"/>
    <x v="0"/>
    <n v="5701"/>
    <n v="5849"/>
    <n v="5978"/>
    <n v="6110"/>
    <n v="6244"/>
    <x v="0"/>
  </r>
  <r>
    <x v="7"/>
    <x v="5"/>
    <x v="0"/>
    <x v="0"/>
    <n v="2841"/>
    <n v="2915"/>
    <n v="2979"/>
    <n v="3045"/>
    <n v="3112"/>
    <x v="0"/>
  </r>
  <r>
    <x v="8"/>
    <x v="1"/>
    <x v="0"/>
    <x v="0"/>
    <n v="23541"/>
    <n v="24153"/>
    <n v="24684"/>
    <n v="25227"/>
    <n v="25782"/>
    <x v="0"/>
  </r>
  <r>
    <x v="5"/>
    <x v="2"/>
    <x v="0"/>
    <x v="0"/>
    <n v="0"/>
    <n v="0"/>
    <n v="0"/>
    <n v="0"/>
    <n v="0"/>
    <x v="0"/>
  </r>
  <r>
    <x v="9"/>
    <x v="1"/>
    <x v="0"/>
    <x v="0"/>
    <n v="30906"/>
    <n v="31708"/>
    <n v="32405"/>
    <n v="33117"/>
    <n v="33845"/>
    <x v="0"/>
  </r>
  <r>
    <x v="9"/>
    <x v="6"/>
    <x v="0"/>
    <x v="0"/>
    <n v="3907"/>
    <n v="4009"/>
    <n v="4097"/>
    <n v="4187"/>
    <n v="4279"/>
    <x v="0"/>
  </r>
  <r>
    <x v="6"/>
    <x v="7"/>
    <x v="0"/>
    <x v="0"/>
    <n v="-88189"/>
    <n v="-117492"/>
    <n v="-119842"/>
    <n v="-50933"/>
    <n v="0"/>
    <x v="0"/>
  </r>
  <r>
    <x v="6"/>
    <x v="7"/>
    <x v="0"/>
    <x v="0"/>
    <n v="-171730"/>
    <n v="-178593"/>
    <n v="-189339"/>
    <n v="-195577"/>
    <n v="-199488"/>
    <x v="0"/>
  </r>
  <r>
    <x v="10"/>
    <x v="8"/>
    <x v="0"/>
    <x v="0"/>
    <n v="306624"/>
    <n v="321495"/>
    <n v="340729"/>
    <n v="357023"/>
    <n v="377551.04800000001"/>
    <x v="0"/>
  </r>
  <r>
    <x v="11"/>
    <x v="8"/>
    <x v="0"/>
    <x v="0"/>
    <n v="78557"/>
    <n v="79636"/>
    <n v="84595"/>
    <n v="87532.599999999991"/>
    <n v="93374.148000000001"/>
    <x v="0"/>
  </r>
  <r>
    <x v="12"/>
    <x v="9"/>
    <x v="0"/>
    <x v="0"/>
    <n v="29281"/>
    <n v="29867"/>
    <n v="31241"/>
    <n v="32678"/>
    <n v="34181"/>
    <x v="0"/>
  </r>
  <r>
    <x v="13"/>
    <x v="8"/>
    <x v="0"/>
    <x v="0"/>
    <n v="0"/>
    <n v="0"/>
    <n v="0"/>
    <n v="0"/>
    <n v="0"/>
    <x v="0"/>
  </r>
  <r>
    <x v="13"/>
    <x v="9"/>
    <x v="0"/>
    <x v="0"/>
    <n v="0"/>
    <n v="0"/>
    <n v="0"/>
    <n v="0"/>
    <n v="0"/>
    <x v="0"/>
  </r>
  <r>
    <x v="14"/>
    <x v="9"/>
    <x v="0"/>
    <x v="0"/>
    <n v="26628"/>
    <n v="27321"/>
    <n v="27923"/>
    <n v="28538"/>
    <n v="29167"/>
    <x v="0"/>
  </r>
  <r>
    <x v="15"/>
    <x v="1"/>
    <x v="0"/>
    <x v="0"/>
    <n v="0"/>
    <n v="0"/>
    <n v="0"/>
    <n v="0"/>
    <n v="0"/>
    <x v="0"/>
  </r>
  <r>
    <x v="16"/>
    <x v="1"/>
    <x v="0"/>
    <x v="0"/>
    <n v="0"/>
    <n v="0"/>
    <n v="0"/>
    <n v="0"/>
    <n v="0"/>
    <x v="0"/>
  </r>
  <r>
    <x v="17"/>
    <x v="1"/>
    <x v="0"/>
    <x v="0"/>
    <n v="305000"/>
    <n v="455130"/>
    <n v="5243"/>
    <n v="5358"/>
    <n v="5476"/>
    <x v="0"/>
  </r>
  <r>
    <x v="5"/>
    <x v="10"/>
    <x v="0"/>
    <x v="0"/>
    <n v="1428816"/>
    <n v="1503457.4800000002"/>
    <n v="1572617"/>
    <n v="1644958"/>
    <n v="1720627"/>
    <x v="0"/>
  </r>
  <r>
    <x v="5"/>
    <x v="11"/>
    <x v="0"/>
    <x v="0"/>
    <n v="5000"/>
    <n v="5000"/>
    <n v="5000"/>
    <n v="5000"/>
    <n v="5000"/>
    <x v="0"/>
  </r>
  <r>
    <x v="18"/>
    <x v="10"/>
    <x v="0"/>
    <x v="0"/>
    <n v="165249.64000000001"/>
    <n v="172976.63"/>
    <n v="180934"/>
    <n v="189257"/>
    <n v="197963"/>
    <x v="0"/>
  </r>
  <r>
    <x v="19"/>
    <x v="1"/>
    <x v="0"/>
    <x v="0"/>
    <n v="2696"/>
    <n v="2762"/>
    <n v="2825"/>
    <n v="2888"/>
    <n v="2952"/>
    <x v="1"/>
  </r>
  <r>
    <x v="20"/>
    <x v="10"/>
    <x v="0"/>
    <x v="0"/>
    <n v="33098"/>
    <n v="100258.11"/>
    <n v="104870"/>
    <n v="109694"/>
    <n v="114740"/>
    <x v="1"/>
  </r>
  <r>
    <x v="21"/>
    <x v="12"/>
    <x v="0"/>
    <x v="0"/>
    <n v="151352.29999999999"/>
    <n v="259645.5"/>
    <n v="269642"/>
    <n v="280040"/>
    <n v="291212"/>
    <x v="1"/>
  </r>
  <r>
    <x v="22"/>
    <x v="10"/>
    <x v="0"/>
    <x v="0"/>
    <n v="188764.6"/>
    <n v="118349.84"/>
    <n v="123794"/>
    <n v="129489"/>
    <n v="135445"/>
    <x v="1"/>
  </r>
  <r>
    <x v="22"/>
    <x v="13"/>
    <x v="0"/>
    <x v="0"/>
    <n v="14496"/>
    <n v="14786"/>
    <n v="15466"/>
    <n v="16177"/>
    <n v="16921"/>
    <x v="1"/>
  </r>
  <r>
    <x v="23"/>
    <x v="12"/>
    <x v="0"/>
    <x v="0"/>
    <n v="50027.9"/>
    <n v="37540"/>
    <n v="38319"/>
    <n v="39102"/>
    <n v="39889"/>
    <x v="1"/>
  </r>
  <r>
    <x v="24"/>
    <x v="10"/>
    <x v="0"/>
    <x v="0"/>
    <n v="158753.96"/>
    <n v="116735.24"/>
    <n v="122105"/>
    <n v="127722"/>
    <n v="133597"/>
    <x v="1"/>
  </r>
  <r>
    <x v="24"/>
    <x v="13"/>
    <x v="0"/>
    <x v="0"/>
    <n v="6925"/>
    <n v="7064"/>
    <n v="7389"/>
    <n v="7729"/>
    <n v="8085"/>
    <x v="1"/>
  </r>
  <r>
    <x v="25"/>
    <x v="10"/>
    <x v="0"/>
    <x v="0"/>
    <n v="90928"/>
    <n v="119739.37"/>
    <n v="125247"/>
    <n v="131008"/>
    <n v="137034"/>
    <x v="1"/>
  </r>
  <r>
    <x v="25"/>
    <x v="1"/>
    <x v="0"/>
    <x v="0"/>
    <n v="140813"/>
    <n v="144474"/>
    <n v="147652"/>
    <n v="150900"/>
    <n v="154220"/>
    <x v="1"/>
  </r>
  <r>
    <x v="26"/>
    <x v="1"/>
    <x v="0"/>
    <x v="0"/>
    <n v="2355"/>
    <n v="3250"/>
    <n v="3322"/>
    <n v="3395"/>
    <n v="3470"/>
    <x v="1"/>
  </r>
  <r>
    <x v="26"/>
    <x v="12"/>
    <x v="0"/>
    <x v="0"/>
    <n v="45448"/>
    <n v="64423"/>
    <n v="65909"/>
    <n v="67428"/>
    <n v="68988"/>
    <x v="1"/>
  </r>
  <r>
    <x v="27"/>
    <x v="10"/>
    <x v="0"/>
    <x v="0"/>
    <n v="42453"/>
    <n v="40461.449999999997"/>
    <n v="42323"/>
    <n v="44270"/>
    <n v="46306"/>
    <x v="1"/>
  </r>
  <r>
    <x v="28"/>
    <x v="14"/>
    <x v="0"/>
    <x v="0"/>
    <n v="1100"/>
    <n v="3100"/>
    <n v="3100"/>
    <n v="3100"/>
    <n v="3100"/>
    <x v="1"/>
  </r>
  <r>
    <x v="28"/>
    <x v="1"/>
    <x v="0"/>
    <x v="0"/>
    <n v="57271"/>
    <n v="58795"/>
    <n v="59831"/>
    <n v="60884"/>
    <n v="61955"/>
    <x v="1"/>
  </r>
  <r>
    <x v="29"/>
    <x v="10"/>
    <x v="0"/>
    <x v="0"/>
    <n v="4666.49"/>
    <n v="7848"/>
    <n v="8209"/>
    <n v="8587"/>
    <n v="8982"/>
    <x v="1"/>
  </r>
  <r>
    <x v="30"/>
    <x v="1"/>
    <x v="0"/>
    <x v="0"/>
    <n v="8959.3489919999993"/>
    <n v="9825"/>
    <n v="10040.529999999999"/>
    <n v="10259.26166"/>
    <n v="10491.26541652"/>
    <x v="1"/>
  </r>
  <r>
    <x v="31"/>
    <x v="10"/>
    <x v="0"/>
    <x v="0"/>
    <n v="150517.95000000001"/>
    <n v="169988.77"/>
    <n v="160590"/>
    <n v="167977"/>
    <n v="175704"/>
    <x v="1"/>
  </r>
  <r>
    <x v="31"/>
    <x v="13"/>
    <x v="0"/>
    <x v="0"/>
    <n v="10400"/>
    <n v="0"/>
    <n v="0"/>
    <n v="0"/>
    <n v="0"/>
    <x v="1"/>
  </r>
  <r>
    <x v="19"/>
    <x v="15"/>
    <x v="0"/>
    <x v="0"/>
    <n v="-67872.7"/>
    <n v="-81724.78"/>
    <n v="-85390.9"/>
    <n v="-89202.2"/>
    <n v="-93182.9"/>
    <x v="1"/>
  </r>
  <r>
    <x v="21"/>
    <x v="15"/>
    <x v="0"/>
    <x v="0"/>
    <n v="-312150"/>
    <n v="-464175.5"/>
    <n v="-474454.5"/>
    <n v="-485135"/>
    <n v="-495819.5"/>
    <x v="1"/>
  </r>
  <r>
    <x v="23"/>
    <x v="15"/>
    <x v="0"/>
    <x v="0"/>
    <n v="-153729"/>
    <n v="-112340"/>
    <n v="-114719"/>
    <n v="-117302"/>
    <n v="-119889"/>
    <x v="1"/>
  </r>
  <r>
    <x v="32"/>
    <x v="15"/>
    <x v="0"/>
    <x v="0"/>
    <n v="-9700"/>
    <n v="-14297.5"/>
    <n v="-14715"/>
    <n v="-15132.5"/>
    <n v="-15550"/>
    <x v="1"/>
  </r>
  <r>
    <x v="26"/>
    <x v="15"/>
    <x v="0"/>
    <x v="0"/>
    <n v="-72121.5"/>
    <n v="-96931.5"/>
    <n v="-99475.5"/>
    <n v="-102087"/>
    <n v="-104805"/>
    <x v="1"/>
  </r>
  <r>
    <x v="33"/>
    <x v="16"/>
    <x v="0"/>
    <x v="0"/>
    <n v="5133"/>
    <n v="7866"/>
    <n v="8039"/>
    <n v="8216"/>
    <n v="8397"/>
    <x v="2"/>
  </r>
  <r>
    <x v="33"/>
    <x v="16"/>
    <x v="0"/>
    <x v="0"/>
    <n v="6447"/>
    <n v="6615"/>
    <n v="6761"/>
    <n v="6910"/>
    <n v="7062"/>
    <x v="2"/>
  </r>
  <r>
    <x v="33"/>
    <x v="4"/>
    <x v="0"/>
    <x v="0"/>
    <n v="69"/>
    <n v="71"/>
    <n v="73"/>
    <n v="75"/>
    <n v="77"/>
    <x v="2"/>
  </r>
  <r>
    <x v="33"/>
    <x v="1"/>
    <x v="0"/>
    <x v="0"/>
    <n v="2724"/>
    <n v="2795"/>
    <n v="2856"/>
    <n v="2919"/>
    <n v="2983"/>
    <x v="2"/>
  </r>
  <r>
    <x v="33"/>
    <x v="16"/>
    <x v="0"/>
    <x v="0"/>
    <n v="0"/>
    <n v="0"/>
    <n v="0"/>
    <n v="0"/>
    <n v="0"/>
    <x v="2"/>
  </r>
  <r>
    <x v="34"/>
    <x v="16"/>
    <x v="0"/>
    <x v="0"/>
    <n v="74"/>
    <n v="76"/>
    <n v="78"/>
    <n v="80"/>
    <n v="82"/>
    <x v="2"/>
  </r>
  <r>
    <x v="34"/>
    <x v="4"/>
    <x v="0"/>
    <x v="0"/>
    <n v="22"/>
    <n v="23"/>
    <n v="24"/>
    <n v="25"/>
    <n v="26"/>
    <x v="2"/>
  </r>
  <r>
    <x v="34"/>
    <x v="1"/>
    <x v="0"/>
    <x v="0"/>
    <n v="594"/>
    <n v="609"/>
    <n v="622"/>
    <n v="636"/>
    <n v="650"/>
    <x v="2"/>
  </r>
  <r>
    <x v="35"/>
    <x v="16"/>
    <x v="0"/>
    <x v="0"/>
    <n v="535"/>
    <n v="549"/>
    <n v="561"/>
    <n v="573"/>
    <n v="586"/>
    <x v="2"/>
  </r>
  <r>
    <x v="36"/>
    <x v="16"/>
    <x v="0"/>
    <x v="0"/>
    <n v="1574"/>
    <n v="1615"/>
    <n v="1651"/>
    <n v="1687"/>
    <n v="1724"/>
    <x v="2"/>
  </r>
  <r>
    <x v="36"/>
    <x v="4"/>
    <x v="0"/>
    <x v="0"/>
    <n v="2125"/>
    <n v="2180"/>
    <n v="2228"/>
    <n v="2277"/>
    <n v="2327"/>
    <x v="2"/>
  </r>
  <r>
    <x v="36"/>
    <x v="1"/>
    <x v="0"/>
    <x v="0"/>
    <n v="3787"/>
    <n v="3885"/>
    <n v="3970"/>
    <n v="4057"/>
    <n v="4146"/>
    <x v="2"/>
  </r>
  <r>
    <x v="36"/>
    <x v="17"/>
    <x v="0"/>
    <x v="0"/>
    <n v="193"/>
    <n v="0"/>
    <n v="0"/>
    <n v="0"/>
    <n v="0"/>
    <x v="2"/>
  </r>
  <r>
    <x v="37"/>
    <x v="1"/>
    <x v="0"/>
    <x v="0"/>
    <n v="59007"/>
    <n v="9221"/>
    <n v="9424"/>
    <n v="9632"/>
    <n v="9844"/>
    <x v="2"/>
  </r>
  <r>
    <x v="38"/>
    <x v="18"/>
    <x v="0"/>
    <x v="0"/>
    <n v="7528"/>
    <n v="0"/>
    <n v="0"/>
    <n v="0"/>
    <n v="0"/>
    <x v="2"/>
  </r>
  <r>
    <x v="38"/>
    <x v="19"/>
    <x v="0"/>
    <x v="0"/>
    <n v="4494"/>
    <n v="0"/>
    <n v="0"/>
    <n v="0"/>
    <n v="0"/>
    <x v="2"/>
  </r>
  <r>
    <x v="38"/>
    <x v="16"/>
    <x v="0"/>
    <x v="0"/>
    <n v="2789"/>
    <n v="4862"/>
    <n v="4969"/>
    <n v="5078"/>
    <n v="5190"/>
    <x v="2"/>
  </r>
  <r>
    <x v="38"/>
    <x v="4"/>
    <x v="0"/>
    <x v="0"/>
    <n v="2113"/>
    <n v="2168"/>
    <n v="2216"/>
    <n v="2265"/>
    <n v="2315"/>
    <x v="2"/>
  </r>
  <r>
    <x v="38"/>
    <x v="1"/>
    <x v="0"/>
    <x v="0"/>
    <n v="2950"/>
    <n v="0"/>
    <n v="0"/>
    <n v="0"/>
    <n v="0"/>
    <x v="2"/>
  </r>
  <r>
    <x v="38"/>
    <x v="20"/>
    <x v="0"/>
    <x v="0"/>
    <n v="1685"/>
    <n v="1729"/>
    <n v="1767"/>
    <n v="1806"/>
    <n v="1846"/>
    <x v="2"/>
  </r>
  <r>
    <x v="39"/>
    <x v="16"/>
    <x v="0"/>
    <x v="0"/>
    <n v="2141"/>
    <n v="2197"/>
    <n v="2245"/>
    <n v="2294"/>
    <n v="2344"/>
    <x v="2"/>
  </r>
  <r>
    <x v="39"/>
    <x v="18"/>
    <x v="0"/>
    <x v="0"/>
    <n v="248"/>
    <n v="254"/>
    <n v="260"/>
    <n v="266"/>
    <n v="272"/>
    <x v="2"/>
  </r>
  <r>
    <x v="39"/>
    <x v="19"/>
    <x v="0"/>
    <x v="0"/>
    <n v="299"/>
    <n v="307"/>
    <n v="314"/>
    <n v="321"/>
    <n v="328"/>
    <x v="2"/>
  </r>
  <r>
    <x v="39"/>
    <x v="4"/>
    <x v="0"/>
    <x v="0"/>
    <n v="2046"/>
    <n v="2099"/>
    <n v="2145"/>
    <n v="2192"/>
    <n v="2240"/>
    <x v="2"/>
  </r>
  <r>
    <x v="39"/>
    <x v="20"/>
    <x v="0"/>
    <x v="0"/>
    <n v="4362"/>
    <n v="4484"/>
    <n v="4610"/>
    <n v="4739"/>
    <n v="4872"/>
    <x v="2"/>
  </r>
  <r>
    <x v="39"/>
    <x v="1"/>
    <x v="0"/>
    <x v="0"/>
    <n v="2246"/>
    <n v="2309"/>
    <n v="2374"/>
    <n v="2440"/>
    <n v="2508"/>
    <x v="2"/>
  </r>
  <r>
    <x v="39"/>
    <x v="17"/>
    <x v="0"/>
    <x v="0"/>
    <n v="15702"/>
    <n v="16283.465225074873"/>
    <n v="16885.953438402641"/>
    <n v="17510.733715623537"/>
    <n v="18158.630863101607"/>
    <x v="2"/>
  </r>
  <r>
    <x v="40"/>
    <x v="16"/>
    <x v="0"/>
    <x v="0"/>
    <n v="597"/>
    <n v="613"/>
    <n v="626"/>
    <n v="640"/>
    <n v="654"/>
    <x v="2"/>
  </r>
  <r>
    <x v="38"/>
    <x v="18"/>
    <x v="0"/>
    <x v="0"/>
    <n v="0"/>
    <n v="3000"/>
    <n v="3066"/>
    <n v="3133"/>
    <n v="3202"/>
    <x v="2"/>
  </r>
  <r>
    <x v="38"/>
    <x v="19"/>
    <x v="0"/>
    <x v="0"/>
    <n v="0"/>
    <n v="2000"/>
    <n v="2044"/>
    <n v="2089"/>
    <n v="2135"/>
    <x v="2"/>
  </r>
  <r>
    <x v="39"/>
    <x v="20"/>
    <x v="0"/>
    <x v="0"/>
    <n v="0"/>
    <n v="1500"/>
    <n v="1542"/>
    <n v="1585"/>
    <n v="1629"/>
    <x v="2"/>
  </r>
  <r>
    <x v="40"/>
    <x v="4"/>
    <x v="0"/>
    <x v="0"/>
    <n v="460"/>
    <n v="472"/>
    <n v="482"/>
    <n v="493"/>
    <n v="504"/>
    <x v="2"/>
  </r>
  <r>
    <x v="41"/>
    <x v="16"/>
    <x v="0"/>
    <x v="0"/>
    <n v="495"/>
    <n v="508"/>
    <n v="519"/>
    <n v="530"/>
    <n v="542"/>
    <x v="2"/>
  </r>
  <r>
    <x v="41"/>
    <x v="4"/>
    <x v="0"/>
    <x v="0"/>
    <n v="588"/>
    <n v="603"/>
    <n v="616"/>
    <n v="630"/>
    <n v="644"/>
    <x v="2"/>
  </r>
  <r>
    <x v="42"/>
    <x v="16"/>
    <x v="0"/>
    <x v="0"/>
    <n v="948"/>
    <n v="973"/>
    <n v="994"/>
    <n v="1016"/>
    <n v="1038"/>
    <x v="2"/>
  </r>
  <r>
    <x v="42"/>
    <x v="4"/>
    <x v="0"/>
    <x v="0"/>
    <n v="69"/>
    <n v="71"/>
    <n v="73"/>
    <n v="75"/>
    <n v="77"/>
    <x v="2"/>
  </r>
  <r>
    <x v="43"/>
    <x v="16"/>
    <x v="0"/>
    <x v="0"/>
    <n v="3501"/>
    <n v="3592"/>
    <n v="3671"/>
    <n v="3752"/>
    <n v="3835"/>
    <x v="2"/>
  </r>
  <r>
    <x v="43"/>
    <x v="4"/>
    <x v="0"/>
    <x v="0"/>
    <n v="253"/>
    <n v="260"/>
    <n v="266"/>
    <n v="272"/>
    <n v="278"/>
    <x v="2"/>
  </r>
  <r>
    <x v="43"/>
    <x v="1"/>
    <x v="0"/>
    <x v="0"/>
    <n v="2334"/>
    <n v="2395"/>
    <n v="2448"/>
    <n v="2502"/>
    <n v="2557"/>
    <x v="2"/>
  </r>
  <r>
    <x v="44"/>
    <x v="16"/>
    <x v="0"/>
    <x v="0"/>
    <n v="36000"/>
    <n v="4400"/>
    <n v="4400"/>
    <n v="4400"/>
    <n v="4400"/>
    <x v="2"/>
  </r>
  <r>
    <x v="44"/>
    <x v="21"/>
    <x v="0"/>
    <x v="0"/>
    <n v="2369"/>
    <n v="2431"/>
    <n v="2484"/>
    <n v="2539"/>
    <n v="2595"/>
    <x v="2"/>
  </r>
  <r>
    <x v="44"/>
    <x v="4"/>
    <x v="0"/>
    <x v="0"/>
    <n v="205"/>
    <n v="210"/>
    <n v="215"/>
    <n v="220"/>
    <n v="225"/>
    <x v="2"/>
  </r>
  <r>
    <x v="44"/>
    <x v="1"/>
    <x v="0"/>
    <x v="0"/>
    <n v="8943"/>
    <n v="9175"/>
    <n v="9376"/>
    <n v="9583"/>
    <n v="9794"/>
    <x v="2"/>
  </r>
  <r>
    <x v="44"/>
    <x v="22"/>
    <x v="0"/>
    <x v="0"/>
    <n v="10916"/>
    <n v="11200"/>
    <n v="11446"/>
    <n v="11698"/>
    <n v="11955"/>
    <x v="2"/>
  </r>
  <r>
    <x v="45"/>
    <x v="16"/>
    <x v="0"/>
    <x v="0"/>
    <n v="2056"/>
    <n v="8109"/>
    <n v="8287"/>
    <n v="8469"/>
    <n v="8655"/>
    <x v="2"/>
  </r>
  <r>
    <x v="45"/>
    <x v="4"/>
    <x v="0"/>
    <x v="0"/>
    <n v="2717"/>
    <n v="2788"/>
    <n v="2849"/>
    <n v="2912"/>
    <n v="2976"/>
    <x v="2"/>
  </r>
  <r>
    <x v="45"/>
    <x v="16"/>
    <x v="0"/>
    <x v="0"/>
    <n v="1105"/>
    <n v="1134"/>
    <n v="1159"/>
    <n v="1184"/>
    <n v="1210"/>
    <x v="2"/>
  </r>
  <r>
    <x v="45"/>
    <x v="4"/>
    <x v="0"/>
    <x v="0"/>
    <n v="859"/>
    <n v="881"/>
    <n v="900"/>
    <n v="920"/>
    <n v="940"/>
    <x v="2"/>
  </r>
  <r>
    <x v="45"/>
    <x v="16"/>
    <x v="0"/>
    <x v="0"/>
    <n v="0"/>
    <n v="3000"/>
    <n v="3066"/>
    <n v="3133"/>
    <n v="3202"/>
    <x v="2"/>
  </r>
  <r>
    <x v="45"/>
    <x v="4"/>
    <x v="0"/>
    <x v="0"/>
    <n v="0"/>
    <n v="1000"/>
    <n v="1022"/>
    <n v="1044"/>
    <n v="1067"/>
    <x v="2"/>
  </r>
  <r>
    <x v="33"/>
    <x v="23"/>
    <x v="0"/>
    <x v="0"/>
    <n v="-16107"/>
    <n v="-5514"/>
    <n v="-5635"/>
    <n v="-5759"/>
    <n v="-5886"/>
    <x v="2"/>
  </r>
  <r>
    <x v="33"/>
    <x v="24"/>
    <x v="0"/>
    <x v="0"/>
    <n v="-145043.22999999998"/>
    <n v="-160574"/>
    <n v="-164040"/>
    <n v="-167583"/>
    <n v="-171204"/>
    <x v="2"/>
  </r>
  <r>
    <x v="46"/>
    <x v="10"/>
    <x v="0"/>
    <x v="0"/>
    <n v="139737"/>
    <n v="158580.04999999999"/>
    <n v="165875"/>
    <n v="173505"/>
    <n v="181485"/>
    <x v="2"/>
  </r>
  <r>
    <x v="46"/>
    <x v="11"/>
    <x v="0"/>
    <x v="0"/>
    <n v="39979"/>
    <n v="39979"/>
    <n v="28411"/>
    <n v="28411"/>
    <n v="28411"/>
    <x v="2"/>
  </r>
  <r>
    <x v="34"/>
    <x v="24"/>
    <x v="0"/>
    <x v="0"/>
    <n v="2779.8"/>
    <n v="-2880"/>
    <n v="-2943"/>
    <n v="-3008"/>
    <n v="-3074"/>
    <x v="2"/>
  </r>
  <r>
    <x v="35"/>
    <x v="24"/>
    <x v="0"/>
    <x v="0"/>
    <n v="-37365"/>
    <n v="-39678"/>
    <n v="-40551"/>
    <n v="-41443"/>
    <n v="-42355"/>
    <x v="2"/>
  </r>
  <r>
    <x v="47"/>
    <x v="24"/>
    <x v="0"/>
    <x v="0"/>
    <n v="-13954"/>
    <n v="-13927"/>
    <n v="-14233"/>
    <n v="-14546"/>
    <n v="-14866"/>
    <x v="2"/>
  </r>
  <r>
    <x v="40"/>
    <x v="24"/>
    <x v="0"/>
    <x v="0"/>
    <n v="-3252.02"/>
    <n v="-3359"/>
    <n v="-3433"/>
    <n v="-3509"/>
    <n v="-3586"/>
    <x v="2"/>
  </r>
  <r>
    <x v="41"/>
    <x v="24"/>
    <x v="0"/>
    <x v="0"/>
    <n v="-16859"/>
    <n v="-17297"/>
    <n v="-17678"/>
    <n v="-18067"/>
    <n v="-18464"/>
    <x v="2"/>
  </r>
  <r>
    <x v="43"/>
    <x v="24"/>
    <x v="0"/>
    <x v="0"/>
    <n v="-30866"/>
    <n v="-30782"/>
    <n v="-31459"/>
    <n v="-32151"/>
    <n v="-32858"/>
    <x v="2"/>
  </r>
  <r>
    <x v="44"/>
    <x v="25"/>
    <x v="0"/>
    <x v="0"/>
    <n v="-95900"/>
    <n v="-98400"/>
    <n v="-100600"/>
    <n v="-102800"/>
    <n v="-105100"/>
    <x v="2"/>
  </r>
  <r>
    <x v="48"/>
    <x v="16"/>
    <x v="0"/>
    <x v="0"/>
    <n v="4380"/>
    <n v="4503"/>
    <n v="4629"/>
    <n v="4759"/>
    <n v="4892"/>
    <x v="3"/>
  </r>
  <r>
    <x v="48"/>
    <x v="16"/>
    <x v="0"/>
    <x v="0"/>
    <n v="2463"/>
    <n v="2532"/>
    <n v="2603"/>
    <n v="2676"/>
    <n v="2751"/>
    <x v="3"/>
  </r>
  <r>
    <x v="48"/>
    <x v="16"/>
    <x v="0"/>
    <x v="0"/>
    <n v="891"/>
    <n v="916"/>
    <n v="942"/>
    <n v="968"/>
    <n v="995"/>
    <x v="3"/>
  </r>
  <r>
    <x v="48"/>
    <x v="18"/>
    <x v="0"/>
    <x v="0"/>
    <n v="44054"/>
    <n v="45288"/>
    <n v="46556"/>
    <n v="47860"/>
    <n v="49200"/>
    <x v="3"/>
  </r>
  <r>
    <x v="48"/>
    <x v="19"/>
    <x v="0"/>
    <x v="0"/>
    <n v="51400"/>
    <n v="52839"/>
    <n v="54318"/>
    <n v="55839"/>
    <n v="57402"/>
    <x v="3"/>
  </r>
  <r>
    <x v="48"/>
    <x v="4"/>
    <x v="0"/>
    <x v="0"/>
    <n v="19825"/>
    <n v="20380"/>
    <n v="20951"/>
    <n v="21538"/>
    <n v="22141"/>
    <x v="3"/>
  </r>
  <r>
    <x v="48"/>
    <x v="1"/>
    <x v="0"/>
    <x v="0"/>
    <n v="76581"/>
    <n v="78572"/>
    <n v="80301"/>
    <n v="82068"/>
    <n v="83873"/>
    <x v="3"/>
  </r>
  <r>
    <x v="48"/>
    <x v="1"/>
    <x v="0"/>
    <x v="0"/>
    <n v="1416"/>
    <n v="1453"/>
    <n v="1485"/>
    <n v="1518"/>
    <n v="1551"/>
    <x v="3"/>
  </r>
  <r>
    <x v="48"/>
    <x v="20"/>
    <x v="0"/>
    <x v="0"/>
    <n v="59872"/>
    <n v="61429"/>
    <n v="62780"/>
    <n v="64161"/>
    <n v="65573"/>
    <x v="3"/>
  </r>
  <r>
    <x v="48"/>
    <x v="17"/>
    <x v="0"/>
    <x v="0"/>
    <n v="152619.47532536316"/>
    <n v="158266.39591240158"/>
    <n v="164122.25256116042"/>
    <n v="170194.77590592334"/>
    <n v="176491.98261444247"/>
    <x v="3"/>
  </r>
  <r>
    <x v="49"/>
    <x v="1"/>
    <x v="0"/>
    <x v="0"/>
    <n v="1108"/>
    <n v="21108"/>
    <n v="21108"/>
    <n v="21108"/>
    <n v="21108"/>
    <x v="3"/>
  </r>
  <r>
    <x v="50"/>
    <x v="26"/>
    <x v="0"/>
    <x v="0"/>
    <n v="1401"/>
    <n v="1437"/>
    <n v="2968"/>
    <n v="1500"/>
    <n v="1533"/>
    <x v="3"/>
  </r>
  <r>
    <x v="50"/>
    <x v="5"/>
    <x v="0"/>
    <x v="0"/>
    <n v="1750"/>
    <n v="1796"/>
    <n v="1836"/>
    <n v="1876"/>
    <n v="1917"/>
    <x v="3"/>
  </r>
  <r>
    <x v="50"/>
    <x v="5"/>
    <x v="0"/>
    <x v="0"/>
    <n v="1168"/>
    <n v="1198"/>
    <n v="1224"/>
    <n v="1251"/>
    <n v="1279"/>
    <x v="3"/>
  </r>
  <r>
    <x v="51"/>
    <x v="26"/>
    <x v="0"/>
    <x v="0"/>
    <n v="992"/>
    <n v="1018"/>
    <n v="1040"/>
    <n v="1063"/>
    <n v="1086"/>
    <x v="3"/>
  </r>
  <r>
    <x v="51"/>
    <x v="13"/>
    <x v="0"/>
    <x v="0"/>
    <n v="525"/>
    <n v="539"/>
    <n v="551"/>
    <n v="563"/>
    <n v="575"/>
    <x v="3"/>
  </r>
  <r>
    <x v="51"/>
    <x v="1"/>
    <x v="0"/>
    <x v="0"/>
    <n v="39431"/>
    <n v="40456"/>
    <n v="41346"/>
    <n v="42256"/>
    <n v="43186"/>
    <x v="3"/>
  </r>
  <r>
    <x v="52"/>
    <x v="5"/>
    <x v="0"/>
    <x v="0"/>
    <n v="103827"/>
    <n v="106527"/>
    <n v="108871"/>
    <n v="111266"/>
    <n v="113714"/>
    <x v="3"/>
  </r>
  <r>
    <x v="53"/>
    <x v="1"/>
    <x v="0"/>
    <x v="0"/>
    <n v="68945"/>
    <n v="70738"/>
    <n v="72294"/>
    <n v="73884"/>
    <n v="75509"/>
    <x v="3"/>
  </r>
  <r>
    <x v="54"/>
    <x v="5"/>
    <x v="0"/>
    <x v="0"/>
    <n v="23333"/>
    <n v="23940"/>
    <n v="24467"/>
    <n v="25005"/>
    <n v="25555"/>
    <x v="3"/>
  </r>
  <r>
    <x v="55"/>
    <x v="1"/>
    <x v="0"/>
    <x v="0"/>
    <n v="4516"/>
    <n v="4633"/>
    <n v="4735"/>
    <n v="4839"/>
    <n v="4945"/>
    <x v="3"/>
  </r>
  <r>
    <x v="55"/>
    <x v="9"/>
    <x v="0"/>
    <x v="0"/>
    <n v="201864.2"/>
    <n v="209875.973"/>
    <n v="217526.72"/>
    <n v="227002.64599999998"/>
    <n v="236056.16"/>
    <x v="3"/>
  </r>
  <r>
    <x v="56"/>
    <x v="4"/>
    <x v="0"/>
    <x v="0"/>
    <n v="0"/>
    <n v="0"/>
    <n v="0"/>
    <n v="0"/>
    <n v="0"/>
    <x v="3"/>
  </r>
  <r>
    <x v="56"/>
    <x v="1"/>
    <x v="0"/>
    <x v="0"/>
    <n v="4856"/>
    <n v="4982"/>
    <n v="5092"/>
    <n v="5204"/>
    <n v="5318"/>
    <x v="3"/>
  </r>
  <r>
    <x v="57"/>
    <x v="1"/>
    <x v="0"/>
    <x v="0"/>
    <n v="6216"/>
    <n v="6390"/>
    <n v="6569"/>
    <n v="6753"/>
    <n v="6942"/>
    <x v="3"/>
  </r>
  <r>
    <x v="57"/>
    <x v="5"/>
    <x v="0"/>
    <x v="0"/>
    <n v="535"/>
    <n v="550"/>
    <n v="565"/>
    <n v="581"/>
    <n v="597"/>
    <x v="3"/>
  </r>
  <r>
    <x v="58"/>
    <x v="26"/>
    <x v="0"/>
    <x v="0"/>
    <n v="8517"/>
    <n v="8738"/>
    <n v="8930"/>
    <n v="9126"/>
    <n v="9327"/>
    <x v="3"/>
  </r>
  <r>
    <x v="58"/>
    <x v="1"/>
    <x v="0"/>
    <x v="0"/>
    <n v="31587"/>
    <n v="32409"/>
    <n v="33122"/>
    <n v="33851"/>
    <n v="34596"/>
    <x v="3"/>
  </r>
  <r>
    <x v="59"/>
    <x v="1"/>
    <x v="0"/>
    <x v="0"/>
    <n v="59544"/>
    <n v="61092"/>
    <n v="62435"/>
    <n v="63808"/>
    <n v="65213"/>
    <x v="3"/>
  </r>
  <r>
    <x v="60"/>
    <x v="10"/>
    <x v="0"/>
    <x v="0"/>
    <n v="133800"/>
    <n v="31600"/>
    <n v="33100"/>
    <n v="34600"/>
    <n v="36200"/>
    <x v="3"/>
  </r>
  <r>
    <x v="60"/>
    <x v="13"/>
    <x v="0"/>
    <x v="0"/>
    <n v="35952"/>
    <n v="36887"/>
    <n v="37699"/>
    <n v="38528"/>
    <n v="39376"/>
    <x v="3"/>
  </r>
  <r>
    <x v="60"/>
    <x v="4"/>
    <x v="0"/>
    <x v="0"/>
    <n v="3202"/>
    <n v="3285"/>
    <n v="3357"/>
    <n v="3431"/>
    <n v="3506"/>
    <x v="3"/>
  </r>
  <r>
    <x v="60"/>
    <x v="1"/>
    <x v="0"/>
    <x v="0"/>
    <n v="1251261"/>
    <n v="1283794"/>
    <n v="1312081"/>
    <n v="1340940"/>
    <n v="1370480"/>
    <x v="3"/>
  </r>
  <r>
    <x v="61"/>
    <x v="1"/>
    <x v="0"/>
    <x v="0"/>
    <n v="101464"/>
    <n v="62709"/>
    <n v="64088"/>
    <n v="65498"/>
    <n v="66939"/>
    <x v="3"/>
  </r>
  <r>
    <x v="62"/>
    <x v="1"/>
    <x v="0"/>
    <x v="0"/>
    <n v="125456"/>
    <n v="128718"/>
    <n v="131550"/>
    <n v="134444"/>
    <n v="137402"/>
    <x v="3"/>
  </r>
  <r>
    <x v="62"/>
    <x v="1"/>
    <x v="0"/>
    <x v="0"/>
    <n v="9905"/>
    <n v="10162"/>
    <n v="10386"/>
    <n v="10613.65"/>
    <n v="10846.92"/>
    <x v="3"/>
  </r>
  <r>
    <x v="63"/>
    <x v="1"/>
    <x v="0"/>
    <x v="0"/>
    <n v="7116"/>
    <n v="7301"/>
    <n v="7462"/>
    <n v="7626"/>
    <n v="7794"/>
    <x v="3"/>
  </r>
  <r>
    <x v="64"/>
    <x v="1"/>
    <x v="0"/>
    <x v="0"/>
    <n v="0"/>
    <n v="0"/>
    <n v="0"/>
    <n v="0"/>
    <n v="0"/>
    <x v="3"/>
  </r>
  <r>
    <x v="53"/>
    <x v="15"/>
    <x v="0"/>
    <x v="0"/>
    <n v="-4318"/>
    <n v="-4430"/>
    <n v="-4527"/>
    <n v="-4627"/>
    <n v="-4729"/>
    <x v="3"/>
  </r>
  <r>
    <x v="56"/>
    <x v="15"/>
    <x v="0"/>
    <x v="0"/>
    <n v="-4051"/>
    <n v="-4156"/>
    <n v="-4247"/>
    <n v="-4340"/>
    <n v="-4435"/>
    <x v="3"/>
  </r>
  <r>
    <x v="65"/>
    <x v="1"/>
    <x v="0"/>
    <x v="0"/>
    <n v="88000"/>
    <n v="0"/>
    <n v="0"/>
    <n v="0"/>
    <n v="0"/>
    <x v="3"/>
  </r>
  <r>
    <x v="66"/>
    <x v="11"/>
    <x v="0"/>
    <x v="0"/>
    <n v="543532"/>
    <n v="443300"/>
    <n v="684780"/>
    <n v="657411"/>
    <n v="628224"/>
    <x v="3"/>
  </r>
  <r>
    <x v="66"/>
    <x v="27"/>
    <x v="0"/>
    <x v="0"/>
    <n v="-99622.018470899508"/>
    <n v="-93328.619689453262"/>
    <n v="-103397.31090541168"/>
    <n v="-104237.34437760299"/>
    <n v="-105127.89893977807"/>
    <x v="3"/>
  </r>
  <r>
    <x v="66"/>
    <x v="27"/>
    <x v="0"/>
    <x v="0"/>
    <n v="-78378.831224328052"/>
    <n v="-66699.241150952061"/>
    <n v="-73894.982871496439"/>
    <n v="-74495.202501249878"/>
    <n v="-75131.628823160965"/>
    <x v="3"/>
  </r>
  <r>
    <x v="66"/>
    <x v="27"/>
    <x v="0"/>
    <x v="0"/>
    <n v="-57873.447306843671"/>
    <n v="-49381.828745696585"/>
    <n v="-54709.341374735719"/>
    <n v="-55153.757161402631"/>
    <n v="-55624.848811921649"/>
    <x v="3"/>
  </r>
  <r>
    <x v="67"/>
    <x v="3"/>
    <x v="0"/>
    <x v="0"/>
    <n v="12252"/>
    <n v="12497"/>
    <n v="13072"/>
    <n v="13673"/>
    <n v="14302"/>
    <x v="4"/>
  </r>
  <r>
    <x v="68"/>
    <x v="10"/>
    <x v="0"/>
    <x v="0"/>
    <n v="300000"/>
    <n v="300000"/>
    <n v="398353"/>
    <n v="529227"/>
    <n v="672315"/>
    <x v="4"/>
  </r>
  <r>
    <x v="68"/>
    <x v="28"/>
    <x v="0"/>
    <x v="0"/>
    <n v="11796"/>
    <n v="12032"/>
    <n v="12585"/>
    <n v="13164"/>
    <n v="13770"/>
    <x v="4"/>
  </r>
  <r>
    <x v="68"/>
    <x v="13"/>
    <x v="0"/>
    <x v="0"/>
    <n v="363055"/>
    <n v="370316"/>
    <n v="387350"/>
    <n v="405169"/>
    <n v="423806"/>
    <x v="4"/>
  </r>
  <r>
    <x v="68"/>
    <x v="4"/>
    <x v="0"/>
    <x v="0"/>
    <n v="259157"/>
    <n v="276699"/>
    <n v="281775"/>
    <n v="286962"/>
    <n v="292263"/>
    <x v="4"/>
  </r>
  <r>
    <x v="68"/>
    <x v="4"/>
    <x v="0"/>
    <x v="0"/>
    <n v="0"/>
    <n v="0"/>
    <n v="0"/>
    <n v="0"/>
    <n v="0"/>
    <x v="4"/>
  </r>
  <r>
    <x v="68"/>
    <x v="4"/>
    <x v="0"/>
    <x v="0"/>
    <n v="0"/>
    <n v="0"/>
    <n v="0"/>
    <n v="0"/>
    <n v="0"/>
    <x v="4"/>
  </r>
  <r>
    <x v="68"/>
    <x v="4"/>
    <x v="0"/>
    <x v="0"/>
    <n v="0"/>
    <n v="0"/>
    <n v="0"/>
    <n v="0"/>
    <n v="0"/>
    <x v="4"/>
  </r>
  <r>
    <x v="68"/>
    <x v="4"/>
    <x v="0"/>
    <x v="0"/>
    <n v="0"/>
    <n v="0"/>
    <n v="0"/>
    <n v="0"/>
    <n v="0"/>
    <x v="4"/>
  </r>
  <r>
    <x v="68"/>
    <x v="29"/>
    <x v="0"/>
    <x v="0"/>
    <n v="96749"/>
    <n v="98514"/>
    <n v="100319"/>
    <n v="102167"/>
    <n v="102167"/>
    <x v="4"/>
  </r>
  <r>
    <x v="68"/>
    <x v="30"/>
    <x v="0"/>
    <x v="0"/>
    <n v="46014"/>
    <n v="47337"/>
    <n v="48366"/>
    <n v="49444"/>
    <n v="50571"/>
    <x v="4"/>
  </r>
  <r>
    <x v="68"/>
    <x v="31"/>
    <x v="0"/>
    <x v="0"/>
    <n v="53614"/>
    <n v="55008"/>
    <n v="56218"/>
    <n v="57455"/>
    <n v="58719"/>
    <x v="4"/>
  </r>
  <r>
    <x v="68"/>
    <x v="1"/>
    <x v="0"/>
    <x v="0"/>
    <n v="100178"/>
    <n v="102434"/>
    <n v="106108"/>
    <n v="109928"/>
    <n v="113901"/>
    <x v="4"/>
  </r>
  <r>
    <x v="68"/>
    <x v="5"/>
    <x v="0"/>
    <x v="0"/>
    <n v="3538"/>
    <n v="3630"/>
    <n v="3710"/>
    <n v="3792"/>
    <n v="3875"/>
    <x v="4"/>
  </r>
  <r>
    <x v="68"/>
    <x v="5"/>
    <x v="0"/>
    <x v="0"/>
    <n v="14253"/>
    <n v="14326"/>
    <n v="14389"/>
    <n v="14454"/>
    <n v="14520"/>
    <x v="4"/>
  </r>
  <r>
    <x v="68"/>
    <x v="5"/>
    <x v="0"/>
    <x v="0"/>
    <n v="4561"/>
    <n v="4680"/>
    <n v="4783"/>
    <n v="4888"/>
    <n v="4996"/>
    <x v="4"/>
  </r>
  <r>
    <x v="68"/>
    <x v="5"/>
    <x v="0"/>
    <x v="0"/>
    <n v="14330"/>
    <n v="15643"/>
    <n v="16363"/>
    <n v="17115"/>
    <n v="17710"/>
    <x v="4"/>
  </r>
  <r>
    <x v="68"/>
    <x v="5"/>
    <x v="0"/>
    <x v="0"/>
    <n v="48363"/>
    <n v="49330"/>
    <n v="51599"/>
    <n v="53973"/>
    <n v="56456"/>
    <x v="4"/>
  </r>
  <r>
    <x v="68"/>
    <x v="0"/>
    <x v="0"/>
    <x v="0"/>
    <n v="100000"/>
    <n v="100000"/>
    <n v="100000"/>
    <n v="100000"/>
    <n v="100000"/>
    <x v="4"/>
  </r>
  <r>
    <x v="68"/>
    <x v="5"/>
    <x v="0"/>
    <x v="0"/>
    <n v="63000"/>
    <n v="63000"/>
    <n v="63000"/>
    <n v="63000"/>
    <n v="63000"/>
    <x v="4"/>
  </r>
  <r>
    <x v="68"/>
    <x v="5"/>
    <x v="0"/>
    <x v="0"/>
    <n v="1140"/>
    <n v="1170"/>
    <n v="1196"/>
    <n v="1222"/>
    <n v="1249"/>
    <x v="4"/>
  </r>
  <r>
    <x v="68"/>
    <x v="5"/>
    <x v="0"/>
    <x v="0"/>
    <n v="21840"/>
    <n v="23010"/>
    <n v="23010"/>
    <n v="23010"/>
    <n v="23010"/>
    <x v="4"/>
  </r>
  <r>
    <x v="68"/>
    <x v="9"/>
    <x v="0"/>
    <x v="0"/>
    <n v="13130"/>
    <n v="13471"/>
    <n v="13767"/>
    <n v="14070"/>
    <n v="14380"/>
    <x v="4"/>
  </r>
  <r>
    <x v="68"/>
    <x v="32"/>
    <x v="0"/>
    <x v="0"/>
    <n v="18298"/>
    <n v="10077"/>
    <n v="23640"/>
    <n v="24727"/>
    <n v="25865"/>
    <x v="4"/>
  </r>
  <r>
    <x v="69"/>
    <x v="1"/>
    <x v="0"/>
    <x v="0"/>
    <n v="431904"/>
    <n v="342217"/>
    <n v="362560"/>
    <n v="383840"/>
    <n v="406099.51855026698"/>
    <x v="4"/>
  </r>
  <r>
    <x v="70"/>
    <x v="33"/>
    <x v="0"/>
    <x v="0"/>
    <n v="-11404"/>
    <n v="-11701"/>
    <n v="-11958"/>
    <n v="-12221"/>
    <n v="-12490"/>
    <x v="4"/>
  </r>
  <r>
    <x v="71"/>
    <x v="0"/>
    <x v="0"/>
    <x v="0"/>
    <n v="95891"/>
    <n v="79580"/>
    <n v="81331"/>
    <n v="83120"/>
    <n v="84949"/>
    <x v="4"/>
  </r>
  <r>
    <x v="71"/>
    <x v="1"/>
    <x v="0"/>
    <x v="0"/>
    <n v="1633"/>
    <n v="1675"/>
    <n v="1712"/>
    <n v="1750"/>
    <n v="1789"/>
    <x v="4"/>
  </r>
  <r>
    <x v="72"/>
    <x v="13"/>
    <x v="0"/>
    <x v="0"/>
    <n v="28848"/>
    <n v="25000"/>
    <n v="26150"/>
    <n v="27353"/>
    <n v="28611"/>
    <x v="4"/>
  </r>
  <r>
    <x v="72"/>
    <x v="1"/>
    <x v="0"/>
    <x v="0"/>
    <n v="60444"/>
    <n v="62016"/>
    <n v="63380"/>
    <n v="64774"/>
    <n v="66199"/>
    <x v="4"/>
  </r>
  <r>
    <x v="73"/>
    <x v="13"/>
    <x v="0"/>
    <x v="0"/>
    <n v="13701"/>
    <n v="10000"/>
    <n v="10460"/>
    <n v="10941"/>
    <n v="11444"/>
    <x v="4"/>
  </r>
  <r>
    <x v="74"/>
    <x v="1"/>
    <x v="0"/>
    <x v="0"/>
    <n v="177867"/>
    <n v="168830"/>
    <n v="171773"/>
    <n v="174747"/>
    <n v="177748"/>
    <x v="4"/>
  </r>
  <r>
    <x v="75"/>
    <x v="1"/>
    <x v="0"/>
    <x v="0"/>
    <n v="9388"/>
    <n v="6765"/>
    <n v="6860"/>
    <n v="6968"/>
    <n v="7290"/>
    <x v="4"/>
  </r>
  <r>
    <x v="76"/>
    <x v="1"/>
    <x v="0"/>
    <x v="0"/>
    <n v="0"/>
    <n v="0"/>
    <n v="0"/>
    <n v="0"/>
    <n v="0"/>
    <x v="4"/>
  </r>
  <r>
    <x v="77"/>
    <x v="13"/>
    <x v="0"/>
    <x v="0"/>
    <n v="8165"/>
    <n v="8377"/>
    <n v="8561"/>
    <n v="8749"/>
    <n v="8941"/>
    <x v="4"/>
  </r>
  <r>
    <x v="77"/>
    <x v="1"/>
    <x v="0"/>
    <x v="0"/>
    <n v="48459.786749999999"/>
    <n v="40739.542484999998"/>
    <n v="41944.677439310006"/>
    <n v="43216.74710151826"/>
    <n v="43832.74710151826"/>
    <x v="4"/>
  </r>
  <r>
    <x v="78"/>
    <x v="13"/>
    <x v="0"/>
    <x v="0"/>
    <n v="22472"/>
    <n v="23057"/>
    <n v="23564"/>
    <n v="24082"/>
    <n v="24612"/>
    <x v="4"/>
  </r>
  <r>
    <x v="78"/>
    <x v="1"/>
    <x v="0"/>
    <x v="0"/>
    <n v="228052"/>
    <n v="229205"/>
    <n v="230221"/>
    <n v="232706"/>
    <n v="235294"/>
    <x v="4"/>
  </r>
  <r>
    <x v="79"/>
    <x v="13"/>
    <x v="0"/>
    <x v="0"/>
    <n v="0"/>
    <n v="0"/>
    <n v="0"/>
    <n v="0"/>
    <n v="0"/>
    <x v="4"/>
  </r>
  <r>
    <x v="79"/>
    <x v="1"/>
    <x v="0"/>
    <x v="0"/>
    <n v="2762"/>
    <n v="2834"/>
    <n v="2897"/>
    <n v="2960"/>
    <n v="3025"/>
    <x v="4"/>
  </r>
  <r>
    <x v="79"/>
    <x v="0"/>
    <x v="0"/>
    <x v="0"/>
    <n v="9349"/>
    <n v="7631"/>
    <n v="7799"/>
    <n v="7971"/>
    <n v="8146"/>
    <x v="4"/>
  </r>
  <r>
    <x v="80"/>
    <x v="1"/>
    <x v="0"/>
    <x v="0"/>
    <n v="20567"/>
    <n v="21102"/>
    <n v="21566"/>
    <n v="22040"/>
    <n v="22525"/>
    <x v="4"/>
  </r>
  <r>
    <x v="81"/>
    <x v="33"/>
    <x v="0"/>
    <x v="0"/>
    <n v="0"/>
    <n v="0"/>
    <n v="0"/>
    <n v="0"/>
    <n v="0"/>
    <x v="4"/>
  </r>
  <r>
    <x v="82"/>
    <x v="1"/>
    <x v="0"/>
    <x v="0"/>
    <n v="5007"/>
    <n v="5147"/>
    <n v="5291"/>
    <n v="5439"/>
    <n v="5591"/>
    <x v="4"/>
  </r>
  <r>
    <x v="83"/>
    <x v="0"/>
    <x v="0"/>
    <x v="0"/>
    <n v="95060"/>
    <n v="122117"/>
    <n v="124804"/>
    <n v="127550"/>
    <n v="130356"/>
    <x v="4"/>
  </r>
  <r>
    <x v="83"/>
    <x v="1"/>
    <x v="0"/>
    <x v="0"/>
    <n v="1633"/>
    <n v="1675"/>
    <n v="1712"/>
    <n v="1750"/>
    <n v="1789"/>
    <x v="4"/>
  </r>
  <r>
    <x v="84"/>
    <x v="1"/>
    <x v="0"/>
    <x v="0"/>
    <n v="20000"/>
    <n v="31806"/>
    <n v="20971"/>
    <n v="42894"/>
    <n v="21904"/>
    <x v="4"/>
  </r>
  <r>
    <x v="85"/>
    <x v="0"/>
    <x v="0"/>
    <x v="0"/>
    <n v="78963"/>
    <n v="103802"/>
    <n v="106086"/>
    <n v="108420"/>
    <n v="110805"/>
    <x v="4"/>
  </r>
  <r>
    <x v="85"/>
    <x v="1"/>
    <x v="0"/>
    <x v="0"/>
    <n v="27992"/>
    <n v="28719"/>
    <n v="29351"/>
    <n v="29998"/>
    <n v="30659"/>
    <x v="4"/>
  </r>
  <r>
    <x v="86"/>
    <x v="1"/>
    <x v="0"/>
    <x v="0"/>
    <n v="154451"/>
    <n v="158003"/>
    <n v="96232"/>
    <n v="98445"/>
    <n v="100611"/>
    <x v="4"/>
  </r>
  <r>
    <x v="87"/>
    <x v="13"/>
    <x v="0"/>
    <x v="0"/>
    <n v="0"/>
    <n v="0"/>
    <n v="0"/>
    <n v="0"/>
    <n v="0"/>
    <x v="4"/>
  </r>
  <r>
    <x v="66"/>
    <x v="10"/>
    <x v="0"/>
    <x v="0"/>
    <n v="9206076.1600000001"/>
    <n v="9058262.0099999979"/>
    <n v="9640142"/>
    <n v="9929614"/>
    <n v="10395576"/>
    <x v="4"/>
  </r>
  <r>
    <x v="66"/>
    <x v="13"/>
    <x v="0"/>
    <x v="0"/>
    <n v="107000"/>
    <n v="0"/>
    <n v="0"/>
    <n v="0"/>
    <n v="0"/>
    <x v="4"/>
  </r>
  <r>
    <x v="66"/>
    <x v="11"/>
    <x v="0"/>
    <x v="0"/>
    <n v="0"/>
    <n v="0"/>
    <n v="0"/>
    <n v="0"/>
    <n v="0"/>
    <x v="4"/>
  </r>
  <r>
    <x v="66"/>
    <x v="27"/>
    <x v="0"/>
    <x v="0"/>
    <n v="-341698.02877623751"/>
    <n v="-347974.39734378585"/>
    <n v="-359787.36227438558"/>
    <n v="-375655.77156916569"/>
    <n v="-394748.96839501604"/>
    <x v="4"/>
  </r>
  <r>
    <x v="66"/>
    <x v="27"/>
    <x v="0"/>
    <x v="0"/>
    <n v="-268835.36820931552"/>
    <n v="-248687.74231503898"/>
    <n v="-257130.29669017304"/>
    <n v="-268468.82302263577"/>
    <n v="-282114.9491715309"/>
    <x v="4"/>
  </r>
  <r>
    <x v="66"/>
    <x v="27"/>
    <x v="0"/>
    <x v="0"/>
    <n v="-198502"/>
    <n v="-184118"/>
    <n v="-190371"/>
    <n v="-198764"/>
    <n v="-208868"/>
    <x v="4"/>
  </r>
  <r>
    <x v="66"/>
    <x v="10"/>
    <x v="0"/>
    <x v="0"/>
    <n v="8931"/>
    <n v="8918"/>
    <n v="9328"/>
    <n v="9757"/>
    <n v="10206"/>
    <x v="4"/>
  </r>
  <r>
    <x v="66"/>
    <x v="10"/>
    <x v="0"/>
    <x v="0"/>
    <n v="10369.98"/>
    <n v="12280.7"/>
    <n v="12846"/>
    <n v="13437"/>
    <n v="14055"/>
    <x v="4"/>
  </r>
  <r>
    <x v="66"/>
    <x v="10"/>
    <x v="0"/>
    <x v="0"/>
    <n v="-7334.3724000000002"/>
    <n v="-8055.5060000000003"/>
    <n v="-8426.1200000000008"/>
    <n v="-8813.7199999999993"/>
    <n v="-9219.18"/>
    <x v="4"/>
  </r>
  <r>
    <x v="66"/>
    <x v="10"/>
    <x v="0"/>
    <x v="0"/>
    <n v="-5597.2841999999991"/>
    <n v="-6147.6229999999996"/>
    <n v="-6430.4599999999991"/>
    <n v="-6726.2599999999993"/>
    <n v="-7035.69"/>
    <x v="4"/>
  </r>
  <r>
    <x v="66"/>
    <x v="10"/>
    <x v="0"/>
    <x v="0"/>
    <n v="-6369.3234000000002"/>
    <n v="-6995.5710000000008"/>
    <n v="-7317.42"/>
    <n v="-7654.02"/>
    <n v="-8006.13"/>
    <x v="4"/>
  </r>
  <r>
    <x v="87"/>
    <x v="13"/>
    <x v="0"/>
    <x v="0"/>
    <n v="0"/>
    <n v="0"/>
    <n v="0"/>
    <n v="0"/>
    <n v="0"/>
    <x v="5"/>
  </r>
  <r>
    <x v="88"/>
    <x v="16"/>
    <x v="0"/>
    <x v="0"/>
    <n v="8330"/>
    <n v="8563"/>
    <n v="8803"/>
    <n v="9049"/>
    <n v="9302"/>
    <x v="5"/>
  </r>
  <r>
    <x v="88"/>
    <x v="16"/>
    <x v="0"/>
    <x v="0"/>
    <n v="1422"/>
    <n v="1462"/>
    <n v="1503"/>
    <n v="1545"/>
    <n v="1588"/>
    <x v="5"/>
  </r>
  <r>
    <x v="88"/>
    <x v="16"/>
    <x v="0"/>
    <x v="0"/>
    <n v="190"/>
    <n v="195"/>
    <n v="200"/>
    <n v="206"/>
    <n v="212"/>
    <x v="5"/>
  </r>
  <r>
    <x v="88"/>
    <x v="13"/>
    <x v="0"/>
    <x v="0"/>
    <n v="20081"/>
    <n v="20606"/>
    <n v="21056"/>
    <n v="21516"/>
    <n v="21987.63"/>
    <x v="5"/>
  </r>
  <r>
    <x v="88"/>
    <x v="18"/>
    <x v="0"/>
    <x v="0"/>
    <n v="7223"/>
    <n v="7425"/>
    <n v="7633"/>
    <n v="7847"/>
    <n v="8067"/>
    <x v="5"/>
  </r>
  <r>
    <x v="88"/>
    <x v="19"/>
    <x v="0"/>
    <x v="0"/>
    <n v="670"/>
    <n v="689"/>
    <n v="708"/>
    <n v="728"/>
    <n v="748"/>
    <x v="5"/>
  </r>
  <r>
    <x v="88"/>
    <x v="34"/>
    <x v="0"/>
    <x v="0"/>
    <n v="372"/>
    <n v="382"/>
    <n v="393"/>
    <n v="404"/>
    <n v="415"/>
    <x v="5"/>
  </r>
  <r>
    <x v="88"/>
    <x v="4"/>
    <x v="0"/>
    <x v="0"/>
    <n v="546"/>
    <n v="561"/>
    <n v="577"/>
    <n v="593"/>
    <n v="610"/>
    <x v="5"/>
  </r>
  <r>
    <x v="88"/>
    <x v="4"/>
    <x v="0"/>
    <x v="0"/>
    <n v="404"/>
    <n v="415"/>
    <n v="427"/>
    <n v="439"/>
    <n v="451"/>
    <x v="5"/>
  </r>
  <r>
    <x v="88"/>
    <x v="4"/>
    <x v="0"/>
    <x v="0"/>
    <n v="3626"/>
    <n v="3728"/>
    <n v="3832"/>
    <n v="3939"/>
    <n v="4049"/>
    <x v="5"/>
  </r>
  <r>
    <x v="88"/>
    <x v="1"/>
    <x v="0"/>
    <x v="0"/>
    <n v="14627"/>
    <n v="15007"/>
    <n v="15337"/>
    <n v="15674"/>
    <n v="16019"/>
    <x v="5"/>
  </r>
  <r>
    <x v="88"/>
    <x v="35"/>
    <x v="0"/>
    <x v="0"/>
    <n v="0"/>
    <n v="0"/>
    <n v="0"/>
    <n v="0"/>
    <n v="0"/>
    <x v="5"/>
  </r>
  <r>
    <x v="88"/>
    <x v="20"/>
    <x v="0"/>
    <x v="0"/>
    <n v="25368"/>
    <n v="26028"/>
    <n v="26601"/>
    <n v="27186"/>
    <n v="27784"/>
    <x v="5"/>
  </r>
  <r>
    <x v="88"/>
    <x v="17"/>
    <x v="0"/>
    <x v="0"/>
    <n v="17122"/>
    <n v="20978.142821183999"/>
    <n v="22027.0499622432"/>
    <n v="23128.402460355363"/>
    <n v="24284.82258337313"/>
    <x v="5"/>
  </r>
  <r>
    <x v="88"/>
    <x v="11"/>
    <x v="0"/>
    <x v="0"/>
    <n v="31559"/>
    <n v="31559"/>
    <n v="31559"/>
    <n v="31559"/>
    <n v="31559"/>
    <x v="5"/>
  </r>
  <r>
    <x v="89"/>
    <x v="34"/>
    <x v="0"/>
    <x v="0"/>
    <n v="135"/>
    <n v="139"/>
    <n v="143"/>
    <n v="147"/>
    <n v="151"/>
    <x v="5"/>
  </r>
  <r>
    <x v="89"/>
    <x v="1"/>
    <x v="0"/>
    <x v="0"/>
    <n v="18923"/>
    <n v="19415"/>
    <n v="19842"/>
    <n v="20278"/>
    <n v="20724"/>
    <x v="5"/>
  </r>
  <r>
    <x v="89"/>
    <x v="5"/>
    <x v="0"/>
    <x v="0"/>
    <n v="8290"/>
    <n v="8505"/>
    <n v="8692"/>
    <n v="8884"/>
    <n v="9080"/>
    <x v="5"/>
  </r>
  <r>
    <x v="89"/>
    <x v="11"/>
    <x v="0"/>
    <x v="0"/>
    <n v="0"/>
    <n v="0"/>
    <n v="0"/>
    <n v="0"/>
    <n v="0"/>
    <x v="5"/>
  </r>
  <r>
    <x v="90"/>
    <x v="16"/>
    <x v="0"/>
    <x v="0"/>
    <n v="13510"/>
    <n v="13861"/>
    <n v="14166"/>
    <n v="14478"/>
    <n v="14796"/>
    <x v="5"/>
  </r>
  <r>
    <x v="90"/>
    <x v="34"/>
    <x v="0"/>
    <x v="0"/>
    <n v="15986"/>
    <n v="16402"/>
    <n v="16763"/>
    <n v="17131"/>
    <n v="17509"/>
    <x v="5"/>
  </r>
  <r>
    <x v="90"/>
    <x v="4"/>
    <x v="0"/>
    <x v="0"/>
    <n v="23262"/>
    <n v="23867"/>
    <n v="24392"/>
    <n v="24929"/>
    <n v="25477"/>
    <x v="5"/>
  </r>
  <r>
    <x v="90"/>
    <x v="1"/>
    <x v="0"/>
    <x v="0"/>
    <n v="6811"/>
    <n v="6988"/>
    <n v="7141"/>
    <n v="7299"/>
    <n v="7459"/>
    <x v="5"/>
  </r>
  <r>
    <x v="90"/>
    <x v="11"/>
    <x v="0"/>
    <x v="0"/>
    <n v="54599"/>
    <n v="46895"/>
    <n v="55121"/>
    <n v="55121"/>
    <n v="55121"/>
    <x v="5"/>
  </r>
  <r>
    <x v="91"/>
    <x v="16"/>
    <x v="0"/>
    <x v="0"/>
    <n v="-3165.4"/>
    <n v="-3253.94"/>
    <n v="-3345.14"/>
    <n v="-3438.62"/>
    <n v="-3534.76"/>
    <x v="5"/>
  </r>
  <r>
    <x v="91"/>
    <x v="16"/>
    <x v="0"/>
    <x v="0"/>
    <n v="-540.36"/>
    <n v="-555.56000000000006"/>
    <n v="-571.14"/>
    <n v="-587.1"/>
    <n v="-603.44000000000005"/>
    <x v="5"/>
  </r>
  <r>
    <x v="91"/>
    <x v="16"/>
    <x v="0"/>
    <x v="0"/>
    <n v="-72.2"/>
    <n v="-74.099999999999994"/>
    <n v="-76"/>
    <n v="-78.28"/>
    <n v="-80.56"/>
    <x v="5"/>
  </r>
  <r>
    <x v="91"/>
    <x v="13"/>
    <x v="0"/>
    <x v="0"/>
    <n v="-7630.78"/>
    <n v="-7830.28"/>
    <n v="-8001.28"/>
    <n v="-8176.08"/>
    <n v="-8355.2993999999999"/>
    <x v="5"/>
  </r>
  <r>
    <x v="91"/>
    <x v="18"/>
    <x v="0"/>
    <x v="0"/>
    <n v="-2744.7400000000002"/>
    <n v="-2821.5"/>
    <n v="-2900.54"/>
    <n v="-2981.86"/>
    <n v="-3065.46"/>
    <x v="5"/>
  </r>
  <r>
    <x v="91"/>
    <x v="19"/>
    <x v="0"/>
    <x v="0"/>
    <n v="-254.6"/>
    <n v="-261.82"/>
    <n v="-269.04000000000002"/>
    <n v="-276.64"/>
    <n v="-284.24"/>
    <x v="5"/>
  </r>
  <r>
    <x v="91"/>
    <x v="34"/>
    <x v="0"/>
    <x v="0"/>
    <n v="-141.36000000000001"/>
    <n v="-145.16"/>
    <n v="-149.34"/>
    <n v="-153.52000000000001"/>
    <n v="-157.69999999999999"/>
    <x v="5"/>
  </r>
  <r>
    <x v="91"/>
    <x v="4"/>
    <x v="0"/>
    <x v="0"/>
    <n v="-207.48"/>
    <n v="-213.18"/>
    <n v="-219.26"/>
    <n v="-225.34"/>
    <n v="-231.8"/>
    <x v="5"/>
  </r>
  <r>
    <x v="91"/>
    <x v="4"/>
    <x v="0"/>
    <x v="0"/>
    <n v="-153.52000000000001"/>
    <n v="-157.69999999999999"/>
    <n v="-162.26"/>
    <n v="-166.82"/>
    <n v="-171.38"/>
    <x v="5"/>
  </r>
  <r>
    <x v="91"/>
    <x v="4"/>
    <x v="0"/>
    <x v="0"/>
    <n v="-1377.88"/>
    <n v="-1416.64"/>
    <n v="-1456.16"/>
    <n v="-1496.82"/>
    <n v="-1538.6200000000001"/>
    <x v="5"/>
  </r>
  <r>
    <x v="91"/>
    <x v="1"/>
    <x v="0"/>
    <x v="0"/>
    <n v="-5558.26"/>
    <n v="-5702.66"/>
    <n v="-5828.06"/>
    <n v="-5956.12"/>
    <n v="-6087.22"/>
    <x v="5"/>
  </r>
  <r>
    <x v="91"/>
    <x v="35"/>
    <x v="0"/>
    <x v="0"/>
    <n v="0"/>
    <n v="0"/>
    <n v="0"/>
    <n v="0"/>
    <n v="0"/>
    <x v="5"/>
  </r>
  <r>
    <x v="91"/>
    <x v="20"/>
    <x v="0"/>
    <x v="0"/>
    <n v="-9639.84"/>
    <n v="-9890.64"/>
    <n v="-10108.380000000001"/>
    <n v="-10330.68"/>
    <n v="-10557.92"/>
    <x v="5"/>
  </r>
  <r>
    <x v="91"/>
    <x v="17"/>
    <x v="0"/>
    <x v="0"/>
    <n v="-6506.36"/>
    <n v="-7971.6942720499201"/>
    <n v="-8370.2789856524159"/>
    <n v="-8788.7929349350379"/>
    <n v="-9228.2325816817902"/>
    <x v="5"/>
  </r>
  <r>
    <x v="91"/>
    <x v="11"/>
    <x v="0"/>
    <x v="0"/>
    <n v="-11992.42"/>
    <n v="-11992.42"/>
    <n v="-11992.42"/>
    <n v="-11992.42"/>
    <n v="-11992.42"/>
    <x v="5"/>
  </r>
  <r>
    <x v="91"/>
    <x v="16"/>
    <x v="0"/>
    <x v="0"/>
    <n v="-2415.6999999999998"/>
    <n v="-2483.27"/>
    <n v="-2552.87"/>
    <n v="-2624.21"/>
    <n v="-2697.58"/>
    <x v="5"/>
  </r>
  <r>
    <x v="91"/>
    <x v="16"/>
    <x v="0"/>
    <x v="0"/>
    <n v="-412.38"/>
    <n v="-423.97999999999996"/>
    <n v="-435.86999999999995"/>
    <n v="-448.04999999999995"/>
    <n v="-460.52"/>
    <x v="5"/>
  </r>
  <r>
    <x v="91"/>
    <x v="16"/>
    <x v="0"/>
    <x v="0"/>
    <n v="-55.099999999999994"/>
    <n v="-56.55"/>
    <n v="-57.999999999999993"/>
    <n v="-59.739999999999995"/>
    <n v="-61.48"/>
    <x v="5"/>
  </r>
  <r>
    <x v="91"/>
    <x v="13"/>
    <x v="0"/>
    <x v="0"/>
    <n v="-5823.49"/>
    <n v="-5975.74"/>
    <n v="-6106.24"/>
    <n v="-6239.6399999999994"/>
    <n v="-6376.4126999999999"/>
    <x v="5"/>
  </r>
  <r>
    <x v="91"/>
    <x v="18"/>
    <x v="0"/>
    <x v="0"/>
    <n v="-2094.67"/>
    <n v="-2153.25"/>
    <n v="-2213.5699999999997"/>
    <n v="-2275.6299999999997"/>
    <n v="-2339.4299999999998"/>
    <x v="5"/>
  </r>
  <r>
    <x v="91"/>
    <x v="19"/>
    <x v="0"/>
    <x v="0"/>
    <n v="-194.29999999999998"/>
    <n v="-199.80999999999997"/>
    <n v="-205.32"/>
    <n v="-211.11999999999998"/>
    <n v="-216.92"/>
    <x v="5"/>
  </r>
  <r>
    <x v="91"/>
    <x v="34"/>
    <x v="0"/>
    <x v="0"/>
    <n v="-107.88"/>
    <n v="-110.77999999999999"/>
    <n v="-113.97"/>
    <n v="-117.16"/>
    <n v="-120.35"/>
    <x v="5"/>
  </r>
  <r>
    <x v="91"/>
    <x v="4"/>
    <x v="0"/>
    <x v="0"/>
    <n v="-158.33999999999997"/>
    <n v="-162.69"/>
    <n v="-167.32999999999998"/>
    <n v="-171.97"/>
    <n v="-176.89999999999998"/>
    <x v="5"/>
  </r>
  <r>
    <x v="91"/>
    <x v="4"/>
    <x v="0"/>
    <x v="0"/>
    <n v="-117.16"/>
    <n v="-120.35"/>
    <n v="-123.83"/>
    <n v="-127.30999999999999"/>
    <n v="-130.79"/>
    <x v="5"/>
  </r>
  <r>
    <x v="91"/>
    <x v="4"/>
    <x v="0"/>
    <x v="0"/>
    <n v="-1051.54"/>
    <n v="-1081.1199999999999"/>
    <n v="-1111.28"/>
    <n v="-1142.31"/>
    <n v="-1174.2099999999998"/>
    <x v="5"/>
  </r>
  <r>
    <x v="91"/>
    <x v="1"/>
    <x v="0"/>
    <x v="0"/>
    <n v="-4241.83"/>
    <n v="-4352.03"/>
    <n v="-4447.7299999999996"/>
    <n v="-4545.46"/>
    <n v="-4645.5099999999993"/>
    <x v="5"/>
  </r>
  <r>
    <x v="91"/>
    <x v="35"/>
    <x v="0"/>
    <x v="0"/>
    <n v="0"/>
    <n v="0"/>
    <n v="0"/>
    <n v="0"/>
    <n v="0"/>
    <x v="5"/>
  </r>
  <r>
    <x v="91"/>
    <x v="20"/>
    <x v="0"/>
    <x v="0"/>
    <n v="-7356.7199999999993"/>
    <n v="-7548.12"/>
    <n v="-7714.2899999999991"/>
    <n v="-7883.94"/>
    <n v="-8057.36"/>
    <x v="5"/>
  </r>
  <r>
    <x v="91"/>
    <x v="17"/>
    <x v="0"/>
    <x v="0"/>
    <n v="-4965.38"/>
    <n v="-6083.6614181433597"/>
    <n v="-6387.844489050528"/>
    <n v="-6707.2367135030545"/>
    <n v="-7042.5985491782076"/>
    <x v="5"/>
  </r>
  <r>
    <x v="91"/>
    <x v="11"/>
    <x v="0"/>
    <x v="0"/>
    <n v="-9152.1099999999988"/>
    <n v="-9152.1099999999988"/>
    <n v="-9152.1099999999988"/>
    <n v="-9152.1099999999988"/>
    <n v="-9152.1099999999988"/>
    <x v="5"/>
  </r>
  <r>
    <x v="91"/>
    <x v="16"/>
    <x v="0"/>
    <x v="0"/>
    <n v="-2748.9"/>
    <n v="-2825.79"/>
    <n v="-2904.9900000000002"/>
    <n v="-2986.17"/>
    <n v="-3069.6600000000003"/>
    <x v="5"/>
  </r>
  <r>
    <x v="91"/>
    <x v="16"/>
    <x v="0"/>
    <x v="0"/>
    <n v="-469.26000000000005"/>
    <n v="-482.46000000000004"/>
    <n v="-495.99"/>
    <n v="-509.85"/>
    <n v="-524.04000000000008"/>
    <x v="5"/>
  </r>
  <r>
    <x v="91"/>
    <x v="16"/>
    <x v="0"/>
    <x v="0"/>
    <n v="-62.7"/>
    <n v="-64.350000000000009"/>
    <n v="-66"/>
    <n v="-67.98"/>
    <n v="-69.960000000000008"/>
    <x v="5"/>
  </r>
  <r>
    <x v="91"/>
    <x v="13"/>
    <x v="0"/>
    <x v="0"/>
    <n v="-6626.7300000000005"/>
    <n v="-6799.9800000000005"/>
    <n v="-6948.4800000000005"/>
    <n v="-7100.2800000000007"/>
    <n v="-7255.9179000000004"/>
    <x v="5"/>
  </r>
  <r>
    <x v="91"/>
    <x v="18"/>
    <x v="0"/>
    <x v="0"/>
    <n v="-2383.59"/>
    <n v="-2450.25"/>
    <n v="-2518.8900000000003"/>
    <n v="-2589.5100000000002"/>
    <n v="-2662.11"/>
    <x v="5"/>
  </r>
  <r>
    <x v="91"/>
    <x v="19"/>
    <x v="0"/>
    <x v="0"/>
    <n v="-221.10000000000002"/>
    <n v="-227.37"/>
    <n v="-233.64000000000001"/>
    <n v="-240.24"/>
    <n v="-246.84"/>
    <x v="5"/>
  </r>
  <r>
    <x v="91"/>
    <x v="34"/>
    <x v="0"/>
    <x v="0"/>
    <n v="-122.76"/>
    <n v="-126.06"/>
    <n v="-129.69"/>
    <n v="-133.32"/>
    <n v="-136.95000000000002"/>
    <x v="5"/>
  </r>
  <r>
    <x v="91"/>
    <x v="4"/>
    <x v="0"/>
    <x v="0"/>
    <n v="-180.18"/>
    <n v="-185.13"/>
    <n v="-190.41"/>
    <n v="-195.69"/>
    <n v="-201.3"/>
    <x v="5"/>
  </r>
  <r>
    <x v="91"/>
    <x v="4"/>
    <x v="0"/>
    <x v="0"/>
    <n v="-133.32"/>
    <n v="-136.95000000000002"/>
    <n v="-140.91"/>
    <n v="-144.87"/>
    <n v="-148.83000000000001"/>
    <x v="5"/>
  </r>
  <r>
    <x v="91"/>
    <x v="4"/>
    <x v="0"/>
    <x v="0"/>
    <n v="-1196.5800000000002"/>
    <n v="-1230.24"/>
    <n v="-1264.5600000000002"/>
    <n v="-1299.8700000000001"/>
    <n v="-1336.17"/>
    <x v="5"/>
  </r>
  <r>
    <x v="91"/>
    <x v="1"/>
    <x v="0"/>
    <x v="0"/>
    <n v="-4826.91"/>
    <n v="-4952.3100000000004"/>
    <n v="-5061.21"/>
    <n v="-5172.42"/>
    <n v="-5286.27"/>
    <x v="5"/>
  </r>
  <r>
    <x v="91"/>
    <x v="35"/>
    <x v="0"/>
    <x v="0"/>
    <n v="0"/>
    <n v="0"/>
    <n v="0"/>
    <n v="0"/>
    <n v="0"/>
    <x v="5"/>
  </r>
  <r>
    <x v="91"/>
    <x v="20"/>
    <x v="0"/>
    <x v="0"/>
    <n v="-8371.44"/>
    <n v="-8589.24"/>
    <n v="-8778.33"/>
    <n v="-8971.380000000001"/>
    <n v="-9168.7200000000012"/>
    <x v="5"/>
  </r>
  <r>
    <x v="91"/>
    <x v="17"/>
    <x v="0"/>
    <x v="0"/>
    <n v="-5650.26"/>
    <n v="-6922.7871309907205"/>
    <n v="-7268.9264875402559"/>
    <n v="-7632.3728119172702"/>
    <n v="-8013.9914525131335"/>
    <x v="5"/>
  </r>
  <r>
    <x v="91"/>
    <x v="11"/>
    <x v="0"/>
    <x v="0"/>
    <n v="-10414.470000000001"/>
    <n v="-10414.470000000001"/>
    <n v="-10414.470000000001"/>
    <n v="-10414.470000000001"/>
    <n v="-10414.470000000001"/>
    <x v="5"/>
  </r>
  <r>
    <x v="91"/>
    <x v="34"/>
    <x v="0"/>
    <x v="0"/>
    <n v="0"/>
    <n v="0"/>
    <n v="0"/>
    <n v="0"/>
    <n v="0"/>
    <x v="5"/>
  </r>
  <r>
    <x v="91"/>
    <x v="1"/>
    <x v="0"/>
    <x v="0"/>
    <n v="0"/>
    <n v="0"/>
    <n v="0"/>
    <n v="0"/>
    <n v="0"/>
    <x v="5"/>
  </r>
  <r>
    <x v="91"/>
    <x v="5"/>
    <x v="0"/>
    <x v="0"/>
    <n v="0"/>
    <n v="0"/>
    <n v="0"/>
    <n v="0"/>
    <n v="0"/>
    <x v="5"/>
  </r>
  <r>
    <x v="91"/>
    <x v="34"/>
    <x v="0"/>
    <x v="0"/>
    <n v="0"/>
    <n v="0"/>
    <n v="0"/>
    <n v="0"/>
    <n v="0"/>
    <x v="5"/>
  </r>
  <r>
    <x v="91"/>
    <x v="1"/>
    <x v="0"/>
    <x v="0"/>
    <n v="0"/>
    <n v="0"/>
    <n v="0"/>
    <n v="0"/>
    <n v="0"/>
    <x v="5"/>
  </r>
  <r>
    <x v="91"/>
    <x v="5"/>
    <x v="0"/>
    <x v="0"/>
    <n v="0"/>
    <n v="0"/>
    <n v="0"/>
    <n v="0"/>
    <n v="0"/>
    <x v="5"/>
  </r>
  <r>
    <x v="91"/>
    <x v="34"/>
    <x v="0"/>
    <x v="0"/>
    <n v="-51.3"/>
    <n v="-52.82"/>
    <n v="-54.34"/>
    <n v="-55.86"/>
    <n v="-57.38"/>
    <x v="5"/>
  </r>
  <r>
    <x v="91"/>
    <x v="1"/>
    <x v="0"/>
    <x v="0"/>
    <n v="-7190.74"/>
    <n v="-7377.7"/>
    <n v="-7539.96"/>
    <n v="-7705.64"/>
    <n v="-7875.12"/>
    <x v="5"/>
  </r>
  <r>
    <x v="91"/>
    <x v="5"/>
    <x v="0"/>
    <x v="0"/>
    <n v="-3150.2"/>
    <n v="-3231.9"/>
    <n v="-3302.96"/>
    <n v="-3375.92"/>
    <n v="-3450.4"/>
    <x v="5"/>
  </r>
  <r>
    <x v="91"/>
    <x v="34"/>
    <x v="0"/>
    <x v="0"/>
    <n v="-39.15"/>
    <n v="-40.309999999999995"/>
    <n v="-41.47"/>
    <n v="-42.629999999999995"/>
    <n v="-43.79"/>
    <x v="5"/>
  </r>
  <r>
    <x v="91"/>
    <x v="1"/>
    <x v="0"/>
    <x v="0"/>
    <n v="-5487.67"/>
    <n v="-5630.3499999999995"/>
    <n v="-5754.1799999999994"/>
    <n v="-5880.62"/>
    <n v="-6009.96"/>
    <x v="5"/>
  </r>
  <r>
    <x v="91"/>
    <x v="5"/>
    <x v="0"/>
    <x v="0"/>
    <n v="-2404.1"/>
    <n v="-2466.4499999999998"/>
    <n v="-2520.6799999999998"/>
    <n v="-2576.3599999999997"/>
    <n v="-2633.2"/>
    <x v="5"/>
  </r>
  <r>
    <x v="91"/>
    <x v="34"/>
    <x v="0"/>
    <x v="0"/>
    <n v="-44.550000000000004"/>
    <n v="-45.870000000000005"/>
    <n v="-47.190000000000005"/>
    <n v="-48.510000000000005"/>
    <n v="-49.830000000000005"/>
    <x v="5"/>
  </r>
  <r>
    <x v="91"/>
    <x v="1"/>
    <x v="0"/>
    <x v="0"/>
    <n v="-6244.59"/>
    <n v="-6406.9500000000007"/>
    <n v="-6547.8600000000006"/>
    <n v="-6691.7400000000007"/>
    <n v="-6838.92"/>
    <x v="5"/>
  </r>
  <r>
    <x v="91"/>
    <x v="5"/>
    <x v="0"/>
    <x v="0"/>
    <n v="-2735.7000000000003"/>
    <n v="-2806.65"/>
    <n v="-2868.36"/>
    <n v="-2931.7200000000003"/>
    <n v="-2996.4"/>
    <x v="5"/>
  </r>
  <r>
    <x v="91"/>
    <x v="16"/>
    <x v="0"/>
    <x v="0"/>
    <n v="0"/>
    <n v="0"/>
    <n v="0"/>
    <n v="0"/>
    <n v="0"/>
    <x v="5"/>
  </r>
  <r>
    <x v="91"/>
    <x v="34"/>
    <x v="0"/>
    <x v="0"/>
    <n v="0"/>
    <n v="0"/>
    <n v="0"/>
    <n v="0"/>
    <n v="0"/>
    <x v="5"/>
  </r>
  <r>
    <x v="91"/>
    <x v="4"/>
    <x v="0"/>
    <x v="0"/>
    <n v="0"/>
    <n v="0"/>
    <n v="0"/>
    <n v="0"/>
    <n v="0"/>
    <x v="5"/>
  </r>
  <r>
    <x v="91"/>
    <x v="1"/>
    <x v="0"/>
    <x v="0"/>
    <n v="0"/>
    <n v="0"/>
    <n v="0"/>
    <n v="0"/>
    <n v="0"/>
    <x v="5"/>
  </r>
  <r>
    <x v="91"/>
    <x v="16"/>
    <x v="0"/>
    <x v="0"/>
    <n v="0"/>
    <n v="0"/>
    <n v="0"/>
    <n v="0"/>
    <n v="0"/>
    <x v="5"/>
  </r>
  <r>
    <x v="91"/>
    <x v="34"/>
    <x v="0"/>
    <x v="0"/>
    <n v="0"/>
    <n v="0"/>
    <n v="0"/>
    <n v="0"/>
    <n v="0"/>
    <x v="5"/>
  </r>
  <r>
    <x v="91"/>
    <x v="4"/>
    <x v="0"/>
    <x v="0"/>
    <n v="0"/>
    <n v="0"/>
    <n v="0"/>
    <n v="0"/>
    <n v="0"/>
    <x v="5"/>
  </r>
  <r>
    <x v="91"/>
    <x v="1"/>
    <x v="0"/>
    <x v="0"/>
    <n v="0"/>
    <n v="0"/>
    <n v="0"/>
    <n v="0"/>
    <n v="0"/>
    <x v="5"/>
  </r>
  <r>
    <x v="91"/>
    <x v="16"/>
    <x v="0"/>
    <x v="0"/>
    <n v="-5133.8"/>
    <n v="-5267.18"/>
    <n v="-5383.08"/>
    <n v="-5501.64"/>
    <n v="-5622.4800000000005"/>
    <x v="5"/>
  </r>
  <r>
    <x v="91"/>
    <x v="34"/>
    <x v="0"/>
    <x v="0"/>
    <n v="-6074.68"/>
    <n v="-6232.76"/>
    <n v="-6369.9400000000005"/>
    <n v="-6509.78"/>
    <n v="-6653.42"/>
    <x v="5"/>
  </r>
  <r>
    <x v="91"/>
    <x v="4"/>
    <x v="0"/>
    <x v="0"/>
    <n v="-8839.56"/>
    <n v="-9069.4600000000009"/>
    <n v="-9268.9600000000009"/>
    <n v="-9473.02"/>
    <n v="-9681.26"/>
    <x v="5"/>
  </r>
  <r>
    <x v="91"/>
    <x v="1"/>
    <x v="0"/>
    <x v="0"/>
    <n v="-2588.1799999999998"/>
    <n v="-2655.44"/>
    <n v="-2713.58"/>
    <n v="-2773.62"/>
    <n v="-2834.42"/>
    <x v="5"/>
  </r>
  <r>
    <x v="91"/>
    <x v="11"/>
    <x v="0"/>
    <x v="0"/>
    <n v="-20747.62"/>
    <n v="-17820.099999999999"/>
    <n v="-20945.98"/>
    <n v="-20945.98"/>
    <n v="-20945.98"/>
    <x v="5"/>
  </r>
  <r>
    <x v="91"/>
    <x v="16"/>
    <x v="0"/>
    <x v="0"/>
    <n v="-3917.8999999999996"/>
    <n v="-4019.6899999999996"/>
    <n v="-4108.1399999999994"/>
    <n v="-4198.62"/>
    <n v="-4290.84"/>
    <x v="5"/>
  </r>
  <r>
    <x v="91"/>
    <x v="34"/>
    <x v="0"/>
    <x v="0"/>
    <n v="-4635.9399999999996"/>
    <n v="-4756.58"/>
    <n v="-4861.2699999999995"/>
    <n v="-4967.99"/>
    <n v="-5077.6099999999997"/>
    <x v="5"/>
  </r>
  <r>
    <x v="91"/>
    <x v="4"/>
    <x v="0"/>
    <x v="0"/>
    <n v="-6745.98"/>
    <n v="-6921.4299999999994"/>
    <n v="-7073.6799999999994"/>
    <n v="-7229.41"/>
    <n v="-7388.33"/>
    <x v="5"/>
  </r>
  <r>
    <x v="91"/>
    <x v="1"/>
    <x v="0"/>
    <x v="0"/>
    <n v="-1975.1899999999998"/>
    <n v="-2026.5199999999998"/>
    <n v="-2070.89"/>
    <n v="-2116.71"/>
    <n v="-2163.1099999999997"/>
    <x v="5"/>
  </r>
  <r>
    <x v="91"/>
    <x v="11"/>
    <x v="0"/>
    <x v="0"/>
    <n v="-15833.71"/>
    <n v="-13599.55"/>
    <n v="-15985.089999999998"/>
    <n v="-15985.089999999998"/>
    <n v="-15985.089999999998"/>
    <x v="5"/>
  </r>
  <r>
    <x v="91"/>
    <x v="16"/>
    <x v="0"/>
    <x v="0"/>
    <n v="-4458.3"/>
    <n v="-4574.13"/>
    <n v="-4674.7800000000007"/>
    <n v="-4777.74"/>
    <n v="-4882.68"/>
    <x v="5"/>
  </r>
  <r>
    <x v="91"/>
    <x v="34"/>
    <x v="0"/>
    <x v="0"/>
    <n v="-5275.38"/>
    <n v="-5412.66"/>
    <n v="-5531.79"/>
    <n v="-5653.2300000000005"/>
    <n v="-5777.97"/>
    <x v="5"/>
  </r>
  <r>
    <x v="91"/>
    <x v="4"/>
    <x v="0"/>
    <x v="0"/>
    <n v="-7676.46"/>
    <n v="-7876.1100000000006"/>
    <n v="-8049.3600000000006"/>
    <n v="-8226.57"/>
    <n v="-8407.41"/>
    <x v="5"/>
  </r>
  <r>
    <x v="91"/>
    <x v="1"/>
    <x v="0"/>
    <x v="0"/>
    <n v="-2247.63"/>
    <n v="-2306.04"/>
    <n v="-2356.5300000000002"/>
    <n v="-2408.67"/>
    <n v="-2461.4700000000003"/>
    <x v="5"/>
  </r>
  <r>
    <x v="91"/>
    <x v="11"/>
    <x v="0"/>
    <x v="0"/>
    <n v="-18017.670000000002"/>
    <n v="-15475.35"/>
    <n v="-18189.93"/>
    <n v="-18189.93"/>
    <n v="-18189.93"/>
    <x v="5"/>
  </r>
  <r>
    <x v="92"/>
    <x v="36"/>
    <x v="0"/>
    <x v="0"/>
    <n v="-53071"/>
    <n v="-53071"/>
    <n v="-53071"/>
    <n v="-53071"/>
    <n v="-53071"/>
    <x v="6"/>
  </r>
  <r>
    <x v="92"/>
    <x v="37"/>
    <x v="0"/>
    <x v="0"/>
    <n v="0"/>
    <n v="0"/>
    <n v="0"/>
    <n v="0"/>
    <n v="0"/>
    <x v="6"/>
  </r>
  <r>
    <x v="93"/>
    <x v="1"/>
    <x v="0"/>
    <x v="0"/>
    <n v="12000"/>
    <n v="18000"/>
    <n v="18000"/>
    <n v="18000"/>
    <n v="18000"/>
    <x v="6"/>
  </r>
  <r>
    <x v="93"/>
    <x v="6"/>
    <x v="0"/>
    <x v="0"/>
    <n v="11938"/>
    <n v="11938"/>
    <n v="11938"/>
    <n v="11938"/>
    <n v="11938"/>
    <x v="6"/>
  </r>
  <r>
    <x v="93"/>
    <x v="11"/>
    <x v="0"/>
    <x v="0"/>
    <n v="0"/>
    <n v="0"/>
    <n v="0"/>
    <n v="0"/>
    <n v="0"/>
    <x v="6"/>
  </r>
  <r>
    <x v="93"/>
    <x v="38"/>
    <x v="0"/>
    <x v="0"/>
    <n v="0"/>
    <n v="0"/>
    <n v="0"/>
    <n v="0"/>
    <n v="0"/>
    <x v="6"/>
  </r>
  <r>
    <x v="94"/>
    <x v="39"/>
    <x v="0"/>
    <x v="0"/>
    <n v="180625"/>
    <n v="174833"/>
    <n v="300642"/>
    <n v="450250"/>
    <n v="444458.33"/>
    <x v="6"/>
  </r>
  <r>
    <x v="94"/>
    <x v="40"/>
    <x v="0"/>
    <x v="0"/>
    <n v="-143318"/>
    <n v="0"/>
    <n v="0"/>
    <n v="0"/>
    <n v="0"/>
    <x v="6"/>
  </r>
  <r>
    <x v="94"/>
    <x v="38"/>
    <x v="0"/>
    <x v="0"/>
    <n v="-332132.73802499997"/>
    <n v="-70250.146550000005"/>
    <n v="-56703.882089999999"/>
    <n v="-55089.455555"/>
    <n v="-53403.46"/>
    <x v="6"/>
  </r>
  <r>
    <x v="95"/>
    <x v="10"/>
    <x v="0"/>
    <x v="0"/>
    <n v="0"/>
    <n v="0"/>
    <n v="0"/>
    <n v="0"/>
    <n v="0"/>
    <x v="6"/>
  </r>
  <r>
    <x v="95"/>
    <x v="11"/>
    <x v="0"/>
    <x v="0"/>
    <m/>
    <m/>
    <m/>
    <m/>
    <m/>
    <x v="6"/>
  </r>
  <r>
    <x v="96"/>
    <x v="13"/>
    <x v="0"/>
    <x v="0"/>
    <n v="21463"/>
    <n v="22000"/>
    <n v="22484"/>
    <n v="22979"/>
    <n v="23485"/>
    <x v="7"/>
  </r>
  <r>
    <x v="96"/>
    <x v="1"/>
    <x v="0"/>
    <x v="0"/>
    <n v="62948"/>
    <n v="65000"/>
    <n v="66430"/>
    <n v="67891"/>
    <n v="69385"/>
    <x v="7"/>
  </r>
  <r>
    <x v="96"/>
    <x v="13"/>
    <x v="0"/>
    <x v="0"/>
    <n v="-8585"/>
    <n v="-8800"/>
    <n v="-8994"/>
    <n v="-9192"/>
    <n v="-9394"/>
    <x v="7"/>
  </r>
  <r>
    <x v="96"/>
    <x v="1"/>
    <x v="0"/>
    <x v="0"/>
    <n v="-25179"/>
    <n v="-26000"/>
    <n v="-26572"/>
    <n v="-27156"/>
    <n v="-27754"/>
    <x v="7"/>
  </r>
  <r>
    <x v="97"/>
    <x v="1"/>
    <x v="0"/>
    <x v="0"/>
    <n v="89730"/>
    <n v="92062"/>
    <n v="94087"/>
    <n v="96157"/>
    <n v="98272"/>
    <x v="7"/>
  </r>
  <r>
    <x v="97"/>
    <x v="1"/>
    <x v="0"/>
    <x v="0"/>
    <n v="-62811"/>
    <n v="-64443"/>
    <n v="-65860"/>
    <n v="-67309"/>
    <n v="-68790"/>
    <x v="7"/>
  </r>
  <r>
    <x v="98"/>
    <x v="10"/>
    <x v="0"/>
    <x v="0"/>
    <n v="101480"/>
    <n v="92269"/>
    <n v="96513"/>
    <n v="100953"/>
    <n v="105597"/>
    <x v="7"/>
  </r>
  <r>
    <x v="99"/>
    <x v="41"/>
    <x v="0"/>
    <x v="0"/>
    <n v="-5061000"/>
    <n v="-5650000.4835999999"/>
    <n v="-6373000"/>
    <n v="-6970000"/>
    <n v="-7603000"/>
    <x v="7"/>
  </r>
  <r>
    <x v="97"/>
    <x v="7"/>
    <x v="0"/>
    <x v="0"/>
    <n v="-30186"/>
    <n v="-30971"/>
    <n v="-31652"/>
    <n v="-32348"/>
    <n v="-33060"/>
    <x v="7"/>
  </r>
  <r>
    <x v="97"/>
    <x v="7"/>
    <x v="0"/>
    <x v="0"/>
    <n v="21130"/>
    <n v="21679"/>
    <n v="22156"/>
    <n v="22644"/>
    <n v="23142"/>
    <x v="7"/>
  </r>
  <r>
    <x v="100"/>
    <x v="10"/>
    <x v="0"/>
    <x v="0"/>
    <n v="87104"/>
    <n v="77455"/>
    <n v="81018"/>
    <n v="84745"/>
    <n v="88643"/>
    <x v="8"/>
  </r>
  <r>
    <x v="100"/>
    <x v="13"/>
    <x v="0"/>
    <x v="0"/>
    <n v="8585"/>
    <n v="8800"/>
    <n v="8994"/>
    <n v="9192"/>
    <n v="9394"/>
    <x v="8"/>
  </r>
  <r>
    <x v="100"/>
    <x v="1"/>
    <x v="0"/>
    <x v="0"/>
    <n v="25179"/>
    <n v="26000"/>
    <n v="26572"/>
    <n v="27156"/>
    <n v="27754"/>
    <x v="8"/>
  </r>
  <r>
    <x v="100"/>
    <x v="1"/>
    <x v="0"/>
    <x v="0"/>
    <n v="17946"/>
    <n v="18412"/>
    <n v="18817"/>
    <n v="19231"/>
    <n v="19654"/>
    <x v="8"/>
  </r>
  <r>
    <x v="101"/>
    <x v="41"/>
    <x v="0"/>
    <x v="0"/>
    <n v="-1537000"/>
    <n v="-1644000"/>
    <n v="-1851000"/>
    <n v="-2010000"/>
    <n v="-2183000"/>
    <x v="8"/>
  </r>
  <r>
    <x v="102"/>
    <x v="41"/>
    <x v="0"/>
    <x v="0"/>
    <n v="-2085000"/>
    <n v="-2366000"/>
    <n v="-2662000"/>
    <n v="-2887000"/>
    <n v="-3131000"/>
    <x v="8"/>
  </r>
  <r>
    <x v="100"/>
    <x v="7"/>
    <x v="0"/>
    <x v="0"/>
    <n v="-6037"/>
    <n v="-6194"/>
    <n v="-6330"/>
    <n v="-6470"/>
    <n v="-6612"/>
    <x v="8"/>
  </r>
  <r>
    <x v="103"/>
    <x v="10"/>
    <x v="0"/>
    <x v="0"/>
    <n v="63955"/>
    <n v="65986"/>
    <n v="69021"/>
    <n v="72196"/>
    <n v="75517"/>
    <x v="9"/>
  </r>
  <r>
    <x v="104"/>
    <x v="37"/>
    <x v="0"/>
    <x v="0"/>
    <n v="0"/>
    <n v="0"/>
    <n v="0"/>
    <n v="0"/>
    <n v="0"/>
    <x v="9"/>
  </r>
  <r>
    <x v="105"/>
    <x v="23"/>
    <x v="0"/>
    <x v="0"/>
    <n v="-83519"/>
    <n v="-86286.491999999998"/>
    <n v="-89404.379220000003"/>
    <n v="-92635.337492699997"/>
    <n v="-95857.279304944488"/>
    <x v="9"/>
  </r>
  <r>
    <x v="106"/>
    <x v="41"/>
    <x v="0"/>
    <x v="0"/>
    <n v="0"/>
    <n v="0"/>
    <n v="0"/>
    <n v="0"/>
    <n v="0"/>
    <x v="9"/>
  </r>
  <r>
    <x v="107"/>
    <x v="1"/>
    <x v="0"/>
    <x v="0"/>
    <n v="5634"/>
    <n v="5780"/>
    <n v="5907"/>
    <n v="6037"/>
    <n v="6170"/>
    <x v="10"/>
  </r>
  <r>
    <x v="107"/>
    <x v="42"/>
    <x v="0"/>
    <x v="0"/>
    <n v="-59665457"/>
    <n v="-63264435"/>
    <n v="-65440609"/>
    <n v="-66133443"/>
    <n v="-68978504"/>
    <x v="10"/>
  </r>
  <r>
    <x v="108"/>
    <x v="43"/>
    <x v="0"/>
    <x v="0"/>
    <n v="50000"/>
    <n v="50000"/>
    <n v="51100"/>
    <n v="52224"/>
    <n v="53373"/>
    <x v="11"/>
  </r>
  <r>
    <x v="109"/>
    <x v="1"/>
    <x v="0"/>
    <x v="0"/>
    <n v="713350"/>
    <n v="-178427"/>
    <n v="320620"/>
    <n v="151777"/>
    <n v="151778"/>
    <x v="11"/>
  </r>
  <r>
    <x v="110"/>
    <x v="1"/>
    <x v="0"/>
    <x v="0"/>
    <n v="25144"/>
    <n v="43660"/>
    <n v="43660"/>
    <n v="43660"/>
    <n v="43660"/>
    <x v="11"/>
  </r>
  <r>
    <x v="111"/>
    <x v="1"/>
    <x v="0"/>
    <x v="0"/>
    <n v="0"/>
    <n v="0"/>
    <n v="0"/>
    <n v="0"/>
    <n v="0"/>
    <x v="11"/>
  </r>
  <r>
    <x v="112"/>
    <x v="1"/>
    <x v="0"/>
    <x v="0"/>
    <n v="132828"/>
    <n v="136282"/>
    <n v="139280"/>
    <n v="142344"/>
    <n v="145476"/>
    <x v="11"/>
  </r>
  <r>
    <x v="113"/>
    <x v="44"/>
    <x v="0"/>
    <x v="0"/>
    <n v="0"/>
    <n v="0"/>
    <n v="0"/>
    <n v="0"/>
    <n v="0"/>
    <x v="11"/>
  </r>
  <r>
    <x v="114"/>
    <x v="7"/>
    <x v="0"/>
    <x v="0"/>
    <n v="0"/>
    <n v="0"/>
    <n v="0"/>
    <n v="0"/>
    <n v="0"/>
    <x v="11"/>
  </r>
  <r>
    <x v="115"/>
    <x v="45"/>
    <x v="0"/>
    <x v="0"/>
    <n v="-680"/>
    <n v="-680"/>
    <n v="-680"/>
    <n v="-680"/>
    <n v="-680"/>
    <x v="11"/>
  </r>
  <r>
    <x v="116"/>
    <x v="45"/>
    <x v="0"/>
    <x v="0"/>
    <n v="-46594"/>
    <n v="-47805"/>
    <n v="-48856"/>
    <n v="-49931"/>
    <n v="-51029"/>
    <x v="11"/>
  </r>
  <r>
    <x v="117"/>
    <x v="10"/>
    <x v="0"/>
    <x v="0"/>
    <n v="0"/>
    <n v="0"/>
    <n v="0"/>
    <n v="0"/>
    <n v="0"/>
    <x v="11"/>
  </r>
  <r>
    <x v="118"/>
    <x v="16"/>
    <x v="0"/>
    <x v="0"/>
    <n v="0"/>
    <n v="11400"/>
    <n v="11400"/>
    <n v="11400"/>
    <n v="11400"/>
    <x v="12"/>
  </r>
  <r>
    <x v="119"/>
    <x v="46"/>
    <x v="0"/>
    <x v="0"/>
    <n v="0"/>
    <n v="-450000"/>
    <n v="0"/>
    <n v="0"/>
    <n v="0"/>
    <x v="13"/>
  </r>
  <r>
    <x v="120"/>
    <x v="46"/>
    <x v="0"/>
    <x v="0"/>
    <n v="-70407"/>
    <n v="-20406"/>
    <n v="-20406"/>
    <n v="-20406"/>
    <n v="-20406"/>
    <x v="13"/>
  </r>
  <r>
    <x v="121"/>
    <x v="47"/>
    <x v="0"/>
    <x v="0"/>
    <n v="250000"/>
    <n v="250000"/>
    <n v="250000"/>
    <n v="250000"/>
    <n v="250000"/>
    <x v="13"/>
  </r>
  <r>
    <x v="121"/>
    <x v="46"/>
    <x v="0"/>
    <x v="0"/>
    <n v="-406822"/>
    <n v="-375513"/>
    <n v="-433743"/>
    <n v="-338165"/>
    <n v="-308977"/>
    <x v="13"/>
  </r>
  <r>
    <x v="122"/>
    <x v="47"/>
    <x v="0"/>
    <x v="0"/>
    <n v="1857"/>
    <n v="1578"/>
    <n v="1288"/>
    <n v="985"/>
    <n v="670"/>
    <x v="13"/>
  </r>
  <r>
    <x v="122"/>
    <x v="46"/>
    <x v="0"/>
    <x v="0"/>
    <n v="0"/>
    <n v="0"/>
    <n v="0"/>
    <n v="0"/>
    <n v="0"/>
    <x v="13"/>
  </r>
  <r>
    <x v="123"/>
    <x v="47"/>
    <x v="0"/>
    <x v="0"/>
    <n v="87014"/>
    <n v="0"/>
    <n v="0"/>
    <n v="0"/>
    <n v="0"/>
    <x v="13"/>
  </r>
  <r>
    <x v="123"/>
    <x v="46"/>
    <x v="0"/>
    <x v="0"/>
    <n v="-287014"/>
    <n v="0"/>
    <n v="0"/>
    <n v="0"/>
    <n v="0"/>
    <x v="13"/>
  </r>
  <r>
    <x v="124"/>
    <x v="46"/>
    <x v="0"/>
    <x v="0"/>
    <n v="-12685"/>
    <n v="-12683"/>
    <n v="-8164"/>
    <n v="-8164"/>
    <n v="-8164"/>
    <x v="13"/>
  </r>
  <r>
    <x v="125"/>
    <x v="46"/>
    <x v="0"/>
    <x v="0"/>
    <n v="0"/>
    <n v="0"/>
    <n v="0"/>
    <n v="0"/>
    <n v="0"/>
    <x v="13"/>
  </r>
  <r>
    <x v="126"/>
    <x v="47"/>
    <x v="0"/>
    <x v="0"/>
    <n v="0"/>
    <n v="0"/>
    <n v="0"/>
    <n v="0"/>
    <n v="0"/>
    <x v="13"/>
  </r>
  <r>
    <x v="126"/>
    <x v="46"/>
    <x v="0"/>
    <x v="0"/>
    <n v="-517523"/>
    <n v="-1064240"/>
    <n v="-564238"/>
    <n v="-564238"/>
    <n v="-754699"/>
    <x v="13"/>
  </r>
  <r>
    <x v="127"/>
    <x v="46"/>
    <x v="0"/>
    <x v="0"/>
    <n v="-31806"/>
    <n v="-31806"/>
    <n v="-31806"/>
    <n v="-31806"/>
    <n v="-31806"/>
    <x v="13"/>
  </r>
  <r>
    <x v="128"/>
    <x v="46"/>
    <x v="0"/>
    <x v="0"/>
    <n v="0"/>
    <n v="0"/>
    <n v="0"/>
    <n v="0"/>
    <n v="0"/>
    <x v="13"/>
  </r>
  <r>
    <x v="129"/>
    <x v="46"/>
    <x v="0"/>
    <x v="0"/>
    <n v="-427534"/>
    <n v="-427537"/>
    <n v="-427537"/>
    <n v="-427537"/>
    <n v="-427537"/>
    <x v="13"/>
  </r>
  <r>
    <x v="130"/>
    <x v="46"/>
    <x v="0"/>
    <x v="0"/>
    <n v="-15175"/>
    <n v="-15176"/>
    <n v="-15176"/>
    <n v="-15176"/>
    <n v="-15176"/>
    <x v="13"/>
  </r>
  <r>
    <x v="131"/>
    <x v="47"/>
    <x v="0"/>
    <x v="0"/>
    <n v="0"/>
    <n v="0"/>
    <n v="0"/>
    <n v="0"/>
    <n v="0"/>
    <x v="13"/>
  </r>
  <r>
    <x v="131"/>
    <x v="46"/>
    <x v="0"/>
    <x v="0"/>
    <n v="-510654"/>
    <n v="-518514"/>
    <n v="-487378"/>
    <n v="-383674"/>
    <n v="-371764"/>
    <x v="13"/>
  </r>
  <r>
    <x v="132"/>
    <x v="47"/>
    <x v="0"/>
    <x v="0"/>
    <n v="10000"/>
    <n v="10000"/>
    <n v="10000"/>
    <n v="10000"/>
    <n v="10000"/>
    <x v="13"/>
  </r>
  <r>
    <x v="133"/>
    <x v="46"/>
    <x v="0"/>
    <x v="0"/>
    <n v="-7917"/>
    <n v="-7917"/>
    <n v="-7917"/>
    <n v="-7917"/>
    <n v="-7917"/>
    <x v="13"/>
  </r>
  <r>
    <x v="134"/>
    <x v="47"/>
    <x v="0"/>
    <x v="0"/>
    <n v="0"/>
    <n v="104010"/>
    <n v="135541"/>
    <n v="102383"/>
    <n v="37590"/>
    <x v="13"/>
  </r>
  <r>
    <x v="134"/>
    <x v="46"/>
    <x v="0"/>
    <x v="0"/>
    <n v="-54607"/>
    <n v="-394724"/>
    <n v="-57722"/>
    <n v="-57722"/>
    <n v="-57722"/>
    <x v="13"/>
  </r>
  <r>
    <x v="135"/>
    <x v="46"/>
    <x v="0"/>
    <x v="0"/>
    <n v="-8757"/>
    <n v="-8757"/>
    <n v="-8757"/>
    <n v="-8757"/>
    <n v="-8757"/>
    <x v="13"/>
  </r>
  <r>
    <x v="136"/>
    <x v="46"/>
    <x v="0"/>
    <x v="0"/>
    <n v="-19657"/>
    <n v="-19657"/>
    <n v="-19656"/>
    <n v="0"/>
    <n v="0"/>
    <x v="13"/>
  </r>
  <r>
    <x v="137"/>
    <x v="46"/>
    <x v="0"/>
    <x v="0"/>
    <n v="0"/>
    <n v="-109400"/>
    <n v="0"/>
    <n v="0"/>
    <n v="0"/>
    <x v="13"/>
  </r>
  <r>
    <x v="138"/>
    <x v="46"/>
    <x v="0"/>
    <x v="0"/>
    <n v="0"/>
    <n v="0"/>
    <n v="0"/>
    <n v="0"/>
    <n v="0"/>
    <x v="13"/>
  </r>
  <r>
    <x v="139"/>
    <x v="46"/>
    <x v="0"/>
    <x v="0"/>
    <n v="0"/>
    <n v="-117100"/>
    <n v="0"/>
    <n v="0"/>
    <n v="0"/>
    <x v="13"/>
  </r>
  <r>
    <x v="139"/>
    <x v="46"/>
    <x v="0"/>
    <x v="0"/>
    <n v="-60000"/>
    <n v="-62500"/>
    <n v="-65100"/>
    <n v="0"/>
    <n v="0"/>
    <x v="13"/>
  </r>
  <r>
    <x v="139"/>
    <x v="46"/>
    <x v="0"/>
    <x v="0"/>
    <n v="-100000"/>
    <n v="-104200"/>
    <n v="-108600"/>
    <n v="0"/>
    <n v="0"/>
    <x v="13"/>
  </r>
  <r>
    <x v="140"/>
    <x v="47"/>
    <x v="0"/>
    <x v="0"/>
    <n v="75000"/>
    <n v="75000"/>
    <n v="75000"/>
    <n v="75000"/>
    <n v="75000"/>
    <x v="13"/>
  </r>
  <r>
    <x v="140"/>
    <x v="46"/>
    <x v="0"/>
    <x v="0"/>
    <n v="0"/>
    <n v="0"/>
    <n v="0"/>
    <n v="0"/>
    <n v="0"/>
    <x v="13"/>
  </r>
  <r>
    <x v="141"/>
    <x v="47"/>
    <x v="0"/>
    <x v="0"/>
    <n v="0"/>
    <n v="150000"/>
    <n v="0"/>
    <n v="0"/>
    <n v="0"/>
    <x v="13"/>
  </r>
  <r>
    <x v="141"/>
    <x v="46"/>
    <x v="0"/>
    <x v="0"/>
    <n v="-135000"/>
    <n v="-290000"/>
    <n v="-36600"/>
    <n v="0"/>
    <n v="0"/>
    <x v="13"/>
  </r>
  <r>
    <x v="142"/>
    <x v="46"/>
    <x v="0"/>
    <x v="0"/>
    <n v="-50000"/>
    <n v="-616700"/>
    <n v="-623700"/>
    <n v="-400000"/>
    <n v="-300000"/>
    <x v="13"/>
  </r>
  <r>
    <x v="143"/>
    <x v="46"/>
    <x v="0"/>
    <x v="0"/>
    <n v="-502490"/>
    <n v="-467201"/>
    <n v="-313327"/>
    <n v="-319594"/>
    <n v="-325986"/>
    <x v="13"/>
  </r>
  <r>
    <x v="144"/>
    <x v="46"/>
    <x v="0"/>
    <x v="0"/>
    <n v="0"/>
    <n v="0"/>
    <n v="0"/>
    <n v="0"/>
    <n v="0"/>
    <x v="13"/>
  </r>
  <r>
    <x v="145"/>
    <x v="1"/>
    <x v="0"/>
    <x v="0"/>
    <n v="0"/>
    <n v="0"/>
    <n v="0"/>
    <n v="0"/>
    <n v="0"/>
    <x v="14"/>
  </r>
  <r>
    <x v="146"/>
    <x v="1"/>
    <x v="0"/>
    <x v="0"/>
    <n v="9832"/>
    <n v="10087"/>
    <n v="16917"/>
    <n v="10535"/>
    <n v="10767"/>
    <x v="15"/>
  </r>
  <r>
    <x v="147"/>
    <x v="8"/>
    <x v="0"/>
    <x v="0"/>
    <n v="1898341"/>
    <n v="1970633"/>
    <n v="2128080.6865600003"/>
    <n v="2201967.6479973635"/>
    <n v="2278419.9647358321"/>
    <x v="15"/>
  </r>
  <r>
    <x v="148"/>
    <x v="16"/>
    <x v="0"/>
    <x v="0"/>
    <n v="2062"/>
    <n v="2116"/>
    <n v="2163"/>
    <n v="2211"/>
    <n v="2260"/>
    <x v="15"/>
  </r>
  <r>
    <x v="148"/>
    <x v="4"/>
    <x v="0"/>
    <x v="0"/>
    <n v="1738"/>
    <n v="1783"/>
    <n v="1822"/>
    <n v="1862"/>
    <n v="1903"/>
    <x v="15"/>
  </r>
  <r>
    <x v="148"/>
    <x v="20"/>
    <x v="0"/>
    <x v="0"/>
    <n v="4172"/>
    <n v="4280"/>
    <n v="4374"/>
    <n v="4470"/>
    <n v="4568"/>
    <x v="15"/>
  </r>
  <r>
    <x v="148"/>
    <x v="17"/>
    <x v="0"/>
    <x v="0"/>
    <n v="27088"/>
    <n v="28088.752350000002"/>
    <n v="29128.036186950001"/>
    <n v="30205.773525867149"/>
    <n v="31323.387146324232"/>
    <x v="15"/>
  </r>
  <r>
    <x v="149"/>
    <x v="1"/>
    <x v="0"/>
    <x v="0"/>
    <n v="2049"/>
    <n v="2102"/>
    <n v="2148"/>
    <n v="2195"/>
    <n v="2243"/>
    <x v="15"/>
  </r>
  <r>
    <x v="150"/>
    <x v="10"/>
    <x v="0"/>
    <x v="0"/>
    <n v="79851.039999999994"/>
    <n v="53449.78"/>
    <n v="55909"/>
    <n v="58481"/>
    <n v="61171"/>
    <x v="15"/>
  </r>
  <r>
    <x v="150"/>
    <x v="11"/>
    <x v="0"/>
    <x v="0"/>
    <n v="11468"/>
    <n v="11467"/>
    <n v="29498"/>
    <n v="29498"/>
    <n v="29498"/>
    <x v="15"/>
  </r>
  <r>
    <x v="148"/>
    <x v="24"/>
    <x v="0"/>
    <x v="0"/>
    <n v="-106263"/>
    <n v="-109768"/>
    <n v="-112183"/>
    <n v="-114651"/>
    <n v="-117173"/>
    <x v="15"/>
  </r>
  <r>
    <x v="151"/>
    <x v="34"/>
    <x v="0"/>
    <x v="0"/>
    <n v="2500"/>
    <n v="2570"/>
    <n v="2630"/>
    <n v="2690"/>
    <n v="2750"/>
    <x v="16"/>
  </r>
  <r>
    <x v="151"/>
    <x v="14"/>
    <x v="0"/>
    <x v="0"/>
    <n v="4784"/>
    <n v="5580"/>
    <n v="5700"/>
    <n v="5830"/>
    <n v="5960"/>
    <x v="16"/>
  </r>
  <r>
    <x v="151"/>
    <x v="4"/>
    <x v="0"/>
    <x v="0"/>
    <n v="1173"/>
    <n v="1203"/>
    <n v="1229"/>
    <n v="1256"/>
    <n v="1284"/>
    <x v="16"/>
  </r>
  <r>
    <x v="151"/>
    <x v="1"/>
    <x v="0"/>
    <x v="0"/>
    <n v="0"/>
    <n v="0"/>
    <n v="0"/>
    <n v="0"/>
    <n v="0"/>
    <x v="16"/>
  </r>
  <r>
    <x v="151"/>
    <x v="1"/>
    <x v="0"/>
    <x v="0"/>
    <n v="17871.32"/>
    <n v="28140"/>
    <n v="23194"/>
    <n v="23705"/>
    <n v="24226"/>
    <x v="16"/>
  </r>
  <r>
    <x v="152"/>
    <x v="9"/>
    <x v="0"/>
    <x v="0"/>
    <n v="28550"/>
    <n v="28570"/>
    <n v="29200"/>
    <n v="29840"/>
    <n v="30500"/>
    <x v="16"/>
  </r>
  <r>
    <x v="153"/>
    <x v="6"/>
    <x v="0"/>
    <x v="0"/>
    <n v="10193"/>
    <n v="10458"/>
    <n v="10688"/>
    <n v="10923"/>
    <n v="11163"/>
    <x v="16"/>
  </r>
  <r>
    <x v="154"/>
    <x v="1"/>
    <x v="0"/>
    <x v="0"/>
    <n v="14992"/>
    <n v="24500"/>
    <n v="25039"/>
    <n v="25590"/>
    <n v="26153"/>
    <x v="16"/>
  </r>
  <r>
    <x v="155"/>
    <x v="1"/>
    <x v="0"/>
    <x v="0"/>
    <n v="36493"/>
    <n v="33259"/>
    <n v="26929"/>
    <n v="27522"/>
    <n v="28128"/>
    <x v="16"/>
  </r>
  <r>
    <x v="156"/>
    <x v="13"/>
    <x v="0"/>
    <x v="0"/>
    <n v="21464"/>
    <n v="22038"/>
    <n v="22545"/>
    <n v="23064"/>
    <n v="23595"/>
    <x v="16"/>
  </r>
  <r>
    <x v="157"/>
    <x v="48"/>
    <x v="0"/>
    <x v="0"/>
    <n v="7932.25"/>
    <n v="8035.25"/>
    <n v="8135"/>
    <n v="8295.5"/>
    <n v="8427.5"/>
    <x v="16"/>
  </r>
  <r>
    <x v="158"/>
    <x v="10"/>
    <x v="0"/>
    <x v="0"/>
    <n v="888820.92999999993"/>
    <n v="1137843.78"/>
    <n v="1190185"/>
    <n v="1244934"/>
    <n v="1302201"/>
    <x v="16"/>
  </r>
  <r>
    <x v="158"/>
    <x v="11"/>
    <x v="0"/>
    <x v="0"/>
    <n v="8248"/>
    <n v="4519"/>
    <n v="10000"/>
    <n v="10000"/>
    <n v="10000"/>
    <x v="16"/>
  </r>
  <r>
    <x v="159"/>
    <x v="1"/>
    <x v="0"/>
    <x v="0"/>
    <n v="61794"/>
    <n v="63401"/>
    <n v="64796"/>
    <n v="66222"/>
    <n v="67679"/>
    <x v="16"/>
  </r>
  <r>
    <x v="160"/>
    <x v="1"/>
    <x v="0"/>
    <x v="0"/>
    <n v="18725"/>
    <n v="19212"/>
    <n v="19635"/>
    <n v="20067"/>
    <n v="20508"/>
    <x v="16"/>
  </r>
  <r>
    <x v="161"/>
    <x v="13"/>
    <x v="0"/>
    <x v="0"/>
    <n v="92803"/>
    <n v="82659"/>
    <n v="87013"/>
    <n v="91568"/>
    <n v="96332"/>
    <x v="16"/>
  </r>
  <r>
    <x v="161"/>
    <x v="1"/>
    <x v="0"/>
    <x v="0"/>
    <n v="15558"/>
    <n v="15963"/>
    <n v="16314"/>
    <n v="16673"/>
    <n v="17040"/>
    <x v="16"/>
  </r>
  <r>
    <x v="162"/>
    <x v="15"/>
    <x v="0"/>
    <x v="0"/>
    <n v="-35974"/>
    <n v="-20000"/>
    <n v="-20440"/>
    <n v="-20890"/>
    <n v="-21350"/>
    <x v="16"/>
  </r>
  <r>
    <x v="163"/>
    <x v="10"/>
    <x v="0"/>
    <x v="0"/>
    <n v="180300.64"/>
    <n v="113909.32"/>
    <n v="119150"/>
    <n v="124631"/>
    <n v="130364"/>
    <x v="16"/>
  </r>
  <r>
    <x v="164"/>
    <x v="10"/>
    <x v="0"/>
    <x v="0"/>
    <n v="204370.28"/>
    <n v="179523.23"/>
    <n v="187782"/>
    <n v="196420"/>
    <n v="205456"/>
    <x v="16"/>
  </r>
  <r>
    <x v="165"/>
    <x v="1"/>
    <x v="0"/>
    <x v="0"/>
    <n v="62767.901189919998"/>
    <n v="71229.598560000013"/>
    <n v="73556.123328000016"/>
    <n v="78457.691805350405"/>
    <n v="82473.526368919687"/>
    <x v="16"/>
  </r>
  <r>
    <x v="166"/>
    <x v="15"/>
    <x v="0"/>
    <x v="0"/>
    <n v="-1750"/>
    <n v="-1796"/>
    <n v="-1836"/>
    <n v="-1876"/>
    <n v="-1917"/>
    <x v="16"/>
  </r>
  <r>
    <x v="167"/>
    <x v="15"/>
    <x v="0"/>
    <x v="0"/>
    <n v="-5833"/>
    <n v="-5985"/>
    <n v="-6117"/>
    <n v="-6252"/>
    <n v="-6390"/>
    <x v="16"/>
  </r>
  <r>
    <x v="168"/>
    <x v="15"/>
    <x v="0"/>
    <x v="0"/>
    <n v="-34997"/>
    <n v="-35907"/>
    <n v="-36697"/>
    <n v="-37504"/>
    <n v="-38329"/>
    <x v="16"/>
  </r>
  <r>
    <x v="160"/>
    <x v="7"/>
    <x v="0"/>
    <x v="0"/>
    <n v="-18725"/>
    <n v="-19212"/>
    <n v="-19635"/>
    <n v="-20067"/>
    <n v="-20508"/>
    <x v="16"/>
  </r>
  <r>
    <x v="161"/>
    <x v="33"/>
    <x v="0"/>
    <x v="0"/>
    <n v="-92803"/>
    <n v="-94659"/>
    <n v="-99013"/>
    <n v="-103568"/>
    <n v="-108332"/>
    <x v="16"/>
  </r>
  <r>
    <x v="169"/>
    <x v="1"/>
    <x v="0"/>
    <x v="0"/>
    <n v="1184"/>
    <n v="1215"/>
    <n v="1242"/>
    <n v="1269"/>
    <n v="1297"/>
    <x v="17"/>
  </r>
  <r>
    <x v="170"/>
    <x v="1"/>
    <x v="0"/>
    <x v="0"/>
    <n v="11605"/>
    <n v="11907"/>
    <n v="12169"/>
    <n v="12437"/>
    <n v="12711"/>
    <x v="17"/>
  </r>
  <r>
    <x v="171"/>
    <x v="1"/>
    <x v="0"/>
    <x v="0"/>
    <n v="3519"/>
    <n v="3610"/>
    <n v="3689"/>
    <n v="3770"/>
    <n v="3853"/>
    <x v="17"/>
  </r>
  <r>
    <x v="172"/>
    <x v="19"/>
    <x v="0"/>
    <x v="0"/>
    <n v="11329"/>
    <n v="11624"/>
    <n v="11880"/>
    <n v="12141"/>
    <n v="12408"/>
    <x v="17"/>
  </r>
  <r>
    <x v="172"/>
    <x v="1"/>
    <x v="0"/>
    <x v="0"/>
    <n v="26448"/>
    <n v="27135"/>
    <n v="27732"/>
    <n v="28342"/>
    <n v="28965"/>
    <x v="17"/>
  </r>
  <r>
    <x v="173"/>
    <x v="1"/>
    <x v="0"/>
    <x v="0"/>
    <n v="2719"/>
    <n v="2790"/>
    <n v="2851"/>
    <n v="2914"/>
    <n v="2978"/>
    <x v="17"/>
  </r>
  <r>
    <x v="174"/>
    <x v="1"/>
    <x v="0"/>
    <x v="0"/>
    <n v="172000"/>
    <n v="218000"/>
    <n v="172000"/>
    <n v="172000"/>
    <n v="172000"/>
    <x v="17"/>
  </r>
  <r>
    <x v="175"/>
    <x v="1"/>
    <x v="0"/>
    <x v="0"/>
    <n v="1153"/>
    <n v="1183"/>
    <n v="1209"/>
    <n v="1236"/>
    <n v="1263"/>
    <x v="17"/>
  </r>
  <r>
    <x v="176"/>
    <x v="1"/>
    <x v="0"/>
    <x v="0"/>
    <n v="26533"/>
    <n v="27223"/>
    <n v="27822"/>
    <n v="28434"/>
    <n v="29060"/>
    <x v="17"/>
  </r>
  <r>
    <x v="177"/>
    <x v="1"/>
    <x v="0"/>
    <x v="0"/>
    <n v="56176"/>
    <n v="57637"/>
    <n v="58905"/>
    <n v="60201"/>
    <n v="61525"/>
    <x v="17"/>
  </r>
  <r>
    <x v="178"/>
    <x v="16"/>
    <x v="0"/>
    <x v="0"/>
    <n v="18077"/>
    <n v="18547"/>
    <n v="18955"/>
    <n v="19372"/>
    <n v="19798"/>
    <x v="17"/>
  </r>
  <r>
    <x v="178"/>
    <x v="16"/>
    <x v="0"/>
    <x v="0"/>
    <n v="1904"/>
    <n v="1954"/>
    <n v="1997"/>
    <n v="2041"/>
    <n v="2086"/>
    <x v="17"/>
  </r>
  <r>
    <x v="178"/>
    <x v="16"/>
    <x v="0"/>
    <x v="0"/>
    <n v="2176"/>
    <n v="2233"/>
    <n v="2282"/>
    <n v="2332"/>
    <n v="2383"/>
    <x v="17"/>
  </r>
  <r>
    <x v="178"/>
    <x v="16"/>
    <x v="0"/>
    <x v="0"/>
    <n v="12913"/>
    <n v="13249"/>
    <n v="13540"/>
    <n v="13838"/>
    <n v="14142"/>
    <x v="17"/>
  </r>
  <r>
    <x v="178"/>
    <x v="34"/>
    <x v="0"/>
    <x v="0"/>
    <n v="1567"/>
    <n v="1608"/>
    <n v="1643"/>
    <n v="1679"/>
    <n v="1716"/>
    <x v="17"/>
  </r>
  <r>
    <x v="178"/>
    <x v="4"/>
    <x v="0"/>
    <x v="0"/>
    <n v="2337"/>
    <n v="2398"/>
    <n v="2451"/>
    <n v="2505"/>
    <n v="2560"/>
    <x v="17"/>
  </r>
  <r>
    <x v="178"/>
    <x v="1"/>
    <x v="0"/>
    <x v="0"/>
    <n v="554868"/>
    <n v="573391"/>
    <n v="590801"/>
    <n v="600343"/>
    <n v="610021"/>
    <x v="17"/>
  </r>
  <r>
    <x v="178"/>
    <x v="1"/>
    <x v="0"/>
    <x v="0"/>
    <n v="82475"/>
    <n v="84619"/>
    <n v="86481"/>
    <n v="88384"/>
    <n v="90328"/>
    <x v="17"/>
  </r>
  <r>
    <x v="178"/>
    <x v="1"/>
    <x v="0"/>
    <x v="0"/>
    <n v="5328"/>
    <n v="5467"/>
    <n v="5587"/>
    <n v="5710"/>
    <n v="5836"/>
    <x v="17"/>
  </r>
  <r>
    <x v="179"/>
    <x v="16"/>
    <x v="0"/>
    <x v="0"/>
    <n v="419"/>
    <n v="419"/>
    <n v="419"/>
    <n v="420"/>
    <n v="420"/>
    <x v="17"/>
  </r>
  <r>
    <x v="179"/>
    <x v="34"/>
    <x v="0"/>
    <x v="0"/>
    <n v="0"/>
    <n v="0"/>
    <n v="0"/>
    <n v="0"/>
    <n v="0"/>
    <x v="17"/>
  </r>
  <r>
    <x v="179"/>
    <x v="4"/>
    <x v="0"/>
    <x v="0"/>
    <n v="809"/>
    <n v="830"/>
    <n v="848"/>
    <n v="867"/>
    <n v="886"/>
    <x v="17"/>
  </r>
  <r>
    <x v="179"/>
    <x v="1"/>
    <x v="0"/>
    <x v="0"/>
    <n v="33054"/>
    <n v="33973.5"/>
    <n v="34907.5"/>
    <n v="35960.58"/>
    <n v="37045.4"/>
    <x v="17"/>
  </r>
  <r>
    <x v="179"/>
    <x v="11"/>
    <x v="0"/>
    <x v="0"/>
    <n v="0"/>
    <n v="0"/>
    <n v="0"/>
    <n v="0"/>
    <n v="0"/>
    <x v="17"/>
  </r>
  <r>
    <x v="180"/>
    <x v="49"/>
    <x v="0"/>
    <x v="0"/>
    <n v="30202"/>
    <n v="30987"/>
    <n v="31669"/>
    <n v="32366"/>
    <n v="33078"/>
    <x v="17"/>
  </r>
  <r>
    <x v="181"/>
    <x v="19"/>
    <x v="0"/>
    <x v="0"/>
    <n v="172279"/>
    <n v="183132"/>
    <n v="192807"/>
    <n v="204033"/>
    <n v="214665"/>
    <x v="17"/>
  </r>
  <r>
    <x v="181"/>
    <x v="1"/>
    <x v="0"/>
    <x v="0"/>
    <n v="80987"/>
    <n v="83093"/>
    <n v="84920"/>
    <n v="86789"/>
    <n v="88698"/>
    <x v="17"/>
  </r>
  <r>
    <x v="181"/>
    <x v="11"/>
    <x v="0"/>
    <x v="0"/>
    <m/>
    <m/>
    <m/>
    <m/>
    <m/>
    <x v="17"/>
  </r>
  <r>
    <x v="182"/>
    <x v="13"/>
    <x v="0"/>
    <x v="0"/>
    <n v="230501"/>
    <n v="235111"/>
    <n v="245926"/>
    <n v="257239"/>
    <n v="269072"/>
    <x v="17"/>
  </r>
  <r>
    <x v="182"/>
    <x v="34"/>
    <x v="0"/>
    <x v="0"/>
    <n v="8080"/>
    <n v="8290"/>
    <n v="8472"/>
    <n v="8658"/>
    <n v="8848"/>
    <x v="17"/>
  </r>
  <r>
    <x v="182"/>
    <x v="4"/>
    <x v="0"/>
    <x v="0"/>
    <n v="2338"/>
    <n v="2399"/>
    <n v="2452"/>
    <n v="2506"/>
    <n v="2561"/>
    <x v="17"/>
  </r>
  <r>
    <x v="182"/>
    <x v="1"/>
    <x v="0"/>
    <x v="0"/>
    <n v="201468"/>
    <n v="281706"/>
    <n v="311254"/>
    <n v="340901"/>
    <n v="370652"/>
    <x v="17"/>
  </r>
  <r>
    <x v="182"/>
    <x v="35"/>
    <x v="0"/>
    <x v="0"/>
    <n v="66037"/>
    <n v="67754"/>
    <n v="69242.600000000006"/>
    <n v="70767.600000000006"/>
    <n v="72325"/>
    <x v="17"/>
  </r>
  <r>
    <x v="182"/>
    <x v="11"/>
    <x v="0"/>
    <x v="0"/>
    <n v="0"/>
    <n v="0"/>
    <n v="0"/>
    <n v="0"/>
    <n v="0"/>
    <x v="17"/>
  </r>
  <r>
    <x v="182"/>
    <x v="1"/>
    <x v="0"/>
    <x v="0"/>
    <n v="1201"/>
    <n v="1232"/>
    <n v="1259"/>
    <n v="1287"/>
    <n v="1315"/>
    <x v="17"/>
  </r>
  <r>
    <x v="183"/>
    <x v="1"/>
    <x v="0"/>
    <x v="0"/>
    <n v="0"/>
    <n v="0"/>
    <n v="0"/>
    <n v="0"/>
    <n v="0"/>
    <x v="17"/>
  </r>
  <r>
    <x v="170"/>
    <x v="50"/>
    <x v="0"/>
    <x v="0"/>
    <n v="-838"/>
    <n v="-860"/>
    <n v="-879"/>
    <n v="-898"/>
    <n v="-918"/>
    <x v="17"/>
  </r>
  <r>
    <x v="174"/>
    <x v="51"/>
    <x v="0"/>
    <x v="0"/>
    <n v="-66000"/>
    <n v="-66000"/>
    <n v="-20000"/>
    <n v="-20000"/>
    <n v="-20000"/>
    <x v="17"/>
  </r>
  <r>
    <x v="176"/>
    <x v="52"/>
    <x v="0"/>
    <x v="0"/>
    <n v="-14855"/>
    <n v="-15241"/>
    <n v="-15576"/>
    <n v="-15919"/>
    <n v="-16269"/>
    <x v="17"/>
  </r>
  <r>
    <x v="178"/>
    <x v="7"/>
    <x v="0"/>
    <x v="0"/>
    <n v="-2936"/>
    <n v="-3012"/>
    <n v="-3078"/>
    <n v="-3146"/>
    <n v="-3215"/>
    <x v="17"/>
  </r>
  <r>
    <x v="178"/>
    <x v="53"/>
    <x v="0"/>
    <x v="0"/>
    <n v="-5869"/>
    <n v="-6022"/>
    <n v="-6154"/>
    <n v="-6289"/>
    <n v="-6427"/>
    <x v="17"/>
  </r>
  <r>
    <x v="180"/>
    <x v="50"/>
    <x v="0"/>
    <x v="0"/>
    <n v="-30202"/>
    <n v="-30987"/>
    <n v="-31669"/>
    <n v="-32366"/>
    <n v="-33078"/>
    <x v="17"/>
  </r>
  <r>
    <x v="181"/>
    <x v="7"/>
    <x v="0"/>
    <x v="0"/>
    <n v="-3322"/>
    <n v="-3408"/>
    <n v="-3483"/>
    <n v="-3560"/>
    <n v="-3638"/>
    <x v="17"/>
  </r>
  <r>
    <x v="181"/>
    <x v="50"/>
    <x v="0"/>
    <x v="0"/>
    <n v="-4561"/>
    <n v="-4680"/>
    <n v="-4783"/>
    <n v="-4888"/>
    <n v="-4996"/>
    <x v="17"/>
  </r>
  <r>
    <x v="182"/>
    <x v="7"/>
    <x v="0"/>
    <x v="0"/>
    <n v="-359960"/>
    <n v="-414016"/>
    <n v="-443030"/>
    <n v="-472256"/>
    <n v="-502002"/>
    <x v="17"/>
  </r>
  <r>
    <x v="184"/>
    <x v="16"/>
    <x v="0"/>
    <x v="0"/>
    <n v="3165.4"/>
    <n v="3253.94"/>
    <n v="3345.14"/>
    <n v="3438.62"/>
    <n v="3534.76"/>
    <x v="17"/>
  </r>
  <r>
    <x v="184"/>
    <x v="16"/>
    <x v="0"/>
    <x v="0"/>
    <n v="540.36"/>
    <n v="555.56000000000006"/>
    <n v="571.14"/>
    <n v="587.1"/>
    <n v="603.44000000000005"/>
    <x v="17"/>
  </r>
  <r>
    <x v="184"/>
    <x v="16"/>
    <x v="0"/>
    <x v="0"/>
    <n v="72.2"/>
    <n v="74.099999999999994"/>
    <n v="76"/>
    <n v="78.28"/>
    <n v="80.56"/>
    <x v="17"/>
  </r>
  <r>
    <x v="184"/>
    <x v="13"/>
    <x v="0"/>
    <x v="0"/>
    <n v="7630.78"/>
    <n v="7830.28"/>
    <n v="8001.28"/>
    <n v="8176.08"/>
    <n v="8355.2993999999999"/>
    <x v="17"/>
  </r>
  <r>
    <x v="184"/>
    <x v="18"/>
    <x v="0"/>
    <x v="0"/>
    <n v="2744.7400000000002"/>
    <n v="2821.5"/>
    <n v="2900.54"/>
    <n v="2981.86"/>
    <n v="3065.46"/>
    <x v="17"/>
  </r>
  <r>
    <x v="184"/>
    <x v="19"/>
    <x v="0"/>
    <x v="0"/>
    <n v="254.6"/>
    <n v="261.82"/>
    <n v="269.04000000000002"/>
    <n v="276.64"/>
    <n v="284.24"/>
    <x v="17"/>
  </r>
  <r>
    <x v="184"/>
    <x v="34"/>
    <x v="0"/>
    <x v="0"/>
    <n v="141.36000000000001"/>
    <n v="145.16"/>
    <n v="149.34"/>
    <n v="153.52000000000001"/>
    <n v="157.69999999999999"/>
    <x v="17"/>
  </r>
  <r>
    <x v="184"/>
    <x v="4"/>
    <x v="0"/>
    <x v="0"/>
    <n v="207.48"/>
    <n v="213.18"/>
    <n v="219.26"/>
    <n v="225.34"/>
    <n v="231.8"/>
    <x v="17"/>
  </r>
  <r>
    <x v="184"/>
    <x v="4"/>
    <x v="0"/>
    <x v="0"/>
    <n v="153.52000000000001"/>
    <n v="157.69999999999999"/>
    <n v="162.26"/>
    <n v="166.82"/>
    <n v="171.38"/>
    <x v="17"/>
  </r>
  <r>
    <x v="184"/>
    <x v="4"/>
    <x v="0"/>
    <x v="0"/>
    <n v="1377.88"/>
    <n v="1416.64"/>
    <n v="1456.16"/>
    <n v="1496.82"/>
    <n v="1538.6200000000001"/>
    <x v="17"/>
  </r>
  <r>
    <x v="184"/>
    <x v="1"/>
    <x v="0"/>
    <x v="0"/>
    <n v="5558.26"/>
    <n v="5702.66"/>
    <n v="5828.06"/>
    <n v="5956.12"/>
    <n v="6087.22"/>
    <x v="17"/>
  </r>
  <r>
    <x v="184"/>
    <x v="35"/>
    <x v="0"/>
    <x v="0"/>
    <n v="0"/>
    <n v="0"/>
    <n v="0"/>
    <n v="0"/>
    <n v="0"/>
    <x v="17"/>
  </r>
  <r>
    <x v="184"/>
    <x v="20"/>
    <x v="0"/>
    <x v="0"/>
    <n v="9639.84"/>
    <n v="9890.64"/>
    <n v="10108.380000000001"/>
    <n v="10330.68"/>
    <n v="10557.92"/>
    <x v="17"/>
  </r>
  <r>
    <x v="184"/>
    <x v="17"/>
    <x v="0"/>
    <x v="0"/>
    <n v="6506.36"/>
    <n v="7971.6942720499201"/>
    <n v="8370.2789856524159"/>
    <n v="8788.7929349350379"/>
    <n v="9228.2325816817902"/>
    <x v="17"/>
  </r>
  <r>
    <x v="184"/>
    <x v="11"/>
    <x v="0"/>
    <x v="0"/>
    <n v="11992.42"/>
    <n v="11992.42"/>
    <n v="11992.42"/>
    <n v="11992.42"/>
    <n v="11992.42"/>
    <x v="17"/>
  </r>
  <r>
    <x v="184"/>
    <x v="34"/>
    <x v="0"/>
    <x v="0"/>
    <n v="51.3"/>
    <n v="52.82"/>
    <n v="54.34"/>
    <n v="55.86"/>
    <n v="57.38"/>
    <x v="17"/>
  </r>
  <r>
    <x v="184"/>
    <x v="1"/>
    <x v="0"/>
    <x v="0"/>
    <n v="7190.74"/>
    <n v="7377.7"/>
    <n v="7539.96"/>
    <n v="7705.64"/>
    <n v="7875.12"/>
    <x v="17"/>
  </r>
  <r>
    <x v="184"/>
    <x v="5"/>
    <x v="0"/>
    <x v="0"/>
    <n v="3150.2"/>
    <n v="3231.9"/>
    <n v="3302.96"/>
    <n v="3375.92"/>
    <n v="3450.4"/>
    <x v="17"/>
  </r>
  <r>
    <x v="184"/>
    <x v="16"/>
    <x v="0"/>
    <x v="0"/>
    <n v="5133.8"/>
    <n v="5267.18"/>
    <n v="5383.08"/>
    <n v="5501.64"/>
    <n v="5622.4800000000005"/>
    <x v="17"/>
  </r>
  <r>
    <x v="184"/>
    <x v="34"/>
    <x v="0"/>
    <x v="0"/>
    <n v="6074.68"/>
    <n v="6232.76"/>
    <n v="6369.9400000000005"/>
    <n v="6509.78"/>
    <n v="6653.42"/>
    <x v="17"/>
  </r>
  <r>
    <x v="184"/>
    <x v="4"/>
    <x v="0"/>
    <x v="0"/>
    <n v="8839.56"/>
    <n v="9069.4600000000009"/>
    <n v="9268.9600000000009"/>
    <n v="9473.02"/>
    <n v="9681.26"/>
    <x v="17"/>
  </r>
  <r>
    <x v="184"/>
    <x v="1"/>
    <x v="0"/>
    <x v="0"/>
    <n v="2588.1799999999998"/>
    <n v="2655.44"/>
    <n v="2713.58"/>
    <n v="2773.62"/>
    <n v="2834.42"/>
    <x v="17"/>
  </r>
  <r>
    <x v="184"/>
    <x v="11"/>
    <x v="0"/>
    <x v="0"/>
    <n v="20748"/>
    <n v="17820"/>
    <n v="20946"/>
    <n v="20946"/>
    <n v="20946"/>
    <x v="17"/>
  </r>
  <r>
    <x v="185"/>
    <x v="1"/>
    <x v="0"/>
    <x v="0"/>
    <n v="23984"/>
    <n v="72819"/>
    <n v="72819"/>
    <n v="72819"/>
    <n v="259615"/>
    <x v="17"/>
  </r>
  <r>
    <x v="186"/>
    <x v="1"/>
    <x v="0"/>
    <x v="0"/>
    <m/>
    <n v="500000"/>
    <m/>
    <m/>
    <m/>
    <x v="17"/>
  </r>
  <r>
    <x v="187"/>
    <x v="10"/>
    <x v="0"/>
    <x v="0"/>
    <n v="445649.86"/>
    <n v="419182"/>
    <n v="438464"/>
    <n v="458633"/>
    <n v="479730"/>
    <x v="17"/>
  </r>
  <r>
    <x v="187"/>
    <x v="10"/>
    <x v="0"/>
    <x v="0"/>
    <m/>
    <m/>
    <m/>
    <m/>
    <m/>
    <x v="17"/>
  </r>
  <r>
    <x v="187"/>
    <x v="10"/>
    <x v="0"/>
    <x v="0"/>
    <n v="-20234"/>
    <n v="-20234"/>
    <n v="-20234"/>
    <n v="-20233"/>
    <n v="-20233"/>
    <x v="17"/>
  </r>
  <r>
    <x v="187"/>
    <x v="10"/>
    <x v="0"/>
    <x v="0"/>
    <n v="0"/>
    <n v="0"/>
    <n v="0"/>
    <n v="0"/>
    <n v="0"/>
    <x v="17"/>
  </r>
  <r>
    <x v="187"/>
    <x v="10"/>
    <x v="0"/>
    <x v="0"/>
    <n v="0"/>
    <n v="0"/>
    <n v="0"/>
    <n v="0"/>
    <n v="0"/>
    <x v="17"/>
  </r>
  <r>
    <x v="187"/>
    <x v="10"/>
    <x v="0"/>
    <x v="0"/>
    <n v="0"/>
    <n v="0"/>
    <n v="0"/>
    <n v="0"/>
    <n v="0"/>
    <x v="17"/>
  </r>
  <r>
    <x v="187"/>
    <x v="10"/>
    <x v="0"/>
    <x v="0"/>
    <n v="0"/>
    <n v="0"/>
    <n v="0"/>
    <n v="0"/>
    <n v="0"/>
    <x v="17"/>
  </r>
  <r>
    <x v="187"/>
    <x v="10"/>
    <x v="0"/>
    <x v="0"/>
    <m/>
    <m/>
    <m/>
    <m/>
    <m/>
    <x v="17"/>
  </r>
  <r>
    <x v="187"/>
    <x v="10"/>
    <x v="0"/>
    <x v="0"/>
    <n v="439104.52"/>
    <n v="367305.83"/>
    <n v="375387"/>
    <n v="383646"/>
    <n v="392087"/>
    <x v="17"/>
  </r>
  <r>
    <x v="187"/>
    <x v="11"/>
    <x v="0"/>
    <x v="0"/>
    <n v="794151"/>
    <n v="813230"/>
    <n v="1073107"/>
    <n v="1364887"/>
    <n v="1657064"/>
    <x v="17"/>
  </r>
  <r>
    <x v="187"/>
    <x v="11"/>
    <x v="0"/>
    <x v="0"/>
    <m/>
    <m/>
    <m/>
    <m/>
    <m/>
    <x v="17"/>
  </r>
  <r>
    <x v="187"/>
    <x v="11"/>
    <x v="0"/>
    <x v="0"/>
    <m/>
    <m/>
    <m/>
    <m/>
    <m/>
    <x v="17"/>
  </r>
  <r>
    <x v="188"/>
    <x v="10"/>
    <x v="0"/>
    <x v="0"/>
    <n v="0"/>
    <n v="0"/>
    <n v="0"/>
    <n v="0"/>
    <n v="0"/>
    <x v="17"/>
  </r>
  <r>
    <x v="188"/>
    <x v="10"/>
    <x v="0"/>
    <x v="0"/>
    <n v="0"/>
    <n v="0"/>
    <n v="0"/>
    <n v="0"/>
    <n v="0"/>
    <x v="17"/>
  </r>
  <r>
    <x v="189"/>
    <x v="10"/>
    <x v="0"/>
    <x v="0"/>
    <n v="16851.22"/>
    <n v="14736"/>
    <n v="15414"/>
    <n v="16123"/>
    <n v="16865"/>
    <x v="17"/>
  </r>
  <r>
    <x v="189"/>
    <x v="11"/>
    <x v="0"/>
    <x v="0"/>
    <n v="0"/>
    <n v="0"/>
    <n v="0"/>
    <n v="0"/>
    <n v="0"/>
    <x v="17"/>
  </r>
  <r>
    <x v="190"/>
    <x v="16"/>
    <x v="0"/>
    <x v="0"/>
    <n v="4722"/>
    <n v="4845"/>
    <n v="4952"/>
    <n v="5061"/>
    <n v="5172"/>
    <x v="18"/>
  </r>
  <r>
    <x v="190"/>
    <x v="16"/>
    <x v="0"/>
    <x v="0"/>
    <n v="192"/>
    <n v="197"/>
    <n v="201"/>
    <n v="205"/>
    <n v="210"/>
    <x v="18"/>
  </r>
  <r>
    <x v="190"/>
    <x v="1"/>
    <x v="0"/>
    <x v="0"/>
    <n v="4780"/>
    <n v="4904"/>
    <n v="5012"/>
    <n v="5122"/>
    <n v="5235"/>
    <x v="18"/>
  </r>
  <r>
    <x v="190"/>
    <x v="1"/>
    <x v="0"/>
    <x v="0"/>
    <n v="124.72621199999999"/>
    <n v="127.96909351199999"/>
    <n v="130.78441356926399"/>
    <n v="133.6616706677878"/>
    <n v="136.60222742247913"/>
    <x v="18"/>
  </r>
  <r>
    <x v="190"/>
    <x v="1"/>
    <x v="0"/>
    <x v="0"/>
    <n v="28181"/>
    <n v="28914"/>
    <n v="29550"/>
    <n v="30200"/>
    <n v="30864"/>
    <x v="18"/>
  </r>
  <r>
    <x v="190"/>
    <x v="20"/>
    <x v="0"/>
    <x v="0"/>
    <n v="3933.6728399999997"/>
    <n v="4035.94833384"/>
    <n v="4124.73919718448"/>
    <n v="4215.4834595225384"/>
    <n v="4308.2240956320347"/>
    <x v="18"/>
  </r>
  <r>
    <x v="190"/>
    <x v="20"/>
    <x v="0"/>
    <x v="0"/>
    <n v="1689"/>
    <n v="1734"/>
    <n v="1773"/>
    <n v="1812"/>
    <n v="1852"/>
    <x v="18"/>
  </r>
  <r>
    <x v="190"/>
    <x v="20"/>
    <x v="0"/>
    <x v="0"/>
    <n v="1140"/>
    <n v="1170"/>
    <n v="1196"/>
    <n v="1222"/>
    <n v="1249"/>
    <x v="18"/>
  </r>
  <r>
    <x v="190"/>
    <x v="20"/>
    <x v="0"/>
    <x v="0"/>
    <n v="34944"/>
    <n v="35853"/>
    <n v="36642"/>
    <n v="37448"/>
    <n v="38272"/>
    <x v="18"/>
  </r>
  <r>
    <x v="190"/>
    <x v="20"/>
    <x v="0"/>
    <x v="0"/>
    <n v="-28180.661659999998"/>
    <n v="-28913.35886316"/>
    <n v="-29549.45275814952"/>
    <n v="-30199.540718828812"/>
    <n v="-30863.930614643046"/>
    <x v="18"/>
  </r>
  <r>
    <x v="190"/>
    <x v="17"/>
    <x v="0"/>
    <x v="0"/>
    <n v="4938.1939999999995"/>
    <n v="4621.3325079468796"/>
    <n v="4792.3218107409139"/>
    <n v="4969.6377177383274"/>
    <n v="25154"/>
    <x v="18"/>
  </r>
  <r>
    <x v="190"/>
    <x v="24"/>
    <x v="0"/>
    <x v="0"/>
    <n v="-11507"/>
    <n v="-11835"/>
    <n v="-12095"/>
    <n v="-12361"/>
    <n v="-12633"/>
    <x v="18"/>
  </r>
  <r>
    <x v="191"/>
    <x v="10"/>
    <x v="0"/>
    <x v="0"/>
    <n v="0"/>
    <n v="0"/>
    <n v="0"/>
    <n v="0"/>
    <n v="0"/>
    <x v="18"/>
  </r>
  <r>
    <x v="191"/>
    <x v="11"/>
    <x v="0"/>
    <x v="0"/>
    <n v="31806"/>
    <n v="31806"/>
    <n v="31806"/>
    <n v="31806"/>
    <n v="81806"/>
    <x v="18"/>
  </r>
  <r>
    <x v="192"/>
    <x v="1"/>
    <x v="0"/>
    <x v="0"/>
    <n v="69606"/>
    <n v="95585.3"/>
    <n v="97688.4"/>
    <n v="99837.48"/>
    <n v="102033.54000000001"/>
    <x v="19"/>
  </r>
  <r>
    <x v="193"/>
    <x v="19"/>
    <x v="0"/>
    <x v="0"/>
    <n v="105"/>
    <n v="105"/>
    <n v="105"/>
    <n v="106"/>
    <n v="106"/>
    <x v="19"/>
  </r>
  <r>
    <x v="193"/>
    <x v="54"/>
    <x v="0"/>
    <x v="0"/>
    <n v="1278"/>
    <n v="1312"/>
    <n v="1340"/>
    <n v="1370"/>
    <n v="1400"/>
    <x v="19"/>
  </r>
  <r>
    <x v="194"/>
    <x v="10"/>
    <x v="0"/>
    <x v="0"/>
    <n v="2592.4899999999998"/>
    <n v="2452.5100000000002"/>
    <n v="2565"/>
    <n v="2683"/>
    <n v="2806"/>
    <x v="19"/>
  </r>
  <r>
    <x v="194"/>
    <x v="11"/>
    <x v="0"/>
    <x v="0"/>
    <n v="5000"/>
    <n v="5000"/>
    <n v="5000"/>
    <n v="5000"/>
    <n v="5000"/>
    <x v="19"/>
  </r>
  <r>
    <x v="192"/>
    <x v="7"/>
    <x v="0"/>
    <x v="0"/>
    <n v="-350"/>
    <n v="-349"/>
    <n v="-349"/>
    <n v="-348"/>
    <n v="-348"/>
    <x v="19"/>
  </r>
  <r>
    <x v="195"/>
    <x v="55"/>
    <x v="0"/>
    <x v="0"/>
    <n v="1490"/>
    <n v="1529"/>
    <n v="1563"/>
    <n v="1597"/>
    <n v="1632"/>
    <x v="20"/>
  </r>
  <r>
    <x v="196"/>
    <x v="1"/>
    <x v="0"/>
    <x v="0"/>
    <n v="27105"/>
    <n v="27830"/>
    <n v="28451"/>
    <n v="29077"/>
    <n v="29707"/>
    <x v="20"/>
  </r>
  <r>
    <x v="197"/>
    <x v="13"/>
    <x v="0"/>
    <x v="0"/>
    <n v="59600"/>
    <n v="0"/>
    <n v="0"/>
    <n v="0"/>
    <n v="0"/>
    <x v="20"/>
  </r>
  <r>
    <x v="197"/>
    <x v="6"/>
    <x v="0"/>
    <x v="0"/>
    <n v="31240"/>
    <n v="0"/>
    <n v="0"/>
    <n v="0"/>
    <n v="5.681496461329516E-2"/>
    <x v="20"/>
  </r>
  <r>
    <x v="198"/>
    <x v="8"/>
    <x v="0"/>
    <x v="0"/>
    <n v="215000"/>
    <n v="220590"/>
    <n v="225443"/>
    <n v="230403"/>
    <n v="235472"/>
    <x v="20"/>
  </r>
  <r>
    <x v="198"/>
    <x v="9"/>
    <x v="0"/>
    <x v="0"/>
    <n v="11933"/>
    <n v="12243"/>
    <n v="0"/>
    <n v="0"/>
    <n v="0"/>
    <x v="20"/>
  </r>
  <r>
    <x v="199"/>
    <x v="6"/>
    <x v="0"/>
    <x v="0"/>
    <n v="30382"/>
    <n v="31172"/>
    <n v="31858"/>
    <n v="32559"/>
    <n v="33275"/>
    <x v="20"/>
  </r>
  <r>
    <x v="200"/>
    <x v="34"/>
    <x v="0"/>
    <x v="0"/>
    <n v="980"/>
    <n v="1005"/>
    <n v="1027"/>
    <n v="1050"/>
    <n v="1073"/>
    <x v="20"/>
  </r>
  <r>
    <x v="200"/>
    <x v="14"/>
    <x v="0"/>
    <x v="0"/>
    <n v="25107.5"/>
    <n v="25764.86"/>
    <n v="26330.92"/>
    <n v="26906.11"/>
    <n v="27529.68"/>
    <x v="20"/>
  </r>
  <r>
    <x v="200"/>
    <x v="4"/>
    <x v="0"/>
    <x v="0"/>
    <n v="921"/>
    <n v="945"/>
    <n v="966"/>
    <n v="987"/>
    <n v="1009"/>
    <x v="20"/>
  </r>
  <r>
    <x v="200"/>
    <x v="1"/>
    <x v="0"/>
    <x v="0"/>
    <n v="866"/>
    <n v="889"/>
    <n v="909"/>
    <n v="929"/>
    <n v="949"/>
    <x v="20"/>
  </r>
  <r>
    <x v="201"/>
    <x v="1"/>
    <x v="0"/>
    <x v="0"/>
    <n v="0"/>
    <n v="0"/>
    <n v="0"/>
    <n v="0"/>
    <n v="0"/>
    <x v="20"/>
  </r>
  <r>
    <x v="202"/>
    <x v="1"/>
    <x v="0"/>
    <x v="0"/>
    <n v="30840"/>
    <n v="31642"/>
    <n v="32338"/>
    <n v="33049"/>
    <n v="33776"/>
    <x v="20"/>
  </r>
  <r>
    <x v="203"/>
    <x v="6"/>
    <x v="0"/>
    <x v="0"/>
    <n v="370000"/>
    <n v="440800"/>
    <n v="450100"/>
    <n v="460500"/>
    <n v="470900"/>
    <x v="20"/>
  </r>
  <r>
    <x v="195"/>
    <x v="24"/>
    <x v="0"/>
    <x v="0"/>
    <n v="-59"/>
    <n v="-59"/>
    <n v="-60"/>
    <n v="-61"/>
    <n v="-62"/>
    <x v="20"/>
  </r>
  <r>
    <x v="195"/>
    <x v="23"/>
    <x v="0"/>
    <x v="0"/>
    <n v="-1"/>
    <n v="-1"/>
    <n v="-1"/>
    <n v="-1"/>
    <n v="-1"/>
    <x v="20"/>
  </r>
  <r>
    <x v="204"/>
    <x v="15"/>
    <x v="0"/>
    <x v="0"/>
    <n v="-140032"/>
    <n v="-143673"/>
    <n v="-146834"/>
    <n v="-150064"/>
    <n v="-153365"/>
    <x v="20"/>
  </r>
  <r>
    <x v="205"/>
    <x v="10"/>
    <x v="0"/>
    <x v="0"/>
    <n v="180694"/>
    <n v="196836.7"/>
    <n v="205891"/>
    <n v="215362"/>
    <n v="225269"/>
    <x v="20"/>
  </r>
  <r>
    <x v="205"/>
    <x v="11"/>
    <x v="0"/>
    <x v="0"/>
    <n v="1410"/>
    <n v="0"/>
    <n v="0"/>
    <n v="0"/>
    <n v="0"/>
    <x v="20"/>
  </r>
  <r>
    <x v="206"/>
    <x v="10"/>
    <x v="0"/>
    <x v="0"/>
    <n v="146572.94"/>
    <n v="114331"/>
    <n v="119590"/>
    <n v="125091"/>
    <n v="130846"/>
    <x v="20"/>
  </r>
  <r>
    <x v="207"/>
    <x v="19"/>
    <x v="0"/>
    <x v="0"/>
    <n v="2852"/>
    <n v="2926"/>
    <n v="2990"/>
    <n v="3056"/>
    <n v="3123"/>
    <x v="21"/>
  </r>
  <r>
    <x v="207"/>
    <x v="1"/>
    <x v="0"/>
    <x v="0"/>
    <n v="1143"/>
    <n v="1173"/>
    <n v="1199"/>
    <n v="1225"/>
    <n v="1251"/>
    <x v="21"/>
  </r>
  <r>
    <x v="208"/>
    <x v="19"/>
    <x v="0"/>
    <x v="0"/>
    <n v="5689"/>
    <n v="5780.0240000000003"/>
    <n v="5872.5043840000008"/>
    <n v="5966.4644541440011"/>
    <n v="6061.927885410305"/>
    <x v="21"/>
  </r>
  <r>
    <x v="209"/>
    <x v="10"/>
    <x v="0"/>
    <x v="0"/>
    <n v="27399.62"/>
    <n v="32097"/>
    <n v="33573"/>
    <n v="35117"/>
    <n v="36732"/>
    <x v="21"/>
  </r>
  <r>
    <x v="207"/>
    <x v="15"/>
    <x v="0"/>
    <x v="0"/>
    <n v="-28133"/>
    <n v="-28660"/>
    <n v="-28708"/>
    <n v="-29718"/>
    <n v="-29769"/>
    <x v="21"/>
  </r>
  <r>
    <x v="210"/>
    <x v="13"/>
    <x v="0"/>
    <x v="0"/>
    <n v="33401"/>
    <n v="34269"/>
    <n v="35023"/>
    <n v="35794"/>
    <n v="36581"/>
    <x v="22"/>
  </r>
  <r>
    <x v="210"/>
    <x v="19"/>
    <x v="0"/>
    <x v="0"/>
    <n v="948"/>
    <n v="973"/>
    <n v="994"/>
    <n v="1016"/>
    <n v="1038"/>
    <x v="22"/>
  </r>
  <r>
    <x v="210"/>
    <x v="1"/>
    <x v="0"/>
    <x v="0"/>
    <n v="296673"/>
    <n v="297684.74699999997"/>
    <n v="298719.76418100001"/>
    <n v="299816.58675716299"/>
    <n v="300899.7622525777"/>
    <x v="22"/>
  </r>
  <r>
    <x v="210"/>
    <x v="1"/>
    <x v="0"/>
    <x v="0"/>
    <n v="555"/>
    <n v="569"/>
    <n v="582"/>
    <n v="595"/>
    <n v="608"/>
    <x v="22"/>
  </r>
  <r>
    <x v="211"/>
    <x v="10"/>
    <x v="0"/>
    <x v="0"/>
    <n v="0"/>
    <n v="26011.08"/>
    <n v="27208"/>
    <n v="28460"/>
    <n v="29769"/>
    <x v="22"/>
  </r>
  <r>
    <x v="212"/>
    <x v="10"/>
    <x v="0"/>
    <x v="0"/>
    <n v="142055.76999999999"/>
    <n v="154759"/>
    <n v="161982"/>
    <n v="169543"/>
    <n v="177457"/>
    <x v="22"/>
  </r>
  <r>
    <x v="213"/>
    <x v="19"/>
    <x v="0"/>
    <x v="0"/>
    <n v="1966"/>
    <n v="2017"/>
    <n v="2061"/>
    <n v="2106"/>
    <n v="2152"/>
    <x v="22"/>
  </r>
  <r>
    <x v="213"/>
    <x v="1"/>
    <x v="0"/>
    <x v="0"/>
    <n v="1092"/>
    <n v="1120"/>
    <n v="1145"/>
    <n v="1170"/>
    <n v="1196"/>
    <x v="22"/>
  </r>
  <r>
    <x v="210"/>
    <x v="15"/>
    <x v="0"/>
    <x v="0"/>
    <n v="-409200"/>
    <n v="-419839"/>
    <n v="-429075"/>
    <n v="-438515"/>
    <n v="-448162"/>
    <x v="22"/>
  </r>
  <r>
    <x v="214"/>
    <x v="41"/>
    <x v="0"/>
    <x v="0"/>
    <n v="-452499"/>
    <n v="-455180"/>
    <n v="-459352"/>
    <n v="-463669"/>
    <n v="-468136"/>
    <x v="22"/>
  </r>
  <r>
    <x v="215"/>
    <x v="9"/>
    <x v="0"/>
    <x v="0"/>
    <n v="77100"/>
    <n v="0"/>
    <n v="0"/>
    <n v="0"/>
    <n v="0"/>
    <x v="23"/>
  </r>
  <r>
    <x v="216"/>
    <x v="1"/>
    <x v="0"/>
    <x v="0"/>
    <n v="6512"/>
    <n v="6681"/>
    <n v="6828"/>
    <n v="6978"/>
    <n v="7132"/>
    <x v="23"/>
  </r>
  <r>
    <x v="217"/>
    <x v="20"/>
    <x v="0"/>
    <x v="0"/>
    <n v="35567"/>
    <n v="36492"/>
    <n v="37295"/>
    <n v="38115"/>
    <n v="38954"/>
    <x v="23"/>
  </r>
  <r>
    <x v="217"/>
    <x v="17"/>
    <x v="0"/>
    <x v="0"/>
    <n v="10258.003999999999"/>
    <n v="10637.715324678398"/>
    <n v="11031.310791691498"/>
    <n v="11439.469290984081"/>
    <n v="11862.729654750492"/>
    <x v="23"/>
  </r>
  <r>
    <x v="218"/>
    <x v="14"/>
    <x v="0"/>
    <x v="0"/>
    <n v="82190"/>
    <n v="84320"/>
    <n v="86180"/>
    <n v="88070"/>
    <n v="90010"/>
    <x v="23"/>
  </r>
  <r>
    <x v="218"/>
    <x v="9"/>
    <x v="0"/>
    <x v="0"/>
    <n v="1000"/>
    <n v="1000"/>
    <n v="1000"/>
    <n v="1000"/>
    <n v="1000"/>
    <x v="23"/>
  </r>
  <r>
    <x v="219"/>
    <x v="16"/>
    <x v="0"/>
    <x v="0"/>
    <n v="0"/>
    <n v="8396"/>
    <n v="8581"/>
    <n v="8770"/>
    <n v="8963"/>
    <x v="23"/>
  </r>
  <r>
    <x v="219"/>
    <x v="4"/>
    <x v="0"/>
    <x v="0"/>
    <n v="0"/>
    <n v="3555"/>
    <n v="3647"/>
    <n v="3742"/>
    <n v="3839"/>
    <x v="23"/>
  </r>
  <r>
    <x v="220"/>
    <x v="16"/>
    <x v="0"/>
    <x v="0"/>
    <n v="0"/>
    <n v="15170"/>
    <n v="15504"/>
    <n v="15845"/>
    <n v="16194"/>
    <x v="23"/>
  </r>
  <r>
    <x v="220"/>
    <x v="4"/>
    <x v="0"/>
    <x v="0"/>
    <n v="0"/>
    <n v="0"/>
    <n v="0"/>
    <n v="0"/>
    <n v="0"/>
    <x v="23"/>
  </r>
  <r>
    <x v="221"/>
    <x v="16"/>
    <x v="0"/>
    <x v="0"/>
    <n v="0"/>
    <n v="8014"/>
    <n v="8190"/>
    <n v="8370"/>
    <n v="8554"/>
    <x v="23"/>
  </r>
  <r>
    <x v="221"/>
    <x v="4"/>
    <x v="0"/>
    <x v="0"/>
    <n v="5555"/>
    <n v="3787"/>
    <n v="3870"/>
    <n v="3955"/>
    <n v="4042"/>
    <x v="23"/>
  </r>
  <r>
    <x v="222"/>
    <x v="16"/>
    <x v="0"/>
    <x v="0"/>
    <n v="0"/>
    <n v="12452"/>
    <n v="12726"/>
    <n v="13006"/>
    <n v="13292"/>
    <x v="23"/>
  </r>
  <r>
    <x v="222"/>
    <x v="4"/>
    <x v="0"/>
    <x v="0"/>
    <n v="4234"/>
    <n v="2901"/>
    <n v="2965"/>
    <n v="3030"/>
    <n v="3097"/>
    <x v="23"/>
  </r>
  <r>
    <x v="223"/>
    <x v="16"/>
    <x v="0"/>
    <x v="0"/>
    <n v="0"/>
    <n v="6154"/>
    <n v="6289"/>
    <n v="6427"/>
    <n v="6568"/>
    <x v="23"/>
  </r>
  <r>
    <x v="223"/>
    <x v="4"/>
    <x v="0"/>
    <x v="0"/>
    <n v="4131"/>
    <n v="2796"/>
    <n v="2858"/>
    <n v="2921"/>
    <n v="2985"/>
    <x v="23"/>
  </r>
  <r>
    <x v="224"/>
    <x v="4"/>
    <x v="0"/>
    <x v="0"/>
    <n v="2388"/>
    <n v="1633"/>
    <n v="1675"/>
    <n v="1719"/>
    <n v="1764"/>
    <x v="23"/>
  </r>
  <r>
    <x v="225"/>
    <x v="16"/>
    <x v="0"/>
    <x v="0"/>
    <n v="0"/>
    <n v="7107"/>
    <n v="7263"/>
    <n v="7423"/>
    <n v="7586"/>
    <x v="23"/>
  </r>
  <r>
    <x v="225"/>
    <x v="4"/>
    <x v="0"/>
    <x v="0"/>
    <n v="3631"/>
    <n v="2486"/>
    <n v="2541"/>
    <n v="2597"/>
    <n v="2654"/>
    <x v="23"/>
  </r>
  <r>
    <x v="226"/>
    <x v="16"/>
    <x v="0"/>
    <x v="0"/>
    <n v="0"/>
    <n v="3505"/>
    <n v="3582"/>
    <n v="3661"/>
    <n v="3742"/>
    <x v="23"/>
  </r>
  <r>
    <x v="226"/>
    <x v="4"/>
    <x v="0"/>
    <x v="0"/>
    <n v="3934"/>
    <n v="2660"/>
    <n v="2719"/>
    <n v="2779"/>
    <n v="2840"/>
    <x v="23"/>
  </r>
  <r>
    <x v="227"/>
    <x v="16"/>
    <x v="0"/>
    <x v="0"/>
    <n v="0"/>
    <n v="6156"/>
    <n v="6291"/>
    <n v="6429"/>
    <n v="6570"/>
    <x v="23"/>
  </r>
  <r>
    <x v="227"/>
    <x v="4"/>
    <x v="0"/>
    <x v="0"/>
    <n v="3097"/>
    <n v="5140"/>
    <n v="5284"/>
    <n v="5432"/>
    <n v="5584"/>
    <x v="23"/>
  </r>
  <r>
    <x v="228"/>
    <x v="4"/>
    <x v="0"/>
    <x v="0"/>
    <n v="2235"/>
    <n v="0"/>
    <n v="0"/>
    <n v="0"/>
    <n v="0"/>
    <x v="23"/>
  </r>
  <r>
    <x v="229"/>
    <x v="16"/>
    <x v="0"/>
    <x v="0"/>
    <n v="0"/>
    <n v="19178"/>
    <n v="19600"/>
    <n v="20031"/>
    <n v="20472"/>
    <x v="23"/>
  </r>
  <r>
    <x v="229"/>
    <x v="4"/>
    <x v="0"/>
    <x v="0"/>
    <n v="0"/>
    <n v="4990"/>
    <n v="5100"/>
    <n v="5212"/>
    <n v="5327"/>
    <x v="23"/>
  </r>
  <r>
    <x v="230"/>
    <x v="16"/>
    <x v="0"/>
    <x v="0"/>
    <n v="47476"/>
    <n v="48710"/>
    <n v="49782"/>
    <n v="50877"/>
    <n v="51996"/>
    <x v="23"/>
  </r>
  <r>
    <x v="230"/>
    <x v="16"/>
    <x v="0"/>
    <x v="0"/>
    <n v="905"/>
    <n v="929"/>
    <n v="949"/>
    <n v="970"/>
    <n v="991"/>
    <x v="23"/>
  </r>
  <r>
    <x v="230"/>
    <x v="4"/>
    <x v="0"/>
    <x v="0"/>
    <n v="327"/>
    <n v="336"/>
    <n v="343"/>
    <n v="351"/>
    <n v="359"/>
    <x v="23"/>
  </r>
  <r>
    <x v="231"/>
    <x v="16"/>
    <x v="0"/>
    <x v="0"/>
    <n v="0"/>
    <n v="6366"/>
    <n v="6506"/>
    <n v="6649"/>
    <n v="6795"/>
    <x v="23"/>
  </r>
  <r>
    <x v="231"/>
    <x v="4"/>
    <x v="0"/>
    <x v="0"/>
    <n v="0"/>
    <n v="5130"/>
    <n v="5243"/>
    <n v="5358"/>
    <n v="5476"/>
    <x v="23"/>
  </r>
  <r>
    <x v="215"/>
    <x v="24"/>
    <x v="0"/>
    <x v="0"/>
    <n v="-50113"/>
    <n v="-51766"/>
    <n v="-52900"/>
    <n v="-54060"/>
    <n v="-55250"/>
    <x v="23"/>
  </r>
  <r>
    <x v="229"/>
    <x v="24"/>
    <x v="0"/>
    <x v="0"/>
    <n v="0"/>
    <n v="-28557"/>
    <n v="-29185"/>
    <n v="-29827"/>
    <n v="-30483"/>
    <x v="23"/>
  </r>
  <r>
    <x v="232"/>
    <x v="10"/>
    <x v="0"/>
    <x v="0"/>
    <n v="72527.612999999998"/>
    <n v="58898.64"/>
    <n v="61608"/>
    <n v="64441"/>
    <n v="67405"/>
    <x v="23"/>
  </r>
  <r>
    <x v="232"/>
    <x v="11"/>
    <x v="0"/>
    <x v="0"/>
    <n v="595191"/>
    <n v="1369938"/>
    <n v="1366235"/>
    <n v="2090360"/>
    <n v="2203027"/>
    <x v="23"/>
  </r>
  <r>
    <x v="233"/>
    <x v="1"/>
    <x v="0"/>
    <x v="0"/>
    <n v="357"/>
    <n v="366"/>
    <n v="374"/>
    <n v="382"/>
    <n v="390"/>
    <x v="24"/>
  </r>
  <r>
    <x v="234"/>
    <x v="1"/>
    <x v="0"/>
    <x v="0"/>
    <n v="22380"/>
    <n v="22962"/>
    <n v="23467"/>
    <n v="23983"/>
    <n v="24511"/>
    <x v="24"/>
  </r>
  <r>
    <x v="235"/>
    <x v="1"/>
    <x v="0"/>
    <x v="0"/>
    <n v="28444"/>
    <n v="29184"/>
    <n v="29826"/>
    <n v="30482"/>
    <n v="31153"/>
    <x v="24"/>
  </r>
  <r>
    <x v="236"/>
    <x v="56"/>
    <x v="0"/>
    <x v="0"/>
    <n v="605000"/>
    <n v="683000"/>
    <n v="714300"/>
    <n v="724800"/>
    <n v="758300"/>
    <x v="24"/>
  </r>
  <r>
    <x v="237"/>
    <x v="6"/>
    <x v="0"/>
    <x v="0"/>
    <n v="693526"/>
    <n v="711696"/>
    <n v="720295"/>
    <n v="729187"/>
    <n v="738466"/>
    <x v="24"/>
  </r>
  <r>
    <x v="238"/>
    <x v="1"/>
    <x v="0"/>
    <x v="0"/>
    <n v="77240"/>
    <n v="79247"/>
    <n v="80990"/>
    <n v="82771"/>
    <n v="84591"/>
    <x v="24"/>
  </r>
  <r>
    <x v="239"/>
    <x v="10"/>
    <x v="0"/>
    <x v="0"/>
    <n v="280494.44"/>
    <n v="303283.23"/>
    <n v="317234"/>
    <n v="331827"/>
    <n v="347091"/>
    <x v="24"/>
  </r>
  <r>
    <x v="233"/>
    <x v="57"/>
    <x v="0"/>
    <x v="0"/>
    <n v="-7500"/>
    <n v="-7500"/>
    <n v="-7500"/>
    <n v="-7499"/>
    <n v="-7499"/>
    <x v="24"/>
  </r>
  <r>
    <x v="240"/>
    <x v="42"/>
    <x v="0"/>
    <x v="0"/>
    <n v="-400000"/>
    <n v="-400000"/>
    <n v="-400000"/>
    <n v="-400000"/>
    <n v="-400000"/>
    <x v="24"/>
  </r>
  <r>
    <x v="236"/>
    <x v="58"/>
    <x v="0"/>
    <x v="0"/>
    <n v="-11680"/>
    <n v="-11980"/>
    <n v="-12240"/>
    <n v="-12510"/>
    <n v="-12790"/>
    <x v="24"/>
  </r>
  <r>
    <x v="241"/>
    <x v="1"/>
    <x v="0"/>
    <x v="0"/>
    <n v="0"/>
    <n v="0"/>
    <n v="0"/>
    <n v="0"/>
    <n v="0"/>
    <x v="25"/>
  </r>
  <r>
    <x v="241"/>
    <x v="6"/>
    <x v="0"/>
    <x v="0"/>
    <n v="69214"/>
    <n v="71013"/>
    <n v="72575"/>
    <n v="74172"/>
    <n v="75803"/>
    <x v="25"/>
  </r>
  <r>
    <x v="242"/>
    <x v="6"/>
    <x v="0"/>
    <x v="0"/>
    <n v="207801"/>
    <n v="209393"/>
    <n v="213129"/>
    <n v="217037"/>
    <n v="221125"/>
    <x v="25"/>
  </r>
  <r>
    <x v="243"/>
    <x v="6"/>
    <x v="0"/>
    <x v="0"/>
    <n v="19408"/>
    <n v="14923"/>
    <n v="14923"/>
    <n v="14924"/>
    <n v="14924"/>
    <x v="25"/>
  </r>
  <r>
    <x v="244"/>
    <x v="6"/>
    <x v="0"/>
    <x v="0"/>
    <n v="133617"/>
    <n v="129081"/>
    <n v="129081"/>
    <n v="129082"/>
    <n v="129082"/>
    <x v="25"/>
  </r>
  <r>
    <x v="245"/>
    <x v="10"/>
    <x v="0"/>
    <x v="0"/>
    <n v="118700.44"/>
    <n v="140596.75"/>
    <n v="147065"/>
    <n v="153830"/>
    <n v="160907"/>
    <x v="25"/>
  </r>
  <r>
    <x v="243"/>
    <x v="42"/>
    <x v="0"/>
    <x v="0"/>
    <n v="-19408"/>
    <n v="-14923"/>
    <n v="-14923"/>
    <n v="-14924"/>
    <n v="-14924"/>
    <x v="25"/>
  </r>
  <r>
    <x v="244"/>
    <x v="42"/>
    <x v="0"/>
    <x v="0"/>
    <n v="-133617"/>
    <n v="-129081"/>
    <n v="-129081"/>
    <n v="-129080"/>
    <n v="-129080"/>
    <x v="25"/>
  </r>
  <r>
    <x v="246"/>
    <x v="16"/>
    <x v="0"/>
    <x v="0"/>
    <n v="7092"/>
    <n v="7276"/>
    <n v="7436"/>
    <n v="7600"/>
    <n v="7767"/>
    <x v="26"/>
  </r>
  <r>
    <x v="246"/>
    <x v="4"/>
    <x v="0"/>
    <x v="0"/>
    <n v="1155"/>
    <n v="1185"/>
    <n v="1211"/>
    <n v="1238"/>
    <n v="1265"/>
    <x v="26"/>
  </r>
  <r>
    <x v="247"/>
    <x v="16"/>
    <x v="0"/>
    <x v="0"/>
    <n v="1589"/>
    <n v="1630"/>
    <n v="1666"/>
    <n v="1703"/>
    <n v="1740"/>
    <x v="26"/>
  </r>
  <r>
    <x v="247"/>
    <x v="13"/>
    <x v="0"/>
    <x v="0"/>
    <n v="1010.8"/>
    <n v="1031.2"/>
    <n v="1078.8"/>
    <n v="1156.6100000000001"/>
    <n v="1156.6100000000001"/>
    <x v="26"/>
  </r>
  <r>
    <x v="247"/>
    <x v="4"/>
    <x v="0"/>
    <x v="0"/>
    <n v="517"/>
    <n v="530"/>
    <n v="542"/>
    <n v="554"/>
    <n v="566"/>
    <x v="26"/>
  </r>
  <r>
    <x v="247"/>
    <x v="1"/>
    <x v="0"/>
    <x v="0"/>
    <n v="955"/>
    <n v="980"/>
    <n v="1002"/>
    <n v="1024"/>
    <n v="1047"/>
    <x v="26"/>
  </r>
  <r>
    <x v="248"/>
    <x v="16"/>
    <x v="0"/>
    <x v="0"/>
    <n v="958"/>
    <n v="983"/>
    <n v="1005"/>
    <n v="1027"/>
    <n v="1050"/>
    <x v="26"/>
  </r>
  <r>
    <x v="248"/>
    <x v="4"/>
    <x v="0"/>
    <x v="0"/>
    <n v="276"/>
    <n v="283"/>
    <n v="289"/>
    <n v="295"/>
    <n v="301"/>
    <x v="26"/>
  </r>
  <r>
    <x v="249"/>
    <x v="16"/>
    <x v="0"/>
    <x v="0"/>
    <n v="386"/>
    <n v="396"/>
    <n v="405"/>
    <n v="414"/>
    <n v="423"/>
    <x v="26"/>
  </r>
  <r>
    <x v="250"/>
    <x v="13"/>
    <x v="0"/>
    <x v="0"/>
    <n v="24158.872815999999"/>
    <n v="24642.050272320001"/>
    <n v="25775.584584846722"/>
    <n v="26961.26147574967"/>
    <n v="28201.479503634157"/>
    <x v="26"/>
  </r>
  <r>
    <x v="250"/>
    <x v="19"/>
    <x v="0"/>
    <x v="0"/>
    <n v="3034"/>
    <n v="3113"/>
    <n v="3181"/>
    <n v="3251"/>
    <n v="3323"/>
    <x v="26"/>
  </r>
  <r>
    <x v="250"/>
    <x v="1"/>
    <x v="0"/>
    <x v="0"/>
    <n v="45000"/>
    <n v="46200"/>
    <n v="47200"/>
    <n v="48200"/>
    <n v="49300"/>
    <x v="26"/>
  </r>
  <r>
    <x v="250"/>
    <x v="17"/>
    <x v="0"/>
    <x v="0"/>
    <n v="15000"/>
    <n v="15750"/>
    <n v="16537.5"/>
    <n v="17364.375"/>
    <n v="18232.59375"/>
    <x v="26"/>
  </r>
  <r>
    <x v="251"/>
    <x v="16"/>
    <x v="0"/>
    <x v="0"/>
    <n v="1441"/>
    <n v="4478"/>
    <n v="4577"/>
    <n v="4678"/>
    <n v="4781"/>
    <x v="26"/>
  </r>
  <r>
    <x v="251"/>
    <x v="4"/>
    <x v="0"/>
    <x v="0"/>
    <n v="767"/>
    <n v="787"/>
    <n v="804"/>
    <n v="822"/>
    <n v="840"/>
    <x v="26"/>
  </r>
  <r>
    <x v="252"/>
    <x v="16"/>
    <x v="0"/>
    <x v="0"/>
    <n v="1328"/>
    <n v="4363"/>
    <n v="4459"/>
    <n v="4557"/>
    <n v="4657"/>
    <x v="26"/>
  </r>
  <r>
    <x v="252"/>
    <x v="4"/>
    <x v="0"/>
    <x v="0"/>
    <n v="502"/>
    <n v="515"/>
    <n v="526"/>
    <n v="538"/>
    <n v="550"/>
    <x v="26"/>
  </r>
  <r>
    <x v="252"/>
    <x v="1"/>
    <x v="0"/>
    <x v="0"/>
    <n v="5691"/>
    <n v="5839"/>
    <n v="5967"/>
    <n v="6098"/>
    <n v="6232"/>
    <x v="26"/>
  </r>
  <r>
    <x v="253"/>
    <x v="16"/>
    <x v="0"/>
    <x v="0"/>
    <n v="497"/>
    <n v="510"/>
    <n v="521"/>
    <n v="532"/>
    <n v="544"/>
    <x v="26"/>
  </r>
  <r>
    <x v="254"/>
    <x v="4"/>
    <x v="0"/>
    <x v="0"/>
    <n v="117"/>
    <n v="120"/>
    <n v="123"/>
    <n v="126"/>
    <n v="129"/>
    <x v="26"/>
  </r>
  <r>
    <x v="254"/>
    <x v="1"/>
    <x v="0"/>
    <x v="0"/>
    <n v="1651"/>
    <n v="1694"/>
    <n v="1731"/>
    <n v="1768"/>
    <n v="1807"/>
    <x v="26"/>
  </r>
  <r>
    <x v="255"/>
    <x v="16"/>
    <x v="0"/>
    <x v="0"/>
    <n v="280"/>
    <n v="287"/>
    <n v="293"/>
    <n v="299"/>
    <n v="306"/>
    <x v="26"/>
  </r>
  <r>
    <x v="256"/>
    <x v="13"/>
    <x v="0"/>
    <x v="0"/>
    <n v="24158"/>
    <n v="24641"/>
    <n v="25774"/>
    <n v="26960"/>
    <n v="28200"/>
    <x v="26"/>
  </r>
  <r>
    <x v="256"/>
    <x v="19"/>
    <x v="0"/>
    <x v="0"/>
    <n v="1574"/>
    <n v="1615"/>
    <n v="1651"/>
    <n v="1687"/>
    <n v="1724"/>
    <x v="26"/>
  </r>
  <r>
    <x v="256"/>
    <x v="1"/>
    <x v="0"/>
    <x v="0"/>
    <n v="44940"/>
    <n v="46108"/>
    <n v="47122"/>
    <n v="48159"/>
    <n v="49218"/>
    <x v="26"/>
  </r>
  <r>
    <x v="256"/>
    <x v="17"/>
    <x v="0"/>
    <x v="0"/>
    <n v="15000"/>
    <n v="15750"/>
    <n v="16537.5"/>
    <n v="17364.375"/>
    <n v="18232.59375"/>
    <x v="26"/>
  </r>
  <r>
    <x v="246"/>
    <x v="24"/>
    <x v="0"/>
    <x v="0"/>
    <n v="-48365.996506934556"/>
    <n v="-49623.512416114863"/>
    <n v="-50715.229689269378"/>
    <n v="-51830.964742433309"/>
    <n v="-52971.245966766845"/>
    <x v="26"/>
  </r>
  <r>
    <x v="247"/>
    <x v="24"/>
    <x v="0"/>
    <x v="0"/>
    <n v="-27291.344000000005"/>
    <n v="-28055.501632"/>
    <n v="-28841.055677696"/>
    <n v="-29648.60523667149"/>
    <n v="-30478.766183298296"/>
    <x v="26"/>
  </r>
  <r>
    <x v="248"/>
    <x v="24"/>
    <x v="0"/>
    <x v="0"/>
    <n v="-8072.6098666666685"/>
    <n v="-8298.6429429333348"/>
    <n v="-8531.0049453354659"/>
    <n v="-8769.8730838048596"/>
    <n v="-9015.4295301513939"/>
    <x v="26"/>
  </r>
  <r>
    <x v="249"/>
    <x v="24"/>
    <x v="0"/>
    <x v="0"/>
    <n v="-57"/>
    <n v="-57"/>
    <n v="-57"/>
    <n v="-57"/>
    <n v="-57"/>
    <x v="26"/>
  </r>
  <r>
    <x v="257"/>
    <x v="24"/>
    <x v="0"/>
    <x v="0"/>
    <n v="0"/>
    <n v="0"/>
    <n v="0"/>
    <n v="0"/>
    <n v="0"/>
    <x v="26"/>
  </r>
  <r>
    <x v="250"/>
    <x v="24"/>
    <x v="0"/>
    <x v="0"/>
    <n v="0"/>
    <n v="0"/>
    <n v="0"/>
    <n v="0"/>
    <n v="0"/>
    <x v="26"/>
  </r>
  <r>
    <x v="251"/>
    <x v="24"/>
    <x v="0"/>
    <x v="0"/>
    <n v="-56644.064524747009"/>
    <n v="-58116.810202390436"/>
    <n v="-59395.38002684302"/>
    <n v="-60702.078387433576"/>
    <n v="-62037.524111957115"/>
    <x v="26"/>
  </r>
  <r>
    <x v="252"/>
    <x v="24"/>
    <x v="0"/>
    <x v="0"/>
    <n v="-30418.52"/>
    <n v="-31209.401519999999"/>
    <n v="-31896.008353440011"/>
    <n v="-32597.720537215686"/>
    <n v="-33314.870389034426"/>
    <x v="26"/>
  </r>
  <r>
    <x v="253"/>
    <x v="24"/>
    <x v="0"/>
    <x v="0"/>
    <n v="-57"/>
    <n v="-57"/>
    <n v="-57"/>
    <n v="-57"/>
    <n v="-57"/>
    <x v="26"/>
  </r>
  <r>
    <x v="255"/>
    <x v="24"/>
    <x v="0"/>
    <x v="0"/>
    <n v="-57"/>
    <n v="-59"/>
    <n v="-59"/>
    <n v="-59"/>
    <n v="-59"/>
    <x v="26"/>
  </r>
  <r>
    <x v="254"/>
    <x v="24"/>
    <x v="0"/>
    <x v="0"/>
    <n v="-568"/>
    <n v="-587"/>
    <n v="-600"/>
    <n v="-612"/>
    <n v="-625"/>
    <x v="26"/>
  </r>
  <r>
    <x v="256"/>
    <x v="24"/>
    <x v="0"/>
    <x v="0"/>
    <n v="-6552"/>
    <n v="-6788"/>
    <n v="-6937"/>
    <n v="-7090"/>
    <n v="-7246"/>
    <x v="26"/>
  </r>
  <r>
    <x v="258"/>
    <x v="16"/>
    <x v="0"/>
    <x v="0"/>
    <n v="292"/>
    <n v="300"/>
    <n v="307"/>
    <n v="314"/>
    <n v="321"/>
    <x v="26"/>
  </r>
  <r>
    <x v="258"/>
    <x v="16"/>
    <x v="0"/>
    <x v="0"/>
    <n v="23737"/>
    <n v="41354"/>
    <n v="42264"/>
    <n v="43194"/>
    <n v="44144"/>
    <x v="26"/>
  </r>
  <r>
    <x v="258"/>
    <x v="16"/>
    <x v="0"/>
    <x v="0"/>
    <n v="1527"/>
    <n v="1567"/>
    <n v="1601"/>
    <n v="1636"/>
    <n v="1672"/>
    <x v="26"/>
  </r>
  <r>
    <x v="258"/>
    <x v="16"/>
    <x v="0"/>
    <x v="0"/>
    <n v="873"/>
    <n v="896"/>
    <n v="916"/>
    <n v="936"/>
    <n v="957"/>
    <x v="26"/>
  </r>
  <r>
    <x v="258"/>
    <x v="13"/>
    <x v="0"/>
    <x v="0"/>
    <n v="10353"/>
    <n v="10560"/>
    <n v="11046"/>
    <n v="11554"/>
    <n v="12085"/>
    <x v="26"/>
  </r>
  <r>
    <x v="258"/>
    <x v="13"/>
    <x v="0"/>
    <x v="0"/>
    <n v="515"/>
    <n v="525"/>
    <n v="549"/>
    <n v="574"/>
    <n v="600"/>
    <x v="26"/>
  </r>
  <r>
    <x v="258"/>
    <x v="18"/>
    <x v="0"/>
    <x v="0"/>
    <n v="18473"/>
    <n v="18953"/>
    <n v="19370"/>
    <n v="19796"/>
    <n v="20232"/>
    <x v="26"/>
  </r>
  <r>
    <x v="258"/>
    <x v="19"/>
    <x v="0"/>
    <x v="0"/>
    <n v="21946"/>
    <n v="22517"/>
    <n v="23012"/>
    <n v="23518"/>
    <n v="24035"/>
    <x v="26"/>
  </r>
  <r>
    <x v="258"/>
    <x v="4"/>
    <x v="0"/>
    <x v="0"/>
    <n v="14710"/>
    <n v="15092"/>
    <n v="15424"/>
    <n v="15763"/>
    <n v="16110"/>
    <x v="26"/>
  </r>
  <r>
    <x v="258"/>
    <x v="4"/>
    <x v="0"/>
    <x v="0"/>
    <n v="158"/>
    <n v="162"/>
    <n v="166"/>
    <n v="170"/>
    <n v="174"/>
    <x v="26"/>
  </r>
  <r>
    <x v="258"/>
    <x v="1"/>
    <x v="0"/>
    <x v="0"/>
    <n v="30308"/>
    <n v="31097"/>
    <n v="31781"/>
    <n v="32480"/>
    <n v="33194"/>
    <x v="26"/>
  </r>
  <r>
    <x v="258"/>
    <x v="20"/>
    <x v="0"/>
    <x v="0"/>
    <n v="68601.54867199999"/>
    <n v="70385.18893747199"/>
    <n v="71933.663094096381"/>
    <n v="73516.203682166495"/>
    <n v="75133.560163174159"/>
    <x v="26"/>
  </r>
  <r>
    <x v="258"/>
    <x v="5"/>
    <x v="0"/>
    <x v="0"/>
    <n v="607"/>
    <n v="623"/>
    <n v="637"/>
    <n v="651"/>
    <n v="665"/>
    <x v="26"/>
  </r>
  <r>
    <x v="258"/>
    <x v="5"/>
    <x v="0"/>
    <x v="0"/>
    <n v="1798"/>
    <n v="1845"/>
    <n v="1886"/>
    <n v="1927"/>
    <n v="1969"/>
    <x v="26"/>
  </r>
  <r>
    <x v="258"/>
    <x v="17"/>
    <x v="0"/>
    <x v="0"/>
    <n v="129593"/>
    <n v="134388.65134499999"/>
    <n v="139361.03144476499"/>
    <n v="144517.38960822127"/>
    <n v="149864.53302372544"/>
    <x v="26"/>
  </r>
  <r>
    <x v="259"/>
    <x v="16"/>
    <x v="0"/>
    <x v="0"/>
    <n v="742"/>
    <n v="761"/>
    <n v="778"/>
    <n v="795"/>
    <n v="812"/>
    <x v="26"/>
  </r>
  <r>
    <x v="259"/>
    <x v="16"/>
    <x v="0"/>
    <x v="0"/>
    <n v="185"/>
    <n v="190"/>
    <n v="194"/>
    <n v="198"/>
    <n v="202"/>
    <x v="26"/>
  </r>
  <r>
    <x v="259"/>
    <x v="13"/>
    <x v="0"/>
    <x v="0"/>
    <n v="167"/>
    <n v="170"/>
    <n v="178"/>
    <n v="186"/>
    <n v="195"/>
    <x v="26"/>
  </r>
  <r>
    <x v="259"/>
    <x v="18"/>
    <x v="0"/>
    <x v="0"/>
    <n v="6380"/>
    <n v="6550"/>
    <n v="6690"/>
    <n v="6840"/>
    <n v="6990"/>
    <x v="26"/>
  </r>
  <r>
    <x v="259"/>
    <x v="19"/>
    <x v="0"/>
    <x v="0"/>
    <n v="1438"/>
    <n v="1475"/>
    <n v="1507"/>
    <n v="1540"/>
    <n v="1574"/>
    <x v="26"/>
  </r>
  <r>
    <x v="259"/>
    <x v="4"/>
    <x v="0"/>
    <x v="0"/>
    <n v="864"/>
    <n v="886"/>
    <n v="905"/>
    <n v="925"/>
    <n v="945"/>
    <x v="26"/>
  </r>
  <r>
    <x v="259"/>
    <x v="1"/>
    <x v="0"/>
    <x v="0"/>
    <n v="12035"/>
    <n v="12348"/>
    <n v="12620"/>
    <n v="12898"/>
    <n v="13182"/>
    <x v="26"/>
  </r>
  <r>
    <x v="259"/>
    <x v="17"/>
    <x v="0"/>
    <x v="0"/>
    <n v="8061.75"/>
    <n v="8359.9186059999975"/>
    <n v="8669.2355944219962"/>
    <n v="8989.9973114156091"/>
    <n v="9322.6272119379864"/>
    <x v="26"/>
  </r>
  <r>
    <x v="260"/>
    <x v="16"/>
    <x v="0"/>
    <x v="0"/>
    <n v="880"/>
    <n v="903"/>
    <n v="923"/>
    <n v="943"/>
    <n v="964"/>
    <x v="26"/>
  </r>
  <r>
    <x v="260"/>
    <x v="16"/>
    <x v="0"/>
    <x v="0"/>
    <n v="192"/>
    <n v="197"/>
    <n v="201"/>
    <n v="205"/>
    <n v="210"/>
    <x v="26"/>
  </r>
  <r>
    <x v="260"/>
    <x v="13"/>
    <x v="0"/>
    <x v="0"/>
    <n v="296"/>
    <n v="302"/>
    <n v="316"/>
    <n v="331"/>
    <n v="346"/>
    <x v="26"/>
  </r>
  <r>
    <x v="260"/>
    <x v="18"/>
    <x v="0"/>
    <x v="0"/>
    <n v="6730"/>
    <n v="6905"/>
    <n v="7057"/>
    <n v="7212"/>
    <n v="7371"/>
    <x v="26"/>
  </r>
  <r>
    <x v="260"/>
    <x v="19"/>
    <x v="0"/>
    <x v="0"/>
    <n v="2460"/>
    <n v="2524"/>
    <n v="2580"/>
    <n v="2637"/>
    <n v="2695"/>
    <x v="26"/>
  </r>
  <r>
    <x v="260"/>
    <x v="4"/>
    <x v="0"/>
    <x v="0"/>
    <n v="973"/>
    <n v="1000"/>
    <n v="1026"/>
    <n v="1049"/>
    <n v="1072"/>
    <x v="26"/>
  </r>
  <r>
    <x v="260"/>
    <x v="1"/>
    <x v="0"/>
    <x v="0"/>
    <n v="12547"/>
    <n v="12873"/>
    <n v="13157"/>
    <n v="13447"/>
    <n v="13743"/>
    <x v="26"/>
  </r>
  <r>
    <x v="260"/>
    <x v="17"/>
    <x v="0"/>
    <x v="0"/>
    <n v="8061.75"/>
    <n v="8359.9186059999975"/>
    <n v="8669.2355944219962"/>
    <n v="8989.9973114156091"/>
    <n v="9322.6272119379864"/>
    <x v="26"/>
  </r>
  <r>
    <x v="261"/>
    <x v="13"/>
    <x v="0"/>
    <x v="0"/>
    <n v="39"/>
    <n v="40"/>
    <n v="42"/>
    <n v="44"/>
    <n v="46"/>
    <x v="26"/>
  </r>
  <r>
    <x v="261"/>
    <x v="18"/>
    <x v="0"/>
    <x v="0"/>
    <n v="6179"/>
    <n v="6340"/>
    <n v="6479"/>
    <n v="6622"/>
    <n v="6768"/>
    <x v="26"/>
  </r>
  <r>
    <x v="261"/>
    <x v="19"/>
    <x v="0"/>
    <x v="0"/>
    <n v="2164"/>
    <n v="2220"/>
    <n v="2269"/>
    <n v="2319"/>
    <n v="2370"/>
    <x v="26"/>
  </r>
  <r>
    <x v="261"/>
    <x v="4"/>
    <x v="0"/>
    <x v="0"/>
    <n v="859"/>
    <n v="881"/>
    <n v="900"/>
    <n v="920"/>
    <n v="940"/>
    <x v="26"/>
  </r>
  <r>
    <x v="261"/>
    <x v="1"/>
    <x v="0"/>
    <x v="0"/>
    <n v="11466"/>
    <n v="11765"/>
    <n v="12025"/>
    <n v="12290"/>
    <n v="12561"/>
    <x v="26"/>
  </r>
  <r>
    <x v="261"/>
    <x v="1"/>
    <x v="0"/>
    <x v="0"/>
    <n v="0"/>
    <n v="0"/>
    <n v="0"/>
    <n v="1"/>
    <n v="1"/>
    <x v="26"/>
  </r>
  <r>
    <x v="261"/>
    <x v="17"/>
    <x v="0"/>
    <x v="0"/>
    <n v="8061.75"/>
    <n v="8359.9186059999975"/>
    <n v="8669.2355944219962"/>
    <n v="8989.9973114156091"/>
    <n v="9322.6272119379864"/>
    <x v="26"/>
  </r>
  <r>
    <x v="262"/>
    <x v="16"/>
    <x v="0"/>
    <x v="0"/>
    <n v="1513"/>
    <n v="1552"/>
    <n v="1586"/>
    <n v="1621"/>
    <n v="1657"/>
    <x v="26"/>
  </r>
  <r>
    <x v="262"/>
    <x v="16"/>
    <x v="0"/>
    <x v="0"/>
    <n v="192"/>
    <n v="197"/>
    <n v="201"/>
    <n v="205"/>
    <n v="210"/>
    <x v="26"/>
  </r>
  <r>
    <x v="262"/>
    <x v="13"/>
    <x v="0"/>
    <x v="0"/>
    <n v="296"/>
    <n v="302"/>
    <n v="316"/>
    <n v="331"/>
    <n v="346"/>
    <x v="26"/>
  </r>
  <r>
    <x v="262"/>
    <x v="18"/>
    <x v="0"/>
    <x v="0"/>
    <n v="3580"/>
    <n v="3670"/>
    <n v="3750"/>
    <n v="3830"/>
    <n v="3910"/>
    <x v="26"/>
  </r>
  <r>
    <x v="262"/>
    <x v="19"/>
    <x v="0"/>
    <x v="0"/>
    <n v="2369"/>
    <n v="2431"/>
    <n v="2484"/>
    <n v="2539"/>
    <n v="2595"/>
    <x v="26"/>
  </r>
  <r>
    <x v="262"/>
    <x v="4"/>
    <x v="0"/>
    <x v="0"/>
    <n v="1094"/>
    <n v="1122"/>
    <n v="1147"/>
    <n v="1172"/>
    <n v="1198"/>
    <x v="26"/>
  </r>
  <r>
    <x v="262"/>
    <x v="1"/>
    <x v="0"/>
    <x v="0"/>
    <n v="14817"/>
    <n v="15202"/>
    <n v="15537"/>
    <n v="15879"/>
    <n v="16229"/>
    <x v="26"/>
  </r>
  <r>
    <x v="262"/>
    <x v="17"/>
    <x v="0"/>
    <x v="0"/>
    <n v="8061.75"/>
    <n v="8359.9186059999975"/>
    <n v="8669.2355944219962"/>
    <n v="8989.9973114156091"/>
    <n v="9322.6272119379864"/>
    <x v="26"/>
  </r>
  <r>
    <x v="263"/>
    <x v="14"/>
    <x v="0"/>
    <x v="0"/>
    <n v="25238"/>
    <n v="25894"/>
    <n v="26464"/>
    <n v="27046"/>
    <n v="27641"/>
    <x v="26"/>
  </r>
  <r>
    <x v="263"/>
    <x v="4"/>
    <x v="0"/>
    <x v="0"/>
    <n v="34021"/>
    <n v="34906"/>
    <n v="35674"/>
    <n v="36459"/>
    <n v="37261"/>
    <x v="26"/>
  </r>
  <r>
    <x v="263"/>
    <x v="1"/>
    <x v="0"/>
    <x v="0"/>
    <n v="58"/>
    <n v="60"/>
    <n v="62"/>
    <n v="64"/>
    <n v="66"/>
    <x v="26"/>
  </r>
  <r>
    <x v="264"/>
    <x v="1"/>
    <x v="0"/>
    <x v="0"/>
    <n v="0"/>
    <n v="0"/>
    <n v="0"/>
    <n v="15000"/>
    <n v="30000"/>
    <x v="26"/>
  </r>
  <r>
    <x v="265"/>
    <x v="16"/>
    <x v="0"/>
    <x v="0"/>
    <n v="3437"/>
    <n v="3526"/>
    <n v="3604"/>
    <n v="3683"/>
    <n v="3764"/>
    <x v="26"/>
  </r>
  <r>
    <x v="265"/>
    <x v="16"/>
    <x v="0"/>
    <x v="0"/>
    <n v="2222"/>
    <n v="2280"/>
    <n v="2330"/>
    <n v="2381"/>
    <n v="2433"/>
    <x v="26"/>
  </r>
  <r>
    <x v="265"/>
    <x v="26"/>
    <x v="0"/>
    <x v="0"/>
    <n v="575"/>
    <n v="590"/>
    <n v="603"/>
    <n v="616"/>
    <n v="630"/>
    <x v="26"/>
  </r>
  <r>
    <x v="265"/>
    <x v="13"/>
    <x v="0"/>
    <x v="0"/>
    <n v="70821"/>
    <n v="73013"/>
    <n v="76407"/>
    <n v="78598"/>
    <n v="80889"/>
    <x v="26"/>
  </r>
  <r>
    <x v="265"/>
    <x v="13"/>
    <x v="0"/>
    <x v="0"/>
    <n v="3651"/>
    <n v="3746"/>
    <n v="3828"/>
    <n v="3912"/>
    <n v="3998"/>
    <x v="26"/>
  </r>
  <r>
    <x v="265"/>
    <x v="18"/>
    <x v="0"/>
    <x v="0"/>
    <n v="9787"/>
    <n v="10041"/>
    <n v="10262"/>
    <n v="10488"/>
    <n v="10719"/>
    <x v="26"/>
  </r>
  <r>
    <x v="265"/>
    <x v="19"/>
    <x v="0"/>
    <x v="0"/>
    <n v="13280"/>
    <n v="13625"/>
    <n v="13925"/>
    <n v="14231"/>
    <n v="14544"/>
    <x v="26"/>
  </r>
  <r>
    <x v="265"/>
    <x v="4"/>
    <x v="0"/>
    <x v="0"/>
    <n v="1693"/>
    <n v="1737"/>
    <n v="1775"/>
    <n v="1814"/>
    <n v="1854"/>
    <x v="26"/>
  </r>
  <r>
    <x v="265"/>
    <x v="1"/>
    <x v="0"/>
    <x v="0"/>
    <n v="21574"/>
    <n v="22155"/>
    <n v="22796"/>
    <n v="23452"/>
    <n v="24121"/>
    <x v="26"/>
  </r>
  <r>
    <x v="265"/>
    <x v="20"/>
    <x v="0"/>
    <x v="0"/>
    <n v="6871"/>
    <n v="7029"/>
    <n v="7029"/>
    <n v="7030"/>
    <n v="7030"/>
    <x v="26"/>
  </r>
  <r>
    <x v="265"/>
    <x v="17"/>
    <x v="0"/>
    <x v="0"/>
    <n v="46933.692053375999"/>
    <n v="78670.2386593509"/>
    <n v="80471.037489746886"/>
    <n v="82338.465876867514"/>
    <n v="84274.989114311611"/>
    <x v="26"/>
  </r>
  <r>
    <x v="266"/>
    <x v="16"/>
    <x v="0"/>
    <x v="0"/>
    <n v="2048"/>
    <n v="2101"/>
    <n v="2147"/>
    <n v="2194"/>
    <n v="2242"/>
    <x v="26"/>
  </r>
  <r>
    <x v="266"/>
    <x v="34"/>
    <x v="0"/>
    <x v="0"/>
    <n v="4064"/>
    <n v="4170"/>
    <n v="4262"/>
    <n v="4356"/>
    <n v="4452"/>
    <x v="26"/>
  </r>
  <r>
    <x v="266"/>
    <x v="4"/>
    <x v="0"/>
    <x v="0"/>
    <n v="4407"/>
    <n v="4522"/>
    <n v="4621"/>
    <n v="4723"/>
    <n v="4827"/>
    <x v="26"/>
  </r>
  <r>
    <x v="266"/>
    <x v="1"/>
    <x v="0"/>
    <x v="0"/>
    <n v="6237"/>
    <n v="6399"/>
    <n v="6540"/>
    <n v="6684"/>
    <n v="6831"/>
    <x v="26"/>
  </r>
  <r>
    <x v="266"/>
    <x v="11"/>
    <x v="0"/>
    <x v="0"/>
    <n v="0"/>
    <n v="0"/>
    <n v="0"/>
    <n v="0"/>
    <n v="0"/>
    <x v="26"/>
  </r>
  <r>
    <x v="267"/>
    <x v="16"/>
    <x v="0"/>
    <x v="0"/>
    <n v="2415.6999999999998"/>
    <n v="2483.27"/>
    <n v="2552.87"/>
    <n v="2624.21"/>
    <n v="2697.58"/>
    <x v="26"/>
  </r>
  <r>
    <x v="267"/>
    <x v="16"/>
    <x v="0"/>
    <x v="0"/>
    <n v="412.38"/>
    <n v="423.97999999999996"/>
    <n v="435.86999999999995"/>
    <n v="448.04999999999995"/>
    <n v="460.52"/>
    <x v="26"/>
  </r>
  <r>
    <x v="267"/>
    <x v="16"/>
    <x v="0"/>
    <x v="0"/>
    <n v="55.099999999999994"/>
    <n v="56.55"/>
    <n v="57.999999999999993"/>
    <n v="59.739999999999995"/>
    <n v="61.48"/>
    <x v="26"/>
  </r>
  <r>
    <x v="267"/>
    <x v="13"/>
    <x v="0"/>
    <x v="0"/>
    <n v="5823.49"/>
    <n v="5975.74"/>
    <n v="6106.24"/>
    <n v="6239.6399999999994"/>
    <n v="6376.4126999999999"/>
    <x v="26"/>
  </r>
  <r>
    <x v="267"/>
    <x v="18"/>
    <x v="0"/>
    <x v="0"/>
    <n v="2094.67"/>
    <n v="2153.25"/>
    <n v="2213.5699999999997"/>
    <n v="2275.6299999999997"/>
    <n v="2339.4299999999998"/>
    <x v="26"/>
  </r>
  <r>
    <x v="267"/>
    <x v="19"/>
    <x v="0"/>
    <x v="0"/>
    <n v="194.29999999999998"/>
    <n v="199.80999999999997"/>
    <n v="205.32"/>
    <n v="211.11999999999998"/>
    <n v="216.92"/>
    <x v="26"/>
  </r>
  <r>
    <x v="267"/>
    <x v="34"/>
    <x v="0"/>
    <x v="0"/>
    <n v="107.88"/>
    <n v="110.77999999999999"/>
    <n v="113.97"/>
    <n v="117.16"/>
    <n v="120.35"/>
    <x v="26"/>
  </r>
  <r>
    <x v="267"/>
    <x v="4"/>
    <x v="0"/>
    <x v="0"/>
    <n v="158.33999999999997"/>
    <n v="162.69"/>
    <n v="167.32999999999998"/>
    <n v="171.97"/>
    <n v="176.89999999999998"/>
    <x v="26"/>
  </r>
  <r>
    <x v="267"/>
    <x v="4"/>
    <x v="0"/>
    <x v="0"/>
    <n v="117.16"/>
    <n v="120.35"/>
    <n v="123.83"/>
    <n v="127.30999999999999"/>
    <n v="130.79"/>
    <x v="26"/>
  </r>
  <r>
    <x v="267"/>
    <x v="4"/>
    <x v="0"/>
    <x v="0"/>
    <n v="1051.54"/>
    <n v="1081.1199999999999"/>
    <n v="1111.28"/>
    <n v="1142.31"/>
    <n v="1174.2099999999998"/>
    <x v="26"/>
  </r>
  <r>
    <x v="267"/>
    <x v="1"/>
    <x v="0"/>
    <x v="0"/>
    <n v="4241.83"/>
    <n v="4352.03"/>
    <n v="4447.7299999999996"/>
    <n v="4545.46"/>
    <n v="4645.5099999999993"/>
    <x v="26"/>
  </r>
  <r>
    <x v="267"/>
    <x v="35"/>
    <x v="0"/>
    <x v="0"/>
    <n v="0"/>
    <n v="0"/>
    <n v="0"/>
    <n v="0"/>
    <n v="0"/>
    <x v="26"/>
  </r>
  <r>
    <x v="267"/>
    <x v="20"/>
    <x v="0"/>
    <x v="0"/>
    <n v="7356.7199999999993"/>
    <n v="7548.12"/>
    <n v="7714.2899999999991"/>
    <n v="7883.94"/>
    <n v="8057.36"/>
    <x v="26"/>
  </r>
  <r>
    <x v="267"/>
    <x v="17"/>
    <x v="0"/>
    <x v="0"/>
    <n v="4965.38"/>
    <n v="6083.6614181433597"/>
    <n v="6387.844489050528"/>
    <n v="6707.2367135030545"/>
    <n v="7042.5985491782076"/>
    <x v="26"/>
  </r>
  <r>
    <x v="267"/>
    <x v="11"/>
    <x v="0"/>
    <x v="0"/>
    <n v="9152.1099999999988"/>
    <n v="9152.1099999999988"/>
    <n v="9152.1099999999988"/>
    <n v="9152.1099999999988"/>
    <n v="9152.1099999999988"/>
    <x v="26"/>
  </r>
  <r>
    <x v="267"/>
    <x v="34"/>
    <x v="0"/>
    <x v="0"/>
    <n v="39.15"/>
    <n v="40.309999999999995"/>
    <n v="41.47"/>
    <n v="42.629999999999995"/>
    <n v="43.79"/>
    <x v="26"/>
  </r>
  <r>
    <x v="267"/>
    <x v="1"/>
    <x v="0"/>
    <x v="0"/>
    <n v="5487.67"/>
    <n v="5630.3499999999995"/>
    <n v="5754.1799999999994"/>
    <n v="5880.62"/>
    <n v="6009.96"/>
    <x v="26"/>
  </r>
  <r>
    <x v="267"/>
    <x v="5"/>
    <x v="0"/>
    <x v="0"/>
    <n v="2404.1"/>
    <n v="2466.4499999999998"/>
    <n v="2520.6799999999998"/>
    <n v="2576.3599999999997"/>
    <n v="2633.2"/>
    <x v="26"/>
  </r>
  <r>
    <x v="267"/>
    <x v="16"/>
    <x v="0"/>
    <x v="0"/>
    <n v="3918"/>
    <n v="4019.6899999999996"/>
    <n v="4108.1399999999994"/>
    <n v="4198.62"/>
    <n v="4290.84"/>
    <x v="26"/>
  </r>
  <r>
    <x v="267"/>
    <x v="34"/>
    <x v="0"/>
    <x v="0"/>
    <n v="4636"/>
    <n v="4756.58"/>
    <n v="4861.2699999999995"/>
    <n v="4967.99"/>
    <n v="5077.6099999999997"/>
    <x v="26"/>
  </r>
  <r>
    <x v="267"/>
    <x v="4"/>
    <x v="0"/>
    <x v="0"/>
    <n v="6746"/>
    <n v="6921.4299999999994"/>
    <n v="7073.6799999999994"/>
    <n v="7229.41"/>
    <n v="7388.33"/>
    <x v="26"/>
  </r>
  <r>
    <x v="267"/>
    <x v="1"/>
    <x v="0"/>
    <x v="0"/>
    <n v="1975"/>
    <n v="2026.5199999999998"/>
    <n v="2070.89"/>
    <n v="2116.71"/>
    <n v="2163.1099999999997"/>
    <x v="26"/>
  </r>
  <r>
    <x v="267"/>
    <x v="11"/>
    <x v="0"/>
    <x v="0"/>
    <n v="15834"/>
    <n v="13599.55"/>
    <n v="15985.089999999998"/>
    <n v="15985.089999999998"/>
    <n v="15985.089999999998"/>
    <x v="26"/>
  </r>
  <r>
    <x v="258"/>
    <x v="24"/>
    <x v="0"/>
    <x v="0"/>
    <n v="-324517.5"/>
    <n v="-333636.75"/>
    <n v="-290898.75"/>
    <n v="-295904.75"/>
    <n v="-301045.75"/>
    <x v="26"/>
  </r>
  <r>
    <x v="259"/>
    <x v="24"/>
    <x v="0"/>
    <x v="0"/>
    <n v="-19300"/>
    <n v="-19810"/>
    <n v="-20330"/>
    <n v="-20330"/>
    <n v="-20330"/>
    <x v="26"/>
  </r>
  <r>
    <x v="260"/>
    <x v="24"/>
    <x v="0"/>
    <x v="0"/>
    <n v="-15580"/>
    <n v="-15990"/>
    <n v="-16420"/>
    <n v="-16420"/>
    <n v="-16420"/>
    <x v="26"/>
  </r>
  <r>
    <x v="261"/>
    <x v="24"/>
    <x v="0"/>
    <x v="0"/>
    <n v="-12160"/>
    <n v="-12500"/>
    <n v="-12850"/>
    <n v="-12850"/>
    <n v="-12850"/>
    <x v="26"/>
  </r>
  <r>
    <x v="262"/>
    <x v="24"/>
    <x v="0"/>
    <x v="0"/>
    <n v="-29270"/>
    <n v="-30060"/>
    <n v="-30870"/>
    <n v="-30870"/>
    <n v="-30870"/>
    <x v="26"/>
  </r>
  <r>
    <x v="263"/>
    <x v="24"/>
    <x v="0"/>
    <x v="0"/>
    <n v="-18890"/>
    <n v="-19370"/>
    <n v="-19880"/>
    <n v="-19880"/>
    <n v="-19880"/>
    <x v="26"/>
  </r>
  <r>
    <x v="265"/>
    <x v="24"/>
    <x v="0"/>
    <x v="0"/>
    <n v="-3287"/>
    <n v="-3373"/>
    <n v="-3447"/>
    <n v="-3523"/>
    <n v="-3600"/>
    <x v="26"/>
  </r>
  <r>
    <x v="265"/>
    <x v="7"/>
    <x v="0"/>
    <x v="0"/>
    <n v="-144348"/>
    <n v="-160510"/>
    <n v="-161810"/>
    <n v="-161809"/>
    <n v="-161809"/>
    <x v="26"/>
  </r>
  <r>
    <x v="268"/>
    <x v="42"/>
    <x v="0"/>
    <x v="0"/>
    <n v="-100000"/>
    <n v="-100000"/>
    <n v="-100000"/>
    <n v="-99999"/>
    <n v="-99999"/>
    <x v="26"/>
  </r>
  <r>
    <x v="269"/>
    <x v="10"/>
    <x v="0"/>
    <x v="0"/>
    <m/>
    <m/>
    <m/>
    <m/>
    <m/>
    <x v="26"/>
  </r>
  <r>
    <x v="269"/>
    <x v="10"/>
    <x v="0"/>
    <x v="0"/>
    <n v="684137.43200000003"/>
    <n v="675750.29"/>
    <n v="706835"/>
    <n v="739348"/>
    <n v="773356"/>
    <x v="26"/>
  </r>
  <r>
    <x v="269"/>
    <x v="11"/>
    <x v="0"/>
    <x v="0"/>
    <n v="785327"/>
    <n v="777187"/>
    <n v="808687"/>
    <n v="701859"/>
    <n v="773169"/>
    <x v="26"/>
  </r>
  <r>
    <x v="269"/>
    <x v="10"/>
    <x v="0"/>
    <x v="0"/>
    <n v="7334.3724000000002"/>
    <n v="7642.56"/>
    <n v="7963.66"/>
    <n v="8298.06"/>
    <n v="8298.06"/>
    <x v="26"/>
  </r>
  <r>
    <x v="270"/>
    <x v="6"/>
    <x v="0"/>
    <x v="0"/>
    <n v="64926"/>
    <n v="66225"/>
    <n v="69271"/>
    <n v="72458"/>
    <n v="75791"/>
    <x v="27"/>
  </r>
  <r>
    <x v="271"/>
    <x v="6"/>
    <x v="0"/>
    <x v="0"/>
    <n v="243926.61630400002"/>
    <n v="223527.91232790402"/>
    <n v="238019.04839911789"/>
    <n v="253229.40346389846"/>
    <n v="269192.92634010426"/>
    <x v="27"/>
  </r>
  <r>
    <x v="272"/>
    <x v="4"/>
    <x v="0"/>
    <x v="0"/>
    <n v="580"/>
    <n v="595"/>
    <n v="608"/>
    <n v="621"/>
    <n v="635"/>
    <x v="27"/>
  </r>
  <r>
    <x v="272"/>
    <x v="1"/>
    <x v="0"/>
    <x v="0"/>
    <n v="0"/>
    <n v="23480"/>
    <n v="23880"/>
    <n v="24300"/>
    <n v="24720"/>
    <x v="27"/>
  </r>
  <r>
    <x v="273"/>
    <x v="1"/>
    <x v="0"/>
    <x v="0"/>
    <n v="12260"/>
    <n v="12580"/>
    <n v="12860"/>
    <n v="13140"/>
    <n v="13430"/>
    <x v="27"/>
  </r>
  <r>
    <x v="274"/>
    <x v="6"/>
    <x v="0"/>
    <x v="0"/>
    <n v="144729"/>
    <n v="148487"/>
    <n v="151752"/>
    <n v="155092"/>
    <n v="158500"/>
    <x v="27"/>
  </r>
  <r>
    <x v="275"/>
    <x v="6"/>
    <x v="0"/>
    <x v="0"/>
    <n v="20579"/>
    <n v="21114"/>
    <n v="21579"/>
    <n v="22054"/>
    <n v="22539"/>
    <x v="27"/>
  </r>
  <r>
    <x v="276"/>
    <x v="16"/>
    <x v="0"/>
    <x v="0"/>
    <n v="1804"/>
    <n v="1851"/>
    <n v="1892"/>
    <n v="1934"/>
    <n v="1977"/>
    <x v="27"/>
  </r>
  <r>
    <x v="277"/>
    <x v="1"/>
    <x v="0"/>
    <x v="0"/>
    <n v="32150"/>
    <n v="69680"/>
    <n v="71870"/>
    <n v="74110"/>
    <n v="76400"/>
    <x v="27"/>
  </r>
  <r>
    <x v="278"/>
    <x v="1"/>
    <x v="0"/>
    <x v="0"/>
    <n v="58410"/>
    <n v="59930"/>
    <n v="61250"/>
    <n v="62600"/>
    <n v="63980"/>
    <x v="27"/>
  </r>
  <r>
    <x v="279"/>
    <x v="1"/>
    <x v="0"/>
    <x v="0"/>
    <n v="30000"/>
    <n v="30000"/>
    <n v="30000"/>
    <n v="30000"/>
    <n v="30000"/>
    <x v="27"/>
  </r>
  <r>
    <x v="280"/>
    <x v="10"/>
    <x v="0"/>
    <x v="0"/>
    <n v="231738.82"/>
    <n v="197752.58000000002"/>
    <n v="206849"/>
    <n v="216364"/>
    <n v="226317"/>
    <x v="27"/>
  </r>
  <r>
    <x v="280"/>
    <x v="42"/>
    <x v="0"/>
    <x v="0"/>
    <n v="0"/>
    <n v="0"/>
    <n v="-16217.2"/>
    <n v="-16963.2"/>
    <n v="-17743.600000000002"/>
    <x v="27"/>
  </r>
  <r>
    <x v="276"/>
    <x v="24"/>
    <x v="0"/>
    <x v="0"/>
    <n v="-500"/>
    <n v="-531"/>
    <n v="-543"/>
    <n v="-555"/>
    <n v="-567"/>
    <x v="27"/>
  </r>
  <r>
    <x v="281"/>
    <x v="8"/>
    <x v="0"/>
    <x v="0"/>
    <n v="129097"/>
    <n v="134868"/>
    <n v="141072"/>
    <n v="147562"/>
    <n v="154350"/>
    <x v="28"/>
  </r>
  <r>
    <x v="282"/>
    <x v="1"/>
    <x v="0"/>
    <x v="0"/>
    <n v="12048"/>
    <n v="16328"/>
    <n v="16687"/>
    <n v="17054"/>
    <n v="17429"/>
    <x v="29"/>
  </r>
  <r>
    <x v="282"/>
    <x v="6"/>
    <x v="0"/>
    <x v="0"/>
    <n v="28710.588"/>
    <n v="25491"/>
    <n v="26052"/>
    <n v="26625"/>
    <n v="27211"/>
    <x v="29"/>
  </r>
  <r>
    <x v="283"/>
    <x v="13"/>
    <x v="0"/>
    <x v="0"/>
    <n v="44207"/>
    <n v="45356"/>
    <n v="46354"/>
    <n v="47374"/>
    <n v="48417"/>
    <x v="29"/>
  </r>
  <r>
    <x v="284"/>
    <x v="16"/>
    <x v="0"/>
    <x v="0"/>
    <n v="36"/>
    <n v="37"/>
    <n v="38"/>
    <n v="39"/>
    <n v="40"/>
    <x v="29"/>
  </r>
  <r>
    <x v="284"/>
    <x v="16"/>
    <x v="0"/>
    <x v="0"/>
    <n v="635"/>
    <n v="652"/>
    <n v="666"/>
    <n v="681"/>
    <n v="696"/>
    <x v="29"/>
  </r>
  <r>
    <x v="284"/>
    <x v="4"/>
    <x v="0"/>
    <x v="0"/>
    <n v="205"/>
    <n v="210"/>
    <n v="215"/>
    <n v="220"/>
    <n v="225"/>
    <x v="29"/>
  </r>
  <r>
    <x v="284"/>
    <x v="1"/>
    <x v="0"/>
    <x v="0"/>
    <n v="31981"/>
    <n v="32813"/>
    <n v="33535"/>
    <n v="34273"/>
    <n v="35027"/>
    <x v="29"/>
  </r>
  <r>
    <x v="285"/>
    <x v="10"/>
    <x v="0"/>
    <x v="0"/>
    <n v="46302.41"/>
    <n v="62839.12"/>
    <n v="65730"/>
    <n v="68754"/>
    <n v="71917"/>
    <x v="29"/>
  </r>
  <r>
    <x v="286"/>
    <x v="16"/>
    <x v="0"/>
    <x v="0"/>
    <n v="1174"/>
    <n v="1205"/>
    <n v="1236"/>
    <n v="1268"/>
    <n v="1301"/>
    <x v="30"/>
  </r>
  <r>
    <x v="286"/>
    <x v="1"/>
    <x v="0"/>
    <x v="0"/>
    <n v="4835"/>
    <n v="4946"/>
    <n v="4946"/>
    <n v="4947"/>
    <n v="4947"/>
    <x v="30"/>
  </r>
  <r>
    <x v="286"/>
    <x v="20"/>
    <x v="0"/>
    <x v="0"/>
    <n v="6086"/>
    <n v="6244"/>
    <n v="6406"/>
    <n v="6573"/>
    <n v="6744"/>
    <x v="30"/>
  </r>
  <r>
    <x v="286"/>
    <x v="20"/>
    <x v="0"/>
    <x v="0"/>
    <n v="90"/>
    <n v="107"/>
    <n v="238"/>
    <n v="374"/>
    <n v="512"/>
    <x v="30"/>
  </r>
  <r>
    <x v="286"/>
    <x v="9"/>
    <x v="0"/>
    <x v="0"/>
    <n v="851225"/>
    <n v="865147"/>
    <n v="779347"/>
    <n v="793832"/>
    <n v="808605"/>
    <x v="30"/>
  </r>
  <r>
    <x v="286"/>
    <x v="17"/>
    <x v="0"/>
    <x v="0"/>
    <n v="15445.477244999996"/>
    <n v="16016.729397289697"/>
    <n v="16609.348384989415"/>
    <n v="17223.894275234023"/>
    <n v="17861.178363417679"/>
    <x v="30"/>
  </r>
  <r>
    <x v="287"/>
    <x v="10"/>
    <x v="0"/>
    <x v="0"/>
    <n v="0"/>
    <n v="0"/>
    <n v="0"/>
    <n v="0"/>
    <n v="0"/>
    <x v="30"/>
  </r>
  <r>
    <x v="287"/>
    <x v="10"/>
    <x v="0"/>
    <x v="0"/>
    <n v="0"/>
    <n v="0"/>
    <n v="0"/>
    <n v="0"/>
    <n v="0"/>
    <x v="30"/>
  </r>
  <r>
    <x v="287"/>
    <x v="11"/>
    <x v="0"/>
    <x v="0"/>
    <n v="86087"/>
    <n v="98704"/>
    <n v="98704"/>
    <n v="98704"/>
    <n v="98704"/>
    <x v="30"/>
  </r>
  <r>
    <x v="286"/>
    <x v="24"/>
    <x v="0"/>
    <x v="0"/>
    <n v="-226875"/>
    <n v="-199108"/>
    <n v="-204683"/>
    <n v="-210414"/>
    <n v="-216306"/>
    <x v="30"/>
  </r>
  <r>
    <x v="288"/>
    <x v="4"/>
    <x v="0"/>
    <x v="0"/>
    <n v="16"/>
    <n v="16"/>
    <n v="16"/>
    <n v="16"/>
    <n v="16"/>
    <x v="31"/>
  </r>
  <r>
    <x v="288"/>
    <x v="1"/>
    <x v="0"/>
    <x v="0"/>
    <n v="1705"/>
    <n v="1749"/>
    <n v="1788"/>
    <n v="1827"/>
    <n v="1868"/>
    <x v="31"/>
  </r>
  <r>
    <x v="289"/>
    <x v="16"/>
    <x v="0"/>
    <x v="0"/>
    <n v="2583"/>
    <n v="2650"/>
    <n v="2708"/>
    <n v="2768"/>
    <n v="2829"/>
    <x v="31"/>
  </r>
  <r>
    <x v="289"/>
    <x v="19"/>
    <x v="0"/>
    <x v="0"/>
    <n v="921"/>
    <n v="945"/>
    <n v="966"/>
    <n v="987"/>
    <n v="1009"/>
    <x v="31"/>
  </r>
  <r>
    <x v="289"/>
    <x v="1"/>
    <x v="0"/>
    <x v="0"/>
    <n v="84019"/>
    <n v="86204"/>
    <n v="88101"/>
    <n v="90039"/>
    <n v="92020"/>
    <x v="31"/>
  </r>
  <r>
    <x v="289"/>
    <x v="35"/>
    <x v="0"/>
    <x v="0"/>
    <n v="1664350"/>
    <n v="1725837"/>
    <n v="1829706"/>
    <n v="1906973"/>
    <n v="1987794"/>
    <x v="31"/>
  </r>
  <r>
    <x v="289"/>
    <x v="1"/>
    <x v="0"/>
    <x v="0"/>
    <n v="40605"/>
    <n v="41661"/>
    <n v="42578"/>
    <n v="43515"/>
    <n v="44472"/>
    <x v="31"/>
  </r>
  <r>
    <x v="289"/>
    <x v="16"/>
    <x v="0"/>
    <x v="0"/>
    <n v="2583"/>
    <n v="2650"/>
    <n v="2708"/>
    <n v="2768"/>
    <n v="2829"/>
    <x v="31"/>
  </r>
  <r>
    <x v="289"/>
    <x v="19"/>
    <x v="0"/>
    <x v="0"/>
    <n v="320"/>
    <n v="328"/>
    <n v="335"/>
    <n v="342"/>
    <n v="350"/>
    <x v="31"/>
  </r>
  <r>
    <x v="289"/>
    <x v="1"/>
    <x v="0"/>
    <x v="0"/>
    <n v="12774"/>
    <n v="13237"/>
    <n v="13638"/>
    <n v="14049"/>
    <n v="14468"/>
    <x v="31"/>
  </r>
  <r>
    <x v="290"/>
    <x v="34"/>
    <x v="0"/>
    <x v="0"/>
    <n v="680"/>
    <n v="698"/>
    <n v="713"/>
    <n v="729"/>
    <n v="745"/>
    <x v="31"/>
  </r>
  <r>
    <x v="290"/>
    <x v="14"/>
    <x v="0"/>
    <x v="0"/>
    <n v="13229"/>
    <n v="13573"/>
    <n v="13872"/>
    <n v="14177"/>
    <n v="14489"/>
    <x v="31"/>
  </r>
  <r>
    <x v="290"/>
    <x v="1"/>
    <x v="0"/>
    <x v="0"/>
    <n v="16306"/>
    <n v="16730"/>
    <n v="17098"/>
    <n v="17475"/>
    <n v="17859"/>
    <x v="31"/>
  </r>
  <r>
    <x v="290"/>
    <x v="1"/>
    <x v="0"/>
    <x v="0"/>
    <n v="1443"/>
    <n v="1533"/>
    <n v="1611"/>
    <n v="1692"/>
    <n v="1773"/>
    <x v="31"/>
  </r>
  <r>
    <x v="290"/>
    <x v="6"/>
    <x v="0"/>
    <x v="0"/>
    <n v="477"/>
    <n v="489"/>
    <n v="500"/>
    <n v="511"/>
    <n v="522"/>
    <x v="31"/>
  </r>
  <r>
    <x v="291"/>
    <x v="1"/>
    <x v="0"/>
    <x v="0"/>
    <n v="2000"/>
    <n v="2000"/>
    <n v="2000"/>
    <n v="2001"/>
    <n v="2001"/>
    <x v="31"/>
  </r>
  <r>
    <x v="291"/>
    <x v="35"/>
    <x v="0"/>
    <x v="0"/>
    <n v="41761"/>
    <n v="42847"/>
    <n v="43790"/>
    <n v="44753"/>
    <n v="45738"/>
    <x v="31"/>
  </r>
  <r>
    <x v="292"/>
    <x v="1"/>
    <x v="0"/>
    <x v="0"/>
    <n v="13738"/>
    <n v="14095"/>
    <n v="14406"/>
    <n v="14723"/>
    <n v="15047"/>
    <x v="31"/>
  </r>
  <r>
    <x v="292"/>
    <x v="16"/>
    <x v="0"/>
    <x v="0"/>
    <n v="297"/>
    <n v="305"/>
    <n v="312"/>
    <n v="319"/>
    <n v="326"/>
    <x v="31"/>
  </r>
  <r>
    <x v="292"/>
    <x v="16"/>
    <x v="0"/>
    <x v="0"/>
    <n v="596"/>
    <n v="611"/>
    <n v="624"/>
    <n v="638"/>
    <n v="652"/>
    <x v="31"/>
  </r>
  <r>
    <x v="292"/>
    <x v="16"/>
    <x v="0"/>
    <x v="0"/>
    <n v="367"/>
    <n v="377"/>
    <n v="385"/>
    <n v="393"/>
    <n v="402"/>
    <x v="31"/>
  </r>
  <r>
    <x v="292"/>
    <x v="18"/>
    <x v="0"/>
    <x v="0"/>
    <n v="1354"/>
    <n v="1389"/>
    <n v="1420"/>
    <n v="1451"/>
    <n v="1483"/>
    <x v="31"/>
  </r>
  <r>
    <x v="292"/>
    <x v="19"/>
    <x v="0"/>
    <x v="0"/>
    <n v="552"/>
    <n v="566"/>
    <n v="578"/>
    <n v="591"/>
    <n v="604"/>
    <x v="31"/>
  </r>
  <r>
    <x v="292"/>
    <x v="4"/>
    <x v="0"/>
    <x v="0"/>
    <n v="188"/>
    <n v="193"/>
    <n v="197"/>
    <n v="201"/>
    <n v="205"/>
    <x v="31"/>
  </r>
  <r>
    <x v="292"/>
    <x v="1"/>
    <x v="0"/>
    <x v="0"/>
    <n v="61416"/>
    <n v="62662"/>
    <n v="65474"/>
    <n v="68413"/>
    <n v="71485"/>
    <x v="31"/>
  </r>
  <r>
    <x v="293"/>
    <x v="1"/>
    <x v="0"/>
    <x v="0"/>
    <n v="184088"/>
    <n v="186404"/>
    <n v="188415"/>
    <n v="190470"/>
    <n v="192570"/>
    <x v="31"/>
  </r>
  <r>
    <x v="293"/>
    <x v="6"/>
    <x v="0"/>
    <x v="0"/>
    <n v="17919"/>
    <n v="18421"/>
    <n v="18900"/>
    <n v="19316"/>
    <n v="19741"/>
    <x v="31"/>
  </r>
  <r>
    <x v="294"/>
    <x v="1"/>
    <x v="0"/>
    <x v="0"/>
    <n v="33739"/>
    <n v="33739"/>
    <n v="33739"/>
    <n v="33740"/>
    <n v="33740"/>
    <x v="31"/>
  </r>
  <r>
    <x v="295"/>
    <x v="1"/>
    <x v="0"/>
    <x v="0"/>
    <n v="58908"/>
    <n v="0"/>
    <n v="0"/>
    <n v="0"/>
    <n v="0"/>
    <x v="31"/>
  </r>
  <r>
    <x v="296"/>
    <x v="16"/>
    <x v="0"/>
    <x v="0"/>
    <n v="2176"/>
    <n v="2233"/>
    <n v="2282"/>
    <n v="2332"/>
    <n v="2383"/>
    <x v="31"/>
  </r>
  <r>
    <x v="296"/>
    <x v="34"/>
    <x v="0"/>
    <x v="0"/>
    <n v="444"/>
    <n v="456"/>
    <n v="466"/>
    <n v="476"/>
    <n v="486"/>
    <x v="31"/>
  </r>
  <r>
    <x v="296"/>
    <x v="4"/>
    <x v="0"/>
    <x v="0"/>
    <n v="0"/>
    <n v="0"/>
    <n v="0"/>
    <n v="0"/>
    <n v="0"/>
    <x v="31"/>
  </r>
  <r>
    <x v="296"/>
    <x v="1"/>
    <x v="0"/>
    <x v="0"/>
    <n v="144"/>
    <n v="148"/>
    <n v="151"/>
    <n v="154"/>
    <n v="157"/>
    <x v="31"/>
  </r>
  <r>
    <x v="296"/>
    <x v="16"/>
    <x v="0"/>
    <x v="0"/>
    <n v="3624"/>
    <n v="3718"/>
    <n v="3800"/>
    <n v="3884"/>
    <n v="3969"/>
    <x v="31"/>
  </r>
  <r>
    <x v="296"/>
    <x v="34"/>
    <x v="0"/>
    <x v="0"/>
    <n v="0"/>
    <n v="0"/>
    <n v="0"/>
    <n v="0"/>
    <n v="0"/>
    <x v="31"/>
  </r>
  <r>
    <x v="296"/>
    <x v="4"/>
    <x v="0"/>
    <x v="0"/>
    <n v="5881"/>
    <n v="6034"/>
    <n v="6167"/>
    <n v="6303"/>
    <n v="6442"/>
    <x v="31"/>
  </r>
  <r>
    <x v="296"/>
    <x v="1"/>
    <x v="0"/>
    <x v="0"/>
    <n v="0"/>
    <n v="0"/>
    <n v="0"/>
    <n v="0"/>
    <n v="0"/>
    <x v="31"/>
  </r>
  <r>
    <x v="296"/>
    <x v="11"/>
    <x v="0"/>
    <x v="0"/>
    <n v="0"/>
    <n v="0"/>
    <n v="0"/>
    <n v="1"/>
    <n v="1"/>
    <x v="31"/>
  </r>
  <r>
    <x v="297"/>
    <x v="16"/>
    <x v="0"/>
    <x v="0"/>
    <n v="2748.9"/>
    <n v="2825.79"/>
    <n v="2904.9900000000002"/>
    <n v="2986.17"/>
    <n v="3069.6600000000003"/>
    <x v="31"/>
  </r>
  <r>
    <x v="297"/>
    <x v="16"/>
    <x v="0"/>
    <x v="0"/>
    <n v="469.26000000000005"/>
    <n v="482.46000000000004"/>
    <n v="495.99"/>
    <n v="509.85"/>
    <n v="524.04000000000008"/>
    <x v="31"/>
  </r>
  <r>
    <x v="297"/>
    <x v="16"/>
    <x v="0"/>
    <x v="0"/>
    <n v="62.7"/>
    <n v="64.350000000000009"/>
    <n v="66"/>
    <n v="67.98"/>
    <n v="69.960000000000008"/>
    <x v="31"/>
  </r>
  <r>
    <x v="297"/>
    <x v="13"/>
    <x v="0"/>
    <x v="0"/>
    <n v="6626.7300000000005"/>
    <n v="6799.9800000000005"/>
    <n v="6948.4800000000005"/>
    <n v="7100.2800000000007"/>
    <n v="7255.9179000000004"/>
    <x v="31"/>
  </r>
  <r>
    <x v="297"/>
    <x v="18"/>
    <x v="0"/>
    <x v="0"/>
    <n v="2383.59"/>
    <n v="2450.25"/>
    <n v="2518.8900000000003"/>
    <n v="2589.5100000000002"/>
    <n v="2662.11"/>
    <x v="31"/>
  </r>
  <r>
    <x v="297"/>
    <x v="19"/>
    <x v="0"/>
    <x v="0"/>
    <n v="221.10000000000002"/>
    <n v="227.37"/>
    <n v="233.64000000000001"/>
    <n v="240.24"/>
    <n v="246.84"/>
    <x v="31"/>
  </r>
  <r>
    <x v="297"/>
    <x v="34"/>
    <x v="0"/>
    <x v="0"/>
    <n v="122.76"/>
    <n v="126.06"/>
    <n v="129.69"/>
    <n v="133.32"/>
    <n v="136.95000000000002"/>
    <x v="31"/>
  </r>
  <r>
    <x v="297"/>
    <x v="4"/>
    <x v="0"/>
    <x v="0"/>
    <n v="180.18"/>
    <n v="185.13"/>
    <n v="190.41"/>
    <n v="195.69"/>
    <n v="201.3"/>
    <x v="31"/>
  </r>
  <r>
    <x v="297"/>
    <x v="4"/>
    <x v="0"/>
    <x v="0"/>
    <n v="133.32"/>
    <n v="136.95000000000002"/>
    <n v="140.91"/>
    <n v="144.87"/>
    <n v="148.83000000000001"/>
    <x v="31"/>
  </r>
  <r>
    <x v="297"/>
    <x v="4"/>
    <x v="0"/>
    <x v="0"/>
    <n v="1196.5800000000002"/>
    <n v="1230.24"/>
    <n v="1264.5600000000002"/>
    <n v="1299.8700000000001"/>
    <n v="1336.17"/>
    <x v="31"/>
  </r>
  <r>
    <x v="297"/>
    <x v="1"/>
    <x v="0"/>
    <x v="0"/>
    <n v="4826.91"/>
    <n v="4952.3100000000004"/>
    <n v="5061.21"/>
    <n v="5172.42"/>
    <n v="5286.27"/>
    <x v="31"/>
  </r>
  <r>
    <x v="297"/>
    <x v="35"/>
    <x v="0"/>
    <x v="0"/>
    <n v="0"/>
    <n v="0"/>
    <n v="0"/>
    <n v="0"/>
    <n v="0"/>
    <x v="31"/>
  </r>
  <r>
    <x v="297"/>
    <x v="20"/>
    <x v="0"/>
    <x v="0"/>
    <n v="8371.44"/>
    <n v="8589.24"/>
    <n v="8778.33"/>
    <n v="8971.380000000001"/>
    <n v="9168.7200000000012"/>
    <x v="31"/>
  </r>
  <r>
    <x v="297"/>
    <x v="17"/>
    <x v="0"/>
    <x v="0"/>
    <n v="5650.26"/>
    <n v="6922.7871309907205"/>
    <n v="7268.9264875402559"/>
    <n v="7632.3728119172702"/>
    <n v="8013.9914525131335"/>
    <x v="31"/>
  </r>
  <r>
    <x v="297"/>
    <x v="11"/>
    <x v="0"/>
    <x v="0"/>
    <n v="10414.470000000001"/>
    <n v="10414.470000000001"/>
    <n v="10414.470000000001"/>
    <n v="10414.470000000001"/>
    <n v="10414.470000000001"/>
    <x v="31"/>
  </r>
  <r>
    <x v="297"/>
    <x v="34"/>
    <x v="0"/>
    <x v="0"/>
    <n v="44.550000000000004"/>
    <n v="45.870000000000005"/>
    <n v="47.190000000000005"/>
    <n v="48.510000000000005"/>
    <n v="49.830000000000005"/>
    <x v="31"/>
  </r>
  <r>
    <x v="297"/>
    <x v="1"/>
    <x v="0"/>
    <x v="0"/>
    <n v="6244.59"/>
    <n v="6406.9500000000007"/>
    <n v="6547.8600000000006"/>
    <n v="6691.7400000000007"/>
    <n v="6838.92"/>
    <x v="31"/>
  </r>
  <r>
    <x v="297"/>
    <x v="5"/>
    <x v="0"/>
    <x v="0"/>
    <n v="2735.7000000000003"/>
    <n v="2806.65"/>
    <n v="2868.36"/>
    <n v="2931.7200000000003"/>
    <n v="2996.4"/>
    <x v="31"/>
  </r>
  <r>
    <x v="297"/>
    <x v="16"/>
    <x v="0"/>
    <x v="0"/>
    <n v="4458.3"/>
    <n v="4574.13"/>
    <n v="4674.7800000000007"/>
    <n v="4777.74"/>
    <n v="4882.68"/>
    <x v="31"/>
  </r>
  <r>
    <x v="297"/>
    <x v="34"/>
    <x v="0"/>
    <x v="0"/>
    <n v="5275.38"/>
    <n v="5412.66"/>
    <n v="5531.79"/>
    <n v="5653.2300000000005"/>
    <n v="5777.97"/>
    <x v="31"/>
  </r>
  <r>
    <x v="297"/>
    <x v="4"/>
    <x v="0"/>
    <x v="0"/>
    <n v="7676.46"/>
    <n v="7876.1100000000006"/>
    <n v="8049.3600000000006"/>
    <n v="8226.57"/>
    <n v="8407.41"/>
    <x v="31"/>
  </r>
  <r>
    <x v="297"/>
    <x v="1"/>
    <x v="0"/>
    <x v="0"/>
    <n v="2247.63"/>
    <n v="2306.04"/>
    <n v="2356.5300000000002"/>
    <n v="2408.67"/>
    <n v="2461.4700000000003"/>
    <x v="31"/>
  </r>
  <r>
    <x v="297"/>
    <x v="11"/>
    <x v="0"/>
    <x v="0"/>
    <n v="18017.670000000002"/>
    <n v="15475.35"/>
    <n v="18189.93"/>
    <n v="18189.93"/>
    <n v="18189.93"/>
    <x v="31"/>
  </r>
  <r>
    <x v="298"/>
    <x v="1"/>
    <x v="0"/>
    <x v="0"/>
    <n v="0"/>
    <n v="337000"/>
    <n v="0"/>
    <n v="0"/>
    <n v="0"/>
    <x v="31"/>
  </r>
  <r>
    <x v="299"/>
    <x v="10"/>
    <x v="0"/>
    <x v="0"/>
    <n v="678031.1"/>
    <n v="863865.67"/>
    <n v="898221.49082000006"/>
    <n v="934157.67939771991"/>
    <n v="971746.93265001522"/>
    <x v="31"/>
  </r>
  <r>
    <x v="299"/>
    <x v="11"/>
    <x v="0"/>
    <x v="0"/>
    <n v="80877"/>
    <n v="81590"/>
    <n v="93871"/>
    <n v="93871"/>
    <n v="86789"/>
    <x v="31"/>
  </r>
  <r>
    <x v="299"/>
    <x v="10"/>
    <x v="0"/>
    <x v="0"/>
    <m/>
    <m/>
    <m/>
    <m/>
    <m/>
    <x v="31"/>
  </r>
  <r>
    <x v="299"/>
    <x v="11"/>
    <x v="0"/>
    <x v="0"/>
    <m/>
    <m/>
    <m/>
    <m/>
    <m/>
    <x v="31"/>
  </r>
  <r>
    <x v="289"/>
    <x v="7"/>
    <x v="0"/>
    <x v="0"/>
    <n v="-30030"/>
    <n v="-30811"/>
    <n v="-31488"/>
    <n v="-32182"/>
    <n v="-32892"/>
    <x v="31"/>
  </r>
  <r>
    <x v="300"/>
    <x v="24"/>
    <x v="0"/>
    <x v="0"/>
    <n v="-1973"/>
    <n v="-2024"/>
    <n v="-2069"/>
    <n v="-2115"/>
    <n v="-2162"/>
    <x v="31"/>
  </r>
  <r>
    <x v="300"/>
    <x v="7"/>
    <x v="0"/>
    <x v="0"/>
    <n v="-3797"/>
    <n v="-3896"/>
    <n v="-3982"/>
    <n v="-4070"/>
    <n v="-4160"/>
    <x v="31"/>
  </r>
  <r>
    <x v="301"/>
    <x v="7"/>
    <x v="0"/>
    <x v="0"/>
    <n v="-41703"/>
    <n v="-42449"/>
    <n v="-43097"/>
    <n v="-43759"/>
    <n v="-44436"/>
    <x v="31"/>
  </r>
  <r>
    <x v="302"/>
    <x v="23"/>
    <x v="0"/>
    <x v="0"/>
    <n v="-4285"/>
    <n v="-1000"/>
    <n v="-1022"/>
    <n v="-1044"/>
    <n v="-1067"/>
    <x v="31"/>
  </r>
  <r>
    <x v="303"/>
    <x v="59"/>
    <x v="0"/>
    <x v="0"/>
    <n v="-5716"/>
    <n v="-5715"/>
    <n v="-5715"/>
    <n v="-5714"/>
    <n v="-5714"/>
    <x v="31"/>
  </r>
  <r>
    <x v="295"/>
    <x v="7"/>
    <x v="0"/>
    <x v="0"/>
    <n v="-58908"/>
    <n v="-104010"/>
    <n v="-135541"/>
    <n v="-102383"/>
    <n v="-37590"/>
    <x v="31"/>
  </r>
  <r>
    <x v="304"/>
    <x v="16"/>
    <x v="0"/>
    <x v="0"/>
    <n v="426"/>
    <n v="437"/>
    <n v="447"/>
    <n v="457"/>
    <n v="467"/>
    <x v="32"/>
  </r>
  <r>
    <x v="304"/>
    <x v="4"/>
    <x v="0"/>
    <x v="0"/>
    <n v="379"/>
    <n v="389"/>
    <n v="398"/>
    <n v="407"/>
    <n v="416"/>
    <x v="32"/>
  </r>
  <r>
    <x v="304"/>
    <x v="20"/>
    <x v="0"/>
    <x v="0"/>
    <n v="1517"/>
    <n v="1556"/>
    <n v="1590"/>
    <n v="1625"/>
    <n v="1661"/>
    <x v="32"/>
  </r>
  <r>
    <x v="304"/>
    <x v="17"/>
    <x v="0"/>
    <x v="0"/>
    <n v="5183"/>
    <n v="7376.4820499999996"/>
    <n v="7649.4118858499987"/>
    <n v="7932.4401256264482"/>
    <n v="8225.9404102746266"/>
    <x v="32"/>
  </r>
  <r>
    <x v="305"/>
    <x v="16"/>
    <x v="0"/>
    <x v="0"/>
    <n v="775"/>
    <n v="795"/>
    <n v="812"/>
    <n v="830"/>
    <n v="848"/>
    <x v="32"/>
  </r>
  <r>
    <x v="305"/>
    <x v="4"/>
    <x v="0"/>
    <x v="0"/>
    <n v="645"/>
    <n v="662"/>
    <n v="677"/>
    <n v="692"/>
    <n v="707"/>
    <x v="32"/>
  </r>
  <r>
    <x v="305"/>
    <x v="20"/>
    <x v="0"/>
    <x v="0"/>
    <n v="2652"/>
    <n v="2721"/>
    <n v="2781"/>
    <n v="2842"/>
    <n v="2905"/>
    <x v="32"/>
  </r>
  <r>
    <x v="305"/>
    <x v="17"/>
    <x v="0"/>
    <x v="0"/>
    <n v="10384"/>
    <n v="12268.33151980768"/>
    <n v="12722.259786040562"/>
    <n v="13192.983398124063"/>
    <n v="13681.123783854651"/>
    <x v="32"/>
  </r>
  <r>
    <x v="306"/>
    <x v="4"/>
    <x v="0"/>
    <x v="0"/>
    <n v="1054"/>
    <n v="0"/>
    <n v="0"/>
    <n v="0"/>
    <n v="0"/>
    <x v="32"/>
  </r>
  <r>
    <x v="307"/>
    <x v="16"/>
    <x v="0"/>
    <x v="0"/>
    <n v="344"/>
    <n v="353"/>
    <n v="361"/>
    <n v="369"/>
    <n v="377"/>
    <x v="32"/>
  </r>
  <r>
    <x v="307"/>
    <x v="4"/>
    <x v="0"/>
    <x v="0"/>
    <n v="306"/>
    <n v="314"/>
    <n v="321"/>
    <n v="328"/>
    <n v="335"/>
    <x v="32"/>
  </r>
  <r>
    <x v="307"/>
    <x v="20"/>
    <x v="0"/>
    <x v="0"/>
    <n v="2329"/>
    <n v="2390"/>
    <n v="2443"/>
    <n v="2497"/>
    <n v="2552"/>
    <x v="32"/>
  </r>
  <r>
    <x v="307"/>
    <x v="17"/>
    <x v="0"/>
    <x v="0"/>
    <n v="4702"/>
    <n v="4876.3433412384002"/>
    <n v="5056.7680448642204"/>
    <n v="5243.8684625241958"/>
    <n v="5437.8915956375904"/>
    <x v="32"/>
  </r>
  <r>
    <x v="308"/>
    <x v="16"/>
    <x v="0"/>
    <x v="0"/>
    <n v="639"/>
    <n v="656"/>
    <n v="670"/>
    <n v="685"/>
    <n v="700"/>
    <x v="32"/>
  </r>
  <r>
    <x v="308"/>
    <x v="4"/>
    <x v="0"/>
    <x v="0"/>
    <n v="1064"/>
    <n v="1092"/>
    <n v="1116"/>
    <n v="1141"/>
    <n v="1166"/>
    <x v="32"/>
  </r>
  <r>
    <x v="308"/>
    <x v="20"/>
    <x v="0"/>
    <x v="0"/>
    <n v="7294"/>
    <n v="7484"/>
    <n v="7649"/>
    <n v="7817"/>
    <n v="7989"/>
    <x v="32"/>
  </r>
  <r>
    <x v="308"/>
    <x v="17"/>
    <x v="0"/>
    <x v="0"/>
    <n v="8808"/>
    <n v="12248.6092125"/>
    <n v="12861.039673125"/>
    <n v="13504.091656781251"/>
    <n v="14179.296239620315"/>
    <x v="32"/>
  </r>
  <r>
    <x v="309"/>
    <x v="16"/>
    <x v="0"/>
    <x v="0"/>
    <n v="2765"/>
    <n v="2837"/>
    <n v="2899"/>
    <n v="2963"/>
    <n v="3028"/>
    <x v="32"/>
  </r>
  <r>
    <x v="309"/>
    <x v="4"/>
    <x v="0"/>
    <x v="0"/>
    <n v="1739"/>
    <n v="1784"/>
    <n v="1823"/>
    <n v="1863"/>
    <n v="1904"/>
    <x v="32"/>
  </r>
  <r>
    <x v="309"/>
    <x v="20"/>
    <x v="0"/>
    <x v="0"/>
    <n v="3758"/>
    <n v="3856"/>
    <n v="3941"/>
    <n v="4028"/>
    <n v="4117"/>
    <x v="32"/>
  </r>
  <r>
    <x v="309"/>
    <x v="17"/>
    <x v="0"/>
    <x v="0"/>
    <n v="27871"/>
    <n v="29264.782713600001"/>
    <n v="30728.021849280001"/>
    <n v="32264.422941744004"/>
    <n v="33877.644088831206"/>
    <x v="32"/>
  </r>
  <r>
    <x v="310"/>
    <x v="16"/>
    <x v="0"/>
    <x v="0"/>
    <n v="1074"/>
    <n v="0"/>
    <n v="0"/>
    <n v="0"/>
    <n v="0"/>
    <x v="32"/>
  </r>
  <r>
    <x v="310"/>
    <x v="20"/>
    <x v="0"/>
    <x v="0"/>
    <n v="3499"/>
    <n v="0"/>
    <n v="0"/>
    <n v="0"/>
    <n v="0"/>
    <x v="32"/>
  </r>
  <r>
    <x v="310"/>
    <x v="17"/>
    <x v="0"/>
    <x v="0"/>
    <n v="0"/>
    <n v="0"/>
    <n v="0"/>
    <n v="0"/>
    <n v="0"/>
    <x v="32"/>
  </r>
  <r>
    <x v="311"/>
    <x v="16"/>
    <x v="0"/>
    <x v="0"/>
    <n v="1850"/>
    <n v="1898"/>
    <n v="1940"/>
    <n v="1983"/>
    <n v="2027"/>
    <x v="32"/>
  </r>
  <r>
    <x v="311"/>
    <x v="4"/>
    <x v="0"/>
    <x v="0"/>
    <n v="818"/>
    <n v="839"/>
    <n v="857"/>
    <n v="876"/>
    <n v="895"/>
    <x v="32"/>
  </r>
  <r>
    <x v="312"/>
    <x v="16"/>
    <x v="0"/>
    <x v="0"/>
    <n v="3769"/>
    <n v="3867"/>
    <n v="3952"/>
    <n v="4039"/>
    <n v="4128"/>
    <x v="32"/>
  </r>
  <r>
    <x v="312"/>
    <x v="4"/>
    <x v="0"/>
    <x v="0"/>
    <n v="1612"/>
    <n v="1654"/>
    <n v="1690"/>
    <n v="1727"/>
    <n v="1765"/>
    <x v="32"/>
  </r>
  <r>
    <x v="313"/>
    <x v="16"/>
    <x v="0"/>
    <x v="0"/>
    <n v="570"/>
    <n v="585"/>
    <n v="598"/>
    <n v="611"/>
    <n v="624"/>
    <x v="32"/>
  </r>
  <r>
    <x v="313"/>
    <x v="4"/>
    <x v="0"/>
    <x v="0"/>
    <n v="818"/>
    <n v="839"/>
    <n v="857"/>
    <n v="876"/>
    <n v="895"/>
    <x v="32"/>
  </r>
  <r>
    <x v="314"/>
    <x v="56"/>
    <x v="0"/>
    <x v="0"/>
    <n v="0"/>
    <n v="0"/>
    <n v="0"/>
    <n v="0"/>
    <n v="0"/>
    <x v="32"/>
  </r>
  <r>
    <x v="315"/>
    <x v="56"/>
    <x v="0"/>
    <x v="0"/>
    <n v="31520"/>
    <n v="32340"/>
    <n v="33050"/>
    <n v="33780"/>
    <n v="34520"/>
    <x v="32"/>
  </r>
  <r>
    <x v="316"/>
    <x v="9"/>
    <x v="0"/>
    <x v="0"/>
    <n v="671250"/>
    <n v="701980"/>
    <n v="734090"/>
    <n v="767660"/>
    <n v="802780"/>
    <x v="32"/>
  </r>
  <r>
    <x v="317"/>
    <x v="6"/>
    <x v="0"/>
    <x v="0"/>
    <n v="7770"/>
    <n v="7970"/>
    <n v="8150"/>
    <n v="8330"/>
    <n v="8510"/>
    <x v="32"/>
  </r>
  <r>
    <x v="318"/>
    <x v="1"/>
    <x v="0"/>
    <x v="0"/>
    <n v="29320"/>
    <n v="22080"/>
    <n v="22560"/>
    <n v="23060"/>
    <n v="23570"/>
    <x v="32"/>
  </r>
  <r>
    <x v="319"/>
    <x v="1"/>
    <x v="0"/>
    <x v="0"/>
    <n v="5618"/>
    <n v="5764"/>
    <n v="5891"/>
    <n v="6021"/>
    <n v="6153"/>
    <x v="32"/>
  </r>
  <r>
    <x v="319"/>
    <x v="1"/>
    <x v="0"/>
    <x v="0"/>
    <n v="-5515"/>
    <n v="-5642"/>
    <n v="-5642"/>
    <n v="-5642"/>
    <n v="-5642"/>
    <x v="32"/>
  </r>
  <r>
    <x v="320"/>
    <x v="10"/>
    <x v="0"/>
    <x v="0"/>
    <n v="600668.99"/>
    <n v="807384.23"/>
    <n v="844524"/>
    <n v="883372"/>
    <n v="924008"/>
    <x v="32"/>
  </r>
  <r>
    <x v="320"/>
    <x v="11"/>
    <x v="0"/>
    <x v="0"/>
    <n v="82880"/>
    <n v="82879"/>
    <n v="128546"/>
    <n v="128546"/>
    <n v="116046"/>
    <x v="32"/>
  </r>
  <r>
    <x v="321"/>
    <x v="4"/>
    <x v="0"/>
    <x v="0"/>
    <n v="4340"/>
    <n v="4453"/>
    <n v="4551"/>
    <n v="4651"/>
    <n v="4753"/>
    <x v="32"/>
  </r>
  <r>
    <x v="321"/>
    <x v="6"/>
    <x v="0"/>
    <x v="0"/>
    <n v="218843"/>
    <n v="224530"/>
    <n v="229470"/>
    <n v="234520"/>
    <n v="239680"/>
    <x v="32"/>
  </r>
  <r>
    <x v="322"/>
    <x v="1"/>
    <x v="0"/>
    <x v="0"/>
    <n v="7140"/>
    <n v="7330"/>
    <n v="7490"/>
    <n v="7660"/>
    <n v="7830"/>
    <x v="32"/>
  </r>
  <r>
    <x v="322"/>
    <x v="9"/>
    <x v="0"/>
    <x v="0"/>
    <n v="790530"/>
    <n v="800240"/>
    <n v="837050"/>
    <n v="875550"/>
    <n v="915830"/>
    <x v="32"/>
  </r>
  <r>
    <x v="323"/>
    <x v="16"/>
    <x v="0"/>
    <x v="0"/>
    <n v="602"/>
    <n v="618"/>
    <n v="632"/>
    <n v="646"/>
    <n v="660"/>
    <x v="32"/>
  </r>
  <r>
    <x v="323"/>
    <x v="4"/>
    <x v="0"/>
    <x v="0"/>
    <n v="277"/>
    <n v="284"/>
    <n v="290"/>
    <n v="296"/>
    <n v="303"/>
    <x v="32"/>
  </r>
  <r>
    <x v="324"/>
    <x v="16"/>
    <x v="0"/>
    <x v="0"/>
    <n v="759"/>
    <n v="779"/>
    <n v="796"/>
    <n v="814"/>
    <n v="832"/>
    <x v="32"/>
  </r>
  <r>
    <x v="324"/>
    <x v="4"/>
    <x v="0"/>
    <x v="0"/>
    <n v="50"/>
    <n v="51"/>
    <n v="52"/>
    <n v="53"/>
    <n v="54"/>
    <x v="32"/>
  </r>
  <r>
    <x v="324"/>
    <x v="6"/>
    <x v="0"/>
    <x v="0"/>
    <n v="16028"/>
    <n v="16445"/>
    <n v="16807"/>
    <n v="17177"/>
    <n v="17555"/>
    <x v="32"/>
  </r>
  <r>
    <x v="324"/>
    <x v="17"/>
    <x v="0"/>
    <x v="0"/>
    <n v="4269"/>
    <n v="4426.5599970763196"/>
    <n v="4590.3427169681427"/>
    <n v="4760.185397495964"/>
    <n v="4936.3122572033144"/>
    <x v="32"/>
  </r>
  <r>
    <x v="325"/>
    <x v="6"/>
    <x v="0"/>
    <x v="0"/>
    <n v="238890"/>
    <n v="218850"/>
    <n v="229340"/>
    <n v="240370"/>
    <n v="251940"/>
    <x v="32"/>
  </r>
  <r>
    <x v="326"/>
    <x v="1"/>
    <x v="0"/>
    <x v="0"/>
    <n v="0"/>
    <n v="0"/>
    <n v="0"/>
    <n v="0"/>
    <n v="0"/>
    <x v="32"/>
  </r>
  <r>
    <x v="326"/>
    <x v="6"/>
    <x v="0"/>
    <x v="0"/>
    <n v="77400"/>
    <n v="79410"/>
    <n v="81160"/>
    <n v="82950"/>
    <n v="84770"/>
    <x v="32"/>
  </r>
  <r>
    <x v="327"/>
    <x v="6"/>
    <x v="0"/>
    <x v="0"/>
    <n v="0"/>
    <n v="0"/>
    <n v="0"/>
    <n v="0"/>
    <n v="0"/>
    <x v="32"/>
  </r>
  <r>
    <x v="328"/>
    <x v="1"/>
    <x v="0"/>
    <x v="0"/>
    <n v="16180"/>
    <n v="16600"/>
    <n v="16970"/>
    <n v="17350"/>
    <n v="17730"/>
    <x v="32"/>
  </r>
  <r>
    <x v="329"/>
    <x v="16"/>
    <x v="0"/>
    <x v="0"/>
    <n v="4371"/>
    <n v="4485"/>
    <n v="4584"/>
    <n v="4685"/>
    <n v="4788"/>
    <x v="32"/>
  </r>
  <r>
    <x v="329"/>
    <x v="4"/>
    <x v="0"/>
    <x v="0"/>
    <n v="2470"/>
    <n v="2534"/>
    <n v="2590"/>
    <n v="2647"/>
    <n v="2705"/>
    <x v="32"/>
  </r>
  <r>
    <x v="329"/>
    <x v="20"/>
    <x v="0"/>
    <x v="0"/>
    <n v="9300"/>
    <n v="9500"/>
    <n v="9700"/>
    <n v="9900"/>
    <n v="10100"/>
    <x v="32"/>
  </r>
  <r>
    <x v="329"/>
    <x v="17"/>
    <x v="0"/>
    <x v="0"/>
    <n v="22794"/>
    <n v="23933.719095551998"/>
    <n v="25130.405050329598"/>
    <n v="26386.925302846081"/>
    <n v="27706.271567988388"/>
    <x v="32"/>
  </r>
  <r>
    <x v="330"/>
    <x v="1"/>
    <x v="0"/>
    <x v="0"/>
    <n v="68230"/>
    <n v="70000"/>
    <n v="71540"/>
    <n v="73110"/>
    <n v="74720"/>
    <x v="32"/>
  </r>
  <r>
    <x v="331"/>
    <x v="6"/>
    <x v="0"/>
    <x v="0"/>
    <n v="70914"/>
    <n v="76172"/>
    <n v="76172"/>
    <n v="76172"/>
    <n v="76172"/>
    <x v="32"/>
  </r>
  <r>
    <x v="332"/>
    <x v="6"/>
    <x v="0"/>
    <x v="0"/>
    <n v="53745"/>
    <n v="41972"/>
    <n v="41972"/>
    <n v="41972"/>
    <n v="41972"/>
    <x v="32"/>
  </r>
  <r>
    <x v="333"/>
    <x v="6"/>
    <x v="0"/>
    <x v="0"/>
    <n v="14929"/>
    <n v="13990"/>
    <n v="13990"/>
    <n v="13990"/>
    <n v="13990"/>
    <x v="32"/>
  </r>
  <r>
    <x v="334"/>
    <x v="6"/>
    <x v="0"/>
    <x v="0"/>
    <n v="11943"/>
    <n v="0"/>
    <n v="0"/>
    <n v="0"/>
    <n v="0"/>
    <x v="32"/>
  </r>
  <r>
    <x v="335"/>
    <x v="6"/>
    <x v="0"/>
    <x v="0"/>
    <n v="17169"/>
    <n v="20987"/>
    <n v="20987"/>
    <n v="20987"/>
    <n v="20987"/>
    <x v="32"/>
  </r>
  <r>
    <x v="304"/>
    <x v="24"/>
    <x v="0"/>
    <x v="0"/>
    <n v="-22838"/>
    <n v="-23591"/>
    <n v="-24110"/>
    <n v="-24640"/>
    <n v="-25180"/>
    <x v="32"/>
  </r>
  <r>
    <x v="305"/>
    <x v="24"/>
    <x v="0"/>
    <x v="0"/>
    <n v="-44881"/>
    <n v="-46361"/>
    <n v="-47380"/>
    <n v="-48420"/>
    <n v="-49490"/>
    <x v="32"/>
  </r>
  <r>
    <x v="307"/>
    <x v="24"/>
    <x v="0"/>
    <x v="0"/>
    <n v="-22393"/>
    <n v="-23199"/>
    <n v="-23710"/>
    <n v="-24230"/>
    <n v="-24760"/>
    <x v="32"/>
  </r>
  <r>
    <x v="308"/>
    <x v="24"/>
    <x v="0"/>
    <x v="0"/>
    <n v="-80895"/>
    <n v="-83564"/>
    <n v="-85400"/>
    <n v="-87280"/>
    <n v="-89200"/>
    <x v="32"/>
  </r>
  <r>
    <x v="309"/>
    <x v="24"/>
    <x v="0"/>
    <x v="0"/>
    <n v="-128131"/>
    <n v="-132357"/>
    <n v="-135270"/>
    <n v="-138250"/>
    <n v="-141290"/>
    <x v="32"/>
  </r>
  <r>
    <x v="310"/>
    <x v="24"/>
    <x v="0"/>
    <x v="0"/>
    <n v="-74988"/>
    <n v="0"/>
    <n v="0"/>
    <n v="0"/>
    <n v="0"/>
    <x v="32"/>
  </r>
  <r>
    <x v="323"/>
    <x v="24"/>
    <x v="0"/>
    <x v="0"/>
    <n v="-3290"/>
    <n v="-3408"/>
    <n v="-3482"/>
    <n v="-3552"/>
    <n v="-3622"/>
    <x v="32"/>
  </r>
  <r>
    <x v="324"/>
    <x v="24"/>
    <x v="0"/>
    <x v="0"/>
    <n v="-10548"/>
    <n v="-10928"/>
    <n v="-11170"/>
    <n v="-11420"/>
    <n v="-11670"/>
    <x v="32"/>
  </r>
  <r>
    <x v="311"/>
    <x v="24"/>
    <x v="0"/>
    <x v="0"/>
    <n v="-58810"/>
    <n v="-60750"/>
    <n v="-62090"/>
    <n v="-63460"/>
    <n v="-64860"/>
    <x v="32"/>
  </r>
  <r>
    <x v="312"/>
    <x v="24"/>
    <x v="0"/>
    <x v="0"/>
    <n v="-88419"/>
    <n v="-91335"/>
    <n v="-93340"/>
    <n v="-95390"/>
    <n v="-97490"/>
    <x v="32"/>
  </r>
  <r>
    <x v="313"/>
    <x v="24"/>
    <x v="0"/>
    <x v="0"/>
    <n v="-42464"/>
    <n v="-44963"/>
    <n v="-45950"/>
    <n v="-46960"/>
    <n v="-47990"/>
    <x v="32"/>
  </r>
  <r>
    <x v="336"/>
    <x v="24"/>
    <x v="0"/>
    <x v="0"/>
    <n v="0"/>
    <n v="-28587.33"/>
    <n v="-29220"/>
    <n v="-29860"/>
    <n v="-30520"/>
    <x v="32"/>
  </r>
  <r>
    <x v="337"/>
    <x v="24"/>
    <x v="0"/>
    <x v="0"/>
    <n v="0"/>
    <n v="-34874.351999999999"/>
    <n v="-35640"/>
    <n v="-36420"/>
    <n v="-37220"/>
    <x v="32"/>
  </r>
  <r>
    <x v="338"/>
    <x v="24"/>
    <x v="0"/>
    <x v="0"/>
    <n v="0"/>
    <n v="-22224.42"/>
    <n v="-22710"/>
    <n v="-23210"/>
    <n v="-23720"/>
    <x v="32"/>
  </r>
  <r>
    <x v="329"/>
    <x v="24"/>
    <x v="0"/>
    <x v="0"/>
    <n v="-128512"/>
    <n v="-128346"/>
    <n v="-131170"/>
    <n v="-134056"/>
    <n v="-137005"/>
    <x v="32"/>
  </r>
  <r>
    <x v="331"/>
    <x v="42"/>
    <x v="0"/>
    <x v="0"/>
    <n v="-70914"/>
    <n v="-76172"/>
    <n v="-76172"/>
    <n v="-76172"/>
    <n v="-76172"/>
    <x v="32"/>
  </r>
  <r>
    <x v="332"/>
    <x v="42"/>
    <x v="0"/>
    <x v="0"/>
    <n v="-53745"/>
    <n v="-41972"/>
    <n v="-41972"/>
    <n v="-41972"/>
    <n v="-41972"/>
    <x v="32"/>
  </r>
  <r>
    <x v="333"/>
    <x v="42"/>
    <x v="0"/>
    <x v="0"/>
    <n v="-14929"/>
    <n v="-13990"/>
    <n v="-13990"/>
    <n v="-13990"/>
    <n v="-13990"/>
    <x v="32"/>
  </r>
  <r>
    <x v="334"/>
    <x v="42"/>
    <x v="0"/>
    <x v="0"/>
    <n v="-11943"/>
    <n v="0"/>
    <n v="0"/>
    <n v="0"/>
    <n v="0"/>
    <x v="32"/>
  </r>
  <r>
    <x v="335"/>
    <x v="42"/>
    <x v="0"/>
    <x v="0"/>
    <n v="-17169"/>
    <n v="-20987"/>
    <n v="-20987"/>
    <n v="-20987"/>
    <n v="-20987"/>
    <x v="32"/>
  </r>
  <r>
    <x v="339"/>
    <x v="6"/>
    <x v="0"/>
    <x v="0"/>
    <n v="0"/>
    <n v="0"/>
    <n v="0"/>
    <n v="0"/>
    <n v="0"/>
    <x v="33"/>
  </r>
  <r>
    <x v="340"/>
    <x v="6"/>
    <x v="0"/>
    <x v="0"/>
    <n v="262500"/>
    <n v="270000"/>
    <n v="277800"/>
    <n v="286000"/>
    <n v="294600"/>
    <x v="33"/>
  </r>
  <r>
    <x v="341"/>
    <x v="6"/>
    <x v="0"/>
    <x v="0"/>
    <n v="591300"/>
    <n v="605700"/>
    <n v="633500"/>
    <n v="662700"/>
    <n v="693300"/>
    <x v="33"/>
  </r>
  <r>
    <x v="342"/>
    <x v="6"/>
    <x v="0"/>
    <x v="0"/>
    <n v="1012790"/>
    <n v="1227380"/>
    <n v="1284110"/>
    <n v="1159080"/>
    <n v="1212400"/>
    <x v="33"/>
  </r>
  <r>
    <x v="343"/>
    <x v="10"/>
    <x v="0"/>
    <x v="0"/>
    <n v="0"/>
    <n v="102000"/>
    <n v="204244"/>
    <n v="208737"/>
    <n v="213329"/>
    <x v="33"/>
  </r>
  <r>
    <x v="344"/>
    <x v="16"/>
    <x v="0"/>
    <x v="0"/>
    <n v="4153"/>
    <n v="4261"/>
    <n v="4355"/>
    <n v="4451"/>
    <n v="4549"/>
    <x v="34"/>
  </r>
  <r>
    <x v="344"/>
    <x v="19"/>
    <x v="0"/>
    <x v="0"/>
    <n v="17639"/>
    <n v="18098"/>
    <n v="18496"/>
    <n v="18903"/>
    <n v="19319"/>
    <x v="34"/>
  </r>
  <r>
    <x v="344"/>
    <x v="4"/>
    <x v="0"/>
    <x v="0"/>
    <n v="253"/>
    <n v="260"/>
    <n v="266"/>
    <n v="272"/>
    <n v="278"/>
    <x v="34"/>
  </r>
  <r>
    <x v="344"/>
    <x v="1"/>
    <x v="0"/>
    <x v="0"/>
    <n v="117720"/>
    <n v="120790"/>
    <n v="123450"/>
    <n v="126170"/>
    <n v="128950"/>
    <x v="34"/>
  </r>
  <r>
    <x v="344"/>
    <x v="20"/>
    <x v="0"/>
    <x v="0"/>
    <n v="9600"/>
    <n v="9850"/>
    <n v="10070"/>
    <n v="10290"/>
    <n v="10520"/>
    <x v="34"/>
  </r>
  <r>
    <x v="344"/>
    <x v="17"/>
    <x v="0"/>
    <x v="0"/>
    <n v="21033"/>
    <n v="22084.300350000001"/>
    <n v="23188.515367500004"/>
    <n v="24347.941135875004"/>
    <n v="25565.338192668754"/>
    <x v="34"/>
  </r>
  <r>
    <x v="345"/>
    <x v="6"/>
    <x v="0"/>
    <x v="0"/>
    <n v="904100"/>
    <n v="364600"/>
    <n v="381419"/>
    <n v="398958"/>
    <n v="417304"/>
    <x v="34"/>
  </r>
  <r>
    <x v="346"/>
    <x v="10"/>
    <x v="0"/>
    <x v="0"/>
    <n v="104738"/>
    <n v="99714"/>
    <n v="104301"/>
    <n v="109099"/>
    <n v="114117"/>
    <x v="34"/>
  </r>
  <r>
    <x v="346"/>
    <x v="11"/>
    <x v="0"/>
    <x v="0"/>
    <n v="28062"/>
    <n v="28062"/>
    <n v="33328"/>
    <n v="8317"/>
    <n v="5267"/>
    <x v="34"/>
  </r>
  <r>
    <x v="344"/>
    <x v="24"/>
    <x v="0"/>
    <x v="0"/>
    <n v="-170444"/>
    <n v="-151788"/>
    <n v="-155127"/>
    <n v="-158540"/>
    <n v="-162028"/>
    <x v="34"/>
  </r>
  <r>
    <x v="347"/>
    <x v="60"/>
    <x v="0"/>
    <x v="0"/>
    <n v="6130000"/>
    <n v="5900000"/>
    <n v="5900000"/>
    <n v="5900000"/>
    <n v="5900000"/>
    <x v="35"/>
  </r>
  <r>
    <x v="348"/>
    <x v="1"/>
    <x v="0"/>
    <x v="0"/>
    <n v="105360"/>
    <n v="96000"/>
    <n v="100740"/>
    <n v="100290"/>
    <n v="105340"/>
    <x v="35"/>
  </r>
  <r>
    <x v="349"/>
    <x v="1"/>
    <x v="0"/>
    <x v="0"/>
    <n v="19100"/>
    <n v="19600"/>
    <n v="20000"/>
    <n v="20400"/>
    <n v="20800"/>
    <x v="35"/>
  </r>
  <r>
    <x v="350"/>
    <x v="60"/>
    <x v="0"/>
    <x v="0"/>
    <n v="39000"/>
    <n v="33000"/>
    <n v="33000"/>
    <n v="33000"/>
    <n v="33000"/>
    <x v="35"/>
  </r>
  <r>
    <x v="351"/>
    <x v="10"/>
    <x v="0"/>
    <x v="0"/>
    <n v="1392086.85"/>
    <n v="1791856.9300000002"/>
    <n v="1762256"/>
    <n v="1843321"/>
    <n v="1928115"/>
    <x v="35"/>
  </r>
  <r>
    <x v="352"/>
    <x v="60"/>
    <x v="0"/>
    <x v="0"/>
    <n v="40000"/>
    <n v="40000"/>
    <n v="40000"/>
    <n v="40000"/>
    <n v="40000"/>
    <x v="35"/>
  </r>
  <r>
    <x v="353"/>
    <x v="60"/>
    <x v="0"/>
    <x v="0"/>
    <n v="25000"/>
    <n v="25000"/>
    <n v="25000"/>
    <n v="25000"/>
    <n v="25000"/>
    <x v="35"/>
  </r>
  <r>
    <x v="354"/>
    <x v="12"/>
    <x v="0"/>
    <x v="0"/>
    <n v="38500"/>
    <n v="38500"/>
    <n v="38500"/>
    <n v="38500"/>
    <n v="38500"/>
    <x v="35"/>
  </r>
  <r>
    <x v="355"/>
    <x v="1"/>
    <x v="0"/>
    <x v="0"/>
    <n v="11500"/>
    <n v="11800"/>
    <n v="12100"/>
    <n v="12400"/>
    <n v="12700"/>
    <x v="35"/>
  </r>
  <r>
    <x v="356"/>
    <x v="1"/>
    <x v="0"/>
    <x v="0"/>
    <n v="8300"/>
    <n v="8500"/>
    <n v="8700"/>
    <n v="8900"/>
    <n v="9100"/>
    <x v="35"/>
  </r>
  <r>
    <x v="357"/>
    <x v="60"/>
    <x v="0"/>
    <x v="0"/>
    <n v="9000"/>
    <n v="9000"/>
    <n v="9000"/>
    <n v="9000"/>
    <n v="9000"/>
    <x v="35"/>
  </r>
  <r>
    <x v="358"/>
    <x v="60"/>
    <x v="0"/>
    <x v="0"/>
    <n v="749000"/>
    <n v="920000"/>
    <n v="920000"/>
    <n v="920000"/>
    <n v="920000"/>
    <x v="35"/>
  </r>
  <r>
    <x v="359"/>
    <x v="60"/>
    <x v="0"/>
    <x v="0"/>
    <n v="315000"/>
    <n v="235000"/>
    <n v="235000"/>
    <n v="235000"/>
    <n v="235000"/>
    <x v="35"/>
  </r>
  <r>
    <x v="360"/>
    <x v="60"/>
    <x v="0"/>
    <x v="0"/>
    <n v="40000"/>
    <n v="33000"/>
    <n v="33000"/>
    <n v="33000"/>
    <n v="33000"/>
    <x v="35"/>
  </r>
  <r>
    <x v="361"/>
    <x v="1"/>
    <x v="0"/>
    <x v="0"/>
    <n v="6100"/>
    <n v="6300"/>
    <n v="6400"/>
    <n v="6500"/>
    <n v="6600"/>
    <x v="35"/>
  </r>
  <r>
    <x v="362"/>
    <x v="56"/>
    <x v="0"/>
    <x v="0"/>
    <n v="669000"/>
    <n v="796000"/>
    <n v="813000"/>
    <n v="830000"/>
    <n v="849000"/>
    <x v="35"/>
  </r>
  <r>
    <x v="363"/>
    <x v="56"/>
    <x v="0"/>
    <x v="0"/>
    <n v="102800"/>
    <n v="21500"/>
    <n v="21800"/>
    <n v="22200"/>
    <n v="22600"/>
    <x v="35"/>
  </r>
  <r>
    <x v="364"/>
    <x v="56"/>
    <x v="0"/>
    <x v="0"/>
    <n v="30000"/>
    <n v="30000"/>
    <n v="30000"/>
    <n v="30000"/>
    <n v="30000"/>
    <x v="35"/>
  </r>
  <r>
    <x v="365"/>
    <x v="61"/>
    <x v="0"/>
    <x v="0"/>
    <n v="233400"/>
    <n v="239500"/>
    <n v="244800"/>
    <n v="250200"/>
    <n v="255700"/>
    <x v="35"/>
  </r>
  <r>
    <x v="366"/>
    <x v="6"/>
    <x v="0"/>
    <x v="0"/>
    <n v="9800"/>
    <n v="10100"/>
    <n v="10300"/>
    <n v="10500"/>
    <n v="10700"/>
    <x v="35"/>
  </r>
  <r>
    <x v="367"/>
    <x v="9"/>
    <x v="0"/>
    <x v="0"/>
    <n v="11800"/>
    <n v="12100"/>
    <n v="12400"/>
    <n v="12700"/>
    <n v="13000"/>
    <x v="35"/>
  </r>
  <r>
    <x v="368"/>
    <x v="1"/>
    <x v="0"/>
    <x v="0"/>
    <n v="302837"/>
    <n v="309400"/>
    <n v="315100"/>
    <n v="320900"/>
    <n v="326900"/>
    <x v="35"/>
  </r>
  <r>
    <x v="369"/>
    <x v="56"/>
    <x v="0"/>
    <x v="0"/>
    <n v="30000"/>
    <n v="30000"/>
    <n v="30000"/>
    <n v="30000"/>
    <n v="30000"/>
    <x v="35"/>
  </r>
  <r>
    <x v="370"/>
    <x v="42"/>
    <x v="0"/>
    <x v="0"/>
    <n v="-7420000"/>
    <n v="-7268000"/>
    <n v="-7268000"/>
    <n v="-7268000"/>
    <n v="-7268000"/>
    <x v="35"/>
  </r>
  <r>
    <x v="371"/>
    <x v="62"/>
    <x v="0"/>
    <x v="0"/>
    <n v="-3500"/>
    <n v="-3500"/>
    <n v="-3500"/>
    <n v="-3500"/>
    <n v="-3500"/>
    <x v="35"/>
  </r>
  <r>
    <x v="372"/>
    <x v="62"/>
    <x v="0"/>
    <x v="0"/>
    <n v="-60000"/>
    <n v="-60000"/>
    <n v="-60000"/>
    <n v="-60000"/>
    <n v="-60000"/>
    <x v="35"/>
  </r>
  <r>
    <x v="373"/>
    <x v="62"/>
    <x v="0"/>
    <x v="0"/>
    <n v="-500"/>
    <n v="-500"/>
    <n v="-500"/>
    <n v="-500"/>
    <n v="-500"/>
    <x v="35"/>
  </r>
  <r>
    <x v="352"/>
    <x v="42"/>
    <x v="0"/>
    <x v="0"/>
    <n v="-30000"/>
    <n v="-30000"/>
    <n v="-30000"/>
    <n v="-30000"/>
    <n v="-30000"/>
    <x v="35"/>
  </r>
  <r>
    <x v="353"/>
    <x v="42"/>
    <x v="0"/>
    <x v="0"/>
    <n v="-18750"/>
    <n v="-18750"/>
    <n v="-18750"/>
    <n v="-18750"/>
    <n v="-18750"/>
    <x v="35"/>
  </r>
  <r>
    <x v="354"/>
    <x v="50"/>
    <x v="0"/>
    <x v="0"/>
    <n v="-38500"/>
    <n v="-38500"/>
    <n v="-38500"/>
    <n v="-38500"/>
    <n v="-38500"/>
    <x v="35"/>
  </r>
  <r>
    <x v="374"/>
    <x v="50"/>
    <x v="0"/>
    <x v="0"/>
    <n v="-5000"/>
    <n v="-5000"/>
    <n v="-5000"/>
    <n v="-5000"/>
    <n v="-5000"/>
    <x v="35"/>
  </r>
  <r>
    <x v="355"/>
    <x v="42"/>
    <x v="0"/>
    <x v="0"/>
    <n v="0"/>
    <n v="0"/>
    <n v="0"/>
    <n v="0"/>
    <n v="0"/>
    <x v="35"/>
  </r>
  <r>
    <x v="362"/>
    <x v="58"/>
    <x v="0"/>
    <x v="0"/>
    <n v="-5000"/>
    <n v="-5000"/>
    <n v="-5000"/>
    <n v="-5000"/>
    <n v="-5000"/>
    <x v="35"/>
  </r>
  <r>
    <x v="375"/>
    <x v="60"/>
    <x v="0"/>
    <x v="0"/>
    <n v="21220"/>
    <n v="20755"/>
    <n v="21210"/>
    <n v="21680"/>
    <n v="22160"/>
    <x v="36"/>
  </r>
  <r>
    <x v="375"/>
    <x v="8"/>
    <x v="0"/>
    <x v="0"/>
    <n v="3339015"/>
    <n v="3510349"/>
    <n v="3343375"/>
    <n v="3185574"/>
    <n v="3183096"/>
    <x v="36"/>
  </r>
  <r>
    <x v="376"/>
    <x v="1"/>
    <x v="0"/>
    <x v="0"/>
    <n v="695129"/>
    <n v="822734"/>
    <n v="873843"/>
    <n v="914291"/>
    <n v="960771"/>
    <x v="37"/>
  </r>
  <r>
    <x v="377"/>
    <x v="1"/>
    <x v="0"/>
    <x v="0"/>
    <n v="3500"/>
    <n v="3590"/>
    <n v="3670"/>
    <n v="3750"/>
    <n v="3830"/>
    <x v="37"/>
  </r>
  <r>
    <x v="378"/>
    <x v="10"/>
    <x v="0"/>
    <x v="0"/>
    <n v="1164542"/>
    <n v="1242652.98"/>
    <n v="1299815"/>
    <n v="1359607"/>
    <n v="1422148"/>
    <x v="37"/>
  </r>
  <r>
    <x v="379"/>
    <x v="1"/>
    <x v="0"/>
    <x v="0"/>
    <n v="33652"/>
    <n v="32370"/>
    <n v="33080"/>
    <n v="33810"/>
    <n v="34550"/>
    <x v="37"/>
  </r>
  <r>
    <x v="378"/>
    <x v="59"/>
    <x v="0"/>
    <x v="0"/>
    <n v="-20000"/>
    <n v="0"/>
    <n v="0"/>
    <n v="0"/>
    <n v="0"/>
    <x v="37"/>
  </r>
  <r>
    <x v="380"/>
    <x v="56"/>
    <x v="0"/>
    <x v="0"/>
    <n v="152700"/>
    <n v="160400"/>
    <n v="150600"/>
    <n v="153900"/>
    <n v="157300"/>
    <x v="38"/>
  </r>
  <r>
    <x v="381"/>
    <x v="56"/>
    <x v="0"/>
    <x v="0"/>
    <n v="185300"/>
    <n v="190100"/>
    <n v="194300"/>
    <n v="198600"/>
    <n v="203000"/>
    <x v="38"/>
  </r>
  <r>
    <x v="381"/>
    <x v="1"/>
    <x v="0"/>
    <x v="0"/>
    <n v="6160"/>
    <n v="6320"/>
    <n v="6460"/>
    <n v="6600"/>
    <n v="6750"/>
    <x v="38"/>
  </r>
  <r>
    <x v="382"/>
    <x v="56"/>
    <x v="0"/>
    <x v="0"/>
    <n v="267400"/>
    <n v="274400"/>
    <n v="280400"/>
    <n v="286600"/>
    <n v="292900"/>
    <x v="38"/>
  </r>
  <r>
    <x v="383"/>
    <x v="56"/>
    <x v="0"/>
    <x v="0"/>
    <n v="1890"/>
    <n v="1940"/>
    <n v="1980"/>
    <n v="2020"/>
    <n v="2060"/>
    <x v="38"/>
  </r>
  <r>
    <x v="384"/>
    <x v="56"/>
    <x v="0"/>
    <x v="0"/>
    <n v="5460"/>
    <n v="5600"/>
    <n v="5720"/>
    <n v="5850"/>
    <n v="5980"/>
    <x v="38"/>
  </r>
  <r>
    <x v="385"/>
    <x v="56"/>
    <x v="0"/>
    <x v="0"/>
    <n v="65490"/>
    <n v="67190"/>
    <n v="68670"/>
    <n v="70180"/>
    <n v="71720"/>
    <x v="38"/>
  </r>
  <r>
    <x v="386"/>
    <x v="56"/>
    <x v="0"/>
    <x v="0"/>
    <n v="39440"/>
    <n v="40470"/>
    <n v="41360"/>
    <n v="42270"/>
    <n v="43200"/>
    <x v="38"/>
  </r>
  <r>
    <x v="387"/>
    <x v="56"/>
    <x v="0"/>
    <x v="0"/>
    <n v="166600"/>
    <n v="170900"/>
    <n v="174700"/>
    <n v="178500"/>
    <n v="182400"/>
    <x v="38"/>
  </r>
  <r>
    <x v="388"/>
    <x v="1"/>
    <x v="0"/>
    <x v="0"/>
    <n v="22800"/>
    <n v="23390"/>
    <n v="23900"/>
    <n v="24430"/>
    <n v="24970"/>
    <x v="38"/>
  </r>
  <r>
    <x v="389"/>
    <x v="1"/>
    <x v="0"/>
    <x v="0"/>
    <n v="4130"/>
    <n v="4240"/>
    <n v="4330"/>
    <n v="4430"/>
    <n v="4530"/>
    <x v="38"/>
  </r>
  <r>
    <x v="389"/>
    <x v="6"/>
    <x v="0"/>
    <x v="0"/>
    <n v="8430"/>
    <n v="8820"/>
    <n v="9230"/>
    <n v="9650"/>
    <n v="10090"/>
    <x v="38"/>
  </r>
  <r>
    <x v="390"/>
    <x v="1"/>
    <x v="0"/>
    <x v="0"/>
    <n v="59200"/>
    <n v="22780"/>
    <n v="23280"/>
    <n v="23800"/>
    <n v="24320"/>
    <x v="38"/>
  </r>
  <r>
    <x v="391"/>
    <x v="63"/>
    <x v="0"/>
    <x v="0"/>
    <n v="0"/>
    <n v="0"/>
    <n v="0"/>
    <n v="0"/>
    <n v="0"/>
    <x v="38"/>
  </r>
  <r>
    <x v="383"/>
    <x v="7"/>
    <x v="0"/>
    <x v="0"/>
    <n v="-20530"/>
    <n v="-21060"/>
    <n v="-21520"/>
    <n v="-21990"/>
    <n v="-22470"/>
    <x v="38"/>
  </r>
  <r>
    <x v="392"/>
    <x v="56"/>
    <x v="0"/>
    <x v="0"/>
    <n v="2337300"/>
    <n v="2666800"/>
    <n v="2789300"/>
    <n v="2917900"/>
    <n v="3051900"/>
    <x v="39"/>
  </r>
  <r>
    <x v="393"/>
    <x v="58"/>
    <x v="0"/>
    <x v="0"/>
    <n v="-90000"/>
    <n v="-92500"/>
    <n v="-173600"/>
    <n v="-181600"/>
    <n v="-186000"/>
    <x v="39"/>
  </r>
  <r>
    <x v="394"/>
    <x v="56"/>
    <x v="0"/>
    <x v="0"/>
    <n v="2679674"/>
    <n v="1677574"/>
    <n v="1878975"/>
    <n v="2062175"/>
    <n v="2137375"/>
    <x v="40"/>
  </r>
  <r>
    <x v="395"/>
    <x v="1"/>
    <x v="0"/>
    <x v="0"/>
    <n v="255060"/>
    <n v="255701"/>
    <n v="261327"/>
    <n v="267077"/>
    <n v="272952"/>
    <x v="40"/>
  </r>
  <r>
    <x v="396"/>
    <x v="58"/>
    <x v="0"/>
    <x v="0"/>
    <n v="-60000"/>
    <n v="-61000"/>
    <n v="-125500"/>
    <n v="-131300"/>
    <n v="-137300"/>
    <x v="40"/>
  </r>
  <r>
    <x v="397"/>
    <x v="56"/>
    <x v="0"/>
    <x v="0"/>
    <n v="551800"/>
    <n v="617200"/>
    <n v="645800"/>
    <n v="675600"/>
    <n v="706700"/>
    <x v="41"/>
  </r>
  <r>
    <x v="398"/>
    <x v="6"/>
    <x v="0"/>
    <x v="0"/>
    <n v="110400"/>
    <n v="115500"/>
    <n v="120800"/>
    <n v="126400"/>
    <n v="132200"/>
    <x v="41"/>
  </r>
  <r>
    <x v="399"/>
    <x v="56"/>
    <x v="0"/>
    <x v="0"/>
    <n v="60700"/>
    <n v="63500"/>
    <n v="66400"/>
    <n v="69500"/>
    <n v="72700"/>
    <x v="42"/>
  </r>
  <r>
    <x v="400"/>
    <x v="56"/>
    <x v="0"/>
    <x v="0"/>
    <n v="2616317"/>
    <n v="3749240"/>
    <n v="3864690"/>
    <n v="4008140"/>
    <n v="4086140"/>
    <x v="43"/>
  </r>
  <r>
    <x v="401"/>
    <x v="56"/>
    <x v="0"/>
    <x v="0"/>
    <n v="1589000"/>
    <n v="2828000"/>
    <n v="2958000"/>
    <n v="3094000"/>
    <n v="3237000"/>
    <x v="43"/>
  </r>
  <r>
    <x v="402"/>
    <x v="56"/>
    <x v="0"/>
    <x v="0"/>
    <n v="662000"/>
    <n v="41000"/>
    <n v="43000"/>
    <n v="45000"/>
    <n v="47000"/>
    <x v="43"/>
  </r>
  <r>
    <x v="403"/>
    <x v="56"/>
    <x v="0"/>
    <x v="0"/>
    <n v="66000"/>
    <n v="118000"/>
    <n v="123000"/>
    <n v="128000"/>
    <n v="133000"/>
    <x v="43"/>
  </r>
  <r>
    <x v="404"/>
    <x v="56"/>
    <x v="0"/>
    <x v="0"/>
    <n v="762000"/>
    <n v="941000"/>
    <n v="984000"/>
    <n v="1029000"/>
    <n v="1077000"/>
    <x v="43"/>
  </r>
  <r>
    <x v="405"/>
    <x v="1"/>
    <x v="0"/>
    <x v="0"/>
    <n v="28082"/>
    <n v="28812"/>
    <n v="29446"/>
    <n v="30094"/>
    <n v="30756"/>
    <x v="43"/>
  </r>
  <r>
    <x v="405"/>
    <x v="11"/>
    <x v="0"/>
    <x v="0"/>
    <n v="235"/>
    <n v="235"/>
    <n v="0"/>
    <n v="0"/>
    <n v="0"/>
    <x v="43"/>
  </r>
  <r>
    <x v="406"/>
    <x v="56"/>
    <x v="0"/>
    <x v="0"/>
    <n v="331000"/>
    <n v="262000"/>
    <n v="274000"/>
    <n v="287000"/>
    <n v="300000"/>
    <x v="44"/>
  </r>
  <r>
    <x v="407"/>
    <x v="56"/>
    <x v="0"/>
    <x v="0"/>
    <n v="66000"/>
    <n v="34000"/>
    <n v="35000"/>
    <n v="36000"/>
    <n v="37000"/>
    <x v="44"/>
  </r>
  <r>
    <x v="408"/>
    <x v="56"/>
    <x v="0"/>
    <x v="0"/>
    <n v="993000"/>
    <n v="1506000"/>
    <n v="1575000"/>
    <n v="1647000"/>
    <n v="1722000"/>
    <x v="44"/>
  </r>
  <r>
    <x v="409"/>
    <x v="56"/>
    <x v="0"/>
    <x v="0"/>
    <n v="110000"/>
    <n v="42000"/>
    <n v="44000"/>
    <n v="47000"/>
    <n v="49000"/>
    <x v="44"/>
  </r>
  <r>
    <x v="410"/>
    <x v="56"/>
    <x v="0"/>
    <x v="0"/>
    <n v="220000"/>
    <n v="31000"/>
    <n v="33000"/>
    <n v="34000"/>
    <n v="36000"/>
    <x v="44"/>
  </r>
  <r>
    <x v="411"/>
    <x v="56"/>
    <x v="0"/>
    <x v="0"/>
    <n v="217000"/>
    <n v="10000"/>
    <n v="10000"/>
    <n v="11000"/>
    <n v="11000"/>
    <x v="44"/>
  </r>
  <r>
    <x v="412"/>
    <x v="56"/>
    <x v="0"/>
    <x v="0"/>
    <n v="0"/>
    <n v="382000"/>
    <n v="400000"/>
    <n v="418000"/>
    <n v="437000"/>
    <x v="45"/>
  </r>
  <r>
    <x v="413"/>
    <x v="56"/>
    <x v="0"/>
    <x v="0"/>
    <n v="0"/>
    <n v="554000"/>
    <n v="579000"/>
    <n v="606000"/>
    <n v="634000"/>
    <x v="46"/>
  </r>
  <r>
    <x v="414"/>
    <x v="56"/>
    <x v="0"/>
    <x v="0"/>
    <n v="331000"/>
    <n v="152000"/>
    <n v="159000"/>
    <n v="167000"/>
    <n v="174000"/>
    <x v="47"/>
  </r>
  <r>
    <x v="414"/>
    <x v="9"/>
    <x v="0"/>
    <x v="0"/>
    <n v="265000"/>
    <n v="277000"/>
    <n v="290000"/>
    <n v="303000"/>
    <n v="317000"/>
    <x v="47"/>
  </r>
  <r>
    <x v="415"/>
    <x v="56"/>
    <x v="0"/>
    <x v="0"/>
    <n v="56000"/>
    <n v="85000"/>
    <n v="89000"/>
    <n v="93000"/>
    <n v="97000"/>
    <x v="48"/>
  </r>
  <r>
    <x v="416"/>
    <x v="10"/>
    <x v="0"/>
    <x v="0"/>
    <n v="718676.59000000008"/>
    <n v="1051284.8700000001"/>
    <n v="979772.62102000008"/>
    <n v="1024841.4395869201"/>
    <n v="1071984.1638079183"/>
    <x v="49"/>
  </r>
  <r>
    <x v="417"/>
    <x v="10"/>
    <x v="0"/>
    <x v="0"/>
    <n v="1328758.83"/>
    <n v="1851945.81"/>
    <n v="1937135"/>
    <n v="2026244"/>
    <n v="2119451"/>
    <x v="50"/>
  </r>
  <r>
    <x v="418"/>
    <x v="8"/>
    <x v="0"/>
    <x v="0"/>
    <n v="1430857"/>
    <n v="1499023"/>
    <n v="1567064"/>
    <n v="1638215"/>
    <n v="1712618"/>
    <x v="51"/>
  </r>
  <r>
    <x v="419"/>
    <x v="6"/>
    <x v="0"/>
    <x v="0"/>
    <n v="23690"/>
    <n v="24310"/>
    <n v="24840"/>
    <n v="25390"/>
    <n v="25950"/>
    <x v="51"/>
  </r>
  <r>
    <x v="420"/>
    <x v="6"/>
    <x v="0"/>
    <x v="0"/>
    <n v="0"/>
    <n v="0"/>
    <n v="0"/>
    <n v="0"/>
    <n v="0"/>
    <x v="51"/>
  </r>
  <r>
    <x v="421"/>
    <x v="10"/>
    <x v="0"/>
    <x v="0"/>
    <n v="36873.93"/>
    <n v="37580.25"/>
    <n v="39310"/>
    <n v="41120"/>
    <n v="43010"/>
    <x v="51"/>
  </r>
  <r>
    <x v="422"/>
    <x v="1"/>
    <x v="0"/>
    <x v="0"/>
    <n v="0"/>
    <n v="0"/>
    <n v="0"/>
    <n v="0"/>
    <n v="0"/>
    <x v="51"/>
  </r>
  <r>
    <x v="422"/>
    <x v="6"/>
    <x v="0"/>
    <x v="0"/>
    <n v="0"/>
    <n v="0"/>
    <n v="0"/>
    <n v="0"/>
    <n v="0"/>
    <x v="51"/>
  </r>
  <r>
    <x v="423"/>
    <x v="6"/>
    <x v="0"/>
    <x v="0"/>
    <n v="29858"/>
    <n v="31090"/>
    <n v="31090"/>
    <n v="31090"/>
    <n v="31090"/>
    <x v="51"/>
  </r>
  <r>
    <x v="424"/>
    <x v="6"/>
    <x v="0"/>
    <x v="0"/>
    <n v="23887"/>
    <n v="31090"/>
    <n v="31090"/>
    <n v="31090"/>
    <n v="31090"/>
    <x v="51"/>
  </r>
  <r>
    <x v="425"/>
    <x v="6"/>
    <x v="0"/>
    <x v="0"/>
    <n v="7465"/>
    <n v="0"/>
    <n v="0"/>
    <n v="0"/>
    <n v="0"/>
    <x v="51"/>
  </r>
  <r>
    <x v="426"/>
    <x v="6"/>
    <x v="0"/>
    <x v="0"/>
    <n v="26126"/>
    <n v="0"/>
    <n v="0"/>
    <n v="0"/>
    <n v="0"/>
    <x v="51"/>
  </r>
  <r>
    <x v="427"/>
    <x v="6"/>
    <x v="0"/>
    <x v="0"/>
    <n v="14929"/>
    <n v="0"/>
    <n v="0"/>
    <n v="0"/>
    <n v="0"/>
    <x v="51"/>
  </r>
  <r>
    <x v="428"/>
    <x v="6"/>
    <x v="0"/>
    <x v="0"/>
    <n v="3732"/>
    <n v="0"/>
    <n v="0"/>
    <n v="0"/>
    <n v="0"/>
    <x v="51"/>
  </r>
  <r>
    <x v="429"/>
    <x v="6"/>
    <x v="0"/>
    <x v="0"/>
    <n v="3732"/>
    <n v="0"/>
    <n v="0"/>
    <n v="0"/>
    <n v="0"/>
    <x v="51"/>
  </r>
  <r>
    <x v="430"/>
    <x v="6"/>
    <x v="0"/>
    <x v="0"/>
    <n v="10898"/>
    <n v="0"/>
    <n v="0"/>
    <n v="0"/>
    <n v="0"/>
    <x v="51"/>
  </r>
  <r>
    <x v="423"/>
    <x v="42"/>
    <x v="0"/>
    <x v="0"/>
    <n v="-29858"/>
    <n v="-31090"/>
    <n v="-31090"/>
    <n v="-31090"/>
    <n v="-31090"/>
    <x v="51"/>
  </r>
  <r>
    <x v="424"/>
    <x v="42"/>
    <x v="0"/>
    <x v="0"/>
    <n v="-23887"/>
    <n v="-31090"/>
    <n v="-31090"/>
    <n v="-31090"/>
    <n v="-31090"/>
    <x v="51"/>
  </r>
  <r>
    <x v="425"/>
    <x v="42"/>
    <x v="0"/>
    <x v="0"/>
    <n v="-7465"/>
    <n v="0"/>
    <n v="0"/>
    <n v="0"/>
    <n v="0"/>
    <x v="51"/>
  </r>
  <r>
    <x v="426"/>
    <x v="42"/>
    <x v="0"/>
    <x v="0"/>
    <n v="-26126"/>
    <n v="0"/>
    <n v="0"/>
    <n v="0"/>
    <n v="0"/>
    <x v="51"/>
  </r>
  <r>
    <x v="427"/>
    <x v="42"/>
    <x v="0"/>
    <x v="0"/>
    <n v="-14929"/>
    <n v="0"/>
    <n v="0"/>
    <n v="0"/>
    <n v="0"/>
    <x v="51"/>
  </r>
  <r>
    <x v="428"/>
    <x v="42"/>
    <x v="0"/>
    <x v="0"/>
    <n v="-3732"/>
    <n v="0"/>
    <n v="0"/>
    <n v="0"/>
    <n v="0"/>
    <x v="51"/>
  </r>
  <r>
    <x v="429"/>
    <x v="42"/>
    <x v="0"/>
    <x v="0"/>
    <n v="-3732"/>
    <n v="0"/>
    <n v="0"/>
    <n v="0"/>
    <n v="0"/>
    <x v="51"/>
  </r>
  <r>
    <x v="430"/>
    <x v="42"/>
    <x v="0"/>
    <x v="0"/>
    <n v="-10898"/>
    <n v="0"/>
    <n v="0"/>
    <n v="0"/>
    <n v="0"/>
    <x v="51"/>
  </r>
  <r>
    <x v="431"/>
    <x v="1"/>
    <x v="0"/>
    <x v="0"/>
    <n v="179980"/>
    <n v="207008"/>
    <n v="221515"/>
    <n v="236128"/>
    <n v="0"/>
    <x v="52"/>
  </r>
  <r>
    <x v="431"/>
    <x v="64"/>
    <x v="0"/>
    <x v="0"/>
    <n v="35554"/>
    <n v="41627"/>
    <n v="44570"/>
    <n v="47557"/>
    <n v="0"/>
    <x v="52"/>
  </r>
  <r>
    <x v="432"/>
    <x v="19"/>
    <x v="0"/>
    <x v="0"/>
    <n v="47286"/>
    <n v="48421"/>
    <n v="49583"/>
    <n v="50773"/>
    <n v="51890"/>
    <x v="52"/>
  </r>
  <r>
    <x v="432"/>
    <x v="1"/>
    <x v="0"/>
    <x v="0"/>
    <n v="79173"/>
    <n v="81233"/>
    <n v="83020"/>
    <n v="84847"/>
    <n v="86714"/>
    <x v="52"/>
  </r>
  <r>
    <x v="432"/>
    <x v="64"/>
    <x v="0"/>
    <x v="0"/>
    <n v="278556"/>
    <n v="279227"/>
    <n v="279847"/>
    <n v="88217"/>
    <n v="88844"/>
    <x v="52"/>
  </r>
  <r>
    <x v="433"/>
    <x v="19"/>
    <x v="0"/>
    <x v="0"/>
    <n v="45346"/>
    <n v="46434"/>
    <n v="47548"/>
    <n v="48689"/>
    <n v="49760"/>
    <x v="52"/>
  </r>
  <r>
    <x v="433"/>
    <x v="1"/>
    <x v="0"/>
    <x v="0"/>
    <n v="36311"/>
    <n v="37146"/>
    <n v="38001"/>
    <n v="38876"/>
    <n v="39731"/>
    <x v="52"/>
  </r>
  <r>
    <x v="433"/>
    <x v="64"/>
    <x v="0"/>
    <x v="0"/>
    <n v="17148"/>
    <n v="17552"/>
    <n v="17965"/>
    <n v="18389"/>
    <n v="18794"/>
    <x v="52"/>
  </r>
  <r>
    <x v="432"/>
    <x v="13"/>
    <x v="0"/>
    <x v="0"/>
    <n v="40000"/>
    <n v="40000"/>
    <n v="40000"/>
    <n v="40000"/>
    <n v="40000"/>
    <x v="52"/>
  </r>
  <r>
    <x v="432"/>
    <x v="1"/>
    <x v="0"/>
    <x v="0"/>
    <n v="102299"/>
    <n v="104959"/>
    <n v="107268"/>
    <n v="109628"/>
    <n v="112040"/>
    <x v="52"/>
  </r>
  <r>
    <x v="432"/>
    <x v="64"/>
    <x v="0"/>
    <x v="0"/>
    <n v="21483"/>
    <n v="22041"/>
    <n v="22526"/>
    <n v="23022"/>
    <n v="23528"/>
    <x v="52"/>
  </r>
  <r>
    <x v="432"/>
    <x v="1"/>
    <x v="0"/>
    <x v="0"/>
    <n v="1721"/>
    <n v="1762"/>
    <n v="1804"/>
    <n v="1847"/>
    <n v="1888"/>
    <x v="52"/>
  </r>
  <r>
    <x v="432"/>
    <x v="64"/>
    <x v="0"/>
    <x v="0"/>
    <n v="361"/>
    <n v="370"/>
    <n v="379"/>
    <n v="388"/>
    <n v="396"/>
    <x v="52"/>
  </r>
  <r>
    <x v="434"/>
    <x v="16"/>
    <x v="0"/>
    <x v="0"/>
    <n v="355"/>
    <n v="364"/>
    <n v="373"/>
    <n v="382"/>
    <n v="390"/>
    <x v="52"/>
  </r>
  <r>
    <x v="434"/>
    <x v="34"/>
    <x v="0"/>
    <x v="0"/>
    <n v="7911"/>
    <n v="8101"/>
    <n v="8295"/>
    <n v="8494"/>
    <n v="8681"/>
    <x v="52"/>
  </r>
  <r>
    <x v="434"/>
    <x v="4"/>
    <x v="0"/>
    <x v="0"/>
    <n v="6243"/>
    <n v="6393"/>
    <n v="6546"/>
    <n v="6703"/>
    <n v="6850"/>
    <x v="52"/>
  </r>
  <r>
    <x v="434"/>
    <x v="1"/>
    <x v="0"/>
    <x v="0"/>
    <n v="1967"/>
    <n v="2014"/>
    <n v="2062"/>
    <n v="2111"/>
    <n v="2157"/>
    <x v="52"/>
  </r>
  <r>
    <x v="434"/>
    <x v="64"/>
    <x v="0"/>
    <x v="0"/>
    <n v="413"/>
    <n v="423"/>
    <n v="433"/>
    <n v="443"/>
    <n v="453"/>
    <x v="52"/>
  </r>
  <r>
    <x v="435"/>
    <x v="1"/>
    <x v="0"/>
    <x v="0"/>
    <n v="1348"/>
    <n v="1380"/>
    <n v="1413"/>
    <n v="1447"/>
    <n v="1479"/>
    <x v="52"/>
  </r>
  <r>
    <x v="435"/>
    <x v="64"/>
    <x v="0"/>
    <x v="0"/>
    <n v="283"/>
    <n v="290"/>
    <n v="297"/>
    <n v="304"/>
    <n v="311"/>
    <x v="52"/>
  </r>
  <r>
    <x v="435"/>
    <x v="1"/>
    <x v="0"/>
    <x v="0"/>
    <n v="6709"/>
    <n v="6870"/>
    <n v="7035"/>
    <n v="7204"/>
    <n v="7362"/>
    <x v="52"/>
  </r>
  <r>
    <x v="435"/>
    <x v="64"/>
    <x v="0"/>
    <x v="0"/>
    <n v="1409"/>
    <n v="1443"/>
    <n v="1477"/>
    <n v="1513"/>
    <n v="1546"/>
    <x v="52"/>
  </r>
  <r>
    <x v="435"/>
    <x v="49"/>
    <x v="0"/>
    <x v="0"/>
    <n v="29435"/>
    <n v="30141"/>
    <n v="30864"/>
    <n v="31605"/>
    <n v="32300"/>
    <x v="52"/>
  </r>
  <r>
    <x v="435"/>
    <x v="64"/>
    <x v="0"/>
    <x v="0"/>
    <n v="6181"/>
    <n v="6330"/>
    <n v="6481"/>
    <n v="6637"/>
    <n v="6783"/>
    <x v="52"/>
  </r>
  <r>
    <x v="436"/>
    <x v="1"/>
    <x v="0"/>
    <x v="0"/>
    <n v="3552"/>
    <n v="3637"/>
    <n v="3724"/>
    <n v="3813"/>
    <n v="3897"/>
    <x v="52"/>
  </r>
  <r>
    <x v="436"/>
    <x v="64"/>
    <x v="0"/>
    <x v="0"/>
    <n v="746"/>
    <n v="764"/>
    <n v="782"/>
    <n v="801"/>
    <n v="818"/>
    <x v="52"/>
  </r>
  <r>
    <x v="436"/>
    <x v="32"/>
    <x v="0"/>
    <x v="0"/>
    <n v="968723.28840487055"/>
    <n v="1059035.6896272432"/>
    <n v="1093675.974443937"/>
    <n v="1327338.3950342878"/>
    <n v="1669941.0071699792"/>
    <x v="52"/>
  </r>
  <r>
    <x v="437"/>
    <x v="64"/>
    <x v="0"/>
    <x v="0"/>
    <n v="-383134"/>
    <n v="-391613"/>
    <n v="-396786"/>
    <n v="-209783"/>
    <n v="-164489"/>
    <x v="52"/>
  </r>
  <r>
    <x v="438"/>
    <x v="13"/>
    <x v="0"/>
    <x v="0"/>
    <n v="100000"/>
    <n v="102600"/>
    <n v="104900"/>
    <n v="107200"/>
    <n v="109600"/>
    <x v="52"/>
  </r>
  <r>
    <x v="438"/>
    <x v="64"/>
    <x v="0"/>
    <x v="0"/>
    <n v="21000"/>
    <n v="21546"/>
    <n v="22029"/>
    <n v="22512"/>
    <n v="23016"/>
    <x v="52"/>
  </r>
  <r>
    <x v="439"/>
    <x v="10"/>
    <x v="0"/>
    <x v="0"/>
    <n v="465114.68"/>
    <n v="467723.04"/>
    <n v="489239"/>
    <n v="511744"/>
    <n v="535284"/>
    <x v="52"/>
  </r>
  <r>
    <x v="439"/>
    <x v="10"/>
    <x v="0"/>
    <x v="0"/>
    <m/>
    <m/>
    <m/>
    <m/>
    <m/>
    <x v="52"/>
  </r>
  <r>
    <x v="439"/>
    <x v="1"/>
    <x v="0"/>
    <x v="0"/>
    <n v="17876"/>
    <n v="18412"/>
    <n v="18817"/>
    <n v="19231"/>
    <n v="19654"/>
    <x v="52"/>
  </r>
  <r>
    <x v="439"/>
    <x v="11"/>
    <x v="0"/>
    <x v="0"/>
    <n v="23879"/>
    <n v="23879"/>
    <n v="23879"/>
    <n v="23879"/>
    <n v="23879"/>
    <x v="52"/>
  </r>
  <r>
    <x v="435"/>
    <x v="50"/>
    <x v="0"/>
    <x v="0"/>
    <n v="-35616"/>
    <n v="-36471"/>
    <n v="-37345"/>
    <n v="-38242"/>
    <n v="-39083"/>
    <x v="52"/>
  </r>
  <r>
    <x v="436"/>
    <x v="41"/>
    <x v="0"/>
    <x v="0"/>
    <n v="-259569.25819999957"/>
    <n v="-268581.50284470385"/>
    <n v="-277906.6526234718"/>
    <n v="-287555.57160255872"/>
    <n v="-297539.50104859937"/>
    <x v="52"/>
  </r>
  <r>
    <x v="436"/>
    <x v="65"/>
    <x v="0"/>
    <x v="0"/>
    <n v="-2666879.2448"/>
    <n v="-2759473.292179456"/>
    <n v="-2855282.204883927"/>
    <n v="-2954417.603037497"/>
    <n v="-3056994.9822149593"/>
    <x v="52"/>
  </r>
  <r>
    <x v="439"/>
    <x v="7"/>
    <x v="0"/>
    <x v="0"/>
    <n v="-6014"/>
    <n v="-6194"/>
    <n v="-6330"/>
    <n v="-6469"/>
    <n v="-6611"/>
    <x v="52"/>
  </r>
  <r>
    <x v="440"/>
    <x v="1"/>
    <x v="0"/>
    <x v="0"/>
    <n v="179980"/>
    <n v="207008"/>
    <n v="221515"/>
    <n v="236128"/>
    <n v="251001"/>
    <x v="53"/>
  </r>
  <r>
    <x v="440"/>
    <x v="64"/>
    <x v="0"/>
    <x v="0"/>
    <n v="35554"/>
    <n v="41627"/>
    <n v="44570"/>
    <n v="47557"/>
    <n v="50591"/>
    <x v="53"/>
  </r>
  <r>
    <x v="441"/>
    <x v="1"/>
    <x v="0"/>
    <x v="0"/>
    <n v="42641"/>
    <n v="43750"/>
    <n v="44713"/>
    <n v="45697"/>
    <n v="46702"/>
    <x v="53"/>
  </r>
  <r>
    <x v="441"/>
    <x v="64"/>
    <x v="0"/>
    <x v="0"/>
    <n v="8955"/>
    <n v="9188"/>
    <n v="9390"/>
    <n v="9596"/>
    <n v="9807"/>
    <x v="53"/>
  </r>
  <r>
    <x v="442"/>
    <x v="13"/>
    <x v="0"/>
    <x v="0"/>
    <m/>
    <m/>
    <m/>
    <m/>
    <m/>
    <x v="53"/>
  </r>
  <r>
    <x v="442"/>
    <x v="1"/>
    <x v="0"/>
    <x v="0"/>
    <n v="358705"/>
    <n v="368032"/>
    <n v="376128"/>
    <n v="384403"/>
    <n v="392861"/>
    <x v="53"/>
  </r>
  <r>
    <x v="442"/>
    <x v="66"/>
    <x v="0"/>
    <x v="0"/>
    <n v="2131914.4335000003"/>
    <n v="2174552"/>
    <n v="2218044"/>
    <n v="2262405"/>
    <n v="2307654"/>
    <x v="53"/>
  </r>
  <r>
    <x v="442"/>
    <x v="67"/>
    <x v="0"/>
    <x v="0"/>
    <n v="702979.8"/>
    <n v="789765.2"/>
    <n v="792017"/>
    <n v="808562"/>
    <n v="825471"/>
    <x v="53"/>
  </r>
  <r>
    <x v="442"/>
    <x v="64"/>
    <x v="0"/>
    <x v="0"/>
    <n v="670656"/>
    <n v="699794"/>
    <n v="711100"/>
    <n v="725628"/>
    <n v="740457"/>
    <x v="53"/>
  </r>
  <r>
    <x v="442"/>
    <x v="11"/>
    <x v="0"/>
    <x v="0"/>
    <n v="0"/>
    <n v="0"/>
    <n v="0"/>
    <n v="1"/>
    <n v="1"/>
    <x v="53"/>
  </r>
  <r>
    <x v="443"/>
    <x v="1"/>
    <x v="0"/>
    <x v="0"/>
    <n v="7311"/>
    <n v="7469"/>
    <n v="7606"/>
    <n v="7747"/>
    <n v="8305"/>
    <x v="53"/>
  </r>
  <r>
    <x v="443"/>
    <x v="64"/>
    <x v="0"/>
    <x v="0"/>
    <n v="1535"/>
    <n v="1568"/>
    <n v="1597"/>
    <n v="1627"/>
    <n v="1744"/>
    <x v="53"/>
  </r>
  <r>
    <x v="444"/>
    <x v="1"/>
    <x v="0"/>
    <x v="0"/>
    <n v="3437"/>
    <n v="3526"/>
    <n v="3604"/>
    <n v="3683"/>
    <n v="3764"/>
    <x v="53"/>
  </r>
  <r>
    <x v="444"/>
    <x v="64"/>
    <x v="0"/>
    <x v="0"/>
    <n v="722"/>
    <n v="740"/>
    <n v="757"/>
    <n v="773"/>
    <n v="790"/>
    <x v="53"/>
  </r>
  <r>
    <x v="443"/>
    <x v="16"/>
    <x v="0"/>
    <x v="0"/>
    <n v="2980"/>
    <n v="3057"/>
    <n v="3124"/>
    <n v="3193"/>
    <n v="3263"/>
    <x v="53"/>
  </r>
  <r>
    <x v="443"/>
    <x v="16"/>
    <x v="0"/>
    <x v="0"/>
    <n v="193"/>
    <n v="198"/>
    <n v="202"/>
    <n v="206"/>
    <n v="211"/>
    <x v="53"/>
  </r>
  <r>
    <x v="443"/>
    <x v="16"/>
    <x v="0"/>
    <x v="0"/>
    <n v="367"/>
    <n v="377"/>
    <n v="385"/>
    <n v="393"/>
    <n v="402"/>
    <x v="53"/>
  </r>
  <r>
    <x v="443"/>
    <x v="19"/>
    <x v="0"/>
    <x v="0"/>
    <n v="6070"/>
    <n v="6228"/>
    <n v="6365"/>
    <n v="6505"/>
    <n v="6648"/>
    <x v="53"/>
  </r>
  <r>
    <x v="443"/>
    <x v="14"/>
    <x v="0"/>
    <x v="0"/>
    <n v="83224"/>
    <n v="85388"/>
    <n v="87267"/>
    <n v="89187"/>
    <n v="91149"/>
    <x v="53"/>
  </r>
  <r>
    <x v="443"/>
    <x v="4"/>
    <x v="0"/>
    <x v="0"/>
    <n v="347"/>
    <n v="356"/>
    <n v="364"/>
    <n v="372"/>
    <n v="380"/>
    <x v="53"/>
  </r>
  <r>
    <x v="443"/>
    <x v="35"/>
    <x v="0"/>
    <x v="0"/>
    <n v="12045"/>
    <n v="12332"/>
    <n v="12586"/>
    <n v="12845"/>
    <n v="13110"/>
    <x v="53"/>
  </r>
  <r>
    <x v="443"/>
    <x v="1"/>
    <x v="0"/>
    <x v="0"/>
    <n v="477"/>
    <n v="478"/>
    <n v="479"/>
    <n v="480"/>
    <n v="480"/>
    <x v="53"/>
  </r>
  <r>
    <x v="443"/>
    <x v="35"/>
    <x v="0"/>
    <x v="0"/>
    <n v="929968.24"/>
    <n v="952198.08719999995"/>
    <n v="981455.91981600004"/>
    <n v="1011737.1274104801"/>
    <n v="1043082.1112327944"/>
    <x v="53"/>
  </r>
  <r>
    <x v="443"/>
    <x v="64"/>
    <x v="0"/>
    <x v="0"/>
    <n v="197823"/>
    <n v="202551"/>
    <n v="208749"/>
    <n v="215162"/>
    <n v="221800"/>
    <x v="53"/>
  </r>
  <r>
    <x v="443"/>
    <x v="11"/>
    <x v="0"/>
    <x v="0"/>
    <n v="0"/>
    <n v="0"/>
    <n v="0"/>
    <n v="1"/>
    <n v="1"/>
    <x v="53"/>
  </r>
  <r>
    <x v="443"/>
    <x v="1"/>
    <x v="0"/>
    <x v="0"/>
    <n v="13821"/>
    <n v="14180"/>
    <n v="14492"/>
    <n v="14811"/>
    <n v="15137"/>
    <x v="53"/>
  </r>
  <r>
    <x v="443"/>
    <x v="9"/>
    <x v="0"/>
    <x v="0"/>
    <n v="6096.7640000000001"/>
    <n v="6096.7640000000001"/>
    <n v="6096.7640000000001"/>
    <n v="6096.9660000000003"/>
    <n v="6096.9660000000003"/>
    <x v="53"/>
  </r>
  <r>
    <x v="443"/>
    <x v="1"/>
    <x v="0"/>
    <x v="0"/>
    <n v="0"/>
    <n v="0"/>
    <n v="0"/>
    <n v="0"/>
    <n v="0"/>
    <x v="53"/>
  </r>
  <r>
    <x v="443"/>
    <x v="64"/>
    <x v="0"/>
    <x v="0"/>
    <n v="0"/>
    <n v="0"/>
    <n v="0"/>
    <n v="0"/>
    <n v="0"/>
    <x v="53"/>
  </r>
  <r>
    <x v="445"/>
    <x v="10"/>
    <x v="0"/>
    <x v="0"/>
    <n v="204862.24"/>
    <n v="239958.64"/>
    <n v="250997"/>
    <n v="262543"/>
    <n v="274620"/>
    <x v="53"/>
  </r>
  <r>
    <x v="445"/>
    <x v="10"/>
    <x v="0"/>
    <x v="0"/>
    <m/>
    <m/>
    <m/>
    <m/>
    <m/>
    <x v="53"/>
  </r>
  <r>
    <x v="445"/>
    <x v="11"/>
    <x v="0"/>
    <x v="0"/>
    <n v="59669"/>
    <n v="62543"/>
    <n v="67877"/>
    <n v="73210"/>
    <n v="78544"/>
    <x v="53"/>
  </r>
  <r>
    <x v="445"/>
    <x v="1"/>
    <x v="0"/>
    <x v="0"/>
    <n v="26814"/>
    <n v="27619"/>
    <n v="28227"/>
    <n v="28848"/>
    <n v="29483"/>
    <x v="53"/>
  </r>
  <r>
    <x v="445"/>
    <x v="7"/>
    <x v="0"/>
    <x v="0"/>
    <n v="-9021"/>
    <n v="-9291"/>
    <n v="-9495"/>
    <n v="-9704"/>
    <n v="-9917"/>
    <x v="53"/>
  </r>
  <r>
    <x v="446"/>
    <x v="64"/>
    <x v="0"/>
    <x v="0"/>
    <n v="-915245"/>
    <n v="-955468"/>
    <n v="-976163"/>
    <n v="-1000343"/>
    <n v="-1025189"/>
    <x v="53"/>
  </r>
  <r>
    <x v="442"/>
    <x v="7"/>
    <x v="0"/>
    <x v="0"/>
    <n v="-462497"/>
    <n v="-474521"/>
    <n v="-484960"/>
    <n v="-495630"/>
    <n v="-506534"/>
    <x v="53"/>
  </r>
  <r>
    <x v="443"/>
    <x v="7"/>
    <x v="0"/>
    <x v="0"/>
    <n v="-65792"/>
    <n v="-67503"/>
    <n v="-68988"/>
    <n v="-70505"/>
    <n v="-72056"/>
    <x v="53"/>
  </r>
  <r>
    <x v="444"/>
    <x v="15"/>
    <x v="0"/>
    <x v="0"/>
    <n v="-5380992"/>
    <n v="-5679397.2000000002"/>
    <n v="-5817589.1999999993"/>
    <n v="-5971468.7999999998"/>
    <n v="-6132429.6000000006"/>
    <x v="53"/>
  </r>
  <r>
    <x v="447"/>
    <x v="1"/>
    <x v="0"/>
    <x v="0"/>
    <n v="94224"/>
    <n v="122362"/>
    <n v="125054"/>
    <n v="127805"/>
    <n v="130617"/>
    <x v="54"/>
  </r>
  <r>
    <x v="448"/>
    <x v="1"/>
    <x v="0"/>
    <x v="0"/>
    <n v="25037"/>
    <n v="0"/>
    <n v="0"/>
    <n v="0"/>
    <n v="0"/>
    <x v="54"/>
  </r>
  <r>
    <x v="449"/>
    <x v="6"/>
    <x v="0"/>
    <x v="0"/>
    <n v="21832"/>
    <n v="22400"/>
    <n v="22893"/>
    <n v="23397"/>
    <n v="23912"/>
    <x v="54"/>
  </r>
  <r>
    <x v="450"/>
    <x v="13"/>
    <x v="0"/>
    <x v="0"/>
    <n v="12250"/>
    <n v="12568"/>
    <n v="12844"/>
    <n v="13126"/>
    <n v="13415"/>
    <x v="54"/>
  </r>
  <r>
    <x v="450"/>
    <x v="1"/>
    <x v="0"/>
    <x v="0"/>
    <n v="345681"/>
    <n v="174869"/>
    <n v="179529"/>
    <n v="102537"/>
    <n v="104791"/>
    <x v="54"/>
  </r>
  <r>
    <x v="451"/>
    <x v="1"/>
    <x v="0"/>
    <x v="0"/>
    <n v="4900"/>
    <n v="5400"/>
    <n v="5545"/>
    <n v="5682"/>
    <n v="5719"/>
    <x v="54"/>
  </r>
  <r>
    <x v="452"/>
    <x v="1"/>
    <x v="0"/>
    <x v="0"/>
    <n v="35670"/>
    <n v="36598"/>
    <n v="37403"/>
    <n v="38227"/>
    <n v="39068"/>
    <x v="54"/>
  </r>
  <r>
    <x v="453"/>
    <x v="1"/>
    <x v="0"/>
    <x v="0"/>
    <n v="4295"/>
    <n v="4407"/>
    <n v="4504"/>
    <n v="4603"/>
    <n v="4704"/>
    <x v="54"/>
  </r>
  <r>
    <x v="454"/>
    <x v="13"/>
    <x v="0"/>
    <x v="0"/>
    <n v="124295"/>
    <n v="-87992"/>
    <n v="-106004"/>
    <n v="-82003"/>
    <n v="-100725"/>
    <x v="54"/>
  </r>
  <r>
    <x v="454"/>
    <x v="10"/>
    <x v="0"/>
    <x v="0"/>
    <n v="170005"/>
    <n v="371992"/>
    <n v="389104"/>
    <n v="407003"/>
    <n v="425725"/>
    <x v="54"/>
  </r>
  <r>
    <x v="455"/>
    <x v="1"/>
    <x v="0"/>
    <x v="0"/>
    <n v="51200"/>
    <n v="52400"/>
    <n v="53700"/>
    <n v="0"/>
    <n v="0"/>
    <x v="54"/>
  </r>
  <r>
    <x v="456"/>
    <x v="1"/>
    <x v="0"/>
    <x v="0"/>
    <n v="250000"/>
    <n v="250000"/>
    <n v="0"/>
    <n v="0"/>
    <n v="0"/>
    <x v="54"/>
  </r>
  <r>
    <x v="457"/>
    <x v="16"/>
    <x v="0"/>
    <x v="0"/>
    <n v="0"/>
    <n v="0"/>
    <n v="140600"/>
    <n v="140600"/>
    <n v="140600"/>
    <x v="54"/>
  </r>
  <r>
    <x v="457"/>
    <x v="19"/>
    <x v="0"/>
    <x v="0"/>
    <n v="0"/>
    <n v="0"/>
    <n v="210000"/>
    <n v="210000"/>
    <n v="210000"/>
    <x v="54"/>
  </r>
  <r>
    <x v="457"/>
    <x v="1"/>
    <x v="0"/>
    <x v="0"/>
    <n v="0"/>
    <n v="0"/>
    <n v="50000"/>
    <n v="50000"/>
    <n v="50000"/>
    <x v="54"/>
  </r>
  <r>
    <x v="457"/>
    <x v="1"/>
    <x v="0"/>
    <x v="0"/>
    <n v="0"/>
    <n v="0"/>
    <n v="302666"/>
    <n v="302666"/>
    <n v="302666"/>
    <x v="54"/>
  </r>
  <r>
    <x v="458"/>
    <x v="13"/>
    <x v="0"/>
    <x v="0"/>
    <n v="208973"/>
    <n v="214406"/>
    <n v="219123"/>
    <n v="223944"/>
    <n v="228871"/>
    <x v="54"/>
  </r>
  <r>
    <x v="459"/>
    <x v="13"/>
    <x v="0"/>
    <x v="0"/>
    <n v="10731"/>
    <n v="11010"/>
    <n v="11252"/>
    <n v="11500"/>
    <n v="11753"/>
    <x v="54"/>
  </r>
  <r>
    <x v="460"/>
    <x v="13"/>
    <x v="0"/>
    <x v="0"/>
    <n v="27141"/>
    <n v="27847"/>
    <n v="28460"/>
    <n v="29086"/>
    <n v="29726"/>
    <x v="54"/>
  </r>
  <r>
    <x v="461"/>
    <x v="13"/>
    <x v="0"/>
    <x v="0"/>
    <n v="6918"/>
    <n v="7098"/>
    <n v="7254"/>
    <n v="7414"/>
    <n v="7577"/>
    <x v="54"/>
  </r>
  <r>
    <x v="462"/>
    <x v="10"/>
    <x v="0"/>
    <x v="0"/>
    <n v="847478.06"/>
    <n v="589800.71"/>
    <n v="510239"/>
    <n v="533710"/>
    <n v="558261"/>
    <x v="54"/>
  </r>
  <r>
    <x v="462"/>
    <x v="11"/>
    <x v="0"/>
    <x v="0"/>
    <n v="59669"/>
    <n v="46585"/>
    <n v="342585"/>
    <n v="425919"/>
    <n v="459252"/>
    <x v="54"/>
  </r>
  <r>
    <x v="463"/>
    <x v="10"/>
    <x v="0"/>
    <x v="0"/>
    <n v="5459.85"/>
    <n v="0"/>
    <n v="0"/>
    <n v="0"/>
    <n v="0"/>
    <x v="54"/>
  </r>
  <r>
    <x v="464"/>
    <x v="42"/>
    <x v="0"/>
    <x v="0"/>
    <n v="-24900"/>
    <n v="-24900"/>
    <n v="-24900"/>
    <n v="-24900"/>
    <n v="-24900"/>
    <x v="54"/>
  </r>
  <r>
    <x v="465"/>
    <x v="15"/>
    <x v="0"/>
    <x v="0"/>
    <n v="-10197"/>
    <n v="-10462"/>
    <n v="-10692"/>
    <n v="-10927"/>
    <n v="-11167"/>
    <x v="54"/>
  </r>
  <r>
    <x v="466"/>
    <x v="15"/>
    <x v="0"/>
    <x v="0"/>
    <n v="-3908"/>
    <n v="-4010"/>
    <n v="-4098"/>
    <n v="-4188"/>
    <n v="-4280"/>
    <x v="54"/>
  </r>
  <r>
    <x v="454"/>
    <x v="42"/>
    <x v="0"/>
    <x v="0"/>
    <n v="-325000"/>
    <n v="-325000"/>
    <n v="-325000"/>
    <n v="-325000"/>
    <n v="-325000"/>
    <x v="54"/>
  </r>
  <r>
    <x v="455"/>
    <x v="42"/>
    <x v="0"/>
    <x v="0"/>
    <n v="-51200"/>
    <n v="-52400"/>
    <n v="-53700"/>
    <n v="0"/>
    <n v="0"/>
    <x v="54"/>
  </r>
  <r>
    <x v="467"/>
    <x v="7"/>
    <x v="0"/>
    <x v="0"/>
    <n v="0"/>
    <n v="0"/>
    <n v="-600000"/>
    <n v="-600000"/>
    <n v="-600000"/>
    <x v="54"/>
  </r>
  <r>
    <x v="467"/>
    <x v="42"/>
    <x v="0"/>
    <x v="0"/>
    <n v="0"/>
    <n v="0"/>
    <n v="-400000"/>
    <n v="-400000"/>
    <n v="-400000"/>
    <x v="54"/>
  </r>
  <r>
    <x v="468"/>
    <x v="1"/>
    <x v="0"/>
    <x v="0"/>
    <n v="2107"/>
    <n v="7809"/>
    <n v="8112"/>
    <n v="8438"/>
    <n v="8488"/>
    <x v="55"/>
  </r>
  <r>
    <x v="469"/>
    <x v="10"/>
    <x v="0"/>
    <x v="0"/>
    <n v="1555"/>
    <n v="2943"/>
    <n v="3078"/>
    <n v="3220"/>
    <n v="3368"/>
    <x v="55"/>
  </r>
  <r>
    <x v="469"/>
    <x v="11"/>
    <x v="0"/>
    <x v="0"/>
    <n v="2069"/>
    <n v="2069"/>
    <n v="2069"/>
    <n v="2069"/>
    <n v="2069"/>
    <x v="55"/>
  </r>
  <r>
    <x v="468"/>
    <x v="15"/>
    <x v="0"/>
    <x v="0"/>
    <n v="-4067"/>
    <n v="-4067"/>
    <n v="-4067"/>
    <n v="-4063"/>
    <n v="-4063"/>
    <x v="55"/>
  </r>
  <r>
    <x v="470"/>
    <x v="68"/>
    <x v="0"/>
    <x v="0"/>
    <n v="96872"/>
    <n v="149391"/>
    <n v="151578"/>
    <n v="153813"/>
    <n v="156097"/>
    <x v="56"/>
  </r>
  <r>
    <x v="471"/>
    <x v="13"/>
    <x v="0"/>
    <x v="0"/>
    <n v="57716"/>
    <n v="58870"/>
    <n v="61578"/>
    <n v="64411"/>
    <n v="67374"/>
    <x v="56"/>
  </r>
  <r>
    <x v="472"/>
    <x v="13"/>
    <x v="0"/>
    <x v="0"/>
    <n v="200000"/>
    <n v="204300"/>
    <n v="212429"/>
    <n v="220982"/>
    <n v="229861"/>
    <x v="56"/>
  </r>
  <r>
    <x v="473"/>
    <x v="1"/>
    <x v="0"/>
    <x v="0"/>
    <n v="16853"/>
    <n v="17291"/>
    <n v="17671"/>
    <n v="18060"/>
    <n v="18457"/>
    <x v="56"/>
  </r>
  <r>
    <x v="474"/>
    <x v="6"/>
    <x v="0"/>
    <x v="0"/>
    <n v="31235"/>
    <n v="31527"/>
    <n v="31781"/>
    <n v="27040"/>
    <n v="27305"/>
    <x v="56"/>
  </r>
  <r>
    <x v="475"/>
    <x v="21"/>
    <x v="0"/>
    <x v="0"/>
    <n v="1416143"/>
    <n v="1416143"/>
    <n v="0"/>
    <n v="0"/>
    <n v="0"/>
    <x v="56"/>
  </r>
  <r>
    <x v="475"/>
    <x v="1"/>
    <x v="0"/>
    <x v="0"/>
    <n v="133432"/>
    <n v="58432"/>
    <n v="58432"/>
    <n v="58432"/>
    <n v="58432"/>
    <x v="56"/>
  </r>
  <r>
    <x v="476"/>
    <x v="13"/>
    <x v="0"/>
    <x v="0"/>
    <n v="56447"/>
    <n v="357576"/>
    <n v="360224"/>
    <n v="362994"/>
    <n v="365892"/>
    <x v="56"/>
  </r>
  <r>
    <x v="476"/>
    <x v="10"/>
    <x v="0"/>
    <x v="0"/>
    <n v="160000"/>
    <n v="163200"/>
    <n v="170700"/>
    <n v="0"/>
    <n v="0"/>
    <x v="56"/>
  </r>
  <r>
    <x v="477"/>
    <x v="1"/>
    <x v="0"/>
    <x v="0"/>
    <n v="0"/>
    <n v="100000"/>
    <n v="100000"/>
    <n v="100000"/>
    <n v="0"/>
    <x v="56"/>
  </r>
  <r>
    <x v="478"/>
    <x v="1"/>
    <x v="0"/>
    <x v="0"/>
    <n v="0"/>
    <n v="50000"/>
    <n v="50000"/>
    <n v="0"/>
    <n v="0"/>
    <x v="56"/>
  </r>
  <r>
    <x v="479"/>
    <x v="10"/>
    <x v="0"/>
    <x v="0"/>
    <n v="1430328.94"/>
    <n v="1408186.71"/>
    <n v="1358707"/>
    <n v="1604255"/>
    <n v="1678676"/>
    <x v="56"/>
  </r>
  <r>
    <x v="479"/>
    <x v="1"/>
    <x v="0"/>
    <x v="0"/>
    <n v="3034"/>
    <n v="3100"/>
    <n v="3140"/>
    <n v="3262"/>
    <n v="3282"/>
    <x v="56"/>
  </r>
  <r>
    <x v="479"/>
    <x v="11"/>
    <x v="0"/>
    <x v="0"/>
    <n v="0"/>
    <n v="0"/>
    <n v="16667"/>
    <n v="33334"/>
    <n v="50001"/>
    <x v="56"/>
  </r>
  <r>
    <x v="480"/>
    <x v="10"/>
    <x v="0"/>
    <x v="0"/>
    <n v="152151.62"/>
    <n v="170945.85"/>
    <n v="178810"/>
    <n v="187036"/>
    <n v="195640"/>
    <x v="56"/>
  </r>
  <r>
    <x v="481"/>
    <x v="10"/>
    <x v="0"/>
    <x v="0"/>
    <n v="320783"/>
    <n v="407289.67"/>
    <n v="426025"/>
    <n v="445622"/>
    <n v="466121"/>
    <x v="56"/>
  </r>
  <r>
    <x v="482"/>
    <x v="15"/>
    <x v="0"/>
    <x v="0"/>
    <n v="-17499"/>
    <n v="-17954"/>
    <n v="-18349"/>
    <n v="-18753"/>
    <n v="-19166"/>
    <x v="56"/>
  </r>
  <r>
    <x v="475"/>
    <x v="25"/>
    <x v="0"/>
    <x v="0"/>
    <n v="-1416143"/>
    <n v="-1416143"/>
    <n v="0"/>
    <n v="0"/>
    <n v="0"/>
    <x v="56"/>
  </r>
  <r>
    <x v="475"/>
    <x v="7"/>
    <x v="0"/>
    <x v="0"/>
    <n v="-320783"/>
    <n v="-407289.67"/>
    <n v="-426025"/>
    <n v="-445622"/>
    <n v="-466121"/>
    <x v="56"/>
  </r>
  <r>
    <x v="475"/>
    <x v="7"/>
    <x v="0"/>
    <x v="0"/>
    <n v="-133432"/>
    <n v="-58432"/>
    <n v="-58432"/>
    <n v="-58432"/>
    <n v="-58432"/>
    <x v="56"/>
  </r>
  <r>
    <x v="476"/>
    <x v="7"/>
    <x v="0"/>
    <x v="0"/>
    <n v="-28224"/>
    <n v="0"/>
    <n v="0"/>
    <n v="0"/>
    <n v="0"/>
    <x v="56"/>
  </r>
  <r>
    <x v="483"/>
    <x v="1"/>
    <x v="0"/>
    <x v="0"/>
    <n v="236570.76053651547"/>
    <n v="258764.67255459577"/>
    <n v="237805.0781431302"/>
    <n v="148990.77462217869"/>
    <n v="139392.95733789614"/>
    <x v="57"/>
  </r>
  <r>
    <x v="483"/>
    <x v="1"/>
    <x v="0"/>
    <x v="0"/>
    <n v="1570.9556620730975"/>
    <n v="0"/>
    <n v="0"/>
    <n v="0"/>
    <n v="0"/>
    <x v="57"/>
  </r>
  <r>
    <x v="483"/>
    <x v="1"/>
    <x v="0"/>
    <x v="0"/>
    <n v="21397.981931244864"/>
    <n v="21460.185145805866"/>
    <n v="19435.487941848285"/>
    <n v="2852.9903208491337"/>
    <n v="2886.2069154084661"/>
    <x v="57"/>
  </r>
  <r>
    <x v="483"/>
    <x v="1"/>
    <x v="0"/>
    <x v="0"/>
    <n v="0"/>
    <n v="2662.1049587433772"/>
    <n v="0"/>
    <n v="0"/>
    <n v="0"/>
    <x v="57"/>
  </r>
  <r>
    <x v="484"/>
    <x v="13"/>
    <x v="0"/>
    <x v="0"/>
    <n v="30674.324350987114"/>
    <n v="25646.981928866375"/>
    <n v="26541.070031044754"/>
    <n v="27265.634405991805"/>
    <n v="14508.505772450946"/>
    <x v="57"/>
  </r>
  <r>
    <x v="485"/>
    <x v="49"/>
    <x v="0"/>
    <x v="0"/>
    <n v="1783039.7186596047"/>
    <n v="1749199.9882227166"/>
    <n v="1810179.4400014165"/>
    <n v="1041374.2485533133"/>
    <n v="0"/>
    <x v="57"/>
  </r>
  <r>
    <x v="486"/>
    <x v="49"/>
    <x v="0"/>
    <x v="0"/>
    <n v="93599.096656429654"/>
    <n v="197553.26100620336"/>
    <n v="0"/>
    <n v="0"/>
    <n v="0"/>
    <x v="57"/>
  </r>
  <r>
    <x v="486"/>
    <x v="49"/>
    <x v="0"/>
    <x v="0"/>
    <n v="2911863.2185998843"/>
    <n v="2670984.5082552736"/>
    <n v="3015380.2926800167"/>
    <n v="4130265.8638896169"/>
    <n v="4475541.5105351247"/>
    <x v="57"/>
  </r>
  <r>
    <x v="486"/>
    <x v="49"/>
    <x v="0"/>
    <x v="0"/>
    <n v="78547.783103654874"/>
    <n v="0"/>
    <n v="0"/>
    <n v="0"/>
    <n v="0"/>
    <x v="57"/>
  </r>
  <r>
    <x v="486"/>
    <x v="49"/>
    <x v="0"/>
    <x v="0"/>
    <n v="0"/>
    <n v="0"/>
    <n v="0"/>
    <n v="0"/>
    <n v="928700.57158481306"/>
    <x v="57"/>
  </r>
  <r>
    <x v="486"/>
    <x v="49"/>
    <x v="0"/>
    <x v="0"/>
    <n v="43760.590062111805"/>
    <n v="0"/>
    <n v="0"/>
    <n v="0"/>
    <n v="0"/>
    <x v="57"/>
  </r>
  <r>
    <x v="486"/>
    <x v="49"/>
    <x v="0"/>
    <x v="0"/>
    <n v="794139.22693841869"/>
    <n v="1042075.6618901774"/>
    <n v="1391905.938259976"/>
    <n v="0"/>
    <n v="0"/>
    <x v="57"/>
  </r>
  <r>
    <x v="487"/>
    <x v="49"/>
    <x v="0"/>
    <x v="0"/>
    <n v="3415.3578732787505"/>
    <n v="0"/>
    <n v="0"/>
    <n v="0"/>
    <n v="0"/>
    <x v="57"/>
  </r>
  <r>
    <x v="487"/>
    <x v="49"/>
    <x v="0"/>
    <x v="0"/>
    <n v="58190.25968137668"/>
    <n v="104009.56535352548"/>
    <n v="135540.84978941569"/>
    <n v="102383.11381582274"/>
    <n v="37589.79965252948"/>
    <x v="57"/>
  </r>
  <r>
    <x v="488"/>
    <x v="40"/>
    <x v="0"/>
    <x v="0"/>
    <n v="33130"/>
    <n v="29861"/>
    <n v="0"/>
    <n v="0"/>
    <n v="0"/>
    <x v="57"/>
  </r>
  <r>
    <x v="488"/>
    <x v="40"/>
    <x v="0"/>
    <x v="0"/>
    <n v="68586"/>
    <n v="59688"/>
    <n v="42905"/>
    <n v="17525"/>
    <n v="5616"/>
    <x v="57"/>
  </r>
  <r>
    <x v="488"/>
    <x v="40"/>
    <x v="0"/>
    <x v="0"/>
    <n v="10343"/>
    <n v="0"/>
    <n v="0"/>
    <n v="0"/>
    <n v="0"/>
    <x v="57"/>
  </r>
  <r>
    <x v="488"/>
    <x v="40"/>
    <x v="0"/>
    <x v="0"/>
    <n v="18539"/>
    <n v="18374"/>
    <n v="18731"/>
    <n v="11403"/>
    <n v="11947"/>
    <x v="57"/>
  </r>
  <r>
    <x v="488"/>
    <x v="40"/>
    <x v="0"/>
    <x v="0"/>
    <n v="11039"/>
    <n v="-1790"/>
    <n v="-7785"/>
    <n v="0"/>
    <n v="0"/>
    <x v="57"/>
  </r>
  <r>
    <x v="489"/>
    <x v="1"/>
    <x v="0"/>
    <x v="0"/>
    <n v="4204.8111705494002"/>
    <n v="4263.1260467458651"/>
    <n v="0"/>
    <n v="0"/>
    <n v="0"/>
    <x v="57"/>
  </r>
  <r>
    <x v="489"/>
    <x v="1"/>
    <x v="0"/>
    <x v="0"/>
    <n v="-1254.5735930874075"/>
    <n v="3620.6501643475203"/>
    <n v="7163.1354925174765"/>
    <n v="7358.6872462608681"/>
    <n v="7504.7976699770134"/>
    <x v="57"/>
  </r>
  <r>
    <x v="489"/>
    <x v="1"/>
    <x v="0"/>
    <x v="0"/>
    <n v="2094.6075494307966"/>
    <n v="0"/>
    <n v="0"/>
    <n v="0"/>
    <n v="0"/>
    <x v="57"/>
  </r>
  <r>
    <x v="489"/>
    <x v="1"/>
    <x v="0"/>
    <x v="0"/>
    <n v="5679.0006385489505"/>
    <n v="5324.2099174867544"/>
    <n v="5509.6184895815895"/>
    <n v="0"/>
    <n v="0"/>
    <x v="57"/>
  </r>
  <r>
    <x v="489"/>
    <x v="1"/>
    <x v="0"/>
    <x v="0"/>
    <n v="2138.7981931244867"/>
    <n v="2146.0185145805867"/>
    <n v="2221.1986219255186"/>
    <n v="2282.3922566793067"/>
    <n v="2308.965532326773"/>
    <x v="57"/>
  </r>
  <r>
    <x v="489"/>
    <x v="1"/>
    <x v="0"/>
    <x v="0"/>
    <n v="1581.7080745341616"/>
    <n v="0"/>
    <n v="0"/>
    <n v="0"/>
    <n v="0"/>
    <x v="57"/>
  </r>
  <r>
    <x v="490"/>
    <x v="27"/>
    <x v="0"/>
    <x v="0"/>
    <n v="727075"/>
    <n v="-302862"/>
    <n v="0"/>
    <n v="0"/>
    <n v="0"/>
    <x v="57"/>
  </r>
  <r>
    <x v="490"/>
    <x v="27"/>
    <x v="0"/>
    <x v="0"/>
    <n v="-120180"/>
    <n v="4416574"/>
    <n v="6678905.0000000009"/>
    <n v="3133999"/>
    <n v="-1877244.0000000009"/>
    <x v="57"/>
  </r>
  <r>
    <x v="490"/>
    <x v="27"/>
    <x v="0"/>
    <x v="0"/>
    <n v="-115219.99999999999"/>
    <n v="0"/>
    <n v="0"/>
    <n v="0"/>
    <n v="0"/>
    <x v="57"/>
  </r>
  <r>
    <x v="490"/>
    <x v="27"/>
    <x v="0"/>
    <x v="0"/>
    <n v="6065126.9999999991"/>
    <n v="1577642"/>
    <n v="-1636997"/>
    <n v="0"/>
    <n v="0"/>
    <x v="57"/>
  </r>
  <r>
    <x v="490"/>
    <x v="27"/>
    <x v="0"/>
    <x v="0"/>
    <n v="-91487.999999999985"/>
    <n v="-94064.073009257292"/>
    <n v="1928590.8894006889"/>
    <n v="-143218"/>
    <n v="-1067531.0000000002"/>
    <x v="57"/>
  </r>
  <r>
    <x v="490"/>
    <x v="27"/>
    <x v="0"/>
    <x v="0"/>
    <n v="-86567.000000000015"/>
    <n v="0"/>
    <n v="0"/>
    <n v="0"/>
    <n v="0"/>
    <x v="57"/>
  </r>
  <r>
    <x v="490"/>
    <x v="27"/>
    <x v="0"/>
    <x v="0"/>
    <n v="156566"/>
    <n v="160017"/>
    <n v="0"/>
    <n v="0"/>
    <n v="0"/>
    <x v="57"/>
  </r>
  <r>
    <x v="490"/>
    <x v="27"/>
    <x v="0"/>
    <x v="0"/>
    <n v="189476"/>
    <n v="211987"/>
    <n v="216227"/>
    <n v="220551"/>
    <n v="224962"/>
    <x v="57"/>
  </r>
  <r>
    <x v="490"/>
    <x v="27"/>
    <x v="0"/>
    <x v="0"/>
    <n v="55629"/>
    <n v="0"/>
    <n v="0"/>
    <n v="0"/>
    <n v="0"/>
    <x v="57"/>
  </r>
  <r>
    <x v="490"/>
    <x v="27"/>
    <x v="0"/>
    <x v="0"/>
    <n v="90447"/>
    <n v="95196"/>
    <n v="97100"/>
    <n v="99042"/>
    <n v="101023"/>
    <x v="57"/>
  </r>
  <r>
    <x v="490"/>
    <x v="27"/>
    <x v="0"/>
    <x v="0"/>
    <n v="10372"/>
    <n v="0"/>
    <n v="0"/>
    <n v="0"/>
    <n v="0"/>
    <x v="57"/>
  </r>
  <r>
    <x v="491"/>
    <x v="10"/>
    <x v="0"/>
    <x v="0"/>
    <n v="8127.2237489320833"/>
    <n v="2481.4233609841467"/>
    <n v="0"/>
    <n v="0"/>
    <n v="0"/>
    <x v="57"/>
  </r>
  <r>
    <x v="491"/>
    <x v="10"/>
    <x v="0"/>
    <x v="0"/>
    <n v="68301.690607005992"/>
    <n v="22568.694438214181"/>
    <n v="-19962.086943879025"/>
    <n v="-110138.39480415831"/>
    <n v="-102384.15700118354"/>
    <x v="57"/>
  </r>
  <r>
    <x v="491"/>
    <x v="10"/>
    <x v="0"/>
    <x v="0"/>
    <n v="3598.7018002738969"/>
    <n v="0"/>
    <n v="0"/>
    <n v="0"/>
    <n v="0"/>
    <x v="57"/>
  </r>
  <r>
    <x v="491"/>
    <x v="10"/>
    <x v="0"/>
    <x v="0"/>
    <n v="20025.050486919499"/>
    <n v="4348.9043910124965"/>
    <n v="-2779.8859431227611"/>
    <n v="0"/>
    <n v="0"/>
    <x v="57"/>
  </r>
  <r>
    <x v="491"/>
    <x v="10"/>
    <x v="0"/>
    <x v="0"/>
    <n v="10252.911888434872"/>
    <n v="3597.4109815894917"/>
    <n v="-4047.4788350333547"/>
    <n v="-9074.2996372380294"/>
    <n v="-7061.4121388308449"/>
    <x v="57"/>
  </r>
  <r>
    <x v="491"/>
    <x v="27"/>
    <x v="0"/>
    <x v="0"/>
    <n v="31040.592304735583"/>
    <n v="33445.005616454939"/>
    <n v="0"/>
    <n v="0"/>
    <n v="0"/>
    <x v="57"/>
  </r>
  <r>
    <x v="491"/>
    <x v="27"/>
    <x v="0"/>
    <x v="0"/>
    <n v="260867.05587930258"/>
    <n v="304184.33392307791"/>
    <n v="347196.15665897739"/>
    <n v="446305.8703279586"/>
    <n v="414883.93197902641"/>
    <x v="57"/>
  </r>
  <r>
    <x v="491"/>
    <x v="27"/>
    <x v="0"/>
    <x v="0"/>
    <n v="13744.6487090131"/>
    <n v="0"/>
    <n v="0"/>
    <n v="0"/>
    <n v="0"/>
    <x v="57"/>
  </r>
  <r>
    <x v="491"/>
    <x v="27"/>
    <x v="0"/>
    <x v="0"/>
    <n v="76482.381591609505"/>
    <n v="58615.202093185857"/>
    <n v="48349.940470452086"/>
    <n v="0"/>
    <n v="0"/>
    <x v="57"/>
  </r>
  <r>
    <x v="491"/>
    <x v="27"/>
    <x v="0"/>
    <x v="0"/>
    <n v="39159.307987195767"/>
    <n v="48486.458367281353"/>
    <n v="70396.902870570513"/>
    <n v="36771.129672041418"/>
    <n v="28614.450900335109"/>
    <x v="57"/>
  </r>
  <r>
    <x v="491"/>
    <x v="27"/>
    <x v="0"/>
    <x v="0"/>
    <n v="26525.01352814343"/>
    <n v="0"/>
    <n v="0"/>
    <n v="0"/>
    <n v="0"/>
    <x v="57"/>
  </r>
  <r>
    <x v="492"/>
    <x v="10"/>
    <x v="0"/>
    <x v="0"/>
    <n v="5623.4128432613616"/>
    <n v="13788.412850995035"/>
    <n v="0"/>
    <n v="0"/>
    <n v="0"/>
    <x v="57"/>
  </r>
  <r>
    <x v="492"/>
    <x v="10"/>
    <x v="0"/>
    <x v="0"/>
    <n v="124385.49673789003"/>
    <n v="133138.79518343843"/>
    <n v="140589.74071765924"/>
    <n v="90835.924298584752"/>
    <n v="48333.661098679062"/>
    <x v="57"/>
  </r>
  <r>
    <x v="492"/>
    <x v="10"/>
    <x v="0"/>
    <x v="0"/>
    <n v="1718.6581867250202"/>
    <n v="0"/>
    <n v="0"/>
    <n v="0"/>
    <n v="0"/>
    <x v="57"/>
  </r>
  <r>
    <x v="492"/>
    <x v="10"/>
    <x v="0"/>
    <x v="0"/>
    <n v="34436.245502091275"/>
    <n v="57195.497843955338"/>
    <n v="80525.712152813532"/>
    <n v="0"/>
    <n v="0"/>
    <x v="57"/>
  </r>
  <r>
    <x v="492"/>
    <x v="10"/>
    <x v="0"/>
    <x v="0"/>
    <n v="0"/>
    <n v="0"/>
    <n v="0"/>
    <n v="24842.065032098719"/>
    <n v="25131.294475380608"/>
    <x v="57"/>
  </r>
  <r>
    <x v="492"/>
    <x v="10"/>
    <x v="0"/>
    <x v="0"/>
    <n v="1962.052780785797"/>
    <n v="0"/>
    <n v="0"/>
    <n v="0"/>
    <n v="0"/>
    <x v="57"/>
  </r>
  <r>
    <x v="492"/>
    <x v="27"/>
    <x v="0"/>
    <x v="0"/>
    <n v="11784.505402813156"/>
    <n v="21469.771118616638"/>
    <n v="0"/>
    <n v="0"/>
    <n v="0"/>
    <x v="57"/>
  </r>
  <r>
    <x v="492"/>
    <x v="27"/>
    <x v="0"/>
    <x v="0"/>
    <n v="260664.0485405201"/>
    <n v="207308.80997594455"/>
    <n v="211726.32342970034"/>
    <n v="271098.27764443052"/>
    <n v="144250.99295550032"/>
    <x v="57"/>
  </r>
  <r>
    <x v="492"/>
    <x v="27"/>
    <x v="0"/>
    <x v="0"/>
    <n v="3601.6449888292032"/>
    <n v="0"/>
    <n v="0"/>
    <n v="0"/>
    <n v="0"/>
    <x v="57"/>
  </r>
  <r>
    <x v="492"/>
    <x v="27"/>
    <x v="0"/>
    <x v="0"/>
    <n v="72165.09484241216"/>
    <n v="89058.418905438812"/>
    <n v="121270.67657029966"/>
    <n v="0"/>
    <n v="0"/>
    <x v="57"/>
  </r>
  <r>
    <x v="492"/>
    <x v="27"/>
    <x v="0"/>
    <x v="0"/>
    <n v="0"/>
    <n v="0"/>
    <n v="0"/>
    <n v="74140.722355569465"/>
    <n v="75003.92273056689"/>
    <x v="57"/>
  </r>
  <r>
    <x v="492"/>
    <x v="27"/>
    <x v="0"/>
    <x v="0"/>
    <n v="4111.7062254253833"/>
    <n v="0"/>
    <n v="0"/>
    <n v="0"/>
    <n v="0"/>
    <x v="57"/>
  </r>
  <r>
    <x v="493"/>
    <x v="25"/>
    <x v="0"/>
    <x v="0"/>
    <n v="-337960"/>
    <n v="-1017054.8166492325"/>
    <n v="-875688.46894396818"/>
    <n v="-725195.0223007286"/>
    <n v="-314820"/>
    <x v="57"/>
  </r>
  <r>
    <x v="493"/>
    <x v="25"/>
    <x v="0"/>
    <x v="0"/>
    <n v="-578544.02124868892"/>
    <n v="0"/>
    <n v="0"/>
    <n v="0"/>
    <n v="0"/>
    <x v="57"/>
  </r>
  <r>
    <x v="494"/>
    <x v="25"/>
    <x v="0"/>
    <x v="0"/>
    <n v="-918000"/>
    <n v="0"/>
    <n v="0"/>
    <n v="0"/>
    <n v="0"/>
    <x v="57"/>
  </r>
  <r>
    <x v="494"/>
    <x v="25"/>
    <x v="0"/>
    <x v="0"/>
    <n v="-5343748"/>
    <n v="-8938634.1833507679"/>
    <n v="-11758281.531056032"/>
    <n v="-8582068.9776992723"/>
    <n v="-2993174"/>
    <x v="57"/>
  </r>
  <r>
    <x v="494"/>
    <x v="25"/>
    <x v="0"/>
    <x v="0"/>
    <n v="-6500548.9787513101"/>
    <n v="-2835132"/>
    <n v="0"/>
    <n v="0"/>
    <n v="0"/>
    <x v="57"/>
  </r>
  <r>
    <x v="495"/>
    <x v="25"/>
    <x v="0"/>
    <x v="0"/>
    <n v="0"/>
    <n v="0"/>
    <n v="-2035328"/>
    <n v="0"/>
    <n v="0"/>
    <x v="57"/>
  </r>
  <r>
    <x v="496"/>
    <x v="1"/>
    <x v="0"/>
    <x v="0"/>
    <n v="22113"/>
    <n v="22688"/>
    <n v="23187"/>
    <n v="23697"/>
    <n v="24218"/>
    <x v="58"/>
  </r>
  <r>
    <x v="497"/>
    <x v="13"/>
    <x v="0"/>
    <x v="0"/>
    <n v="31633"/>
    <n v="32455"/>
    <n v="33169"/>
    <n v="33899"/>
    <n v="34645"/>
    <x v="58"/>
  </r>
  <r>
    <x v="497"/>
    <x v="1"/>
    <x v="0"/>
    <x v="0"/>
    <n v="50733"/>
    <n v="52050"/>
    <n v="53200"/>
    <n v="54370"/>
    <n v="55560"/>
    <x v="58"/>
  </r>
  <r>
    <x v="498"/>
    <x v="22"/>
    <x v="0"/>
    <x v="0"/>
    <n v="17762"/>
    <n v="38878"/>
    <n v="39733"/>
    <n v="40607"/>
    <n v="41500"/>
    <x v="58"/>
  </r>
  <r>
    <x v="499"/>
    <x v="1"/>
    <x v="0"/>
    <x v="0"/>
    <n v="18947"/>
    <n v="0"/>
    <n v="0"/>
    <n v="0"/>
    <n v="0"/>
    <x v="58"/>
  </r>
  <r>
    <x v="500"/>
    <x v="1"/>
    <x v="0"/>
    <x v="0"/>
    <n v="1184"/>
    <n v="0"/>
    <n v="0"/>
    <n v="0"/>
    <n v="0"/>
    <x v="58"/>
  </r>
  <r>
    <x v="501"/>
    <x v="1"/>
    <x v="0"/>
    <x v="0"/>
    <n v="16340"/>
    <n v="16765"/>
    <n v="17134"/>
    <n v="17511"/>
    <n v="17896"/>
    <x v="58"/>
  </r>
  <r>
    <x v="502"/>
    <x v="1"/>
    <x v="0"/>
    <x v="0"/>
    <n v="208023"/>
    <n v="153909"/>
    <n v="117293"/>
    <n v="114872"/>
    <n v="117399"/>
    <x v="58"/>
  </r>
  <r>
    <x v="503"/>
    <x v="13"/>
    <x v="0"/>
    <x v="0"/>
    <n v="30700"/>
    <n v="0"/>
    <n v="0"/>
    <n v="0"/>
    <n v="0"/>
    <x v="58"/>
  </r>
  <r>
    <x v="504"/>
    <x v="13"/>
    <x v="0"/>
    <x v="0"/>
    <n v="144626"/>
    <n v="148386"/>
    <n v="151650"/>
    <n v="154986"/>
    <n v="158396"/>
    <x v="58"/>
  </r>
  <r>
    <x v="505"/>
    <x v="13"/>
    <x v="0"/>
    <x v="0"/>
    <n v="39206"/>
    <n v="40225"/>
    <n v="41110"/>
    <n v="42014"/>
    <n v="42938"/>
    <x v="58"/>
  </r>
  <r>
    <x v="506"/>
    <x v="13"/>
    <x v="0"/>
    <x v="0"/>
    <n v="185914"/>
    <n v="190748"/>
    <n v="194944"/>
    <n v="199233"/>
    <n v="203616"/>
    <x v="58"/>
  </r>
  <r>
    <x v="507"/>
    <x v="13"/>
    <x v="0"/>
    <x v="0"/>
    <n v="23683"/>
    <n v="24299"/>
    <n v="24834"/>
    <n v="25380"/>
    <n v="25938"/>
    <x v="58"/>
  </r>
  <r>
    <x v="508"/>
    <x v="13"/>
    <x v="0"/>
    <x v="0"/>
    <n v="22237"/>
    <n v="22816"/>
    <n v="23318"/>
    <n v="23831"/>
    <n v="24355"/>
    <x v="58"/>
  </r>
  <r>
    <x v="509"/>
    <x v="10"/>
    <x v="0"/>
    <x v="0"/>
    <n v="906685.85"/>
    <n v="640300.9"/>
    <n v="669754"/>
    <n v="700562"/>
    <n v="732787"/>
    <x v="58"/>
  </r>
  <r>
    <x v="510"/>
    <x v="10"/>
    <x v="0"/>
    <x v="0"/>
    <n v="355295.07999999996"/>
    <n v="149055.57999999999"/>
    <n v="155912"/>
    <n v="163084"/>
    <n v="170586"/>
    <x v="58"/>
  </r>
  <r>
    <x v="510"/>
    <x v="1"/>
    <x v="0"/>
    <x v="0"/>
    <n v="88426"/>
    <n v="90721"/>
    <n v="92797"/>
    <n v="94815"/>
    <n v="96871"/>
    <x v="58"/>
  </r>
  <r>
    <x v="511"/>
    <x v="15"/>
    <x v="0"/>
    <x v="0"/>
    <n v="-1140000"/>
    <n v="-855000"/>
    <n v="-855000"/>
    <n v="-855000"/>
    <n v="-855000"/>
    <x v="58"/>
  </r>
  <r>
    <x v="509"/>
    <x v="7"/>
    <x v="0"/>
    <x v="0"/>
    <n v="-39323"/>
    <n v="-40345"/>
    <n v="-41233"/>
    <n v="-42140"/>
    <n v="-43067"/>
    <x v="58"/>
  </r>
  <r>
    <x v="498"/>
    <x v="15"/>
    <x v="0"/>
    <x v="0"/>
    <n v="-11235"/>
    <n v="-11527"/>
    <n v="-11781"/>
    <n v="-12040"/>
    <n v="-12305"/>
    <x v="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69E538-BED6-4F0A-B91D-9759056BED56}" name="Draaitabel2"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4:E517" firstHeaderRow="0" firstDataRow="1" firstDataCol="1" rowPageCount="1" colPageCount="1"/>
  <pivotFields count="10">
    <pivotField axis="axisRow" showAll="0">
      <items count="513">
        <item x="0"/>
        <item x="1"/>
        <item x="2"/>
        <item x="3"/>
        <item x="4"/>
        <item x="6"/>
        <item x="7"/>
        <item x="9"/>
        <item x="8"/>
        <item x="10"/>
        <item x="11"/>
        <item x="12"/>
        <item x="13"/>
        <item x="14"/>
        <item x="15"/>
        <item x="16"/>
        <item x="17"/>
        <item x="5"/>
        <item x="18"/>
        <item x="19"/>
        <item x="21"/>
        <item x="23"/>
        <item x="32"/>
        <item x="26"/>
        <item x="28"/>
        <item x="30"/>
        <item x="20"/>
        <item x="22"/>
        <item x="24"/>
        <item x="25"/>
        <item x="27"/>
        <item x="31"/>
        <item x="29"/>
        <item x="33"/>
        <item x="34"/>
        <item x="35"/>
        <item x="36"/>
        <item x="37"/>
        <item x="47"/>
        <item x="38"/>
        <item x="39"/>
        <item x="40"/>
        <item x="41"/>
        <item x="42"/>
        <item x="43"/>
        <item x="44"/>
        <item x="45"/>
        <item x="46"/>
        <item x="67"/>
        <item x="68"/>
        <item x="70"/>
        <item x="69"/>
        <item x="48"/>
        <item x="49"/>
        <item x="50"/>
        <item x="51"/>
        <item x="52"/>
        <item x="53"/>
        <item x="54"/>
        <item x="56"/>
        <item x="57"/>
        <item x="58"/>
        <item x="59"/>
        <item x="60"/>
        <item x="61"/>
        <item x="62"/>
        <item x="63"/>
        <item x="64"/>
        <item x="55"/>
        <item x="72"/>
        <item x="73"/>
        <item x="74"/>
        <item x="75"/>
        <item x="76"/>
        <item x="77"/>
        <item x="78"/>
        <item x="79"/>
        <item x="80"/>
        <item x="81"/>
        <item x="82"/>
        <item x="87"/>
        <item x="88"/>
        <item x="89"/>
        <item x="90"/>
        <item x="83"/>
        <item x="85"/>
        <item x="71"/>
        <item x="65"/>
        <item x="84"/>
        <item x="86"/>
        <item x="66"/>
        <item x="91"/>
        <item x="92"/>
        <item x="93"/>
        <item x="94"/>
        <item x="95"/>
        <item x="99"/>
        <item x="96"/>
        <item x="97"/>
        <item x="98"/>
        <item x="101"/>
        <item x="102"/>
        <item x="100"/>
        <item x="104"/>
        <item x="106"/>
        <item x="105"/>
        <item x="103"/>
        <item x="107"/>
        <item x="114"/>
        <item x="108"/>
        <item x="109"/>
        <item x="110"/>
        <item x="112"/>
        <item x="113"/>
        <item x="111"/>
        <item x="115"/>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60"/>
        <item x="162"/>
        <item x="167"/>
        <item x="168"/>
        <item x="166"/>
        <item x="159"/>
        <item x="165"/>
        <item x="161"/>
        <item x="163"/>
        <item x="164"/>
        <item x="158"/>
        <item x="169"/>
        <item x="170"/>
        <item x="171"/>
        <item x="172"/>
        <item x="173"/>
        <item x="174"/>
        <item x="175"/>
        <item x="176"/>
        <item x="177"/>
        <item x="178"/>
        <item x="179"/>
        <item x="180"/>
        <item x="181"/>
        <item x="182"/>
        <item x="184"/>
        <item x="183"/>
        <item x="185"/>
        <item x="186"/>
        <item x="187"/>
        <item x="188"/>
        <item x="189"/>
        <item x="190"/>
        <item x="191"/>
        <item x="192"/>
        <item x="193"/>
        <item x="194"/>
        <item x="195"/>
        <item x="196"/>
        <item x="197"/>
        <item x="198"/>
        <item x="199"/>
        <item x="204"/>
        <item x="200"/>
        <item x="201"/>
        <item x="202"/>
        <item x="203"/>
        <item x="205"/>
        <item x="206"/>
        <item x="207"/>
        <item x="116"/>
        <item x="208"/>
        <item x="209"/>
        <item x="210"/>
        <item x="213"/>
        <item x="214"/>
        <item x="211"/>
        <item x="212"/>
        <item x="215"/>
        <item x="216"/>
        <item x="217"/>
        <item x="218"/>
        <item x="219"/>
        <item x="220"/>
        <item x="221"/>
        <item x="222"/>
        <item x="223"/>
        <item x="224"/>
        <item x="225"/>
        <item x="226"/>
        <item x="227"/>
        <item x="228"/>
        <item x="229"/>
        <item x="230"/>
        <item x="231"/>
        <item x="232"/>
        <item x="233"/>
        <item x="234"/>
        <item x="240"/>
        <item x="235"/>
        <item x="237"/>
        <item x="236"/>
        <item x="238"/>
        <item x="239"/>
        <item x="241"/>
        <item x="242"/>
        <item x="243"/>
        <item x="244"/>
        <item x="245"/>
        <item x="246"/>
        <item x="248"/>
        <item x="249"/>
        <item x="257"/>
        <item x="247"/>
        <item x="250"/>
        <item x="251"/>
        <item x="253"/>
        <item x="254"/>
        <item x="255"/>
        <item x="252"/>
        <item x="256"/>
        <item x="258"/>
        <item x="259"/>
        <item x="260"/>
        <item x="261"/>
        <item x="262"/>
        <item x="263"/>
        <item x="265"/>
        <item x="266"/>
        <item x="267"/>
        <item x="268"/>
        <item x="264"/>
        <item x="269"/>
        <item x="270"/>
        <item x="271"/>
        <item x="272"/>
        <item x="273"/>
        <item x="274"/>
        <item x="275"/>
        <item x="276"/>
        <item x="277"/>
        <item x="278"/>
        <item x="279"/>
        <item x="280"/>
        <item x="281"/>
        <item x="282"/>
        <item x="283"/>
        <item x="284"/>
        <item x="285"/>
        <item x="286"/>
        <item x="287"/>
        <item x="288"/>
        <item x="289"/>
        <item x="290"/>
        <item x="300"/>
        <item x="291"/>
        <item x="301"/>
        <item x="302"/>
        <item x="303"/>
        <item x="292"/>
        <item x="293"/>
        <item x="294"/>
        <item x="295"/>
        <item x="296"/>
        <item x="297"/>
        <item x="299"/>
        <item x="316"/>
        <item x="317"/>
        <item x="318"/>
        <item x="319"/>
        <item x="321"/>
        <item x="322"/>
        <item x="323"/>
        <item x="324"/>
        <item x="325"/>
        <item x="326"/>
        <item x="327"/>
        <item x="304"/>
        <item x="305"/>
        <item x="306"/>
        <item x="307"/>
        <item x="308"/>
        <item x="309"/>
        <item x="310"/>
        <item x="314"/>
        <item x="315"/>
        <item x="328"/>
        <item x="311"/>
        <item x="312"/>
        <item x="313"/>
        <item x="329"/>
        <item x="330"/>
        <item x="331"/>
        <item x="332"/>
        <item x="333"/>
        <item x="334"/>
        <item x="335"/>
        <item x="336"/>
        <item x="337"/>
        <item x="338"/>
        <item x="320"/>
        <item x="370"/>
        <item x="347"/>
        <item x="350"/>
        <item x="348"/>
        <item x="349"/>
        <item x="371"/>
        <item x="372"/>
        <item x="373"/>
        <item x="358"/>
        <item x="352"/>
        <item x="353"/>
        <item x="354"/>
        <item x="374"/>
        <item x="355"/>
        <item x="356"/>
        <item x="357"/>
        <item x="359"/>
        <item x="360"/>
        <item x="361"/>
        <item x="362"/>
        <item x="363"/>
        <item x="364"/>
        <item x="365"/>
        <item x="368"/>
        <item x="366"/>
        <item x="367"/>
        <item x="369"/>
        <item x="351"/>
        <item x="375"/>
        <item x="376"/>
        <item x="377"/>
        <item x="379"/>
        <item x="378"/>
        <item x="418"/>
        <item x="419"/>
        <item x="420"/>
        <item x="422"/>
        <item x="423"/>
        <item x="424"/>
        <item x="425"/>
        <item x="426"/>
        <item x="427"/>
        <item x="428"/>
        <item x="429"/>
        <item x="430"/>
        <item x="421"/>
        <item x="432"/>
        <item x="433"/>
        <item x="434"/>
        <item x="435"/>
        <item x="436"/>
        <item x="437"/>
        <item x="431"/>
        <item x="438"/>
        <item x="439"/>
        <item x="442"/>
        <item x="443"/>
        <item x="446"/>
        <item x="444"/>
        <item x="441"/>
        <item x="440"/>
        <item x="445"/>
        <item x="447"/>
        <item x="448"/>
        <item x="449"/>
        <item x="450"/>
        <item x="451"/>
        <item x="458"/>
        <item x="465"/>
        <item x="466"/>
        <item x="459"/>
        <item x="460"/>
        <item x="461"/>
        <item x="452"/>
        <item x="453"/>
        <item x="464"/>
        <item x="454"/>
        <item x="455"/>
        <item x="456"/>
        <item x="457"/>
        <item x="463"/>
        <item x="462"/>
        <item x="468"/>
        <item x="469"/>
        <item x="470"/>
        <item x="471"/>
        <item x="472"/>
        <item x="473"/>
        <item x="474"/>
        <item x="482"/>
        <item x="475"/>
        <item x="476"/>
        <item x="477"/>
        <item x="479"/>
        <item x="480"/>
        <item x="481"/>
        <item x="483"/>
        <item x="484"/>
        <item x="487"/>
        <item x="488"/>
        <item x="493"/>
        <item x="494"/>
        <item x="495"/>
        <item x="490"/>
        <item x="489"/>
        <item x="485"/>
        <item x="486"/>
        <item x="491"/>
        <item x="492"/>
        <item x="496"/>
        <item x="497"/>
        <item x="504"/>
        <item x="505"/>
        <item x="511"/>
        <item x="498"/>
        <item x="499"/>
        <item x="500"/>
        <item x="506"/>
        <item x="507"/>
        <item x="508"/>
        <item x="501"/>
        <item x="502"/>
        <item x="503"/>
        <item x="509"/>
        <item x="510"/>
        <item x="339"/>
        <item x="340"/>
        <item x="341"/>
        <item x="342"/>
        <item x="343"/>
        <item x="344"/>
        <item x="345"/>
        <item x="346"/>
        <item x="380"/>
        <item x="381"/>
        <item x="382"/>
        <item x="383"/>
        <item x="384"/>
        <item x="385"/>
        <item x="386"/>
        <item x="387"/>
        <item x="388"/>
        <item x="389"/>
        <item x="390"/>
        <item x="391"/>
        <item x="392"/>
        <item x="393"/>
        <item x="394"/>
        <item x="396"/>
        <item x="395"/>
        <item x="397"/>
        <item x="398"/>
        <item x="399"/>
        <item x="412"/>
        <item x="416"/>
        <item x="400"/>
        <item x="401"/>
        <item x="402"/>
        <item x="403"/>
        <item x="404"/>
        <item x="405"/>
        <item x="406"/>
        <item x="407"/>
        <item x="408"/>
        <item x="409"/>
        <item x="410"/>
        <item x="411"/>
        <item x="413"/>
        <item x="417"/>
        <item x="414"/>
        <item x="415"/>
        <item x="298"/>
        <item x="467"/>
        <item x="478"/>
        <item t="default"/>
      </items>
    </pivotField>
    <pivotField axis="axisPage" multipleItemSelectionAllowed="1" showAll="0">
      <items count="70">
        <item x="2"/>
        <item x="10"/>
        <item x="3"/>
        <item x="28"/>
        <item x="16"/>
        <item x="21"/>
        <item x="49"/>
        <item x="26"/>
        <item x="55"/>
        <item x="56"/>
        <item x="13"/>
        <item x="18"/>
        <item x="19"/>
        <item x="34"/>
        <item x="68"/>
        <item x="14"/>
        <item x="4"/>
        <item x="29"/>
        <item x="30"/>
        <item x="31"/>
        <item x="1"/>
        <item x="22"/>
        <item x="35"/>
        <item x="66"/>
        <item x="67"/>
        <item x="20"/>
        <item x="5"/>
        <item x="0"/>
        <item x="60"/>
        <item x="12"/>
        <item x="48"/>
        <item x="8"/>
        <item x="54"/>
        <item x="9"/>
        <item x="6"/>
        <item x="43"/>
        <item x="64"/>
        <item x="61"/>
        <item x="39"/>
        <item x="47"/>
        <item x="32"/>
        <item x="17"/>
        <item x="11"/>
        <item x="40"/>
        <item x="27"/>
        <item x="41"/>
        <item x="65"/>
        <item x="25"/>
        <item x="23"/>
        <item x="58"/>
        <item x="33"/>
        <item x="24"/>
        <item x="15"/>
        <item x="7"/>
        <item x="62"/>
        <item x="42"/>
        <item x="57"/>
        <item x="52"/>
        <item x="51"/>
        <item x="59"/>
        <item x="50"/>
        <item x="53"/>
        <item x="37"/>
        <item x="44"/>
        <item x="45"/>
        <item x="38"/>
        <item x="36"/>
        <item x="46"/>
        <item x="63"/>
        <item t="default"/>
      </items>
    </pivotField>
    <pivotField showAll="0">
      <items count="2">
        <item x="0"/>
        <item t="default"/>
      </items>
    </pivotField>
    <pivotField showAll="0">
      <items count="2">
        <item x="0"/>
        <item t="default"/>
      </items>
    </pivotField>
    <pivotField showAll="0"/>
    <pivotField dataField="1" showAll="0"/>
    <pivotField dataField="1" showAll="0"/>
    <pivotField dataField="1" showAll="0"/>
    <pivotField dataField="1" showAll="0"/>
    <pivotField multipleItemSelectionAllowed="1" showAll="0">
      <items count="60">
        <item x="0"/>
        <item x="13"/>
        <item x="14"/>
        <item x="1"/>
        <item x="2"/>
        <item x="3"/>
        <item x="4"/>
        <item x="5"/>
        <item x="6"/>
        <item x="7"/>
        <item x="8"/>
        <item x="9"/>
        <item x="10"/>
        <item x="11"/>
        <item x="12"/>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count="1">
    <field x="0"/>
  </rowFields>
  <rowItems count="5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t="grand">
      <x/>
    </i>
  </rowItems>
  <colFields count="1">
    <field x="-2"/>
  </colFields>
  <colItems count="4">
    <i>
      <x/>
    </i>
    <i i="1">
      <x v="1"/>
    </i>
    <i i="2">
      <x v="2"/>
    </i>
    <i i="3">
      <x v="3"/>
    </i>
  </colItems>
  <pageFields count="1">
    <pageField fld="1" hier="-1"/>
  </pageFields>
  <dataFields count="4">
    <dataField name="Som van 2026" fld="5" baseField="0" baseItem="0"/>
    <dataField name="Som van 2027" fld="6" baseField="0" baseItem="0"/>
    <dataField name="Som van 2028" fld="7" baseField="0" baseItem="0"/>
    <dataField name="Som van 2029" fld="8"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FAD273-C137-4A1A-9CB6-1DF1E43F6E2D}" name="Draaitabel2"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4:B129" firstHeaderRow="1" firstDataRow="1" firstDataCol="1" rowPageCount="1" colPageCount="1"/>
  <pivotFields count="10">
    <pivotField axis="axisRow" showAll="0">
      <items count="513">
        <item x="0"/>
        <item x="1"/>
        <item x="2"/>
        <item x="3"/>
        <item x="4"/>
        <item x="6"/>
        <item x="7"/>
        <item x="9"/>
        <item x="8"/>
        <item x="10"/>
        <item x="11"/>
        <item x="12"/>
        <item x="13"/>
        <item x="14"/>
        <item x="15"/>
        <item x="16"/>
        <item x="17"/>
        <item x="5"/>
        <item x="18"/>
        <item x="19"/>
        <item x="21"/>
        <item x="23"/>
        <item x="32"/>
        <item x="26"/>
        <item x="28"/>
        <item x="30"/>
        <item x="20"/>
        <item x="22"/>
        <item x="24"/>
        <item x="25"/>
        <item x="27"/>
        <item x="31"/>
        <item x="29"/>
        <item x="33"/>
        <item x="34"/>
        <item x="35"/>
        <item x="36"/>
        <item x="37"/>
        <item x="47"/>
        <item x="38"/>
        <item x="39"/>
        <item x="40"/>
        <item x="41"/>
        <item x="42"/>
        <item x="43"/>
        <item x="44"/>
        <item x="45"/>
        <item x="46"/>
        <item x="67"/>
        <item x="68"/>
        <item x="70"/>
        <item x="69"/>
        <item x="48"/>
        <item x="49"/>
        <item x="50"/>
        <item x="51"/>
        <item x="52"/>
        <item x="53"/>
        <item x="54"/>
        <item x="56"/>
        <item x="57"/>
        <item x="58"/>
        <item x="59"/>
        <item x="60"/>
        <item x="61"/>
        <item x="62"/>
        <item x="63"/>
        <item x="64"/>
        <item x="55"/>
        <item x="72"/>
        <item x="73"/>
        <item x="74"/>
        <item x="75"/>
        <item x="76"/>
        <item x="77"/>
        <item x="78"/>
        <item x="79"/>
        <item x="80"/>
        <item x="81"/>
        <item x="82"/>
        <item x="87"/>
        <item x="88"/>
        <item x="89"/>
        <item x="90"/>
        <item x="83"/>
        <item x="85"/>
        <item x="71"/>
        <item x="65"/>
        <item x="84"/>
        <item x="86"/>
        <item x="66"/>
        <item x="91"/>
        <item x="92"/>
        <item x="93"/>
        <item x="94"/>
        <item x="95"/>
        <item x="99"/>
        <item x="96"/>
        <item x="97"/>
        <item x="98"/>
        <item x="101"/>
        <item x="102"/>
        <item x="100"/>
        <item x="104"/>
        <item x="106"/>
        <item x="105"/>
        <item x="103"/>
        <item x="107"/>
        <item x="114"/>
        <item x="108"/>
        <item x="109"/>
        <item x="110"/>
        <item x="112"/>
        <item x="113"/>
        <item x="111"/>
        <item x="115"/>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60"/>
        <item x="162"/>
        <item x="167"/>
        <item x="168"/>
        <item x="166"/>
        <item x="159"/>
        <item x="165"/>
        <item x="161"/>
        <item x="163"/>
        <item x="164"/>
        <item x="158"/>
        <item x="169"/>
        <item x="170"/>
        <item x="171"/>
        <item x="172"/>
        <item x="173"/>
        <item x="174"/>
        <item x="175"/>
        <item x="176"/>
        <item x="177"/>
        <item x="178"/>
        <item x="179"/>
        <item x="180"/>
        <item x="181"/>
        <item x="182"/>
        <item x="184"/>
        <item x="183"/>
        <item x="185"/>
        <item x="186"/>
        <item x="187"/>
        <item x="188"/>
        <item x="189"/>
        <item x="190"/>
        <item x="191"/>
        <item x="192"/>
        <item x="193"/>
        <item x="194"/>
        <item x="195"/>
        <item x="196"/>
        <item x="197"/>
        <item x="198"/>
        <item x="199"/>
        <item x="204"/>
        <item x="200"/>
        <item x="201"/>
        <item x="202"/>
        <item x="203"/>
        <item x="205"/>
        <item x="206"/>
        <item x="207"/>
        <item x="116"/>
        <item x="208"/>
        <item x="209"/>
        <item x="210"/>
        <item x="213"/>
        <item x="214"/>
        <item x="211"/>
        <item x="212"/>
        <item x="215"/>
        <item x="216"/>
        <item x="217"/>
        <item x="218"/>
        <item x="219"/>
        <item x="220"/>
        <item x="221"/>
        <item x="222"/>
        <item x="223"/>
        <item x="224"/>
        <item x="225"/>
        <item x="226"/>
        <item x="227"/>
        <item x="228"/>
        <item x="229"/>
        <item x="230"/>
        <item x="231"/>
        <item x="232"/>
        <item x="233"/>
        <item x="234"/>
        <item x="240"/>
        <item x="235"/>
        <item x="237"/>
        <item x="236"/>
        <item x="238"/>
        <item x="239"/>
        <item x="241"/>
        <item x="242"/>
        <item x="243"/>
        <item x="244"/>
        <item x="245"/>
        <item x="246"/>
        <item x="248"/>
        <item x="249"/>
        <item x="257"/>
        <item x="247"/>
        <item x="250"/>
        <item x="251"/>
        <item x="253"/>
        <item x="254"/>
        <item x="255"/>
        <item x="252"/>
        <item x="256"/>
        <item x="258"/>
        <item x="259"/>
        <item x="260"/>
        <item x="261"/>
        <item x="262"/>
        <item x="263"/>
        <item x="265"/>
        <item x="266"/>
        <item x="267"/>
        <item x="268"/>
        <item x="264"/>
        <item x="269"/>
        <item x="270"/>
        <item x="271"/>
        <item x="272"/>
        <item x="273"/>
        <item x="274"/>
        <item x="275"/>
        <item x="276"/>
        <item x="277"/>
        <item x="278"/>
        <item x="279"/>
        <item x="280"/>
        <item x="281"/>
        <item x="282"/>
        <item x="283"/>
        <item x="284"/>
        <item x="285"/>
        <item x="286"/>
        <item x="287"/>
        <item x="288"/>
        <item x="289"/>
        <item x="290"/>
        <item x="300"/>
        <item x="291"/>
        <item x="301"/>
        <item x="302"/>
        <item x="303"/>
        <item x="292"/>
        <item x="293"/>
        <item x="294"/>
        <item x="295"/>
        <item x="296"/>
        <item x="297"/>
        <item x="299"/>
        <item x="316"/>
        <item x="317"/>
        <item x="318"/>
        <item x="319"/>
        <item x="321"/>
        <item x="322"/>
        <item x="323"/>
        <item x="324"/>
        <item x="325"/>
        <item x="326"/>
        <item x="327"/>
        <item x="304"/>
        <item x="305"/>
        <item x="306"/>
        <item x="307"/>
        <item x="308"/>
        <item x="309"/>
        <item x="310"/>
        <item x="314"/>
        <item x="315"/>
        <item x="328"/>
        <item x="311"/>
        <item x="312"/>
        <item x="313"/>
        <item x="329"/>
        <item x="330"/>
        <item x="331"/>
        <item x="332"/>
        <item x="333"/>
        <item x="334"/>
        <item x="335"/>
        <item x="336"/>
        <item x="337"/>
        <item x="338"/>
        <item x="320"/>
        <item x="370"/>
        <item x="347"/>
        <item x="350"/>
        <item x="348"/>
        <item x="349"/>
        <item x="371"/>
        <item x="372"/>
        <item x="373"/>
        <item x="358"/>
        <item x="352"/>
        <item x="353"/>
        <item x="354"/>
        <item x="374"/>
        <item x="355"/>
        <item x="356"/>
        <item x="357"/>
        <item x="359"/>
        <item x="360"/>
        <item x="361"/>
        <item x="362"/>
        <item x="363"/>
        <item x="364"/>
        <item x="365"/>
        <item x="368"/>
        <item x="366"/>
        <item x="367"/>
        <item x="369"/>
        <item x="351"/>
        <item x="375"/>
        <item x="376"/>
        <item x="377"/>
        <item x="379"/>
        <item x="378"/>
        <item x="418"/>
        <item x="419"/>
        <item x="420"/>
        <item x="422"/>
        <item x="423"/>
        <item x="424"/>
        <item x="425"/>
        <item x="426"/>
        <item x="427"/>
        <item x="428"/>
        <item x="429"/>
        <item x="430"/>
        <item x="421"/>
        <item x="432"/>
        <item x="433"/>
        <item x="434"/>
        <item x="435"/>
        <item x="436"/>
        <item x="437"/>
        <item x="431"/>
        <item x="438"/>
        <item x="439"/>
        <item x="442"/>
        <item x="443"/>
        <item x="446"/>
        <item x="444"/>
        <item x="441"/>
        <item x="440"/>
        <item x="445"/>
        <item x="447"/>
        <item x="448"/>
        <item x="449"/>
        <item x="450"/>
        <item x="451"/>
        <item x="458"/>
        <item x="465"/>
        <item x="466"/>
        <item x="459"/>
        <item x="460"/>
        <item x="461"/>
        <item x="452"/>
        <item x="453"/>
        <item x="464"/>
        <item x="454"/>
        <item x="455"/>
        <item x="456"/>
        <item x="457"/>
        <item x="463"/>
        <item x="462"/>
        <item x="468"/>
        <item x="469"/>
        <item x="470"/>
        <item x="471"/>
        <item x="472"/>
        <item x="473"/>
        <item x="474"/>
        <item x="482"/>
        <item x="475"/>
        <item x="476"/>
        <item x="477"/>
        <item x="479"/>
        <item x="480"/>
        <item x="481"/>
        <item x="483"/>
        <item x="484"/>
        <item x="487"/>
        <item x="488"/>
        <item x="493"/>
        <item x="494"/>
        <item x="495"/>
        <item x="490"/>
        <item x="489"/>
        <item x="485"/>
        <item x="486"/>
        <item x="491"/>
        <item x="492"/>
        <item x="496"/>
        <item x="497"/>
        <item x="504"/>
        <item x="505"/>
        <item x="511"/>
        <item x="498"/>
        <item x="499"/>
        <item x="500"/>
        <item x="506"/>
        <item x="507"/>
        <item x="508"/>
        <item x="501"/>
        <item x="502"/>
        <item x="503"/>
        <item x="509"/>
        <item x="510"/>
        <item x="339"/>
        <item x="340"/>
        <item x="341"/>
        <item x="342"/>
        <item x="343"/>
        <item x="344"/>
        <item x="345"/>
        <item x="346"/>
        <item x="380"/>
        <item x="381"/>
        <item x="382"/>
        <item x="383"/>
        <item x="384"/>
        <item x="385"/>
        <item x="386"/>
        <item x="387"/>
        <item x="388"/>
        <item x="389"/>
        <item x="390"/>
        <item x="391"/>
        <item x="392"/>
        <item x="393"/>
        <item x="394"/>
        <item x="396"/>
        <item x="395"/>
        <item x="397"/>
        <item x="398"/>
        <item x="399"/>
        <item x="412"/>
        <item x="416"/>
        <item x="400"/>
        <item x="401"/>
        <item x="402"/>
        <item x="403"/>
        <item x="404"/>
        <item x="405"/>
        <item x="406"/>
        <item x="407"/>
        <item x="408"/>
        <item x="409"/>
        <item x="410"/>
        <item x="411"/>
        <item x="413"/>
        <item x="417"/>
        <item x="414"/>
        <item x="415"/>
        <item x="298"/>
        <item x="467"/>
        <item x="478"/>
        <item t="default"/>
      </items>
    </pivotField>
    <pivotField axis="axisPage" multipleItemSelectionAllowed="1" showAll="0">
      <items count="70">
        <item h="1" x="2"/>
        <item x="10"/>
        <item h="1" x="3"/>
        <item h="1" x="28"/>
        <item h="1" x="16"/>
        <item h="1" x="21"/>
        <item h="1" x="49"/>
        <item h="1" x="26"/>
        <item h="1" x="55"/>
        <item h="1" x="56"/>
        <item h="1" x="13"/>
        <item h="1" x="18"/>
        <item h="1" x="19"/>
        <item h="1" x="34"/>
        <item h="1" x="68"/>
        <item h="1" x="14"/>
        <item h="1" x="4"/>
        <item h="1" x="29"/>
        <item h="1" x="30"/>
        <item h="1" x="31"/>
        <item h="1" x="1"/>
        <item h="1" x="22"/>
        <item h="1" x="35"/>
        <item h="1" x="66"/>
        <item h="1" x="67"/>
        <item h="1" x="20"/>
        <item h="1" x="5"/>
        <item h="1" x="0"/>
        <item h="1" x="60"/>
        <item h="1" x="12"/>
        <item h="1" x="48"/>
        <item h="1" x="8"/>
        <item h="1" x="54"/>
        <item h="1" x="9"/>
        <item h="1" x="6"/>
        <item h="1" x="43"/>
        <item h="1" x="64"/>
        <item h="1" x="61"/>
        <item h="1" x="39"/>
        <item h="1" x="47"/>
        <item h="1" x="32"/>
        <item h="1" x="17"/>
        <item h="1" x="11"/>
        <item h="1" x="40"/>
        <item h="1" x="27"/>
        <item h="1" x="41"/>
        <item h="1" x="65"/>
        <item h="1" x="25"/>
        <item h="1" x="23"/>
        <item h="1" x="58"/>
        <item h="1" x="33"/>
        <item h="1" x="24"/>
        <item h="1" x="15"/>
        <item h="1" x="7"/>
        <item h="1" x="62"/>
        <item h="1" x="42"/>
        <item h="1" x="57"/>
        <item h="1" x="52"/>
        <item h="1" x="51"/>
        <item h="1" x="59"/>
        <item h="1" x="50"/>
        <item h="1" x="53"/>
        <item h="1" x="37"/>
        <item h="1" x="44"/>
        <item h="1" x="45"/>
        <item h="1" x="38"/>
        <item h="1" x="36"/>
        <item h="1" x="46"/>
        <item h="1" x="63"/>
        <item t="default"/>
      </items>
    </pivotField>
    <pivotField showAll="0">
      <items count="2">
        <item x="0"/>
        <item t="default"/>
      </items>
    </pivotField>
    <pivotField showAll="0">
      <items count="2">
        <item x="0"/>
        <item t="default"/>
      </items>
    </pivotField>
    <pivotField showAll="0"/>
    <pivotField dataField="1" showAll="0"/>
    <pivotField showAll="0"/>
    <pivotField showAll="0"/>
    <pivotField showAll="0"/>
    <pivotField axis="axisRow" multipleItemSelectionAllowed="1" showAll="0">
      <items count="60">
        <item x="0"/>
        <item x="13"/>
        <item x="14"/>
        <item x="1"/>
        <item x="2"/>
        <item x="3"/>
        <item x="4"/>
        <item x="5"/>
        <item x="6"/>
        <item x="7"/>
        <item x="8"/>
        <item x="9"/>
        <item x="10"/>
        <item x="11"/>
        <item x="12"/>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count="2">
    <field x="0"/>
    <field x="9"/>
  </rowFields>
  <rowItems count="125">
    <i>
      <x v="17"/>
    </i>
    <i r="1">
      <x/>
    </i>
    <i>
      <x v="18"/>
    </i>
    <i r="1">
      <x/>
    </i>
    <i>
      <x v="26"/>
    </i>
    <i r="1">
      <x v="3"/>
    </i>
    <i>
      <x v="27"/>
    </i>
    <i r="1">
      <x v="3"/>
    </i>
    <i>
      <x v="28"/>
    </i>
    <i r="1">
      <x v="3"/>
    </i>
    <i>
      <x v="29"/>
    </i>
    <i r="1">
      <x v="3"/>
    </i>
    <i>
      <x v="30"/>
    </i>
    <i r="1">
      <x v="3"/>
    </i>
    <i>
      <x v="31"/>
    </i>
    <i r="1">
      <x v="3"/>
    </i>
    <i>
      <x v="32"/>
    </i>
    <i r="1">
      <x v="3"/>
    </i>
    <i>
      <x v="47"/>
    </i>
    <i r="1">
      <x v="4"/>
    </i>
    <i>
      <x v="49"/>
    </i>
    <i r="1">
      <x v="6"/>
    </i>
    <i>
      <x v="63"/>
    </i>
    <i r="1">
      <x v="5"/>
    </i>
    <i>
      <x v="90"/>
    </i>
    <i r="1">
      <x v="6"/>
    </i>
    <i>
      <x v="95"/>
    </i>
    <i r="1">
      <x v="8"/>
    </i>
    <i>
      <x v="99"/>
    </i>
    <i r="1">
      <x v="9"/>
    </i>
    <i>
      <x v="102"/>
    </i>
    <i r="1">
      <x v="10"/>
    </i>
    <i>
      <x v="106"/>
    </i>
    <i r="1">
      <x v="11"/>
    </i>
    <i>
      <x v="116"/>
    </i>
    <i r="1">
      <x v="13"/>
    </i>
    <i>
      <x v="149"/>
    </i>
    <i r="1">
      <x v="15"/>
    </i>
    <i>
      <x v="165"/>
    </i>
    <i r="1">
      <x v="16"/>
    </i>
    <i>
      <x v="166"/>
    </i>
    <i r="1">
      <x v="16"/>
    </i>
    <i>
      <x v="167"/>
    </i>
    <i r="1">
      <x v="16"/>
    </i>
    <i>
      <x v="186"/>
    </i>
    <i r="1">
      <x v="17"/>
    </i>
    <i>
      <x v="187"/>
    </i>
    <i r="1">
      <x v="17"/>
    </i>
    <i>
      <x v="188"/>
    </i>
    <i r="1">
      <x v="17"/>
    </i>
    <i>
      <x v="190"/>
    </i>
    <i r="1">
      <x v="18"/>
    </i>
    <i>
      <x v="193"/>
    </i>
    <i r="1">
      <x v="19"/>
    </i>
    <i>
      <x v="204"/>
    </i>
    <i r="1">
      <x v="20"/>
    </i>
    <i>
      <x v="205"/>
    </i>
    <i r="1">
      <x v="20"/>
    </i>
    <i>
      <x v="209"/>
    </i>
    <i r="1">
      <x v="21"/>
    </i>
    <i>
      <x v="213"/>
    </i>
    <i r="1">
      <x v="22"/>
    </i>
    <i>
      <x v="214"/>
    </i>
    <i r="1">
      <x v="22"/>
    </i>
    <i>
      <x v="232"/>
    </i>
    <i r="1">
      <x v="23"/>
    </i>
    <i>
      <x v="240"/>
    </i>
    <i r="1">
      <x v="24"/>
    </i>
    <i>
      <x v="245"/>
    </i>
    <i r="1">
      <x v="25"/>
    </i>
    <i>
      <x v="269"/>
    </i>
    <i r="1">
      <x v="26"/>
    </i>
    <i>
      <x v="280"/>
    </i>
    <i r="1">
      <x v="27"/>
    </i>
    <i>
      <x v="285"/>
    </i>
    <i r="1">
      <x v="29"/>
    </i>
    <i>
      <x v="287"/>
    </i>
    <i r="1">
      <x v="30"/>
    </i>
    <i>
      <x v="302"/>
    </i>
    <i r="1">
      <x v="31"/>
    </i>
    <i>
      <x v="337"/>
    </i>
    <i r="1">
      <x v="32"/>
    </i>
    <i>
      <x v="365"/>
    </i>
    <i r="1">
      <x v="35"/>
    </i>
    <i>
      <x v="370"/>
    </i>
    <i r="1">
      <x v="37"/>
    </i>
    <i>
      <x v="383"/>
    </i>
    <i r="1">
      <x v="51"/>
    </i>
    <i>
      <x v="392"/>
    </i>
    <i r="1">
      <x v="52"/>
    </i>
    <i>
      <x v="399"/>
    </i>
    <i r="1">
      <x v="53"/>
    </i>
    <i>
      <x v="414"/>
    </i>
    <i r="1">
      <x v="54"/>
    </i>
    <i>
      <x v="418"/>
    </i>
    <i r="1">
      <x v="54"/>
    </i>
    <i>
      <x v="419"/>
    </i>
    <i r="1">
      <x v="54"/>
    </i>
    <i>
      <x v="421"/>
    </i>
    <i r="1">
      <x v="55"/>
    </i>
    <i>
      <x v="429"/>
    </i>
    <i r="1">
      <x v="56"/>
    </i>
    <i>
      <x v="431"/>
    </i>
    <i r="1">
      <x v="56"/>
    </i>
    <i>
      <x v="432"/>
    </i>
    <i r="1">
      <x v="56"/>
    </i>
    <i>
      <x v="433"/>
    </i>
    <i r="1">
      <x v="56"/>
    </i>
    <i>
      <x v="445"/>
    </i>
    <i r="1">
      <x v="57"/>
    </i>
    <i>
      <x v="446"/>
    </i>
    <i r="1">
      <x v="57"/>
    </i>
    <i>
      <x v="461"/>
    </i>
    <i r="1">
      <x v="58"/>
    </i>
    <i>
      <x v="462"/>
    </i>
    <i r="1">
      <x v="58"/>
    </i>
    <i>
      <x v="467"/>
    </i>
    <i r="1">
      <x v="33"/>
    </i>
    <i>
      <x v="470"/>
    </i>
    <i r="1">
      <x v="34"/>
    </i>
    <i>
      <x v="492"/>
    </i>
    <i r="1">
      <x v="49"/>
    </i>
    <i>
      <x v="506"/>
    </i>
    <i r="1">
      <x v="50"/>
    </i>
    <i t="grand">
      <x/>
    </i>
  </rowItems>
  <colItems count="1">
    <i/>
  </colItems>
  <pageFields count="1">
    <pageField fld="1" hier="-1"/>
  </pageFields>
  <dataFields count="1">
    <dataField name="Som van 2026" fld="5"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4CC47-6113-4C4A-9EC2-B28DED9E3FF9}" name="Tabel1" displayName="Tabel1" ref="A3:J23" totalsRowShown="0">
  <autoFilter ref="A3:J23" xr:uid="{1EA4CC47-6113-4C4A-9EC2-B28DED9E3FF9}"/>
  <sortState xmlns:xlrd2="http://schemas.microsoft.com/office/spreadsheetml/2017/richdata2" ref="A4:J23">
    <sortCondition ref="A3:A23"/>
  </sortState>
  <tableColumns count="10">
    <tableColumn id="1" xr3:uid="{F33A181C-029B-421A-95C1-8100B5F84DFF}" name="Element 2"/>
    <tableColumn id="2" xr3:uid="{397ADCF4-51D3-419F-BC81-F0CFF3EBD060}" name="Element 3"/>
    <tableColumn id="3" xr3:uid="{B6168AF8-8B81-4EF7-90C4-B806D95655E6}" name="Element 4"/>
    <tableColumn id="4" xr3:uid="{22EDE3E3-0123-49CE-AD8A-A4F1F94060D7}" name="Element 5"/>
    <tableColumn id="5" xr3:uid="{2A2E82F2-FF5B-480D-AECB-757E536FA2EE}" name="2025"/>
    <tableColumn id="6" xr3:uid="{6F60C2C5-D92B-47EE-AD63-C720737A7F69}" name="2026"/>
    <tableColumn id="7" xr3:uid="{BE416F57-03DA-4EE9-9D0E-68C471D37520}" name="2027"/>
    <tableColumn id="8" xr3:uid="{87C3B9DF-B1D8-4D98-AE55-44A94894939E}" name="2028"/>
    <tableColumn id="9" xr3:uid="{BE2B69D1-FA49-46C7-BBFD-EC67CCABA295}" name="2029"/>
    <tableColumn id="10" xr3:uid="{914A7F86-81A1-4458-A4BC-2F135EAD3E66}" name="Taakveld"/>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7.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8.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1.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2.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3.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4.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5.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5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5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7.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8.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9.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60.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61.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62.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3.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24DA-1C36-4F06-AEDF-A10395895DA8}">
  <sheetPr codeName="Blad32"/>
  <dimension ref="A1:B78"/>
  <sheetViews>
    <sheetView topLeftCell="A19" zoomScaleNormal="100" zoomScaleSheetLayoutView="110" workbookViewId="0">
      <selection activeCell="A39" sqref="A39"/>
    </sheetView>
  </sheetViews>
  <sheetFormatPr defaultColWidth="9.109375" defaultRowHeight="18" x14ac:dyDescent="0.35"/>
  <cols>
    <col min="1" max="1" width="65.88671875" style="95" bestFit="1" customWidth="1"/>
    <col min="2" max="16384" width="9.109375" style="95"/>
  </cols>
  <sheetData>
    <row r="1" spans="1:2" x14ac:dyDescent="0.35">
      <c r="A1" s="1716" t="s">
        <v>0</v>
      </c>
      <c r="B1" s="1717" t="s">
        <v>1</v>
      </c>
    </row>
    <row r="2" spans="1:2" x14ac:dyDescent="0.35">
      <c r="A2" s="94"/>
    </row>
    <row r="4" spans="1:2" x14ac:dyDescent="0.35">
      <c r="A4" s="96" t="s">
        <v>2</v>
      </c>
      <c r="B4" s="95">
        <v>1</v>
      </c>
    </row>
    <row r="5" spans="1:2" x14ac:dyDescent="0.35">
      <c r="A5" s="94" t="s">
        <v>3</v>
      </c>
      <c r="B5" s="95">
        <v>8</v>
      </c>
    </row>
    <row r="6" spans="1:2" x14ac:dyDescent="0.35">
      <c r="A6" s="94" t="s">
        <v>4</v>
      </c>
      <c r="B6" s="95">
        <v>19</v>
      </c>
    </row>
    <row r="7" spans="1:2" x14ac:dyDescent="0.35">
      <c r="A7" s="94" t="s">
        <v>5</v>
      </c>
      <c r="B7" s="95">
        <v>24</v>
      </c>
    </row>
    <row r="8" spans="1:2" x14ac:dyDescent="0.35">
      <c r="A8" s="94" t="s">
        <v>6</v>
      </c>
      <c r="B8" s="95">
        <v>34</v>
      </c>
    </row>
    <row r="9" spans="1:2" x14ac:dyDescent="0.35">
      <c r="A9" s="94" t="s">
        <v>7</v>
      </c>
      <c r="B9" s="95">
        <v>48</v>
      </c>
    </row>
    <row r="10" spans="1:2" x14ac:dyDescent="0.35">
      <c r="A10" s="94" t="s">
        <v>8</v>
      </c>
      <c r="B10" s="95">
        <v>54</v>
      </c>
    </row>
    <row r="11" spans="1:2" x14ac:dyDescent="0.35">
      <c r="A11" s="94" t="s">
        <v>9</v>
      </c>
      <c r="B11" s="95">
        <v>56</v>
      </c>
    </row>
    <row r="12" spans="1:2" x14ac:dyDescent="0.35">
      <c r="A12" s="94" t="s">
        <v>10</v>
      </c>
      <c r="B12" s="95">
        <v>60</v>
      </c>
    </row>
    <row r="13" spans="1:2" x14ac:dyDescent="0.35">
      <c r="A13" s="94" t="s">
        <v>11</v>
      </c>
      <c r="B13" s="95">
        <v>63</v>
      </c>
    </row>
    <row r="14" spans="1:2" x14ac:dyDescent="0.35">
      <c r="A14" s="94" t="s">
        <v>12</v>
      </c>
      <c r="B14" s="95">
        <v>65</v>
      </c>
    </row>
    <row r="15" spans="1:2" x14ac:dyDescent="0.35">
      <c r="A15" s="94" t="s">
        <v>13</v>
      </c>
      <c r="B15" s="95">
        <v>68</v>
      </c>
    </row>
    <row r="16" spans="1:2" x14ac:dyDescent="0.35">
      <c r="A16" s="94" t="s">
        <v>14</v>
      </c>
      <c r="B16" s="95">
        <v>71</v>
      </c>
    </row>
    <row r="17" spans="1:2" x14ac:dyDescent="0.35">
      <c r="A17" s="94" t="s">
        <v>15</v>
      </c>
      <c r="B17" s="95">
        <v>72</v>
      </c>
    </row>
    <row r="18" spans="1:2" x14ac:dyDescent="0.35">
      <c r="A18" s="94" t="s">
        <v>16</v>
      </c>
      <c r="B18" s="95">
        <v>79</v>
      </c>
    </row>
    <row r="19" spans="1:2" x14ac:dyDescent="0.35">
      <c r="A19" s="94"/>
    </row>
    <row r="21" spans="1:2" x14ac:dyDescent="0.35">
      <c r="A21" s="94" t="s">
        <v>17</v>
      </c>
      <c r="B21" s="95">
        <v>80</v>
      </c>
    </row>
    <row r="22" spans="1:2" x14ac:dyDescent="0.35">
      <c r="A22" s="94" t="s">
        <v>18</v>
      </c>
      <c r="B22" s="95">
        <v>83</v>
      </c>
    </row>
    <row r="23" spans="1:2" x14ac:dyDescent="0.35">
      <c r="A23" s="94"/>
    </row>
    <row r="25" spans="1:2" x14ac:dyDescent="0.35">
      <c r="A25" s="94" t="s">
        <v>19</v>
      </c>
      <c r="B25" s="95">
        <v>90</v>
      </c>
    </row>
    <row r="26" spans="1:2" x14ac:dyDescent="0.35">
      <c r="A26" s="94" t="s">
        <v>20</v>
      </c>
      <c r="B26" s="95">
        <v>101</v>
      </c>
    </row>
    <row r="27" spans="1:2" x14ac:dyDescent="0.35">
      <c r="A27" s="94" t="s">
        <v>21</v>
      </c>
      <c r="B27" s="95">
        <v>104</v>
      </c>
    </row>
    <row r="28" spans="1:2" x14ac:dyDescent="0.35">
      <c r="A28" s="94"/>
    </row>
    <row r="30" spans="1:2" x14ac:dyDescent="0.35">
      <c r="A30" s="94" t="s">
        <v>22</v>
      </c>
      <c r="B30" s="95">
        <v>106</v>
      </c>
    </row>
    <row r="31" spans="1:2" x14ac:dyDescent="0.35">
      <c r="A31" s="94" t="s">
        <v>23</v>
      </c>
      <c r="B31" s="95">
        <v>111</v>
      </c>
    </row>
    <row r="32" spans="1:2" x14ac:dyDescent="0.35">
      <c r="A32" s="94" t="s">
        <v>24</v>
      </c>
      <c r="B32" s="95">
        <v>114</v>
      </c>
    </row>
    <row r="33" spans="1:2" x14ac:dyDescent="0.35">
      <c r="A33" s="94"/>
    </row>
    <row r="35" spans="1:2" x14ac:dyDescent="0.35">
      <c r="A35" s="94" t="s">
        <v>25</v>
      </c>
      <c r="B35" s="95">
        <v>119</v>
      </c>
    </row>
    <row r="36" spans="1:2" x14ac:dyDescent="0.35">
      <c r="A36" s="94" t="s">
        <v>26</v>
      </c>
      <c r="B36" s="95">
        <v>123</v>
      </c>
    </row>
    <row r="37" spans="1:2" x14ac:dyDescent="0.35">
      <c r="A37" s="94"/>
    </row>
    <row r="38" spans="1:2" x14ac:dyDescent="0.35">
      <c r="A38" s="94" t="s">
        <v>27</v>
      </c>
      <c r="B38" s="95">
        <v>126</v>
      </c>
    </row>
    <row r="39" spans="1:2" x14ac:dyDescent="0.35">
      <c r="A39" s="94" t="s">
        <v>28</v>
      </c>
      <c r="B39" s="95">
        <v>129</v>
      </c>
    </row>
    <row r="40" spans="1:2" x14ac:dyDescent="0.35">
      <c r="A40" s="94" t="s">
        <v>29</v>
      </c>
      <c r="B40" s="95">
        <v>148</v>
      </c>
    </row>
    <row r="41" spans="1:2" x14ac:dyDescent="0.35">
      <c r="A41" s="94" t="s">
        <v>30</v>
      </c>
      <c r="B41" s="95">
        <v>152</v>
      </c>
    </row>
    <row r="42" spans="1:2" x14ac:dyDescent="0.35">
      <c r="A42" s="94" t="s">
        <v>31</v>
      </c>
      <c r="B42" s="95">
        <v>153</v>
      </c>
    </row>
    <row r="43" spans="1:2" x14ac:dyDescent="0.35">
      <c r="A43" s="94" t="s">
        <v>32</v>
      </c>
      <c r="B43" s="95">
        <v>155</v>
      </c>
    </row>
    <row r="44" spans="1:2" x14ac:dyDescent="0.35">
      <c r="A44" s="94" t="s">
        <v>33</v>
      </c>
      <c r="B44" s="95">
        <v>157</v>
      </c>
    </row>
    <row r="45" spans="1:2" x14ac:dyDescent="0.35">
      <c r="A45" s="94"/>
    </row>
    <row r="47" spans="1:2" x14ac:dyDescent="0.35">
      <c r="A47" s="94" t="s">
        <v>34</v>
      </c>
      <c r="B47" s="95">
        <v>165</v>
      </c>
    </row>
    <row r="48" spans="1:2" x14ac:dyDescent="0.35">
      <c r="A48" s="94" t="s">
        <v>35</v>
      </c>
      <c r="B48" s="95">
        <v>174</v>
      </c>
    </row>
    <row r="49" spans="1:2" x14ac:dyDescent="0.35">
      <c r="A49" s="94" t="s">
        <v>36</v>
      </c>
      <c r="B49" s="95">
        <v>177</v>
      </c>
    </row>
    <row r="50" spans="1:2" x14ac:dyDescent="0.35">
      <c r="A50" s="94" t="s">
        <v>37</v>
      </c>
      <c r="B50" s="95">
        <v>180</v>
      </c>
    </row>
    <row r="51" spans="1:2" x14ac:dyDescent="0.35">
      <c r="A51" s="94" t="s">
        <v>38</v>
      </c>
      <c r="B51" s="95">
        <v>187</v>
      </c>
    </row>
    <row r="52" spans="1:2" x14ac:dyDescent="0.35">
      <c r="A52" s="94" t="s">
        <v>39</v>
      </c>
      <c r="B52" s="95">
        <v>188</v>
      </c>
    </row>
    <row r="53" spans="1:2" x14ac:dyDescent="0.35">
      <c r="A53" s="94" t="s">
        <v>40</v>
      </c>
      <c r="B53" s="95">
        <v>191</v>
      </c>
    </row>
    <row r="54" spans="1:2" x14ac:dyDescent="0.35">
      <c r="A54" s="94" t="s">
        <v>41</v>
      </c>
      <c r="B54" s="95">
        <v>195</v>
      </c>
    </row>
    <row r="55" spans="1:2" x14ac:dyDescent="0.35">
      <c r="A55" s="94" t="s">
        <v>42</v>
      </c>
      <c r="B55" s="95">
        <v>196</v>
      </c>
    </row>
    <row r="56" spans="1:2" x14ac:dyDescent="0.35">
      <c r="A56" s="94" t="s">
        <v>43</v>
      </c>
      <c r="B56" s="95">
        <v>198</v>
      </c>
    </row>
    <row r="57" spans="1:2" x14ac:dyDescent="0.35">
      <c r="A57" s="94" t="s">
        <v>44</v>
      </c>
      <c r="B57" s="95">
        <v>199</v>
      </c>
    </row>
    <row r="58" spans="1:2" x14ac:dyDescent="0.35">
      <c r="A58" s="94" t="s">
        <v>45</v>
      </c>
      <c r="B58" s="95">
        <v>200</v>
      </c>
    </row>
    <row r="59" spans="1:2" x14ac:dyDescent="0.35">
      <c r="A59" s="94" t="s">
        <v>46</v>
      </c>
      <c r="B59" s="95">
        <v>203</v>
      </c>
    </row>
    <row r="60" spans="1:2" x14ac:dyDescent="0.35">
      <c r="A60" s="94" t="s">
        <v>47</v>
      </c>
      <c r="B60" s="95">
        <v>205</v>
      </c>
    </row>
    <row r="61" spans="1:2" x14ac:dyDescent="0.35">
      <c r="A61" s="94" t="s">
        <v>48</v>
      </c>
      <c r="B61" s="95">
        <v>206</v>
      </c>
    </row>
    <row r="62" spans="1:2" x14ac:dyDescent="0.35">
      <c r="A62" s="94"/>
    </row>
    <row r="63" spans="1:2" x14ac:dyDescent="0.35">
      <c r="A63" s="94" t="s">
        <v>49</v>
      </c>
      <c r="B63" s="95">
        <v>207</v>
      </c>
    </row>
    <row r="64" spans="1:2" x14ac:dyDescent="0.35">
      <c r="A64" s="94" t="s">
        <v>50</v>
      </c>
      <c r="B64" s="95">
        <v>208</v>
      </c>
    </row>
    <row r="65" spans="1:2" x14ac:dyDescent="0.35">
      <c r="A65" s="94" t="s">
        <v>51</v>
      </c>
      <c r="B65" s="95">
        <v>209</v>
      </c>
    </row>
    <row r="66" spans="1:2" x14ac:dyDescent="0.35">
      <c r="A66" s="94" t="s">
        <v>52</v>
      </c>
      <c r="B66" s="95">
        <v>210</v>
      </c>
    </row>
    <row r="67" spans="1:2" x14ac:dyDescent="0.35">
      <c r="A67" s="94"/>
    </row>
    <row r="69" spans="1:2" x14ac:dyDescent="0.35">
      <c r="A69" s="94" t="s">
        <v>53</v>
      </c>
      <c r="B69" s="95">
        <v>211</v>
      </c>
    </row>
    <row r="70" spans="1:2" x14ac:dyDescent="0.35">
      <c r="A70" s="94" t="s">
        <v>54</v>
      </c>
      <c r="B70" s="95">
        <v>216</v>
      </c>
    </row>
    <row r="71" spans="1:2" x14ac:dyDescent="0.35">
      <c r="A71" s="94" t="s">
        <v>55</v>
      </c>
      <c r="B71" s="95">
        <v>223</v>
      </c>
    </row>
    <row r="72" spans="1:2" x14ac:dyDescent="0.35">
      <c r="A72" s="94" t="s">
        <v>56</v>
      </c>
      <c r="B72" s="95">
        <v>230</v>
      </c>
    </row>
    <row r="73" spans="1:2" x14ac:dyDescent="0.35">
      <c r="A73" s="94" t="s">
        <v>57</v>
      </c>
      <c r="B73" s="95">
        <v>237</v>
      </c>
    </row>
    <row r="74" spans="1:2" x14ac:dyDescent="0.35">
      <c r="A74" s="94"/>
    </row>
    <row r="76" spans="1:2" x14ac:dyDescent="0.35">
      <c r="A76" s="94" t="s">
        <v>58</v>
      </c>
      <c r="B76" s="95">
        <v>239</v>
      </c>
    </row>
    <row r="77" spans="1:2" x14ac:dyDescent="0.35">
      <c r="A77" s="94" t="s">
        <v>59</v>
      </c>
      <c r="B77" s="95">
        <v>244</v>
      </c>
    </row>
    <row r="78" spans="1:2" x14ac:dyDescent="0.35">
      <c r="A78" s="94" t="s">
        <v>60</v>
      </c>
      <c r="B78" s="95">
        <v>250</v>
      </c>
    </row>
  </sheetData>
  <hyperlinks>
    <hyperlink ref="A4" location="'T01'!A1" display="T01 bestuur en ondersteuning.xlsx" xr:uid="{CDC77611-A3CB-4787-9604-AACC16E43BF0}"/>
    <hyperlink ref="A5" location="'T02'!A1" display="T02 burgerzaken.xlsx" xr:uid="{706A3CE9-BE6F-4046-9DAF-FC8175C5A696}"/>
    <hyperlink ref="A6" location="'T03'!A1" display="T03 beheer overige gebouwen en gronden.xlsx" xr:uid="{0C71ED43-1709-4E4B-8D7E-209B357692E7}"/>
    <hyperlink ref="A7" location="T04B!A1" display="T04 bedrijf.xlsx" xr:uid="{26CAF29B-C1AC-4373-9A48-08764F0BE510}"/>
    <hyperlink ref="A8" location="T04L!A1" display="T04 loon.xlsx" xr:uid="{E88F497F-86FF-4D08-9F56-869305D44F58}"/>
    <hyperlink ref="A9" location="T04W!A1" display="T04 werf.xlsx" xr:uid="{7FA1ED66-3473-48E4-AEC4-74034ECA2094}"/>
    <hyperlink ref="A10" location="'T05'!A1" display="T05 Treasury.xlsx" xr:uid="{8A5656FE-8355-435E-8B5E-772E24C4CD88}"/>
    <hyperlink ref="A11" location="'T061'!A1" display="T06 1 OZB Woningen.xlsx" xr:uid="{CFEFAF83-B44C-4DFD-82FE-D79EFD4B5D38}"/>
    <hyperlink ref="A12" location="'T062'!A1" display="T06 2 OZB Niet-Woningen.xlsx" xr:uid="{63837773-7E39-456C-A361-0DDC4C146915}"/>
    <hyperlink ref="A13" location="'T064'!A1" display="T06 4 Belastingen overig.xlsx" xr:uid="{C8E20DFB-3A81-4230-8EDB-D71810BF1929}"/>
    <hyperlink ref="A14" location="'T07'!A1" display="T07 Gemeentefonds en overige rijksuitkeringen.xlsx" xr:uid="{B1E29F19-D414-4329-9D33-B95D61ED9963}"/>
    <hyperlink ref="A15" location="'T08'!A1" display="T08 Overige baten en lasten.xlsx" xr:uid="{A4872196-1FA5-4A2F-A955-99FF0DCD286E}"/>
    <hyperlink ref="A16" location="'T09'!A1" display="T09 Vennootschapsbelasting.xlsx" xr:uid="{E42ABBDB-2AF5-4ED2-8D19-735B3FA7FB92}"/>
    <hyperlink ref="A17" location="'T010'!A1" display="T010 Mutaties Reserve.xlsx" xr:uid="{3C552068-D2C3-4EB1-B6B2-174CCCC0CFA3}"/>
    <hyperlink ref="A18" location="'T011'!A1" display="T011 Resultaat rekening baten en lasten.xlsx" xr:uid="{B4F9965F-1988-4F37-BD3D-7B2F438F7535}"/>
    <hyperlink ref="A21" location="'T11'!A1" display="T11 crisisbeheersing en brandweer.xlsx" xr:uid="{9AC1DDA0-F51A-477A-951C-9E52C7EC67C4}"/>
    <hyperlink ref="A22" location="'T12'!A1" display="T12 openbare orde en veiligheid.xlsx" xr:uid="{17149D2D-4357-4C82-B6CB-62BEBB2F1CDC}"/>
    <hyperlink ref="A25" location="'T21'!A1" display="T21 Verkeer en vervoer.xlsx" xr:uid="{790387A6-4FD2-4104-8A96-20F1CBB0A032}"/>
    <hyperlink ref="A1" location="Inhoudsopgave!A1" display="Inhoudsopgave" xr:uid="{F4B29FAA-0388-4673-A040-0C31832C5791}"/>
    <hyperlink ref="A26" location="'T22'!A1" display="T22 parkeren.xlsx" xr:uid="{A4F13C85-6786-4005-B97E-A03CD6C2802A}"/>
    <hyperlink ref="A27" location="'T25'!A1" display="T25 openbaar vervoer.xlsx" xr:uid="{7490BA4B-F962-4525-BA66-2A172BD7036C}"/>
    <hyperlink ref="A30" location="'T31'!A1" display="T31 economische ontwikkeling.xlsx" xr:uid="{62351606-65B1-4C20-968B-F1D96A7FD0F6}"/>
    <hyperlink ref="A31" location="'T33'!A1" display="T33 bedrijfsloket en bedrijfsregelingen.xlsx" xr:uid="{21672051-582C-4EE2-8B18-C3B84BE2E2D0}"/>
    <hyperlink ref="A32" location="'T33'!A1" display="T34 economische promotie.xlsx" xr:uid="{4F4A1A65-9C0E-4440-A00C-24CF32D2DA06}"/>
    <hyperlink ref="A35" location="'T42'!A1" display="T42  onderwijshuisvesting.xlsx" xr:uid="{45F32CE6-61D8-476B-8E4C-52D8733F0F80}"/>
    <hyperlink ref="A36" location="'T43'!A1" display="T43  onderwijsbeleid en leerlingenzaken.xlsx" xr:uid="{100FAB14-4C59-420E-BE21-B6C19C7B1A42}"/>
    <hyperlink ref="A38" location="'T51'!A1" display="T51 Sportbeleid en activering.xlsx" xr:uid="{329BEDD6-C737-427A-84F1-0C1F6429674E}"/>
    <hyperlink ref="A39" location="'T52'!A1" display="T52 Sportaccommodaties.xlsx" xr:uid="{372B540E-4355-41BD-A193-7B01D8FE0FFF}"/>
    <hyperlink ref="A40" location="'T53'!A1" display="T53 cultuurpresentatie,product,particip.xlsx" xr:uid="{8ECC85D9-DDC9-4D02-B818-E49D98EA9FB3}"/>
    <hyperlink ref="A41" location="'T54'!A1" display="T54 Musea.xlsx" xr:uid="{337BC27A-1E6D-49DF-A2BF-52820DD8B869}"/>
    <hyperlink ref="A42" location="'T55'!A1" display="T55 Cultureel erfgoed.xlsx" xr:uid="{2EF169F5-C5E9-4110-8F0F-4E1EDAAFC65A}"/>
    <hyperlink ref="A43" location="'T56'!A1" display="T56 Media.xlsx" xr:uid="{20743EEB-F744-4ACC-A341-2AC964B31CF4}"/>
    <hyperlink ref="A44" location="'T57'!A1" display="T57 openbaar groen,(openlucht) recreatie.xlsx" xr:uid="{BAA035DD-17CE-49C8-B727-DCA619F210B5}"/>
    <hyperlink ref="A47" location="'T61'!A1" display="T61 samenkracht en burgerparticipatie.xlsx" xr:uid="{3835CDDB-8E87-40F4-B545-9CD9FA3CA732}"/>
    <hyperlink ref="A48" location="'T622'!A1" display="T62 2 toegang en eerstelijnsvoorzieningen Jeugd.xlsx" xr:uid="{59720DCB-0540-4473-930F-7823DD6961E9}"/>
    <hyperlink ref="A49" location="'T623'!A1" display="T62 3 toegang en eerstelijnsvoorzieningen Integraal.xlsx" xr:uid="{994845F9-C6E9-49D7-9691-814186B5F6F8}"/>
    <hyperlink ref="A50" location="'T63'!A1" display="T63 inkomensregelingen.xlsx" xr:uid="{FB8F66C1-D57C-4F72-864C-9668BC3001DF}"/>
    <hyperlink ref="A51" location="'T64'!A1" display="T64 begeleide participatie.xlsx" xr:uid="{CEF8FF31-ECA0-4091-8A04-9620A9D09B79}"/>
    <hyperlink ref="A52" location="'T65'!A1" display="T65 arbeidsparticipatie.xlsx" xr:uid="{9FE74CD0-246C-4F45-AB4B-D19ED80D5C01}"/>
    <hyperlink ref="A53" location="'T660'!A1" display="T66 0 hulpmiddelen en diensten (Wmo).xlsx" xr:uid="{52DCC9DC-3D05-493E-8498-3D6CAA8975D7}"/>
    <hyperlink ref="A54" location="'T6711'!A1" display="T67 11 Huishoudelijke hulp (Wmo).xlsx" xr:uid="{1292B78B-B60C-41D3-B2CA-7076563565E5}"/>
    <hyperlink ref="A55" location="'T6712'!A1" display="T67 12 Begeleiding (Wmo).xlsx" xr:uid="{7DFEAD11-D6DE-4499-929E-B40C82FA8D89}"/>
    <hyperlink ref="A56" location="'T6713'!A1" display="T67 13 dagbesteding (Wmo).xlsx" xr:uid="{03159ED0-AE71-40B2-BB2E-E97CD9278941}"/>
    <hyperlink ref="A57" location="'T6714'!Afdrukbereik" display="T67 14 overige maatwerkarrangementen (Wmo).xlsx" xr:uid="{10440172-DEC7-463B-869C-E1338D1148A0}"/>
    <hyperlink ref="A58" location="'T6752'!A1" display="T67 52 jeugdhulp ambulant regionaal.xlsx" xr:uid="{3B046BE7-06AB-4273-8C9E-939EF81FB8E8}"/>
    <hyperlink ref="A59" location="'T6762'!A1" display="T67 62 jeugdhulp met verblijf regionaal.xlsx" xr:uid="{8FA24CC4-BEB0-4806-9E19-9F6358214D97}"/>
    <hyperlink ref="A63" location="'T6821'!A1" display="T68 21 jeugdbescherming.xlsx" xr:uid="{1C8F649E-B963-4730-86BF-EA877ECDEAC5}"/>
    <hyperlink ref="A64" location="'T6822'!A1" display="T68 22 jeugdreclassering.xlsx" xr:uid="{12FD7A0F-2C67-4676-AFA6-EF62A54347FE}"/>
    <hyperlink ref="A65" location="'T691'!A1" display="T69 1 Coördinatie en beleid Wmo.xlsx" xr:uid="{B77536F6-E958-4FB3-91C6-99F40BF973B0}"/>
    <hyperlink ref="A66" location="'T692'!A1" display="T69 2 Coördinatie en beleid Jeugd.xlsx" xr:uid="{1CA68CC2-3C54-44F6-8157-1332A8FB32BE}"/>
    <hyperlink ref="A69" location="'T71'!A1" display="T71 volksgezondheid.xlsx" xr:uid="{B82A1DC4-DE00-4E17-8BCC-DA81292A52DC}"/>
    <hyperlink ref="A70" location="'T72'!A1" display="T72 riolering met toevoeging toerekening belastingen.xlsx" xr:uid="{3FE5BB86-48F5-44DB-8BBA-005C3E7E3125}"/>
    <hyperlink ref="A71" location="'T73'!A1" display="T73 afvalinzameling.xlsx" xr:uid="{5789E3BF-3699-4489-B492-8C3C5EDE7BC6}"/>
    <hyperlink ref="A72" location="'T74'!A1" display="T74 milieubeheer.xlsx" xr:uid="{5D0EB976-13BC-4F00-9010-559B733C1CE7}"/>
    <hyperlink ref="A73" location="'T75'!A1" display="T75 begraafplaatsen en crematoria.xlsx" xr:uid="{FF3A5A89-0A55-4518-811E-6ED85E2EA169}"/>
    <hyperlink ref="A76" location="'T81'!A1" display="T81 ruimtelijke ordening.xlsx" xr:uid="{DC3F5292-978D-43B7-B50A-B0C859B574DE}"/>
    <hyperlink ref="A78" location="'T83'!A1" display="T83 wonen en bouwen.xlsx" xr:uid="{FB7FDBFB-F3F6-4801-9AD9-AA3D90C2CE45}"/>
    <hyperlink ref="A77" location="'T82'!Afdrukbereik" display="T82 grondexploitaties 2025 aangepast MPG.xlsx" xr:uid="{A596D865-97F1-481B-A021-1A8D977C0AFE}"/>
    <hyperlink ref="A60" location="'T6791'!Afdrukbereik" display="T6791 PGB Wmo" xr:uid="{82AFF081-55A8-43DD-83B1-DE42B9D1D076}"/>
    <hyperlink ref="A61" location="'T6792'!Afdrukbereik" display="T6792 PGB Jeugd" xr:uid="{1FB26BDA-39D5-4681-B14D-3DED5128553D}"/>
  </hyperlinks>
  <pageMargins left="0.70866141732283472" right="0.70866141732283472" top="0.39370078740157483" bottom="0.39370078740157483" header="0.31496062992125984" footer="0.31496062992125984"/>
  <pageSetup paperSize="9" orientation="portrait" r:id="rId1"/>
  <rowBreaks count="1" manualBreakCount="1">
    <brk id="37" max="1" man="1"/>
  </rowBreaks>
  <drawing r:id="rId2"/>
  <legacyDrawing r:id="rId3"/>
  <mc:AlternateContent xmlns:mc="http://schemas.openxmlformats.org/markup-compatibility/2006">
    <mc:Choice Requires="x14">
      <controls>
        <mc:AlternateContent xmlns:mc="http://schemas.openxmlformats.org/markup-compatibility/2006">
          <mc:Choice Requires="x14">
            <control shapeId="137217" r:id="rId4" name="Button 1">
              <controlPr defaultSize="0" print="0" autoFill="0" autoPict="0" macro="[1]!Inlees_CODA">
                <anchor moveWithCells="1" sizeWithCells="1">
                  <from>
                    <xdr:col>5</xdr:col>
                    <xdr:colOff>0</xdr:colOff>
                    <xdr:row>1</xdr:row>
                    <xdr:rowOff>7620</xdr:rowOff>
                  </from>
                  <to>
                    <xdr:col>7</xdr:col>
                    <xdr:colOff>0</xdr:colOff>
                    <xdr:row>2</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E26A-7A17-4402-882A-B0B6F8AFB103}">
  <sheetPr codeName="Blad73"/>
  <dimension ref="A1:K1321"/>
  <sheetViews>
    <sheetView topLeftCell="A1273" workbookViewId="0">
      <selection activeCell="O24" sqref="O24"/>
    </sheetView>
  </sheetViews>
  <sheetFormatPr defaultRowHeight="14.4" x14ac:dyDescent="0.3"/>
  <cols>
    <col min="5" max="9" width="11.109375" bestFit="1" customWidth="1"/>
  </cols>
  <sheetData>
    <row r="1" spans="1:11" x14ac:dyDescent="0.3">
      <c r="A1" t="s">
        <v>61</v>
      </c>
    </row>
    <row r="2" spans="1:11" x14ac:dyDescent="0.3">
      <c r="A2" t="s">
        <v>62</v>
      </c>
      <c r="B2" t="s">
        <v>63</v>
      </c>
      <c r="C2" t="s">
        <v>64</v>
      </c>
      <c r="D2" t="s">
        <v>65</v>
      </c>
      <c r="E2">
        <v>2025</v>
      </c>
      <c r="F2">
        <v>2026</v>
      </c>
      <c r="G2">
        <v>2027</v>
      </c>
      <c r="H2">
        <v>2028</v>
      </c>
      <c r="I2">
        <v>2029</v>
      </c>
      <c r="J2" t="s">
        <v>66</v>
      </c>
      <c r="K2" t="s">
        <v>67</v>
      </c>
    </row>
    <row r="3" spans="1:11" x14ac:dyDescent="0.3">
      <c r="A3" s="286">
        <v>601001</v>
      </c>
      <c r="B3" s="286">
        <v>43819</v>
      </c>
      <c r="E3" s="215">
        <v>9573</v>
      </c>
      <c r="F3" s="215">
        <v>9822</v>
      </c>
      <c r="G3" s="215">
        <v>10038</v>
      </c>
      <c r="H3" s="215">
        <v>10259</v>
      </c>
      <c r="I3" s="215">
        <v>10485</v>
      </c>
      <c r="J3" t="s">
        <v>68</v>
      </c>
    </row>
    <row r="4" spans="1:11" x14ac:dyDescent="0.3">
      <c r="A4" s="286">
        <v>601001</v>
      </c>
      <c r="B4" s="286">
        <v>43812</v>
      </c>
      <c r="E4" s="215">
        <v>87915</v>
      </c>
      <c r="F4" s="215">
        <v>94864</v>
      </c>
      <c r="G4" s="215">
        <v>86556</v>
      </c>
      <c r="H4" s="215">
        <v>88285</v>
      </c>
      <c r="I4" s="215">
        <v>90051</v>
      </c>
      <c r="J4" t="s">
        <v>68</v>
      </c>
    </row>
    <row r="5" spans="1:11" x14ac:dyDescent="0.3">
      <c r="A5" s="286">
        <v>601001</v>
      </c>
      <c r="B5" s="286">
        <v>43812</v>
      </c>
      <c r="E5" s="215">
        <v>7716.1679999999997</v>
      </c>
      <c r="F5" s="215">
        <v>7916.7883679999995</v>
      </c>
      <c r="G5" s="215">
        <v>8090.9577120960003</v>
      </c>
      <c r="H5" s="215">
        <v>8268.9587817621123</v>
      </c>
      <c r="I5" s="215">
        <v>8450.8758749608787</v>
      </c>
      <c r="J5" t="s">
        <v>68</v>
      </c>
    </row>
    <row r="6" spans="1:11" x14ac:dyDescent="0.3">
      <c r="A6" s="286">
        <v>601001</v>
      </c>
      <c r="B6" s="286">
        <v>43812</v>
      </c>
      <c r="E6" s="215">
        <v>17077</v>
      </c>
      <c r="F6" s="215">
        <v>17522</v>
      </c>
      <c r="G6" s="215">
        <v>17907</v>
      </c>
      <c r="H6" s="215">
        <v>18302</v>
      </c>
      <c r="I6" s="215">
        <v>18705</v>
      </c>
      <c r="J6" t="s">
        <v>68</v>
      </c>
    </row>
    <row r="7" spans="1:11" x14ac:dyDescent="0.3">
      <c r="A7" s="286">
        <v>601001</v>
      </c>
      <c r="B7" s="286">
        <v>43812</v>
      </c>
      <c r="E7" s="215">
        <v>4085</v>
      </c>
      <c r="F7" s="215">
        <v>4191</v>
      </c>
      <c r="G7" s="215">
        <v>4283</v>
      </c>
      <c r="H7" s="215">
        <v>4377</v>
      </c>
      <c r="I7" s="215">
        <v>4473</v>
      </c>
      <c r="J7" t="s">
        <v>68</v>
      </c>
    </row>
    <row r="8" spans="1:11" x14ac:dyDescent="0.3">
      <c r="A8" s="286">
        <v>601002</v>
      </c>
      <c r="B8" s="286">
        <v>43819</v>
      </c>
      <c r="E8" s="215">
        <v>11538</v>
      </c>
      <c r="F8" s="215">
        <v>12121</v>
      </c>
      <c r="G8" s="215">
        <v>12387</v>
      </c>
      <c r="H8" s="215">
        <v>12660</v>
      </c>
      <c r="I8" s="215">
        <v>12938</v>
      </c>
      <c r="J8" t="s">
        <v>68</v>
      </c>
    </row>
    <row r="9" spans="1:11" x14ac:dyDescent="0.3">
      <c r="A9" s="286">
        <v>601002</v>
      </c>
      <c r="B9" s="286">
        <v>43812</v>
      </c>
      <c r="E9" s="215">
        <v>11401</v>
      </c>
      <c r="F9" s="215">
        <v>11801</v>
      </c>
      <c r="G9" s="215">
        <v>12149</v>
      </c>
      <c r="H9" s="215">
        <v>12504</v>
      </c>
      <c r="I9" s="215">
        <v>12867</v>
      </c>
      <c r="J9" t="s">
        <v>68</v>
      </c>
    </row>
    <row r="10" spans="1:11" x14ac:dyDescent="0.3">
      <c r="A10" s="286">
        <v>601003</v>
      </c>
      <c r="B10" s="286">
        <v>43812</v>
      </c>
      <c r="E10" s="215">
        <v>41778</v>
      </c>
      <c r="F10" s="215">
        <v>43712</v>
      </c>
      <c r="G10" s="215">
        <v>45231</v>
      </c>
      <c r="H10" s="215">
        <v>47118</v>
      </c>
      <c r="I10" s="215">
        <v>48879.5</v>
      </c>
      <c r="J10" t="s">
        <v>68</v>
      </c>
    </row>
    <row r="11" spans="1:11" x14ac:dyDescent="0.3">
      <c r="A11" s="286">
        <v>601004</v>
      </c>
      <c r="B11" s="286">
        <v>43812</v>
      </c>
      <c r="E11" s="215">
        <v>69833</v>
      </c>
      <c r="F11" s="215">
        <v>70000</v>
      </c>
      <c r="G11" s="215">
        <v>71540</v>
      </c>
      <c r="H11" s="215">
        <v>73114</v>
      </c>
      <c r="I11" s="215">
        <v>74723</v>
      </c>
      <c r="J11" t="s">
        <v>68</v>
      </c>
    </row>
    <row r="12" spans="1:11" x14ac:dyDescent="0.3">
      <c r="A12" s="286">
        <v>601005</v>
      </c>
      <c r="B12" s="286">
        <v>43812</v>
      </c>
      <c r="E12" s="215">
        <v>1684.8920000000001</v>
      </c>
      <c r="F12" s="215">
        <v>1728.699192</v>
      </c>
      <c r="G12" s="215">
        <v>1766.7305742240001</v>
      </c>
      <c r="H12" s="215">
        <v>1805.5986468569281</v>
      </c>
      <c r="I12" s="215">
        <v>1845.3218170877806</v>
      </c>
      <c r="J12" t="s">
        <v>68</v>
      </c>
    </row>
    <row r="13" spans="1:11" x14ac:dyDescent="0.3">
      <c r="A13" s="286">
        <v>601901</v>
      </c>
      <c r="B13" s="286">
        <v>41000</v>
      </c>
      <c r="E13" s="215">
        <v>0</v>
      </c>
      <c r="F13" s="215">
        <v>0</v>
      </c>
      <c r="G13" s="215">
        <v>0</v>
      </c>
      <c r="H13" s="215">
        <v>0</v>
      </c>
      <c r="I13" s="215">
        <v>0</v>
      </c>
      <c r="J13" t="s">
        <v>68</v>
      </c>
    </row>
    <row r="14" spans="1:11" x14ac:dyDescent="0.3">
      <c r="A14" s="286">
        <v>601007</v>
      </c>
      <c r="B14" s="286">
        <v>41101</v>
      </c>
      <c r="E14" s="215">
        <v>88189</v>
      </c>
      <c r="F14" s="215">
        <v>117492</v>
      </c>
      <c r="G14" s="215">
        <v>119842</v>
      </c>
      <c r="H14" s="215">
        <v>50933</v>
      </c>
      <c r="I14" s="215">
        <v>0</v>
      </c>
      <c r="J14" t="s">
        <v>68</v>
      </c>
    </row>
    <row r="15" spans="1:11" x14ac:dyDescent="0.3">
      <c r="A15" s="286">
        <v>601007</v>
      </c>
      <c r="B15" s="286">
        <v>41101</v>
      </c>
      <c r="E15" s="215">
        <v>171730</v>
      </c>
      <c r="F15" s="215">
        <v>178593</v>
      </c>
      <c r="G15" s="215">
        <v>189339</v>
      </c>
      <c r="H15" s="215">
        <v>195577</v>
      </c>
      <c r="I15" s="215">
        <v>199488</v>
      </c>
      <c r="J15" t="s">
        <v>68</v>
      </c>
    </row>
    <row r="16" spans="1:11" x14ac:dyDescent="0.3">
      <c r="A16" s="286">
        <v>601008</v>
      </c>
      <c r="B16" s="286">
        <v>43806</v>
      </c>
      <c r="E16" s="215">
        <v>4736</v>
      </c>
      <c r="F16" s="215">
        <v>6700</v>
      </c>
      <c r="G16" s="215">
        <v>6847</v>
      </c>
      <c r="H16" s="215">
        <v>6997</v>
      </c>
      <c r="I16" s="215">
        <v>7150</v>
      </c>
      <c r="J16" t="s">
        <v>68</v>
      </c>
    </row>
    <row r="17" spans="1:10" x14ac:dyDescent="0.3">
      <c r="A17" s="286">
        <v>601008</v>
      </c>
      <c r="B17" s="286">
        <v>43812</v>
      </c>
      <c r="E17" s="215">
        <v>35193</v>
      </c>
      <c r="F17" s="215">
        <v>3276</v>
      </c>
      <c r="G17" s="215">
        <v>3348</v>
      </c>
      <c r="H17" s="215">
        <v>3422</v>
      </c>
      <c r="I17" s="215">
        <v>3497</v>
      </c>
      <c r="J17" t="s">
        <v>68</v>
      </c>
    </row>
    <row r="18" spans="1:10" x14ac:dyDescent="0.3">
      <c r="A18" s="286">
        <v>601008</v>
      </c>
      <c r="B18" s="286">
        <v>43819</v>
      </c>
      <c r="E18" s="215">
        <v>5701</v>
      </c>
      <c r="F18" s="215">
        <v>5849</v>
      </c>
      <c r="G18" s="215">
        <v>5978</v>
      </c>
      <c r="H18" s="215">
        <v>6110</v>
      </c>
      <c r="I18" s="215">
        <v>6244</v>
      </c>
      <c r="J18" t="s">
        <v>68</v>
      </c>
    </row>
    <row r="19" spans="1:10" x14ac:dyDescent="0.3">
      <c r="A19" s="286">
        <v>601008</v>
      </c>
      <c r="B19" s="286">
        <v>43818</v>
      </c>
      <c r="E19" s="215">
        <v>2841</v>
      </c>
      <c r="F19" s="215">
        <v>2915</v>
      </c>
      <c r="G19" s="215">
        <v>2979</v>
      </c>
      <c r="H19" s="215">
        <v>3045</v>
      </c>
      <c r="I19" s="215">
        <v>3112</v>
      </c>
      <c r="J19" t="s">
        <v>68</v>
      </c>
    </row>
    <row r="20" spans="1:10" x14ac:dyDescent="0.3">
      <c r="A20" s="286">
        <v>601011</v>
      </c>
      <c r="B20" s="286">
        <v>43812</v>
      </c>
      <c r="E20" s="215">
        <v>23541</v>
      </c>
      <c r="F20" s="215">
        <v>24153</v>
      </c>
      <c r="G20" s="215">
        <v>24684</v>
      </c>
      <c r="H20" s="215">
        <v>25227</v>
      </c>
      <c r="I20" s="215">
        <v>25782</v>
      </c>
      <c r="J20" t="s">
        <v>68</v>
      </c>
    </row>
    <row r="21" spans="1:10" x14ac:dyDescent="0.3">
      <c r="A21" s="286">
        <v>601901</v>
      </c>
      <c r="B21" s="286">
        <v>41000</v>
      </c>
      <c r="E21" s="215">
        <v>0</v>
      </c>
      <c r="F21" s="215">
        <v>0</v>
      </c>
      <c r="G21" s="215">
        <v>0</v>
      </c>
      <c r="H21" s="215">
        <v>0</v>
      </c>
      <c r="I21" s="215">
        <v>0</v>
      </c>
      <c r="J21" t="s">
        <v>68</v>
      </c>
    </row>
    <row r="22" spans="1:10" x14ac:dyDescent="0.3">
      <c r="A22" s="286">
        <v>601010</v>
      </c>
      <c r="B22" s="286">
        <v>43812</v>
      </c>
      <c r="E22" s="215">
        <v>30906</v>
      </c>
      <c r="F22" s="215">
        <v>31708</v>
      </c>
      <c r="G22" s="215">
        <v>32405</v>
      </c>
      <c r="H22" s="215">
        <v>33117</v>
      </c>
      <c r="I22" s="215">
        <v>33845</v>
      </c>
      <c r="J22" t="s">
        <v>68</v>
      </c>
    </row>
    <row r="23" spans="1:10" x14ac:dyDescent="0.3">
      <c r="A23" s="286">
        <v>601010</v>
      </c>
      <c r="B23" s="286">
        <v>44380</v>
      </c>
      <c r="E23" s="215">
        <v>3907</v>
      </c>
      <c r="F23" s="215">
        <v>4009</v>
      </c>
      <c r="G23" s="215">
        <v>4097</v>
      </c>
      <c r="H23" s="215">
        <v>4187</v>
      </c>
      <c r="I23" s="215">
        <v>4279</v>
      </c>
      <c r="J23" t="s">
        <v>68</v>
      </c>
    </row>
    <row r="24" spans="1:10" x14ac:dyDescent="0.3">
      <c r="A24" s="286">
        <v>601007</v>
      </c>
      <c r="B24" s="286">
        <v>83800</v>
      </c>
      <c r="E24" s="215">
        <v>-88189</v>
      </c>
      <c r="F24" s="215">
        <v>-117492</v>
      </c>
      <c r="G24" s="215">
        <v>-119842</v>
      </c>
      <c r="H24" s="215">
        <v>-50933</v>
      </c>
      <c r="I24" s="215">
        <v>0</v>
      </c>
      <c r="J24" t="s">
        <v>68</v>
      </c>
    </row>
    <row r="25" spans="1:10" x14ac:dyDescent="0.3">
      <c r="A25" s="286">
        <v>601007</v>
      </c>
      <c r="B25" s="286">
        <v>83800</v>
      </c>
      <c r="E25" s="215">
        <v>-171730</v>
      </c>
      <c r="F25" s="215">
        <v>-178593</v>
      </c>
      <c r="G25" s="215">
        <v>-189339</v>
      </c>
      <c r="H25" s="215">
        <v>-195577</v>
      </c>
      <c r="I25" s="215">
        <v>-199488</v>
      </c>
      <c r="J25" t="s">
        <v>68</v>
      </c>
    </row>
    <row r="26" spans="1:10" x14ac:dyDescent="0.3">
      <c r="A26" s="286">
        <v>601012</v>
      </c>
      <c r="B26" s="286">
        <v>44330</v>
      </c>
      <c r="E26" s="215">
        <v>306624</v>
      </c>
      <c r="F26" s="215">
        <v>321495</v>
      </c>
      <c r="G26" s="215">
        <v>340729</v>
      </c>
      <c r="H26" s="215">
        <v>357023</v>
      </c>
      <c r="I26" s="215">
        <v>377551.04800000001</v>
      </c>
      <c r="J26" t="s">
        <v>68</v>
      </c>
    </row>
    <row r="27" spans="1:10" x14ac:dyDescent="0.3">
      <c r="A27" s="286">
        <v>601013</v>
      </c>
      <c r="B27" s="286">
        <v>44330</v>
      </c>
      <c r="E27" s="215">
        <v>78557</v>
      </c>
      <c r="F27" s="215">
        <v>79636</v>
      </c>
      <c r="G27" s="215">
        <v>84595</v>
      </c>
      <c r="H27" s="215">
        <v>87532.599999999991</v>
      </c>
      <c r="I27" s="215">
        <v>93374.148000000001</v>
      </c>
      <c r="J27" t="s">
        <v>68</v>
      </c>
    </row>
    <row r="28" spans="1:10" x14ac:dyDescent="0.3">
      <c r="A28" s="286">
        <v>601014</v>
      </c>
      <c r="B28" s="286">
        <v>44360</v>
      </c>
      <c r="E28" s="215">
        <v>29281</v>
      </c>
      <c r="F28" s="215">
        <v>29867</v>
      </c>
      <c r="G28" s="215">
        <v>31241</v>
      </c>
      <c r="H28" s="215">
        <v>32678</v>
      </c>
      <c r="I28" s="215">
        <v>34181</v>
      </c>
      <c r="J28" t="s">
        <v>68</v>
      </c>
    </row>
    <row r="29" spans="1:10" x14ac:dyDescent="0.3">
      <c r="A29" s="286">
        <v>601016</v>
      </c>
      <c r="B29" s="286">
        <v>44360</v>
      </c>
      <c r="E29" s="215">
        <v>26628</v>
      </c>
      <c r="F29" s="215">
        <v>27321</v>
      </c>
      <c r="G29" s="215">
        <v>27923</v>
      </c>
      <c r="H29" s="215">
        <v>28538</v>
      </c>
      <c r="I29" s="215">
        <v>29167</v>
      </c>
      <c r="J29" t="s">
        <v>68</v>
      </c>
    </row>
    <row r="30" spans="1:10" x14ac:dyDescent="0.3">
      <c r="A30" s="286">
        <v>601017</v>
      </c>
      <c r="B30" s="286">
        <v>43812</v>
      </c>
      <c r="E30" s="215">
        <v>0</v>
      </c>
      <c r="F30" s="215">
        <v>0</v>
      </c>
      <c r="G30" s="215">
        <v>0</v>
      </c>
      <c r="H30" s="215">
        <v>0</v>
      </c>
      <c r="I30" s="215">
        <v>0</v>
      </c>
      <c r="J30" t="s">
        <v>68</v>
      </c>
    </row>
    <row r="31" spans="1:10" x14ac:dyDescent="0.3">
      <c r="A31" s="286">
        <v>601018</v>
      </c>
      <c r="B31" s="286">
        <v>43812</v>
      </c>
      <c r="E31" s="215">
        <v>0</v>
      </c>
      <c r="F31" s="215">
        <v>0</v>
      </c>
      <c r="G31" s="215">
        <v>0</v>
      </c>
      <c r="H31" s="215">
        <v>0</v>
      </c>
      <c r="I31" s="215">
        <v>0</v>
      </c>
      <c r="J31" t="s">
        <v>68</v>
      </c>
    </row>
    <row r="32" spans="1:10" x14ac:dyDescent="0.3">
      <c r="A32" s="286">
        <v>601020</v>
      </c>
      <c r="B32" s="286">
        <v>43812</v>
      </c>
      <c r="E32" s="215">
        <v>305000</v>
      </c>
      <c r="F32" s="215">
        <v>215130</v>
      </c>
      <c r="G32" s="215">
        <v>5243</v>
      </c>
      <c r="H32" s="215">
        <v>5358</v>
      </c>
      <c r="I32" s="215">
        <v>5476</v>
      </c>
      <c r="J32" t="s">
        <v>68</v>
      </c>
    </row>
    <row r="33" spans="1:10" x14ac:dyDescent="0.3">
      <c r="A33" s="286">
        <v>601901</v>
      </c>
      <c r="B33" s="286">
        <v>41100</v>
      </c>
      <c r="E33" s="215">
        <v>1428816</v>
      </c>
      <c r="F33" s="215">
        <v>1503457.4800000002</v>
      </c>
      <c r="G33" s="215">
        <v>1572617</v>
      </c>
      <c r="H33" s="215">
        <v>1644958</v>
      </c>
      <c r="I33" s="215">
        <v>1720627</v>
      </c>
      <c r="J33" t="s">
        <v>68</v>
      </c>
    </row>
    <row r="34" spans="1:10" x14ac:dyDescent="0.3">
      <c r="A34" s="286">
        <v>601901</v>
      </c>
      <c r="B34" s="286">
        <v>47300</v>
      </c>
      <c r="E34" s="215">
        <v>5000</v>
      </c>
      <c r="F34" s="215">
        <v>5000</v>
      </c>
      <c r="G34" s="215">
        <v>5000</v>
      </c>
      <c r="H34" s="215">
        <v>5000</v>
      </c>
      <c r="I34" s="215">
        <v>5000</v>
      </c>
      <c r="J34" t="s">
        <v>68</v>
      </c>
    </row>
    <row r="35" spans="1:10" x14ac:dyDescent="0.3">
      <c r="A35" s="286">
        <v>601902</v>
      </c>
      <c r="B35" s="286">
        <v>41100</v>
      </c>
      <c r="E35" s="215">
        <v>165249.64000000001</v>
      </c>
      <c r="F35" s="215">
        <v>292976.63</v>
      </c>
      <c r="G35" s="215">
        <v>300934</v>
      </c>
      <c r="H35" s="215">
        <v>189257</v>
      </c>
      <c r="I35" s="215">
        <v>197963</v>
      </c>
      <c r="J35" t="s">
        <v>68</v>
      </c>
    </row>
    <row r="36" spans="1:10" x14ac:dyDescent="0.3">
      <c r="A36" s="286">
        <v>601902</v>
      </c>
      <c r="B36" s="286">
        <v>43511</v>
      </c>
      <c r="E36" s="215">
        <v>0</v>
      </c>
      <c r="F36" s="215">
        <v>500000</v>
      </c>
      <c r="G36" s="215">
        <v>500000</v>
      </c>
      <c r="H36" s="215">
        <v>500000</v>
      </c>
      <c r="I36" s="215">
        <v>500000</v>
      </c>
      <c r="J36" t="s">
        <v>68</v>
      </c>
    </row>
    <row r="37" spans="1:10" x14ac:dyDescent="0.3">
      <c r="A37" s="286">
        <v>602001</v>
      </c>
      <c r="B37" s="286">
        <v>43812</v>
      </c>
      <c r="E37" s="215">
        <v>2696</v>
      </c>
      <c r="F37" s="215">
        <v>2762</v>
      </c>
      <c r="G37" s="215">
        <v>2825</v>
      </c>
      <c r="H37" s="215">
        <v>2888</v>
      </c>
      <c r="I37" s="215">
        <v>2952</v>
      </c>
      <c r="J37" t="s">
        <v>69</v>
      </c>
    </row>
    <row r="38" spans="1:10" x14ac:dyDescent="0.3">
      <c r="A38" s="286">
        <v>602901</v>
      </c>
      <c r="B38" s="286">
        <v>41100</v>
      </c>
      <c r="E38" s="215">
        <v>33098</v>
      </c>
      <c r="F38" s="215">
        <v>100258.11</v>
      </c>
      <c r="G38" s="215">
        <v>104870</v>
      </c>
      <c r="H38" s="215">
        <v>109694</v>
      </c>
      <c r="I38" s="215">
        <v>114740</v>
      </c>
      <c r="J38" t="s">
        <v>69</v>
      </c>
    </row>
    <row r="39" spans="1:10" x14ac:dyDescent="0.3">
      <c r="A39" s="286">
        <v>602002</v>
      </c>
      <c r="B39" s="286">
        <v>44310</v>
      </c>
      <c r="E39" s="215">
        <v>151352.29999999999</v>
      </c>
      <c r="F39" s="215">
        <v>259645.5</v>
      </c>
      <c r="G39" s="215">
        <v>269642</v>
      </c>
      <c r="H39" s="215">
        <v>280040</v>
      </c>
      <c r="I39" s="215">
        <v>291212</v>
      </c>
      <c r="J39" t="s">
        <v>69</v>
      </c>
    </row>
    <row r="40" spans="1:10" x14ac:dyDescent="0.3">
      <c r="A40" s="286">
        <v>602902</v>
      </c>
      <c r="B40" s="286">
        <v>41100</v>
      </c>
      <c r="E40" s="215">
        <v>188764.6</v>
      </c>
      <c r="F40" s="215">
        <v>118349.84</v>
      </c>
      <c r="G40" s="215">
        <v>123794</v>
      </c>
      <c r="H40" s="215">
        <v>129489</v>
      </c>
      <c r="I40" s="215">
        <v>135445</v>
      </c>
      <c r="J40" t="s">
        <v>69</v>
      </c>
    </row>
    <row r="41" spans="1:10" x14ac:dyDescent="0.3">
      <c r="A41" s="286">
        <v>602902</v>
      </c>
      <c r="B41" s="286">
        <v>43511</v>
      </c>
      <c r="E41" s="215">
        <v>14496</v>
      </c>
      <c r="F41" s="215">
        <v>14786</v>
      </c>
      <c r="G41" s="215">
        <v>15466</v>
      </c>
      <c r="H41" s="215">
        <v>16177</v>
      </c>
      <c r="I41" s="215">
        <v>16921</v>
      </c>
      <c r="J41" t="s">
        <v>69</v>
      </c>
    </row>
    <row r="42" spans="1:10" x14ac:dyDescent="0.3">
      <c r="A42" s="286">
        <v>602003</v>
      </c>
      <c r="B42" s="286">
        <v>44310</v>
      </c>
      <c r="E42" s="215">
        <v>50027.9</v>
      </c>
      <c r="F42" s="215">
        <v>37540</v>
      </c>
      <c r="G42" s="215">
        <v>38319</v>
      </c>
      <c r="H42" s="215">
        <v>39102</v>
      </c>
      <c r="I42" s="215">
        <v>39889</v>
      </c>
      <c r="J42" t="s">
        <v>69</v>
      </c>
    </row>
    <row r="43" spans="1:10" x14ac:dyDescent="0.3">
      <c r="A43" s="286">
        <v>602903</v>
      </c>
      <c r="B43" s="286">
        <v>41100</v>
      </c>
      <c r="E43" s="215">
        <v>158753.96</v>
      </c>
      <c r="F43" s="215">
        <v>116735.24</v>
      </c>
      <c r="G43" s="215">
        <v>122105</v>
      </c>
      <c r="H43" s="215">
        <v>127722</v>
      </c>
      <c r="I43" s="215">
        <v>133597</v>
      </c>
      <c r="J43" t="s">
        <v>69</v>
      </c>
    </row>
    <row r="44" spans="1:10" x14ac:dyDescent="0.3">
      <c r="A44" s="286">
        <v>602903</v>
      </c>
      <c r="B44" s="286">
        <v>43511</v>
      </c>
      <c r="E44" s="215">
        <v>6925</v>
      </c>
      <c r="F44" s="215">
        <v>7064</v>
      </c>
      <c r="G44" s="215">
        <v>7389</v>
      </c>
      <c r="H44" s="215">
        <v>7729</v>
      </c>
      <c r="I44" s="215">
        <v>8085</v>
      </c>
      <c r="J44" t="s">
        <v>69</v>
      </c>
    </row>
    <row r="45" spans="1:10" x14ac:dyDescent="0.3">
      <c r="A45" s="286">
        <v>602904</v>
      </c>
      <c r="B45" s="286">
        <v>41100</v>
      </c>
      <c r="E45" s="215">
        <v>90928</v>
      </c>
      <c r="F45" s="215">
        <v>119739.37</v>
      </c>
      <c r="G45" s="215">
        <v>125247</v>
      </c>
      <c r="H45" s="215">
        <v>131008</v>
      </c>
      <c r="I45" s="215">
        <v>137034</v>
      </c>
      <c r="J45" t="s">
        <v>69</v>
      </c>
    </row>
    <row r="46" spans="1:10" x14ac:dyDescent="0.3">
      <c r="A46" s="286">
        <v>602904</v>
      </c>
      <c r="B46" s="286">
        <v>43812</v>
      </c>
      <c r="E46" s="215">
        <v>140813</v>
      </c>
      <c r="F46" s="215">
        <v>144474</v>
      </c>
      <c r="G46" s="215">
        <v>147652</v>
      </c>
      <c r="H46" s="215">
        <v>150900</v>
      </c>
      <c r="I46" s="215">
        <v>154220</v>
      </c>
      <c r="J46" t="s">
        <v>69</v>
      </c>
    </row>
    <row r="47" spans="1:10" x14ac:dyDescent="0.3">
      <c r="A47" s="286">
        <v>602005</v>
      </c>
      <c r="B47" s="286">
        <v>43812</v>
      </c>
      <c r="E47" s="215">
        <v>2355</v>
      </c>
      <c r="F47" s="215">
        <v>3250</v>
      </c>
      <c r="G47" s="215">
        <v>3322</v>
      </c>
      <c r="H47" s="215">
        <v>3395</v>
      </c>
      <c r="I47" s="215">
        <v>3470</v>
      </c>
      <c r="J47" t="s">
        <v>69</v>
      </c>
    </row>
    <row r="48" spans="1:10" x14ac:dyDescent="0.3">
      <c r="A48" s="286">
        <v>602005</v>
      </c>
      <c r="B48" s="286">
        <v>44310</v>
      </c>
      <c r="E48" s="215">
        <v>45448</v>
      </c>
      <c r="F48" s="215">
        <v>64423</v>
      </c>
      <c r="G48" s="215">
        <v>65909</v>
      </c>
      <c r="H48" s="215">
        <v>67428</v>
      </c>
      <c r="I48" s="215">
        <v>68988</v>
      </c>
      <c r="J48" t="s">
        <v>69</v>
      </c>
    </row>
    <row r="49" spans="1:10" x14ac:dyDescent="0.3">
      <c r="A49" s="286">
        <v>602905</v>
      </c>
      <c r="B49" s="286">
        <v>41100</v>
      </c>
      <c r="E49" s="215">
        <v>42453</v>
      </c>
      <c r="F49" s="215">
        <v>40461.449999999997</v>
      </c>
      <c r="G49" s="215">
        <v>42323</v>
      </c>
      <c r="H49" s="215">
        <v>44270</v>
      </c>
      <c r="I49" s="215">
        <v>46306</v>
      </c>
      <c r="J49" t="s">
        <v>69</v>
      </c>
    </row>
    <row r="50" spans="1:10" x14ac:dyDescent="0.3">
      <c r="A50" s="286">
        <v>602006</v>
      </c>
      <c r="B50" s="286">
        <v>43805</v>
      </c>
      <c r="E50" s="215">
        <v>1100</v>
      </c>
      <c r="F50" s="215">
        <v>3100</v>
      </c>
      <c r="G50" s="215">
        <v>3100</v>
      </c>
      <c r="H50" s="215">
        <v>3100</v>
      </c>
      <c r="I50" s="215">
        <v>3100</v>
      </c>
      <c r="J50" t="s">
        <v>69</v>
      </c>
    </row>
    <row r="51" spans="1:10" x14ac:dyDescent="0.3">
      <c r="A51" s="286">
        <v>602006</v>
      </c>
      <c r="B51" s="286">
        <v>43812</v>
      </c>
      <c r="E51" s="215">
        <v>57271</v>
      </c>
      <c r="F51" s="215">
        <v>58795</v>
      </c>
      <c r="G51" s="215">
        <v>59831</v>
      </c>
      <c r="H51" s="215">
        <v>60884</v>
      </c>
      <c r="I51" s="215">
        <v>61955</v>
      </c>
      <c r="J51" t="s">
        <v>69</v>
      </c>
    </row>
    <row r="52" spans="1:10" x14ac:dyDescent="0.3">
      <c r="A52" s="286">
        <v>602907</v>
      </c>
      <c r="B52" s="286">
        <v>41100</v>
      </c>
      <c r="E52" s="215">
        <v>4666.49</v>
      </c>
      <c r="F52" s="215">
        <v>7848</v>
      </c>
      <c r="G52" s="215">
        <v>8209</v>
      </c>
      <c r="H52" s="215">
        <v>8587</v>
      </c>
      <c r="I52" s="215">
        <v>8982</v>
      </c>
      <c r="J52" t="s">
        <v>69</v>
      </c>
    </row>
    <row r="53" spans="1:10" x14ac:dyDescent="0.3">
      <c r="A53" s="286">
        <v>602007</v>
      </c>
      <c r="B53" s="286">
        <v>43812</v>
      </c>
      <c r="E53" s="215">
        <v>8959.3489919999993</v>
      </c>
      <c r="F53" s="215">
        <v>9825</v>
      </c>
      <c r="G53" s="215">
        <v>10040.529999999999</v>
      </c>
      <c r="H53" s="215">
        <v>10259.26166</v>
      </c>
      <c r="I53" s="215">
        <v>10491.26541652</v>
      </c>
      <c r="J53" t="s">
        <v>69</v>
      </c>
    </row>
    <row r="54" spans="1:10" x14ac:dyDescent="0.3">
      <c r="A54" s="286">
        <v>602906</v>
      </c>
      <c r="B54" s="286">
        <v>41100</v>
      </c>
      <c r="E54" s="215">
        <v>150517.95000000001</v>
      </c>
      <c r="F54" s="215">
        <v>169988.77</v>
      </c>
      <c r="G54" s="215">
        <v>160590</v>
      </c>
      <c r="H54" s="215">
        <v>167977</v>
      </c>
      <c r="I54" s="215">
        <v>175704</v>
      </c>
      <c r="J54" t="s">
        <v>69</v>
      </c>
    </row>
    <row r="55" spans="1:10" x14ac:dyDescent="0.3">
      <c r="A55" s="286">
        <v>602906</v>
      </c>
      <c r="B55" s="286">
        <v>43511</v>
      </c>
      <c r="E55" s="215">
        <v>10400</v>
      </c>
      <c r="F55" s="215">
        <v>0</v>
      </c>
      <c r="G55" s="215">
        <v>0</v>
      </c>
      <c r="H55" s="215">
        <v>0</v>
      </c>
      <c r="I55" s="215">
        <v>0</v>
      </c>
      <c r="J55" t="s">
        <v>69</v>
      </c>
    </row>
    <row r="56" spans="1:10" x14ac:dyDescent="0.3">
      <c r="A56" s="286">
        <v>602001</v>
      </c>
      <c r="B56" s="286">
        <v>83700</v>
      </c>
      <c r="E56" s="215">
        <v>-67872.7</v>
      </c>
      <c r="F56" s="215">
        <v>-81724.78</v>
      </c>
      <c r="G56" s="215">
        <v>-85390.9</v>
      </c>
      <c r="H56" s="215">
        <v>-89202.2</v>
      </c>
      <c r="I56" s="215">
        <v>-93182.9</v>
      </c>
      <c r="J56" t="s">
        <v>69</v>
      </c>
    </row>
    <row r="57" spans="1:10" x14ac:dyDescent="0.3">
      <c r="A57" s="286">
        <v>602002</v>
      </c>
      <c r="B57" s="286">
        <v>83700</v>
      </c>
      <c r="E57" s="215">
        <v>-312150</v>
      </c>
      <c r="F57" s="215">
        <v>-464175.5</v>
      </c>
      <c r="G57" s="215">
        <v>-474454.5</v>
      </c>
      <c r="H57" s="215">
        <v>-485135</v>
      </c>
      <c r="I57" s="215">
        <v>-495819.5</v>
      </c>
      <c r="J57" t="s">
        <v>69</v>
      </c>
    </row>
    <row r="58" spans="1:10" x14ac:dyDescent="0.3">
      <c r="A58" s="286">
        <v>602003</v>
      </c>
      <c r="B58" s="286">
        <v>83700</v>
      </c>
      <c r="E58" s="215">
        <v>-153729</v>
      </c>
      <c r="F58" s="215">
        <v>-112340</v>
      </c>
      <c r="G58" s="215">
        <v>-114719</v>
      </c>
      <c r="H58" s="215">
        <v>-117302</v>
      </c>
      <c r="I58" s="215">
        <v>-119889</v>
      </c>
      <c r="J58" t="s">
        <v>69</v>
      </c>
    </row>
    <row r="59" spans="1:10" x14ac:dyDescent="0.3">
      <c r="A59" s="286">
        <v>602004</v>
      </c>
      <c r="B59" s="286">
        <v>83700</v>
      </c>
      <c r="E59" s="215">
        <v>-9700</v>
      </c>
      <c r="F59" s="215">
        <v>-14297.5</v>
      </c>
      <c r="G59" s="215">
        <v>-14715</v>
      </c>
      <c r="H59" s="215">
        <v>-15132.5</v>
      </c>
      <c r="I59" s="215">
        <v>-15550</v>
      </c>
      <c r="J59" t="s">
        <v>69</v>
      </c>
    </row>
    <row r="60" spans="1:10" x14ac:dyDescent="0.3">
      <c r="A60" s="286">
        <v>602005</v>
      </c>
      <c r="B60" s="286">
        <v>83700</v>
      </c>
      <c r="E60" s="215">
        <v>-72121.5</v>
      </c>
      <c r="F60" s="215">
        <v>-96931.5</v>
      </c>
      <c r="G60" s="215">
        <v>-99475.5</v>
      </c>
      <c r="H60" s="215">
        <v>-102087</v>
      </c>
      <c r="I60" s="215">
        <v>-104805</v>
      </c>
      <c r="J60" t="s">
        <v>69</v>
      </c>
    </row>
    <row r="61" spans="1:10" x14ac:dyDescent="0.3">
      <c r="A61" s="286">
        <v>603001</v>
      </c>
      <c r="B61" s="286">
        <v>42100</v>
      </c>
      <c r="E61" s="215">
        <v>5133</v>
      </c>
      <c r="F61" s="215">
        <v>7866</v>
      </c>
      <c r="G61" s="215">
        <v>8039</v>
      </c>
      <c r="H61" s="215">
        <v>8216</v>
      </c>
      <c r="I61" s="215">
        <v>8397</v>
      </c>
      <c r="J61" t="s">
        <v>70</v>
      </c>
    </row>
    <row r="62" spans="1:10" x14ac:dyDescent="0.3">
      <c r="A62" s="286">
        <v>603001</v>
      </c>
      <c r="B62" s="286">
        <v>42100</v>
      </c>
      <c r="E62" s="215">
        <v>6447</v>
      </c>
      <c r="F62" s="215">
        <v>6615</v>
      </c>
      <c r="G62" s="215">
        <v>6761</v>
      </c>
      <c r="H62" s="215">
        <v>6910</v>
      </c>
      <c r="I62" s="215">
        <v>7062</v>
      </c>
      <c r="J62" t="s">
        <v>70</v>
      </c>
    </row>
    <row r="63" spans="1:10" x14ac:dyDescent="0.3">
      <c r="A63" s="286">
        <v>603001</v>
      </c>
      <c r="B63" s="286">
        <v>43806</v>
      </c>
      <c r="E63" s="215">
        <v>69</v>
      </c>
      <c r="F63" s="215">
        <v>71</v>
      </c>
      <c r="G63" s="215">
        <v>73</v>
      </c>
      <c r="H63" s="215">
        <v>75</v>
      </c>
      <c r="I63" s="215">
        <v>77</v>
      </c>
      <c r="J63" t="s">
        <v>70</v>
      </c>
    </row>
    <row r="64" spans="1:10" x14ac:dyDescent="0.3">
      <c r="A64" s="286">
        <v>603001</v>
      </c>
      <c r="B64" s="286">
        <v>43812</v>
      </c>
      <c r="E64" s="215">
        <v>2724</v>
      </c>
      <c r="F64" s="215">
        <v>2795</v>
      </c>
      <c r="G64" s="215">
        <v>2856</v>
      </c>
      <c r="H64" s="215">
        <v>2919</v>
      </c>
      <c r="I64" s="215">
        <v>2983</v>
      </c>
      <c r="J64" t="s">
        <v>70</v>
      </c>
    </row>
    <row r="65" spans="1:10" x14ac:dyDescent="0.3">
      <c r="A65" s="286">
        <v>603001</v>
      </c>
      <c r="B65" s="286">
        <v>42100</v>
      </c>
      <c r="E65" s="215">
        <v>0</v>
      </c>
      <c r="F65" s="215">
        <v>0</v>
      </c>
      <c r="G65" s="215">
        <v>0</v>
      </c>
      <c r="H65" s="215">
        <v>0</v>
      </c>
      <c r="I65" s="215">
        <v>0</v>
      </c>
      <c r="J65" t="s">
        <v>70</v>
      </c>
    </row>
    <row r="66" spans="1:10" x14ac:dyDescent="0.3">
      <c r="A66" s="286">
        <v>603002</v>
      </c>
      <c r="B66" s="286">
        <v>42100</v>
      </c>
      <c r="E66" s="215">
        <v>74</v>
      </c>
      <c r="F66" s="215">
        <v>76</v>
      </c>
      <c r="G66" s="215">
        <v>78</v>
      </c>
      <c r="H66" s="215">
        <v>80</v>
      </c>
      <c r="I66" s="215">
        <v>82</v>
      </c>
      <c r="J66" t="s">
        <v>70</v>
      </c>
    </row>
    <row r="67" spans="1:10" x14ac:dyDescent="0.3">
      <c r="A67" s="286">
        <v>603002</v>
      </c>
      <c r="B67" s="286">
        <v>43806</v>
      </c>
      <c r="E67" s="215">
        <v>22</v>
      </c>
      <c r="F67" s="215">
        <v>23</v>
      </c>
      <c r="G67" s="215">
        <v>24</v>
      </c>
      <c r="H67" s="215">
        <v>25</v>
      </c>
      <c r="I67" s="215">
        <v>26</v>
      </c>
      <c r="J67" t="s">
        <v>70</v>
      </c>
    </row>
    <row r="68" spans="1:10" x14ac:dyDescent="0.3">
      <c r="A68" s="286">
        <v>603002</v>
      </c>
      <c r="B68" s="286">
        <v>43812</v>
      </c>
      <c r="E68" s="215">
        <v>594</v>
      </c>
      <c r="F68" s="215">
        <v>609</v>
      </c>
      <c r="G68" s="215">
        <v>622</v>
      </c>
      <c r="H68" s="215">
        <v>636</v>
      </c>
      <c r="I68" s="215">
        <v>650</v>
      </c>
      <c r="J68" t="s">
        <v>70</v>
      </c>
    </row>
    <row r="69" spans="1:10" x14ac:dyDescent="0.3">
      <c r="A69" s="286">
        <v>603003</v>
      </c>
      <c r="B69" s="286">
        <v>42100</v>
      </c>
      <c r="E69" s="215">
        <v>535</v>
      </c>
      <c r="F69" s="215">
        <v>549</v>
      </c>
      <c r="G69" s="215">
        <v>561</v>
      </c>
      <c r="H69" s="215">
        <v>573</v>
      </c>
      <c r="I69" s="215">
        <v>586</v>
      </c>
      <c r="J69" t="s">
        <v>70</v>
      </c>
    </row>
    <row r="70" spans="1:10" x14ac:dyDescent="0.3">
      <c r="A70" s="286">
        <v>603004</v>
      </c>
      <c r="B70" s="286">
        <v>42100</v>
      </c>
      <c r="E70" s="215">
        <v>1574</v>
      </c>
      <c r="F70" s="215">
        <v>1615</v>
      </c>
      <c r="G70" s="215">
        <v>1651</v>
      </c>
      <c r="H70" s="215">
        <v>1687</v>
      </c>
      <c r="I70" s="215">
        <v>1724</v>
      </c>
      <c r="J70" t="s">
        <v>70</v>
      </c>
    </row>
    <row r="71" spans="1:10" x14ac:dyDescent="0.3">
      <c r="A71" s="286">
        <v>603004</v>
      </c>
      <c r="B71" s="286">
        <v>43806</v>
      </c>
      <c r="E71" s="215">
        <v>2125</v>
      </c>
      <c r="F71" s="215">
        <v>2180</v>
      </c>
      <c r="G71" s="215">
        <v>2228</v>
      </c>
      <c r="H71" s="215">
        <v>2277</v>
      </c>
      <c r="I71" s="215">
        <v>2327</v>
      </c>
      <c r="J71" t="s">
        <v>70</v>
      </c>
    </row>
    <row r="72" spans="1:10" x14ac:dyDescent="0.3">
      <c r="A72" s="286">
        <v>603004</v>
      </c>
      <c r="B72" s="286">
        <v>43812</v>
      </c>
      <c r="E72" s="215">
        <v>3787</v>
      </c>
      <c r="F72" s="215">
        <v>3885</v>
      </c>
      <c r="G72" s="215">
        <v>3970</v>
      </c>
      <c r="H72" s="215">
        <v>4057</v>
      </c>
      <c r="I72" s="215">
        <v>4146</v>
      </c>
      <c r="J72" t="s">
        <v>70</v>
      </c>
    </row>
    <row r="73" spans="1:10" x14ac:dyDescent="0.3">
      <c r="A73" s="286">
        <v>603004</v>
      </c>
      <c r="B73" s="286">
        <v>47201</v>
      </c>
      <c r="E73" s="215">
        <v>193</v>
      </c>
      <c r="F73" s="215">
        <v>0</v>
      </c>
      <c r="G73" s="215">
        <v>0</v>
      </c>
      <c r="H73" s="215">
        <v>0</v>
      </c>
      <c r="I73" s="215">
        <v>0</v>
      </c>
      <c r="J73" t="s">
        <v>70</v>
      </c>
    </row>
    <row r="74" spans="1:10" x14ac:dyDescent="0.3">
      <c r="A74" s="286">
        <v>603005</v>
      </c>
      <c r="B74" s="286">
        <v>43812</v>
      </c>
      <c r="E74" s="215">
        <v>59007</v>
      </c>
      <c r="F74" s="215">
        <v>9221</v>
      </c>
      <c r="G74" s="215">
        <v>9424</v>
      </c>
      <c r="H74" s="215">
        <v>9632</v>
      </c>
      <c r="I74" s="215">
        <v>9844</v>
      </c>
      <c r="J74" t="s">
        <v>70</v>
      </c>
    </row>
    <row r="75" spans="1:10" x14ac:dyDescent="0.3">
      <c r="A75" s="286">
        <v>603007</v>
      </c>
      <c r="B75" s="286">
        <v>43801</v>
      </c>
      <c r="E75" s="215">
        <v>7528</v>
      </c>
      <c r="F75" s="215">
        <v>0</v>
      </c>
      <c r="G75" s="215">
        <v>0</v>
      </c>
      <c r="H75" s="215">
        <v>0</v>
      </c>
      <c r="I75" s="215">
        <v>0</v>
      </c>
      <c r="J75" t="s">
        <v>70</v>
      </c>
    </row>
    <row r="76" spans="1:10" x14ac:dyDescent="0.3">
      <c r="A76" s="286">
        <v>603007</v>
      </c>
      <c r="B76" s="286">
        <v>43802</v>
      </c>
      <c r="E76" s="215">
        <v>4494</v>
      </c>
      <c r="F76" s="215">
        <v>0</v>
      </c>
      <c r="G76" s="215">
        <v>0</v>
      </c>
      <c r="H76" s="215">
        <v>0</v>
      </c>
      <c r="I76" s="215">
        <v>0</v>
      </c>
      <c r="J76" t="s">
        <v>70</v>
      </c>
    </row>
    <row r="77" spans="1:10" x14ac:dyDescent="0.3">
      <c r="A77" s="286">
        <v>603007</v>
      </c>
      <c r="B77" s="286">
        <v>42100</v>
      </c>
      <c r="E77" s="215">
        <v>2789</v>
      </c>
      <c r="F77" s="215">
        <v>4862</v>
      </c>
      <c r="G77" s="215">
        <v>4969</v>
      </c>
      <c r="H77" s="215">
        <v>5078</v>
      </c>
      <c r="I77" s="215">
        <v>5190</v>
      </c>
      <c r="J77" t="s">
        <v>70</v>
      </c>
    </row>
    <row r="78" spans="1:10" x14ac:dyDescent="0.3">
      <c r="A78" s="286">
        <v>603007</v>
      </c>
      <c r="B78" s="286">
        <v>43806</v>
      </c>
      <c r="E78" s="215">
        <v>2113</v>
      </c>
      <c r="F78" s="215">
        <v>2168</v>
      </c>
      <c r="G78" s="215">
        <v>2216</v>
      </c>
      <c r="H78" s="215">
        <v>2265</v>
      </c>
      <c r="I78" s="215">
        <v>2315</v>
      </c>
      <c r="J78" t="s">
        <v>70</v>
      </c>
    </row>
    <row r="79" spans="1:10" x14ac:dyDescent="0.3">
      <c r="A79" s="286">
        <v>603007</v>
      </c>
      <c r="B79" s="286">
        <v>43812</v>
      </c>
      <c r="E79" s="215">
        <v>2950</v>
      </c>
      <c r="F79" s="215">
        <v>0</v>
      </c>
      <c r="G79" s="215">
        <v>0</v>
      </c>
      <c r="H79" s="215">
        <v>0</v>
      </c>
      <c r="I79" s="215">
        <v>0</v>
      </c>
      <c r="J79" t="s">
        <v>70</v>
      </c>
    </row>
    <row r="80" spans="1:10" x14ac:dyDescent="0.3">
      <c r="A80" s="286">
        <v>603007</v>
      </c>
      <c r="B80" s="286">
        <v>43817</v>
      </c>
      <c r="E80" s="215">
        <v>1685</v>
      </c>
      <c r="F80" s="215">
        <v>1729</v>
      </c>
      <c r="G80" s="215">
        <v>1767</v>
      </c>
      <c r="H80" s="215">
        <v>1806</v>
      </c>
      <c r="I80" s="215">
        <v>1846</v>
      </c>
      <c r="J80" t="s">
        <v>70</v>
      </c>
    </row>
    <row r="81" spans="1:10" x14ac:dyDescent="0.3">
      <c r="A81" s="286">
        <v>603008</v>
      </c>
      <c r="B81" s="286">
        <v>42100</v>
      </c>
      <c r="E81" s="215">
        <v>2141</v>
      </c>
      <c r="F81" s="215">
        <v>2197</v>
      </c>
      <c r="G81" s="215">
        <v>2245</v>
      </c>
      <c r="H81" s="215">
        <v>2294</v>
      </c>
      <c r="I81" s="215">
        <v>2344</v>
      </c>
      <c r="J81" t="s">
        <v>70</v>
      </c>
    </row>
    <row r="82" spans="1:10" x14ac:dyDescent="0.3">
      <c r="A82" s="286">
        <v>603008</v>
      </c>
      <c r="B82" s="286">
        <v>43801</v>
      </c>
      <c r="E82" s="215">
        <v>248</v>
      </c>
      <c r="F82" s="215">
        <v>254</v>
      </c>
      <c r="G82" s="215">
        <v>260</v>
      </c>
      <c r="H82" s="215">
        <v>266</v>
      </c>
      <c r="I82" s="215">
        <v>272</v>
      </c>
      <c r="J82" t="s">
        <v>70</v>
      </c>
    </row>
    <row r="83" spans="1:10" x14ac:dyDescent="0.3">
      <c r="A83" s="286">
        <v>603008</v>
      </c>
      <c r="B83" s="286">
        <v>43802</v>
      </c>
      <c r="E83" s="215">
        <v>299</v>
      </c>
      <c r="F83" s="215">
        <v>307</v>
      </c>
      <c r="G83" s="215">
        <v>314</v>
      </c>
      <c r="H83" s="215">
        <v>321</v>
      </c>
      <c r="I83" s="215">
        <v>328</v>
      </c>
      <c r="J83" t="s">
        <v>70</v>
      </c>
    </row>
    <row r="84" spans="1:10" x14ac:dyDescent="0.3">
      <c r="A84" s="286">
        <v>603008</v>
      </c>
      <c r="B84" s="286">
        <v>43806</v>
      </c>
      <c r="E84" s="215">
        <v>2046</v>
      </c>
      <c r="F84" s="215">
        <v>2099</v>
      </c>
      <c r="G84" s="215">
        <v>2145</v>
      </c>
      <c r="H84" s="215">
        <v>2192</v>
      </c>
      <c r="I84" s="215">
        <v>2240</v>
      </c>
      <c r="J84" t="s">
        <v>70</v>
      </c>
    </row>
    <row r="85" spans="1:10" x14ac:dyDescent="0.3">
      <c r="A85" s="286">
        <v>603008</v>
      </c>
      <c r="B85" s="286">
        <v>43817</v>
      </c>
      <c r="E85" s="215">
        <v>4362</v>
      </c>
      <c r="F85" s="215">
        <v>4484</v>
      </c>
      <c r="G85" s="215">
        <v>4610</v>
      </c>
      <c r="H85" s="215">
        <v>4739</v>
      </c>
      <c r="I85" s="215">
        <v>4872</v>
      </c>
      <c r="J85" t="s">
        <v>70</v>
      </c>
    </row>
    <row r="86" spans="1:10" x14ac:dyDescent="0.3">
      <c r="A86" s="286">
        <v>603008</v>
      </c>
      <c r="B86" s="286">
        <v>43812</v>
      </c>
      <c r="E86" s="215">
        <v>2246</v>
      </c>
      <c r="F86" s="215">
        <v>2309</v>
      </c>
      <c r="G86" s="215">
        <v>2374</v>
      </c>
      <c r="H86" s="215">
        <v>2440</v>
      </c>
      <c r="I86" s="215">
        <v>2508</v>
      </c>
      <c r="J86" t="s">
        <v>70</v>
      </c>
    </row>
    <row r="87" spans="1:10" x14ac:dyDescent="0.3">
      <c r="A87" s="286">
        <v>603008</v>
      </c>
      <c r="B87" s="286">
        <v>47201</v>
      </c>
      <c r="E87" s="215">
        <v>15702</v>
      </c>
      <c r="F87" s="215">
        <v>16283.465225074873</v>
      </c>
      <c r="G87" s="215">
        <v>16885.953438402641</v>
      </c>
      <c r="H87" s="215">
        <v>17510.733715623537</v>
      </c>
      <c r="I87" s="215">
        <v>18158.630863101607</v>
      </c>
      <c r="J87" t="s">
        <v>70</v>
      </c>
    </row>
    <row r="88" spans="1:10" x14ac:dyDescent="0.3">
      <c r="A88" s="286">
        <v>603009</v>
      </c>
      <c r="B88" s="286">
        <v>42100</v>
      </c>
      <c r="E88" s="215">
        <v>597</v>
      </c>
      <c r="F88" s="215">
        <v>613</v>
      </c>
      <c r="G88" s="215">
        <v>626</v>
      </c>
      <c r="H88" s="215">
        <v>640</v>
      </c>
      <c r="I88" s="215">
        <v>654</v>
      </c>
      <c r="J88" t="s">
        <v>70</v>
      </c>
    </row>
    <row r="89" spans="1:10" x14ac:dyDescent="0.3">
      <c r="A89" s="286">
        <v>603007</v>
      </c>
      <c r="B89" s="286">
        <v>43801</v>
      </c>
      <c r="E89" s="215">
        <v>0</v>
      </c>
      <c r="F89" s="215">
        <v>3000</v>
      </c>
      <c r="G89" s="215">
        <v>3066</v>
      </c>
      <c r="H89" s="215">
        <v>3133</v>
      </c>
      <c r="I89" s="215">
        <v>3202</v>
      </c>
      <c r="J89" t="s">
        <v>70</v>
      </c>
    </row>
    <row r="90" spans="1:10" x14ac:dyDescent="0.3">
      <c r="A90" s="286">
        <v>603007</v>
      </c>
      <c r="B90" s="286">
        <v>43802</v>
      </c>
      <c r="E90" s="215">
        <v>0</v>
      </c>
      <c r="F90" s="215">
        <v>2000</v>
      </c>
      <c r="G90" s="215">
        <v>2044</v>
      </c>
      <c r="H90" s="215">
        <v>2089</v>
      </c>
      <c r="I90" s="215">
        <v>2135</v>
      </c>
      <c r="J90" t="s">
        <v>70</v>
      </c>
    </row>
    <row r="91" spans="1:10" x14ac:dyDescent="0.3">
      <c r="A91" s="286">
        <v>603008</v>
      </c>
      <c r="B91" s="286">
        <v>43817</v>
      </c>
      <c r="E91" s="215">
        <v>0</v>
      </c>
      <c r="F91" s="215">
        <v>1500</v>
      </c>
      <c r="G91" s="215">
        <v>1542</v>
      </c>
      <c r="H91" s="215">
        <v>1585</v>
      </c>
      <c r="I91" s="215">
        <v>1629</v>
      </c>
      <c r="J91" t="s">
        <v>70</v>
      </c>
    </row>
    <row r="92" spans="1:10" x14ac:dyDescent="0.3">
      <c r="A92" s="286">
        <v>603009</v>
      </c>
      <c r="B92" s="286">
        <v>43806</v>
      </c>
      <c r="E92" s="215">
        <v>460</v>
      </c>
      <c r="F92" s="215">
        <v>472</v>
      </c>
      <c r="G92" s="215">
        <v>482</v>
      </c>
      <c r="H92" s="215">
        <v>493</v>
      </c>
      <c r="I92" s="215">
        <v>504</v>
      </c>
      <c r="J92" t="s">
        <v>70</v>
      </c>
    </row>
    <row r="93" spans="1:10" x14ac:dyDescent="0.3">
      <c r="A93" s="286">
        <v>603010</v>
      </c>
      <c r="B93" s="286">
        <v>42100</v>
      </c>
      <c r="E93" s="215">
        <v>495</v>
      </c>
      <c r="F93" s="215">
        <v>508</v>
      </c>
      <c r="G93" s="215">
        <v>519</v>
      </c>
      <c r="H93" s="215">
        <v>530</v>
      </c>
      <c r="I93" s="215">
        <v>542</v>
      </c>
      <c r="J93" t="s">
        <v>70</v>
      </c>
    </row>
    <row r="94" spans="1:10" x14ac:dyDescent="0.3">
      <c r="A94" s="286">
        <v>603010</v>
      </c>
      <c r="B94" s="286">
        <v>43806</v>
      </c>
      <c r="E94" s="215">
        <v>588</v>
      </c>
      <c r="F94" s="215">
        <v>603</v>
      </c>
      <c r="G94" s="215">
        <v>616</v>
      </c>
      <c r="H94" s="215">
        <v>630</v>
      </c>
      <c r="I94" s="215">
        <v>644</v>
      </c>
      <c r="J94" t="s">
        <v>70</v>
      </c>
    </row>
    <row r="95" spans="1:10" x14ac:dyDescent="0.3">
      <c r="A95" s="286">
        <v>603013</v>
      </c>
      <c r="B95" s="286">
        <v>42100</v>
      </c>
      <c r="E95" s="215">
        <v>948</v>
      </c>
      <c r="F95" s="215">
        <v>973</v>
      </c>
      <c r="G95" s="215">
        <v>994</v>
      </c>
      <c r="H95" s="215">
        <v>1016</v>
      </c>
      <c r="I95" s="215">
        <v>1038</v>
      </c>
      <c r="J95" t="s">
        <v>70</v>
      </c>
    </row>
    <row r="96" spans="1:10" x14ac:dyDescent="0.3">
      <c r="A96" s="286">
        <v>603013</v>
      </c>
      <c r="B96" s="286">
        <v>43806</v>
      </c>
      <c r="E96" s="215">
        <v>69</v>
      </c>
      <c r="F96" s="215">
        <v>71</v>
      </c>
      <c r="G96" s="215">
        <v>73</v>
      </c>
      <c r="H96" s="215">
        <v>75</v>
      </c>
      <c r="I96" s="215">
        <v>77</v>
      </c>
      <c r="J96" t="s">
        <v>70</v>
      </c>
    </row>
    <row r="97" spans="1:10" x14ac:dyDescent="0.3">
      <c r="A97" s="286">
        <v>603014</v>
      </c>
      <c r="B97" s="286">
        <v>42100</v>
      </c>
      <c r="E97" s="215">
        <v>3501</v>
      </c>
      <c r="F97" s="215">
        <v>3592</v>
      </c>
      <c r="G97" s="215">
        <v>3671</v>
      </c>
      <c r="H97" s="215">
        <v>3752</v>
      </c>
      <c r="I97" s="215">
        <v>3835</v>
      </c>
      <c r="J97" t="s">
        <v>70</v>
      </c>
    </row>
    <row r="98" spans="1:10" x14ac:dyDescent="0.3">
      <c r="A98" s="286">
        <v>603014</v>
      </c>
      <c r="B98" s="286">
        <v>43806</v>
      </c>
      <c r="E98" s="215">
        <v>253</v>
      </c>
      <c r="F98" s="215">
        <v>260</v>
      </c>
      <c r="G98" s="215">
        <v>266</v>
      </c>
      <c r="H98" s="215">
        <v>272</v>
      </c>
      <c r="I98" s="215">
        <v>278</v>
      </c>
      <c r="J98" t="s">
        <v>70</v>
      </c>
    </row>
    <row r="99" spans="1:10" x14ac:dyDescent="0.3">
      <c r="A99" s="286">
        <v>603014</v>
      </c>
      <c r="B99" s="286">
        <v>43812</v>
      </c>
      <c r="E99" s="215">
        <v>2334</v>
      </c>
      <c r="F99" s="215">
        <v>2395</v>
      </c>
      <c r="G99" s="215">
        <v>2448</v>
      </c>
      <c r="H99" s="215">
        <v>2502</v>
      </c>
      <c r="I99" s="215">
        <v>2557</v>
      </c>
      <c r="J99" t="s">
        <v>70</v>
      </c>
    </row>
    <row r="100" spans="1:10" x14ac:dyDescent="0.3">
      <c r="A100" s="286">
        <v>603015</v>
      </c>
      <c r="B100" s="286">
        <v>42100</v>
      </c>
      <c r="E100" s="215">
        <v>36000</v>
      </c>
      <c r="F100" s="215">
        <v>4400</v>
      </c>
      <c r="G100" s="215">
        <v>4400</v>
      </c>
      <c r="H100" s="215">
        <v>4400</v>
      </c>
      <c r="I100" s="215">
        <v>4400</v>
      </c>
      <c r="J100" t="s">
        <v>70</v>
      </c>
    </row>
    <row r="101" spans="1:10" x14ac:dyDescent="0.3">
      <c r="A101" s="286">
        <v>603015</v>
      </c>
      <c r="B101" s="286">
        <v>43100</v>
      </c>
      <c r="E101" s="215">
        <v>2369</v>
      </c>
      <c r="F101" s="215">
        <v>2431</v>
      </c>
      <c r="G101" s="215">
        <v>2484</v>
      </c>
      <c r="H101" s="215">
        <v>2539</v>
      </c>
      <c r="I101" s="215">
        <v>2595</v>
      </c>
      <c r="J101" t="s">
        <v>70</v>
      </c>
    </row>
    <row r="102" spans="1:10" x14ac:dyDescent="0.3">
      <c r="A102" s="286">
        <v>603015</v>
      </c>
      <c r="B102" s="286">
        <v>43806</v>
      </c>
      <c r="E102" s="215">
        <v>205</v>
      </c>
      <c r="F102" s="215">
        <v>210</v>
      </c>
      <c r="G102" s="215">
        <v>215</v>
      </c>
      <c r="H102" s="215">
        <v>220</v>
      </c>
      <c r="I102" s="215">
        <v>225</v>
      </c>
      <c r="J102" t="s">
        <v>70</v>
      </c>
    </row>
    <row r="103" spans="1:10" x14ac:dyDescent="0.3">
      <c r="A103" s="286">
        <v>603015</v>
      </c>
      <c r="B103" s="286">
        <v>43812</v>
      </c>
      <c r="E103" s="215">
        <v>8943</v>
      </c>
      <c r="F103" s="215">
        <v>9175</v>
      </c>
      <c r="G103" s="215">
        <v>9376</v>
      </c>
      <c r="H103" s="215">
        <v>9583</v>
      </c>
      <c r="I103" s="215">
        <v>9794</v>
      </c>
      <c r="J103" t="s">
        <v>70</v>
      </c>
    </row>
    <row r="104" spans="1:10" x14ac:dyDescent="0.3">
      <c r="A104" s="286">
        <v>603015</v>
      </c>
      <c r="B104" s="286">
        <v>43813</v>
      </c>
      <c r="E104" s="215">
        <v>10916</v>
      </c>
      <c r="F104" s="215">
        <v>11200</v>
      </c>
      <c r="G104" s="215">
        <v>11446</v>
      </c>
      <c r="H104" s="215">
        <v>11698</v>
      </c>
      <c r="I104" s="215">
        <v>11955</v>
      </c>
      <c r="J104" t="s">
        <v>70</v>
      </c>
    </row>
    <row r="105" spans="1:10" x14ac:dyDescent="0.3">
      <c r="A105" s="286">
        <v>603017</v>
      </c>
      <c r="B105" s="286">
        <v>42100</v>
      </c>
      <c r="E105" s="215">
        <v>2056</v>
      </c>
      <c r="F105" s="215">
        <v>8109</v>
      </c>
      <c r="G105" s="215">
        <v>8287</v>
      </c>
      <c r="H105" s="215">
        <v>8469</v>
      </c>
      <c r="I105" s="215">
        <v>8655</v>
      </c>
      <c r="J105" t="s">
        <v>70</v>
      </c>
    </row>
    <row r="106" spans="1:10" x14ac:dyDescent="0.3">
      <c r="A106" s="286">
        <v>603017</v>
      </c>
      <c r="B106" s="286">
        <v>43806</v>
      </c>
      <c r="E106" s="215">
        <v>2717</v>
      </c>
      <c r="F106" s="215">
        <v>2788</v>
      </c>
      <c r="G106" s="215">
        <v>2849</v>
      </c>
      <c r="H106" s="215">
        <v>2912</v>
      </c>
      <c r="I106" s="215">
        <v>2976</v>
      </c>
      <c r="J106" t="s">
        <v>70</v>
      </c>
    </row>
    <row r="107" spans="1:10" x14ac:dyDescent="0.3">
      <c r="A107" s="286">
        <v>603017</v>
      </c>
      <c r="B107" s="286">
        <v>42100</v>
      </c>
      <c r="E107" s="215">
        <v>1105</v>
      </c>
      <c r="F107" s="215">
        <v>1134</v>
      </c>
      <c r="G107" s="215">
        <v>1159</v>
      </c>
      <c r="H107" s="215">
        <v>1184</v>
      </c>
      <c r="I107" s="215">
        <v>1210</v>
      </c>
      <c r="J107" t="s">
        <v>70</v>
      </c>
    </row>
    <row r="108" spans="1:10" x14ac:dyDescent="0.3">
      <c r="A108" s="286">
        <v>603017</v>
      </c>
      <c r="B108" s="286">
        <v>43806</v>
      </c>
      <c r="E108" s="215">
        <v>859</v>
      </c>
      <c r="F108" s="215">
        <v>881</v>
      </c>
      <c r="G108" s="215">
        <v>900</v>
      </c>
      <c r="H108" s="215">
        <v>920</v>
      </c>
      <c r="I108" s="215">
        <v>940</v>
      </c>
      <c r="J108" t="s">
        <v>70</v>
      </c>
    </row>
    <row r="109" spans="1:10" x14ac:dyDescent="0.3">
      <c r="A109" s="286">
        <v>603017</v>
      </c>
      <c r="B109" s="286">
        <v>42100</v>
      </c>
      <c r="E109" s="215">
        <v>0</v>
      </c>
      <c r="F109" s="215">
        <v>3000</v>
      </c>
      <c r="G109" s="215">
        <v>3066</v>
      </c>
      <c r="H109" s="215">
        <v>3133</v>
      </c>
      <c r="I109" s="215">
        <v>3202</v>
      </c>
      <c r="J109" t="s">
        <v>70</v>
      </c>
    </row>
    <row r="110" spans="1:10" x14ac:dyDescent="0.3">
      <c r="A110" s="286">
        <v>603017</v>
      </c>
      <c r="B110" s="286">
        <v>43806</v>
      </c>
      <c r="E110" s="215">
        <v>0</v>
      </c>
      <c r="F110" s="215">
        <v>1000</v>
      </c>
      <c r="G110" s="215">
        <v>1022</v>
      </c>
      <c r="H110" s="215">
        <v>1044</v>
      </c>
      <c r="I110" s="215">
        <v>1067</v>
      </c>
      <c r="J110" t="s">
        <v>70</v>
      </c>
    </row>
    <row r="111" spans="1:10" x14ac:dyDescent="0.3">
      <c r="A111" s="286">
        <v>603001</v>
      </c>
      <c r="B111" s="286">
        <v>83300</v>
      </c>
      <c r="E111" s="215">
        <v>-16107</v>
      </c>
      <c r="F111" s="215">
        <v>-5514</v>
      </c>
      <c r="G111" s="215">
        <v>-5635</v>
      </c>
      <c r="H111" s="215">
        <v>-5759</v>
      </c>
      <c r="I111" s="215">
        <v>-5886</v>
      </c>
      <c r="J111" t="s">
        <v>70</v>
      </c>
    </row>
    <row r="112" spans="1:10" x14ac:dyDescent="0.3">
      <c r="A112" s="286">
        <v>603001</v>
      </c>
      <c r="B112" s="286">
        <v>83600</v>
      </c>
      <c r="E112" s="215">
        <v>-145043.22999999998</v>
      </c>
      <c r="F112" s="215">
        <v>-160574</v>
      </c>
      <c r="G112" s="215">
        <v>-164040</v>
      </c>
      <c r="H112" s="215">
        <v>-167583</v>
      </c>
      <c r="I112" s="215">
        <v>-171204</v>
      </c>
      <c r="J112" t="s">
        <v>70</v>
      </c>
    </row>
    <row r="113" spans="1:10" x14ac:dyDescent="0.3">
      <c r="A113" s="286">
        <v>603901</v>
      </c>
      <c r="B113" s="286">
        <v>41100</v>
      </c>
      <c r="E113" s="215">
        <v>139737</v>
      </c>
      <c r="F113" s="215">
        <v>158580.04999999999</v>
      </c>
      <c r="G113" s="215">
        <v>165875</v>
      </c>
      <c r="H113" s="215">
        <v>173505</v>
      </c>
      <c r="I113" s="215">
        <v>181485</v>
      </c>
      <c r="J113" t="s">
        <v>70</v>
      </c>
    </row>
    <row r="114" spans="1:10" x14ac:dyDescent="0.3">
      <c r="A114" s="286">
        <v>603901</v>
      </c>
      <c r="B114" s="286">
        <v>47300</v>
      </c>
      <c r="E114" s="215">
        <v>39979</v>
      </c>
      <c r="F114" s="215">
        <v>39979</v>
      </c>
      <c r="G114" s="215">
        <v>28411</v>
      </c>
      <c r="H114" s="215">
        <v>28411</v>
      </c>
      <c r="I114" s="215">
        <v>28411</v>
      </c>
      <c r="J114" t="s">
        <v>70</v>
      </c>
    </row>
    <row r="115" spans="1:10" x14ac:dyDescent="0.3">
      <c r="A115" s="286">
        <v>603002</v>
      </c>
      <c r="B115" s="286">
        <v>83600</v>
      </c>
      <c r="E115" s="215">
        <v>2779.8</v>
      </c>
      <c r="F115" s="215">
        <v>-2880</v>
      </c>
      <c r="G115" s="215">
        <v>-2943</v>
      </c>
      <c r="H115" s="215">
        <v>-3008</v>
      </c>
      <c r="I115" s="215">
        <v>-3074</v>
      </c>
      <c r="J115" t="s">
        <v>70</v>
      </c>
    </row>
    <row r="116" spans="1:10" x14ac:dyDescent="0.3">
      <c r="A116" s="286">
        <v>603003</v>
      </c>
      <c r="B116" s="286">
        <v>83600</v>
      </c>
      <c r="E116" s="215">
        <v>-37365</v>
      </c>
      <c r="F116" s="215">
        <v>-39678</v>
      </c>
      <c r="G116" s="215">
        <v>-40551</v>
      </c>
      <c r="H116" s="215">
        <v>-41443</v>
      </c>
      <c r="I116" s="215">
        <v>-42355</v>
      </c>
      <c r="J116" t="s">
        <v>70</v>
      </c>
    </row>
    <row r="117" spans="1:10" x14ac:dyDescent="0.3">
      <c r="A117" s="286">
        <v>603006</v>
      </c>
      <c r="B117" s="286">
        <v>83600</v>
      </c>
      <c r="E117" s="215">
        <v>-13954</v>
      </c>
      <c r="F117" s="215">
        <v>-13927</v>
      </c>
      <c r="G117" s="215">
        <v>-14233</v>
      </c>
      <c r="H117" s="215">
        <v>-14546</v>
      </c>
      <c r="I117" s="215">
        <v>-14866</v>
      </c>
      <c r="J117" t="s">
        <v>70</v>
      </c>
    </row>
    <row r="118" spans="1:10" x14ac:dyDescent="0.3">
      <c r="A118" s="286">
        <v>603009</v>
      </c>
      <c r="B118" s="286">
        <v>83600</v>
      </c>
      <c r="E118" s="215">
        <v>-3252.02</v>
      </c>
      <c r="F118" s="215">
        <v>-3359</v>
      </c>
      <c r="G118" s="215">
        <v>-3433</v>
      </c>
      <c r="H118" s="215">
        <v>-3509</v>
      </c>
      <c r="I118" s="215">
        <v>-3586</v>
      </c>
      <c r="J118" t="s">
        <v>70</v>
      </c>
    </row>
    <row r="119" spans="1:10" x14ac:dyDescent="0.3">
      <c r="A119" s="286">
        <v>603010</v>
      </c>
      <c r="B119" s="286">
        <v>83600</v>
      </c>
      <c r="E119" s="215">
        <v>-16859</v>
      </c>
      <c r="F119" s="215">
        <v>-17297</v>
      </c>
      <c r="G119" s="215">
        <v>-17678</v>
      </c>
      <c r="H119" s="215">
        <v>-18067</v>
      </c>
      <c r="I119" s="215">
        <v>-18464</v>
      </c>
      <c r="J119" t="s">
        <v>70</v>
      </c>
    </row>
    <row r="120" spans="1:10" x14ac:dyDescent="0.3">
      <c r="A120" s="286">
        <v>603014</v>
      </c>
      <c r="B120" s="286">
        <v>83600</v>
      </c>
      <c r="E120" s="215">
        <v>-30866</v>
      </c>
      <c r="F120" s="215">
        <v>-30782</v>
      </c>
      <c r="G120" s="215">
        <v>-31459</v>
      </c>
      <c r="H120" s="215">
        <v>-32151</v>
      </c>
      <c r="I120" s="215">
        <v>-32858</v>
      </c>
      <c r="J120" t="s">
        <v>70</v>
      </c>
    </row>
    <row r="121" spans="1:10" x14ac:dyDescent="0.3">
      <c r="A121" s="286">
        <v>603015</v>
      </c>
      <c r="B121" s="286">
        <v>83100</v>
      </c>
      <c r="E121" s="215">
        <v>-95900</v>
      </c>
      <c r="F121" s="215">
        <v>-98400</v>
      </c>
      <c r="G121" s="215">
        <v>-100600</v>
      </c>
      <c r="H121" s="215">
        <v>-102800</v>
      </c>
      <c r="I121" s="215">
        <v>-105100</v>
      </c>
      <c r="J121" t="s">
        <v>70</v>
      </c>
    </row>
    <row r="122" spans="1:10" x14ac:dyDescent="0.3">
      <c r="A122" s="286">
        <v>604006</v>
      </c>
      <c r="B122" s="286">
        <v>42100</v>
      </c>
      <c r="E122" s="215">
        <v>4380</v>
      </c>
      <c r="F122" s="215">
        <v>4503</v>
      </c>
      <c r="G122" s="215">
        <v>4629</v>
      </c>
      <c r="H122" s="215">
        <v>4759</v>
      </c>
      <c r="I122" s="215">
        <v>4892</v>
      </c>
      <c r="J122" t="s">
        <v>71</v>
      </c>
    </row>
    <row r="123" spans="1:10" x14ac:dyDescent="0.3">
      <c r="A123" s="286">
        <v>604006</v>
      </c>
      <c r="B123" s="286">
        <v>42100</v>
      </c>
      <c r="E123" s="215">
        <v>2463</v>
      </c>
      <c r="F123" s="215">
        <v>2532</v>
      </c>
      <c r="G123" s="215">
        <v>2603</v>
      </c>
      <c r="H123" s="215">
        <v>2676</v>
      </c>
      <c r="I123" s="215">
        <v>2751</v>
      </c>
      <c r="J123" t="s">
        <v>71</v>
      </c>
    </row>
    <row r="124" spans="1:10" x14ac:dyDescent="0.3">
      <c r="A124" s="286">
        <v>604006</v>
      </c>
      <c r="B124" s="286">
        <v>42100</v>
      </c>
      <c r="E124" s="215">
        <v>891</v>
      </c>
      <c r="F124" s="215">
        <v>916</v>
      </c>
      <c r="G124" s="215">
        <v>942</v>
      </c>
      <c r="H124" s="215">
        <v>968</v>
      </c>
      <c r="I124" s="215">
        <v>995</v>
      </c>
      <c r="J124" t="s">
        <v>71</v>
      </c>
    </row>
    <row r="125" spans="1:10" x14ac:dyDescent="0.3">
      <c r="A125" s="286">
        <v>604006</v>
      </c>
      <c r="B125" s="286">
        <v>43801</v>
      </c>
      <c r="E125" s="215">
        <v>44054</v>
      </c>
      <c r="F125" s="215">
        <v>45288</v>
      </c>
      <c r="G125" s="215">
        <v>46556</v>
      </c>
      <c r="H125" s="215">
        <v>47860</v>
      </c>
      <c r="I125" s="215">
        <v>49200</v>
      </c>
      <c r="J125" t="s">
        <v>71</v>
      </c>
    </row>
    <row r="126" spans="1:10" x14ac:dyDescent="0.3">
      <c r="A126" s="286">
        <v>604006</v>
      </c>
      <c r="B126" s="286">
        <v>43802</v>
      </c>
      <c r="E126" s="215">
        <v>51400</v>
      </c>
      <c r="F126" s="215">
        <v>52839</v>
      </c>
      <c r="G126" s="215">
        <v>54318</v>
      </c>
      <c r="H126" s="215">
        <v>55839</v>
      </c>
      <c r="I126" s="215">
        <v>57402</v>
      </c>
      <c r="J126" t="s">
        <v>71</v>
      </c>
    </row>
    <row r="127" spans="1:10" x14ac:dyDescent="0.3">
      <c r="A127" s="286">
        <v>604006</v>
      </c>
      <c r="B127" s="286">
        <v>43806</v>
      </c>
      <c r="E127" s="215">
        <v>19825</v>
      </c>
      <c r="F127" s="215">
        <v>20380</v>
      </c>
      <c r="G127" s="215">
        <v>20951</v>
      </c>
      <c r="H127" s="215">
        <v>21538</v>
      </c>
      <c r="I127" s="215">
        <v>22141</v>
      </c>
      <c r="J127" t="s">
        <v>71</v>
      </c>
    </row>
    <row r="128" spans="1:10" x14ac:dyDescent="0.3">
      <c r="A128" s="286">
        <v>604006</v>
      </c>
      <c r="B128" s="286">
        <v>43812</v>
      </c>
      <c r="E128" s="215">
        <v>76581</v>
      </c>
      <c r="F128" s="215">
        <v>78572</v>
      </c>
      <c r="G128" s="215">
        <v>80301</v>
      </c>
      <c r="H128" s="215">
        <v>82068</v>
      </c>
      <c r="I128" s="215">
        <v>83873</v>
      </c>
      <c r="J128" t="s">
        <v>71</v>
      </c>
    </row>
    <row r="129" spans="1:10" x14ac:dyDescent="0.3">
      <c r="A129" s="286">
        <v>604006</v>
      </c>
      <c r="B129" s="286">
        <v>43812</v>
      </c>
      <c r="E129" s="215">
        <v>1416</v>
      </c>
      <c r="F129" s="215">
        <v>1453</v>
      </c>
      <c r="G129" s="215">
        <v>1485</v>
      </c>
      <c r="H129" s="215">
        <v>1518</v>
      </c>
      <c r="I129" s="215">
        <v>1551</v>
      </c>
      <c r="J129" t="s">
        <v>71</v>
      </c>
    </row>
    <row r="130" spans="1:10" x14ac:dyDescent="0.3">
      <c r="A130" s="286">
        <v>604006</v>
      </c>
      <c r="B130" s="286">
        <v>43817</v>
      </c>
      <c r="E130" s="215">
        <v>59872</v>
      </c>
      <c r="F130" s="215">
        <v>61429</v>
      </c>
      <c r="G130" s="215">
        <v>62780</v>
      </c>
      <c r="H130" s="215">
        <v>64161</v>
      </c>
      <c r="I130" s="215">
        <v>65573</v>
      </c>
      <c r="J130" t="s">
        <v>71</v>
      </c>
    </row>
    <row r="131" spans="1:10" x14ac:dyDescent="0.3">
      <c r="A131" s="286">
        <v>604006</v>
      </c>
      <c r="B131" s="286">
        <v>47201</v>
      </c>
      <c r="E131" s="215">
        <v>152619.47532536316</v>
      </c>
      <c r="F131" s="215">
        <v>158266.39591240158</v>
      </c>
      <c r="G131" s="215">
        <v>164122.25256116042</v>
      </c>
      <c r="H131" s="215">
        <v>170194.77590592334</v>
      </c>
      <c r="I131" s="215">
        <v>176491.98261444247</v>
      </c>
      <c r="J131" t="s">
        <v>71</v>
      </c>
    </row>
    <row r="132" spans="1:10" x14ac:dyDescent="0.3">
      <c r="A132" s="286">
        <v>604007</v>
      </c>
      <c r="B132" s="286">
        <v>43812</v>
      </c>
      <c r="E132" s="215">
        <v>1108</v>
      </c>
      <c r="F132" s="215">
        <v>21108</v>
      </c>
      <c r="G132" s="215">
        <v>21108</v>
      </c>
      <c r="H132" s="215">
        <v>21108</v>
      </c>
      <c r="I132" s="215">
        <v>21108</v>
      </c>
      <c r="J132" t="s">
        <v>71</v>
      </c>
    </row>
    <row r="133" spans="1:10" x14ac:dyDescent="0.3">
      <c r="A133" s="286">
        <v>604008</v>
      </c>
      <c r="B133" s="286">
        <v>43201</v>
      </c>
      <c r="E133" s="215">
        <v>1401</v>
      </c>
      <c r="F133" s="215">
        <v>1437</v>
      </c>
      <c r="G133" s="215">
        <v>2968</v>
      </c>
      <c r="H133" s="215">
        <v>1500</v>
      </c>
      <c r="I133" s="215">
        <v>1533</v>
      </c>
      <c r="J133" t="s">
        <v>71</v>
      </c>
    </row>
    <row r="134" spans="1:10" x14ac:dyDescent="0.3">
      <c r="A134" s="286">
        <v>604008</v>
      </c>
      <c r="B134" s="286">
        <v>43818</v>
      </c>
      <c r="E134" s="215">
        <v>1750</v>
      </c>
      <c r="F134" s="215">
        <v>1796</v>
      </c>
      <c r="G134" s="215">
        <v>1836</v>
      </c>
      <c r="H134" s="215">
        <v>1876</v>
      </c>
      <c r="I134" s="215">
        <v>1917</v>
      </c>
      <c r="J134" t="s">
        <v>71</v>
      </c>
    </row>
    <row r="135" spans="1:10" x14ac:dyDescent="0.3">
      <c r="A135" s="286">
        <v>604008</v>
      </c>
      <c r="B135" s="286">
        <v>43818</v>
      </c>
      <c r="E135" s="215">
        <v>1168</v>
      </c>
      <c r="F135" s="215">
        <v>1198</v>
      </c>
      <c r="G135" s="215">
        <v>1224</v>
      </c>
      <c r="H135" s="215">
        <v>1251</v>
      </c>
      <c r="I135" s="215">
        <v>1279</v>
      </c>
      <c r="J135" t="s">
        <v>71</v>
      </c>
    </row>
    <row r="136" spans="1:10" x14ac:dyDescent="0.3">
      <c r="A136" s="286">
        <v>604009</v>
      </c>
      <c r="B136" s="286">
        <v>43201</v>
      </c>
      <c r="E136" s="215">
        <v>992</v>
      </c>
      <c r="F136" s="215">
        <v>1018</v>
      </c>
      <c r="G136" s="215">
        <v>1040</v>
      </c>
      <c r="H136" s="215">
        <v>1063</v>
      </c>
      <c r="I136" s="215">
        <v>1086</v>
      </c>
      <c r="J136" t="s">
        <v>71</v>
      </c>
    </row>
    <row r="137" spans="1:10" x14ac:dyDescent="0.3">
      <c r="A137" s="286">
        <v>604009</v>
      </c>
      <c r="B137" s="286">
        <v>43511</v>
      </c>
      <c r="E137" s="215">
        <v>525</v>
      </c>
      <c r="F137" s="215">
        <v>539</v>
      </c>
      <c r="G137" s="215">
        <v>551</v>
      </c>
      <c r="H137" s="215">
        <v>563</v>
      </c>
      <c r="I137" s="215">
        <v>575</v>
      </c>
      <c r="J137" t="s">
        <v>71</v>
      </c>
    </row>
    <row r="138" spans="1:10" x14ac:dyDescent="0.3">
      <c r="A138" s="286">
        <v>604009</v>
      </c>
      <c r="B138" s="286">
        <v>43812</v>
      </c>
      <c r="E138" s="215">
        <v>39431</v>
      </c>
      <c r="F138" s="215">
        <v>40456</v>
      </c>
      <c r="G138" s="215">
        <v>41346</v>
      </c>
      <c r="H138" s="215">
        <v>42256</v>
      </c>
      <c r="I138" s="215">
        <v>43186</v>
      </c>
      <c r="J138" t="s">
        <v>71</v>
      </c>
    </row>
    <row r="139" spans="1:10" x14ac:dyDescent="0.3">
      <c r="A139" s="286">
        <v>604010</v>
      </c>
      <c r="B139" s="286">
        <v>43818</v>
      </c>
      <c r="E139" s="215">
        <v>103827</v>
      </c>
      <c r="F139" s="215">
        <v>106527</v>
      </c>
      <c r="G139" s="215">
        <v>108871</v>
      </c>
      <c r="H139" s="215">
        <v>111266</v>
      </c>
      <c r="I139" s="215">
        <v>113714</v>
      </c>
      <c r="J139" t="s">
        <v>71</v>
      </c>
    </row>
    <row r="140" spans="1:10" x14ac:dyDescent="0.3">
      <c r="A140" s="286">
        <v>604011</v>
      </c>
      <c r="B140" s="286">
        <v>43812</v>
      </c>
      <c r="E140" s="215">
        <v>68945</v>
      </c>
      <c r="F140" s="215">
        <v>70738</v>
      </c>
      <c r="G140" s="215">
        <v>72294</v>
      </c>
      <c r="H140" s="215">
        <v>73884</v>
      </c>
      <c r="I140" s="215">
        <v>75509</v>
      </c>
      <c r="J140" t="s">
        <v>71</v>
      </c>
    </row>
    <row r="141" spans="1:10" x14ac:dyDescent="0.3">
      <c r="A141" s="286">
        <v>604012</v>
      </c>
      <c r="B141" s="286">
        <v>43818</v>
      </c>
      <c r="E141" s="215">
        <v>23333</v>
      </c>
      <c r="F141" s="215">
        <v>23940</v>
      </c>
      <c r="G141" s="215">
        <v>24467</v>
      </c>
      <c r="H141" s="215">
        <v>25005</v>
      </c>
      <c r="I141" s="215">
        <v>25555</v>
      </c>
      <c r="J141" t="s">
        <v>71</v>
      </c>
    </row>
    <row r="142" spans="1:10" x14ac:dyDescent="0.3">
      <c r="A142" s="286">
        <v>604023</v>
      </c>
      <c r="B142" s="286">
        <v>43812</v>
      </c>
      <c r="E142" s="215">
        <v>4516</v>
      </c>
      <c r="F142" s="215">
        <v>4633</v>
      </c>
      <c r="G142" s="215">
        <v>4735</v>
      </c>
      <c r="H142" s="215">
        <v>4839</v>
      </c>
      <c r="I142" s="215">
        <v>4945</v>
      </c>
      <c r="J142" t="s">
        <v>71</v>
      </c>
    </row>
    <row r="143" spans="1:10" x14ac:dyDescent="0.3">
      <c r="A143" s="286">
        <v>604023</v>
      </c>
      <c r="B143" s="286">
        <v>44360</v>
      </c>
      <c r="E143" s="215">
        <v>201864.2</v>
      </c>
      <c r="F143" s="215">
        <v>209875.973</v>
      </c>
      <c r="G143" s="215">
        <v>217526.72</v>
      </c>
      <c r="H143" s="215">
        <v>227002.64599999998</v>
      </c>
      <c r="I143" s="215">
        <v>236056.16</v>
      </c>
      <c r="J143" t="s">
        <v>71</v>
      </c>
    </row>
    <row r="144" spans="1:10" x14ac:dyDescent="0.3">
      <c r="A144" s="286">
        <v>604013</v>
      </c>
      <c r="B144" s="286">
        <v>43806</v>
      </c>
      <c r="E144" s="215">
        <v>0</v>
      </c>
      <c r="F144" s="215">
        <v>0</v>
      </c>
      <c r="G144" s="215">
        <v>0</v>
      </c>
      <c r="H144" s="215">
        <v>0</v>
      </c>
      <c r="I144" s="215">
        <v>0</v>
      </c>
      <c r="J144" t="s">
        <v>71</v>
      </c>
    </row>
    <row r="145" spans="1:10" x14ac:dyDescent="0.3">
      <c r="A145" s="286">
        <v>604013</v>
      </c>
      <c r="B145" s="286">
        <v>43812</v>
      </c>
      <c r="E145" s="215">
        <v>4856</v>
      </c>
      <c r="F145" s="215">
        <v>4982</v>
      </c>
      <c r="G145" s="215">
        <v>5092</v>
      </c>
      <c r="H145" s="215">
        <v>5204</v>
      </c>
      <c r="I145" s="215">
        <v>5318</v>
      </c>
      <c r="J145" t="s">
        <v>71</v>
      </c>
    </row>
    <row r="146" spans="1:10" x14ac:dyDescent="0.3">
      <c r="A146" s="286">
        <v>604014</v>
      </c>
      <c r="B146" s="286">
        <v>43812</v>
      </c>
      <c r="E146" s="215">
        <v>6216</v>
      </c>
      <c r="F146" s="215">
        <v>6390</v>
      </c>
      <c r="G146" s="215">
        <v>6569</v>
      </c>
      <c r="H146" s="215">
        <v>6753</v>
      </c>
      <c r="I146" s="215">
        <v>6942</v>
      </c>
      <c r="J146" t="s">
        <v>71</v>
      </c>
    </row>
    <row r="147" spans="1:10" x14ac:dyDescent="0.3">
      <c r="A147" s="286">
        <v>604014</v>
      </c>
      <c r="B147" s="286">
        <v>43818</v>
      </c>
      <c r="E147" s="215">
        <v>535</v>
      </c>
      <c r="F147" s="215">
        <v>550</v>
      </c>
      <c r="G147" s="215">
        <v>565</v>
      </c>
      <c r="H147" s="215">
        <v>581</v>
      </c>
      <c r="I147" s="215">
        <v>597</v>
      </c>
      <c r="J147" t="s">
        <v>71</v>
      </c>
    </row>
    <row r="148" spans="1:10" x14ac:dyDescent="0.3">
      <c r="A148" s="286">
        <v>604015</v>
      </c>
      <c r="B148" s="286">
        <v>43201</v>
      </c>
      <c r="E148" s="215">
        <v>8517</v>
      </c>
      <c r="F148" s="215">
        <v>8738</v>
      </c>
      <c r="G148" s="215">
        <v>8930</v>
      </c>
      <c r="H148" s="215">
        <v>9126</v>
      </c>
      <c r="I148" s="215">
        <v>9327</v>
      </c>
      <c r="J148" t="s">
        <v>71</v>
      </c>
    </row>
    <row r="149" spans="1:10" x14ac:dyDescent="0.3">
      <c r="A149" s="286">
        <v>604015</v>
      </c>
      <c r="B149" s="286">
        <v>43812</v>
      </c>
      <c r="E149" s="215">
        <v>31587</v>
      </c>
      <c r="F149" s="215">
        <v>32409</v>
      </c>
      <c r="G149" s="215">
        <v>33122</v>
      </c>
      <c r="H149" s="215">
        <v>33851</v>
      </c>
      <c r="I149" s="215">
        <v>34596</v>
      </c>
      <c r="J149" t="s">
        <v>71</v>
      </c>
    </row>
    <row r="150" spans="1:10" x14ac:dyDescent="0.3">
      <c r="A150" s="286">
        <v>604016</v>
      </c>
      <c r="B150" s="286">
        <v>43812</v>
      </c>
      <c r="E150" s="215">
        <v>59544</v>
      </c>
      <c r="F150" s="215">
        <v>61092</v>
      </c>
      <c r="G150" s="215">
        <v>62435</v>
      </c>
      <c r="H150" s="215">
        <v>63808</v>
      </c>
      <c r="I150" s="215">
        <v>65213</v>
      </c>
      <c r="J150" t="s">
        <v>71</v>
      </c>
    </row>
    <row r="151" spans="1:10" x14ac:dyDescent="0.3">
      <c r="A151" s="286">
        <v>604017</v>
      </c>
      <c r="B151" s="286">
        <v>41100</v>
      </c>
      <c r="E151" s="215">
        <v>133800</v>
      </c>
      <c r="F151" s="215">
        <v>31600</v>
      </c>
      <c r="G151" s="215">
        <v>33100</v>
      </c>
      <c r="H151" s="215">
        <v>34600</v>
      </c>
      <c r="I151" s="215">
        <v>36200</v>
      </c>
      <c r="J151" t="s">
        <v>71</v>
      </c>
    </row>
    <row r="152" spans="1:10" x14ac:dyDescent="0.3">
      <c r="A152" s="286">
        <v>604017</v>
      </c>
      <c r="B152" s="286">
        <v>43511</v>
      </c>
      <c r="E152" s="215">
        <v>35952</v>
      </c>
      <c r="F152" s="215">
        <v>36887</v>
      </c>
      <c r="G152" s="215">
        <v>37699</v>
      </c>
      <c r="H152" s="215">
        <v>38528</v>
      </c>
      <c r="I152" s="215">
        <v>39376</v>
      </c>
      <c r="J152" t="s">
        <v>71</v>
      </c>
    </row>
    <row r="153" spans="1:10" x14ac:dyDescent="0.3">
      <c r="A153" s="286">
        <v>604017</v>
      </c>
      <c r="B153" s="286">
        <v>43806</v>
      </c>
      <c r="E153" s="215">
        <v>3202</v>
      </c>
      <c r="F153" s="215">
        <v>3285</v>
      </c>
      <c r="G153" s="215">
        <v>3357</v>
      </c>
      <c r="H153" s="215">
        <v>3431</v>
      </c>
      <c r="I153" s="215">
        <v>3506</v>
      </c>
      <c r="J153" t="s">
        <v>71</v>
      </c>
    </row>
    <row r="154" spans="1:10" x14ac:dyDescent="0.3">
      <c r="A154" s="286">
        <v>604017</v>
      </c>
      <c r="B154" s="286">
        <v>43812</v>
      </c>
      <c r="E154" s="215">
        <v>1251261</v>
      </c>
      <c r="F154" s="215">
        <v>1783794</v>
      </c>
      <c r="G154" s="215">
        <v>1812081</v>
      </c>
      <c r="H154" s="215">
        <v>1340940</v>
      </c>
      <c r="I154" s="215">
        <v>1370480</v>
      </c>
      <c r="J154" t="s">
        <v>71</v>
      </c>
    </row>
    <row r="155" spans="1:10" x14ac:dyDescent="0.3">
      <c r="A155" s="286">
        <v>604018</v>
      </c>
      <c r="B155" s="286">
        <v>43812</v>
      </c>
      <c r="E155" s="215">
        <v>101464</v>
      </c>
      <c r="F155" s="215">
        <v>62709</v>
      </c>
      <c r="G155" s="215">
        <v>64089</v>
      </c>
      <c r="H155" s="215">
        <v>65499</v>
      </c>
      <c r="I155" s="215">
        <v>66940</v>
      </c>
      <c r="J155" t="s">
        <v>71</v>
      </c>
    </row>
    <row r="156" spans="1:10" x14ac:dyDescent="0.3">
      <c r="A156" s="286">
        <v>604019</v>
      </c>
      <c r="B156" s="286">
        <v>43812</v>
      </c>
      <c r="E156" s="215">
        <v>125456</v>
      </c>
      <c r="F156" s="215">
        <v>128718</v>
      </c>
      <c r="G156" s="215">
        <v>131550</v>
      </c>
      <c r="H156" s="215">
        <v>134444</v>
      </c>
      <c r="I156" s="215">
        <v>137402</v>
      </c>
      <c r="J156" t="s">
        <v>71</v>
      </c>
    </row>
    <row r="157" spans="1:10" x14ac:dyDescent="0.3">
      <c r="A157" s="286">
        <v>604019</v>
      </c>
      <c r="B157" s="286">
        <v>43812</v>
      </c>
      <c r="E157" s="215">
        <v>9905</v>
      </c>
      <c r="F157" s="215">
        <v>10162</v>
      </c>
      <c r="G157" s="215">
        <v>10386</v>
      </c>
      <c r="H157" s="215">
        <v>10613.65</v>
      </c>
      <c r="I157" s="215">
        <v>10846.92</v>
      </c>
      <c r="J157" t="s">
        <v>71</v>
      </c>
    </row>
    <row r="158" spans="1:10" x14ac:dyDescent="0.3">
      <c r="A158" s="286">
        <v>604021</v>
      </c>
      <c r="B158" s="286">
        <v>43812</v>
      </c>
      <c r="E158" s="215">
        <v>7116</v>
      </c>
      <c r="F158" s="215">
        <v>7301</v>
      </c>
      <c r="G158" s="215">
        <v>7462</v>
      </c>
      <c r="H158" s="215">
        <v>7626</v>
      </c>
      <c r="I158" s="215">
        <v>7794</v>
      </c>
      <c r="J158" t="s">
        <v>71</v>
      </c>
    </row>
    <row r="159" spans="1:10" x14ac:dyDescent="0.3">
      <c r="A159" s="286">
        <v>604022</v>
      </c>
      <c r="B159" s="286">
        <v>43812</v>
      </c>
      <c r="E159" s="215">
        <v>0</v>
      </c>
      <c r="F159" s="215">
        <v>0</v>
      </c>
      <c r="G159" s="215">
        <v>0</v>
      </c>
      <c r="H159" s="215">
        <v>0</v>
      </c>
      <c r="I159" s="215">
        <v>0</v>
      </c>
      <c r="J159" t="s">
        <v>71</v>
      </c>
    </row>
    <row r="160" spans="1:10" x14ac:dyDescent="0.3">
      <c r="A160" s="286">
        <v>604011</v>
      </c>
      <c r="B160" s="286">
        <v>83700</v>
      </c>
      <c r="E160" s="215">
        <v>-4318</v>
      </c>
      <c r="F160" s="215">
        <v>-4430</v>
      </c>
      <c r="G160" s="215">
        <v>-4527</v>
      </c>
      <c r="H160" s="215">
        <v>-4627</v>
      </c>
      <c r="I160" s="215">
        <v>-4729</v>
      </c>
      <c r="J160" t="s">
        <v>71</v>
      </c>
    </row>
    <row r="161" spans="1:10" x14ac:dyDescent="0.3">
      <c r="A161" s="286">
        <v>604013</v>
      </c>
      <c r="B161" s="286">
        <v>83700</v>
      </c>
      <c r="E161" s="215">
        <v>-4051</v>
      </c>
      <c r="F161" s="215">
        <v>-4156</v>
      </c>
      <c r="G161" s="215">
        <v>-4247</v>
      </c>
      <c r="H161" s="215">
        <v>-4340</v>
      </c>
      <c r="I161" s="215">
        <v>-4435</v>
      </c>
      <c r="J161" t="s">
        <v>71</v>
      </c>
    </row>
    <row r="162" spans="1:10" x14ac:dyDescent="0.3">
      <c r="A162" s="286">
        <v>604060</v>
      </c>
      <c r="B162" s="286">
        <v>43812</v>
      </c>
      <c r="E162" s="215">
        <v>88000</v>
      </c>
      <c r="F162" s="215">
        <v>0</v>
      </c>
      <c r="G162" s="215">
        <v>0</v>
      </c>
      <c r="H162" s="215">
        <v>0</v>
      </c>
      <c r="I162" s="215">
        <v>0</v>
      </c>
      <c r="J162" t="s">
        <v>71</v>
      </c>
    </row>
    <row r="163" spans="1:10" x14ac:dyDescent="0.3">
      <c r="A163" s="286">
        <v>604901</v>
      </c>
      <c r="B163" s="286">
        <v>47300</v>
      </c>
      <c r="E163" s="215">
        <v>543532</v>
      </c>
      <c r="F163" s="215">
        <v>443300</v>
      </c>
      <c r="G163" s="215">
        <v>684780</v>
      </c>
      <c r="H163" s="215">
        <v>657411</v>
      </c>
      <c r="I163" s="215">
        <v>628224</v>
      </c>
      <c r="J163" t="s">
        <v>71</v>
      </c>
    </row>
    <row r="164" spans="1:10" x14ac:dyDescent="0.3">
      <c r="A164" s="286">
        <v>604901</v>
      </c>
      <c r="B164" s="286">
        <v>47501</v>
      </c>
      <c r="E164" s="215">
        <v>-99622.018470899508</v>
      </c>
      <c r="F164" s="215">
        <v>-108425.95243315674</v>
      </c>
      <c r="G164" s="215">
        <v>-118451.4977272754</v>
      </c>
      <c r="H164" s="215">
        <v>-104237.3743998415</v>
      </c>
      <c r="I164" s="215">
        <v>-105127.92887617502</v>
      </c>
      <c r="J164" t="s">
        <v>71</v>
      </c>
    </row>
    <row r="165" spans="1:10" x14ac:dyDescent="0.3">
      <c r="A165" s="286">
        <v>604901</v>
      </c>
      <c r="B165" s="286">
        <v>47501</v>
      </c>
      <c r="E165" s="215">
        <v>-78378.831224328052</v>
      </c>
      <c r="F165" s="215">
        <v>-77488.864320769906</v>
      </c>
      <c r="G165" s="215">
        <v>-84653.762452945899</v>
      </c>
      <c r="H165" s="215">
        <v>-74495.223957214155</v>
      </c>
      <c r="I165" s="215">
        <v>-75131.650217769697</v>
      </c>
      <c r="J165" t="s">
        <v>71</v>
      </c>
    </row>
    <row r="166" spans="1:10" x14ac:dyDescent="0.3">
      <c r="A166" s="286">
        <v>604901</v>
      </c>
      <c r="B166" s="286">
        <v>47501</v>
      </c>
      <c r="E166" s="215">
        <v>-57873.447306843671</v>
      </c>
      <c r="F166" s="215">
        <v>-57370.09539473836</v>
      </c>
      <c r="G166" s="215">
        <v>-62674.777213873029</v>
      </c>
      <c r="H166" s="215">
        <v>-55153.773046681192</v>
      </c>
      <c r="I166" s="215">
        <v>-55624.864651746961</v>
      </c>
      <c r="J166" t="s">
        <v>71</v>
      </c>
    </row>
    <row r="167" spans="1:10" x14ac:dyDescent="0.3">
      <c r="A167" s="286">
        <v>604001</v>
      </c>
      <c r="B167" s="286">
        <v>41101</v>
      </c>
      <c r="E167" s="215">
        <v>12252</v>
      </c>
      <c r="F167" s="215">
        <v>12497</v>
      </c>
      <c r="G167" s="215">
        <v>13072</v>
      </c>
      <c r="H167" s="215">
        <v>13673</v>
      </c>
      <c r="I167" s="215">
        <v>14302</v>
      </c>
      <c r="J167" t="s">
        <v>72</v>
      </c>
    </row>
    <row r="168" spans="1:10" x14ac:dyDescent="0.3">
      <c r="A168" s="286">
        <v>604002</v>
      </c>
      <c r="B168" s="286">
        <v>41100</v>
      </c>
      <c r="E168" s="215">
        <v>300000</v>
      </c>
      <c r="F168" s="215">
        <v>300000</v>
      </c>
      <c r="G168" s="215">
        <v>398353</v>
      </c>
      <c r="H168" s="215">
        <v>529227</v>
      </c>
      <c r="I168" s="215">
        <v>672315</v>
      </c>
      <c r="J168" t="s">
        <v>72</v>
      </c>
    </row>
    <row r="169" spans="1:10" x14ac:dyDescent="0.3">
      <c r="A169" s="286">
        <v>604002</v>
      </c>
      <c r="B169" s="286">
        <v>41104</v>
      </c>
      <c r="E169" s="215">
        <v>11796</v>
      </c>
      <c r="F169" s="215">
        <v>12032</v>
      </c>
      <c r="G169" s="215">
        <v>12585</v>
      </c>
      <c r="H169" s="215">
        <v>13164</v>
      </c>
      <c r="I169" s="215">
        <v>13770</v>
      </c>
      <c r="J169" t="s">
        <v>72</v>
      </c>
    </row>
    <row r="170" spans="1:10" x14ac:dyDescent="0.3">
      <c r="A170" s="286">
        <v>604002</v>
      </c>
      <c r="B170" s="286">
        <v>43511</v>
      </c>
      <c r="E170" s="215">
        <v>363055</v>
      </c>
      <c r="F170" s="215">
        <v>370316</v>
      </c>
      <c r="G170" s="215">
        <v>387350</v>
      </c>
      <c r="H170" s="215">
        <v>405169</v>
      </c>
      <c r="I170" s="215">
        <v>423806</v>
      </c>
      <c r="J170" t="s">
        <v>72</v>
      </c>
    </row>
    <row r="171" spans="1:10" x14ac:dyDescent="0.3">
      <c r="A171" s="286">
        <v>604002</v>
      </c>
      <c r="B171" s="286">
        <v>43806</v>
      </c>
      <c r="E171" s="215">
        <v>259157</v>
      </c>
      <c r="F171" s="215">
        <v>276699</v>
      </c>
      <c r="G171" s="215">
        <v>281775</v>
      </c>
      <c r="H171" s="215">
        <v>286962</v>
      </c>
      <c r="I171" s="215">
        <v>292263</v>
      </c>
      <c r="J171" t="s">
        <v>72</v>
      </c>
    </row>
    <row r="172" spans="1:10" x14ac:dyDescent="0.3">
      <c r="A172" s="286">
        <v>604002</v>
      </c>
      <c r="B172" s="286">
        <v>43806</v>
      </c>
      <c r="E172" s="215">
        <v>0</v>
      </c>
      <c r="F172" s="215">
        <v>0</v>
      </c>
      <c r="G172" s="215">
        <v>0</v>
      </c>
      <c r="H172" s="215">
        <v>0</v>
      </c>
      <c r="I172" s="215">
        <v>0</v>
      </c>
      <c r="J172" t="s">
        <v>72</v>
      </c>
    </row>
    <row r="173" spans="1:10" x14ac:dyDescent="0.3">
      <c r="A173" s="286">
        <v>604002</v>
      </c>
      <c r="B173" s="286">
        <v>43806</v>
      </c>
      <c r="E173" s="215">
        <v>0</v>
      </c>
      <c r="F173" s="215">
        <v>0</v>
      </c>
      <c r="G173" s="215">
        <v>0</v>
      </c>
      <c r="H173" s="215">
        <v>0</v>
      </c>
      <c r="I173" s="215">
        <v>0</v>
      </c>
      <c r="J173" t="s">
        <v>72</v>
      </c>
    </row>
    <row r="174" spans="1:10" x14ac:dyDescent="0.3">
      <c r="A174" s="286">
        <v>604002</v>
      </c>
      <c r="B174" s="286">
        <v>43806</v>
      </c>
      <c r="E174" s="215">
        <v>0</v>
      </c>
      <c r="F174" s="215">
        <v>0</v>
      </c>
      <c r="G174" s="215">
        <v>0</v>
      </c>
      <c r="H174" s="215">
        <v>0</v>
      </c>
      <c r="I174" s="215">
        <v>0</v>
      </c>
      <c r="J174" t="s">
        <v>72</v>
      </c>
    </row>
    <row r="175" spans="1:10" x14ac:dyDescent="0.3">
      <c r="A175" s="286">
        <v>604002</v>
      </c>
      <c r="B175" s="286">
        <v>43806</v>
      </c>
      <c r="E175" s="215">
        <v>0</v>
      </c>
      <c r="F175" s="215">
        <v>0</v>
      </c>
      <c r="G175" s="215">
        <v>0</v>
      </c>
      <c r="H175" s="215">
        <v>0</v>
      </c>
      <c r="I175" s="215">
        <v>0</v>
      </c>
      <c r="J175" t="s">
        <v>72</v>
      </c>
    </row>
    <row r="176" spans="1:10" x14ac:dyDescent="0.3">
      <c r="A176" s="286">
        <v>604002</v>
      </c>
      <c r="B176" s="286">
        <v>43807</v>
      </c>
      <c r="E176" s="215">
        <v>96749</v>
      </c>
      <c r="F176" s="215">
        <v>98514</v>
      </c>
      <c r="G176" s="215">
        <v>100319</v>
      </c>
      <c r="H176" s="215">
        <v>102167</v>
      </c>
      <c r="I176" s="215">
        <v>102167</v>
      </c>
      <c r="J176" t="s">
        <v>72</v>
      </c>
    </row>
    <row r="177" spans="1:10" x14ac:dyDescent="0.3">
      <c r="A177" s="286">
        <v>604002</v>
      </c>
      <c r="B177" s="286">
        <v>43808</v>
      </c>
      <c r="E177" s="215">
        <v>46014</v>
      </c>
      <c r="F177" s="215">
        <v>47337</v>
      </c>
      <c r="G177" s="215">
        <v>48366</v>
      </c>
      <c r="H177" s="215">
        <v>49444</v>
      </c>
      <c r="I177" s="215">
        <v>50571</v>
      </c>
      <c r="J177" t="s">
        <v>72</v>
      </c>
    </row>
    <row r="178" spans="1:10" x14ac:dyDescent="0.3">
      <c r="A178" s="286">
        <v>604002</v>
      </c>
      <c r="B178" s="286">
        <v>43809</v>
      </c>
      <c r="E178" s="215">
        <v>53614</v>
      </c>
      <c r="F178" s="215">
        <v>55008</v>
      </c>
      <c r="G178" s="215">
        <v>56218</v>
      </c>
      <c r="H178" s="215">
        <v>57455</v>
      </c>
      <c r="I178" s="215">
        <v>58719</v>
      </c>
      <c r="J178" t="s">
        <v>72</v>
      </c>
    </row>
    <row r="179" spans="1:10" x14ac:dyDescent="0.3">
      <c r="A179" s="286">
        <v>604002</v>
      </c>
      <c r="B179" s="286">
        <v>43812</v>
      </c>
      <c r="E179" s="215">
        <v>100178</v>
      </c>
      <c r="F179" s="215">
        <v>102434</v>
      </c>
      <c r="G179" s="215">
        <v>106108</v>
      </c>
      <c r="H179" s="215">
        <v>109928</v>
      </c>
      <c r="I179" s="215">
        <v>113901</v>
      </c>
      <c r="J179" t="s">
        <v>72</v>
      </c>
    </row>
    <row r="180" spans="1:10" x14ac:dyDescent="0.3">
      <c r="A180" s="286">
        <v>604002</v>
      </c>
      <c r="B180" s="286">
        <v>43818</v>
      </c>
      <c r="E180" s="215">
        <v>3538</v>
      </c>
      <c r="F180" s="215">
        <v>3630</v>
      </c>
      <c r="G180" s="215">
        <v>3710</v>
      </c>
      <c r="H180" s="215">
        <v>3792</v>
      </c>
      <c r="I180" s="215">
        <v>3875</v>
      </c>
      <c r="J180" t="s">
        <v>72</v>
      </c>
    </row>
    <row r="181" spans="1:10" x14ac:dyDescent="0.3">
      <c r="A181" s="286">
        <v>604002</v>
      </c>
      <c r="B181" s="286">
        <v>43818</v>
      </c>
      <c r="E181" s="215">
        <v>14253</v>
      </c>
      <c r="F181" s="215">
        <v>14326</v>
      </c>
      <c r="G181" s="215">
        <v>14389</v>
      </c>
      <c r="H181" s="215">
        <v>14454</v>
      </c>
      <c r="I181" s="215">
        <v>14520</v>
      </c>
      <c r="J181" t="s">
        <v>72</v>
      </c>
    </row>
    <row r="182" spans="1:10" x14ac:dyDescent="0.3">
      <c r="A182" s="286">
        <v>604002</v>
      </c>
      <c r="B182" s="286">
        <v>43818</v>
      </c>
      <c r="E182" s="215">
        <v>4561</v>
      </c>
      <c r="F182" s="215">
        <v>4680</v>
      </c>
      <c r="G182" s="215">
        <v>4783</v>
      </c>
      <c r="H182" s="215">
        <v>4888</v>
      </c>
      <c r="I182" s="215">
        <v>4996</v>
      </c>
      <c r="J182" t="s">
        <v>72</v>
      </c>
    </row>
    <row r="183" spans="1:10" x14ac:dyDescent="0.3">
      <c r="A183" s="286">
        <v>604002</v>
      </c>
      <c r="B183" s="286">
        <v>43818</v>
      </c>
      <c r="E183" s="215">
        <v>14330</v>
      </c>
      <c r="F183" s="215">
        <v>15643</v>
      </c>
      <c r="G183" s="215">
        <v>16363</v>
      </c>
      <c r="H183" s="215">
        <v>17115</v>
      </c>
      <c r="I183" s="215">
        <v>17710</v>
      </c>
      <c r="J183" t="s">
        <v>72</v>
      </c>
    </row>
    <row r="184" spans="1:10" x14ac:dyDescent="0.3">
      <c r="A184" s="286">
        <v>604002</v>
      </c>
      <c r="B184" s="286">
        <v>43818</v>
      </c>
      <c r="E184" s="215">
        <v>48363</v>
      </c>
      <c r="F184" s="215">
        <v>49330</v>
      </c>
      <c r="G184" s="215">
        <v>51599</v>
      </c>
      <c r="H184" s="215">
        <v>53973</v>
      </c>
      <c r="I184" s="215">
        <v>56456</v>
      </c>
      <c r="J184" t="s">
        <v>72</v>
      </c>
    </row>
    <row r="185" spans="1:10" x14ac:dyDescent="0.3">
      <c r="A185" s="286">
        <v>604002</v>
      </c>
      <c r="B185" s="286">
        <v>43819</v>
      </c>
      <c r="E185" s="215">
        <v>100000</v>
      </c>
      <c r="F185" s="215">
        <v>100000</v>
      </c>
      <c r="G185" s="215">
        <v>100000</v>
      </c>
      <c r="H185" s="215">
        <v>100000</v>
      </c>
      <c r="I185" s="215">
        <v>100000</v>
      </c>
      <c r="J185" t="s">
        <v>72</v>
      </c>
    </row>
    <row r="186" spans="1:10" x14ac:dyDescent="0.3">
      <c r="A186" s="286">
        <v>604002</v>
      </c>
      <c r="B186" s="286">
        <v>43818</v>
      </c>
      <c r="E186" s="215">
        <v>63000</v>
      </c>
      <c r="F186" s="215">
        <v>63000</v>
      </c>
      <c r="G186" s="215">
        <v>63000</v>
      </c>
      <c r="H186" s="215">
        <v>63000</v>
      </c>
      <c r="I186" s="215">
        <v>63000</v>
      </c>
      <c r="J186" t="s">
        <v>72</v>
      </c>
    </row>
    <row r="187" spans="1:10" x14ac:dyDescent="0.3">
      <c r="A187" s="286">
        <v>604002</v>
      </c>
      <c r="B187" s="286">
        <v>43818</v>
      </c>
      <c r="E187" s="215">
        <v>1140</v>
      </c>
      <c r="F187" s="215">
        <v>1170</v>
      </c>
      <c r="G187" s="215">
        <v>1196</v>
      </c>
      <c r="H187" s="215">
        <v>1222</v>
      </c>
      <c r="I187" s="215">
        <v>1249</v>
      </c>
      <c r="J187" t="s">
        <v>72</v>
      </c>
    </row>
    <row r="188" spans="1:10" x14ac:dyDescent="0.3">
      <c r="A188" s="286">
        <v>604002</v>
      </c>
      <c r="B188" s="286">
        <v>43818</v>
      </c>
      <c r="E188" s="215">
        <v>21840</v>
      </c>
      <c r="F188" s="215">
        <v>23010</v>
      </c>
      <c r="G188" s="215">
        <v>23010</v>
      </c>
      <c r="H188" s="215">
        <v>23010</v>
      </c>
      <c r="I188" s="215">
        <v>23010</v>
      </c>
      <c r="J188" t="s">
        <v>72</v>
      </c>
    </row>
    <row r="189" spans="1:10" x14ac:dyDescent="0.3">
      <c r="A189" s="286">
        <v>604002</v>
      </c>
      <c r="B189" s="286">
        <v>44360</v>
      </c>
      <c r="E189" s="215">
        <v>13130</v>
      </c>
      <c r="F189" s="215">
        <v>13471</v>
      </c>
      <c r="G189" s="215">
        <v>13767</v>
      </c>
      <c r="H189" s="215">
        <v>14070</v>
      </c>
      <c r="I189" s="215">
        <v>14380</v>
      </c>
      <c r="J189" t="s">
        <v>72</v>
      </c>
    </row>
    <row r="190" spans="1:10" x14ac:dyDescent="0.3">
      <c r="A190" s="286">
        <v>604002</v>
      </c>
      <c r="B190" s="286">
        <v>47200</v>
      </c>
      <c r="E190" s="215">
        <v>18298</v>
      </c>
      <c r="F190" s="215">
        <v>10077</v>
      </c>
      <c r="G190" s="215">
        <v>23640</v>
      </c>
      <c r="H190" s="215">
        <v>24727</v>
      </c>
      <c r="I190" s="215">
        <v>25865</v>
      </c>
      <c r="J190" t="s">
        <v>72</v>
      </c>
    </row>
    <row r="191" spans="1:10" x14ac:dyDescent="0.3">
      <c r="A191" s="286">
        <v>604004</v>
      </c>
      <c r="B191" s="286">
        <v>43812</v>
      </c>
      <c r="E191" s="215">
        <v>431904</v>
      </c>
      <c r="F191" s="215">
        <v>342217</v>
      </c>
      <c r="G191" s="215">
        <v>362560</v>
      </c>
      <c r="H191" s="215">
        <v>383840</v>
      </c>
      <c r="I191" s="215">
        <v>406099.51855026698</v>
      </c>
      <c r="J191" t="s">
        <v>72</v>
      </c>
    </row>
    <row r="192" spans="1:10" x14ac:dyDescent="0.3">
      <c r="A192" s="286">
        <v>604003</v>
      </c>
      <c r="B192" s="286">
        <v>83520</v>
      </c>
      <c r="E192" s="215">
        <v>-11404</v>
      </c>
      <c r="F192" s="215">
        <v>-11701</v>
      </c>
      <c r="G192" s="215">
        <v>-11958</v>
      </c>
      <c r="H192" s="215">
        <v>-12221</v>
      </c>
      <c r="I192" s="215">
        <v>-12490</v>
      </c>
      <c r="J192" t="s">
        <v>72</v>
      </c>
    </row>
    <row r="193" spans="1:10" x14ac:dyDescent="0.3">
      <c r="A193" s="286">
        <v>604058</v>
      </c>
      <c r="B193" s="286">
        <v>43819</v>
      </c>
      <c r="E193" s="215">
        <v>95891</v>
      </c>
      <c r="F193" s="215">
        <v>79580</v>
      </c>
      <c r="G193" s="215">
        <v>81331</v>
      </c>
      <c r="H193" s="215">
        <v>83120</v>
      </c>
      <c r="I193" s="215">
        <v>84949</v>
      </c>
      <c r="J193" t="s">
        <v>72</v>
      </c>
    </row>
    <row r="194" spans="1:10" x14ac:dyDescent="0.3">
      <c r="A194" s="286">
        <v>604058</v>
      </c>
      <c r="B194" s="286">
        <v>43812</v>
      </c>
      <c r="E194" s="215">
        <v>1633</v>
      </c>
      <c r="F194" s="215">
        <v>1675</v>
      </c>
      <c r="G194" s="215">
        <v>1712</v>
      </c>
      <c r="H194" s="215">
        <v>1750</v>
      </c>
      <c r="I194" s="215">
        <v>1789</v>
      </c>
      <c r="J194" t="s">
        <v>72</v>
      </c>
    </row>
    <row r="195" spans="1:10" x14ac:dyDescent="0.3">
      <c r="A195" s="286">
        <v>604027</v>
      </c>
      <c r="B195" s="286">
        <v>43511</v>
      </c>
      <c r="E195" s="215">
        <v>28848</v>
      </c>
      <c r="F195" s="215">
        <v>25000</v>
      </c>
      <c r="G195" s="215">
        <v>26150</v>
      </c>
      <c r="H195" s="215">
        <v>27353</v>
      </c>
      <c r="I195" s="215">
        <v>28611</v>
      </c>
      <c r="J195" t="s">
        <v>72</v>
      </c>
    </row>
    <row r="196" spans="1:10" x14ac:dyDescent="0.3">
      <c r="A196" s="286">
        <v>604027</v>
      </c>
      <c r="B196" s="286">
        <v>43812</v>
      </c>
      <c r="E196" s="215">
        <v>60444</v>
      </c>
      <c r="F196" s="215">
        <v>62016</v>
      </c>
      <c r="G196" s="215">
        <v>63380</v>
      </c>
      <c r="H196" s="215">
        <v>64774</v>
      </c>
      <c r="I196" s="215">
        <v>66199</v>
      </c>
      <c r="J196" t="s">
        <v>72</v>
      </c>
    </row>
    <row r="197" spans="1:10" x14ac:dyDescent="0.3">
      <c r="A197" s="286">
        <v>604028</v>
      </c>
      <c r="B197" s="286">
        <v>43511</v>
      </c>
      <c r="E197" s="215">
        <v>13701</v>
      </c>
      <c r="F197" s="215">
        <v>10000</v>
      </c>
      <c r="G197" s="215">
        <v>10460</v>
      </c>
      <c r="H197" s="215">
        <v>10941</v>
      </c>
      <c r="I197" s="215">
        <v>11444</v>
      </c>
      <c r="J197" t="s">
        <v>72</v>
      </c>
    </row>
    <row r="198" spans="1:10" x14ac:dyDescent="0.3">
      <c r="A198" s="286">
        <v>604029</v>
      </c>
      <c r="B198" s="286">
        <v>43812</v>
      </c>
      <c r="E198" s="215">
        <v>177867</v>
      </c>
      <c r="F198" s="215">
        <v>168830</v>
      </c>
      <c r="G198" s="215">
        <v>171773</v>
      </c>
      <c r="H198" s="215">
        <v>174747</v>
      </c>
      <c r="I198" s="215">
        <v>177748</v>
      </c>
      <c r="J198" t="s">
        <v>72</v>
      </c>
    </row>
    <row r="199" spans="1:10" x14ac:dyDescent="0.3">
      <c r="A199" s="286">
        <v>604030</v>
      </c>
      <c r="B199" s="286">
        <v>43812</v>
      </c>
      <c r="E199" s="215">
        <v>9388</v>
      </c>
      <c r="F199" s="215">
        <v>6765</v>
      </c>
      <c r="G199" s="215">
        <v>6860</v>
      </c>
      <c r="H199" s="215">
        <v>6968</v>
      </c>
      <c r="I199" s="215">
        <v>7290</v>
      </c>
      <c r="J199" t="s">
        <v>72</v>
      </c>
    </row>
    <row r="200" spans="1:10" x14ac:dyDescent="0.3">
      <c r="A200" s="286">
        <v>604031</v>
      </c>
      <c r="B200" s="286">
        <v>43812</v>
      </c>
      <c r="E200" s="215">
        <v>0</v>
      </c>
      <c r="F200" s="215">
        <v>0</v>
      </c>
      <c r="G200" s="215">
        <v>0</v>
      </c>
      <c r="H200" s="215">
        <v>0</v>
      </c>
      <c r="I200" s="215">
        <v>0</v>
      </c>
      <c r="J200" t="s">
        <v>72</v>
      </c>
    </row>
    <row r="201" spans="1:10" x14ac:dyDescent="0.3">
      <c r="A201" s="286">
        <v>604032</v>
      </c>
      <c r="B201" s="286">
        <v>43511</v>
      </c>
      <c r="E201" s="215">
        <v>8165</v>
      </c>
      <c r="F201" s="215">
        <v>8377</v>
      </c>
      <c r="G201" s="215">
        <v>8561</v>
      </c>
      <c r="H201" s="215">
        <v>8749</v>
      </c>
      <c r="I201" s="215">
        <v>8941</v>
      </c>
      <c r="J201" t="s">
        <v>72</v>
      </c>
    </row>
    <row r="202" spans="1:10" x14ac:dyDescent="0.3">
      <c r="A202" s="286">
        <v>604032</v>
      </c>
      <c r="B202" s="286">
        <v>43812</v>
      </c>
      <c r="E202" s="215">
        <v>48459.786749999999</v>
      </c>
      <c r="F202" s="215">
        <v>40739.542484999998</v>
      </c>
      <c r="G202" s="215">
        <v>41944.677439310006</v>
      </c>
      <c r="H202" s="215">
        <v>43216.74710151826</v>
      </c>
      <c r="I202" s="215">
        <v>43832.74710151826</v>
      </c>
      <c r="J202" t="s">
        <v>72</v>
      </c>
    </row>
    <row r="203" spans="1:10" x14ac:dyDescent="0.3">
      <c r="A203" s="286">
        <v>604033</v>
      </c>
      <c r="B203" s="286">
        <v>43511</v>
      </c>
      <c r="E203" s="215">
        <v>22472</v>
      </c>
      <c r="F203" s="215">
        <v>23057</v>
      </c>
      <c r="G203" s="215">
        <v>23564</v>
      </c>
      <c r="H203" s="215">
        <v>24082</v>
      </c>
      <c r="I203" s="215">
        <v>24612</v>
      </c>
      <c r="J203" t="s">
        <v>72</v>
      </c>
    </row>
    <row r="204" spans="1:10" x14ac:dyDescent="0.3">
      <c r="A204" s="286">
        <v>604033</v>
      </c>
      <c r="B204" s="286">
        <v>43812</v>
      </c>
      <c r="E204" s="215">
        <v>228052</v>
      </c>
      <c r="F204" s="215">
        <v>289205</v>
      </c>
      <c r="G204" s="215">
        <v>295568</v>
      </c>
      <c r="H204" s="215">
        <v>302071</v>
      </c>
      <c r="I204" s="215">
        <v>308717</v>
      </c>
      <c r="J204" t="s">
        <v>72</v>
      </c>
    </row>
    <row r="205" spans="1:10" x14ac:dyDescent="0.3">
      <c r="A205" s="286">
        <v>604034</v>
      </c>
      <c r="B205" s="286">
        <v>43511</v>
      </c>
      <c r="E205" s="215">
        <v>0</v>
      </c>
      <c r="F205" s="215">
        <v>0</v>
      </c>
      <c r="G205" s="215">
        <v>0</v>
      </c>
      <c r="H205" s="215">
        <v>0</v>
      </c>
      <c r="I205" s="215">
        <v>0</v>
      </c>
      <c r="J205" t="s">
        <v>72</v>
      </c>
    </row>
    <row r="206" spans="1:10" x14ac:dyDescent="0.3">
      <c r="A206" s="286">
        <v>604034</v>
      </c>
      <c r="B206" s="286">
        <v>43812</v>
      </c>
      <c r="E206" s="215">
        <v>2762</v>
      </c>
      <c r="F206" s="215">
        <v>2834</v>
      </c>
      <c r="G206" s="215">
        <v>2897</v>
      </c>
      <c r="H206" s="215">
        <v>2960</v>
      </c>
      <c r="I206" s="215">
        <v>3025</v>
      </c>
      <c r="J206" t="s">
        <v>72</v>
      </c>
    </row>
    <row r="207" spans="1:10" x14ac:dyDescent="0.3">
      <c r="A207" s="286">
        <v>604034</v>
      </c>
      <c r="B207" s="286">
        <v>43819</v>
      </c>
      <c r="E207" s="215">
        <v>9349</v>
      </c>
      <c r="F207" s="215">
        <v>7631</v>
      </c>
      <c r="G207" s="215">
        <v>7799</v>
      </c>
      <c r="H207" s="215">
        <v>7971</v>
      </c>
      <c r="I207" s="215">
        <v>8146</v>
      </c>
      <c r="J207" t="s">
        <v>72</v>
      </c>
    </row>
    <row r="208" spans="1:10" x14ac:dyDescent="0.3">
      <c r="A208" s="286">
        <v>604035</v>
      </c>
      <c r="B208" s="286">
        <v>43812</v>
      </c>
      <c r="E208" s="215">
        <v>20567</v>
      </c>
      <c r="F208" s="215">
        <v>21102</v>
      </c>
      <c r="G208" s="215">
        <v>21566</v>
      </c>
      <c r="H208" s="215">
        <v>22040</v>
      </c>
      <c r="I208" s="215">
        <v>22525</v>
      </c>
      <c r="J208" t="s">
        <v>72</v>
      </c>
    </row>
    <row r="209" spans="1:10" x14ac:dyDescent="0.3">
      <c r="A209" s="286">
        <v>604036</v>
      </c>
      <c r="B209" s="286">
        <v>83520</v>
      </c>
      <c r="E209" s="215">
        <v>0</v>
      </c>
      <c r="F209" s="215">
        <v>0</v>
      </c>
      <c r="G209" s="215">
        <v>0</v>
      </c>
      <c r="H209" s="215">
        <v>0</v>
      </c>
      <c r="I209" s="215">
        <v>0</v>
      </c>
      <c r="J209" t="s">
        <v>72</v>
      </c>
    </row>
    <row r="210" spans="1:10" x14ac:dyDescent="0.3">
      <c r="A210" s="286">
        <v>604038</v>
      </c>
      <c r="B210" s="286">
        <v>43812</v>
      </c>
      <c r="E210" s="215">
        <v>5007</v>
      </c>
      <c r="F210" s="215">
        <v>5147</v>
      </c>
      <c r="G210" s="215">
        <v>5291</v>
      </c>
      <c r="H210" s="215">
        <v>5439</v>
      </c>
      <c r="I210" s="215">
        <v>5591</v>
      </c>
      <c r="J210" t="s">
        <v>72</v>
      </c>
    </row>
    <row r="211" spans="1:10" x14ac:dyDescent="0.3">
      <c r="A211" s="286">
        <v>604056</v>
      </c>
      <c r="B211" s="286">
        <v>43819</v>
      </c>
      <c r="E211" s="215">
        <v>95060</v>
      </c>
      <c r="F211" s="215">
        <v>122117</v>
      </c>
      <c r="G211" s="215">
        <v>124804</v>
      </c>
      <c r="H211" s="215">
        <v>127550</v>
      </c>
      <c r="I211" s="215">
        <v>130356</v>
      </c>
      <c r="J211" t="s">
        <v>72</v>
      </c>
    </row>
    <row r="212" spans="1:10" x14ac:dyDescent="0.3">
      <c r="A212" s="286">
        <v>604056</v>
      </c>
      <c r="B212" s="286">
        <v>43812</v>
      </c>
      <c r="E212" s="215">
        <v>1633</v>
      </c>
      <c r="F212" s="215">
        <v>1675</v>
      </c>
      <c r="G212" s="215">
        <v>1712</v>
      </c>
      <c r="H212" s="215">
        <v>1750</v>
      </c>
      <c r="I212" s="215">
        <v>1789</v>
      </c>
      <c r="J212" t="s">
        <v>72</v>
      </c>
    </row>
    <row r="213" spans="1:10" x14ac:dyDescent="0.3">
      <c r="A213" s="286" t="e">
        <v>#REF!</v>
      </c>
      <c r="B213" s="286">
        <v>43812</v>
      </c>
      <c r="E213" s="215">
        <v>20000</v>
      </c>
      <c r="F213" s="215">
        <v>31806</v>
      </c>
      <c r="G213" s="215">
        <v>20971</v>
      </c>
      <c r="H213" s="215">
        <v>42894</v>
      </c>
      <c r="I213" s="215">
        <v>21904</v>
      </c>
      <c r="J213" t="s">
        <v>72</v>
      </c>
    </row>
    <row r="214" spans="1:10" x14ac:dyDescent="0.3">
      <c r="A214" s="286">
        <v>604057</v>
      </c>
      <c r="B214" s="286">
        <v>43819</v>
      </c>
      <c r="E214" s="215">
        <v>78963</v>
      </c>
      <c r="F214" s="215">
        <v>103802</v>
      </c>
      <c r="G214" s="215">
        <v>106086</v>
      </c>
      <c r="H214" s="215">
        <v>108420</v>
      </c>
      <c r="I214" s="215">
        <v>110805</v>
      </c>
      <c r="J214" t="s">
        <v>72</v>
      </c>
    </row>
    <row r="215" spans="1:10" x14ac:dyDescent="0.3">
      <c r="A215" s="286">
        <v>604057</v>
      </c>
      <c r="B215" s="286">
        <v>43812</v>
      </c>
      <c r="E215" s="215">
        <v>27992</v>
      </c>
      <c r="F215" s="215">
        <v>28719</v>
      </c>
      <c r="G215" s="215">
        <v>29351</v>
      </c>
      <c r="H215" s="215">
        <v>29998</v>
      </c>
      <c r="I215" s="215">
        <v>30659</v>
      </c>
      <c r="J215" t="s">
        <v>72</v>
      </c>
    </row>
    <row r="216" spans="1:10" x14ac:dyDescent="0.3">
      <c r="A216" s="286">
        <v>604062</v>
      </c>
      <c r="B216" s="286">
        <v>43812</v>
      </c>
      <c r="E216" s="215">
        <v>154451</v>
      </c>
      <c r="F216" s="215">
        <v>158003</v>
      </c>
      <c r="G216" s="215">
        <v>96232</v>
      </c>
      <c r="H216" s="215">
        <v>98445</v>
      </c>
      <c r="I216" s="215">
        <v>100611</v>
      </c>
      <c r="J216" t="s">
        <v>72</v>
      </c>
    </row>
    <row r="217" spans="1:10" x14ac:dyDescent="0.3">
      <c r="A217" s="286">
        <v>604043</v>
      </c>
      <c r="B217" s="286">
        <v>43511</v>
      </c>
      <c r="E217" s="215">
        <v>0</v>
      </c>
      <c r="F217" s="215">
        <v>0</v>
      </c>
      <c r="G217" s="215">
        <v>0</v>
      </c>
      <c r="H217" s="215">
        <v>0</v>
      </c>
      <c r="I217" s="215">
        <v>0</v>
      </c>
      <c r="J217" t="s">
        <v>72</v>
      </c>
    </row>
    <row r="218" spans="1:10" x14ac:dyDescent="0.3">
      <c r="A218" s="286">
        <v>604901</v>
      </c>
      <c r="B218" s="286">
        <v>41100</v>
      </c>
      <c r="E218" s="215">
        <v>9206076.1600000001</v>
      </c>
      <c r="F218" s="215">
        <v>9137962.0099999979</v>
      </c>
      <c r="G218" s="215">
        <v>9562142</v>
      </c>
      <c r="H218" s="215">
        <v>9929614</v>
      </c>
      <c r="I218" s="215">
        <v>10395576</v>
      </c>
      <c r="J218" t="s">
        <v>72</v>
      </c>
    </row>
    <row r="219" spans="1:10" x14ac:dyDescent="0.3">
      <c r="A219" s="286">
        <v>604901</v>
      </c>
      <c r="B219" s="286">
        <v>43511</v>
      </c>
      <c r="E219" s="215">
        <v>107000</v>
      </c>
      <c r="F219" s="215">
        <v>0</v>
      </c>
      <c r="G219" s="215">
        <v>0</v>
      </c>
      <c r="H219" s="215">
        <v>0</v>
      </c>
      <c r="I219" s="215">
        <v>0</v>
      </c>
      <c r="J219" t="s">
        <v>72</v>
      </c>
    </row>
    <row r="220" spans="1:10" x14ac:dyDescent="0.3">
      <c r="A220" s="286">
        <v>604901</v>
      </c>
      <c r="B220" s="286">
        <v>47300</v>
      </c>
      <c r="E220" s="215">
        <v>0</v>
      </c>
      <c r="F220" s="215">
        <v>0</v>
      </c>
      <c r="G220" s="215">
        <v>0</v>
      </c>
      <c r="H220" s="215">
        <v>0</v>
      </c>
      <c r="I220" s="215">
        <v>0</v>
      </c>
      <c r="J220" t="s">
        <v>72</v>
      </c>
    </row>
    <row r="221" spans="1:10" x14ac:dyDescent="0.3">
      <c r="A221" s="286">
        <v>604901</v>
      </c>
      <c r="B221" s="286">
        <v>47501</v>
      </c>
      <c r="E221" s="215">
        <v>-341698.02877623751</v>
      </c>
      <c r="F221" s="215">
        <v>-352192.39734378585</v>
      </c>
      <c r="G221" s="215">
        <v>-359406.36227438558</v>
      </c>
      <c r="H221" s="215">
        <v>-377737.77156916569</v>
      </c>
      <c r="I221" s="215">
        <v>-396946.96839501604</v>
      </c>
      <c r="J221" t="s">
        <v>72</v>
      </c>
    </row>
    <row r="222" spans="1:10" x14ac:dyDescent="0.3">
      <c r="A222" s="286">
        <v>604901</v>
      </c>
      <c r="B222" s="286">
        <v>47501</v>
      </c>
      <c r="E222" s="215">
        <v>-268835.36820931552</v>
      </c>
      <c r="F222" s="215">
        <v>-251701.74231503898</v>
      </c>
      <c r="G222" s="215">
        <v>-256858.29669017304</v>
      </c>
      <c r="H222" s="215">
        <v>-269956.82302263577</v>
      </c>
      <c r="I222" s="215">
        <v>-283685.9491715309</v>
      </c>
      <c r="J222" t="s">
        <v>72</v>
      </c>
    </row>
    <row r="223" spans="1:10" x14ac:dyDescent="0.3">
      <c r="A223" s="286">
        <v>604901</v>
      </c>
      <c r="B223" s="286">
        <v>47501</v>
      </c>
      <c r="E223" s="215">
        <v>-198502</v>
      </c>
      <c r="F223" s="215">
        <v>-186350</v>
      </c>
      <c r="G223" s="215">
        <v>-190170</v>
      </c>
      <c r="H223" s="215">
        <v>-199866</v>
      </c>
      <c r="I223" s="215">
        <v>-210031</v>
      </c>
      <c r="J223" t="s">
        <v>72</v>
      </c>
    </row>
    <row r="224" spans="1:10" x14ac:dyDescent="0.3">
      <c r="A224" s="286">
        <v>604901</v>
      </c>
      <c r="B224" s="286">
        <v>41100</v>
      </c>
      <c r="E224" s="215">
        <v>8931</v>
      </c>
      <c r="F224" s="215">
        <v>8918</v>
      </c>
      <c r="G224" s="215">
        <v>9328</v>
      </c>
      <c r="H224" s="215">
        <v>9757</v>
      </c>
      <c r="I224" s="215">
        <v>10206</v>
      </c>
      <c r="J224" t="s">
        <v>72</v>
      </c>
    </row>
    <row r="225" spans="1:10" x14ac:dyDescent="0.3">
      <c r="A225" s="286">
        <v>604901</v>
      </c>
      <c r="B225" s="286">
        <v>41100</v>
      </c>
      <c r="E225" s="215">
        <v>10369.98</v>
      </c>
      <c r="F225" s="215">
        <v>12280.7</v>
      </c>
      <c r="G225" s="215">
        <v>12846</v>
      </c>
      <c r="H225" s="215">
        <v>13437</v>
      </c>
      <c r="I225" s="215">
        <v>14055</v>
      </c>
      <c r="J225" t="s">
        <v>72</v>
      </c>
    </row>
    <row r="226" spans="1:10" x14ac:dyDescent="0.3">
      <c r="A226" s="286">
        <v>604901</v>
      </c>
      <c r="B226" s="286">
        <v>41100</v>
      </c>
      <c r="E226" s="215">
        <v>-7334.3724000000002</v>
      </c>
      <c r="F226" s="215">
        <v>-8055.5060000000003</v>
      </c>
      <c r="G226" s="215">
        <v>-8426.1200000000008</v>
      </c>
      <c r="H226" s="215">
        <v>-8813.7199999999993</v>
      </c>
      <c r="I226" s="215">
        <v>-9219.18</v>
      </c>
      <c r="J226" t="s">
        <v>72</v>
      </c>
    </row>
    <row r="227" spans="1:10" x14ac:dyDescent="0.3">
      <c r="A227" s="286">
        <v>604901</v>
      </c>
      <c r="B227" s="286">
        <v>41100</v>
      </c>
      <c r="E227" s="215">
        <v>-5597.2841999999991</v>
      </c>
      <c r="F227" s="215">
        <v>-6147.6229999999996</v>
      </c>
      <c r="G227" s="215">
        <v>-6430.4599999999991</v>
      </c>
      <c r="H227" s="215">
        <v>-6726.2599999999993</v>
      </c>
      <c r="I227" s="215">
        <v>-7035.69</v>
      </c>
      <c r="J227" t="s">
        <v>72</v>
      </c>
    </row>
    <row r="228" spans="1:10" x14ac:dyDescent="0.3">
      <c r="A228" s="286">
        <v>604901</v>
      </c>
      <c r="B228" s="286">
        <v>41100</v>
      </c>
      <c r="E228" s="215">
        <v>-6369.3234000000002</v>
      </c>
      <c r="F228" s="215">
        <v>-6995.5710000000008</v>
      </c>
      <c r="G228" s="215">
        <v>-7317.42</v>
      </c>
      <c r="H228" s="215">
        <v>-7654.02</v>
      </c>
      <c r="I228" s="215">
        <v>-8006.13</v>
      </c>
      <c r="J228" t="s">
        <v>72</v>
      </c>
    </row>
    <row r="229" spans="1:10" x14ac:dyDescent="0.3">
      <c r="A229" s="286">
        <v>604043</v>
      </c>
      <c r="B229" s="286">
        <v>43511</v>
      </c>
      <c r="E229" s="215">
        <v>0</v>
      </c>
      <c r="F229" s="215">
        <v>0</v>
      </c>
      <c r="G229" s="215">
        <v>0</v>
      </c>
      <c r="H229" s="215">
        <v>0</v>
      </c>
      <c r="I229" s="215">
        <v>0</v>
      </c>
      <c r="J229" t="s">
        <v>73</v>
      </c>
    </row>
    <row r="230" spans="1:10" x14ac:dyDescent="0.3">
      <c r="A230" s="286">
        <v>604045</v>
      </c>
      <c r="B230" s="286">
        <v>42100</v>
      </c>
      <c r="E230" s="215">
        <v>8330</v>
      </c>
      <c r="F230" s="215">
        <v>8563</v>
      </c>
      <c r="G230" s="215">
        <v>8803</v>
      </c>
      <c r="H230" s="215">
        <v>9049</v>
      </c>
      <c r="I230" s="215">
        <v>9302</v>
      </c>
      <c r="J230" t="s">
        <v>73</v>
      </c>
    </row>
    <row r="231" spans="1:10" x14ac:dyDescent="0.3">
      <c r="A231" s="286">
        <v>604045</v>
      </c>
      <c r="B231" s="286">
        <v>42100</v>
      </c>
      <c r="E231" s="215">
        <v>1422</v>
      </c>
      <c r="F231" s="215">
        <v>1462</v>
      </c>
      <c r="G231" s="215">
        <v>1503</v>
      </c>
      <c r="H231" s="215">
        <v>1545</v>
      </c>
      <c r="I231" s="215">
        <v>1588</v>
      </c>
      <c r="J231" t="s">
        <v>73</v>
      </c>
    </row>
    <row r="232" spans="1:10" x14ac:dyDescent="0.3">
      <c r="A232" s="286">
        <v>604045</v>
      </c>
      <c r="B232" s="286">
        <v>42100</v>
      </c>
      <c r="E232" s="215">
        <v>190</v>
      </c>
      <c r="F232" s="215">
        <v>195</v>
      </c>
      <c r="G232" s="215">
        <v>200</v>
      </c>
      <c r="H232" s="215">
        <v>206</v>
      </c>
      <c r="I232" s="215">
        <v>212</v>
      </c>
      <c r="J232" t="s">
        <v>73</v>
      </c>
    </row>
    <row r="233" spans="1:10" x14ac:dyDescent="0.3">
      <c r="A233" s="286">
        <v>604045</v>
      </c>
      <c r="B233" s="286">
        <v>43511</v>
      </c>
      <c r="E233" s="215">
        <v>20081</v>
      </c>
      <c r="F233" s="215">
        <v>20606</v>
      </c>
      <c r="G233" s="215">
        <v>21056</v>
      </c>
      <c r="H233" s="215">
        <v>21516</v>
      </c>
      <c r="I233" s="215">
        <v>21987.63</v>
      </c>
      <c r="J233" t="s">
        <v>73</v>
      </c>
    </row>
    <row r="234" spans="1:10" x14ac:dyDescent="0.3">
      <c r="A234" s="286">
        <v>604045</v>
      </c>
      <c r="B234" s="286">
        <v>43801</v>
      </c>
      <c r="E234" s="215">
        <v>7223</v>
      </c>
      <c r="F234" s="215">
        <v>7425</v>
      </c>
      <c r="G234" s="215">
        <v>7633</v>
      </c>
      <c r="H234" s="215">
        <v>7847</v>
      </c>
      <c r="I234" s="215">
        <v>8067</v>
      </c>
      <c r="J234" t="s">
        <v>73</v>
      </c>
    </row>
    <row r="235" spans="1:10" x14ac:dyDescent="0.3">
      <c r="A235" s="286">
        <v>604045</v>
      </c>
      <c r="B235" s="286">
        <v>43802</v>
      </c>
      <c r="E235" s="215">
        <v>670</v>
      </c>
      <c r="F235" s="215">
        <v>689</v>
      </c>
      <c r="G235" s="215">
        <v>708</v>
      </c>
      <c r="H235" s="215">
        <v>728</v>
      </c>
      <c r="I235" s="215">
        <v>748</v>
      </c>
      <c r="J235" t="s">
        <v>73</v>
      </c>
    </row>
    <row r="236" spans="1:10" x14ac:dyDescent="0.3">
      <c r="A236" s="286">
        <v>604045</v>
      </c>
      <c r="B236" s="286">
        <v>43803</v>
      </c>
      <c r="E236" s="215">
        <v>372</v>
      </c>
      <c r="F236" s="215">
        <v>382</v>
      </c>
      <c r="G236" s="215">
        <v>393</v>
      </c>
      <c r="H236" s="215">
        <v>404</v>
      </c>
      <c r="I236" s="215">
        <v>415</v>
      </c>
      <c r="J236" t="s">
        <v>73</v>
      </c>
    </row>
    <row r="237" spans="1:10" x14ac:dyDescent="0.3">
      <c r="A237" s="286">
        <v>604045</v>
      </c>
      <c r="B237" s="286">
        <v>43806</v>
      </c>
      <c r="E237" s="215">
        <v>546</v>
      </c>
      <c r="F237" s="215">
        <v>561</v>
      </c>
      <c r="G237" s="215">
        <v>577</v>
      </c>
      <c r="H237" s="215">
        <v>593</v>
      </c>
      <c r="I237" s="215">
        <v>610</v>
      </c>
      <c r="J237" t="s">
        <v>73</v>
      </c>
    </row>
    <row r="238" spans="1:10" x14ac:dyDescent="0.3">
      <c r="A238" s="286">
        <v>604045</v>
      </c>
      <c r="B238" s="286">
        <v>43806</v>
      </c>
      <c r="E238" s="215">
        <v>404</v>
      </c>
      <c r="F238" s="215">
        <v>415</v>
      </c>
      <c r="G238" s="215">
        <v>427</v>
      </c>
      <c r="H238" s="215">
        <v>439</v>
      </c>
      <c r="I238" s="215">
        <v>451</v>
      </c>
      <c r="J238" t="s">
        <v>73</v>
      </c>
    </row>
    <row r="239" spans="1:10" x14ac:dyDescent="0.3">
      <c r="A239" s="286">
        <v>604045</v>
      </c>
      <c r="B239" s="286">
        <v>43806</v>
      </c>
      <c r="E239" s="215">
        <v>3626</v>
      </c>
      <c r="F239" s="215">
        <v>3728</v>
      </c>
      <c r="G239" s="215">
        <v>3832</v>
      </c>
      <c r="H239" s="215">
        <v>3939</v>
      </c>
      <c r="I239" s="215">
        <v>4049</v>
      </c>
      <c r="J239" t="s">
        <v>73</v>
      </c>
    </row>
    <row r="240" spans="1:10" x14ac:dyDescent="0.3">
      <c r="A240" s="286">
        <v>604045</v>
      </c>
      <c r="B240" s="286">
        <v>43812</v>
      </c>
      <c r="E240" s="215">
        <v>14627</v>
      </c>
      <c r="F240" s="215">
        <v>15007</v>
      </c>
      <c r="G240" s="215">
        <v>15337</v>
      </c>
      <c r="H240" s="215">
        <v>15674</v>
      </c>
      <c r="I240" s="215">
        <v>16019</v>
      </c>
      <c r="J240" t="s">
        <v>73</v>
      </c>
    </row>
    <row r="241" spans="1:10" x14ac:dyDescent="0.3">
      <c r="A241" s="286">
        <v>604045</v>
      </c>
      <c r="B241" s="286">
        <v>43814</v>
      </c>
      <c r="E241" s="215">
        <v>0</v>
      </c>
      <c r="F241" s="215">
        <v>0</v>
      </c>
      <c r="G241" s="215">
        <v>0</v>
      </c>
      <c r="H241" s="215">
        <v>0</v>
      </c>
      <c r="I241" s="215">
        <v>0</v>
      </c>
      <c r="J241" t="s">
        <v>73</v>
      </c>
    </row>
    <row r="242" spans="1:10" x14ac:dyDescent="0.3">
      <c r="A242" s="286">
        <v>604045</v>
      </c>
      <c r="B242" s="286">
        <v>43817</v>
      </c>
      <c r="E242" s="215">
        <v>25368</v>
      </c>
      <c r="F242" s="215">
        <v>26028</v>
      </c>
      <c r="G242" s="215">
        <v>26601</v>
      </c>
      <c r="H242" s="215">
        <v>27186</v>
      </c>
      <c r="I242" s="215">
        <v>27784</v>
      </c>
      <c r="J242" t="s">
        <v>73</v>
      </c>
    </row>
    <row r="243" spans="1:10" x14ac:dyDescent="0.3">
      <c r="A243" s="286">
        <v>604045</v>
      </c>
      <c r="B243" s="286">
        <v>47201</v>
      </c>
      <c r="E243" s="215">
        <v>17122</v>
      </c>
      <c r="F243" s="215">
        <v>20978.142821183999</v>
      </c>
      <c r="G243" s="215">
        <v>22027.0499622432</v>
      </c>
      <c r="H243" s="215">
        <v>23128.402460355363</v>
      </c>
      <c r="I243" s="215">
        <v>24284.82258337313</v>
      </c>
      <c r="J243" t="s">
        <v>73</v>
      </c>
    </row>
    <row r="244" spans="1:10" x14ac:dyDescent="0.3">
      <c r="A244" s="286">
        <v>604045</v>
      </c>
      <c r="B244" s="286">
        <v>47300</v>
      </c>
      <c r="E244" s="215">
        <v>31559</v>
      </c>
      <c r="F244" s="215">
        <v>31559</v>
      </c>
      <c r="G244" s="215">
        <v>31559</v>
      </c>
      <c r="H244" s="215">
        <v>31559</v>
      </c>
      <c r="I244" s="215">
        <v>31559</v>
      </c>
      <c r="J244" t="s">
        <v>73</v>
      </c>
    </row>
    <row r="245" spans="1:10" x14ac:dyDescent="0.3">
      <c r="A245" s="286">
        <v>604046</v>
      </c>
      <c r="B245" s="286">
        <v>43803</v>
      </c>
      <c r="E245" s="215">
        <v>135</v>
      </c>
      <c r="F245" s="215">
        <v>139</v>
      </c>
      <c r="G245" s="215">
        <v>143</v>
      </c>
      <c r="H245" s="215">
        <v>147</v>
      </c>
      <c r="I245" s="215">
        <v>151</v>
      </c>
      <c r="J245" t="s">
        <v>73</v>
      </c>
    </row>
    <row r="246" spans="1:10" x14ac:dyDescent="0.3">
      <c r="A246" s="286">
        <v>604046</v>
      </c>
      <c r="B246" s="286">
        <v>43812</v>
      </c>
      <c r="E246" s="215">
        <v>18923</v>
      </c>
      <c r="F246" s="215">
        <v>19415</v>
      </c>
      <c r="G246" s="215">
        <v>19842</v>
      </c>
      <c r="H246" s="215">
        <v>20278</v>
      </c>
      <c r="I246" s="215">
        <v>20724</v>
      </c>
      <c r="J246" t="s">
        <v>73</v>
      </c>
    </row>
    <row r="247" spans="1:10" x14ac:dyDescent="0.3">
      <c r="A247" s="286">
        <v>604046</v>
      </c>
      <c r="B247" s="286">
        <v>43818</v>
      </c>
      <c r="E247" s="215">
        <v>8290</v>
      </c>
      <c r="F247" s="215">
        <v>8505</v>
      </c>
      <c r="G247" s="215">
        <v>8692</v>
      </c>
      <c r="H247" s="215">
        <v>8884</v>
      </c>
      <c r="I247" s="215">
        <v>9080</v>
      </c>
      <c r="J247" t="s">
        <v>73</v>
      </c>
    </row>
    <row r="248" spans="1:10" x14ac:dyDescent="0.3">
      <c r="A248" s="286">
        <v>604046</v>
      </c>
      <c r="B248" s="286">
        <v>47300</v>
      </c>
      <c r="E248" s="215">
        <v>0</v>
      </c>
      <c r="F248" s="215">
        <v>0</v>
      </c>
      <c r="G248" s="215">
        <v>0</v>
      </c>
      <c r="H248" s="215">
        <v>0</v>
      </c>
      <c r="I248" s="215">
        <v>0</v>
      </c>
      <c r="J248" t="s">
        <v>73</v>
      </c>
    </row>
    <row r="249" spans="1:10" x14ac:dyDescent="0.3">
      <c r="A249" s="286">
        <v>604048</v>
      </c>
      <c r="B249" s="286">
        <v>42100</v>
      </c>
      <c r="E249" s="215">
        <v>13510</v>
      </c>
      <c r="F249" s="215">
        <v>13861</v>
      </c>
      <c r="G249" s="215">
        <v>14166</v>
      </c>
      <c r="H249" s="215">
        <v>14478</v>
      </c>
      <c r="I249" s="215">
        <v>14796</v>
      </c>
      <c r="J249" t="s">
        <v>73</v>
      </c>
    </row>
    <row r="250" spans="1:10" x14ac:dyDescent="0.3">
      <c r="A250" s="286">
        <v>604048</v>
      </c>
      <c r="B250" s="286">
        <v>43803</v>
      </c>
      <c r="E250" s="215">
        <v>15986</v>
      </c>
      <c r="F250" s="215">
        <v>16402</v>
      </c>
      <c r="G250" s="215">
        <v>16763</v>
      </c>
      <c r="H250" s="215">
        <v>17131</v>
      </c>
      <c r="I250" s="215">
        <v>17509</v>
      </c>
      <c r="J250" t="s">
        <v>73</v>
      </c>
    </row>
    <row r="251" spans="1:10" x14ac:dyDescent="0.3">
      <c r="A251" s="286">
        <v>604048</v>
      </c>
      <c r="B251" s="286">
        <v>43806</v>
      </c>
      <c r="E251" s="215">
        <v>23262</v>
      </c>
      <c r="F251" s="215">
        <v>23867</v>
      </c>
      <c r="G251" s="215">
        <v>24392</v>
      </c>
      <c r="H251" s="215">
        <v>24929</v>
      </c>
      <c r="I251" s="215">
        <v>25477</v>
      </c>
      <c r="J251" t="s">
        <v>73</v>
      </c>
    </row>
    <row r="252" spans="1:10" x14ac:dyDescent="0.3">
      <c r="A252" s="286">
        <v>604048</v>
      </c>
      <c r="B252" s="286">
        <v>43812</v>
      </c>
      <c r="E252" s="215">
        <v>6811</v>
      </c>
      <c r="F252" s="215">
        <v>6988</v>
      </c>
      <c r="G252" s="215">
        <v>7141</v>
      </c>
      <c r="H252" s="215">
        <v>7299</v>
      </c>
      <c r="I252" s="215">
        <v>7459</v>
      </c>
      <c r="J252" t="s">
        <v>73</v>
      </c>
    </row>
    <row r="253" spans="1:10" x14ac:dyDescent="0.3">
      <c r="A253" s="286">
        <v>604048</v>
      </c>
      <c r="B253" s="286">
        <v>47300</v>
      </c>
      <c r="E253" s="215">
        <v>54599</v>
      </c>
      <c r="F253" s="215">
        <v>46895</v>
      </c>
      <c r="G253" s="215">
        <v>55121</v>
      </c>
      <c r="H253" s="215">
        <v>55121</v>
      </c>
      <c r="I253" s="215">
        <v>55121</v>
      </c>
      <c r="J253" t="s">
        <v>73</v>
      </c>
    </row>
    <row r="254" spans="1:10" x14ac:dyDescent="0.3">
      <c r="A254" s="286">
        <v>604902</v>
      </c>
      <c r="B254" s="286">
        <v>42100</v>
      </c>
      <c r="E254" s="215">
        <v>-3165.4</v>
      </c>
      <c r="F254" s="215">
        <v>-3253.94</v>
      </c>
      <c r="G254" s="215">
        <v>-3345.14</v>
      </c>
      <c r="H254" s="215">
        <v>-3438.62</v>
      </c>
      <c r="I254" s="215">
        <v>-3534.76</v>
      </c>
      <c r="J254" t="s">
        <v>73</v>
      </c>
    </row>
    <row r="255" spans="1:10" x14ac:dyDescent="0.3">
      <c r="A255" s="286">
        <v>604902</v>
      </c>
      <c r="B255" s="286">
        <v>42100</v>
      </c>
      <c r="E255" s="215">
        <v>-540.36</v>
      </c>
      <c r="F255" s="215">
        <v>-555.56000000000006</v>
      </c>
      <c r="G255" s="215">
        <v>-571.14</v>
      </c>
      <c r="H255" s="215">
        <v>-587.1</v>
      </c>
      <c r="I255" s="215">
        <v>-603.44000000000005</v>
      </c>
      <c r="J255" t="s">
        <v>73</v>
      </c>
    </row>
    <row r="256" spans="1:10" x14ac:dyDescent="0.3">
      <c r="A256" s="286">
        <v>604902</v>
      </c>
      <c r="B256" s="286">
        <v>42100</v>
      </c>
      <c r="E256" s="215">
        <v>-72.2</v>
      </c>
      <c r="F256" s="215">
        <v>-74.099999999999994</v>
      </c>
      <c r="G256" s="215">
        <v>-76</v>
      </c>
      <c r="H256" s="215">
        <v>-78.28</v>
      </c>
      <c r="I256" s="215">
        <v>-80.56</v>
      </c>
      <c r="J256" t="s">
        <v>73</v>
      </c>
    </row>
    <row r="257" spans="1:10" x14ac:dyDescent="0.3">
      <c r="A257" s="286">
        <v>604902</v>
      </c>
      <c r="B257" s="286">
        <v>43511</v>
      </c>
      <c r="E257" s="215">
        <v>-7630.78</v>
      </c>
      <c r="F257" s="215">
        <v>-7830.28</v>
      </c>
      <c r="G257" s="215">
        <v>-8001.28</v>
      </c>
      <c r="H257" s="215">
        <v>-8176.08</v>
      </c>
      <c r="I257" s="215">
        <v>-8355.2993999999999</v>
      </c>
      <c r="J257" t="s">
        <v>73</v>
      </c>
    </row>
    <row r="258" spans="1:10" x14ac:dyDescent="0.3">
      <c r="A258" s="286">
        <v>604902</v>
      </c>
      <c r="B258" s="286">
        <v>43801</v>
      </c>
      <c r="E258" s="215">
        <v>-2744.7400000000002</v>
      </c>
      <c r="F258" s="215">
        <v>-2821.5</v>
      </c>
      <c r="G258" s="215">
        <v>-2900.54</v>
      </c>
      <c r="H258" s="215">
        <v>-2981.86</v>
      </c>
      <c r="I258" s="215">
        <v>-3065.46</v>
      </c>
      <c r="J258" t="s">
        <v>73</v>
      </c>
    </row>
    <row r="259" spans="1:10" x14ac:dyDescent="0.3">
      <c r="A259" s="286">
        <v>604902</v>
      </c>
      <c r="B259" s="286">
        <v>43802</v>
      </c>
      <c r="E259" s="215">
        <v>-254.6</v>
      </c>
      <c r="F259" s="215">
        <v>-261.82</v>
      </c>
      <c r="G259" s="215">
        <v>-269.04000000000002</v>
      </c>
      <c r="H259" s="215">
        <v>-276.64</v>
      </c>
      <c r="I259" s="215">
        <v>-284.24</v>
      </c>
      <c r="J259" t="s">
        <v>73</v>
      </c>
    </row>
    <row r="260" spans="1:10" x14ac:dyDescent="0.3">
      <c r="A260" s="286">
        <v>604902</v>
      </c>
      <c r="B260" s="286">
        <v>43803</v>
      </c>
      <c r="E260" s="215">
        <v>-141.36000000000001</v>
      </c>
      <c r="F260" s="215">
        <v>-145.16</v>
      </c>
      <c r="G260" s="215">
        <v>-149.34</v>
      </c>
      <c r="H260" s="215">
        <v>-153.52000000000001</v>
      </c>
      <c r="I260" s="215">
        <v>-157.69999999999999</v>
      </c>
      <c r="J260" t="s">
        <v>73</v>
      </c>
    </row>
    <row r="261" spans="1:10" x14ac:dyDescent="0.3">
      <c r="A261" s="286">
        <v>604902</v>
      </c>
      <c r="B261" s="286">
        <v>43806</v>
      </c>
      <c r="E261" s="215">
        <v>-207.48</v>
      </c>
      <c r="F261" s="215">
        <v>-213.18</v>
      </c>
      <c r="G261" s="215">
        <v>-219.26</v>
      </c>
      <c r="H261" s="215">
        <v>-225.34</v>
      </c>
      <c r="I261" s="215">
        <v>-231.8</v>
      </c>
      <c r="J261" t="s">
        <v>73</v>
      </c>
    </row>
    <row r="262" spans="1:10" x14ac:dyDescent="0.3">
      <c r="A262" s="286">
        <v>604902</v>
      </c>
      <c r="B262" s="286">
        <v>43806</v>
      </c>
      <c r="E262" s="215">
        <v>-153.52000000000001</v>
      </c>
      <c r="F262" s="215">
        <v>-157.69999999999999</v>
      </c>
      <c r="G262" s="215">
        <v>-162.26</v>
      </c>
      <c r="H262" s="215">
        <v>-166.82</v>
      </c>
      <c r="I262" s="215">
        <v>-171.38</v>
      </c>
      <c r="J262" t="s">
        <v>73</v>
      </c>
    </row>
    <row r="263" spans="1:10" x14ac:dyDescent="0.3">
      <c r="A263" s="286">
        <v>604902</v>
      </c>
      <c r="B263" s="286">
        <v>43806</v>
      </c>
      <c r="E263" s="215">
        <v>-1377.88</v>
      </c>
      <c r="F263" s="215">
        <v>-1416.64</v>
      </c>
      <c r="G263" s="215">
        <v>-1456.16</v>
      </c>
      <c r="H263" s="215">
        <v>-1496.82</v>
      </c>
      <c r="I263" s="215">
        <v>-1538.6200000000001</v>
      </c>
      <c r="J263" t="s">
        <v>73</v>
      </c>
    </row>
    <row r="264" spans="1:10" x14ac:dyDescent="0.3">
      <c r="A264" s="286">
        <v>604902</v>
      </c>
      <c r="B264" s="286">
        <v>43812</v>
      </c>
      <c r="E264" s="215">
        <v>-5558.26</v>
      </c>
      <c r="F264" s="215">
        <v>-5702.66</v>
      </c>
      <c r="G264" s="215">
        <v>-5828.06</v>
      </c>
      <c r="H264" s="215">
        <v>-5956.12</v>
      </c>
      <c r="I264" s="215">
        <v>-6087.22</v>
      </c>
      <c r="J264" t="s">
        <v>73</v>
      </c>
    </row>
    <row r="265" spans="1:10" x14ac:dyDescent="0.3">
      <c r="A265" s="286">
        <v>604902</v>
      </c>
      <c r="B265" s="286">
        <v>43814</v>
      </c>
      <c r="E265" s="215">
        <v>0</v>
      </c>
      <c r="F265" s="215">
        <v>0</v>
      </c>
      <c r="G265" s="215">
        <v>0</v>
      </c>
      <c r="H265" s="215">
        <v>0</v>
      </c>
      <c r="I265" s="215">
        <v>0</v>
      </c>
      <c r="J265" t="s">
        <v>73</v>
      </c>
    </row>
    <row r="266" spans="1:10" x14ac:dyDescent="0.3">
      <c r="A266" s="286">
        <v>604902</v>
      </c>
      <c r="B266" s="286">
        <v>43817</v>
      </c>
      <c r="E266" s="215">
        <v>-9639.84</v>
      </c>
      <c r="F266" s="215">
        <v>-9890.64</v>
      </c>
      <c r="G266" s="215">
        <v>-10108.380000000001</v>
      </c>
      <c r="H266" s="215">
        <v>-10330.68</v>
      </c>
      <c r="I266" s="215">
        <v>-10557.92</v>
      </c>
      <c r="J266" t="s">
        <v>73</v>
      </c>
    </row>
    <row r="267" spans="1:10" x14ac:dyDescent="0.3">
      <c r="A267" s="286">
        <v>604902</v>
      </c>
      <c r="B267" s="286">
        <v>47201</v>
      </c>
      <c r="E267" s="215">
        <v>-6506.36</v>
      </c>
      <c r="F267" s="215">
        <v>-7971.6942720499201</v>
      </c>
      <c r="G267" s="215">
        <v>-8370.2789856524159</v>
      </c>
      <c r="H267" s="215">
        <v>-8788.7929349350379</v>
      </c>
      <c r="I267" s="215">
        <v>-9228.2325816817902</v>
      </c>
      <c r="J267" t="s">
        <v>73</v>
      </c>
    </row>
    <row r="268" spans="1:10" x14ac:dyDescent="0.3">
      <c r="A268" s="286">
        <v>604902</v>
      </c>
      <c r="B268" s="286">
        <v>47300</v>
      </c>
      <c r="E268" s="215">
        <v>-11992.42</v>
      </c>
      <c r="F268" s="215">
        <v>-11992.42</v>
      </c>
      <c r="G268" s="215">
        <v>-11992.42</v>
      </c>
      <c r="H268" s="215">
        <v>-11992.42</v>
      </c>
      <c r="I268" s="215">
        <v>-11992.42</v>
      </c>
      <c r="J268" t="s">
        <v>73</v>
      </c>
    </row>
    <row r="269" spans="1:10" x14ac:dyDescent="0.3">
      <c r="A269" s="286">
        <v>604902</v>
      </c>
      <c r="B269" s="286">
        <v>42100</v>
      </c>
      <c r="E269" s="215">
        <v>-2415.6999999999998</v>
      </c>
      <c r="F269" s="215">
        <v>-2483.27</v>
      </c>
      <c r="G269" s="215">
        <v>-2552.87</v>
      </c>
      <c r="H269" s="215">
        <v>-2624.21</v>
      </c>
      <c r="I269" s="215">
        <v>-2697.58</v>
      </c>
      <c r="J269" t="s">
        <v>73</v>
      </c>
    </row>
    <row r="270" spans="1:10" x14ac:dyDescent="0.3">
      <c r="A270" s="286">
        <v>604902</v>
      </c>
      <c r="B270" s="286">
        <v>42100</v>
      </c>
      <c r="E270" s="215">
        <v>-412.38</v>
      </c>
      <c r="F270" s="215">
        <v>-423.97999999999996</v>
      </c>
      <c r="G270" s="215">
        <v>-435.86999999999995</v>
      </c>
      <c r="H270" s="215">
        <v>-448.04999999999995</v>
      </c>
      <c r="I270" s="215">
        <v>-460.52</v>
      </c>
      <c r="J270" t="s">
        <v>73</v>
      </c>
    </row>
    <row r="271" spans="1:10" x14ac:dyDescent="0.3">
      <c r="A271" s="286">
        <v>604902</v>
      </c>
      <c r="B271" s="286">
        <v>42100</v>
      </c>
      <c r="E271" s="215">
        <v>-55.099999999999994</v>
      </c>
      <c r="F271" s="215">
        <v>-56.55</v>
      </c>
      <c r="G271" s="215">
        <v>-57.999999999999993</v>
      </c>
      <c r="H271" s="215">
        <v>-59.739999999999995</v>
      </c>
      <c r="I271" s="215">
        <v>-61.48</v>
      </c>
      <c r="J271" t="s">
        <v>73</v>
      </c>
    </row>
    <row r="272" spans="1:10" x14ac:dyDescent="0.3">
      <c r="A272" s="286">
        <v>604902</v>
      </c>
      <c r="B272" s="286">
        <v>43511</v>
      </c>
      <c r="E272" s="215">
        <v>-5823.49</v>
      </c>
      <c r="F272" s="215">
        <v>-5975.74</v>
      </c>
      <c r="G272" s="215">
        <v>-6106.24</v>
      </c>
      <c r="H272" s="215">
        <v>-6239.6399999999994</v>
      </c>
      <c r="I272" s="215">
        <v>-6376.4126999999999</v>
      </c>
      <c r="J272" t="s">
        <v>73</v>
      </c>
    </row>
    <row r="273" spans="1:10" x14ac:dyDescent="0.3">
      <c r="A273" s="286">
        <v>604902</v>
      </c>
      <c r="B273" s="286">
        <v>43801</v>
      </c>
      <c r="E273" s="215">
        <v>-2094.67</v>
      </c>
      <c r="F273" s="215">
        <v>-2153.25</v>
      </c>
      <c r="G273" s="215">
        <v>-2213.5699999999997</v>
      </c>
      <c r="H273" s="215">
        <v>-2275.6299999999997</v>
      </c>
      <c r="I273" s="215">
        <v>-2339.4299999999998</v>
      </c>
      <c r="J273" t="s">
        <v>73</v>
      </c>
    </row>
    <row r="274" spans="1:10" x14ac:dyDescent="0.3">
      <c r="A274" s="286">
        <v>604902</v>
      </c>
      <c r="B274" s="286">
        <v>43802</v>
      </c>
      <c r="E274" s="215">
        <v>-194.29999999999998</v>
      </c>
      <c r="F274" s="215">
        <v>-199.80999999999997</v>
      </c>
      <c r="G274" s="215">
        <v>-205.32</v>
      </c>
      <c r="H274" s="215">
        <v>-211.11999999999998</v>
      </c>
      <c r="I274" s="215">
        <v>-216.92</v>
      </c>
      <c r="J274" t="s">
        <v>73</v>
      </c>
    </row>
    <row r="275" spans="1:10" x14ac:dyDescent="0.3">
      <c r="A275" s="286">
        <v>604902</v>
      </c>
      <c r="B275" s="286">
        <v>43803</v>
      </c>
      <c r="E275" s="215">
        <v>-107.88</v>
      </c>
      <c r="F275" s="215">
        <v>-110.77999999999999</v>
      </c>
      <c r="G275" s="215">
        <v>-113.97</v>
      </c>
      <c r="H275" s="215">
        <v>-117.16</v>
      </c>
      <c r="I275" s="215">
        <v>-120.35</v>
      </c>
      <c r="J275" t="s">
        <v>73</v>
      </c>
    </row>
    <row r="276" spans="1:10" x14ac:dyDescent="0.3">
      <c r="A276" s="286">
        <v>604902</v>
      </c>
      <c r="B276" s="286">
        <v>43806</v>
      </c>
      <c r="E276" s="215">
        <v>-158.33999999999997</v>
      </c>
      <c r="F276" s="215">
        <v>-162.69</v>
      </c>
      <c r="G276" s="215">
        <v>-167.32999999999998</v>
      </c>
      <c r="H276" s="215">
        <v>-171.97</v>
      </c>
      <c r="I276" s="215">
        <v>-176.89999999999998</v>
      </c>
      <c r="J276" t="s">
        <v>73</v>
      </c>
    </row>
    <row r="277" spans="1:10" x14ac:dyDescent="0.3">
      <c r="A277" s="286">
        <v>604902</v>
      </c>
      <c r="B277" s="286">
        <v>43806</v>
      </c>
      <c r="E277" s="215">
        <v>-117.16</v>
      </c>
      <c r="F277" s="215">
        <v>-120.35</v>
      </c>
      <c r="G277" s="215">
        <v>-123.83</v>
      </c>
      <c r="H277" s="215">
        <v>-127.30999999999999</v>
      </c>
      <c r="I277" s="215">
        <v>-130.79</v>
      </c>
      <c r="J277" t="s">
        <v>73</v>
      </c>
    </row>
    <row r="278" spans="1:10" x14ac:dyDescent="0.3">
      <c r="A278" s="286">
        <v>604902</v>
      </c>
      <c r="B278" s="286">
        <v>43806</v>
      </c>
      <c r="E278" s="215">
        <v>-1051.54</v>
      </c>
      <c r="F278" s="215">
        <v>-1081.1199999999999</v>
      </c>
      <c r="G278" s="215">
        <v>-1111.28</v>
      </c>
      <c r="H278" s="215">
        <v>-1142.31</v>
      </c>
      <c r="I278" s="215">
        <v>-1174.2099999999998</v>
      </c>
      <c r="J278" t="s">
        <v>73</v>
      </c>
    </row>
    <row r="279" spans="1:10" x14ac:dyDescent="0.3">
      <c r="A279" s="286">
        <v>604902</v>
      </c>
      <c r="B279" s="286">
        <v>43812</v>
      </c>
      <c r="E279" s="215">
        <v>-4241.83</v>
      </c>
      <c r="F279" s="215">
        <v>-4352.03</v>
      </c>
      <c r="G279" s="215">
        <v>-4447.7299999999996</v>
      </c>
      <c r="H279" s="215">
        <v>-4545.46</v>
      </c>
      <c r="I279" s="215">
        <v>-4645.5099999999993</v>
      </c>
      <c r="J279" t="s">
        <v>73</v>
      </c>
    </row>
    <row r="280" spans="1:10" x14ac:dyDescent="0.3">
      <c r="A280" s="286">
        <v>604902</v>
      </c>
      <c r="B280" s="286">
        <v>43814</v>
      </c>
      <c r="E280" s="215">
        <v>0</v>
      </c>
      <c r="F280" s="215">
        <v>0</v>
      </c>
      <c r="G280" s="215">
        <v>0</v>
      </c>
      <c r="H280" s="215">
        <v>0</v>
      </c>
      <c r="I280" s="215">
        <v>0</v>
      </c>
      <c r="J280" t="s">
        <v>73</v>
      </c>
    </row>
    <row r="281" spans="1:10" x14ac:dyDescent="0.3">
      <c r="A281" s="286">
        <v>604902</v>
      </c>
      <c r="B281" s="286">
        <v>43817</v>
      </c>
      <c r="E281" s="215">
        <v>-7356.7199999999993</v>
      </c>
      <c r="F281" s="215">
        <v>-7548.12</v>
      </c>
      <c r="G281" s="215">
        <v>-7714.2899999999991</v>
      </c>
      <c r="H281" s="215">
        <v>-7883.94</v>
      </c>
      <c r="I281" s="215">
        <v>-8057.36</v>
      </c>
      <c r="J281" t="s">
        <v>73</v>
      </c>
    </row>
    <row r="282" spans="1:10" x14ac:dyDescent="0.3">
      <c r="A282" s="286">
        <v>604902</v>
      </c>
      <c r="B282" s="286">
        <v>47201</v>
      </c>
      <c r="E282" s="215">
        <v>-4965.38</v>
      </c>
      <c r="F282" s="215">
        <v>-6083.6614181433597</v>
      </c>
      <c r="G282" s="215">
        <v>-6387.844489050528</v>
      </c>
      <c r="H282" s="215">
        <v>-6707.2367135030545</v>
      </c>
      <c r="I282" s="215">
        <v>-7042.5985491782076</v>
      </c>
      <c r="J282" t="s">
        <v>73</v>
      </c>
    </row>
    <row r="283" spans="1:10" x14ac:dyDescent="0.3">
      <c r="A283" s="286">
        <v>604902</v>
      </c>
      <c r="B283" s="286">
        <v>47300</v>
      </c>
      <c r="E283" s="215">
        <v>-9152.1099999999988</v>
      </c>
      <c r="F283" s="215">
        <v>-9152.1099999999988</v>
      </c>
      <c r="G283" s="215">
        <v>-9152.1099999999988</v>
      </c>
      <c r="H283" s="215">
        <v>-9152.1099999999988</v>
      </c>
      <c r="I283" s="215">
        <v>-9152.1099999999988</v>
      </c>
      <c r="J283" t="s">
        <v>73</v>
      </c>
    </row>
    <row r="284" spans="1:10" x14ac:dyDescent="0.3">
      <c r="A284" s="286">
        <v>604902</v>
      </c>
      <c r="B284" s="286">
        <v>42100</v>
      </c>
      <c r="E284" s="215">
        <v>-2748.9</v>
      </c>
      <c r="F284" s="215">
        <v>-2825.79</v>
      </c>
      <c r="G284" s="215">
        <v>-2904.9900000000002</v>
      </c>
      <c r="H284" s="215">
        <v>-2986.17</v>
      </c>
      <c r="I284" s="215">
        <v>-3069.6600000000003</v>
      </c>
      <c r="J284" t="s">
        <v>73</v>
      </c>
    </row>
    <row r="285" spans="1:10" x14ac:dyDescent="0.3">
      <c r="A285" s="286">
        <v>604902</v>
      </c>
      <c r="B285" s="286">
        <v>42100</v>
      </c>
      <c r="E285" s="215">
        <v>-469.26000000000005</v>
      </c>
      <c r="F285" s="215">
        <v>-482.46000000000004</v>
      </c>
      <c r="G285" s="215">
        <v>-495.99</v>
      </c>
      <c r="H285" s="215">
        <v>-509.85</v>
      </c>
      <c r="I285" s="215">
        <v>-524.04000000000008</v>
      </c>
      <c r="J285" t="s">
        <v>73</v>
      </c>
    </row>
    <row r="286" spans="1:10" x14ac:dyDescent="0.3">
      <c r="A286" s="286">
        <v>604902</v>
      </c>
      <c r="B286" s="286">
        <v>42100</v>
      </c>
      <c r="E286" s="215">
        <v>-62.7</v>
      </c>
      <c r="F286" s="215">
        <v>-64.350000000000009</v>
      </c>
      <c r="G286" s="215">
        <v>-66</v>
      </c>
      <c r="H286" s="215">
        <v>-67.98</v>
      </c>
      <c r="I286" s="215">
        <v>-69.960000000000008</v>
      </c>
      <c r="J286" t="s">
        <v>73</v>
      </c>
    </row>
    <row r="287" spans="1:10" x14ac:dyDescent="0.3">
      <c r="A287" s="286">
        <v>604902</v>
      </c>
      <c r="B287" s="286">
        <v>43511</v>
      </c>
      <c r="E287" s="215">
        <v>-6626.7300000000005</v>
      </c>
      <c r="F287" s="215">
        <v>-6799.9800000000005</v>
      </c>
      <c r="G287" s="215">
        <v>-6948.4800000000005</v>
      </c>
      <c r="H287" s="215">
        <v>-7100.2800000000007</v>
      </c>
      <c r="I287" s="215">
        <v>-7255.9179000000004</v>
      </c>
      <c r="J287" t="s">
        <v>73</v>
      </c>
    </row>
    <row r="288" spans="1:10" x14ac:dyDescent="0.3">
      <c r="A288" s="286">
        <v>604902</v>
      </c>
      <c r="B288" s="286">
        <v>43801</v>
      </c>
      <c r="E288" s="215">
        <v>-2383.59</v>
      </c>
      <c r="F288" s="215">
        <v>-2450.25</v>
      </c>
      <c r="G288" s="215">
        <v>-2518.8900000000003</v>
      </c>
      <c r="H288" s="215">
        <v>-2589.5100000000002</v>
      </c>
      <c r="I288" s="215">
        <v>-2662.11</v>
      </c>
      <c r="J288" t="s">
        <v>73</v>
      </c>
    </row>
    <row r="289" spans="1:10" x14ac:dyDescent="0.3">
      <c r="A289" s="286">
        <v>604902</v>
      </c>
      <c r="B289" s="286">
        <v>43802</v>
      </c>
      <c r="E289" s="215">
        <v>-221.10000000000002</v>
      </c>
      <c r="F289" s="215">
        <v>-227.37</v>
      </c>
      <c r="G289" s="215">
        <v>-233.64000000000001</v>
      </c>
      <c r="H289" s="215">
        <v>-240.24</v>
      </c>
      <c r="I289" s="215">
        <v>-246.84</v>
      </c>
      <c r="J289" t="s">
        <v>73</v>
      </c>
    </row>
    <row r="290" spans="1:10" x14ac:dyDescent="0.3">
      <c r="A290" s="286">
        <v>604902</v>
      </c>
      <c r="B290" s="286">
        <v>43803</v>
      </c>
      <c r="E290" s="215">
        <v>-122.76</v>
      </c>
      <c r="F290" s="215">
        <v>-126.06</v>
      </c>
      <c r="G290" s="215">
        <v>-129.69</v>
      </c>
      <c r="H290" s="215">
        <v>-133.32</v>
      </c>
      <c r="I290" s="215">
        <v>-136.95000000000002</v>
      </c>
      <c r="J290" t="s">
        <v>73</v>
      </c>
    </row>
    <row r="291" spans="1:10" x14ac:dyDescent="0.3">
      <c r="A291" s="286">
        <v>604902</v>
      </c>
      <c r="B291" s="286">
        <v>43806</v>
      </c>
      <c r="E291" s="215">
        <v>-180.18</v>
      </c>
      <c r="F291" s="215">
        <v>-185.13</v>
      </c>
      <c r="G291" s="215">
        <v>-190.41</v>
      </c>
      <c r="H291" s="215">
        <v>-195.69</v>
      </c>
      <c r="I291" s="215">
        <v>-201.3</v>
      </c>
      <c r="J291" t="s">
        <v>73</v>
      </c>
    </row>
    <row r="292" spans="1:10" x14ac:dyDescent="0.3">
      <c r="A292" s="286">
        <v>604902</v>
      </c>
      <c r="B292" s="286">
        <v>43806</v>
      </c>
      <c r="E292" s="215">
        <v>-133.32</v>
      </c>
      <c r="F292" s="215">
        <v>-136.95000000000002</v>
      </c>
      <c r="G292" s="215">
        <v>-140.91</v>
      </c>
      <c r="H292" s="215">
        <v>-144.87</v>
      </c>
      <c r="I292" s="215">
        <v>-148.83000000000001</v>
      </c>
      <c r="J292" t="s">
        <v>73</v>
      </c>
    </row>
    <row r="293" spans="1:10" x14ac:dyDescent="0.3">
      <c r="A293" s="286">
        <v>604902</v>
      </c>
      <c r="B293" s="286">
        <v>43806</v>
      </c>
      <c r="E293" s="215">
        <v>-1196.5800000000002</v>
      </c>
      <c r="F293" s="215">
        <v>-1230.24</v>
      </c>
      <c r="G293" s="215">
        <v>-1264.5600000000002</v>
      </c>
      <c r="H293" s="215">
        <v>-1299.8700000000001</v>
      </c>
      <c r="I293" s="215">
        <v>-1336.17</v>
      </c>
      <c r="J293" t="s">
        <v>73</v>
      </c>
    </row>
    <row r="294" spans="1:10" x14ac:dyDescent="0.3">
      <c r="A294" s="286">
        <v>604902</v>
      </c>
      <c r="B294" s="286">
        <v>43812</v>
      </c>
      <c r="E294" s="215">
        <v>-4826.91</v>
      </c>
      <c r="F294" s="215">
        <v>-4952.3100000000004</v>
      </c>
      <c r="G294" s="215">
        <v>-5061.21</v>
      </c>
      <c r="H294" s="215">
        <v>-5172.42</v>
      </c>
      <c r="I294" s="215">
        <v>-5286.27</v>
      </c>
      <c r="J294" t="s">
        <v>73</v>
      </c>
    </row>
    <row r="295" spans="1:10" x14ac:dyDescent="0.3">
      <c r="A295" s="286">
        <v>604902</v>
      </c>
      <c r="B295" s="286">
        <v>43814</v>
      </c>
      <c r="E295" s="215">
        <v>0</v>
      </c>
      <c r="F295" s="215">
        <v>0</v>
      </c>
      <c r="G295" s="215">
        <v>0</v>
      </c>
      <c r="H295" s="215">
        <v>0</v>
      </c>
      <c r="I295" s="215">
        <v>0</v>
      </c>
      <c r="J295" t="s">
        <v>73</v>
      </c>
    </row>
    <row r="296" spans="1:10" x14ac:dyDescent="0.3">
      <c r="A296" s="286">
        <v>604902</v>
      </c>
      <c r="B296" s="286">
        <v>43817</v>
      </c>
      <c r="E296" s="215">
        <v>-8371.44</v>
      </c>
      <c r="F296" s="215">
        <v>-8589.24</v>
      </c>
      <c r="G296" s="215">
        <v>-8778.33</v>
      </c>
      <c r="H296" s="215">
        <v>-8971.380000000001</v>
      </c>
      <c r="I296" s="215">
        <v>-9168.7200000000012</v>
      </c>
      <c r="J296" t="s">
        <v>73</v>
      </c>
    </row>
    <row r="297" spans="1:10" x14ac:dyDescent="0.3">
      <c r="A297" s="286">
        <v>604902</v>
      </c>
      <c r="B297" s="286">
        <v>47201</v>
      </c>
      <c r="E297" s="215">
        <v>-5650.26</v>
      </c>
      <c r="F297" s="215">
        <v>-6922.7871309907205</v>
      </c>
      <c r="G297" s="215">
        <v>-7268.9264875402559</v>
      </c>
      <c r="H297" s="215">
        <v>-7632.3728119172702</v>
      </c>
      <c r="I297" s="215">
        <v>-8013.9914525131335</v>
      </c>
      <c r="J297" t="s">
        <v>73</v>
      </c>
    </row>
    <row r="298" spans="1:10" x14ac:dyDescent="0.3">
      <c r="A298" s="286">
        <v>604902</v>
      </c>
      <c r="B298" s="286">
        <v>47300</v>
      </c>
      <c r="E298" s="215">
        <v>-10414.470000000001</v>
      </c>
      <c r="F298" s="215">
        <v>-10414.470000000001</v>
      </c>
      <c r="G298" s="215">
        <v>-10414.470000000001</v>
      </c>
      <c r="H298" s="215">
        <v>-10414.470000000001</v>
      </c>
      <c r="I298" s="215">
        <v>-10414.470000000001</v>
      </c>
      <c r="J298" t="s">
        <v>73</v>
      </c>
    </row>
    <row r="299" spans="1:10" x14ac:dyDescent="0.3">
      <c r="A299" s="286">
        <v>604902</v>
      </c>
      <c r="B299" s="286">
        <v>43803</v>
      </c>
      <c r="E299" s="215">
        <v>0</v>
      </c>
      <c r="F299" s="215">
        <v>0</v>
      </c>
      <c r="G299" s="215">
        <v>0</v>
      </c>
      <c r="H299" s="215">
        <v>0</v>
      </c>
      <c r="I299" s="215">
        <v>0</v>
      </c>
      <c r="J299" t="s">
        <v>73</v>
      </c>
    </row>
    <row r="300" spans="1:10" x14ac:dyDescent="0.3">
      <c r="A300" s="286">
        <v>604902</v>
      </c>
      <c r="B300" s="286">
        <v>43812</v>
      </c>
      <c r="E300" s="215">
        <v>0</v>
      </c>
      <c r="F300" s="215">
        <v>0</v>
      </c>
      <c r="G300" s="215">
        <v>0</v>
      </c>
      <c r="H300" s="215">
        <v>0</v>
      </c>
      <c r="I300" s="215">
        <v>0</v>
      </c>
      <c r="J300" t="s">
        <v>73</v>
      </c>
    </row>
    <row r="301" spans="1:10" x14ac:dyDescent="0.3">
      <c r="A301" s="286">
        <v>604902</v>
      </c>
      <c r="B301" s="286">
        <v>43818</v>
      </c>
      <c r="E301" s="215">
        <v>0</v>
      </c>
      <c r="F301" s="215">
        <v>0</v>
      </c>
      <c r="G301" s="215">
        <v>0</v>
      </c>
      <c r="H301" s="215">
        <v>0</v>
      </c>
      <c r="I301" s="215">
        <v>0</v>
      </c>
      <c r="J301" t="s">
        <v>73</v>
      </c>
    </row>
    <row r="302" spans="1:10" x14ac:dyDescent="0.3">
      <c r="A302" s="286">
        <v>604902</v>
      </c>
      <c r="B302" s="286">
        <v>43803</v>
      </c>
      <c r="E302" s="215">
        <v>0</v>
      </c>
      <c r="F302" s="215">
        <v>0</v>
      </c>
      <c r="G302" s="215">
        <v>0</v>
      </c>
      <c r="H302" s="215">
        <v>0</v>
      </c>
      <c r="I302" s="215">
        <v>0</v>
      </c>
      <c r="J302" t="s">
        <v>73</v>
      </c>
    </row>
    <row r="303" spans="1:10" x14ac:dyDescent="0.3">
      <c r="A303" s="286">
        <v>604902</v>
      </c>
      <c r="B303" s="286">
        <v>43812</v>
      </c>
      <c r="E303" s="215">
        <v>0</v>
      </c>
      <c r="F303" s="215">
        <v>0</v>
      </c>
      <c r="G303" s="215">
        <v>0</v>
      </c>
      <c r="H303" s="215">
        <v>0</v>
      </c>
      <c r="I303" s="215">
        <v>0</v>
      </c>
      <c r="J303" t="s">
        <v>73</v>
      </c>
    </row>
    <row r="304" spans="1:10" x14ac:dyDescent="0.3">
      <c r="A304" s="286">
        <v>604902</v>
      </c>
      <c r="B304" s="286">
        <v>43818</v>
      </c>
      <c r="E304" s="215">
        <v>0</v>
      </c>
      <c r="F304" s="215">
        <v>0</v>
      </c>
      <c r="G304" s="215">
        <v>0</v>
      </c>
      <c r="H304" s="215">
        <v>0</v>
      </c>
      <c r="I304" s="215">
        <v>0</v>
      </c>
      <c r="J304" t="s">
        <v>73</v>
      </c>
    </row>
    <row r="305" spans="1:10" x14ac:dyDescent="0.3">
      <c r="A305" s="286">
        <v>604902</v>
      </c>
      <c r="B305" s="286">
        <v>43803</v>
      </c>
      <c r="E305" s="215">
        <v>-51.3</v>
      </c>
      <c r="F305" s="215">
        <v>-52.82</v>
      </c>
      <c r="G305" s="215">
        <v>-54.34</v>
      </c>
      <c r="H305" s="215">
        <v>-55.86</v>
      </c>
      <c r="I305" s="215">
        <v>-57.38</v>
      </c>
      <c r="J305" t="s">
        <v>73</v>
      </c>
    </row>
    <row r="306" spans="1:10" x14ac:dyDescent="0.3">
      <c r="A306" s="286">
        <v>604902</v>
      </c>
      <c r="B306" s="286">
        <v>43812</v>
      </c>
      <c r="E306" s="215">
        <v>-7190.74</v>
      </c>
      <c r="F306" s="215">
        <v>-7377.7</v>
      </c>
      <c r="G306" s="215">
        <v>-7539.96</v>
      </c>
      <c r="H306" s="215">
        <v>-7705.64</v>
      </c>
      <c r="I306" s="215">
        <v>-7875.12</v>
      </c>
      <c r="J306" t="s">
        <v>73</v>
      </c>
    </row>
    <row r="307" spans="1:10" x14ac:dyDescent="0.3">
      <c r="A307" s="286">
        <v>604902</v>
      </c>
      <c r="B307" s="286">
        <v>43818</v>
      </c>
      <c r="E307" s="215">
        <v>-3150.2</v>
      </c>
      <c r="F307" s="215">
        <v>-3231.9</v>
      </c>
      <c r="G307" s="215">
        <v>-3302.96</v>
      </c>
      <c r="H307" s="215">
        <v>-3375.92</v>
      </c>
      <c r="I307" s="215">
        <v>-3450.4</v>
      </c>
      <c r="J307" t="s">
        <v>73</v>
      </c>
    </row>
    <row r="308" spans="1:10" x14ac:dyDescent="0.3">
      <c r="A308" s="286">
        <v>604902</v>
      </c>
      <c r="B308" s="286">
        <v>43803</v>
      </c>
      <c r="E308" s="215">
        <v>-39.15</v>
      </c>
      <c r="F308" s="215">
        <v>-40.309999999999995</v>
      </c>
      <c r="G308" s="215">
        <v>-41.47</v>
      </c>
      <c r="H308" s="215">
        <v>-42.629999999999995</v>
      </c>
      <c r="I308" s="215">
        <v>-43.79</v>
      </c>
      <c r="J308" t="s">
        <v>73</v>
      </c>
    </row>
    <row r="309" spans="1:10" x14ac:dyDescent="0.3">
      <c r="A309" s="286">
        <v>604902</v>
      </c>
      <c r="B309" s="286">
        <v>43812</v>
      </c>
      <c r="E309" s="215">
        <v>-5487.67</v>
      </c>
      <c r="F309" s="215">
        <v>-5630.3499999999995</v>
      </c>
      <c r="G309" s="215">
        <v>-5754.1799999999994</v>
      </c>
      <c r="H309" s="215">
        <v>-5880.62</v>
      </c>
      <c r="I309" s="215">
        <v>-6009.96</v>
      </c>
      <c r="J309" t="s">
        <v>73</v>
      </c>
    </row>
    <row r="310" spans="1:10" x14ac:dyDescent="0.3">
      <c r="A310" s="286">
        <v>604902</v>
      </c>
      <c r="B310" s="286">
        <v>43818</v>
      </c>
      <c r="E310" s="215">
        <v>-2404.1</v>
      </c>
      <c r="F310" s="215">
        <v>-2466.4499999999998</v>
      </c>
      <c r="G310" s="215">
        <v>-2520.6799999999998</v>
      </c>
      <c r="H310" s="215">
        <v>-2576.3599999999997</v>
      </c>
      <c r="I310" s="215">
        <v>-2633.2</v>
      </c>
      <c r="J310" t="s">
        <v>73</v>
      </c>
    </row>
    <row r="311" spans="1:10" x14ac:dyDescent="0.3">
      <c r="A311" s="286">
        <v>604902</v>
      </c>
      <c r="B311" s="286">
        <v>43803</v>
      </c>
      <c r="E311" s="215">
        <v>-44.550000000000004</v>
      </c>
      <c r="F311" s="215">
        <v>-45.870000000000005</v>
      </c>
      <c r="G311" s="215">
        <v>-47.190000000000005</v>
      </c>
      <c r="H311" s="215">
        <v>-48.510000000000005</v>
      </c>
      <c r="I311" s="215">
        <v>-49.830000000000005</v>
      </c>
      <c r="J311" t="s">
        <v>73</v>
      </c>
    </row>
    <row r="312" spans="1:10" x14ac:dyDescent="0.3">
      <c r="A312" s="286">
        <v>604902</v>
      </c>
      <c r="B312" s="286">
        <v>43812</v>
      </c>
      <c r="E312" s="215">
        <v>-6244.59</v>
      </c>
      <c r="F312" s="215">
        <v>-6406.9500000000007</v>
      </c>
      <c r="G312" s="215">
        <v>-6547.8600000000006</v>
      </c>
      <c r="H312" s="215">
        <v>-6691.7400000000007</v>
      </c>
      <c r="I312" s="215">
        <v>-6838.92</v>
      </c>
      <c r="J312" t="s">
        <v>73</v>
      </c>
    </row>
    <row r="313" spans="1:10" x14ac:dyDescent="0.3">
      <c r="A313" s="286">
        <v>604902</v>
      </c>
      <c r="B313" s="286">
        <v>43818</v>
      </c>
      <c r="E313" s="215">
        <v>-2735.7000000000003</v>
      </c>
      <c r="F313" s="215">
        <v>-2806.65</v>
      </c>
      <c r="G313" s="215">
        <v>-2868.36</v>
      </c>
      <c r="H313" s="215">
        <v>-2931.7200000000003</v>
      </c>
      <c r="I313" s="215">
        <v>-2996.4</v>
      </c>
      <c r="J313" t="s">
        <v>73</v>
      </c>
    </row>
    <row r="314" spans="1:10" x14ac:dyDescent="0.3">
      <c r="A314" s="286">
        <v>604902</v>
      </c>
      <c r="B314" s="286">
        <v>42100</v>
      </c>
      <c r="E314" s="215">
        <v>0</v>
      </c>
      <c r="F314" s="215">
        <v>0</v>
      </c>
      <c r="G314" s="215">
        <v>0</v>
      </c>
      <c r="H314" s="215">
        <v>0</v>
      </c>
      <c r="I314" s="215">
        <v>0</v>
      </c>
      <c r="J314" t="s">
        <v>73</v>
      </c>
    </row>
    <row r="315" spans="1:10" x14ac:dyDescent="0.3">
      <c r="A315" s="286">
        <v>604902</v>
      </c>
      <c r="B315" s="286">
        <v>43803</v>
      </c>
      <c r="E315" s="215">
        <v>0</v>
      </c>
      <c r="F315" s="215">
        <v>0</v>
      </c>
      <c r="G315" s="215">
        <v>0</v>
      </c>
      <c r="H315" s="215">
        <v>0</v>
      </c>
      <c r="I315" s="215">
        <v>0</v>
      </c>
      <c r="J315" t="s">
        <v>73</v>
      </c>
    </row>
    <row r="316" spans="1:10" x14ac:dyDescent="0.3">
      <c r="A316" s="286">
        <v>604902</v>
      </c>
      <c r="B316" s="286">
        <v>43806</v>
      </c>
      <c r="E316" s="215">
        <v>0</v>
      </c>
      <c r="F316" s="215">
        <v>0</v>
      </c>
      <c r="G316" s="215">
        <v>0</v>
      </c>
      <c r="H316" s="215">
        <v>0</v>
      </c>
      <c r="I316" s="215">
        <v>0</v>
      </c>
      <c r="J316" t="s">
        <v>73</v>
      </c>
    </row>
    <row r="317" spans="1:10" x14ac:dyDescent="0.3">
      <c r="A317" s="286">
        <v>604902</v>
      </c>
      <c r="B317" s="286">
        <v>43812</v>
      </c>
      <c r="E317" s="215">
        <v>0</v>
      </c>
      <c r="F317" s="215">
        <v>0</v>
      </c>
      <c r="G317" s="215">
        <v>0</v>
      </c>
      <c r="H317" s="215">
        <v>0</v>
      </c>
      <c r="I317" s="215">
        <v>0</v>
      </c>
      <c r="J317" t="s">
        <v>73</v>
      </c>
    </row>
    <row r="318" spans="1:10" x14ac:dyDescent="0.3">
      <c r="A318" s="286">
        <v>604902</v>
      </c>
      <c r="B318" s="286">
        <v>42100</v>
      </c>
      <c r="E318" s="215">
        <v>0</v>
      </c>
      <c r="F318" s="215">
        <v>0</v>
      </c>
      <c r="G318" s="215">
        <v>0</v>
      </c>
      <c r="H318" s="215">
        <v>0</v>
      </c>
      <c r="I318" s="215">
        <v>0</v>
      </c>
      <c r="J318" t="s">
        <v>73</v>
      </c>
    </row>
    <row r="319" spans="1:10" x14ac:dyDescent="0.3">
      <c r="A319" s="286">
        <v>604902</v>
      </c>
      <c r="B319" s="286">
        <v>43803</v>
      </c>
      <c r="E319" s="215">
        <v>0</v>
      </c>
      <c r="F319" s="215">
        <v>0</v>
      </c>
      <c r="G319" s="215">
        <v>0</v>
      </c>
      <c r="H319" s="215">
        <v>0</v>
      </c>
      <c r="I319" s="215">
        <v>0</v>
      </c>
      <c r="J319" t="s">
        <v>73</v>
      </c>
    </row>
    <row r="320" spans="1:10" x14ac:dyDescent="0.3">
      <c r="A320" s="286">
        <v>604902</v>
      </c>
      <c r="B320" s="286">
        <v>43806</v>
      </c>
      <c r="E320" s="215">
        <v>0</v>
      </c>
      <c r="F320" s="215">
        <v>0</v>
      </c>
      <c r="G320" s="215">
        <v>0</v>
      </c>
      <c r="H320" s="215">
        <v>0</v>
      </c>
      <c r="I320" s="215">
        <v>0</v>
      </c>
      <c r="J320" t="s">
        <v>73</v>
      </c>
    </row>
    <row r="321" spans="1:10" x14ac:dyDescent="0.3">
      <c r="A321" s="286">
        <v>604902</v>
      </c>
      <c r="B321" s="286">
        <v>43812</v>
      </c>
      <c r="E321" s="215">
        <v>0</v>
      </c>
      <c r="F321" s="215">
        <v>0</v>
      </c>
      <c r="G321" s="215">
        <v>0</v>
      </c>
      <c r="H321" s="215">
        <v>0</v>
      </c>
      <c r="I321" s="215">
        <v>0</v>
      </c>
      <c r="J321" t="s">
        <v>73</v>
      </c>
    </row>
    <row r="322" spans="1:10" x14ac:dyDescent="0.3">
      <c r="A322" s="286">
        <v>604902</v>
      </c>
      <c r="B322" s="286">
        <v>42100</v>
      </c>
      <c r="E322" s="215">
        <v>-5133.8</v>
      </c>
      <c r="F322" s="215">
        <v>-5267.18</v>
      </c>
      <c r="G322" s="215">
        <v>-5383.08</v>
      </c>
      <c r="H322" s="215">
        <v>-5501.64</v>
      </c>
      <c r="I322" s="215">
        <v>-5622.4800000000005</v>
      </c>
      <c r="J322" t="s">
        <v>73</v>
      </c>
    </row>
    <row r="323" spans="1:10" x14ac:dyDescent="0.3">
      <c r="A323" s="286">
        <v>604902</v>
      </c>
      <c r="B323" s="286">
        <v>43803</v>
      </c>
      <c r="E323" s="215">
        <v>-6074.68</v>
      </c>
      <c r="F323" s="215">
        <v>-6232.76</v>
      </c>
      <c r="G323" s="215">
        <v>-6369.9400000000005</v>
      </c>
      <c r="H323" s="215">
        <v>-6509.78</v>
      </c>
      <c r="I323" s="215">
        <v>-6653.42</v>
      </c>
      <c r="J323" t="s">
        <v>73</v>
      </c>
    </row>
    <row r="324" spans="1:10" x14ac:dyDescent="0.3">
      <c r="A324" s="286">
        <v>604902</v>
      </c>
      <c r="B324" s="286">
        <v>43806</v>
      </c>
      <c r="E324" s="215">
        <v>-8839.56</v>
      </c>
      <c r="F324" s="215">
        <v>-9069.4600000000009</v>
      </c>
      <c r="G324" s="215">
        <v>-9268.9600000000009</v>
      </c>
      <c r="H324" s="215">
        <v>-9473.02</v>
      </c>
      <c r="I324" s="215">
        <v>-9681.26</v>
      </c>
      <c r="J324" t="s">
        <v>73</v>
      </c>
    </row>
    <row r="325" spans="1:10" x14ac:dyDescent="0.3">
      <c r="A325" s="286">
        <v>604902</v>
      </c>
      <c r="B325" s="286">
        <v>43812</v>
      </c>
      <c r="E325" s="215">
        <v>-2588.1799999999998</v>
      </c>
      <c r="F325" s="215">
        <v>-2655.44</v>
      </c>
      <c r="G325" s="215">
        <v>-2713.58</v>
      </c>
      <c r="H325" s="215">
        <v>-2773.62</v>
      </c>
      <c r="I325" s="215">
        <v>-2834.42</v>
      </c>
      <c r="J325" t="s">
        <v>73</v>
      </c>
    </row>
    <row r="326" spans="1:10" x14ac:dyDescent="0.3">
      <c r="A326" s="286">
        <v>604902</v>
      </c>
      <c r="B326" s="286">
        <v>47300</v>
      </c>
      <c r="E326" s="215">
        <v>-20747.62</v>
      </c>
      <c r="F326" s="215">
        <v>-17820.099999999999</v>
      </c>
      <c r="G326" s="215">
        <v>-20945.98</v>
      </c>
      <c r="H326" s="215">
        <v>-20945.98</v>
      </c>
      <c r="I326" s="215">
        <v>-20945.98</v>
      </c>
      <c r="J326" t="s">
        <v>73</v>
      </c>
    </row>
    <row r="327" spans="1:10" x14ac:dyDescent="0.3">
      <c r="A327" s="286">
        <v>604902</v>
      </c>
      <c r="B327" s="286">
        <v>42100</v>
      </c>
      <c r="E327" s="215">
        <v>-3917.8999999999996</v>
      </c>
      <c r="F327" s="215">
        <v>-4019.6899999999996</v>
      </c>
      <c r="G327" s="215">
        <v>-4108.1399999999994</v>
      </c>
      <c r="H327" s="215">
        <v>-4198.62</v>
      </c>
      <c r="I327" s="215">
        <v>-4290.84</v>
      </c>
      <c r="J327" t="s">
        <v>73</v>
      </c>
    </row>
    <row r="328" spans="1:10" x14ac:dyDescent="0.3">
      <c r="A328" s="286">
        <v>604902</v>
      </c>
      <c r="B328" s="286">
        <v>43803</v>
      </c>
      <c r="E328" s="215">
        <v>-4635.9399999999996</v>
      </c>
      <c r="F328" s="215">
        <v>-4756.58</v>
      </c>
      <c r="G328" s="215">
        <v>-4861.2699999999995</v>
      </c>
      <c r="H328" s="215">
        <v>-4967.99</v>
      </c>
      <c r="I328" s="215">
        <v>-5077.6099999999997</v>
      </c>
      <c r="J328" t="s">
        <v>73</v>
      </c>
    </row>
    <row r="329" spans="1:10" x14ac:dyDescent="0.3">
      <c r="A329" s="286">
        <v>604902</v>
      </c>
      <c r="B329" s="286">
        <v>43806</v>
      </c>
      <c r="E329" s="215">
        <v>-6745.98</v>
      </c>
      <c r="F329" s="215">
        <v>-6921.4299999999994</v>
      </c>
      <c r="G329" s="215">
        <v>-7073.6799999999994</v>
      </c>
      <c r="H329" s="215">
        <v>-7229.41</v>
      </c>
      <c r="I329" s="215">
        <v>-7388.33</v>
      </c>
      <c r="J329" t="s">
        <v>73</v>
      </c>
    </row>
    <row r="330" spans="1:10" x14ac:dyDescent="0.3">
      <c r="A330" s="286">
        <v>604902</v>
      </c>
      <c r="B330" s="286">
        <v>43812</v>
      </c>
      <c r="E330" s="215">
        <v>-1975.1899999999998</v>
      </c>
      <c r="F330" s="215">
        <v>-2026.5199999999998</v>
      </c>
      <c r="G330" s="215">
        <v>-2070.89</v>
      </c>
      <c r="H330" s="215">
        <v>-2116.71</v>
      </c>
      <c r="I330" s="215">
        <v>-2163.1099999999997</v>
      </c>
      <c r="J330" t="s">
        <v>73</v>
      </c>
    </row>
    <row r="331" spans="1:10" x14ac:dyDescent="0.3">
      <c r="A331" s="286">
        <v>604902</v>
      </c>
      <c r="B331" s="286">
        <v>47300</v>
      </c>
      <c r="E331" s="215">
        <v>-15833.71</v>
      </c>
      <c r="F331" s="215">
        <v>-13599.55</v>
      </c>
      <c r="G331" s="215">
        <v>-15985.089999999998</v>
      </c>
      <c r="H331" s="215">
        <v>-15985.089999999998</v>
      </c>
      <c r="I331" s="215">
        <v>-15985.089999999998</v>
      </c>
      <c r="J331" t="s">
        <v>73</v>
      </c>
    </row>
    <row r="332" spans="1:10" x14ac:dyDescent="0.3">
      <c r="A332" s="286">
        <v>604902</v>
      </c>
      <c r="B332" s="286">
        <v>42100</v>
      </c>
      <c r="E332" s="215">
        <v>-4458.3</v>
      </c>
      <c r="F332" s="215">
        <v>-4574.13</v>
      </c>
      <c r="G332" s="215">
        <v>-4674.7800000000007</v>
      </c>
      <c r="H332" s="215">
        <v>-4777.74</v>
      </c>
      <c r="I332" s="215">
        <v>-4882.68</v>
      </c>
      <c r="J332" t="s">
        <v>73</v>
      </c>
    </row>
    <row r="333" spans="1:10" x14ac:dyDescent="0.3">
      <c r="A333" s="286">
        <v>604902</v>
      </c>
      <c r="B333" s="286">
        <v>43803</v>
      </c>
      <c r="E333" s="215">
        <v>-5275.38</v>
      </c>
      <c r="F333" s="215">
        <v>-5412.66</v>
      </c>
      <c r="G333" s="215">
        <v>-5531.79</v>
      </c>
      <c r="H333" s="215">
        <v>-5653.2300000000005</v>
      </c>
      <c r="I333" s="215">
        <v>-5777.97</v>
      </c>
      <c r="J333" t="s">
        <v>73</v>
      </c>
    </row>
    <row r="334" spans="1:10" x14ac:dyDescent="0.3">
      <c r="A334" s="286">
        <v>604902</v>
      </c>
      <c r="B334" s="286">
        <v>43806</v>
      </c>
      <c r="E334" s="215">
        <v>-7676.46</v>
      </c>
      <c r="F334" s="215">
        <v>-7876.1100000000006</v>
      </c>
      <c r="G334" s="215">
        <v>-8049.3600000000006</v>
      </c>
      <c r="H334" s="215">
        <v>-8226.57</v>
      </c>
      <c r="I334" s="215">
        <v>-8407.41</v>
      </c>
      <c r="J334" t="s">
        <v>73</v>
      </c>
    </row>
    <row r="335" spans="1:10" x14ac:dyDescent="0.3">
      <c r="A335" s="286">
        <v>604902</v>
      </c>
      <c r="B335" s="286">
        <v>43812</v>
      </c>
      <c r="E335" s="215">
        <v>-2247.63</v>
      </c>
      <c r="F335" s="215">
        <v>-2306.04</v>
      </c>
      <c r="G335" s="215">
        <v>-2356.5300000000002</v>
      </c>
      <c r="H335" s="215">
        <v>-2408.67</v>
      </c>
      <c r="I335" s="215">
        <v>-2461.4700000000003</v>
      </c>
      <c r="J335" t="s">
        <v>73</v>
      </c>
    </row>
    <row r="336" spans="1:10" x14ac:dyDescent="0.3">
      <c r="A336" s="286">
        <v>604902</v>
      </c>
      <c r="B336" s="286">
        <v>47300</v>
      </c>
      <c r="E336" s="215">
        <v>-18017.670000000002</v>
      </c>
      <c r="F336" s="215">
        <v>-15475.35</v>
      </c>
      <c r="G336" s="215">
        <v>-18189.93</v>
      </c>
      <c r="H336" s="215">
        <v>-18189.93</v>
      </c>
      <c r="I336" s="215">
        <v>-18189.93</v>
      </c>
      <c r="J336" t="s">
        <v>73</v>
      </c>
    </row>
    <row r="337" spans="1:10" x14ac:dyDescent="0.3">
      <c r="A337" s="286">
        <v>605001</v>
      </c>
      <c r="B337" s="286">
        <v>85200</v>
      </c>
      <c r="E337" s="215">
        <v>-53071</v>
      </c>
      <c r="F337" s="215">
        <v>-53071</v>
      </c>
      <c r="G337" s="215">
        <v>-53071</v>
      </c>
      <c r="H337" s="215">
        <v>-53071</v>
      </c>
      <c r="I337" s="215">
        <v>-53071</v>
      </c>
      <c r="J337" t="s">
        <v>74</v>
      </c>
    </row>
    <row r="338" spans="1:10" x14ac:dyDescent="0.3">
      <c r="A338" s="286">
        <v>605001</v>
      </c>
      <c r="B338" s="286">
        <v>84480</v>
      </c>
      <c r="E338" s="215">
        <v>0</v>
      </c>
      <c r="F338" s="215">
        <v>0</v>
      </c>
      <c r="G338" s="215">
        <v>0</v>
      </c>
      <c r="H338" s="215">
        <v>0</v>
      </c>
      <c r="I338" s="215">
        <v>0</v>
      </c>
      <c r="J338" t="s">
        <v>74</v>
      </c>
    </row>
    <row r="339" spans="1:10" x14ac:dyDescent="0.3">
      <c r="A339" s="286">
        <v>605002</v>
      </c>
      <c r="B339" s="286">
        <v>43812</v>
      </c>
      <c r="E339" s="215">
        <v>12000</v>
      </c>
      <c r="F339" s="215">
        <v>18000</v>
      </c>
      <c r="G339" s="215">
        <v>18000</v>
      </c>
      <c r="H339" s="215">
        <v>18000</v>
      </c>
      <c r="I339" s="215">
        <v>18000</v>
      </c>
      <c r="J339" t="s">
        <v>74</v>
      </c>
    </row>
    <row r="340" spans="1:10" x14ac:dyDescent="0.3">
      <c r="A340" s="286">
        <v>605002</v>
      </c>
      <c r="B340" s="286">
        <v>44380</v>
      </c>
      <c r="E340" s="215">
        <v>11938</v>
      </c>
      <c r="F340" s="215">
        <v>11938</v>
      </c>
      <c r="G340" s="215">
        <v>11938</v>
      </c>
      <c r="H340" s="215">
        <v>11938</v>
      </c>
      <c r="I340" s="215">
        <v>11938</v>
      </c>
      <c r="J340" t="s">
        <v>74</v>
      </c>
    </row>
    <row r="341" spans="1:10" x14ac:dyDescent="0.3">
      <c r="A341" s="286">
        <v>605002</v>
      </c>
      <c r="B341" s="286">
        <v>47300</v>
      </c>
      <c r="E341" s="215">
        <v>0</v>
      </c>
      <c r="F341" s="215">
        <v>0</v>
      </c>
      <c r="G341" s="215">
        <v>0</v>
      </c>
      <c r="H341" s="215">
        <v>0</v>
      </c>
      <c r="I341" s="215">
        <v>0</v>
      </c>
      <c r="J341" t="s">
        <v>74</v>
      </c>
    </row>
    <row r="342" spans="1:10" x14ac:dyDescent="0.3">
      <c r="A342" s="286">
        <v>605002</v>
      </c>
      <c r="B342" s="286">
        <v>85100</v>
      </c>
      <c r="E342" s="215">
        <v>0</v>
      </c>
      <c r="F342" s="215">
        <v>0</v>
      </c>
      <c r="G342" s="215">
        <v>0</v>
      </c>
      <c r="H342" s="215">
        <v>0</v>
      </c>
      <c r="I342" s="215">
        <v>0</v>
      </c>
      <c r="J342" t="s">
        <v>74</v>
      </c>
    </row>
    <row r="343" spans="1:10" x14ac:dyDescent="0.3">
      <c r="A343" s="286">
        <v>605003</v>
      </c>
      <c r="B343" s="286">
        <v>45100</v>
      </c>
      <c r="E343" s="215">
        <v>180625</v>
      </c>
      <c r="F343" s="215">
        <v>174833</v>
      </c>
      <c r="G343" s="215">
        <v>300642</v>
      </c>
      <c r="H343" s="215">
        <v>450250</v>
      </c>
      <c r="I343" s="215">
        <v>444458.33</v>
      </c>
      <c r="J343" t="s">
        <v>74</v>
      </c>
    </row>
    <row r="344" spans="1:10" x14ac:dyDescent="0.3">
      <c r="A344" s="286">
        <v>605003</v>
      </c>
      <c r="B344" s="286">
        <v>47400</v>
      </c>
      <c r="E344" s="215">
        <v>-143318</v>
      </c>
      <c r="F344" s="215">
        <v>0</v>
      </c>
      <c r="G344" s="215">
        <v>0</v>
      </c>
      <c r="H344" s="215">
        <v>750000</v>
      </c>
      <c r="I344" s="215">
        <v>1250000</v>
      </c>
      <c r="J344" t="s">
        <v>74</v>
      </c>
    </row>
    <row r="345" spans="1:10" x14ac:dyDescent="0.3">
      <c r="A345" s="286">
        <v>605003</v>
      </c>
      <c r="B345" s="286">
        <v>85100</v>
      </c>
      <c r="E345" s="215">
        <v>-332132.73802499997</v>
      </c>
      <c r="F345" s="215">
        <v>-70250.146550000005</v>
      </c>
      <c r="G345" s="215">
        <v>-56703.882089999999</v>
      </c>
      <c r="H345" s="215">
        <v>-55089.455555</v>
      </c>
      <c r="I345" s="215">
        <v>-53403.46</v>
      </c>
      <c r="J345" t="s">
        <v>74</v>
      </c>
    </row>
    <row r="346" spans="1:10" x14ac:dyDescent="0.3">
      <c r="A346" s="286">
        <v>605901</v>
      </c>
      <c r="B346" s="286">
        <v>41100</v>
      </c>
      <c r="E346" s="215">
        <v>0</v>
      </c>
      <c r="F346" s="215">
        <v>0</v>
      </c>
      <c r="G346" s="215">
        <v>0</v>
      </c>
      <c r="H346" s="215">
        <v>0</v>
      </c>
      <c r="I346" s="215">
        <v>0</v>
      </c>
      <c r="J346" t="s">
        <v>74</v>
      </c>
    </row>
    <row r="347" spans="1:10" x14ac:dyDescent="0.3">
      <c r="A347" s="286">
        <v>605901</v>
      </c>
      <c r="B347" s="286">
        <v>47300</v>
      </c>
      <c r="E347" s="215">
        <v>0</v>
      </c>
      <c r="F347" s="215">
        <v>0</v>
      </c>
      <c r="G347" s="215">
        <v>0</v>
      </c>
      <c r="H347" s="215">
        <v>0</v>
      </c>
      <c r="I347" s="215">
        <v>0</v>
      </c>
      <c r="J347" t="s">
        <v>74</v>
      </c>
    </row>
    <row r="348" spans="1:10" x14ac:dyDescent="0.3">
      <c r="A348" s="286">
        <v>606002</v>
      </c>
      <c r="B348" s="286">
        <v>43511</v>
      </c>
      <c r="E348" s="215">
        <v>21463</v>
      </c>
      <c r="F348" s="215">
        <v>22000</v>
      </c>
      <c r="G348" s="215">
        <v>22484</v>
      </c>
      <c r="H348" s="215">
        <v>22979</v>
      </c>
      <c r="I348" s="215">
        <v>23485</v>
      </c>
      <c r="J348" t="s">
        <v>75</v>
      </c>
    </row>
    <row r="349" spans="1:10" x14ac:dyDescent="0.3">
      <c r="A349" s="286">
        <v>606002</v>
      </c>
      <c r="B349" s="286">
        <v>43812</v>
      </c>
      <c r="E349" s="215">
        <v>62948</v>
      </c>
      <c r="F349" s="215">
        <v>65000</v>
      </c>
      <c r="G349" s="215">
        <v>66430</v>
      </c>
      <c r="H349" s="215">
        <v>67891</v>
      </c>
      <c r="I349" s="215">
        <v>69385</v>
      </c>
      <c r="J349" t="s">
        <v>75</v>
      </c>
    </row>
    <row r="350" spans="1:10" x14ac:dyDescent="0.3">
      <c r="A350" s="286">
        <v>606002</v>
      </c>
      <c r="B350" s="286">
        <v>43511</v>
      </c>
      <c r="E350" s="215">
        <v>-8585</v>
      </c>
      <c r="F350" s="215">
        <v>-8800</v>
      </c>
      <c r="G350" s="215">
        <v>-8994</v>
      </c>
      <c r="H350" s="215">
        <v>-9192</v>
      </c>
      <c r="I350" s="215">
        <v>-9394</v>
      </c>
      <c r="J350" t="s">
        <v>75</v>
      </c>
    </row>
    <row r="351" spans="1:10" x14ac:dyDescent="0.3">
      <c r="A351" s="286">
        <v>606002</v>
      </c>
      <c r="B351" s="286">
        <v>43812</v>
      </c>
      <c r="E351" s="215">
        <v>-25179</v>
      </c>
      <c r="F351" s="215">
        <v>-26000</v>
      </c>
      <c r="G351" s="215">
        <v>-26572</v>
      </c>
      <c r="H351" s="215">
        <v>-27156</v>
      </c>
      <c r="I351" s="215">
        <v>-27754</v>
      </c>
      <c r="J351" t="s">
        <v>75</v>
      </c>
    </row>
    <row r="352" spans="1:10" x14ac:dyDescent="0.3">
      <c r="A352" s="286">
        <v>606003</v>
      </c>
      <c r="B352" s="286">
        <v>43812</v>
      </c>
      <c r="E352" s="215">
        <v>89730</v>
      </c>
      <c r="F352" s="215">
        <v>92062</v>
      </c>
      <c r="G352" s="215">
        <v>94087</v>
      </c>
      <c r="H352" s="215">
        <v>96157</v>
      </c>
      <c r="I352" s="215">
        <v>98272</v>
      </c>
      <c r="J352" t="s">
        <v>75</v>
      </c>
    </row>
    <row r="353" spans="1:10" x14ac:dyDescent="0.3">
      <c r="A353" s="286">
        <v>606003</v>
      </c>
      <c r="B353" s="286">
        <v>43812</v>
      </c>
      <c r="E353" s="215">
        <v>-62811</v>
      </c>
      <c r="F353" s="215">
        <v>-64443</v>
      </c>
      <c r="G353" s="215">
        <v>-65860</v>
      </c>
      <c r="H353" s="215">
        <v>-67309</v>
      </c>
      <c r="I353" s="215">
        <v>-68790</v>
      </c>
      <c r="J353" t="s">
        <v>75</v>
      </c>
    </row>
    <row r="354" spans="1:10" x14ac:dyDescent="0.3">
      <c r="A354" s="286">
        <v>606901</v>
      </c>
      <c r="B354" s="286">
        <v>41100</v>
      </c>
      <c r="E354" s="215">
        <v>101480</v>
      </c>
      <c r="F354" s="215">
        <v>92269</v>
      </c>
      <c r="G354" s="215">
        <v>96513</v>
      </c>
      <c r="H354" s="215">
        <v>100953</v>
      </c>
      <c r="I354" s="215">
        <v>105597</v>
      </c>
      <c r="J354" t="s">
        <v>75</v>
      </c>
    </row>
    <row r="355" spans="1:10" x14ac:dyDescent="0.3">
      <c r="A355" s="286">
        <v>606001</v>
      </c>
      <c r="B355" s="286">
        <v>82210</v>
      </c>
      <c r="E355" s="215">
        <v>-5061000</v>
      </c>
      <c r="F355" s="215">
        <v>-5650000.4835999999</v>
      </c>
      <c r="G355" s="215">
        <v>-6373000</v>
      </c>
      <c r="H355" s="215">
        <v>-6970000</v>
      </c>
      <c r="I355" s="215">
        <v>-7603000</v>
      </c>
      <c r="J355" t="s">
        <v>75</v>
      </c>
    </row>
    <row r="356" spans="1:10" x14ac:dyDescent="0.3">
      <c r="A356" s="286">
        <v>606003</v>
      </c>
      <c r="B356" s="286">
        <v>83800</v>
      </c>
      <c r="E356" s="215">
        <v>-30186</v>
      </c>
      <c r="F356" s="215">
        <v>-30971</v>
      </c>
      <c r="G356" s="215">
        <v>-31652</v>
      </c>
      <c r="H356" s="215">
        <v>-32348</v>
      </c>
      <c r="I356" s="215">
        <v>-33060</v>
      </c>
      <c r="J356" t="s">
        <v>75</v>
      </c>
    </row>
    <row r="357" spans="1:10" x14ac:dyDescent="0.3">
      <c r="A357" s="286">
        <v>606003</v>
      </c>
      <c r="B357" s="286">
        <v>83800</v>
      </c>
      <c r="E357" s="215">
        <v>21130</v>
      </c>
      <c r="F357" s="215">
        <v>21679</v>
      </c>
      <c r="G357" s="215">
        <v>22156</v>
      </c>
      <c r="H357" s="215">
        <v>22644</v>
      </c>
      <c r="I357" s="215">
        <v>23142</v>
      </c>
      <c r="J357" t="s">
        <v>75</v>
      </c>
    </row>
    <row r="358" spans="1:10" x14ac:dyDescent="0.3">
      <c r="A358" s="286">
        <v>607901</v>
      </c>
      <c r="B358" s="286">
        <v>41100</v>
      </c>
      <c r="E358" s="215">
        <v>87104</v>
      </c>
      <c r="F358" s="215">
        <v>77455</v>
      </c>
      <c r="G358" s="215">
        <v>81018</v>
      </c>
      <c r="H358" s="215">
        <v>84745</v>
      </c>
      <c r="I358" s="215">
        <v>88643</v>
      </c>
      <c r="J358" t="s">
        <v>76</v>
      </c>
    </row>
    <row r="359" spans="1:10" x14ac:dyDescent="0.3">
      <c r="A359" s="286">
        <v>607901</v>
      </c>
      <c r="B359" s="286">
        <v>43511</v>
      </c>
      <c r="E359" s="215">
        <v>8585</v>
      </c>
      <c r="F359" s="215">
        <v>8800</v>
      </c>
      <c r="G359" s="215">
        <v>8994</v>
      </c>
      <c r="H359" s="215">
        <v>9192</v>
      </c>
      <c r="I359" s="215">
        <v>9394</v>
      </c>
      <c r="J359" t="s">
        <v>76</v>
      </c>
    </row>
    <row r="360" spans="1:10" x14ac:dyDescent="0.3">
      <c r="A360" s="286">
        <v>607901</v>
      </c>
      <c r="B360" s="286">
        <v>43812</v>
      </c>
      <c r="E360" s="215">
        <v>25179</v>
      </c>
      <c r="F360" s="215">
        <v>26000</v>
      </c>
      <c r="G360" s="215">
        <v>26572</v>
      </c>
      <c r="H360" s="215">
        <v>27156</v>
      </c>
      <c r="I360" s="215">
        <v>27754</v>
      </c>
      <c r="J360" t="s">
        <v>76</v>
      </c>
    </row>
    <row r="361" spans="1:10" x14ac:dyDescent="0.3">
      <c r="A361" s="286">
        <v>607901</v>
      </c>
      <c r="B361" s="286">
        <v>43812</v>
      </c>
      <c r="E361" s="215">
        <v>17946</v>
      </c>
      <c r="F361" s="215">
        <v>18412</v>
      </c>
      <c r="G361" s="215">
        <v>18817</v>
      </c>
      <c r="H361" s="215">
        <v>19231</v>
      </c>
      <c r="I361" s="215">
        <v>19654</v>
      </c>
      <c r="J361" t="s">
        <v>76</v>
      </c>
    </row>
    <row r="362" spans="1:10" x14ac:dyDescent="0.3">
      <c r="A362" s="286">
        <v>607001</v>
      </c>
      <c r="B362" s="286">
        <v>82210</v>
      </c>
      <c r="E362" s="215">
        <v>-1537000</v>
      </c>
      <c r="F362" s="215">
        <v>-1644000</v>
      </c>
      <c r="G362" s="215">
        <v>-1851000</v>
      </c>
      <c r="H362" s="215">
        <v>-2010000</v>
      </c>
      <c r="I362" s="215">
        <v>-2183000</v>
      </c>
      <c r="J362" t="s">
        <v>76</v>
      </c>
    </row>
    <row r="363" spans="1:10" x14ac:dyDescent="0.3">
      <c r="A363" s="286">
        <v>607002</v>
      </c>
      <c r="B363" s="286">
        <v>82210</v>
      </c>
      <c r="E363" s="215">
        <v>-2085000</v>
      </c>
      <c r="F363" s="215">
        <v>-2366000</v>
      </c>
      <c r="G363" s="215">
        <v>-2662000</v>
      </c>
      <c r="H363" s="215">
        <v>-2887000</v>
      </c>
      <c r="I363" s="215">
        <v>-3131000</v>
      </c>
      <c r="J363" t="s">
        <v>76</v>
      </c>
    </row>
    <row r="364" spans="1:10" x14ac:dyDescent="0.3">
      <c r="A364" s="286">
        <v>607901</v>
      </c>
      <c r="B364" s="286">
        <v>83800</v>
      </c>
      <c r="E364" s="215">
        <v>-6037</v>
      </c>
      <c r="F364" s="215">
        <v>-6194</v>
      </c>
      <c r="G364" s="215">
        <v>-6330</v>
      </c>
      <c r="H364" s="215">
        <v>-6470</v>
      </c>
      <c r="I364" s="215">
        <v>-6612</v>
      </c>
      <c r="J364" t="s">
        <v>76</v>
      </c>
    </row>
    <row r="365" spans="1:10" x14ac:dyDescent="0.3">
      <c r="A365" s="286">
        <v>609901</v>
      </c>
      <c r="B365" s="286">
        <v>41100</v>
      </c>
      <c r="E365" s="215">
        <v>63955</v>
      </c>
      <c r="F365" s="215">
        <v>65986</v>
      </c>
      <c r="G365" s="215">
        <v>69021</v>
      </c>
      <c r="H365" s="215">
        <v>72196</v>
      </c>
      <c r="I365" s="215">
        <v>75517</v>
      </c>
      <c r="J365" t="s">
        <v>77</v>
      </c>
    </row>
    <row r="366" spans="1:10" x14ac:dyDescent="0.3">
      <c r="A366" s="286">
        <v>609001</v>
      </c>
      <c r="B366" s="286">
        <v>84480</v>
      </c>
      <c r="E366" s="215">
        <v>0</v>
      </c>
      <c r="F366" s="215">
        <v>0</v>
      </c>
      <c r="G366" s="215">
        <v>0</v>
      </c>
      <c r="H366" s="215">
        <v>0</v>
      </c>
      <c r="I366" s="215">
        <v>0</v>
      </c>
      <c r="J366" t="s">
        <v>77</v>
      </c>
    </row>
    <row r="367" spans="1:10" x14ac:dyDescent="0.3">
      <c r="A367" s="286">
        <v>609003</v>
      </c>
      <c r="B367" s="286">
        <v>83300</v>
      </c>
      <c r="E367" s="215">
        <v>-83519</v>
      </c>
      <c r="F367" s="215">
        <v>-86286.491999999998</v>
      </c>
      <c r="G367" s="215">
        <v>-89404.379220000003</v>
      </c>
      <c r="H367" s="215">
        <v>-92635.337492699997</v>
      </c>
      <c r="I367" s="215">
        <v>-95857.279304944488</v>
      </c>
      <c r="J367" t="s">
        <v>77</v>
      </c>
    </row>
    <row r="368" spans="1:10" x14ac:dyDescent="0.3">
      <c r="A368" s="286">
        <v>609002</v>
      </c>
      <c r="B368" s="286">
        <v>82210</v>
      </c>
      <c r="E368" s="215">
        <v>0</v>
      </c>
      <c r="F368" s="215">
        <v>0</v>
      </c>
      <c r="G368" s="215">
        <v>0</v>
      </c>
      <c r="H368" s="215">
        <v>0</v>
      </c>
      <c r="I368" s="215">
        <v>0</v>
      </c>
      <c r="J368" t="s">
        <v>77</v>
      </c>
    </row>
    <row r="369" spans="1:10" x14ac:dyDescent="0.3">
      <c r="A369" s="286">
        <v>610001</v>
      </c>
      <c r="B369" s="286">
        <v>43812</v>
      </c>
      <c r="E369" s="215">
        <v>5634</v>
      </c>
      <c r="F369" s="215">
        <v>5780</v>
      </c>
      <c r="G369" s="215">
        <v>5907</v>
      </c>
      <c r="H369" s="215">
        <v>6037</v>
      </c>
      <c r="I369" s="215">
        <v>6170</v>
      </c>
      <c r="J369" t="s">
        <v>78</v>
      </c>
    </row>
    <row r="370" spans="1:10" x14ac:dyDescent="0.3">
      <c r="A370" s="286">
        <v>610001</v>
      </c>
      <c r="B370" s="286">
        <v>84310</v>
      </c>
      <c r="E370" s="215">
        <v>-59665457</v>
      </c>
      <c r="F370" s="215">
        <v>-63264435</v>
      </c>
      <c r="G370" s="215">
        <v>-65440609</v>
      </c>
      <c r="H370" s="215">
        <v>-66133443</v>
      </c>
      <c r="I370" s="215">
        <v>-68978504</v>
      </c>
      <c r="J370" t="s">
        <v>78</v>
      </c>
    </row>
    <row r="371" spans="1:10" x14ac:dyDescent="0.3">
      <c r="A371" s="286">
        <v>611002</v>
      </c>
      <c r="B371" s="286">
        <v>44390</v>
      </c>
      <c r="E371" s="215">
        <v>50000</v>
      </c>
      <c r="F371" s="215">
        <v>50000</v>
      </c>
      <c r="G371" s="215">
        <v>51100</v>
      </c>
      <c r="H371" s="215">
        <v>52224</v>
      </c>
      <c r="I371" s="215">
        <v>53373</v>
      </c>
      <c r="J371" t="s">
        <v>79</v>
      </c>
    </row>
    <row r="372" spans="1:10" x14ac:dyDescent="0.3">
      <c r="A372" s="286">
        <v>611004</v>
      </c>
      <c r="B372" s="286">
        <v>43812</v>
      </c>
      <c r="E372" s="215">
        <v>713350</v>
      </c>
      <c r="F372" s="215">
        <v>-178427</v>
      </c>
      <c r="G372" s="215">
        <v>320620</v>
      </c>
      <c r="H372" s="215">
        <v>151777</v>
      </c>
      <c r="I372" s="215">
        <v>151778</v>
      </c>
      <c r="J372" t="s">
        <v>79</v>
      </c>
    </row>
    <row r="373" spans="1:10" x14ac:dyDescent="0.3">
      <c r="A373" s="286">
        <v>611005</v>
      </c>
      <c r="B373" s="286">
        <v>43812</v>
      </c>
      <c r="E373" s="215">
        <v>25144</v>
      </c>
      <c r="F373" s="215">
        <v>43660</v>
      </c>
      <c r="G373" s="215">
        <v>43660</v>
      </c>
      <c r="H373" s="215">
        <v>43660</v>
      </c>
      <c r="I373" s="215">
        <v>43660</v>
      </c>
      <c r="J373" t="s">
        <v>79</v>
      </c>
    </row>
    <row r="374" spans="1:10" x14ac:dyDescent="0.3">
      <c r="A374" s="286">
        <v>611009</v>
      </c>
      <c r="B374" s="286">
        <v>43812</v>
      </c>
      <c r="E374" s="215">
        <v>0</v>
      </c>
      <c r="F374" s="215">
        <v>0</v>
      </c>
      <c r="G374" s="215">
        <v>0</v>
      </c>
      <c r="H374" s="215">
        <v>0</v>
      </c>
      <c r="I374" s="215">
        <v>0</v>
      </c>
      <c r="J374" t="s">
        <v>79</v>
      </c>
    </row>
    <row r="375" spans="1:10" x14ac:dyDescent="0.3">
      <c r="A375" s="286">
        <v>611006</v>
      </c>
      <c r="B375" s="286">
        <v>43812</v>
      </c>
      <c r="E375" s="215">
        <v>132828</v>
      </c>
      <c r="F375" s="215">
        <v>136282</v>
      </c>
      <c r="G375" s="215">
        <v>139280</v>
      </c>
      <c r="H375" s="215">
        <v>142344</v>
      </c>
      <c r="I375" s="215">
        <v>145476</v>
      </c>
      <c r="J375" t="s">
        <v>79</v>
      </c>
    </row>
    <row r="376" spans="1:10" x14ac:dyDescent="0.3">
      <c r="A376" s="286">
        <v>611007</v>
      </c>
      <c r="B376" s="286">
        <v>84510</v>
      </c>
      <c r="E376" s="215">
        <v>0</v>
      </c>
      <c r="F376" s="215">
        <v>0</v>
      </c>
      <c r="G376" s="215">
        <v>0</v>
      </c>
      <c r="H376" s="215">
        <v>0</v>
      </c>
      <c r="I376" s="215">
        <v>0</v>
      </c>
      <c r="J376" t="s">
        <v>79</v>
      </c>
    </row>
    <row r="377" spans="1:10" x14ac:dyDescent="0.3">
      <c r="A377" s="286">
        <v>611001</v>
      </c>
      <c r="B377" s="286">
        <v>83800</v>
      </c>
      <c r="E377" s="215">
        <v>0</v>
      </c>
      <c r="F377" s="215">
        <v>0</v>
      </c>
      <c r="G377" s="215">
        <v>0</v>
      </c>
      <c r="H377" s="215">
        <v>0</v>
      </c>
      <c r="I377" s="215">
        <v>0</v>
      </c>
      <c r="J377" t="s">
        <v>79</v>
      </c>
    </row>
    <row r="378" spans="1:10" x14ac:dyDescent="0.3">
      <c r="A378" s="286">
        <v>611011</v>
      </c>
      <c r="B378" s="286">
        <v>84580</v>
      </c>
      <c r="E378" s="215">
        <v>-680</v>
      </c>
      <c r="F378" s="215">
        <v>-680</v>
      </c>
      <c r="G378" s="215">
        <v>-680</v>
      </c>
      <c r="H378" s="215">
        <v>-680</v>
      </c>
      <c r="I378" s="215">
        <v>-680</v>
      </c>
      <c r="J378" t="s">
        <v>79</v>
      </c>
    </row>
    <row r="379" spans="1:10" x14ac:dyDescent="0.3">
      <c r="A379" s="286">
        <v>624002</v>
      </c>
      <c r="B379" s="286">
        <v>84580</v>
      </c>
      <c r="E379" s="215">
        <v>-46594</v>
      </c>
      <c r="F379" s="215">
        <v>-47805</v>
      </c>
      <c r="G379" s="215">
        <v>-48856</v>
      </c>
      <c r="H379" s="215">
        <v>-49931</v>
      </c>
      <c r="I379" s="215">
        <v>-51029</v>
      </c>
      <c r="J379" t="s">
        <v>79</v>
      </c>
    </row>
    <row r="380" spans="1:10" x14ac:dyDescent="0.3">
      <c r="A380" s="286">
        <v>611901</v>
      </c>
      <c r="B380" s="286">
        <v>41100</v>
      </c>
      <c r="E380" s="215">
        <v>0</v>
      </c>
      <c r="F380" s="215">
        <v>0</v>
      </c>
      <c r="G380" s="215">
        <v>0</v>
      </c>
      <c r="H380" s="215">
        <v>0</v>
      </c>
      <c r="I380" s="215">
        <v>0</v>
      </c>
      <c r="J380" t="s">
        <v>79</v>
      </c>
    </row>
    <row r="381" spans="1:10" x14ac:dyDescent="0.3">
      <c r="A381" s="286">
        <v>612001</v>
      </c>
      <c r="B381" s="286">
        <v>42100</v>
      </c>
      <c r="E381" s="215">
        <v>0</v>
      </c>
      <c r="F381" s="215">
        <v>11400</v>
      </c>
      <c r="G381" s="215">
        <v>11400</v>
      </c>
      <c r="H381" s="215">
        <v>11400</v>
      </c>
      <c r="I381" s="215">
        <v>11400</v>
      </c>
      <c r="J381" t="s">
        <v>80</v>
      </c>
    </row>
    <row r="382" spans="1:10" x14ac:dyDescent="0.3">
      <c r="A382" s="286">
        <v>613001</v>
      </c>
      <c r="B382" s="286">
        <v>87100</v>
      </c>
      <c r="E382" s="215">
        <v>0</v>
      </c>
      <c r="F382" s="215">
        <v>0</v>
      </c>
      <c r="G382" s="215">
        <v>0</v>
      </c>
      <c r="H382" s="215">
        <v>0</v>
      </c>
      <c r="I382" s="215">
        <v>0</v>
      </c>
      <c r="J382" t="s">
        <v>81</v>
      </c>
    </row>
    <row r="383" spans="1:10" x14ac:dyDescent="0.3">
      <c r="A383" s="286">
        <v>613003</v>
      </c>
      <c r="B383" s="286">
        <v>87100</v>
      </c>
      <c r="E383" s="215">
        <v>-70407</v>
      </c>
      <c r="F383" s="215">
        <v>-20406</v>
      </c>
      <c r="G383" s="215">
        <v>-20406</v>
      </c>
      <c r="H383" s="215">
        <v>-20406</v>
      </c>
      <c r="I383" s="215">
        <v>-20406</v>
      </c>
      <c r="J383" t="s">
        <v>81</v>
      </c>
    </row>
    <row r="384" spans="1:10" x14ac:dyDescent="0.3">
      <c r="A384" s="286">
        <v>613004</v>
      </c>
      <c r="B384" s="286">
        <v>47100</v>
      </c>
      <c r="E384" s="215">
        <v>250000</v>
      </c>
      <c r="F384" s="215">
        <v>250000</v>
      </c>
      <c r="G384" s="215">
        <v>250000</v>
      </c>
      <c r="H384" s="215">
        <v>250000</v>
      </c>
      <c r="I384" s="215">
        <v>250000</v>
      </c>
      <c r="J384" t="s">
        <v>81</v>
      </c>
    </row>
    <row r="385" spans="1:10" x14ac:dyDescent="0.3">
      <c r="A385" s="286">
        <v>613004</v>
      </c>
      <c r="B385" s="286">
        <v>87100</v>
      </c>
      <c r="E385" s="215">
        <v>-406822</v>
      </c>
      <c r="F385" s="215">
        <v>-375513</v>
      </c>
      <c r="G385" s="215">
        <v>-355743</v>
      </c>
      <c r="H385" s="215">
        <v>-338165</v>
      </c>
      <c r="I385" s="215">
        <v>-308977</v>
      </c>
      <c r="J385" t="s">
        <v>81</v>
      </c>
    </row>
    <row r="386" spans="1:10" x14ac:dyDescent="0.3">
      <c r="A386" s="286">
        <v>613005</v>
      </c>
      <c r="B386" s="286">
        <v>47100</v>
      </c>
      <c r="E386" s="215">
        <v>1857</v>
      </c>
      <c r="F386" s="215">
        <v>1578</v>
      </c>
      <c r="G386" s="215">
        <v>1288</v>
      </c>
      <c r="H386" s="215">
        <v>985</v>
      </c>
      <c r="I386" s="215">
        <v>670</v>
      </c>
      <c r="J386" t="s">
        <v>81</v>
      </c>
    </row>
    <row r="387" spans="1:10" x14ac:dyDescent="0.3">
      <c r="A387" s="286">
        <v>613005</v>
      </c>
      <c r="B387" s="286">
        <v>87100</v>
      </c>
      <c r="E387" s="215">
        <v>0</v>
      </c>
      <c r="F387" s="215">
        <v>0</v>
      </c>
      <c r="G387" s="215">
        <v>0</v>
      </c>
      <c r="H387" s="215">
        <v>0</v>
      </c>
      <c r="I387" s="215">
        <v>0</v>
      </c>
      <c r="J387" t="s">
        <v>81</v>
      </c>
    </row>
    <row r="388" spans="1:10" x14ac:dyDescent="0.3">
      <c r="A388" s="286">
        <v>613013</v>
      </c>
      <c r="B388" s="286">
        <v>47100</v>
      </c>
      <c r="E388" s="215">
        <v>87014</v>
      </c>
      <c r="F388" s="215">
        <v>0</v>
      </c>
      <c r="G388" s="215">
        <v>0</v>
      </c>
      <c r="H388" s="215">
        <v>0</v>
      </c>
      <c r="I388" s="215">
        <v>0</v>
      </c>
      <c r="J388" t="s">
        <v>81</v>
      </c>
    </row>
    <row r="389" spans="1:10" x14ac:dyDescent="0.3">
      <c r="A389" s="286">
        <v>613013</v>
      </c>
      <c r="B389" s="286">
        <v>87100</v>
      </c>
      <c r="E389" s="215">
        <v>-287014</v>
      </c>
      <c r="F389" s="215">
        <v>0</v>
      </c>
      <c r="G389" s="215">
        <v>0</v>
      </c>
      <c r="H389" s="215">
        <v>0</v>
      </c>
      <c r="I389" s="215">
        <v>0</v>
      </c>
      <c r="J389" t="s">
        <v>81</v>
      </c>
    </row>
    <row r="390" spans="1:10" x14ac:dyDescent="0.3">
      <c r="A390" s="286">
        <v>613015</v>
      </c>
      <c r="B390" s="286">
        <v>87100</v>
      </c>
      <c r="E390" s="215">
        <v>-12685</v>
      </c>
      <c r="F390" s="215">
        <v>-12683</v>
      </c>
      <c r="G390" s="215">
        <v>-8164</v>
      </c>
      <c r="H390" s="215">
        <v>-8164</v>
      </c>
      <c r="I390" s="215">
        <v>-8164</v>
      </c>
      <c r="J390" t="s">
        <v>81</v>
      </c>
    </row>
    <row r="391" spans="1:10" x14ac:dyDescent="0.3">
      <c r="A391" s="286">
        <v>613016</v>
      </c>
      <c r="B391" s="286">
        <v>87100</v>
      </c>
      <c r="E391" s="215">
        <v>0</v>
      </c>
      <c r="F391" s="215">
        <v>0</v>
      </c>
      <c r="G391" s="215">
        <v>0</v>
      </c>
      <c r="H391" s="215">
        <v>0</v>
      </c>
      <c r="I391" s="215">
        <v>0</v>
      </c>
      <c r="J391" t="s">
        <v>81</v>
      </c>
    </row>
    <row r="392" spans="1:10" x14ac:dyDescent="0.3">
      <c r="A392" s="286">
        <v>613017</v>
      </c>
      <c r="B392" s="286">
        <v>47100</v>
      </c>
      <c r="E392" s="215">
        <v>0</v>
      </c>
      <c r="F392" s="215">
        <v>0</v>
      </c>
      <c r="G392" s="215">
        <v>0</v>
      </c>
      <c r="H392" s="215">
        <v>0</v>
      </c>
      <c r="I392" s="215">
        <v>0</v>
      </c>
      <c r="J392" t="s">
        <v>81</v>
      </c>
    </row>
    <row r="393" spans="1:10" x14ac:dyDescent="0.3">
      <c r="A393" s="286">
        <v>613017</v>
      </c>
      <c r="B393" s="286">
        <v>87100</v>
      </c>
      <c r="E393" s="215">
        <v>-517523</v>
      </c>
      <c r="F393" s="215">
        <v>-564240</v>
      </c>
      <c r="G393" s="215">
        <v>-564238</v>
      </c>
      <c r="H393" s="215">
        <v>-564238</v>
      </c>
      <c r="I393" s="215">
        <v>-754699</v>
      </c>
      <c r="J393" t="s">
        <v>81</v>
      </c>
    </row>
    <row r="394" spans="1:10" x14ac:dyDescent="0.3">
      <c r="A394" s="286">
        <v>613018</v>
      </c>
      <c r="B394" s="286">
        <v>87100</v>
      </c>
      <c r="E394" s="215">
        <v>-31806</v>
      </c>
      <c r="F394" s="215">
        <v>-31806</v>
      </c>
      <c r="G394" s="215">
        <v>-31806</v>
      </c>
      <c r="H394" s="215">
        <v>-31806</v>
      </c>
      <c r="I394" s="215">
        <v>-31806</v>
      </c>
      <c r="J394" t="s">
        <v>81</v>
      </c>
    </row>
    <row r="395" spans="1:10" x14ac:dyDescent="0.3">
      <c r="A395" s="286">
        <v>613022</v>
      </c>
      <c r="B395" s="286">
        <v>87100</v>
      </c>
      <c r="E395" s="215">
        <v>0</v>
      </c>
      <c r="F395" s="215">
        <v>0</v>
      </c>
      <c r="G395" s="215">
        <v>0</v>
      </c>
      <c r="H395" s="215">
        <v>0</v>
      </c>
      <c r="I395" s="215">
        <v>0</v>
      </c>
      <c r="J395" t="s">
        <v>81</v>
      </c>
    </row>
    <row r="396" spans="1:10" x14ac:dyDescent="0.3">
      <c r="A396" s="286">
        <v>613027</v>
      </c>
      <c r="B396" s="286">
        <v>87100</v>
      </c>
      <c r="E396" s="215">
        <v>-427534</v>
      </c>
      <c r="F396" s="215">
        <v>-427537</v>
      </c>
      <c r="G396" s="215">
        <v>-427537</v>
      </c>
      <c r="H396" s="215">
        <v>-427537</v>
      </c>
      <c r="I396" s="215">
        <v>-427537</v>
      </c>
      <c r="J396" t="s">
        <v>81</v>
      </c>
    </row>
    <row r="397" spans="1:10" x14ac:dyDescent="0.3">
      <c r="A397" s="286">
        <v>613028</v>
      </c>
      <c r="B397" s="286">
        <v>87100</v>
      </c>
      <c r="E397" s="215">
        <v>-15175</v>
      </c>
      <c r="F397" s="215">
        <v>-15176</v>
      </c>
      <c r="G397" s="215">
        <v>-15176</v>
      </c>
      <c r="H397" s="215">
        <v>-15176</v>
      </c>
      <c r="I397" s="215">
        <v>-15176</v>
      </c>
      <c r="J397" t="s">
        <v>81</v>
      </c>
    </row>
    <row r="398" spans="1:10" x14ac:dyDescent="0.3">
      <c r="A398" s="286">
        <v>613030</v>
      </c>
      <c r="B398" s="286">
        <v>47100</v>
      </c>
      <c r="E398" s="215">
        <v>0</v>
      </c>
      <c r="F398" s="215">
        <v>0</v>
      </c>
      <c r="G398" s="215">
        <v>0</v>
      </c>
      <c r="H398" s="215">
        <v>0</v>
      </c>
      <c r="I398" s="215">
        <v>0</v>
      </c>
      <c r="J398" t="s">
        <v>81</v>
      </c>
    </row>
    <row r="399" spans="1:10" x14ac:dyDescent="0.3">
      <c r="A399" s="286">
        <v>613030</v>
      </c>
      <c r="B399" s="286">
        <v>87100</v>
      </c>
      <c r="E399" s="215">
        <v>-510654</v>
      </c>
      <c r="F399" s="215">
        <v>-518514</v>
      </c>
      <c r="G399" s="215">
        <v>-487378</v>
      </c>
      <c r="H399" s="215">
        <v>-383674</v>
      </c>
      <c r="I399" s="215">
        <v>-371764</v>
      </c>
      <c r="J399" t="s">
        <v>81</v>
      </c>
    </row>
    <row r="400" spans="1:10" x14ac:dyDescent="0.3">
      <c r="A400" s="286">
        <v>613031</v>
      </c>
      <c r="B400" s="286">
        <v>47100</v>
      </c>
      <c r="E400" s="215">
        <v>10000</v>
      </c>
      <c r="F400" s="215">
        <v>10000</v>
      </c>
      <c r="G400" s="215">
        <v>10000</v>
      </c>
      <c r="H400" s="215">
        <v>10000</v>
      </c>
      <c r="I400" s="215">
        <v>10000</v>
      </c>
      <c r="J400" t="s">
        <v>81</v>
      </c>
    </row>
    <row r="401" spans="1:10" x14ac:dyDescent="0.3">
      <c r="A401" s="286">
        <v>613034</v>
      </c>
      <c r="B401" s="286">
        <v>87100</v>
      </c>
      <c r="E401" s="215">
        <v>-7917</v>
      </c>
      <c r="F401" s="215">
        <v>-7917</v>
      </c>
      <c r="G401" s="215">
        <v>-7917</v>
      </c>
      <c r="H401" s="215">
        <v>-7917</v>
      </c>
      <c r="I401" s="215">
        <v>-7917</v>
      </c>
      <c r="J401" t="s">
        <v>81</v>
      </c>
    </row>
    <row r="402" spans="1:10" x14ac:dyDescent="0.3">
      <c r="A402" s="286">
        <v>613035</v>
      </c>
      <c r="B402" s="286">
        <v>47100</v>
      </c>
      <c r="E402" s="215">
        <v>0</v>
      </c>
      <c r="F402" s="215">
        <v>104010</v>
      </c>
      <c r="G402" s="215">
        <v>135541</v>
      </c>
      <c r="H402" s="215">
        <v>102383</v>
      </c>
      <c r="I402" s="215">
        <v>37590</v>
      </c>
      <c r="J402" t="s">
        <v>81</v>
      </c>
    </row>
    <row r="403" spans="1:10" x14ac:dyDescent="0.3">
      <c r="A403" s="286">
        <v>613035</v>
      </c>
      <c r="B403" s="286">
        <v>87100</v>
      </c>
      <c r="E403" s="215">
        <v>-54607</v>
      </c>
      <c r="F403" s="215">
        <v>-394724</v>
      </c>
      <c r="G403" s="215">
        <v>-57722</v>
      </c>
      <c r="H403" s="215">
        <v>-57722</v>
      </c>
      <c r="I403" s="215">
        <v>-57722</v>
      </c>
      <c r="J403" t="s">
        <v>81</v>
      </c>
    </row>
    <row r="404" spans="1:10" x14ac:dyDescent="0.3">
      <c r="A404" s="286">
        <v>613036</v>
      </c>
      <c r="B404" s="286">
        <v>87100</v>
      </c>
      <c r="E404" s="215">
        <v>-8757</v>
      </c>
      <c r="F404" s="215">
        <v>-8757</v>
      </c>
      <c r="G404" s="215">
        <v>-8757</v>
      </c>
      <c r="H404" s="215">
        <v>-8757</v>
      </c>
      <c r="I404" s="215">
        <v>-8757</v>
      </c>
      <c r="J404" t="s">
        <v>81</v>
      </c>
    </row>
    <row r="405" spans="1:10" x14ac:dyDescent="0.3">
      <c r="A405" s="286">
        <v>613037</v>
      </c>
      <c r="B405" s="286">
        <v>87100</v>
      </c>
      <c r="E405" s="215">
        <v>-19657</v>
      </c>
      <c r="F405" s="215">
        <v>-19657</v>
      </c>
      <c r="G405" s="215">
        <v>-19656</v>
      </c>
      <c r="H405" s="215">
        <v>0</v>
      </c>
      <c r="I405" s="215">
        <v>0</v>
      </c>
      <c r="J405" t="s">
        <v>81</v>
      </c>
    </row>
    <row r="406" spans="1:10" x14ac:dyDescent="0.3">
      <c r="A406" s="286">
        <v>613038</v>
      </c>
      <c r="B406" s="286">
        <v>87100</v>
      </c>
      <c r="E406" s="215">
        <v>0</v>
      </c>
      <c r="F406" s="215">
        <v>-109400</v>
      </c>
      <c r="G406" s="215">
        <v>0</v>
      </c>
      <c r="H406" s="215">
        <v>0</v>
      </c>
      <c r="I406" s="215">
        <v>0</v>
      </c>
      <c r="J406" t="s">
        <v>81</v>
      </c>
    </row>
    <row r="407" spans="1:10" x14ac:dyDescent="0.3">
      <c r="A407" s="286">
        <v>613040</v>
      </c>
      <c r="B407" s="286">
        <v>87100</v>
      </c>
      <c r="E407" s="215">
        <v>0</v>
      </c>
      <c r="F407" s="215">
        <v>0</v>
      </c>
      <c r="G407" s="215">
        <v>0</v>
      </c>
      <c r="H407" s="215">
        <v>0</v>
      </c>
      <c r="I407" s="215">
        <v>0</v>
      </c>
      <c r="J407" t="s">
        <v>81</v>
      </c>
    </row>
    <row r="408" spans="1:10" x14ac:dyDescent="0.3">
      <c r="A408" s="286">
        <v>613041</v>
      </c>
      <c r="B408" s="286">
        <v>87100</v>
      </c>
      <c r="E408" s="215">
        <v>0</v>
      </c>
      <c r="F408" s="215">
        <v>-117100</v>
      </c>
      <c r="G408" s="215">
        <v>0</v>
      </c>
      <c r="H408" s="215">
        <v>0</v>
      </c>
      <c r="I408" s="215">
        <v>0</v>
      </c>
      <c r="J408" t="s">
        <v>81</v>
      </c>
    </row>
    <row r="409" spans="1:10" x14ac:dyDescent="0.3">
      <c r="A409" s="286">
        <v>613041</v>
      </c>
      <c r="B409" s="286">
        <v>87100</v>
      </c>
      <c r="E409" s="215">
        <v>-60000</v>
      </c>
      <c r="F409" s="215">
        <v>-62500</v>
      </c>
      <c r="G409" s="215">
        <v>-65100</v>
      </c>
      <c r="H409" s="215">
        <v>0</v>
      </c>
      <c r="I409" s="215">
        <v>0</v>
      </c>
      <c r="J409" t="s">
        <v>81</v>
      </c>
    </row>
    <row r="410" spans="1:10" x14ac:dyDescent="0.3">
      <c r="A410" s="286">
        <v>613041</v>
      </c>
      <c r="B410" s="286">
        <v>87100</v>
      </c>
      <c r="E410" s="215">
        <v>-100000</v>
      </c>
      <c r="F410" s="215">
        <v>-104200</v>
      </c>
      <c r="G410" s="215">
        <v>-108600</v>
      </c>
      <c r="H410" s="215">
        <v>0</v>
      </c>
      <c r="I410" s="215">
        <v>0</v>
      </c>
      <c r="J410" t="s">
        <v>81</v>
      </c>
    </row>
    <row r="411" spans="1:10" x14ac:dyDescent="0.3">
      <c r="A411" s="286">
        <v>613048</v>
      </c>
      <c r="B411" s="286">
        <v>47100</v>
      </c>
      <c r="E411" s="215">
        <v>75000</v>
      </c>
      <c r="F411" s="215">
        <v>75000</v>
      </c>
      <c r="G411" s="215">
        <v>75000</v>
      </c>
      <c r="H411" s="215">
        <v>75000</v>
      </c>
      <c r="I411" s="215">
        <v>75000</v>
      </c>
      <c r="J411" t="s">
        <v>81</v>
      </c>
    </row>
    <row r="412" spans="1:10" x14ac:dyDescent="0.3">
      <c r="A412" s="286">
        <v>613048</v>
      </c>
      <c r="B412" s="286">
        <v>87100</v>
      </c>
      <c r="E412" s="215">
        <v>0</v>
      </c>
      <c r="F412" s="215">
        <v>0</v>
      </c>
      <c r="G412" s="215">
        <v>0</v>
      </c>
      <c r="H412" s="215">
        <v>0</v>
      </c>
      <c r="I412" s="215">
        <v>0</v>
      </c>
      <c r="J412" t="s">
        <v>81</v>
      </c>
    </row>
    <row r="413" spans="1:10" x14ac:dyDescent="0.3">
      <c r="A413" s="286">
        <v>613049</v>
      </c>
      <c r="B413" s="286">
        <v>47100</v>
      </c>
      <c r="E413" s="215">
        <v>0</v>
      </c>
      <c r="F413" s="215">
        <v>150000</v>
      </c>
      <c r="G413" s="215">
        <v>0</v>
      </c>
      <c r="H413" s="215">
        <v>0</v>
      </c>
      <c r="I413" s="215">
        <v>0</v>
      </c>
      <c r="J413" t="s">
        <v>81</v>
      </c>
    </row>
    <row r="414" spans="1:10" x14ac:dyDescent="0.3">
      <c r="A414" s="286">
        <v>613049</v>
      </c>
      <c r="B414" s="286">
        <v>87100</v>
      </c>
      <c r="E414" s="215">
        <v>-135000</v>
      </c>
      <c r="F414" s="215">
        <v>-290000</v>
      </c>
      <c r="G414" s="215">
        <v>-36600</v>
      </c>
      <c r="H414" s="215">
        <v>0</v>
      </c>
      <c r="I414" s="215">
        <v>0</v>
      </c>
      <c r="J414" t="s">
        <v>81</v>
      </c>
    </row>
    <row r="415" spans="1:10" x14ac:dyDescent="0.3">
      <c r="A415" s="286">
        <v>613051</v>
      </c>
      <c r="B415" s="286">
        <v>87100</v>
      </c>
      <c r="E415" s="215">
        <v>-50000</v>
      </c>
      <c r="F415" s="215">
        <v>-166700</v>
      </c>
      <c r="G415" s="215">
        <v>-173700</v>
      </c>
      <c r="H415" s="215">
        <v>0</v>
      </c>
      <c r="I415" s="215">
        <v>0</v>
      </c>
      <c r="J415" t="s">
        <v>81</v>
      </c>
    </row>
    <row r="416" spans="1:10" x14ac:dyDescent="0.3">
      <c r="A416" s="286">
        <v>613052</v>
      </c>
      <c r="B416" s="286">
        <v>87100</v>
      </c>
      <c r="E416" s="215">
        <v>-502490</v>
      </c>
      <c r="F416" s="215">
        <v>-467201</v>
      </c>
      <c r="G416" s="215">
        <v>-313327</v>
      </c>
      <c r="H416" s="215">
        <v>-319594</v>
      </c>
      <c r="I416" s="215">
        <v>-325986</v>
      </c>
      <c r="J416" t="s">
        <v>81</v>
      </c>
    </row>
    <row r="417" spans="1:10" x14ac:dyDescent="0.3">
      <c r="A417" s="286">
        <v>613053</v>
      </c>
      <c r="B417" s="286">
        <v>87100</v>
      </c>
      <c r="E417" s="215">
        <v>0</v>
      </c>
      <c r="F417" s="215">
        <v>0</v>
      </c>
      <c r="G417" s="215">
        <v>0</v>
      </c>
      <c r="H417" s="215">
        <v>0</v>
      </c>
      <c r="I417" s="215">
        <v>0</v>
      </c>
      <c r="J417" t="s">
        <v>81</v>
      </c>
    </row>
    <row r="418" spans="1:10" x14ac:dyDescent="0.3">
      <c r="A418" s="286">
        <v>614001</v>
      </c>
      <c r="B418" s="286">
        <v>43812</v>
      </c>
      <c r="E418" s="215">
        <v>0</v>
      </c>
      <c r="F418" s="215">
        <v>0</v>
      </c>
      <c r="G418" s="215">
        <v>0</v>
      </c>
      <c r="H418" s="215">
        <v>0</v>
      </c>
      <c r="I418" s="215">
        <v>0</v>
      </c>
      <c r="J418" t="s">
        <v>82</v>
      </c>
    </row>
    <row r="419" spans="1:10" x14ac:dyDescent="0.3">
      <c r="A419" s="286">
        <v>615001</v>
      </c>
      <c r="B419" s="286">
        <v>43812</v>
      </c>
      <c r="E419" s="215">
        <v>9832</v>
      </c>
      <c r="F419" s="215">
        <v>10087</v>
      </c>
      <c r="G419" s="215">
        <v>16917</v>
      </c>
      <c r="H419" s="215">
        <v>10535</v>
      </c>
      <c r="I419" s="215">
        <v>10767</v>
      </c>
      <c r="J419" t="s">
        <v>83</v>
      </c>
    </row>
    <row r="420" spans="1:10" x14ac:dyDescent="0.3">
      <c r="A420" s="286">
        <v>615002</v>
      </c>
      <c r="B420" s="286">
        <v>44330</v>
      </c>
      <c r="E420" s="215">
        <v>1898341</v>
      </c>
      <c r="F420" s="215">
        <v>1970633</v>
      </c>
      <c r="G420" s="215">
        <v>2128080.6865600003</v>
      </c>
      <c r="H420" s="215">
        <v>2201967.6479973635</v>
      </c>
      <c r="I420" s="215">
        <v>2278419.9647358321</v>
      </c>
      <c r="J420" t="s">
        <v>83</v>
      </c>
    </row>
    <row r="421" spans="1:10" x14ac:dyDescent="0.3">
      <c r="A421" s="286">
        <v>615003</v>
      </c>
      <c r="B421" s="286">
        <v>42100</v>
      </c>
      <c r="E421" s="215">
        <v>2062</v>
      </c>
      <c r="F421" s="215">
        <v>2116</v>
      </c>
      <c r="G421" s="215">
        <v>2163</v>
      </c>
      <c r="H421" s="215">
        <v>2211</v>
      </c>
      <c r="I421" s="215">
        <v>2260</v>
      </c>
      <c r="J421" t="s">
        <v>83</v>
      </c>
    </row>
    <row r="422" spans="1:10" x14ac:dyDescent="0.3">
      <c r="A422" s="286">
        <v>615003</v>
      </c>
      <c r="B422" s="286">
        <v>43806</v>
      </c>
      <c r="E422" s="215">
        <v>1738</v>
      </c>
      <c r="F422" s="215">
        <v>1783</v>
      </c>
      <c r="G422" s="215">
        <v>1822</v>
      </c>
      <c r="H422" s="215">
        <v>1862</v>
      </c>
      <c r="I422" s="215">
        <v>1903</v>
      </c>
      <c r="J422" t="s">
        <v>83</v>
      </c>
    </row>
    <row r="423" spans="1:10" x14ac:dyDescent="0.3">
      <c r="A423" s="286">
        <v>615003</v>
      </c>
      <c r="B423" s="286">
        <v>43817</v>
      </c>
      <c r="E423" s="215">
        <v>4172</v>
      </c>
      <c r="F423" s="215">
        <v>4280</v>
      </c>
      <c r="G423" s="215">
        <v>4374</v>
      </c>
      <c r="H423" s="215">
        <v>4470</v>
      </c>
      <c r="I423" s="215">
        <v>4568</v>
      </c>
      <c r="J423" t="s">
        <v>83</v>
      </c>
    </row>
    <row r="424" spans="1:10" x14ac:dyDescent="0.3">
      <c r="A424" s="286">
        <v>615003</v>
      </c>
      <c r="B424" s="286">
        <v>47201</v>
      </c>
      <c r="E424" s="215">
        <v>27088</v>
      </c>
      <c r="F424" s="215">
        <v>28088.752350000002</v>
      </c>
      <c r="G424" s="215">
        <v>29128.036186950001</v>
      </c>
      <c r="H424" s="215">
        <v>30205.773525867149</v>
      </c>
      <c r="I424" s="215">
        <v>31323.387146324232</v>
      </c>
      <c r="J424" t="s">
        <v>83</v>
      </c>
    </row>
    <row r="425" spans="1:10" x14ac:dyDescent="0.3">
      <c r="A425" s="286">
        <v>615004</v>
      </c>
      <c r="B425" s="286">
        <v>43812</v>
      </c>
      <c r="E425" s="215">
        <v>2049</v>
      </c>
      <c r="F425" s="215">
        <v>2102</v>
      </c>
      <c r="G425" s="215">
        <v>2148</v>
      </c>
      <c r="H425" s="215">
        <v>2195</v>
      </c>
      <c r="I425" s="215">
        <v>2243</v>
      </c>
      <c r="J425" t="s">
        <v>83</v>
      </c>
    </row>
    <row r="426" spans="1:10" x14ac:dyDescent="0.3">
      <c r="A426" s="286">
        <v>615901</v>
      </c>
      <c r="B426" s="286">
        <v>41100</v>
      </c>
      <c r="E426" s="215">
        <v>79851.039999999994</v>
      </c>
      <c r="F426" s="215">
        <v>53449.78</v>
      </c>
      <c r="G426" s="215">
        <v>55909</v>
      </c>
      <c r="H426" s="215">
        <v>58481</v>
      </c>
      <c r="I426" s="215">
        <v>61171</v>
      </c>
      <c r="J426" t="s">
        <v>83</v>
      </c>
    </row>
    <row r="427" spans="1:10" x14ac:dyDescent="0.3">
      <c r="A427" s="286">
        <v>615901</v>
      </c>
      <c r="B427" s="286">
        <v>47300</v>
      </c>
      <c r="E427" s="215">
        <v>11468</v>
      </c>
      <c r="F427" s="215">
        <v>11467</v>
      </c>
      <c r="G427" s="215">
        <v>29498</v>
      </c>
      <c r="H427" s="215">
        <v>29498</v>
      </c>
      <c r="I427" s="215">
        <v>29498</v>
      </c>
      <c r="J427" t="s">
        <v>83</v>
      </c>
    </row>
    <row r="428" spans="1:10" x14ac:dyDescent="0.3">
      <c r="A428" s="286">
        <v>615003</v>
      </c>
      <c r="B428" s="286">
        <v>83600</v>
      </c>
      <c r="E428" s="215">
        <v>-106263</v>
      </c>
      <c r="F428" s="215">
        <v>-109768</v>
      </c>
      <c r="G428" s="215">
        <v>-112183</v>
      </c>
      <c r="H428" s="215">
        <v>-114651</v>
      </c>
      <c r="I428" s="215">
        <v>-117173</v>
      </c>
      <c r="J428" t="s">
        <v>83</v>
      </c>
    </row>
    <row r="429" spans="1:10" x14ac:dyDescent="0.3">
      <c r="A429" s="286">
        <v>616001</v>
      </c>
      <c r="B429" s="286">
        <v>43803</v>
      </c>
      <c r="E429" s="215">
        <v>2500</v>
      </c>
      <c r="F429" s="215">
        <v>2570</v>
      </c>
      <c r="G429" s="215">
        <v>2630</v>
      </c>
      <c r="H429" s="215">
        <v>2690</v>
      </c>
      <c r="I429" s="215">
        <v>2750</v>
      </c>
      <c r="J429" t="s">
        <v>84</v>
      </c>
    </row>
    <row r="430" spans="1:10" x14ac:dyDescent="0.3">
      <c r="A430" s="286">
        <v>616001</v>
      </c>
      <c r="B430" s="286">
        <v>43805</v>
      </c>
      <c r="E430" s="215">
        <v>4784</v>
      </c>
      <c r="F430" s="215">
        <v>5580</v>
      </c>
      <c r="G430" s="215">
        <v>5700</v>
      </c>
      <c r="H430" s="215">
        <v>5830</v>
      </c>
      <c r="I430" s="215">
        <v>5960</v>
      </c>
      <c r="J430" t="s">
        <v>84</v>
      </c>
    </row>
    <row r="431" spans="1:10" x14ac:dyDescent="0.3">
      <c r="A431" s="286">
        <v>616001</v>
      </c>
      <c r="B431" s="286">
        <v>43806</v>
      </c>
      <c r="E431" s="215">
        <v>1173</v>
      </c>
      <c r="F431" s="215">
        <v>1203</v>
      </c>
      <c r="G431" s="215">
        <v>1229</v>
      </c>
      <c r="H431" s="215">
        <v>1256</v>
      </c>
      <c r="I431" s="215">
        <v>1284</v>
      </c>
      <c r="J431" t="s">
        <v>84</v>
      </c>
    </row>
    <row r="432" spans="1:10" x14ac:dyDescent="0.3">
      <c r="A432" s="286">
        <v>616001</v>
      </c>
      <c r="B432" s="286">
        <v>43812</v>
      </c>
      <c r="E432" s="215">
        <v>0</v>
      </c>
      <c r="F432" s="215">
        <v>0</v>
      </c>
      <c r="G432" s="215">
        <v>0</v>
      </c>
      <c r="H432" s="215">
        <v>0</v>
      </c>
      <c r="I432" s="215">
        <v>0</v>
      </c>
      <c r="J432" t="s">
        <v>84</v>
      </c>
    </row>
    <row r="433" spans="1:10" x14ac:dyDescent="0.3">
      <c r="A433" s="286">
        <v>616001</v>
      </c>
      <c r="B433" s="286">
        <v>43812</v>
      </c>
      <c r="E433" s="215">
        <v>17871.32</v>
      </c>
      <c r="F433" s="215">
        <v>28140</v>
      </c>
      <c r="G433" s="215">
        <v>23194</v>
      </c>
      <c r="H433" s="215">
        <v>23705</v>
      </c>
      <c r="I433" s="215">
        <v>24226</v>
      </c>
      <c r="J433" t="s">
        <v>84</v>
      </c>
    </row>
    <row r="434" spans="1:10" x14ac:dyDescent="0.3">
      <c r="A434" s="286">
        <v>616002</v>
      </c>
      <c r="B434" s="286">
        <v>44360</v>
      </c>
      <c r="E434" s="215">
        <v>28550</v>
      </c>
      <c r="F434" s="215">
        <v>28570</v>
      </c>
      <c r="G434" s="215">
        <v>29200</v>
      </c>
      <c r="H434" s="215">
        <v>29840</v>
      </c>
      <c r="I434" s="215">
        <v>30500</v>
      </c>
      <c r="J434" t="s">
        <v>84</v>
      </c>
    </row>
    <row r="435" spans="1:10" x14ac:dyDescent="0.3">
      <c r="A435" s="286">
        <v>616003</v>
      </c>
      <c r="B435" s="286">
        <v>44380</v>
      </c>
      <c r="E435" s="215">
        <v>10193</v>
      </c>
      <c r="F435" s="215">
        <v>10458</v>
      </c>
      <c r="G435" s="215">
        <v>10688</v>
      </c>
      <c r="H435" s="215">
        <v>10923</v>
      </c>
      <c r="I435" s="215">
        <v>11163</v>
      </c>
      <c r="J435" t="s">
        <v>84</v>
      </c>
    </row>
    <row r="436" spans="1:10" x14ac:dyDescent="0.3">
      <c r="A436" s="286">
        <v>616004</v>
      </c>
      <c r="B436" s="286">
        <v>43812</v>
      </c>
      <c r="E436" s="215">
        <v>14992</v>
      </c>
      <c r="F436" s="215">
        <v>24500</v>
      </c>
      <c r="G436" s="215">
        <v>25039</v>
      </c>
      <c r="H436" s="215">
        <v>25590</v>
      </c>
      <c r="I436" s="215">
        <v>26153</v>
      </c>
      <c r="J436" t="s">
        <v>84</v>
      </c>
    </row>
    <row r="437" spans="1:10" x14ac:dyDescent="0.3">
      <c r="A437" s="286">
        <v>616005</v>
      </c>
      <c r="B437" s="286">
        <v>43812</v>
      </c>
      <c r="E437" s="215">
        <v>36493</v>
      </c>
      <c r="F437" s="215">
        <v>33259</v>
      </c>
      <c r="G437" s="215">
        <v>26929</v>
      </c>
      <c r="H437" s="215">
        <v>27522</v>
      </c>
      <c r="I437" s="215">
        <v>28128</v>
      </c>
      <c r="J437" t="s">
        <v>84</v>
      </c>
    </row>
    <row r="438" spans="1:10" x14ac:dyDescent="0.3">
      <c r="A438" s="286">
        <v>616006</v>
      </c>
      <c r="B438" s="286">
        <v>43511</v>
      </c>
      <c r="E438" s="215">
        <v>21464</v>
      </c>
      <c r="F438" s="215">
        <v>22038</v>
      </c>
      <c r="G438" s="215">
        <v>22545</v>
      </c>
      <c r="H438" s="215">
        <v>23064</v>
      </c>
      <c r="I438" s="215">
        <v>23595</v>
      </c>
      <c r="J438" t="s">
        <v>84</v>
      </c>
    </row>
    <row r="439" spans="1:10" x14ac:dyDescent="0.3">
      <c r="A439" s="286">
        <v>616007</v>
      </c>
      <c r="B439" s="286">
        <v>44320</v>
      </c>
      <c r="E439" s="215">
        <v>7932.25</v>
      </c>
      <c r="F439" s="215">
        <v>8035.25</v>
      </c>
      <c r="G439" s="215">
        <v>8135</v>
      </c>
      <c r="H439" s="215">
        <v>8295.5</v>
      </c>
      <c r="I439" s="215">
        <v>8427.5</v>
      </c>
      <c r="J439" t="s">
        <v>84</v>
      </c>
    </row>
    <row r="440" spans="1:10" x14ac:dyDescent="0.3">
      <c r="A440" s="286">
        <v>616903</v>
      </c>
      <c r="B440" s="286">
        <v>41100</v>
      </c>
      <c r="E440" s="215">
        <v>888820.92999999993</v>
      </c>
      <c r="F440" s="215">
        <v>1137843.78</v>
      </c>
      <c r="G440" s="215">
        <v>1190185</v>
      </c>
      <c r="H440" s="215">
        <v>1244934</v>
      </c>
      <c r="I440" s="215">
        <v>1302201</v>
      </c>
      <c r="J440" t="s">
        <v>84</v>
      </c>
    </row>
    <row r="441" spans="1:10" x14ac:dyDescent="0.3">
      <c r="A441" s="286">
        <v>616903</v>
      </c>
      <c r="B441" s="286">
        <v>47300</v>
      </c>
      <c r="E441" s="215">
        <v>8248</v>
      </c>
      <c r="F441" s="215">
        <v>4519</v>
      </c>
      <c r="G441" s="215">
        <v>10000</v>
      </c>
      <c r="H441" s="215">
        <v>10000</v>
      </c>
      <c r="I441" s="215">
        <v>10000</v>
      </c>
      <c r="J441" t="s">
        <v>84</v>
      </c>
    </row>
    <row r="442" spans="1:10" x14ac:dyDescent="0.3">
      <c r="A442" s="286">
        <v>616013</v>
      </c>
      <c r="B442" s="286">
        <v>43812</v>
      </c>
      <c r="E442" s="215">
        <v>61794</v>
      </c>
      <c r="F442" s="215">
        <v>63401</v>
      </c>
      <c r="G442" s="215">
        <v>64796</v>
      </c>
      <c r="H442" s="215">
        <v>66222</v>
      </c>
      <c r="I442" s="215">
        <v>67679</v>
      </c>
      <c r="J442" t="s">
        <v>84</v>
      </c>
    </row>
    <row r="443" spans="1:10" x14ac:dyDescent="0.3">
      <c r="A443" s="286">
        <v>616008</v>
      </c>
      <c r="B443" s="286">
        <v>43812</v>
      </c>
      <c r="E443" s="215">
        <v>18725</v>
      </c>
      <c r="F443" s="215">
        <v>19212</v>
      </c>
      <c r="G443" s="215">
        <v>19635</v>
      </c>
      <c r="H443" s="215">
        <v>20067</v>
      </c>
      <c r="I443" s="215">
        <v>20508</v>
      </c>
      <c r="J443" t="s">
        <v>84</v>
      </c>
    </row>
    <row r="444" spans="1:10" x14ac:dyDescent="0.3">
      <c r="A444" s="286">
        <v>616016</v>
      </c>
      <c r="B444" s="286">
        <v>43511</v>
      </c>
      <c r="E444" s="215">
        <v>92803</v>
      </c>
      <c r="F444" s="215">
        <v>82659</v>
      </c>
      <c r="G444" s="215">
        <v>87013</v>
      </c>
      <c r="H444" s="215">
        <v>91568</v>
      </c>
      <c r="I444" s="215">
        <v>96332</v>
      </c>
      <c r="J444" t="s">
        <v>84</v>
      </c>
    </row>
    <row r="445" spans="1:10" x14ac:dyDescent="0.3">
      <c r="A445" s="286">
        <v>616016</v>
      </c>
      <c r="B445" s="286">
        <v>43812</v>
      </c>
      <c r="E445" s="215">
        <v>15558</v>
      </c>
      <c r="F445" s="215">
        <v>15963</v>
      </c>
      <c r="G445" s="215">
        <v>16314</v>
      </c>
      <c r="H445" s="215">
        <v>16673</v>
      </c>
      <c r="I445" s="215">
        <v>17040</v>
      </c>
      <c r="J445" t="s">
        <v>84</v>
      </c>
    </row>
    <row r="446" spans="1:10" x14ac:dyDescent="0.3">
      <c r="A446" s="286">
        <v>616009</v>
      </c>
      <c r="B446" s="286">
        <v>83700</v>
      </c>
      <c r="E446" s="215">
        <v>-35974</v>
      </c>
      <c r="F446" s="215">
        <v>-20000</v>
      </c>
      <c r="G446" s="215">
        <v>-20440</v>
      </c>
      <c r="H446" s="215">
        <v>-20890</v>
      </c>
      <c r="I446" s="215">
        <v>-21350</v>
      </c>
      <c r="J446" t="s">
        <v>84</v>
      </c>
    </row>
    <row r="447" spans="1:10" x14ac:dyDescent="0.3">
      <c r="A447" s="286">
        <v>616901</v>
      </c>
      <c r="B447" s="286">
        <v>41100</v>
      </c>
      <c r="E447" s="215">
        <v>180300.64</v>
      </c>
      <c r="F447" s="215">
        <v>113909.32</v>
      </c>
      <c r="G447" s="215">
        <v>119150</v>
      </c>
      <c r="H447" s="215">
        <v>124631</v>
      </c>
      <c r="I447" s="215">
        <v>130364</v>
      </c>
      <c r="J447" t="s">
        <v>84</v>
      </c>
    </row>
    <row r="448" spans="1:10" x14ac:dyDescent="0.3">
      <c r="A448" s="286">
        <v>616902</v>
      </c>
      <c r="B448" s="286">
        <v>41100</v>
      </c>
      <c r="E448" s="215">
        <v>204370.28</v>
      </c>
      <c r="F448" s="215">
        <v>179523.23</v>
      </c>
      <c r="G448" s="215">
        <v>187782</v>
      </c>
      <c r="H448" s="215">
        <v>196420</v>
      </c>
      <c r="I448" s="215">
        <v>205456</v>
      </c>
      <c r="J448" t="s">
        <v>84</v>
      </c>
    </row>
    <row r="449" spans="1:10" x14ac:dyDescent="0.3">
      <c r="A449" s="286">
        <v>616015</v>
      </c>
      <c r="B449" s="286">
        <v>43812</v>
      </c>
      <c r="E449" s="215">
        <v>62767.901189919998</v>
      </c>
      <c r="F449" s="215">
        <v>71229.598560000013</v>
      </c>
      <c r="G449" s="215">
        <v>73556.123328000016</v>
      </c>
      <c r="H449" s="215">
        <v>78457.691805350405</v>
      </c>
      <c r="I449" s="215">
        <v>82473.526368919687</v>
      </c>
      <c r="J449" t="s">
        <v>84</v>
      </c>
    </row>
    <row r="450" spans="1:10" x14ac:dyDescent="0.3">
      <c r="A450" s="286">
        <v>616012</v>
      </c>
      <c r="B450" s="286">
        <v>83700</v>
      </c>
      <c r="E450" s="215">
        <v>-1750</v>
      </c>
      <c r="F450" s="215">
        <v>-1796</v>
      </c>
      <c r="G450" s="215">
        <v>-1836</v>
      </c>
      <c r="H450" s="215">
        <v>-1876</v>
      </c>
      <c r="I450" s="215">
        <v>-1917</v>
      </c>
      <c r="J450" t="s">
        <v>84</v>
      </c>
    </row>
    <row r="451" spans="1:10" x14ac:dyDescent="0.3">
      <c r="A451" s="286">
        <v>616010</v>
      </c>
      <c r="B451" s="286">
        <v>83700</v>
      </c>
      <c r="E451" s="215">
        <v>-5833</v>
      </c>
      <c r="F451" s="215">
        <v>-5985</v>
      </c>
      <c r="G451" s="215">
        <v>-6117</v>
      </c>
      <c r="H451" s="215">
        <v>-6252</v>
      </c>
      <c r="I451" s="215">
        <v>-6390</v>
      </c>
      <c r="J451" t="s">
        <v>84</v>
      </c>
    </row>
    <row r="452" spans="1:10" x14ac:dyDescent="0.3">
      <c r="A452" s="286">
        <v>616011</v>
      </c>
      <c r="B452" s="286">
        <v>83700</v>
      </c>
      <c r="E452" s="215">
        <v>-34997</v>
      </c>
      <c r="F452" s="215">
        <v>-35907</v>
      </c>
      <c r="G452" s="215">
        <v>-36697</v>
      </c>
      <c r="H452" s="215">
        <v>-37504</v>
      </c>
      <c r="I452" s="215">
        <v>-38329</v>
      </c>
      <c r="J452" t="s">
        <v>84</v>
      </c>
    </row>
    <row r="453" spans="1:10" x14ac:dyDescent="0.3">
      <c r="A453" s="286">
        <v>616008</v>
      </c>
      <c r="B453" s="286">
        <v>83800</v>
      </c>
      <c r="E453" s="215">
        <v>-18725</v>
      </c>
      <c r="F453" s="215">
        <v>-19212</v>
      </c>
      <c r="G453" s="215">
        <v>-19635</v>
      </c>
      <c r="H453" s="215">
        <v>-20067</v>
      </c>
      <c r="I453" s="215">
        <v>-20508</v>
      </c>
      <c r="J453" t="s">
        <v>84</v>
      </c>
    </row>
    <row r="454" spans="1:10" x14ac:dyDescent="0.3">
      <c r="A454" s="286">
        <v>616016</v>
      </c>
      <c r="B454" s="286">
        <v>83520</v>
      </c>
      <c r="E454" s="215">
        <v>-92803</v>
      </c>
      <c r="F454" s="215">
        <v>-94659</v>
      </c>
      <c r="G454" s="215">
        <v>-99013</v>
      </c>
      <c r="H454" s="215">
        <v>-103568</v>
      </c>
      <c r="I454" s="215">
        <v>-108332</v>
      </c>
      <c r="J454" t="s">
        <v>84</v>
      </c>
    </row>
    <row r="455" spans="1:10" x14ac:dyDescent="0.3">
      <c r="A455" s="286">
        <v>617001</v>
      </c>
      <c r="B455" s="286">
        <v>43812</v>
      </c>
      <c r="E455" s="215">
        <v>1184</v>
      </c>
      <c r="F455" s="215">
        <v>1215</v>
      </c>
      <c r="G455" s="215">
        <v>1242</v>
      </c>
      <c r="H455" s="215">
        <v>1269</v>
      </c>
      <c r="I455" s="215">
        <v>1297</v>
      </c>
      <c r="J455" t="s">
        <v>85</v>
      </c>
    </row>
    <row r="456" spans="1:10" x14ac:dyDescent="0.3">
      <c r="A456" s="286">
        <v>617002</v>
      </c>
      <c r="B456" s="286">
        <v>43812</v>
      </c>
      <c r="E456" s="215">
        <v>11605</v>
      </c>
      <c r="F456" s="215">
        <v>11907</v>
      </c>
      <c r="G456" s="215">
        <v>12169</v>
      </c>
      <c r="H456" s="215">
        <v>12437</v>
      </c>
      <c r="I456" s="215">
        <v>12711</v>
      </c>
      <c r="J456" t="s">
        <v>85</v>
      </c>
    </row>
    <row r="457" spans="1:10" x14ac:dyDescent="0.3">
      <c r="A457" s="286">
        <v>617003</v>
      </c>
      <c r="B457" s="286">
        <v>43812</v>
      </c>
      <c r="E457" s="215">
        <v>3519</v>
      </c>
      <c r="F457" s="215">
        <v>3610</v>
      </c>
      <c r="G457" s="215">
        <v>3689</v>
      </c>
      <c r="H457" s="215">
        <v>3770</v>
      </c>
      <c r="I457" s="215">
        <v>3853</v>
      </c>
      <c r="J457" t="s">
        <v>85</v>
      </c>
    </row>
    <row r="458" spans="1:10" x14ac:dyDescent="0.3">
      <c r="A458" s="286">
        <v>617004</v>
      </c>
      <c r="B458" s="286">
        <v>43802</v>
      </c>
      <c r="E458" s="215">
        <v>11329</v>
      </c>
      <c r="F458" s="215">
        <v>11624</v>
      </c>
      <c r="G458" s="215">
        <v>11880</v>
      </c>
      <c r="H458" s="215">
        <v>12141</v>
      </c>
      <c r="I458" s="215">
        <v>12408</v>
      </c>
      <c r="J458" t="s">
        <v>85</v>
      </c>
    </row>
    <row r="459" spans="1:10" x14ac:dyDescent="0.3">
      <c r="A459" s="286">
        <v>617004</v>
      </c>
      <c r="B459" s="286">
        <v>43812</v>
      </c>
      <c r="E459" s="215">
        <v>26448</v>
      </c>
      <c r="F459" s="215">
        <v>27135</v>
      </c>
      <c r="G459" s="215">
        <v>27732</v>
      </c>
      <c r="H459" s="215">
        <v>28342</v>
      </c>
      <c r="I459" s="215">
        <v>28965</v>
      </c>
      <c r="J459" t="s">
        <v>85</v>
      </c>
    </row>
    <row r="460" spans="1:10" x14ac:dyDescent="0.3">
      <c r="A460" s="286">
        <v>617005</v>
      </c>
      <c r="B460" s="286">
        <v>43812</v>
      </c>
      <c r="E460" s="215">
        <v>2719</v>
      </c>
      <c r="F460" s="215">
        <v>2790</v>
      </c>
      <c r="G460" s="215">
        <v>2851</v>
      </c>
      <c r="H460" s="215">
        <v>2914</v>
      </c>
      <c r="I460" s="215">
        <v>2978</v>
      </c>
      <c r="J460" t="s">
        <v>85</v>
      </c>
    </row>
    <row r="461" spans="1:10" x14ac:dyDescent="0.3">
      <c r="A461" s="286">
        <v>617007</v>
      </c>
      <c r="B461" s="286">
        <v>43812</v>
      </c>
      <c r="E461" s="215">
        <v>172000</v>
      </c>
      <c r="F461" s="215">
        <v>218000</v>
      </c>
      <c r="G461" s="215">
        <v>172000</v>
      </c>
      <c r="H461" s="215">
        <v>172000</v>
      </c>
      <c r="I461" s="215">
        <v>172000</v>
      </c>
      <c r="J461" t="s">
        <v>85</v>
      </c>
    </row>
    <row r="462" spans="1:10" x14ac:dyDescent="0.3">
      <c r="A462" s="286">
        <v>617008</v>
      </c>
      <c r="B462" s="286">
        <v>43812</v>
      </c>
      <c r="E462" s="215">
        <v>1153</v>
      </c>
      <c r="F462" s="215">
        <v>1183</v>
      </c>
      <c r="G462" s="215">
        <v>1209</v>
      </c>
      <c r="H462" s="215">
        <v>1236</v>
      </c>
      <c r="I462" s="215">
        <v>1263</v>
      </c>
      <c r="J462" t="s">
        <v>85</v>
      </c>
    </row>
    <row r="463" spans="1:10" x14ac:dyDescent="0.3">
      <c r="A463" s="286">
        <v>617009</v>
      </c>
      <c r="B463" s="286">
        <v>43812</v>
      </c>
      <c r="E463" s="215">
        <v>26533</v>
      </c>
      <c r="F463" s="215">
        <v>27223</v>
      </c>
      <c r="G463" s="215">
        <v>27822</v>
      </c>
      <c r="H463" s="215">
        <v>28434</v>
      </c>
      <c r="I463" s="215">
        <v>29060</v>
      </c>
      <c r="J463" t="s">
        <v>85</v>
      </c>
    </row>
    <row r="464" spans="1:10" x14ac:dyDescent="0.3">
      <c r="A464" s="286">
        <v>617010</v>
      </c>
      <c r="B464" s="286">
        <v>43812</v>
      </c>
      <c r="E464" s="215">
        <v>56176</v>
      </c>
      <c r="F464" s="215">
        <v>57637</v>
      </c>
      <c r="G464" s="215">
        <v>58905</v>
      </c>
      <c r="H464" s="215">
        <v>60201</v>
      </c>
      <c r="I464" s="215">
        <v>61525</v>
      </c>
      <c r="J464" t="s">
        <v>85</v>
      </c>
    </row>
    <row r="465" spans="1:10" x14ac:dyDescent="0.3">
      <c r="A465" s="286">
        <v>617011</v>
      </c>
      <c r="B465" s="286">
        <v>42100</v>
      </c>
      <c r="E465" s="215">
        <v>18077</v>
      </c>
      <c r="F465" s="215">
        <v>18547</v>
      </c>
      <c r="G465" s="215">
        <v>18955</v>
      </c>
      <c r="H465" s="215">
        <v>19372</v>
      </c>
      <c r="I465" s="215">
        <v>19798</v>
      </c>
      <c r="J465" t="s">
        <v>85</v>
      </c>
    </row>
    <row r="466" spans="1:10" x14ac:dyDescent="0.3">
      <c r="A466" s="286">
        <v>617011</v>
      </c>
      <c r="B466" s="286">
        <v>42100</v>
      </c>
      <c r="E466" s="215">
        <v>1904</v>
      </c>
      <c r="F466" s="215">
        <v>1954</v>
      </c>
      <c r="G466" s="215">
        <v>1997</v>
      </c>
      <c r="H466" s="215">
        <v>2041</v>
      </c>
      <c r="I466" s="215">
        <v>2086</v>
      </c>
      <c r="J466" t="s">
        <v>85</v>
      </c>
    </row>
    <row r="467" spans="1:10" x14ac:dyDescent="0.3">
      <c r="A467" s="286">
        <v>617011</v>
      </c>
      <c r="B467" s="286">
        <v>42100</v>
      </c>
      <c r="E467" s="215">
        <v>2176</v>
      </c>
      <c r="F467" s="215">
        <v>2233</v>
      </c>
      <c r="G467" s="215">
        <v>2282</v>
      </c>
      <c r="H467" s="215">
        <v>2332</v>
      </c>
      <c r="I467" s="215">
        <v>2383</v>
      </c>
      <c r="J467" t="s">
        <v>85</v>
      </c>
    </row>
    <row r="468" spans="1:10" x14ac:dyDescent="0.3">
      <c r="A468" s="286">
        <v>617011</v>
      </c>
      <c r="B468" s="286">
        <v>42100</v>
      </c>
      <c r="E468" s="215">
        <v>12913</v>
      </c>
      <c r="F468" s="215">
        <v>13249</v>
      </c>
      <c r="G468" s="215">
        <v>13540</v>
      </c>
      <c r="H468" s="215">
        <v>13838</v>
      </c>
      <c r="I468" s="215">
        <v>14142</v>
      </c>
      <c r="J468" t="s">
        <v>85</v>
      </c>
    </row>
    <row r="469" spans="1:10" x14ac:dyDescent="0.3">
      <c r="A469" s="286">
        <v>617011</v>
      </c>
      <c r="B469" s="286">
        <v>43803</v>
      </c>
      <c r="E469" s="215">
        <v>1567</v>
      </c>
      <c r="F469" s="215">
        <v>1608</v>
      </c>
      <c r="G469" s="215">
        <v>1643</v>
      </c>
      <c r="H469" s="215">
        <v>1679</v>
      </c>
      <c r="I469" s="215">
        <v>1716</v>
      </c>
      <c r="J469" t="s">
        <v>85</v>
      </c>
    </row>
    <row r="470" spans="1:10" x14ac:dyDescent="0.3">
      <c r="A470" s="286">
        <v>617011</v>
      </c>
      <c r="B470" s="286">
        <v>43806</v>
      </c>
      <c r="E470" s="215">
        <v>2337</v>
      </c>
      <c r="F470" s="215">
        <v>2398</v>
      </c>
      <c r="G470" s="215">
        <v>2451</v>
      </c>
      <c r="H470" s="215">
        <v>2505</v>
      </c>
      <c r="I470" s="215">
        <v>2560</v>
      </c>
      <c r="J470" t="s">
        <v>85</v>
      </c>
    </row>
    <row r="471" spans="1:10" x14ac:dyDescent="0.3">
      <c r="A471" s="286">
        <v>617011</v>
      </c>
      <c r="B471" s="286">
        <v>43812</v>
      </c>
      <c r="E471" s="215">
        <v>554868</v>
      </c>
      <c r="F471" s="215">
        <v>573391</v>
      </c>
      <c r="G471" s="215">
        <v>590801</v>
      </c>
      <c r="H471" s="215">
        <v>600343</v>
      </c>
      <c r="I471" s="215">
        <v>610021</v>
      </c>
      <c r="J471" t="s">
        <v>85</v>
      </c>
    </row>
    <row r="472" spans="1:10" x14ac:dyDescent="0.3">
      <c r="A472" s="286">
        <v>617011</v>
      </c>
      <c r="B472" s="286">
        <v>43812</v>
      </c>
      <c r="E472" s="215">
        <v>82475</v>
      </c>
      <c r="F472" s="215">
        <v>84619</v>
      </c>
      <c r="G472" s="215">
        <v>86481</v>
      </c>
      <c r="H472" s="215">
        <v>88384</v>
      </c>
      <c r="I472" s="215">
        <v>90328</v>
      </c>
      <c r="J472" t="s">
        <v>85</v>
      </c>
    </row>
    <row r="473" spans="1:10" x14ac:dyDescent="0.3">
      <c r="A473" s="286">
        <v>617011</v>
      </c>
      <c r="B473" s="286">
        <v>43812</v>
      </c>
      <c r="E473" s="215">
        <v>5328</v>
      </c>
      <c r="F473" s="215">
        <v>5467</v>
      </c>
      <c r="G473" s="215">
        <v>5587</v>
      </c>
      <c r="H473" s="215">
        <v>5710</v>
      </c>
      <c r="I473" s="215">
        <v>5836</v>
      </c>
      <c r="J473" t="s">
        <v>85</v>
      </c>
    </row>
    <row r="474" spans="1:10" x14ac:dyDescent="0.3">
      <c r="A474" s="286">
        <v>617014</v>
      </c>
      <c r="B474" s="286">
        <v>42100</v>
      </c>
      <c r="E474" s="215">
        <v>419</v>
      </c>
      <c r="F474" s="215">
        <v>419</v>
      </c>
      <c r="G474" s="215">
        <v>419</v>
      </c>
      <c r="H474" s="215">
        <v>420</v>
      </c>
      <c r="I474" s="215">
        <v>420</v>
      </c>
      <c r="J474" t="s">
        <v>85</v>
      </c>
    </row>
    <row r="475" spans="1:10" x14ac:dyDescent="0.3">
      <c r="A475" s="286">
        <v>617014</v>
      </c>
      <c r="B475" s="286">
        <v>43803</v>
      </c>
      <c r="E475" s="215">
        <v>0</v>
      </c>
      <c r="F475" s="215">
        <v>0</v>
      </c>
      <c r="G475" s="215">
        <v>0</v>
      </c>
      <c r="H475" s="215">
        <v>0</v>
      </c>
      <c r="I475" s="215">
        <v>0</v>
      </c>
      <c r="J475" t="s">
        <v>85</v>
      </c>
    </row>
    <row r="476" spans="1:10" x14ac:dyDescent="0.3">
      <c r="A476" s="286">
        <v>617014</v>
      </c>
      <c r="B476" s="286">
        <v>43806</v>
      </c>
      <c r="E476" s="215">
        <v>809</v>
      </c>
      <c r="F476" s="215">
        <v>830</v>
      </c>
      <c r="G476" s="215">
        <v>848</v>
      </c>
      <c r="H476" s="215">
        <v>867</v>
      </c>
      <c r="I476" s="215">
        <v>886</v>
      </c>
      <c r="J476" t="s">
        <v>85</v>
      </c>
    </row>
    <row r="477" spans="1:10" x14ac:dyDescent="0.3">
      <c r="A477" s="286">
        <v>617014</v>
      </c>
      <c r="B477" s="286">
        <v>43812</v>
      </c>
      <c r="E477" s="215">
        <v>33054</v>
      </c>
      <c r="F477" s="215">
        <v>33973.5</v>
      </c>
      <c r="G477" s="215">
        <v>34907.5</v>
      </c>
      <c r="H477" s="215">
        <v>35960.58</v>
      </c>
      <c r="I477" s="215">
        <v>37045.4</v>
      </c>
      <c r="J477" t="s">
        <v>85</v>
      </c>
    </row>
    <row r="478" spans="1:10" x14ac:dyDescent="0.3">
      <c r="A478" s="286">
        <v>617014</v>
      </c>
      <c r="B478" s="286">
        <v>47300</v>
      </c>
      <c r="E478" s="215">
        <v>0</v>
      </c>
      <c r="F478" s="215">
        <v>0</v>
      </c>
      <c r="G478" s="215">
        <v>0</v>
      </c>
      <c r="H478" s="215">
        <v>0</v>
      </c>
      <c r="I478" s="215">
        <v>0</v>
      </c>
      <c r="J478" t="s">
        <v>85</v>
      </c>
    </row>
    <row r="479" spans="1:10" x14ac:dyDescent="0.3">
      <c r="A479" s="286">
        <v>617015</v>
      </c>
      <c r="B479" s="286">
        <v>43200</v>
      </c>
      <c r="E479" s="215">
        <v>30202</v>
      </c>
      <c r="F479" s="215">
        <v>30987</v>
      </c>
      <c r="G479" s="215">
        <v>31669</v>
      </c>
      <c r="H479" s="215">
        <v>32366</v>
      </c>
      <c r="I479" s="215">
        <v>33078</v>
      </c>
      <c r="J479" t="s">
        <v>85</v>
      </c>
    </row>
    <row r="480" spans="1:10" x14ac:dyDescent="0.3">
      <c r="A480" s="286">
        <v>617016</v>
      </c>
      <c r="B480" s="286">
        <v>43802</v>
      </c>
      <c r="E480" s="215">
        <v>172279</v>
      </c>
      <c r="F480" s="215">
        <v>183132</v>
      </c>
      <c r="G480" s="215">
        <v>192807</v>
      </c>
      <c r="H480" s="215">
        <v>204033</v>
      </c>
      <c r="I480" s="215">
        <v>214665</v>
      </c>
      <c r="J480" t="s">
        <v>85</v>
      </c>
    </row>
    <row r="481" spans="1:10" x14ac:dyDescent="0.3">
      <c r="A481" s="286">
        <v>617016</v>
      </c>
      <c r="B481" s="286">
        <v>43812</v>
      </c>
      <c r="E481" s="215">
        <v>80987</v>
      </c>
      <c r="F481" s="215">
        <v>83093</v>
      </c>
      <c r="G481" s="215">
        <v>84920</v>
      </c>
      <c r="H481" s="215">
        <v>86789</v>
      </c>
      <c r="I481" s="215">
        <v>88698</v>
      </c>
      <c r="J481" t="s">
        <v>85</v>
      </c>
    </row>
    <row r="482" spans="1:10" x14ac:dyDescent="0.3">
      <c r="A482" s="286">
        <v>617016</v>
      </c>
      <c r="B482" s="286">
        <v>47300</v>
      </c>
      <c r="E482" s="215">
        <v>0</v>
      </c>
      <c r="F482" s="215">
        <v>0</v>
      </c>
      <c r="G482" s="215">
        <v>0</v>
      </c>
      <c r="H482" s="215">
        <v>0</v>
      </c>
      <c r="I482" s="215">
        <v>0</v>
      </c>
      <c r="J482" t="s">
        <v>85</v>
      </c>
    </row>
    <row r="483" spans="1:10" x14ac:dyDescent="0.3">
      <c r="A483" s="286">
        <v>617017</v>
      </c>
      <c r="B483" s="286">
        <v>43511</v>
      </c>
      <c r="E483" s="215">
        <v>230501</v>
      </c>
      <c r="F483" s="215">
        <v>235111</v>
      </c>
      <c r="G483" s="215">
        <v>245926</v>
      </c>
      <c r="H483" s="215">
        <v>257239</v>
      </c>
      <c r="I483" s="215">
        <v>269072</v>
      </c>
      <c r="J483" t="s">
        <v>85</v>
      </c>
    </row>
    <row r="484" spans="1:10" x14ac:dyDescent="0.3">
      <c r="A484" s="286">
        <v>617017</v>
      </c>
      <c r="B484" s="286">
        <v>43803</v>
      </c>
      <c r="E484" s="215">
        <v>8080</v>
      </c>
      <c r="F484" s="215">
        <v>8290</v>
      </c>
      <c r="G484" s="215">
        <v>8472</v>
      </c>
      <c r="H484" s="215">
        <v>8658</v>
      </c>
      <c r="I484" s="215">
        <v>8848</v>
      </c>
      <c r="J484" t="s">
        <v>85</v>
      </c>
    </row>
    <row r="485" spans="1:10" x14ac:dyDescent="0.3">
      <c r="A485" s="286">
        <v>617017</v>
      </c>
      <c r="B485" s="286">
        <v>43806</v>
      </c>
      <c r="E485" s="215">
        <v>2338</v>
      </c>
      <c r="F485" s="215">
        <v>2399</v>
      </c>
      <c r="G485" s="215">
        <v>2452</v>
      </c>
      <c r="H485" s="215">
        <v>2506</v>
      </c>
      <c r="I485" s="215">
        <v>2561</v>
      </c>
      <c r="J485" t="s">
        <v>85</v>
      </c>
    </row>
    <row r="486" spans="1:10" x14ac:dyDescent="0.3">
      <c r="A486" s="286">
        <v>617017</v>
      </c>
      <c r="B486" s="286">
        <v>43812</v>
      </c>
      <c r="E486" s="215">
        <v>201468</v>
      </c>
      <c r="F486" s="215">
        <v>281706</v>
      </c>
      <c r="G486" s="215">
        <v>311254</v>
      </c>
      <c r="H486" s="215">
        <v>340901</v>
      </c>
      <c r="I486" s="215">
        <v>370652</v>
      </c>
      <c r="J486" t="s">
        <v>85</v>
      </c>
    </row>
    <row r="487" spans="1:10" x14ac:dyDescent="0.3">
      <c r="A487" s="286">
        <v>617017</v>
      </c>
      <c r="B487" s="286">
        <v>43814</v>
      </c>
      <c r="E487" s="215">
        <v>66037</v>
      </c>
      <c r="F487" s="215">
        <v>67754</v>
      </c>
      <c r="G487" s="215">
        <v>69242.600000000006</v>
      </c>
      <c r="H487" s="215">
        <v>70767.600000000006</v>
      </c>
      <c r="I487" s="215">
        <v>72325</v>
      </c>
      <c r="J487" t="s">
        <v>85</v>
      </c>
    </row>
    <row r="488" spans="1:10" x14ac:dyDescent="0.3">
      <c r="A488" s="286">
        <v>617017</v>
      </c>
      <c r="B488" s="286">
        <v>47300</v>
      </c>
      <c r="E488" s="215">
        <v>0</v>
      </c>
      <c r="F488" s="215">
        <v>0</v>
      </c>
      <c r="G488" s="215">
        <v>0</v>
      </c>
      <c r="H488" s="215">
        <v>0</v>
      </c>
      <c r="I488" s="215">
        <v>0</v>
      </c>
      <c r="J488" t="s">
        <v>85</v>
      </c>
    </row>
    <row r="489" spans="1:10" x14ac:dyDescent="0.3">
      <c r="A489" s="286">
        <v>617017</v>
      </c>
      <c r="B489" s="286">
        <v>43812</v>
      </c>
      <c r="E489" s="215">
        <v>1201</v>
      </c>
      <c r="F489" s="215">
        <v>1232</v>
      </c>
      <c r="G489" s="215">
        <v>1259</v>
      </c>
      <c r="H489" s="215">
        <v>1287</v>
      </c>
      <c r="I489" s="215">
        <v>1315</v>
      </c>
      <c r="J489" t="s">
        <v>85</v>
      </c>
    </row>
    <row r="490" spans="1:10" x14ac:dyDescent="0.3">
      <c r="A490" s="286">
        <v>617020</v>
      </c>
      <c r="B490" s="286">
        <v>43812</v>
      </c>
      <c r="E490" s="215">
        <v>0</v>
      </c>
      <c r="F490" s="215">
        <v>0</v>
      </c>
      <c r="G490" s="215">
        <v>0</v>
      </c>
      <c r="H490" s="215">
        <v>0</v>
      </c>
      <c r="I490" s="215">
        <v>0</v>
      </c>
      <c r="J490" t="s">
        <v>85</v>
      </c>
    </row>
    <row r="491" spans="1:10" x14ac:dyDescent="0.3">
      <c r="A491" s="286">
        <v>617002</v>
      </c>
      <c r="B491" s="286">
        <v>84380</v>
      </c>
      <c r="E491" s="215">
        <v>-838</v>
      </c>
      <c r="F491" s="215">
        <v>-860</v>
      </c>
      <c r="G491" s="215">
        <v>-879</v>
      </c>
      <c r="H491" s="215">
        <v>-898</v>
      </c>
      <c r="I491" s="215">
        <v>-918</v>
      </c>
      <c r="J491" t="s">
        <v>85</v>
      </c>
    </row>
    <row r="492" spans="1:10" x14ac:dyDescent="0.3">
      <c r="A492" s="286">
        <v>617007</v>
      </c>
      <c r="B492" s="286">
        <v>84340</v>
      </c>
      <c r="E492" s="215">
        <v>-66000</v>
      </c>
      <c r="F492" s="215">
        <v>-66000</v>
      </c>
      <c r="G492" s="215">
        <v>-20000</v>
      </c>
      <c r="H492" s="215">
        <v>-20000</v>
      </c>
      <c r="I492" s="215">
        <v>-20000</v>
      </c>
      <c r="J492" t="s">
        <v>85</v>
      </c>
    </row>
    <row r="493" spans="1:10" x14ac:dyDescent="0.3">
      <c r="A493" s="286">
        <v>617009</v>
      </c>
      <c r="B493" s="286">
        <v>84330</v>
      </c>
      <c r="E493" s="215">
        <v>-14855</v>
      </c>
      <c r="F493" s="215">
        <v>-15241</v>
      </c>
      <c r="G493" s="215">
        <v>-15576</v>
      </c>
      <c r="H493" s="215">
        <v>-15919</v>
      </c>
      <c r="I493" s="215">
        <v>-16269</v>
      </c>
      <c r="J493" t="s">
        <v>85</v>
      </c>
    </row>
    <row r="494" spans="1:10" x14ac:dyDescent="0.3">
      <c r="A494" s="286">
        <v>617011</v>
      </c>
      <c r="B494" s="286">
        <v>83800</v>
      </c>
      <c r="E494" s="215">
        <v>-2936</v>
      </c>
      <c r="F494" s="215">
        <v>-3012</v>
      </c>
      <c r="G494" s="215">
        <v>-3078</v>
      </c>
      <c r="H494" s="215">
        <v>-3146</v>
      </c>
      <c r="I494" s="215">
        <v>-3215</v>
      </c>
      <c r="J494" t="s">
        <v>85</v>
      </c>
    </row>
    <row r="495" spans="1:10" x14ac:dyDescent="0.3">
      <c r="A495" s="286">
        <v>617011</v>
      </c>
      <c r="B495" s="286">
        <v>84390</v>
      </c>
      <c r="E495" s="215">
        <v>-5869</v>
      </c>
      <c r="F495" s="215">
        <v>-6022</v>
      </c>
      <c r="G495" s="215">
        <v>-6154</v>
      </c>
      <c r="H495" s="215">
        <v>-6289</v>
      </c>
      <c r="I495" s="215">
        <v>-6427</v>
      </c>
      <c r="J495" t="s">
        <v>85</v>
      </c>
    </row>
    <row r="496" spans="1:10" x14ac:dyDescent="0.3">
      <c r="A496" s="286">
        <v>617015</v>
      </c>
      <c r="B496" s="286">
        <v>84380</v>
      </c>
      <c r="E496" s="215">
        <v>-30202</v>
      </c>
      <c r="F496" s="215">
        <v>-30987</v>
      </c>
      <c r="G496" s="215">
        <v>-31669</v>
      </c>
      <c r="H496" s="215">
        <v>-32366</v>
      </c>
      <c r="I496" s="215">
        <v>-33078</v>
      </c>
      <c r="J496" t="s">
        <v>85</v>
      </c>
    </row>
    <row r="497" spans="1:10" x14ac:dyDescent="0.3">
      <c r="A497" s="286">
        <v>617016</v>
      </c>
      <c r="B497" s="286">
        <v>83800</v>
      </c>
      <c r="E497" s="215">
        <v>-3322</v>
      </c>
      <c r="F497" s="215">
        <v>-3408</v>
      </c>
      <c r="G497" s="215">
        <v>-3483</v>
      </c>
      <c r="H497" s="215">
        <v>-3560</v>
      </c>
      <c r="I497" s="215">
        <v>-3638</v>
      </c>
      <c r="J497" t="s">
        <v>85</v>
      </c>
    </row>
    <row r="498" spans="1:10" x14ac:dyDescent="0.3">
      <c r="A498" s="286">
        <v>617016</v>
      </c>
      <c r="B498" s="286">
        <v>84380</v>
      </c>
      <c r="E498" s="215">
        <v>-4561</v>
      </c>
      <c r="F498" s="215">
        <v>-4680</v>
      </c>
      <c r="G498" s="215">
        <v>-4783</v>
      </c>
      <c r="H498" s="215">
        <v>-4888</v>
      </c>
      <c r="I498" s="215">
        <v>-4996</v>
      </c>
      <c r="J498" t="s">
        <v>85</v>
      </c>
    </row>
    <row r="499" spans="1:10" x14ac:dyDescent="0.3">
      <c r="A499" s="286">
        <v>617017</v>
      </c>
      <c r="B499" s="286">
        <v>83800</v>
      </c>
      <c r="E499" s="215">
        <v>-359960</v>
      </c>
      <c r="F499" s="215">
        <v>-414016</v>
      </c>
      <c r="G499" s="215">
        <v>-443030</v>
      </c>
      <c r="H499" s="215">
        <v>-472256</v>
      </c>
      <c r="I499" s="215">
        <v>-502002</v>
      </c>
      <c r="J499" t="s">
        <v>85</v>
      </c>
    </row>
    <row r="500" spans="1:10" x14ac:dyDescent="0.3">
      <c r="A500" s="286">
        <v>617018</v>
      </c>
      <c r="B500" s="286">
        <v>42100</v>
      </c>
      <c r="E500" s="215">
        <v>3165.4</v>
      </c>
      <c r="F500" s="215">
        <v>3253.94</v>
      </c>
      <c r="G500" s="215">
        <v>3345.14</v>
      </c>
      <c r="H500" s="215">
        <v>3438.62</v>
      </c>
      <c r="I500" s="215">
        <v>3534.76</v>
      </c>
      <c r="J500" t="s">
        <v>85</v>
      </c>
    </row>
    <row r="501" spans="1:10" x14ac:dyDescent="0.3">
      <c r="A501" s="286">
        <v>617018</v>
      </c>
      <c r="B501" s="286">
        <v>42100</v>
      </c>
      <c r="E501" s="215">
        <v>540.36</v>
      </c>
      <c r="F501" s="215">
        <v>555.56000000000006</v>
      </c>
      <c r="G501" s="215">
        <v>571.14</v>
      </c>
      <c r="H501" s="215">
        <v>587.1</v>
      </c>
      <c r="I501" s="215">
        <v>603.44000000000005</v>
      </c>
      <c r="J501" t="s">
        <v>85</v>
      </c>
    </row>
    <row r="502" spans="1:10" x14ac:dyDescent="0.3">
      <c r="A502" s="286">
        <v>617018</v>
      </c>
      <c r="B502" s="286">
        <v>42100</v>
      </c>
      <c r="E502" s="215">
        <v>72.2</v>
      </c>
      <c r="F502" s="215">
        <v>74.099999999999994</v>
      </c>
      <c r="G502" s="215">
        <v>76</v>
      </c>
      <c r="H502" s="215">
        <v>78.28</v>
      </c>
      <c r="I502" s="215">
        <v>80.56</v>
      </c>
      <c r="J502" t="s">
        <v>85</v>
      </c>
    </row>
    <row r="503" spans="1:10" x14ac:dyDescent="0.3">
      <c r="A503" s="286">
        <v>617018</v>
      </c>
      <c r="B503" s="286">
        <v>43511</v>
      </c>
      <c r="E503" s="215">
        <v>7630.78</v>
      </c>
      <c r="F503" s="215">
        <v>7830.28</v>
      </c>
      <c r="G503" s="215">
        <v>8001.28</v>
      </c>
      <c r="H503" s="215">
        <v>8176.08</v>
      </c>
      <c r="I503" s="215">
        <v>8355.2993999999999</v>
      </c>
      <c r="J503" t="s">
        <v>85</v>
      </c>
    </row>
    <row r="504" spans="1:10" x14ac:dyDescent="0.3">
      <c r="A504" s="286">
        <v>617018</v>
      </c>
      <c r="B504" s="286">
        <v>43801</v>
      </c>
      <c r="E504" s="215">
        <v>2744.7400000000002</v>
      </c>
      <c r="F504" s="215">
        <v>2821.5</v>
      </c>
      <c r="G504" s="215">
        <v>2900.54</v>
      </c>
      <c r="H504" s="215">
        <v>2981.86</v>
      </c>
      <c r="I504" s="215">
        <v>3065.46</v>
      </c>
      <c r="J504" t="s">
        <v>85</v>
      </c>
    </row>
    <row r="505" spans="1:10" x14ac:dyDescent="0.3">
      <c r="A505" s="286">
        <v>617018</v>
      </c>
      <c r="B505" s="286">
        <v>43802</v>
      </c>
      <c r="E505" s="215">
        <v>254.6</v>
      </c>
      <c r="F505" s="215">
        <v>261.82</v>
      </c>
      <c r="G505" s="215">
        <v>269.04000000000002</v>
      </c>
      <c r="H505" s="215">
        <v>276.64</v>
      </c>
      <c r="I505" s="215">
        <v>284.24</v>
      </c>
      <c r="J505" t="s">
        <v>85</v>
      </c>
    </row>
    <row r="506" spans="1:10" x14ac:dyDescent="0.3">
      <c r="A506" s="286">
        <v>617018</v>
      </c>
      <c r="B506" s="286">
        <v>43803</v>
      </c>
      <c r="E506" s="215">
        <v>141.36000000000001</v>
      </c>
      <c r="F506" s="215">
        <v>145.16</v>
      </c>
      <c r="G506" s="215">
        <v>149.34</v>
      </c>
      <c r="H506" s="215">
        <v>153.52000000000001</v>
      </c>
      <c r="I506" s="215">
        <v>157.69999999999999</v>
      </c>
      <c r="J506" t="s">
        <v>85</v>
      </c>
    </row>
    <row r="507" spans="1:10" x14ac:dyDescent="0.3">
      <c r="A507" s="286">
        <v>617018</v>
      </c>
      <c r="B507" s="286">
        <v>43806</v>
      </c>
      <c r="E507" s="215">
        <v>207.48</v>
      </c>
      <c r="F507" s="215">
        <v>213.18</v>
      </c>
      <c r="G507" s="215">
        <v>219.26</v>
      </c>
      <c r="H507" s="215">
        <v>225.34</v>
      </c>
      <c r="I507" s="215">
        <v>231.8</v>
      </c>
      <c r="J507" t="s">
        <v>85</v>
      </c>
    </row>
    <row r="508" spans="1:10" x14ac:dyDescent="0.3">
      <c r="A508" s="286">
        <v>617018</v>
      </c>
      <c r="B508" s="286">
        <v>43806</v>
      </c>
      <c r="E508" s="215">
        <v>153.52000000000001</v>
      </c>
      <c r="F508" s="215">
        <v>157.69999999999999</v>
      </c>
      <c r="G508" s="215">
        <v>162.26</v>
      </c>
      <c r="H508" s="215">
        <v>166.82</v>
      </c>
      <c r="I508" s="215">
        <v>171.38</v>
      </c>
      <c r="J508" t="s">
        <v>85</v>
      </c>
    </row>
    <row r="509" spans="1:10" x14ac:dyDescent="0.3">
      <c r="A509" s="286">
        <v>617018</v>
      </c>
      <c r="B509" s="286">
        <v>43806</v>
      </c>
      <c r="E509" s="215">
        <v>1377.88</v>
      </c>
      <c r="F509" s="215">
        <v>1416.64</v>
      </c>
      <c r="G509" s="215">
        <v>1456.16</v>
      </c>
      <c r="H509" s="215">
        <v>1496.82</v>
      </c>
      <c r="I509" s="215">
        <v>1538.6200000000001</v>
      </c>
      <c r="J509" t="s">
        <v>85</v>
      </c>
    </row>
    <row r="510" spans="1:10" x14ac:dyDescent="0.3">
      <c r="A510" s="286">
        <v>617018</v>
      </c>
      <c r="B510" s="286">
        <v>43812</v>
      </c>
      <c r="E510" s="215">
        <v>5558.26</v>
      </c>
      <c r="F510" s="215">
        <v>5702.66</v>
      </c>
      <c r="G510" s="215">
        <v>5828.06</v>
      </c>
      <c r="H510" s="215">
        <v>5956.12</v>
      </c>
      <c r="I510" s="215">
        <v>6087.22</v>
      </c>
      <c r="J510" t="s">
        <v>85</v>
      </c>
    </row>
    <row r="511" spans="1:10" x14ac:dyDescent="0.3">
      <c r="A511" s="286">
        <v>617018</v>
      </c>
      <c r="B511" s="286">
        <v>43814</v>
      </c>
      <c r="E511" s="215">
        <v>0</v>
      </c>
      <c r="F511" s="215">
        <v>0</v>
      </c>
      <c r="G511" s="215">
        <v>0</v>
      </c>
      <c r="H511" s="215">
        <v>0</v>
      </c>
      <c r="I511" s="215">
        <v>0</v>
      </c>
      <c r="J511" t="s">
        <v>85</v>
      </c>
    </row>
    <row r="512" spans="1:10" x14ac:dyDescent="0.3">
      <c r="A512" s="286">
        <v>617018</v>
      </c>
      <c r="B512" s="286">
        <v>43817</v>
      </c>
      <c r="E512" s="215">
        <v>9639.84</v>
      </c>
      <c r="F512" s="215">
        <v>9890.64</v>
      </c>
      <c r="G512" s="215">
        <v>10108.380000000001</v>
      </c>
      <c r="H512" s="215">
        <v>10330.68</v>
      </c>
      <c r="I512" s="215">
        <v>10557.92</v>
      </c>
      <c r="J512" t="s">
        <v>85</v>
      </c>
    </row>
    <row r="513" spans="1:10" x14ac:dyDescent="0.3">
      <c r="A513" s="286">
        <v>617018</v>
      </c>
      <c r="B513" s="286">
        <v>47201</v>
      </c>
      <c r="E513" s="215">
        <v>6506.36</v>
      </c>
      <c r="F513" s="215">
        <v>7971.6942720499201</v>
      </c>
      <c r="G513" s="215">
        <v>8370.2789856524159</v>
      </c>
      <c r="H513" s="215">
        <v>8788.7929349350379</v>
      </c>
      <c r="I513" s="215">
        <v>9228.2325816817902</v>
      </c>
      <c r="J513" t="s">
        <v>85</v>
      </c>
    </row>
    <row r="514" spans="1:10" x14ac:dyDescent="0.3">
      <c r="A514" s="286">
        <v>617018</v>
      </c>
      <c r="B514" s="286">
        <v>47300</v>
      </c>
      <c r="E514" s="215">
        <v>11992.42</v>
      </c>
      <c r="F514" s="215">
        <v>11992.42</v>
      </c>
      <c r="G514" s="215">
        <v>11992.42</v>
      </c>
      <c r="H514" s="215">
        <v>11992.42</v>
      </c>
      <c r="I514" s="215">
        <v>11992.42</v>
      </c>
      <c r="J514" t="s">
        <v>85</v>
      </c>
    </row>
    <row r="515" spans="1:10" x14ac:dyDescent="0.3">
      <c r="A515" s="286">
        <v>617018</v>
      </c>
      <c r="B515" s="286">
        <v>43803</v>
      </c>
      <c r="E515" s="215">
        <v>51.3</v>
      </c>
      <c r="F515" s="215">
        <v>52.82</v>
      </c>
      <c r="G515" s="215">
        <v>54.34</v>
      </c>
      <c r="H515" s="215">
        <v>55.86</v>
      </c>
      <c r="I515" s="215">
        <v>57.38</v>
      </c>
      <c r="J515" t="s">
        <v>85</v>
      </c>
    </row>
    <row r="516" spans="1:10" x14ac:dyDescent="0.3">
      <c r="A516" s="286">
        <v>617018</v>
      </c>
      <c r="B516" s="286">
        <v>43812</v>
      </c>
      <c r="E516" s="215">
        <v>7190.74</v>
      </c>
      <c r="F516" s="215">
        <v>7377.7</v>
      </c>
      <c r="G516" s="215">
        <v>7539.96</v>
      </c>
      <c r="H516" s="215">
        <v>7705.64</v>
      </c>
      <c r="I516" s="215">
        <v>7875.12</v>
      </c>
      <c r="J516" t="s">
        <v>85</v>
      </c>
    </row>
    <row r="517" spans="1:10" x14ac:dyDescent="0.3">
      <c r="A517" s="286">
        <v>617018</v>
      </c>
      <c r="B517" s="286">
        <v>43818</v>
      </c>
      <c r="E517" s="215">
        <v>3150.2</v>
      </c>
      <c r="F517" s="215">
        <v>3231.9</v>
      </c>
      <c r="G517" s="215">
        <v>3302.96</v>
      </c>
      <c r="H517" s="215">
        <v>3375.92</v>
      </c>
      <c r="I517" s="215">
        <v>3450.4</v>
      </c>
      <c r="J517" t="s">
        <v>85</v>
      </c>
    </row>
    <row r="518" spans="1:10" x14ac:dyDescent="0.3">
      <c r="A518" s="286">
        <v>617018</v>
      </c>
      <c r="B518" s="286">
        <v>42100</v>
      </c>
      <c r="E518" s="215">
        <v>5133.8</v>
      </c>
      <c r="F518" s="215">
        <v>5267.18</v>
      </c>
      <c r="G518" s="215">
        <v>5383.08</v>
      </c>
      <c r="H518" s="215">
        <v>5501.64</v>
      </c>
      <c r="I518" s="215">
        <v>5622.4800000000005</v>
      </c>
      <c r="J518" t="s">
        <v>85</v>
      </c>
    </row>
    <row r="519" spans="1:10" x14ac:dyDescent="0.3">
      <c r="A519" s="286">
        <v>617018</v>
      </c>
      <c r="B519" s="286">
        <v>43803</v>
      </c>
      <c r="E519" s="215">
        <v>6074.68</v>
      </c>
      <c r="F519" s="215">
        <v>6232.76</v>
      </c>
      <c r="G519" s="215">
        <v>6369.9400000000005</v>
      </c>
      <c r="H519" s="215">
        <v>6509.78</v>
      </c>
      <c r="I519" s="215">
        <v>6653.42</v>
      </c>
      <c r="J519" t="s">
        <v>85</v>
      </c>
    </row>
    <row r="520" spans="1:10" x14ac:dyDescent="0.3">
      <c r="A520" s="286">
        <v>617018</v>
      </c>
      <c r="B520" s="286">
        <v>43806</v>
      </c>
      <c r="E520" s="215">
        <v>8839.56</v>
      </c>
      <c r="F520" s="215">
        <v>9069.4600000000009</v>
      </c>
      <c r="G520" s="215">
        <v>9268.9600000000009</v>
      </c>
      <c r="H520" s="215">
        <v>9473.02</v>
      </c>
      <c r="I520" s="215">
        <v>9681.26</v>
      </c>
      <c r="J520" t="s">
        <v>85</v>
      </c>
    </row>
    <row r="521" spans="1:10" x14ac:dyDescent="0.3">
      <c r="A521" s="286">
        <v>617018</v>
      </c>
      <c r="B521" s="286">
        <v>43812</v>
      </c>
      <c r="E521" s="215">
        <v>2588.1799999999998</v>
      </c>
      <c r="F521" s="215">
        <v>2655.44</v>
      </c>
      <c r="G521" s="215">
        <v>2713.58</v>
      </c>
      <c r="H521" s="215">
        <v>2773.62</v>
      </c>
      <c r="I521" s="215">
        <v>2834.42</v>
      </c>
      <c r="J521" t="s">
        <v>85</v>
      </c>
    </row>
    <row r="522" spans="1:10" x14ac:dyDescent="0.3">
      <c r="A522" s="286">
        <v>617018</v>
      </c>
      <c r="B522" s="286">
        <v>47300</v>
      </c>
      <c r="E522" s="215">
        <v>20748</v>
      </c>
      <c r="F522" s="215">
        <v>17820</v>
      </c>
      <c r="G522" s="215">
        <v>20946</v>
      </c>
      <c r="H522" s="215">
        <v>20946</v>
      </c>
      <c r="I522" s="215">
        <v>20946</v>
      </c>
      <c r="J522" t="s">
        <v>85</v>
      </c>
    </row>
    <row r="523" spans="1:10" x14ac:dyDescent="0.3">
      <c r="A523" s="286">
        <v>617021</v>
      </c>
      <c r="B523" s="286">
        <v>43812</v>
      </c>
      <c r="E523" s="215">
        <v>23984</v>
      </c>
      <c r="F523" s="215">
        <v>72819</v>
      </c>
      <c r="G523" s="215">
        <v>72819</v>
      </c>
      <c r="H523" s="215">
        <v>72819</v>
      </c>
      <c r="I523" s="215">
        <v>259615</v>
      </c>
      <c r="J523" t="s">
        <v>85</v>
      </c>
    </row>
    <row r="524" spans="1:10" x14ac:dyDescent="0.3">
      <c r="A524" s="286">
        <v>617023</v>
      </c>
      <c r="B524" s="286">
        <v>43812</v>
      </c>
      <c r="E524" s="215">
        <v>0</v>
      </c>
      <c r="F524" s="215">
        <v>230000</v>
      </c>
      <c r="G524" s="215">
        <v>655000</v>
      </c>
      <c r="H524" s="215">
        <v>655000</v>
      </c>
      <c r="I524" s="215">
        <v>680000</v>
      </c>
      <c r="J524" t="s">
        <v>85</v>
      </c>
    </row>
    <row r="525" spans="1:10" x14ac:dyDescent="0.3">
      <c r="A525" s="286">
        <v>617901</v>
      </c>
      <c r="B525" s="286">
        <v>41100</v>
      </c>
      <c r="E525" s="215">
        <v>445649.86</v>
      </c>
      <c r="F525" s="215">
        <v>419182</v>
      </c>
      <c r="G525" s="215">
        <v>438464</v>
      </c>
      <c r="H525" s="215">
        <v>458633</v>
      </c>
      <c r="I525" s="215">
        <v>479730</v>
      </c>
      <c r="J525" t="s">
        <v>85</v>
      </c>
    </row>
    <row r="526" spans="1:10" x14ac:dyDescent="0.3">
      <c r="A526" s="286">
        <v>617901</v>
      </c>
      <c r="B526" s="286">
        <v>41100</v>
      </c>
      <c r="E526" s="215">
        <v>0</v>
      </c>
      <c r="F526" s="215">
        <v>0</v>
      </c>
      <c r="G526" s="215">
        <v>0</v>
      </c>
      <c r="H526" s="215">
        <v>0</v>
      </c>
      <c r="I526" s="215">
        <v>0</v>
      </c>
      <c r="J526" t="s">
        <v>85</v>
      </c>
    </row>
    <row r="527" spans="1:10" x14ac:dyDescent="0.3">
      <c r="A527" s="286">
        <v>617901</v>
      </c>
      <c r="B527" s="286">
        <v>41100</v>
      </c>
      <c r="E527" s="215">
        <v>-20234</v>
      </c>
      <c r="F527" s="215">
        <v>-20234</v>
      </c>
      <c r="G527" s="215">
        <v>-20234</v>
      </c>
      <c r="H527" s="215">
        <v>-20233</v>
      </c>
      <c r="I527" s="215">
        <v>-20233</v>
      </c>
      <c r="J527" t="s">
        <v>85</v>
      </c>
    </row>
    <row r="528" spans="1:10" x14ac:dyDescent="0.3">
      <c r="A528" s="286">
        <v>617901</v>
      </c>
      <c r="B528" s="286">
        <v>41100</v>
      </c>
      <c r="E528" s="215">
        <v>0</v>
      </c>
      <c r="F528" s="215">
        <v>0</v>
      </c>
      <c r="G528" s="215">
        <v>0</v>
      </c>
      <c r="H528" s="215">
        <v>0</v>
      </c>
      <c r="I528" s="215">
        <v>0</v>
      </c>
      <c r="J528" t="s">
        <v>85</v>
      </c>
    </row>
    <row r="529" spans="1:10" x14ac:dyDescent="0.3">
      <c r="A529" s="286">
        <v>617901</v>
      </c>
      <c r="B529" s="286">
        <v>41100</v>
      </c>
      <c r="E529" s="215">
        <v>0</v>
      </c>
      <c r="F529" s="215">
        <v>0</v>
      </c>
      <c r="G529" s="215">
        <v>0</v>
      </c>
      <c r="H529" s="215">
        <v>0</v>
      </c>
      <c r="I529" s="215">
        <v>0</v>
      </c>
      <c r="J529" t="s">
        <v>85</v>
      </c>
    </row>
    <row r="530" spans="1:10" x14ac:dyDescent="0.3">
      <c r="A530" s="286">
        <v>617901</v>
      </c>
      <c r="B530" s="286">
        <v>41100</v>
      </c>
      <c r="E530" s="215">
        <v>0</v>
      </c>
      <c r="F530" s="215">
        <v>0</v>
      </c>
      <c r="G530" s="215">
        <v>0</v>
      </c>
      <c r="H530" s="215">
        <v>0</v>
      </c>
      <c r="I530" s="215">
        <v>0</v>
      </c>
      <c r="J530" t="s">
        <v>85</v>
      </c>
    </row>
    <row r="531" spans="1:10" x14ac:dyDescent="0.3">
      <c r="A531" s="286">
        <v>617901</v>
      </c>
      <c r="B531" s="286">
        <v>41100</v>
      </c>
      <c r="E531" s="215">
        <v>0</v>
      </c>
      <c r="F531" s="215">
        <v>0</v>
      </c>
      <c r="G531" s="215">
        <v>0</v>
      </c>
      <c r="H531" s="215">
        <v>0</v>
      </c>
      <c r="I531" s="215">
        <v>0</v>
      </c>
      <c r="J531" t="s">
        <v>85</v>
      </c>
    </row>
    <row r="532" spans="1:10" x14ac:dyDescent="0.3">
      <c r="A532" s="286">
        <v>617901</v>
      </c>
      <c r="B532" s="286">
        <v>41100</v>
      </c>
      <c r="E532" s="215">
        <v>0</v>
      </c>
      <c r="F532" s="215">
        <v>0</v>
      </c>
      <c r="G532" s="215">
        <v>0</v>
      </c>
      <c r="H532" s="215">
        <v>0</v>
      </c>
      <c r="I532" s="215">
        <v>0</v>
      </c>
      <c r="J532" t="s">
        <v>85</v>
      </c>
    </row>
    <row r="533" spans="1:10" x14ac:dyDescent="0.3">
      <c r="A533" s="286">
        <v>617901</v>
      </c>
      <c r="B533" s="286">
        <v>41100</v>
      </c>
      <c r="E533" s="215">
        <v>439104.52</v>
      </c>
      <c r="F533" s="215">
        <v>484305.83</v>
      </c>
      <c r="G533" s="215">
        <v>492387</v>
      </c>
      <c r="H533" s="215">
        <v>500646</v>
      </c>
      <c r="I533" s="215">
        <v>509087</v>
      </c>
      <c r="J533" t="s">
        <v>85</v>
      </c>
    </row>
    <row r="534" spans="1:10" x14ac:dyDescent="0.3">
      <c r="A534" s="286">
        <v>617901</v>
      </c>
      <c r="B534" s="286">
        <v>47300</v>
      </c>
      <c r="E534" s="215">
        <v>794151</v>
      </c>
      <c r="F534" s="215">
        <v>813230</v>
      </c>
      <c r="G534" s="215">
        <v>1073107</v>
      </c>
      <c r="H534" s="215">
        <v>1364887</v>
      </c>
      <c r="I534" s="215">
        <v>1657064</v>
      </c>
      <c r="J534" t="s">
        <v>85</v>
      </c>
    </row>
    <row r="535" spans="1:10" x14ac:dyDescent="0.3">
      <c r="A535" s="286">
        <v>617901</v>
      </c>
      <c r="B535" s="286">
        <v>47300</v>
      </c>
      <c r="E535" s="215">
        <v>0</v>
      </c>
      <c r="F535" s="215">
        <v>0</v>
      </c>
      <c r="G535" s="215">
        <v>0</v>
      </c>
      <c r="H535" s="215">
        <v>0</v>
      </c>
      <c r="I535" s="215">
        <v>0</v>
      </c>
      <c r="J535" t="s">
        <v>85</v>
      </c>
    </row>
    <row r="536" spans="1:10" x14ac:dyDescent="0.3">
      <c r="A536" s="286">
        <v>617901</v>
      </c>
      <c r="B536" s="286">
        <v>47300</v>
      </c>
      <c r="E536" s="215">
        <v>0</v>
      </c>
      <c r="F536" s="215">
        <v>0</v>
      </c>
      <c r="G536" s="215">
        <v>0</v>
      </c>
      <c r="H536" s="215">
        <v>0</v>
      </c>
      <c r="I536" s="215">
        <v>0</v>
      </c>
      <c r="J536" t="s">
        <v>85</v>
      </c>
    </row>
    <row r="537" spans="1:10" x14ac:dyDescent="0.3">
      <c r="A537" s="286">
        <v>617902</v>
      </c>
      <c r="B537" s="286">
        <v>41100</v>
      </c>
      <c r="E537" s="215">
        <v>0</v>
      </c>
      <c r="F537" s="215">
        <v>0</v>
      </c>
      <c r="G537" s="215">
        <v>0</v>
      </c>
      <c r="H537" s="215">
        <v>0</v>
      </c>
      <c r="I537" s="215">
        <v>0</v>
      </c>
      <c r="J537" t="s">
        <v>85</v>
      </c>
    </row>
    <row r="538" spans="1:10" x14ac:dyDescent="0.3">
      <c r="A538" s="286">
        <v>617902</v>
      </c>
      <c r="B538" s="286">
        <v>41100</v>
      </c>
      <c r="E538" s="215">
        <v>0</v>
      </c>
      <c r="F538" s="215">
        <v>0</v>
      </c>
      <c r="G538" s="215">
        <v>0</v>
      </c>
      <c r="H538" s="215">
        <v>0</v>
      </c>
      <c r="I538" s="215">
        <v>0</v>
      </c>
      <c r="J538" t="s">
        <v>85</v>
      </c>
    </row>
    <row r="539" spans="1:10" x14ac:dyDescent="0.3">
      <c r="A539" s="286">
        <v>617903</v>
      </c>
      <c r="B539" s="286">
        <v>41100</v>
      </c>
      <c r="E539" s="215">
        <v>16851.22</v>
      </c>
      <c r="F539" s="215">
        <v>14736</v>
      </c>
      <c r="G539" s="215">
        <v>15414</v>
      </c>
      <c r="H539" s="215">
        <v>16123</v>
      </c>
      <c r="I539" s="215">
        <v>16865</v>
      </c>
      <c r="J539" t="s">
        <v>85</v>
      </c>
    </row>
    <row r="540" spans="1:10" x14ac:dyDescent="0.3">
      <c r="A540" s="286">
        <v>617903</v>
      </c>
      <c r="B540" s="286">
        <v>47300</v>
      </c>
      <c r="E540" s="215">
        <v>0</v>
      </c>
      <c r="F540" s="215">
        <v>0</v>
      </c>
      <c r="G540" s="215">
        <v>0</v>
      </c>
      <c r="H540" s="215">
        <v>0</v>
      </c>
      <c r="I540" s="215">
        <v>0</v>
      </c>
      <c r="J540" t="s">
        <v>85</v>
      </c>
    </row>
    <row r="541" spans="1:10" x14ac:dyDescent="0.3">
      <c r="A541" s="286">
        <v>618001</v>
      </c>
      <c r="B541" s="286">
        <v>42100</v>
      </c>
      <c r="E541" s="215">
        <v>4722</v>
      </c>
      <c r="F541" s="215">
        <v>4845</v>
      </c>
      <c r="G541" s="215">
        <v>4952</v>
      </c>
      <c r="H541" s="215">
        <v>5061</v>
      </c>
      <c r="I541" s="215">
        <v>5172</v>
      </c>
      <c r="J541" t="s">
        <v>86</v>
      </c>
    </row>
    <row r="542" spans="1:10" x14ac:dyDescent="0.3">
      <c r="A542" s="286">
        <v>618001</v>
      </c>
      <c r="B542" s="286">
        <v>42100</v>
      </c>
      <c r="E542" s="215">
        <v>192</v>
      </c>
      <c r="F542" s="215">
        <v>197</v>
      </c>
      <c r="G542" s="215">
        <v>201</v>
      </c>
      <c r="H542" s="215">
        <v>205</v>
      </c>
      <c r="I542" s="215">
        <v>210</v>
      </c>
      <c r="J542" t="s">
        <v>86</v>
      </c>
    </row>
    <row r="543" spans="1:10" x14ac:dyDescent="0.3">
      <c r="A543" s="286">
        <v>618001</v>
      </c>
      <c r="B543" s="286">
        <v>43812</v>
      </c>
      <c r="E543" s="215">
        <v>4780</v>
      </c>
      <c r="F543" s="215">
        <v>4904</v>
      </c>
      <c r="G543" s="215">
        <v>5012</v>
      </c>
      <c r="H543" s="215">
        <v>5122</v>
      </c>
      <c r="I543" s="215">
        <v>5235</v>
      </c>
      <c r="J543" t="s">
        <v>86</v>
      </c>
    </row>
    <row r="544" spans="1:10" x14ac:dyDescent="0.3">
      <c r="A544" s="286">
        <v>618001</v>
      </c>
      <c r="B544" s="286">
        <v>43812</v>
      </c>
      <c r="E544" s="215">
        <v>124.72621199999999</v>
      </c>
      <c r="F544" s="215">
        <v>127.96909351199999</v>
      </c>
      <c r="G544" s="215">
        <v>130.78441356926399</v>
      </c>
      <c r="H544" s="215">
        <v>133.6616706677878</v>
      </c>
      <c r="I544" s="215">
        <v>136.60222742247913</v>
      </c>
      <c r="J544" t="s">
        <v>86</v>
      </c>
    </row>
    <row r="545" spans="1:10" x14ac:dyDescent="0.3">
      <c r="A545" s="286">
        <v>618001</v>
      </c>
      <c r="B545" s="286">
        <v>43812</v>
      </c>
      <c r="E545" s="215">
        <v>28181</v>
      </c>
      <c r="F545" s="215">
        <v>28914</v>
      </c>
      <c r="G545" s="215">
        <v>29550</v>
      </c>
      <c r="H545" s="215">
        <v>30200</v>
      </c>
      <c r="I545" s="215">
        <v>30864</v>
      </c>
      <c r="J545" t="s">
        <v>86</v>
      </c>
    </row>
    <row r="546" spans="1:10" x14ac:dyDescent="0.3">
      <c r="A546" s="286">
        <v>618001</v>
      </c>
      <c r="B546">
        <v>43817</v>
      </c>
      <c r="E546" s="215">
        <v>3933.6728399999997</v>
      </c>
      <c r="F546" s="215">
        <v>4035.94833384</v>
      </c>
      <c r="G546" s="215">
        <v>4124.73919718448</v>
      </c>
      <c r="H546" s="215">
        <v>4215.4834595225384</v>
      </c>
      <c r="I546" s="215">
        <v>4308.2240956320347</v>
      </c>
      <c r="J546" t="s">
        <v>86</v>
      </c>
    </row>
    <row r="547" spans="1:10" x14ac:dyDescent="0.3">
      <c r="A547" s="286">
        <v>618001</v>
      </c>
      <c r="B547">
        <v>43817</v>
      </c>
      <c r="E547" s="215">
        <v>1689</v>
      </c>
      <c r="F547" s="215">
        <v>1734</v>
      </c>
      <c r="G547" s="215">
        <v>1773</v>
      </c>
      <c r="H547" s="215">
        <v>1812</v>
      </c>
      <c r="I547" s="215">
        <v>1852</v>
      </c>
      <c r="J547" t="s">
        <v>86</v>
      </c>
    </row>
    <row r="548" spans="1:10" x14ac:dyDescent="0.3">
      <c r="A548" s="286">
        <v>618001</v>
      </c>
      <c r="B548">
        <v>43817</v>
      </c>
      <c r="E548" s="215">
        <v>1140</v>
      </c>
      <c r="F548" s="215">
        <v>1170</v>
      </c>
      <c r="G548" s="215">
        <v>1196</v>
      </c>
      <c r="H548" s="215">
        <v>1222</v>
      </c>
      <c r="I548" s="215">
        <v>1249</v>
      </c>
      <c r="J548" t="s">
        <v>86</v>
      </c>
    </row>
    <row r="549" spans="1:10" x14ac:dyDescent="0.3">
      <c r="A549" s="286">
        <v>618001</v>
      </c>
      <c r="B549">
        <v>43817</v>
      </c>
      <c r="E549" s="215">
        <v>34944</v>
      </c>
      <c r="F549" s="215">
        <v>35853</v>
      </c>
      <c r="G549" s="215">
        <v>36642</v>
      </c>
      <c r="H549" s="215">
        <v>37448</v>
      </c>
      <c r="I549" s="215">
        <v>38272</v>
      </c>
      <c r="J549" t="s">
        <v>86</v>
      </c>
    </row>
    <row r="550" spans="1:10" x14ac:dyDescent="0.3">
      <c r="A550" s="286">
        <v>618001</v>
      </c>
      <c r="B550">
        <v>43817</v>
      </c>
      <c r="E550" s="215">
        <v>-28180.661659999998</v>
      </c>
      <c r="F550" s="215">
        <v>-28913.35886316</v>
      </c>
      <c r="G550" s="215">
        <v>-29549.45275814952</v>
      </c>
      <c r="H550" s="215">
        <v>-30199.540718828812</v>
      </c>
      <c r="I550" s="215">
        <v>-30863.930614643046</v>
      </c>
      <c r="J550" t="s">
        <v>86</v>
      </c>
    </row>
    <row r="551" spans="1:10" x14ac:dyDescent="0.3">
      <c r="A551" s="286">
        <v>618001</v>
      </c>
      <c r="B551" s="286">
        <v>47201</v>
      </c>
      <c r="E551" s="215">
        <v>4938.1939999999995</v>
      </c>
      <c r="F551" s="215">
        <v>4621.3325079468796</v>
      </c>
      <c r="G551" s="215">
        <v>4792.3218107409139</v>
      </c>
      <c r="H551" s="215">
        <v>4969.6377177383274</v>
      </c>
      <c r="I551" s="215">
        <v>25154</v>
      </c>
      <c r="J551" t="s">
        <v>86</v>
      </c>
    </row>
    <row r="552" spans="1:10" x14ac:dyDescent="0.3">
      <c r="A552" s="286">
        <v>618001</v>
      </c>
      <c r="B552" s="286">
        <v>83600</v>
      </c>
      <c r="E552" s="215">
        <v>-11507</v>
      </c>
      <c r="F552" s="215">
        <v>-11835</v>
      </c>
      <c r="G552" s="215">
        <v>-12095</v>
      </c>
      <c r="H552" s="215">
        <v>-12361</v>
      </c>
      <c r="I552" s="215">
        <v>-12633</v>
      </c>
      <c r="J552" t="s">
        <v>86</v>
      </c>
    </row>
    <row r="553" spans="1:10" x14ac:dyDescent="0.3">
      <c r="A553" s="286">
        <v>618901</v>
      </c>
      <c r="B553" s="286">
        <v>41100</v>
      </c>
      <c r="E553" s="215">
        <v>0</v>
      </c>
      <c r="F553" s="215">
        <v>0</v>
      </c>
      <c r="G553" s="215">
        <v>0</v>
      </c>
      <c r="H553" s="215">
        <v>0</v>
      </c>
      <c r="I553" s="215">
        <v>0</v>
      </c>
      <c r="J553" t="s">
        <v>86</v>
      </c>
    </row>
    <row r="554" spans="1:10" x14ac:dyDescent="0.3">
      <c r="A554" s="286">
        <v>618901</v>
      </c>
      <c r="B554" s="286">
        <v>47300</v>
      </c>
      <c r="E554" s="215">
        <v>31806</v>
      </c>
      <c r="F554" s="215">
        <v>31806</v>
      </c>
      <c r="G554" s="215">
        <v>31806</v>
      </c>
      <c r="H554" s="215">
        <v>31806</v>
      </c>
      <c r="I554" s="215">
        <v>81806</v>
      </c>
      <c r="J554" t="s">
        <v>86</v>
      </c>
    </row>
    <row r="555" spans="1:10" x14ac:dyDescent="0.3">
      <c r="A555" s="286">
        <v>621001</v>
      </c>
      <c r="B555" s="286">
        <v>43812</v>
      </c>
      <c r="E555" s="215">
        <v>69606</v>
      </c>
      <c r="F555" s="215">
        <v>95585.3</v>
      </c>
      <c r="G555" s="215">
        <v>97688.4</v>
      </c>
      <c r="H555" s="215">
        <v>99837.48</v>
      </c>
      <c r="I555" s="215">
        <v>102033.54000000001</v>
      </c>
      <c r="J555" t="s">
        <v>87</v>
      </c>
    </row>
    <row r="556" spans="1:10" x14ac:dyDescent="0.3">
      <c r="A556" s="286">
        <v>621002</v>
      </c>
      <c r="B556" s="286">
        <v>43802</v>
      </c>
      <c r="E556" s="215">
        <v>105</v>
      </c>
      <c r="F556" s="215">
        <v>105</v>
      </c>
      <c r="G556" s="215">
        <v>105</v>
      </c>
      <c r="H556" s="215">
        <v>106</v>
      </c>
      <c r="I556" s="215">
        <v>106</v>
      </c>
      <c r="J556" t="s">
        <v>87</v>
      </c>
    </row>
    <row r="557" spans="1:10" x14ac:dyDescent="0.3">
      <c r="A557" s="286">
        <v>621002</v>
      </c>
      <c r="B557" s="286">
        <v>44340</v>
      </c>
      <c r="E557" s="215">
        <v>1278</v>
      </c>
      <c r="F557" s="215">
        <v>1312</v>
      </c>
      <c r="G557" s="215">
        <v>1340</v>
      </c>
      <c r="H557" s="215">
        <v>1370</v>
      </c>
      <c r="I557" s="215">
        <v>1400</v>
      </c>
      <c r="J557" t="s">
        <v>87</v>
      </c>
    </row>
    <row r="558" spans="1:10" x14ac:dyDescent="0.3">
      <c r="A558" s="286">
        <v>621901</v>
      </c>
      <c r="B558" s="286">
        <v>41100</v>
      </c>
      <c r="E558" s="215">
        <v>2592.4899999999998</v>
      </c>
      <c r="F558" s="215">
        <v>2452.5100000000002</v>
      </c>
      <c r="G558" s="215">
        <v>2565</v>
      </c>
      <c r="H558" s="215">
        <v>2683</v>
      </c>
      <c r="I558" s="215">
        <v>2806</v>
      </c>
      <c r="J558" t="s">
        <v>87</v>
      </c>
    </row>
    <row r="559" spans="1:10" x14ac:dyDescent="0.3">
      <c r="A559" s="286">
        <v>621901</v>
      </c>
      <c r="B559" s="286">
        <v>47300</v>
      </c>
      <c r="E559" s="215">
        <v>5000</v>
      </c>
      <c r="F559" s="215">
        <v>0</v>
      </c>
      <c r="G559" s="215">
        <v>0</v>
      </c>
      <c r="H559" s="215">
        <v>0</v>
      </c>
      <c r="I559" s="215">
        <v>0</v>
      </c>
      <c r="J559" t="s">
        <v>87</v>
      </c>
    </row>
    <row r="560" spans="1:10" x14ac:dyDescent="0.3">
      <c r="A560" s="286">
        <v>621001</v>
      </c>
      <c r="B560" s="286">
        <v>83800</v>
      </c>
      <c r="E560" s="215">
        <v>-350</v>
      </c>
      <c r="F560" s="215">
        <v>-349</v>
      </c>
      <c r="G560" s="215">
        <v>-349</v>
      </c>
      <c r="H560" s="215">
        <v>-348</v>
      </c>
      <c r="I560" s="215">
        <v>-348</v>
      </c>
      <c r="J560" t="s">
        <v>87</v>
      </c>
    </row>
    <row r="561" spans="1:10" x14ac:dyDescent="0.3">
      <c r="A561" s="286">
        <v>622001</v>
      </c>
      <c r="B561" s="286">
        <v>43301</v>
      </c>
      <c r="E561" s="215">
        <v>1490</v>
      </c>
      <c r="F561" s="215">
        <v>1529</v>
      </c>
      <c r="G561" s="215">
        <v>1563</v>
      </c>
      <c r="H561" s="215">
        <v>1597</v>
      </c>
      <c r="I561" s="215">
        <v>1632</v>
      </c>
      <c r="J561" t="s">
        <v>88</v>
      </c>
    </row>
    <row r="562" spans="1:10" x14ac:dyDescent="0.3">
      <c r="A562" s="286">
        <v>622003</v>
      </c>
      <c r="B562" s="286">
        <v>43812</v>
      </c>
      <c r="E562" s="215">
        <v>27105</v>
      </c>
      <c r="F562" s="215">
        <v>27830</v>
      </c>
      <c r="G562" s="215">
        <v>28451</v>
      </c>
      <c r="H562" s="215">
        <v>29077</v>
      </c>
      <c r="I562" s="215">
        <v>29707</v>
      </c>
      <c r="J562" t="s">
        <v>88</v>
      </c>
    </row>
    <row r="563" spans="1:10" x14ac:dyDescent="0.3">
      <c r="A563" s="286">
        <v>622004</v>
      </c>
      <c r="B563" s="286">
        <v>43511</v>
      </c>
      <c r="E563" s="215">
        <v>59600</v>
      </c>
      <c r="F563" s="215">
        <v>0</v>
      </c>
      <c r="G563" s="215">
        <v>0</v>
      </c>
      <c r="H563" s="215">
        <v>0</v>
      </c>
      <c r="I563" s="215">
        <v>0</v>
      </c>
      <c r="J563" t="s">
        <v>88</v>
      </c>
    </row>
    <row r="564" spans="1:10" x14ac:dyDescent="0.3">
      <c r="A564" s="286">
        <v>622004</v>
      </c>
      <c r="B564" s="286">
        <v>44380</v>
      </c>
      <c r="E564" s="215">
        <v>31240</v>
      </c>
      <c r="F564" s="215">
        <v>0</v>
      </c>
      <c r="G564" s="215">
        <v>0</v>
      </c>
      <c r="H564" s="215">
        <v>0</v>
      </c>
      <c r="I564" s="215">
        <v>5.681496461329516E-2</v>
      </c>
      <c r="J564" t="s">
        <v>88</v>
      </c>
    </row>
    <row r="565" spans="1:10" x14ac:dyDescent="0.3">
      <c r="A565" s="286">
        <v>622005</v>
      </c>
      <c r="B565" s="286">
        <v>44330</v>
      </c>
      <c r="E565" s="215">
        <v>215000</v>
      </c>
      <c r="F565" s="215">
        <v>220590</v>
      </c>
      <c r="G565" s="215">
        <v>225443</v>
      </c>
      <c r="H565" s="215">
        <v>230403</v>
      </c>
      <c r="I565" s="215">
        <v>235472</v>
      </c>
      <c r="J565" t="s">
        <v>88</v>
      </c>
    </row>
    <row r="566" spans="1:10" x14ac:dyDescent="0.3">
      <c r="A566" s="286">
        <v>622005</v>
      </c>
      <c r="B566" s="286">
        <v>44360</v>
      </c>
      <c r="E566" s="215">
        <v>11933</v>
      </c>
      <c r="F566" s="215">
        <v>12243</v>
      </c>
      <c r="G566" s="215">
        <v>0</v>
      </c>
      <c r="H566" s="215">
        <v>0</v>
      </c>
      <c r="I566" s="215">
        <v>0</v>
      </c>
      <c r="J566" t="s">
        <v>88</v>
      </c>
    </row>
    <row r="567" spans="1:10" x14ac:dyDescent="0.3">
      <c r="A567" s="286">
        <v>622006</v>
      </c>
      <c r="B567" s="286">
        <v>44380</v>
      </c>
      <c r="E567" s="215">
        <v>30382</v>
      </c>
      <c r="F567" s="215">
        <v>31172</v>
      </c>
      <c r="G567" s="215">
        <v>31858</v>
      </c>
      <c r="H567" s="215">
        <v>32559</v>
      </c>
      <c r="I567" s="215">
        <v>33275</v>
      </c>
      <c r="J567" t="s">
        <v>88</v>
      </c>
    </row>
    <row r="568" spans="1:10" x14ac:dyDescent="0.3">
      <c r="A568" s="286">
        <v>622009</v>
      </c>
      <c r="B568" s="286">
        <v>43803</v>
      </c>
      <c r="E568" s="215">
        <v>980</v>
      </c>
      <c r="F568" s="215">
        <v>1005</v>
      </c>
      <c r="G568" s="215">
        <v>1027</v>
      </c>
      <c r="H568" s="215">
        <v>1050</v>
      </c>
      <c r="I568" s="215">
        <v>1073</v>
      </c>
      <c r="J568" t="s">
        <v>88</v>
      </c>
    </row>
    <row r="569" spans="1:10" x14ac:dyDescent="0.3">
      <c r="A569" s="286">
        <v>622009</v>
      </c>
      <c r="B569" s="286">
        <v>43805</v>
      </c>
      <c r="E569" s="215">
        <v>25107.5</v>
      </c>
      <c r="F569" s="215">
        <v>25764.86</v>
      </c>
      <c r="G569" s="215">
        <v>26330.92</v>
      </c>
      <c r="H569" s="215">
        <v>26906.11</v>
      </c>
      <c r="I569" s="215">
        <v>27529.68</v>
      </c>
      <c r="J569" t="s">
        <v>88</v>
      </c>
    </row>
    <row r="570" spans="1:10" x14ac:dyDescent="0.3">
      <c r="A570" s="286">
        <v>622009</v>
      </c>
      <c r="B570" s="286">
        <v>43806</v>
      </c>
      <c r="E570" s="215">
        <v>921</v>
      </c>
      <c r="F570" s="215">
        <v>945</v>
      </c>
      <c r="G570" s="215">
        <v>966</v>
      </c>
      <c r="H570" s="215">
        <v>987</v>
      </c>
      <c r="I570" s="215">
        <v>1009</v>
      </c>
      <c r="J570" t="s">
        <v>88</v>
      </c>
    </row>
    <row r="571" spans="1:10" x14ac:dyDescent="0.3">
      <c r="A571" s="286">
        <v>622009</v>
      </c>
      <c r="B571" s="286">
        <v>43812</v>
      </c>
      <c r="E571" s="215">
        <v>866</v>
      </c>
      <c r="F571" s="215">
        <v>889</v>
      </c>
      <c r="G571" s="215">
        <v>909</v>
      </c>
      <c r="H571" s="215">
        <v>929</v>
      </c>
      <c r="I571" s="215">
        <v>949</v>
      </c>
      <c r="J571" t="s">
        <v>88</v>
      </c>
    </row>
    <row r="572" spans="1:10" x14ac:dyDescent="0.3">
      <c r="A572" s="286">
        <v>622012</v>
      </c>
      <c r="B572" s="286">
        <v>43812</v>
      </c>
      <c r="E572" s="215">
        <v>0</v>
      </c>
      <c r="F572" s="215">
        <v>0</v>
      </c>
      <c r="G572" s="215">
        <v>0</v>
      </c>
      <c r="H572" s="215">
        <v>0</v>
      </c>
      <c r="I572" s="215">
        <v>0</v>
      </c>
      <c r="J572" t="s">
        <v>88</v>
      </c>
    </row>
    <row r="573" spans="1:10" x14ac:dyDescent="0.3">
      <c r="A573" s="286">
        <v>622013</v>
      </c>
      <c r="B573" s="286">
        <v>43812</v>
      </c>
      <c r="E573" s="215">
        <v>30840</v>
      </c>
      <c r="F573" s="215">
        <v>31642</v>
      </c>
      <c r="G573" s="215">
        <v>32338</v>
      </c>
      <c r="H573" s="215">
        <v>33049</v>
      </c>
      <c r="I573" s="215">
        <v>33776</v>
      </c>
      <c r="J573" t="s">
        <v>88</v>
      </c>
    </row>
    <row r="574" spans="1:10" x14ac:dyDescent="0.3">
      <c r="A574" s="286">
        <v>622015</v>
      </c>
      <c r="B574" s="286">
        <v>44380</v>
      </c>
      <c r="E574" s="215">
        <v>370000</v>
      </c>
      <c r="F574" s="215">
        <v>440800</v>
      </c>
      <c r="G574" s="215">
        <v>450100</v>
      </c>
      <c r="H574" s="215">
        <v>460500</v>
      </c>
      <c r="I574" s="215">
        <v>470900</v>
      </c>
      <c r="J574" t="s">
        <v>88</v>
      </c>
    </row>
    <row r="575" spans="1:10" x14ac:dyDescent="0.3">
      <c r="A575" s="286">
        <v>622001</v>
      </c>
      <c r="B575" s="286">
        <v>83600</v>
      </c>
      <c r="E575" s="215">
        <v>-59</v>
      </c>
      <c r="F575" s="215">
        <v>-59</v>
      </c>
      <c r="G575" s="215">
        <v>-60</v>
      </c>
      <c r="H575" s="215">
        <v>-61</v>
      </c>
      <c r="I575" s="215">
        <v>-62</v>
      </c>
      <c r="J575" t="s">
        <v>88</v>
      </c>
    </row>
    <row r="576" spans="1:10" x14ac:dyDescent="0.3">
      <c r="A576" s="286">
        <v>622001</v>
      </c>
      <c r="B576" s="286">
        <v>83300</v>
      </c>
      <c r="E576" s="215">
        <v>-1</v>
      </c>
      <c r="F576" s="215">
        <v>-1</v>
      </c>
      <c r="G576" s="215">
        <v>-1</v>
      </c>
      <c r="H576" s="215">
        <v>-1</v>
      </c>
      <c r="I576" s="215">
        <v>-1</v>
      </c>
      <c r="J576" t="s">
        <v>88</v>
      </c>
    </row>
    <row r="577" spans="1:10" x14ac:dyDescent="0.3">
      <c r="A577" s="286">
        <v>622008</v>
      </c>
      <c r="B577" s="286">
        <v>83700</v>
      </c>
      <c r="E577" s="215">
        <v>-140032</v>
      </c>
      <c r="F577" s="215">
        <v>-143673</v>
      </c>
      <c r="G577" s="215">
        <v>-146834</v>
      </c>
      <c r="H577" s="215">
        <v>-150064</v>
      </c>
      <c r="I577" s="215">
        <v>-153365</v>
      </c>
      <c r="J577" t="s">
        <v>88</v>
      </c>
    </row>
    <row r="578" spans="1:10" x14ac:dyDescent="0.3">
      <c r="A578" s="286">
        <v>622901</v>
      </c>
      <c r="B578" s="286">
        <v>41100</v>
      </c>
      <c r="E578" s="215">
        <v>180694</v>
      </c>
      <c r="F578" s="215">
        <v>196836.7</v>
      </c>
      <c r="G578" s="215">
        <v>205891</v>
      </c>
      <c r="H578" s="215">
        <v>215362</v>
      </c>
      <c r="I578" s="215">
        <v>225269</v>
      </c>
      <c r="J578" t="s">
        <v>88</v>
      </c>
    </row>
    <row r="579" spans="1:10" x14ac:dyDescent="0.3">
      <c r="A579" s="286">
        <v>622901</v>
      </c>
      <c r="B579" s="286">
        <v>47300</v>
      </c>
      <c r="E579" s="215">
        <v>1410</v>
      </c>
      <c r="F579" s="215">
        <v>0</v>
      </c>
      <c r="G579" s="215">
        <v>0</v>
      </c>
      <c r="H579" s="215">
        <v>0</v>
      </c>
      <c r="I579" s="215">
        <v>0</v>
      </c>
      <c r="J579" t="s">
        <v>88</v>
      </c>
    </row>
    <row r="580" spans="1:10" x14ac:dyDescent="0.3">
      <c r="A580" s="286">
        <v>622902</v>
      </c>
      <c r="B580" s="286">
        <v>41100</v>
      </c>
      <c r="E580" s="215">
        <v>146572.94</v>
      </c>
      <c r="F580" s="215">
        <v>114331</v>
      </c>
      <c r="G580" s="215">
        <v>119590</v>
      </c>
      <c r="H580" s="215">
        <v>125091</v>
      </c>
      <c r="I580" s="215">
        <v>130846</v>
      </c>
      <c r="J580" t="s">
        <v>88</v>
      </c>
    </row>
    <row r="581" spans="1:10" x14ac:dyDescent="0.3">
      <c r="A581" s="286">
        <v>624001</v>
      </c>
      <c r="B581" s="286">
        <v>43802</v>
      </c>
      <c r="E581" s="215">
        <v>2852</v>
      </c>
      <c r="F581" s="215">
        <v>2926</v>
      </c>
      <c r="G581" s="215">
        <v>2990</v>
      </c>
      <c r="H581" s="215">
        <v>3056</v>
      </c>
      <c r="I581" s="215">
        <v>3123</v>
      </c>
      <c r="J581" t="s">
        <v>89</v>
      </c>
    </row>
    <row r="582" spans="1:10" x14ac:dyDescent="0.3">
      <c r="A582" s="286">
        <v>624001</v>
      </c>
      <c r="B582" s="286">
        <v>43812</v>
      </c>
      <c r="E582" s="215">
        <v>1143</v>
      </c>
      <c r="F582" s="215">
        <v>1173</v>
      </c>
      <c r="G582" s="215">
        <v>1199</v>
      </c>
      <c r="H582" s="215">
        <v>1225</v>
      </c>
      <c r="I582" s="215">
        <v>1251</v>
      </c>
      <c r="J582" t="s">
        <v>89</v>
      </c>
    </row>
    <row r="583" spans="1:10" x14ac:dyDescent="0.3">
      <c r="A583" s="286">
        <v>624003</v>
      </c>
      <c r="B583" s="286">
        <v>43802</v>
      </c>
      <c r="E583" s="215">
        <v>5689</v>
      </c>
      <c r="F583" s="215">
        <v>5780.0240000000003</v>
      </c>
      <c r="G583" s="215">
        <v>5872.5043840000008</v>
      </c>
      <c r="H583" s="215">
        <v>5966.4644541440011</v>
      </c>
      <c r="I583" s="215">
        <v>6061.927885410305</v>
      </c>
      <c r="J583" t="s">
        <v>89</v>
      </c>
    </row>
    <row r="584" spans="1:10" x14ac:dyDescent="0.3">
      <c r="A584" s="286">
        <v>624901</v>
      </c>
      <c r="B584" s="286">
        <v>41100</v>
      </c>
      <c r="E584" s="215">
        <v>27399.62</v>
      </c>
      <c r="F584" s="215">
        <v>32097</v>
      </c>
      <c r="G584" s="215">
        <v>33573</v>
      </c>
      <c r="H584" s="215">
        <v>35117</v>
      </c>
      <c r="I584" s="215">
        <v>36732</v>
      </c>
      <c r="J584" t="s">
        <v>89</v>
      </c>
    </row>
    <row r="585" spans="1:10" x14ac:dyDescent="0.3">
      <c r="A585" s="286">
        <v>624001</v>
      </c>
      <c r="B585" s="286">
        <v>83700</v>
      </c>
      <c r="E585" s="215">
        <v>-28133</v>
      </c>
      <c r="F585" s="215">
        <v>-28660</v>
      </c>
      <c r="G585" s="215">
        <v>-28708</v>
      </c>
      <c r="H585" s="215">
        <v>-29718</v>
      </c>
      <c r="I585" s="215">
        <v>-29769</v>
      </c>
      <c r="J585" t="s">
        <v>89</v>
      </c>
    </row>
    <row r="586" spans="1:10" x14ac:dyDescent="0.3">
      <c r="A586" s="286">
        <v>625001</v>
      </c>
      <c r="B586" s="286">
        <v>43511</v>
      </c>
      <c r="E586" s="215">
        <v>33401</v>
      </c>
      <c r="F586" s="215">
        <v>34269</v>
      </c>
      <c r="G586" s="215">
        <v>35023</v>
      </c>
      <c r="H586" s="215">
        <v>35794</v>
      </c>
      <c r="I586" s="215">
        <v>36581</v>
      </c>
      <c r="J586" t="s">
        <v>90</v>
      </c>
    </row>
    <row r="587" spans="1:10" x14ac:dyDescent="0.3">
      <c r="A587" s="286">
        <v>625001</v>
      </c>
      <c r="B587" s="286">
        <v>43802</v>
      </c>
      <c r="E587" s="215">
        <v>948</v>
      </c>
      <c r="F587" s="215">
        <v>973</v>
      </c>
      <c r="G587" s="215">
        <v>994</v>
      </c>
      <c r="H587" s="215">
        <v>1016</v>
      </c>
      <c r="I587" s="215">
        <v>1038</v>
      </c>
      <c r="J587" t="s">
        <v>90</v>
      </c>
    </row>
    <row r="588" spans="1:10" x14ac:dyDescent="0.3">
      <c r="A588" s="286">
        <v>625001</v>
      </c>
      <c r="B588" s="286">
        <v>43812</v>
      </c>
      <c r="E588" s="215">
        <v>296673</v>
      </c>
      <c r="F588" s="215">
        <v>297684.74699999997</v>
      </c>
      <c r="G588" s="215">
        <v>298719.76418100001</v>
      </c>
      <c r="H588" s="215">
        <v>299816.58675716299</v>
      </c>
      <c r="I588" s="215">
        <v>300899.7622525777</v>
      </c>
      <c r="J588" t="s">
        <v>90</v>
      </c>
    </row>
    <row r="589" spans="1:10" x14ac:dyDescent="0.3">
      <c r="A589" s="286">
        <v>625001</v>
      </c>
      <c r="B589" s="286">
        <v>43812</v>
      </c>
      <c r="E589" s="215">
        <v>555</v>
      </c>
      <c r="F589" s="215">
        <v>569</v>
      </c>
      <c r="G589" s="215">
        <v>582</v>
      </c>
      <c r="H589" s="215">
        <v>595</v>
      </c>
      <c r="I589" s="215">
        <v>608</v>
      </c>
      <c r="J589" t="s">
        <v>90</v>
      </c>
    </row>
    <row r="590" spans="1:10" x14ac:dyDescent="0.3">
      <c r="A590" s="286">
        <v>625901</v>
      </c>
      <c r="B590" s="286">
        <v>41100</v>
      </c>
      <c r="E590" s="215">
        <v>0</v>
      </c>
      <c r="F590" s="215">
        <v>26011.08</v>
      </c>
      <c r="G590" s="215">
        <v>27208</v>
      </c>
      <c r="H590" s="215">
        <v>28460</v>
      </c>
      <c r="I590" s="215">
        <v>29769</v>
      </c>
      <c r="J590" t="s">
        <v>90</v>
      </c>
    </row>
    <row r="591" spans="1:10" x14ac:dyDescent="0.3">
      <c r="A591" s="286">
        <v>625902</v>
      </c>
      <c r="B591" s="286">
        <v>41100</v>
      </c>
      <c r="E591" s="215">
        <v>142055.76999999999</v>
      </c>
      <c r="F591" s="215">
        <v>154759</v>
      </c>
      <c r="G591" s="215">
        <v>161982</v>
      </c>
      <c r="H591" s="215">
        <v>169543</v>
      </c>
      <c r="I591" s="215">
        <v>177457</v>
      </c>
      <c r="J591" t="s">
        <v>90</v>
      </c>
    </row>
    <row r="592" spans="1:10" x14ac:dyDescent="0.3">
      <c r="A592" s="286">
        <v>625002</v>
      </c>
      <c r="B592" s="286">
        <v>43802</v>
      </c>
      <c r="E592" s="215">
        <v>1966</v>
      </c>
      <c r="F592" s="215">
        <v>2017</v>
      </c>
      <c r="G592" s="215">
        <v>2061</v>
      </c>
      <c r="H592" s="215">
        <v>2106</v>
      </c>
      <c r="I592" s="215">
        <v>2152</v>
      </c>
      <c r="J592" t="s">
        <v>90</v>
      </c>
    </row>
    <row r="593" spans="1:10" x14ac:dyDescent="0.3">
      <c r="A593" s="286">
        <v>625002</v>
      </c>
      <c r="B593" s="286">
        <v>43812</v>
      </c>
      <c r="E593" s="215">
        <v>1092</v>
      </c>
      <c r="F593" s="215">
        <v>1120</v>
      </c>
      <c r="G593" s="215">
        <v>1145</v>
      </c>
      <c r="H593" s="215">
        <v>1170</v>
      </c>
      <c r="I593" s="215">
        <v>1196</v>
      </c>
      <c r="J593" t="s">
        <v>90</v>
      </c>
    </row>
    <row r="594" spans="1:10" x14ac:dyDescent="0.3">
      <c r="A594" s="286">
        <v>625001</v>
      </c>
      <c r="B594" s="286">
        <v>83700</v>
      </c>
      <c r="E594" s="215">
        <v>-409200</v>
      </c>
      <c r="F594" s="215">
        <v>-419839</v>
      </c>
      <c r="G594" s="215">
        <v>-429075</v>
      </c>
      <c r="H594" s="215">
        <v>-438515</v>
      </c>
      <c r="I594" s="215">
        <v>-448162</v>
      </c>
      <c r="J594" t="s">
        <v>90</v>
      </c>
    </row>
    <row r="595" spans="1:10" x14ac:dyDescent="0.3">
      <c r="A595" s="286">
        <v>625003</v>
      </c>
      <c r="B595" s="286">
        <v>82210</v>
      </c>
      <c r="E595" s="215">
        <v>-452499</v>
      </c>
      <c r="F595" s="215">
        <v>-455180</v>
      </c>
      <c r="G595" s="215">
        <v>-459352</v>
      </c>
      <c r="H595" s="215">
        <v>-463669</v>
      </c>
      <c r="I595" s="215">
        <v>-468136</v>
      </c>
      <c r="J595" t="s">
        <v>90</v>
      </c>
    </row>
    <row r="596" spans="1:10" x14ac:dyDescent="0.3">
      <c r="A596" s="286">
        <v>627001</v>
      </c>
      <c r="B596" s="286">
        <v>44360</v>
      </c>
      <c r="E596" s="215">
        <v>77100</v>
      </c>
      <c r="F596" s="215">
        <v>0</v>
      </c>
      <c r="G596" s="215">
        <v>0</v>
      </c>
      <c r="H596" s="215">
        <v>0</v>
      </c>
      <c r="I596" s="215">
        <v>0</v>
      </c>
      <c r="J596" t="s">
        <v>91</v>
      </c>
    </row>
    <row r="597" spans="1:10" x14ac:dyDescent="0.3">
      <c r="A597" s="286">
        <v>627002</v>
      </c>
      <c r="B597" s="286">
        <v>43812</v>
      </c>
      <c r="E597" s="215">
        <v>6512</v>
      </c>
      <c r="F597" s="215">
        <v>6681</v>
      </c>
      <c r="G597" s="215">
        <v>6828</v>
      </c>
      <c r="H597" s="215">
        <v>6978</v>
      </c>
      <c r="I597" s="215">
        <v>7132</v>
      </c>
      <c r="J597" t="s">
        <v>91</v>
      </c>
    </row>
    <row r="598" spans="1:10" x14ac:dyDescent="0.3">
      <c r="A598" s="286">
        <v>627003</v>
      </c>
      <c r="B598" s="286">
        <v>43817</v>
      </c>
      <c r="E598" s="215">
        <v>35567</v>
      </c>
      <c r="F598" s="215">
        <v>36492</v>
      </c>
      <c r="G598" s="215">
        <v>37295</v>
      </c>
      <c r="H598" s="215">
        <v>38115</v>
      </c>
      <c r="I598" s="215">
        <v>38954</v>
      </c>
      <c r="J598" t="s">
        <v>91</v>
      </c>
    </row>
    <row r="599" spans="1:10" x14ac:dyDescent="0.3">
      <c r="A599" s="286">
        <v>627003</v>
      </c>
      <c r="B599" s="286">
        <v>47201</v>
      </c>
      <c r="E599" s="215">
        <v>10258.003999999999</v>
      </c>
      <c r="F599" s="215">
        <v>10637.715324678398</v>
      </c>
      <c r="G599" s="215">
        <v>11031.310791691498</v>
      </c>
      <c r="H599" s="215">
        <v>11439.469290984081</v>
      </c>
      <c r="I599" s="215">
        <v>11862.729654750492</v>
      </c>
      <c r="J599" t="s">
        <v>91</v>
      </c>
    </row>
    <row r="600" spans="1:10" x14ac:dyDescent="0.3">
      <c r="A600" s="286">
        <v>627004</v>
      </c>
      <c r="B600" s="286">
        <v>43805</v>
      </c>
      <c r="E600" s="215">
        <v>82190</v>
      </c>
      <c r="F600" s="215">
        <v>84320</v>
      </c>
      <c r="G600" s="215">
        <v>86180</v>
      </c>
      <c r="H600" s="215">
        <v>88070</v>
      </c>
      <c r="I600" s="215">
        <v>90010</v>
      </c>
      <c r="J600" t="s">
        <v>91</v>
      </c>
    </row>
    <row r="601" spans="1:10" x14ac:dyDescent="0.3">
      <c r="A601" s="286">
        <v>627004</v>
      </c>
      <c r="B601" s="286">
        <v>44360</v>
      </c>
      <c r="E601" s="215">
        <v>1000</v>
      </c>
      <c r="F601" s="215">
        <v>1000</v>
      </c>
      <c r="G601" s="215">
        <v>1000</v>
      </c>
      <c r="H601" s="215">
        <v>1000</v>
      </c>
      <c r="I601" s="215">
        <v>1000</v>
      </c>
      <c r="J601" t="s">
        <v>91</v>
      </c>
    </row>
    <row r="602" spans="1:10" x14ac:dyDescent="0.3">
      <c r="A602" s="286">
        <v>627006</v>
      </c>
      <c r="B602" s="286">
        <v>42100</v>
      </c>
      <c r="E602" s="215">
        <v>0</v>
      </c>
      <c r="F602" s="215">
        <v>8396</v>
      </c>
      <c r="G602" s="215">
        <v>8581</v>
      </c>
      <c r="H602" s="215">
        <v>8770</v>
      </c>
      <c r="I602" s="215">
        <v>8963</v>
      </c>
      <c r="J602" t="s">
        <v>91</v>
      </c>
    </row>
    <row r="603" spans="1:10" x14ac:dyDescent="0.3">
      <c r="A603" s="286">
        <v>627006</v>
      </c>
      <c r="B603" s="286">
        <v>43806</v>
      </c>
      <c r="E603" s="215">
        <v>0</v>
      </c>
      <c r="F603" s="215">
        <v>3555</v>
      </c>
      <c r="G603" s="215">
        <v>3647</v>
      </c>
      <c r="H603" s="215">
        <v>3742</v>
      </c>
      <c r="I603" s="215">
        <v>3839</v>
      </c>
      <c r="J603" t="s">
        <v>91</v>
      </c>
    </row>
    <row r="604" spans="1:10" x14ac:dyDescent="0.3">
      <c r="A604" s="286">
        <v>627007</v>
      </c>
      <c r="B604" s="286">
        <v>42100</v>
      </c>
      <c r="E604" s="215">
        <v>0</v>
      </c>
      <c r="F604" s="215">
        <v>15170</v>
      </c>
      <c r="G604" s="215">
        <v>15504</v>
      </c>
      <c r="H604" s="215">
        <v>15845</v>
      </c>
      <c r="I604" s="215">
        <v>16194</v>
      </c>
      <c r="J604" t="s">
        <v>91</v>
      </c>
    </row>
    <row r="605" spans="1:10" x14ac:dyDescent="0.3">
      <c r="A605" s="286">
        <v>627007</v>
      </c>
      <c r="B605" s="286">
        <v>43806</v>
      </c>
      <c r="E605" s="215">
        <v>0</v>
      </c>
      <c r="F605" s="215">
        <v>0</v>
      </c>
      <c r="G605" s="215">
        <v>0</v>
      </c>
      <c r="H605" s="215">
        <v>0</v>
      </c>
      <c r="I605" s="215">
        <v>0</v>
      </c>
      <c r="J605" t="s">
        <v>91</v>
      </c>
    </row>
    <row r="606" spans="1:10" x14ac:dyDescent="0.3">
      <c r="A606" s="286">
        <v>627008</v>
      </c>
      <c r="B606" s="286">
        <v>42100</v>
      </c>
      <c r="E606" s="215">
        <v>0</v>
      </c>
      <c r="F606" s="215">
        <v>8014</v>
      </c>
      <c r="G606" s="215">
        <v>8190</v>
      </c>
      <c r="H606" s="215">
        <v>8370</v>
      </c>
      <c r="I606" s="215">
        <v>8554</v>
      </c>
      <c r="J606" t="s">
        <v>91</v>
      </c>
    </row>
    <row r="607" spans="1:10" x14ac:dyDescent="0.3">
      <c r="A607" s="286">
        <v>627008</v>
      </c>
      <c r="B607" s="286">
        <v>43806</v>
      </c>
      <c r="E607" s="215">
        <v>5555</v>
      </c>
      <c r="F607" s="215">
        <v>3787</v>
      </c>
      <c r="G607" s="215">
        <v>3870</v>
      </c>
      <c r="H607" s="215">
        <v>3955</v>
      </c>
      <c r="I607" s="215">
        <v>4042</v>
      </c>
      <c r="J607" t="s">
        <v>91</v>
      </c>
    </row>
    <row r="608" spans="1:10" x14ac:dyDescent="0.3">
      <c r="A608" s="286">
        <v>627009</v>
      </c>
      <c r="B608" s="286">
        <v>42100</v>
      </c>
      <c r="E608" s="215">
        <v>0</v>
      </c>
      <c r="F608" s="215">
        <v>12452</v>
      </c>
      <c r="G608" s="215">
        <v>12726</v>
      </c>
      <c r="H608" s="215">
        <v>13006</v>
      </c>
      <c r="I608" s="215">
        <v>13292</v>
      </c>
      <c r="J608" t="s">
        <v>91</v>
      </c>
    </row>
    <row r="609" spans="1:10" x14ac:dyDescent="0.3">
      <c r="A609" s="286">
        <v>627009</v>
      </c>
      <c r="B609" s="286">
        <v>43806</v>
      </c>
      <c r="E609" s="215">
        <v>4234</v>
      </c>
      <c r="F609" s="215">
        <v>2901</v>
      </c>
      <c r="G609" s="215">
        <v>2965</v>
      </c>
      <c r="H609" s="215">
        <v>3030</v>
      </c>
      <c r="I609" s="215">
        <v>3097</v>
      </c>
      <c r="J609" t="s">
        <v>91</v>
      </c>
    </row>
    <row r="610" spans="1:10" x14ac:dyDescent="0.3">
      <c r="A610" s="286">
        <v>627011</v>
      </c>
      <c r="B610" s="286">
        <v>42100</v>
      </c>
      <c r="E610" s="215">
        <v>0</v>
      </c>
      <c r="F610" s="215">
        <v>6154</v>
      </c>
      <c r="G610" s="215">
        <v>6289</v>
      </c>
      <c r="H610" s="215">
        <v>6427</v>
      </c>
      <c r="I610" s="215">
        <v>6568</v>
      </c>
      <c r="J610" t="s">
        <v>91</v>
      </c>
    </row>
    <row r="611" spans="1:10" x14ac:dyDescent="0.3">
      <c r="A611" s="286">
        <v>627011</v>
      </c>
      <c r="B611" s="286">
        <v>43806</v>
      </c>
      <c r="E611" s="215">
        <v>4131</v>
      </c>
      <c r="F611" s="215">
        <v>2796</v>
      </c>
      <c r="G611" s="215">
        <v>2858</v>
      </c>
      <c r="H611" s="215">
        <v>2921</v>
      </c>
      <c r="I611" s="215">
        <v>2985</v>
      </c>
      <c r="J611" t="s">
        <v>91</v>
      </c>
    </row>
    <row r="612" spans="1:10" x14ac:dyDescent="0.3">
      <c r="A612" s="286">
        <v>627012</v>
      </c>
      <c r="B612" s="286">
        <v>43806</v>
      </c>
      <c r="E612" s="215">
        <v>2388</v>
      </c>
      <c r="F612" s="215">
        <v>1633</v>
      </c>
      <c r="G612" s="215">
        <v>1675</v>
      </c>
      <c r="H612" s="215">
        <v>1719</v>
      </c>
      <c r="I612" s="215">
        <v>1764</v>
      </c>
      <c r="J612" t="s">
        <v>91</v>
      </c>
    </row>
    <row r="613" spans="1:10" x14ac:dyDescent="0.3">
      <c r="A613" s="286">
        <v>627013</v>
      </c>
      <c r="B613" s="286">
        <v>42100</v>
      </c>
      <c r="E613" s="215">
        <v>0</v>
      </c>
      <c r="F613" s="215">
        <v>7107</v>
      </c>
      <c r="G613" s="215">
        <v>7263</v>
      </c>
      <c r="H613" s="215">
        <v>7423</v>
      </c>
      <c r="I613" s="215">
        <v>7586</v>
      </c>
      <c r="J613" t="s">
        <v>91</v>
      </c>
    </row>
    <row r="614" spans="1:10" x14ac:dyDescent="0.3">
      <c r="A614" s="286">
        <v>627013</v>
      </c>
      <c r="B614" s="286">
        <v>43806</v>
      </c>
      <c r="E614" s="215">
        <v>3631</v>
      </c>
      <c r="F614" s="215">
        <v>2486</v>
      </c>
      <c r="G614" s="215">
        <v>2541</v>
      </c>
      <c r="H614" s="215">
        <v>2597</v>
      </c>
      <c r="I614" s="215">
        <v>2654</v>
      </c>
      <c r="J614" t="s">
        <v>91</v>
      </c>
    </row>
    <row r="615" spans="1:10" x14ac:dyDescent="0.3">
      <c r="A615" s="286">
        <v>627014</v>
      </c>
      <c r="B615" s="286">
        <v>42100</v>
      </c>
      <c r="E615" s="215">
        <v>0</v>
      </c>
      <c r="F615" s="215">
        <v>3505</v>
      </c>
      <c r="G615" s="215">
        <v>3582</v>
      </c>
      <c r="H615" s="215">
        <v>3661</v>
      </c>
      <c r="I615" s="215">
        <v>3742</v>
      </c>
      <c r="J615" t="s">
        <v>91</v>
      </c>
    </row>
    <row r="616" spans="1:10" x14ac:dyDescent="0.3">
      <c r="A616" s="286">
        <v>627014</v>
      </c>
      <c r="B616" s="286">
        <v>43806</v>
      </c>
      <c r="E616" s="215">
        <v>3934</v>
      </c>
      <c r="F616" s="215">
        <v>2660</v>
      </c>
      <c r="G616" s="215">
        <v>2719</v>
      </c>
      <c r="H616" s="215">
        <v>2779</v>
      </c>
      <c r="I616" s="215">
        <v>2840</v>
      </c>
      <c r="J616" t="s">
        <v>91</v>
      </c>
    </row>
    <row r="617" spans="1:10" x14ac:dyDescent="0.3">
      <c r="A617" s="286">
        <v>627015</v>
      </c>
      <c r="B617" s="286">
        <v>42100</v>
      </c>
      <c r="E617" s="215">
        <v>0</v>
      </c>
      <c r="F617" s="215">
        <v>6156</v>
      </c>
      <c r="G617" s="215">
        <v>6291</v>
      </c>
      <c r="H617" s="215">
        <v>6429</v>
      </c>
      <c r="I617" s="215">
        <v>6570</v>
      </c>
      <c r="J617" t="s">
        <v>91</v>
      </c>
    </row>
    <row r="618" spans="1:10" x14ac:dyDescent="0.3">
      <c r="A618" s="286">
        <v>627015</v>
      </c>
      <c r="B618" s="286">
        <v>43806</v>
      </c>
      <c r="E618" s="215">
        <v>3097</v>
      </c>
      <c r="F618" s="215">
        <v>5140</v>
      </c>
      <c r="G618" s="215">
        <v>5284</v>
      </c>
      <c r="H618" s="215">
        <v>5432</v>
      </c>
      <c r="I618" s="215">
        <v>5584</v>
      </c>
      <c r="J618" t="s">
        <v>91</v>
      </c>
    </row>
    <row r="619" spans="1:10" x14ac:dyDescent="0.3">
      <c r="A619" s="286">
        <v>627016</v>
      </c>
      <c r="B619" s="286">
        <v>43806</v>
      </c>
      <c r="E619" s="215">
        <v>2235</v>
      </c>
      <c r="F619" s="215">
        <v>0</v>
      </c>
      <c r="G619" s="215">
        <v>0</v>
      </c>
      <c r="H619" s="215">
        <v>0</v>
      </c>
      <c r="I619" s="215">
        <v>0</v>
      </c>
      <c r="J619" t="s">
        <v>91</v>
      </c>
    </row>
    <row r="620" spans="1:10" x14ac:dyDescent="0.3">
      <c r="A620" s="286">
        <v>627017</v>
      </c>
      <c r="B620" s="286">
        <v>42100</v>
      </c>
      <c r="E620" s="215">
        <v>0</v>
      </c>
      <c r="F620" s="215">
        <v>19178</v>
      </c>
      <c r="G620" s="215">
        <v>19600</v>
      </c>
      <c r="H620" s="215">
        <v>20031</v>
      </c>
      <c r="I620" s="215">
        <v>20472</v>
      </c>
      <c r="J620" t="s">
        <v>91</v>
      </c>
    </row>
    <row r="621" spans="1:10" x14ac:dyDescent="0.3">
      <c r="A621" s="286">
        <v>627017</v>
      </c>
      <c r="B621" s="286">
        <v>43806</v>
      </c>
      <c r="E621" s="215">
        <v>0</v>
      </c>
      <c r="F621" s="215">
        <v>4990</v>
      </c>
      <c r="G621" s="215">
        <v>5100</v>
      </c>
      <c r="H621" s="215">
        <v>5212</v>
      </c>
      <c r="I621" s="215">
        <v>5327</v>
      </c>
      <c r="J621" t="s">
        <v>91</v>
      </c>
    </row>
    <row r="622" spans="1:10" x14ac:dyDescent="0.3">
      <c r="A622" s="286">
        <v>627018</v>
      </c>
      <c r="B622" s="286">
        <v>42100</v>
      </c>
      <c r="E622" s="215">
        <v>47476</v>
      </c>
      <c r="F622" s="215">
        <v>48710</v>
      </c>
      <c r="G622" s="215">
        <v>49782</v>
      </c>
      <c r="H622" s="215">
        <v>50877</v>
      </c>
      <c r="I622" s="215">
        <v>51996</v>
      </c>
      <c r="J622" t="s">
        <v>91</v>
      </c>
    </row>
    <row r="623" spans="1:10" x14ac:dyDescent="0.3">
      <c r="A623" s="286">
        <v>627018</v>
      </c>
      <c r="B623" s="286">
        <v>42100</v>
      </c>
      <c r="E623" s="215">
        <v>905</v>
      </c>
      <c r="F623" s="215">
        <v>929</v>
      </c>
      <c r="G623" s="215">
        <v>949</v>
      </c>
      <c r="H623" s="215">
        <v>970</v>
      </c>
      <c r="I623" s="215">
        <v>991</v>
      </c>
      <c r="J623" t="s">
        <v>91</v>
      </c>
    </row>
    <row r="624" spans="1:10" x14ac:dyDescent="0.3">
      <c r="A624" s="286">
        <v>627018</v>
      </c>
      <c r="B624" s="286">
        <v>43806</v>
      </c>
      <c r="E624" s="215">
        <v>327</v>
      </c>
      <c r="F624" s="215">
        <v>336</v>
      </c>
      <c r="G624" s="215">
        <v>343</v>
      </c>
      <c r="H624" s="215">
        <v>351</v>
      </c>
      <c r="I624" s="215">
        <v>359</v>
      </c>
      <c r="J624" t="s">
        <v>91</v>
      </c>
    </row>
    <row r="625" spans="1:10" x14ac:dyDescent="0.3">
      <c r="A625" s="286">
        <v>627019</v>
      </c>
      <c r="B625" s="286">
        <v>42100</v>
      </c>
      <c r="E625" s="215">
        <v>0</v>
      </c>
      <c r="F625" s="215">
        <v>6366</v>
      </c>
      <c r="G625" s="215">
        <v>6506</v>
      </c>
      <c r="H625" s="215">
        <v>6649</v>
      </c>
      <c r="I625" s="215">
        <v>6795</v>
      </c>
      <c r="J625" t="s">
        <v>91</v>
      </c>
    </row>
    <row r="626" spans="1:10" x14ac:dyDescent="0.3">
      <c r="A626" s="286">
        <v>627019</v>
      </c>
      <c r="B626" s="286">
        <v>43806</v>
      </c>
      <c r="E626" s="215">
        <v>0</v>
      </c>
      <c r="F626" s="215">
        <v>5130</v>
      </c>
      <c r="G626" s="215">
        <v>5243</v>
      </c>
      <c r="H626" s="215">
        <v>5358</v>
      </c>
      <c r="I626" s="215">
        <v>5476</v>
      </c>
      <c r="J626" t="s">
        <v>91</v>
      </c>
    </row>
    <row r="627" spans="1:10" x14ac:dyDescent="0.3">
      <c r="A627" s="286">
        <v>627001</v>
      </c>
      <c r="B627" s="286">
        <v>83600</v>
      </c>
      <c r="E627" s="215">
        <v>-50113</v>
      </c>
      <c r="F627" s="215">
        <v>-51766</v>
      </c>
      <c r="G627" s="215">
        <v>-52900</v>
      </c>
      <c r="H627" s="215">
        <v>-54060</v>
      </c>
      <c r="I627" s="215">
        <v>-55250</v>
      </c>
      <c r="J627" t="s">
        <v>91</v>
      </c>
    </row>
    <row r="628" spans="1:10" x14ac:dyDescent="0.3">
      <c r="A628" s="286">
        <v>627017</v>
      </c>
      <c r="B628" s="286">
        <v>83600</v>
      </c>
      <c r="E628" s="215">
        <v>0</v>
      </c>
      <c r="F628" s="215">
        <v>-28557</v>
      </c>
      <c r="G628" s="215">
        <v>-29185</v>
      </c>
      <c r="H628" s="215">
        <v>-29827</v>
      </c>
      <c r="I628" s="215">
        <v>-30483</v>
      </c>
      <c r="J628" t="s">
        <v>91</v>
      </c>
    </row>
    <row r="629" spans="1:10" x14ac:dyDescent="0.3">
      <c r="A629" s="286">
        <v>627901</v>
      </c>
      <c r="B629" s="286">
        <v>41100</v>
      </c>
      <c r="E629" s="215">
        <v>72527.612999999998</v>
      </c>
      <c r="F629" s="215">
        <v>58898.64</v>
      </c>
      <c r="G629" s="215">
        <v>61608</v>
      </c>
      <c r="H629" s="215">
        <v>64441</v>
      </c>
      <c r="I629" s="215">
        <v>67405</v>
      </c>
      <c r="J629" t="s">
        <v>91</v>
      </c>
    </row>
    <row r="630" spans="1:10" x14ac:dyDescent="0.3">
      <c r="A630" s="286">
        <v>627901</v>
      </c>
      <c r="B630" s="286">
        <v>47300</v>
      </c>
      <c r="E630" s="215">
        <v>595191</v>
      </c>
      <c r="F630" s="215">
        <v>1369938</v>
      </c>
      <c r="G630" s="215">
        <v>1366235</v>
      </c>
      <c r="H630" s="215">
        <v>2090360</v>
      </c>
      <c r="I630" s="215">
        <v>2203027</v>
      </c>
      <c r="J630" t="s">
        <v>91</v>
      </c>
    </row>
    <row r="631" spans="1:10" x14ac:dyDescent="0.3">
      <c r="A631" s="286">
        <v>628001</v>
      </c>
      <c r="B631" s="286">
        <v>43812</v>
      </c>
      <c r="E631" s="215">
        <v>357</v>
      </c>
      <c r="F631" s="215">
        <v>366</v>
      </c>
      <c r="G631" s="215">
        <v>374</v>
      </c>
      <c r="H631" s="215">
        <v>382</v>
      </c>
      <c r="I631" s="215">
        <v>390</v>
      </c>
      <c r="J631" t="s">
        <v>92</v>
      </c>
    </row>
    <row r="632" spans="1:10" x14ac:dyDescent="0.3">
      <c r="A632" s="286">
        <v>628002</v>
      </c>
      <c r="B632" s="286">
        <v>43812</v>
      </c>
      <c r="E632" s="215">
        <v>22380</v>
      </c>
      <c r="F632" s="215">
        <v>22962</v>
      </c>
      <c r="G632" s="215">
        <v>23467</v>
      </c>
      <c r="H632" s="215">
        <v>23983</v>
      </c>
      <c r="I632" s="215">
        <v>24511</v>
      </c>
      <c r="J632" t="s">
        <v>92</v>
      </c>
    </row>
    <row r="633" spans="1:10" x14ac:dyDescent="0.3">
      <c r="A633" s="286">
        <v>628004</v>
      </c>
      <c r="B633" s="286">
        <v>43812</v>
      </c>
      <c r="E633" s="215">
        <v>28444</v>
      </c>
      <c r="F633" s="215">
        <v>29184</v>
      </c>
      <c r="G633" s="215">
        <v>29826</v>
      </c>
      <c r="H633" s="215">
        <v>30482</v>
      </c>
      <c r="I633" s="215">
        <v>31153</v>
      </c>
      <c r="J633" t="s">
        <v>92</v>
      </c>
    </row>
    <row r="634" spans="1:10" x14ac:dyDescent="0.3">
      <c r="A634" s="286">
        <v>628007</v>
      </c>
      <c r="B634" s="286">
        <v>43410</v>
      </c>
      <c r="E634" s="215">
        <v>605000</v>
      </c>
      <c r="F634" s="215">
        <v>683000</v>
      </c>
      <c r="G634" s="215">
        <v>714300</v>
      </c>
      <c r="H634" s="215">
        <v>724800</v>
      </c>
      <c r="I634" s="215">
        <v>758300</v>
      </c>
      <c r="J634" t="s">
        <v>92</v>
      </c>
    </row>
    <row r="635" spans="1:10" x14ac:dyDescent="0.3">
      <c r="A635" s="286">
        <v>628005</v>
      </c>
      <c r="B635" s="286">
        <v>44380</v>
      </c>
      <c r="E635" s="215">
        <v>693526</v>
      </c>
      <c r="F635" s="215">
        <v>711696</v>
      </c>
      <c r="G635" s="215">
        <v>720295</v>
      </c>
      <c r="H635" s="215">
        <v>729187</v>
      </c>
      <c r="I635" s="215">
        <v>738466</v>
      </c>
      <c r="J635" t="s">
        <v>92</v>
      </c>
    </row>
    <row r="636" spans="1:10" x14ac:dyDescent="0.3">
      <c r="A636" s="286">
        <v>628008</v>
      </c>
      <c r="B636" s="286">
        <v>43812</v>
      </c>
      <c r="E636" s="215">
        <v>77240</v>
      </c>
      <c r="F636" s="215">
        <v>79247</v>
      </c>
      <c r="G636" s="215">
        <v>80990</v>
      </c>
      <c r="H636" s="215">
        <v>82771</v>
      </c>
      <c r="I636" s="215">
        <v>84591</v>
      </c>
      <c r="J636" t="s">
        <v>92</v>
      </c>
    </row>
    <row r="637" spans="1:10" x14ac:dyDescent="0.3">
      <c r="A637" s="286">
        <v>628901</v>
      </c>
      <c r="B637" s="286">
        <v>41100</v>
      </c>
      <c r="E637" s="215">
        <v>280494.44</v>
      </c>
      <c r="F637" s="215">
        <v>303283.23</v>
      </c>
      <c r="G637" s="215">
        <v>317234</v>
      </c>
      <c r="H637" s="215">
        <v>331827</v>
      </c>
      <c r="I637" s="215">
        <v>347091</v>
      </c>
      <c r="J637" t="s">
        <v>92</v>
      </c>
    </row>
    <row r="638" spans="1:10" x14ac:dyDescent="0.3">
      <c r="A638" s="286">
        <v>628001</v>
      </c>
      <c r="B638" s="286">
        <v>84320</v>
      </c>
      <c r="E638" s="215">
        <v>-7500</v>
      </c>
      <c r="F638" s="215">
        <v>-7500</v>
      </c>
      <c r="G638" s="215">
        <v>-7500</v>
      </c>
      <c r="H638" s="215">
        <v>-7499</v>
      </c>
      <c r="I638" s="215">
        <v>-7499</v>
      </c>
      <c r="J638" t="s">
        <v>92</v>
      </c>
    </row>
    <row r="639" spans="1:10" x14ac:dyDescent="0.3">
      <c r="A639" s="286">
        <v>628003</v>
      </c>
      <c r="B639" s="286">
        <v>84310</v>
      </c>
      <c r="E639" s="215">
        <v>-400000</v>
      </c>
      <c r="F639" s="215">
        <v>-400000</v>
      </c>
      <c r="G639" s="215">
        <v>-400000</v>
      </c>
      <c r="H639" s="215">
        <v>-400000</v>
      </c>
      <c r="I639" s="215">
        <v>-400000</v>
      </c>
      <c r="J639" t="s">
        <v>92</v>
      </c>
    </row>
    <row r="640" spans="1:10" x14ac:dyDescent="0.3">
      <c r="A640" s="286">
        <v>628007</v>
      </c>
      <c r="B640" s="286">
        <v>83420</v>
      </c>
      <c r="E640" s="215">
        <v>-11680</v>
      </c>
      <c r="F640" s="215">
        <v>-11980</v>
      </c>
      <c r="G640" s="215">
        <v>-12240</v>
      </c>
      <c r="H640" s="215">
        <v>-12510</v>
      </c>
      <c r="I640" s="215">
        <v>-12790</v>
      </c>
      <c r="J640" t="s">
        <v>92</v>
      </c>
    </row>
    <row r="641" spans="1:10" x14ac:dyDescent="0.3">
      <c r="A641" s="286">
        <v>629001</v>
      </c>
      <c r="B641" s="286">
        <v>43812</v>
      </c>
      <c r="E641" s="215">
        <v>0</v>
      </c>
      <c r="F641" s="215">
        <v>0</v>
      </c>
      <c r="G641" s="215">
        <v>0</v>
      </c>
      <c r="H641" s="215">
        <v>0</v>
      </c>
      <c r="I641" s="215">
        <v>0</v>
      </c>
      <c r="J641" t="s">
        <v>93</v>
      </c>
    </row>
    <row r="642" spans="1:10" x14ac:dyDescent="0.3">
      <c r="A642" s="286">
        <v>629001</v>
      </c>
      <c r="B642" s="286">
        <v>44380</v>
      </c>
      <c r="E642" s="215">
        <v>69214</v>
      </c>
      <c r="F642" s="215">
        <v>71013</v>
      </c>
      <c r="G642" s="215">
        <v>72575</v>
      </c>
      <c r="H642" s="215">
        <v>74172</v>
      </c>
      <c r="I642" s="215">
        <v>75803</v>
      </c>
      <c r="J642" t="s">
        <v>93</v>
      </c>
    </row>
    <row r="643" spans="1:10" x14ac:dyDescent="0.3">
      <c r="A643" s="286">
        <v>629002</v>
      </c>
      <c r="B643" s="286">
        <v>44380</v>
      </c>
      <c r="E643" s="215">
        <v>207801</v>
      </c>
      <c r="F643" s="215">
        <v>0</v>
      </c>
      <c r="G643" s="215">
        <v>0</v>
      </c>
      <c r="H643" s="215">
        <v>0</v>
      </c>
      <c r="I643" s="215">
        <v>0</v>
      </c>
      <c r="J643" t="s">
        <v>93</v>
      </c>
    </row>
    <row r="644" spans="1:10" x14ac:dyDescent="0.3">
      <c r="A644" s="286">
        <v>629004</v>
      </c>
      <c r="B644" s="286">
        <v>44380</v>
      </c>
      <c r="E644" s="215">
        <v>19408</v>
      </c>
      <c r="F644" s="215">
        <v>0</v>
      </c>
      <c r="G644" s="215">
        <v>0</v>
      </c>
      <c r="H644" s="215">
        <v>0</v>
      </c>
      <c r="I644" s="215">
        <v>0</v>
      </c>
      <c r="J644" t="s">
        <v>93</v>
      </c>
    </row>
    <row r="645" spans="1:10" x14ac:dyDescent="0.3">
      <c r="A645" s="286">
        <v>629005</v>
      </c>
      <c r="B645" s="286">
        <v>44380</v>
      </c>
      <c r="E645" s="215">
        <v>133617</v>
      </c>
      <c r="F645" s="215">
        <v>0</v>
      </c>
      <c r="G645" s="215">
        <v>0</v>
      </c>
      <c r="H645" s="215">
        <v>0</v>
      </c>
      <c r="I645" s="215">
        <v>0</v>
      </c>
      <c r="J645" t="s">
        <v>93</v>
      </c>
    </row>
    <row r="646" spans="1:10" x14ac:dyDescent="0.3">
      <c r="A646" s="286">
        <v>629006</v>
      </c>
      <c r="B646" s="286">
        <v>44380</v>
      </c>
      <c r="E646" s="215"/>
      <c r="F646" s="215">
        <v>461877</v>
      </c>
      <c r="G646" s="215">
        <v>466014</v>
      </c>
      <c r="H646" s="215">
        <v>470345</v>
      </c>
      <c r="I646" s="215">
        <v>474854</v>
      </c>
      <c r="J646" t="s">
        <v>93</v>
      </c>
    </row>
    <row r="647" spans="1:10" x14ac:dyDescent="0.3">
      <c r="A647" s="286">
        <v>629901</v>
      </c>
      <c r="B647" s="286">
        <v>41100</v>
      </c>
      <c r="E647" s="215">
        <v>118700.44</v>
      </c>
      <c r="F647" s="215">
        <v>140596.75</v>
      </c>
      <c r="G647" s="215">
        <v>147065</v>
      </c>
      <c r="H647" s="215">
        <v>153830</v>
      </c>
      <c r="I647" s="215">
        <v>160907</v>
      </c>
      <c r="J647" t="s">
        <v>93</v>
      </c>
    </row>
    <row r="648" spans="1:10" x14ac:dyDescent="0.3">
      <c r="A648" s="286">
        <v>629004</v>
      </c>
      <c r="B648" s="286">
        <v>84310</v>
      </c>
      <c r="E648" s="215">
        <v>-19408</v>
      </c>
      <c r="F648" s="215">
        <v>-14923</v>
      </c>
      <c r="G648" s="215">
        <v>-14923</v>
      </c>
      <c r="H648" s="215">
        <v>-14924</v>
      </c>
      <c r="I648" s="215">
        <v>-14924</v>
      </c>
      <c r="J648" t="s">
        <v>93</v>
      </c>
    </row>
    <row r="649" spans="1:10" x14ac:dyDescent="0.3">
      <c r="A649" s="286">
        <v>629005</v>
      </c>
      <c r="B649" s="286">
        <v>84310</v>
      </c>
      <c r="E649" s="215">
        <v>-133617</v>
      </c>
      <c r="F649" s="215">
        <v>-129081</v>
      </c>
      <c r="G649" s="215">
        <v>-129081</v>
      </c>
      <c r="H649" s="215">
        <v>-129080</v>
      </c>
      <c r="I649" s="215">
        <v>-129080</v>
      </c>
      <c r="J649" t="s">
        <v>93</v>
      </c>
    </row>
    <row r="650" spans="1:10" x14ac:dyDescent="0.3">
      <c r="A650" s="286">
        <v>630001</v>
      </c>
      <c r="B650" s="286">
        <v>42100</v>
      </c>
      <c r="E650" s="215">
        <v>7092</v>
      </c>
      <c r="F650" s="215">
        <v>7276</v>
      </c>
      <c r="G650" s="215">
        <v>7436</v>
      </c>
      <c r="H650" s="215">
        <v>7600</v>
      </c>
      <c r="I650" s="215">
        <v>7767</v>
      </c>
      <c r="J650" t="s">
        <v>94</v>
      </c>
    </row>
    <row r="651" spans="1:10" x14ac:dyDescent="0.3">
      <c r="A651" s="286">
        <v>630001</v>
      </c>
      <c r="B651" s="286">
        <v>43806</v>
      </c>
      <c r="E651" s="215">
        <v>1155</v>
      </c>
      <c r="F651" s="215">
        <v>1185</v>
      </c>
      <c r="G651" s="215">
        <v>1211</v>
      </c>
      <c r="H651" s="215">
        <v>1238</v>
      </c>
      <c r="I651" s="215">
        <v>1265</v>
      </c>
      <c r="J651" t="s">
        <v>94</v>
      </c>
    </row>
    <row r="652" spans="1:10" x14ac:dyDescent="0.3">
      <c r="A652" s="286">
        <v>630005</v>
      </c>
      <c r="B652" s="286">
        <v>42100</v>
      </c>
      <c r="E652" s="215">
        <v>1589</v>
      </c>
      <c r="F652" s="215">
        <v>1630</v>
      </c>
      <c r="G652" s="215">
        <v>1666</v>
      </c>
      <c r="H652" s="215">
        <v>1703</v>
      </c>
      <c r="I652" s="215">
        <v>1740</v>
      </c>
      <c r="J652" t="s">
        <v>94</v>
      </c>
    </row>
    <row r="653" spans="1:10" x14ac:dyDescent="0.3">
      <c r="A653" s="286">
        <v>630005</v>
      </c>
      <c r="B653" s="286">
        <v>43511</v>
      </c>
      <c r="E653" s="215">
        <v>1010.8</v>
      </c>
      <c r="F653" s="215">
        <v>1031.2</v>
      </c>
      <c r="G653" s="215">
        <v>1078.8</v>
      </c>
      <c r="H653" s="215">
        <v>1156.6100000000001</v>
      </c>
      <c r="I653" s="215">
        <v>1156.6100000000001</v>
      </c>
      <c r="J653" t="s">
        <v>94</v>
      </c>
    </row>
    <row r="654" spans="1:10" x14ac:dyDescent="0.3">
      <c r="A654" s="286">
        <v>630005</v>
      </c>
      <c r="B654" s="286">
        <v>43806</v>
      </c>
      <c r="E654" s="215">
        <v>517</v>
      </c>
      <c r="F654" s="215">
        <v>530</v>
      </c>
      <c r="G654" s="215">
        <v>542</v>
      </c>
      <c r="H654" s="215">
        <v>554</v>
      </c>
      <c r="I654" s="215">
        <v>566</v>
      </c>
      <c r="J654" t="s">
        <v>94</v>
      </c>
    </row>
    <row r="655" spans="1:10" x14ac:dyDescent="0.3">
      <c r="A655" s="286">
        <v>630005</v>
      </c>
      <c r="B655" s="286">
        <v>43812</v>
      </c>
      <c r="E655" s="215">
        <v>955</v>
      </c>
      <c r="F655" s="215">
        <v>980</v>
      </c>
      <c r="G655" s="215">
        <v>1002</v>
      </c>
      <c r="H655" s="215">
        <v>1024</v>
      </c>
      <c r="I655" s="215">
        <v>1047</v>
      </c>
      <c r="J655" t="s">
        <v>94</v>
      </c>
    </row>
    <row r="656" spans="1:10" x14ac:dyDescent="0.3">
      <c r="A656" s="286">
        <v>630002</v>
      </c>
      <c r="B656" s="286">
        <v>42100</v>
      </c>
      <c r="E656" s="215">
        <v>958</v>
      </c>
      <c r="F656" s="215">
        <v>983</v>
      </c>
      <c r="G656" s="215">
        <v>1005</v>
      </c>
      <c r="H656" s="215">
        <v>1027</v>
      </c>
      <c r="I656" s="215">
        <v>1050</v>
      </c>
      <c r="J656" t="s">
        <v>94</v>
      </c>
    </row>
    <row r="657" spans="1:10" x14ac:dyDescent="0.3">
      <c r="A657" s="286">
        <v>630002</v>
      </c>
      <c r="B657" s="286">
        <v>43806</v>
      </c>
      <c r="E657" s="215">
        <v>276</v>
      </c>
      <c r="F657" s="215">
        <v>283</v>
      </c>
      <c r="G657" s="215">
        <v>289</v>
      </c>
      <c r="H657" s="215">
        <v>295</v>
      </c>
      <c r="I657" s="215">
        <v>301</v>
      </c>
      <c r="J657" t="s">
        <v>94</v>
      </c>
    </row>
    <row r="658" spans="1:10" x14ac:dyDescent="0.3">
      <c r="A658" s="286">
        <v>630003</v>
      </c>
      <c r="B658" s="286">
        <v>42100</v>
      </c>
      <c r="E658" s="215">
        <v>386</v>
      </c>
      <c r="F658" s="215">
        <v>396</v>
      </c>
      <c r="G658" s="215">
        <v>405</v>
      </c>
      <c r="H658" s="215">
        <v>414</v>
      </c>
      <c r="I658" s="215">
        <v>423</v>
      </c>
      <c r="J658" t="s">
        <v>94</v>
      </c>
    </row>
    <row r="659" spans="1:10" x14ac:dyDescent="0.3">
      <c r="A659" s="286">
        <v>630006</v>
      </c>
      <c r="B659" s="286">
        <v>43511</v>
      </c>
      <c r="E659" s="215">
        <v>24158.872815999999</v>
      </c>
      <c r="F659" s="215">
        <v>24642.050272320001</v>
      </c>
      <c r="G659" s="215">
        <v>25775.584584846722</v>
      </c>
      <c r="H659" s="215">
        <v>26961.26147574967</v>
      </c>
      <c r="I659" s="215">
        <v>28201.479503634157</v>
      </c>
      <c r="J659" t="s">
        <v>94</v>
      </c>
    </row>
    <row r="660" spans="1:10" x14ac:dyDescent="0.3">
      <c r="A660" s="286">
        <v>630006</v>
      </c>
      <c r="B660" s="286">
        <v>43802</v>
      </c>
      <c r="E660" s="215">
        <v>3034</v>
      </c>
      <c r="F660" s="215">
        <v>3113</v>
      </c>
      <c r="G660" s="215">
        <v>3181</v>
      </c>
      <c r="H660" s="215">
        <v>3251</v>
      </c>
      <c r="I660" s="215">
        <v>3323</v>
      </c>
      <c r="J660" t="s">
        <v>94</v>
      </c>
    </row>
    <row r="661" spans="1:10" x14ac:dyDescent="0.3">
      <c r="A661" s="286">
        <v>630006</v>
      </c>
      <c r="B661" s="286">
        <v>43812</v>
      </c>
      <c r="E661" s="215">
        <v>45000</v>
      </c>
      <c r="F661" s="215">
        <v>46200</v>
      </c>
      <c r="G661" s="215">
        <v>47200</v>
      </c>
      <c r="H661" s="215">
        <v>48200</v>
      </c>
      <c r="I661" s="215">
        <v>49300</v>
      </c>
      <c r="J661" t="s">
        <v>94</v>
      </c>
    </row>
    <row r="662" spans="1:10" x14ac:dyDescent="0.3">
      <c r="A662" s="286">
        <v>630006</v>
      </c>
      <c r="B662" s="286">
        <v>47201</v>
      </c>
      <c r="E662" s="215">
        <v>15000</v>
      </c>
      <c r="F662" s="215">
        <v>15750</v>
      </c>
      <c r="G662" s="215">
        <v>16537.5</v>
      </c>
      <c r="H662" s="215">
        <v>17364.375</v>
      </c>
      <c r="I662" s="215">
        <v>18232.59375</v>
      </c>
      <c r="J662" t="s">
        <v>94</v>
      </c>
    </row>
    <row r="663" spans="1:10" x14ac:dyDescent="0.3">
      <c r="A663" s="286">
        <v>630007</v>
      </c>
      <c r="B663" s="286">
        <v>42100</v>
      </c>
      <c r="E663" s="215">
        <v>1441</v>
      </c>
      <c r="F663" s="215">
        <v>4478</v>
      </c>
      <c r="G663" s="215">
        <v>4577</v>
      </c>
      <c r="H663" s="215">
        <v>4678</v>
      </c>
      <c r="I663" s="215">
        <v>4781</v>
      </c>
      <c r="J663" t="s">
        <v>94</v>
      </c>
    </row>
    <row r="664" spans="1:10" x14ac:dyDescent="0.3">
      <c r="A664" s="286">
        <v>630007</v>
      </c>
      <c r="B664" s="286">
        <v>43806</v>
      </c>
      <c r="E664" s="215">
        <v>767</v>
      </c>
      <c r="F664" s="215">
        <v>787</v>
      </c>
      <c r="G664" s="215">
        <v>804</v>
      </c>
      <c r="H664" s="215">
        <v>822</v>
      </c>
      <c r="I664" s="215">
        <v>840</v>
      </c>
      <c r="J664" t="s">
        <v>94</v>
      </c>
    </row>
    <row r="665" spans="1:10" x14ac:dyDescent="0.3">
      <c r="A665" s="286">
        <v>630011</v>
      </c>
      <c r="B665" s="286">
        <v>42100</v>
      </c>
      <c r="E665" s="215">
        <v>1328</v>
      </c>
      <c r="F665" s="215">
        <v>4363</v>
      </c>
      <c r="G665" s="215">
        <v>4459</v>
      </c>
      <c r="H665" s="215">
        <v>4557</v>
      </c>
      <c r="I665" s="215">
        <v>4657</v>
      </c>
      <c r="J665" t="s">
        <v>94</v>
      </c>
    </row>
    <row r="666" spans="1:10" x14ac:dyDescent="0.3">
      <c r="A666" s="286">
        <v>630011</v>
      </c>
      <c r="B666" s="286">
        <v>43806</v>
      </c>
      <c r="E666" s="215">
        <v>502</v>
      </c>
      <c r="F666" s="215">
        <v>515</v>
      </c>
      <c r="G666" s="215">
        <v>526</v>
      </c>
      <c r="H666" s="215">
        <v>538</v>
      </c>
      <c r="I666" s="215">
        <v>550</v>
      </c>
      <c r="J666" t="s">
        <v>94</v>
      </c>
    </row>
    <row r="667" spans="1:10" x14ac:dyDescent="0.3">
      <c r="A667" s="286">
        <v>630011</v>
      </c>
      <c r="B667" s="286">
        <v>43812</v>
      </c>
      <c r="E667" s="215">
        <v>5691</v>
      </c>
      <c r="F667" s="215">
        <v>5839</v>
      </c>
      <c r="G667" s="215">
        <v>5967</v>
      </c>
      <c r="H667" s="215">
        <v>6098</v>
      </c>
      <c r="I667" s="215">
        <v>6232</v>
      </c>
      <c r="J667" t="s">
        <v>94</v>
      </c>
    </row>
    <row r="668" spans="1:10" x14ac:dyDescent="0.3">
      <c r="A668" s="286">
        <v>630008</v>
      </c>
      <c r="B668" s="286">
        <v>42100</v>
      </c>
      <c r="E668" s="215">
        <v>497</v>
      </c>
      <c r="F668" s="215">
        <v>510</v>
      </c>
      <c r="G668" s="215">
        <v>521</v>
      </c>
      <c r="H668" s="215">
        <v>532</v>
      </c>
      <c r="I668" s="215">
        <v>544</v>
      </c>
      <c r="J668" t="s">
        <v>94</v>
      </c>
    </row>
    <row r="669" spans="1:10" x14ac:dyDescent="0.3">
      <c r="A669" s="286">
        <v>630009</v>
      </c>
      <c r="B669" s="286">
        <v>43806</v>
      </c>
      <c r="E669" s="215">
        <v>117</v>
      </c>
      <c r="F669" s="215">
        <v>120</v>
      </c>
      <c r="G669" s="215">
        <v>123</v>
      </c>
      <c r="H669" s="215">
        <v>126</v>
      </c>
      <c r="I669" s="215">
        <v>129</v>
      </c>
      <c r="J669" t="s">
        <v>94</v>
      </c>
    </row>
    <row r="670" spans="1:10" x14ac:dyDescent="0.3">
      <c r="A670" s="286">
        <v>630009</v>
      </c>
      <c r="B670" s="286">
        <v>43812</v>
      </c>
      <c r="E670" s="215">
        <v>1651</v>
      </c>
      <c r="F670" s="215">
        <v>1694</v>
      </c>
      <c r="G670" s="215">
        <v>1731</v>
      </c>
      <c r="H670" s="215">
        <v>1768</v>
      </c>
      <c r="I670" s="215">
        <v>1807</v>
      </c>
      <c r="J670" t="s">
        <v>94</v>
      </c>
    </row>
    <row r="671" spans="1:10" x14ac:dyDescent="0.3">
      <c r="A671" s="286">
        <v>630010</v>
      </c>
      <c r="B671" s="286">
        <v>42100</v>
      </c>
      <c r="E671" s="215">
        <v>280</v>
      </c>
      <c r="F671" s="215">
        <v>287</v>
      </c>
      <c r="G671" s="215">
        <v>293</v>
      </c>
      <c r="H671" s="215">
        <v>299</v>
      </c>
      <c r="I671" s="215">
        <v>306</v>
      </c>
      <c r="J671" t="s">
        <v>94</v>
      </c>
    </row>
    <row r="672" spans="1:10" x14ac:dyDescent="0.3">
      <c r="A672" s="286">
        <v>630012</v>
      </c>
      <c r="B672" s="286">
        <v>43511</v>
      </c>
      <c r="E672" s="215">
        <v>24158</v>
      </c>
      <c r="F672" s="215">
        <v>24641</v>
      </c>
      <c r="G672" s="215">
        <v>25774</v>
      </c>
      <c r="H672" s="215">
        <v>26960</v>
      </c>
      <c r="I672" s="215">
        <v>28200</v>
      </c>
      <c r="J672" t="s">
        <v>94</v>
      </c>
    </row>
    <row r="673" spans="1:10" x14ac:dyDescent="0.3">
      <c r="A673" s="286">
        <v>630012</v>
      </c>
      <c r="B673" s="286">
        <v>43802</v>
      </c>
      <c r="E673" s="215">
        <v>1574</v>
      </c>
      <c r="F673" s="215">
        <v>1615</v>
      </c>
      <c r="G673" s="215">
        <v>1651</v>
      </c>
      <c r="H673" s="215">
        <v>1687</v>
      </c>
      <c r="I673" s="215">
        <v>1724</v>
      </c>
      <c r="J673" t="s">
        <v>94</v>
      </c>
    </row>
    <row r="674" spans="1:10" x14ac:dyDescent="0.3">
      <c r="A674" s="286">
        <v>630012</v>
      </c>
      <c r="B674" s="286">
        <v>43812</v>
      </c>
      <c r="E674" s="215">
        <v>44940</v>
      </c>
      <c r="F674" s="215">
        <v>46108</v>
      </c>
      <c r="G674" s="215">
        <v>47122</v>
      </c>
      <c r="H674" s="215">
        <v>48159</v>
      </c>
      <c r="I674" s="215">
        <v>49218</v>
      </c>
      <c r="J674" t="s">
        <v>94</v>
      </c>
    </row>
    <row r="675" spans="1:10" x14ac:dyDescent="0.3">
      <c r="A675" s="286">
        <v>630012</v>
      </c>
      <c r="B675" s="286">
        <v>47201</v>
      </c>
      <c r="E675" s="215">
        <v>15000</v>
      </c>
      <c r="F675" s="215">
        <v>15750</v>
      </c>
      <c r="G675" s="215">
        <v>16537.5</v>
      </c>
      <c r="H675" s="215">
        <v>17364.375</v>
      </c>
      <c r="I675" s="215">
        <v>18232.59375</v>
      </c>
      <c r="J675" t="s">
        <v>94</v>
      </c>
    </row>
    <row r="676" spans="1:10" x14ac:dyDescent="0.3">
      <c r="A676" s="286">
        <v>630001</v>
      </c>
      <c r="B676" s="286">
        <v>83600</v>
      </c>
      <c r="E676" s="215">
        <v>-48365.996506934556</v>
      </c>
      <c r="F676" s="215">
        <v>-49623.512416114863</v>
      </c>
      <c r="G676" s="215">
        <v>-50715.229689269378</v>
      </c>
      <c r="H676" s="215">
        <v>-51830.964742433309</v>
      </c>
      <c r="I676" s="215">
        <v>-52971.245966766845</v>
      </c>
      <c r="J676" t="s">
        <v>94</v>
      </c>
    </row>
    <row r="677" spans="1:10" x14ac:dyDescent="0.3">
      <c r="A677" s="286">
        <v>630005</v>
      </c>
      <c r="B677" s="286">
        <v>83600</v>
      </c>
      <c r="E677" s="215">
        <v>-27291.344000000005</v>
      </c>
      <c r="F677" s="215">
        <v>-28055.501632</v>
      </c>
      <c r="G677" s="215">
        <v>-28841.055677696</v>
      </c>
      <c r="H677" s="215">
        <v>-29648.60523667149</v>
      </c>
      <c r="I677" s="215">
        <v>-30478.766183298296</v>
      </c>
      <c r="J677" t="s">
        <v>94</v>
      </c>
    </row>
    <row r="678" spans="1:10" x14ac:dyDescent="0.3">
      <c r="A678" s="286">
        <v>630002</v>
      </c>
      <c r="B678" s="286">
        <v>83600</v>
      </c>
      <c r="E678" s="215">
        <v>-8072.6098666666685</v>
      </c>
      <c r="F678" s="215">
        <v>-8298.6429429333348</v>
      </c>
      <c r="G678" s="215">
        <v>-8531.0049453354659</v>
      </c>
      <c r="H678" s="215">
        <v>-8769.8730838048596</v>
      </c>
      <c r="I678" s="215">
        <v>-9015.4295301513939</v>
      </c>
      <c r="J678" t="s">
        <v>94</v>
      </c>
    </row>
    <row r="679" spans="1:10" x14ac:dyDescent="0.3">
      <c r="A679" s="286">
        <v>630003</v>
      </c>
      <c r="B679" s="286">
        <v>83600</v>
      </c>
      <c r="E679" s="215">
        <v>-57</v>
      </c>
      <c r="F679" s="215">
        <v>-57</v>
      </c>
      <c r="G679" s="215">
        <v>-57</v>
      </c>
      <c r="H679" s="215">
        <v>-57</v>
      </c>
      <c r="I679" s="215">
        <v>-57</v>
      </c>
      <c r="J679" t="s">
        <v>94</v>
      </c>
    </row>
    <row r="680" spans="1:10" x14ac:dyDescent="0.3">
      <c r="A680" s="286">
        <v>630004</v>
      </c>
      <c r="B680" s="286">
        <v>83600</v>
      </c>
      <c r="E680" s="215">
        <v>0</v>
      </c>
      <c r="F680" s="215">
        <v>0</v>
      </c>
      <c r="G680" s="215">
        <v>0</v>
      </c>
      <c r="H680" s="215">
        <v>0</v>
      </c>
      <c r="I680" s="215">
        <v>0</v>
      </c>
      <c r="J680" t="s">
        <v>94</v>
      </c>
    </row>
    <row r="681" spans="1:10" x14ac:dyDescent="0.3">
      <c r="A681" s="286">
        <v>630006</v>
      </c>
      <c r="B681" s="286">
        <v>83600</v>
      </c>
      <c r="E681" s="215">
        <v>0</v>
      </c>
      <c r="F681" s="215">
        <v>0</v>
      </c>
      <c r="G681" s="215">
        <v>0</v>
      </c>
      <c r="H681" s="215">
        <v>0</v>
      </c>
      <c r="I681" s="215">
        <v>0</v>
      </c>
      <c r="J681" t="s">
        <v>94</v>
      </c>
    </row>
    <row r="682" spans="1:10" x14ac:dyDescent="0.3">
      <c r="A682" s="286">
        <v>630007</v>
      </c>
      <c r="B682" s="286">
        <v>83600</v>
      </c>
      <c r="E682" s="215">
        <v>-56644.064524747009</v>
      </c>
      <c r="F682" s="215">
        <v>-58116.810202390436</v>
      </c>
      <c r="G682" s="215">
        <v>-59395.38002684302</v>
      </c>
      <c r="H682" s="215">
        <v>-60702.078387433576</v>
      </c>
      <c r="I682" s="215">
        <v>-62037.524111957115</v>
      </c>
      <c r="J682" t="s">
        <v>94</v>
      </c>
    </row>
    <row r="683" spans="1:10" x14ac:dyDescent="0.3">
      <c r="A683" s="286">
        <v>630011</v>
      </c>
      <c r="B683" s="286">
        <v>83600</v>
      </c>
      <c r="E683" s="215">
        <v>-30418.52</v>
      </c>
      <c r="F683" s="215">
        <v>-31209.401519999999</v>
      </c>
      <c r="G683" s="215">
        <v>-31896.008353440011</v>
      </c>
      <c r="H683" s="215">
        <v>-32597.720537215686</v>
      </c>
      <c r="I683" s="215">
        <v>-33314.870389034426</v>
      </c>
      <c r="J683" t="s">
        <v>94</v>
      </c>
    </row>
    <row r="684" spans="1:10" x14ac:dyDescent="0.3">
      <c r="A684" s="286">
        <v>630008</v>
      </c>
      <c r="B684" s="286">
        <v>83600</v>
      </c>
      <c r="E684" s="215">
        <v>-57</v>
      </c>
      <c r="F684" s="215">
        <v>-57</v>
      </c>
      <c r="G684" s="215">
        <v>-57</v>
      </c>
      <c r="H684" s="215">
        <v>-57</v>
      </c>
      <c r="I684" s="215">
        <v>-57</v>
      </c>
      <c r="J684" t="s">
        <v>94</v>
      </c>
    </row>
    <row r="685" spans="1:10" x14ac:dyDescent="0.3">
      <c r="A685" s="286">
        <v>630010</v>
      </c>
      <c r="B685" s="286">
        <v>83600</v>
      </c>
      <c r="E685" s="215">
        <v>-57</v>
      </c>
      <c r="F685" s="215">
        <v>-59</v>
      </c>
      <c r="G685" s="215">
        <v>-59</v>
      </c>
      <c r="H685" s="215">
        <v>-59</v>
      </c>
      <c r="I685" s="215">
        <v>-59</v>
      </c>
      <c r="J685" t="s">
        <v>94</v>
      </c>
    </row>
    <row r="686" spans="1:10" x14ac:dyDescent="0.3">
      <c r="A686" s="286">
        <v>630009</v>
      </c>
      <c r="B686" s="286">
        <v>83600</v>
      </c>
      <c r="E686" s="215">
        <v>-568</v>
      </c>
      <c r="F686" s="215">
        <v>-587</v>
      </c>
      <c r="G686" s="215">
        <v>-600</v>
      </c>
      <c r="H686" s="215">
        <v>-612</v>
      </c>
      <c r="I686" s="215">
        <v>-625</v>
      </c>
      <c r="J686" t="s">
        <v>94</v>
      </c>
    </row>
    <row r="687" spans="1:10" x14ac:dyDescent="0.3">
      <c r="A687" s="286">
        <v>630012</v>
      </c>
      <c r="B687" s="286">
        <v>83600</v>
      </c>
      <c r="E687" s="215">
        <v>-6552</v>
      </c>
      <c r="F687" s="215">
        <v>-6788</v>
      </c>
      <c r="G687" s="215">
        <v>-6937</v>
      </c>
      <c r="H687" s="215">
        <v>-7090</v>
      </c>
      <c r="I687" s="215">
        <v>-7246</v>
      </c>
      <c r="J687" t="s">
        <v>94</v>
      </c>
    </row>
    <row r="688" spans="1:10" x14ac:dyDescent="0.3">
      <c r="A688" s="286">
        <v>630013</v>
      </c>
      <c r="B688" s="286">
        <v>42100</v>
      </c>
      <c r="E688" s="215">
        <v>292</v>
      </c>
      <c r="F688" s="215">
        <v>300</v>
      </c>
      <c r="G688" s="215">
        <v>307</v>
      </c>
      <c r="H688" s="215">
        <v>314</v>
      </c>
      <c r="I688" s="215">
        <v>321</v>
      </c>
      <c r="J688" t="s">
        <v>94</v>
      </c>
    </row>
    <row r="689" spans="1:10" x14ac:dyDescent="0.3">
      <c r="A689" s="286">
        <v>630013</v>
      </c>
      <c r="B689" s="286">
        <v>42100</v>
      </c>
      <c r="E689" s="215">
        <v>23737</v>
      </c>
      <c r="F689" s="215">
        <v>41354</v>
      </c>
      <c r="G689" s="215">
        <v>42264</v>
      </c>
      <c r="H689" s="215">
        <v>43194</v>
      </c>
      <c r="I689" s="215">
        <v>44144</v>
      </c>
      <c r="J689" t="s">
        <v>94</v>
      </c>
    </row>
    <row r="690" spans="1:10" x14ac:dyDescent="0.3">
      <c r="A690" s="286">
        <v>630013</v>
      </c>
      <c r="B690" s="286">
        <v>42100</v>
      </c>
      <c r="E690" s="215">
        <v>1527</v>
      </c>
      <c r="F690" s="215">
        <v>1567</v>
      </c>
      <c r="G690" s="215">
        <v>1601</v>
      </c>
      <c r="H690" s="215">
        <v>1636</v>
      </c>
      <c r="I690" s="215">
        <v>1672</v>
      </c>
      <c r="J690" t="s">
        <v>94</v>
      </c>
    </row>
    <row r="691" spans="1:10" x14ac:dyDescent="0.3">
      <c r="A691" s="286">
        <v>630013</v>
      </c>
      <c r="B691" s="286">
        <v>42100</v>
      </c>
      <c r="E691" s="215">
        <v>873</v>
      </c>
      <c r="F691" s="215">
        <v>896</v>
      </c>
      <c r="G691" s="215">
        <v>916</v>
      </c>
      <c r="H691" s="215">
        <v>936</v>
      </c>
      <c r="I691" s="215">
        <v>957</v>
      </c>
      <c r="J691" t="s">
        <v>94</v>
      </c>
    </row>
    <row r="692" spans="1:10" x14ac:dyDescent="0.3">
      <c r="A692" s="286">
        <v>630013</v>
      </c>
      <c r="B692" s="286">
        <v>43511</v>
      </c>
      <c r="E692" s="215">
        <v>10353</v>
      </c>
      <c r="F692" s="215">
        <v>10560</v>
      </c>
      <c r="G692" s="215">
        <v>11046</v>
      </c>
      <c r="H692" s="215">
        <v>11554</v>
      </c>
      <c r="I692" s="215">
        <v>12085</v>
      </c>
      <c r="J692" t="s">
        <v>94</v>
      </c>
    </row>
    <row r="693" spans="1:10" x14ac:dyDescent="0.3">
      <c r="A693" s="286">
        <v>630013</v>
      </c>
      <c r="B693" s="286">
        <v>43511</v>
      </c>
      <c r="E693" s="215">
        <v>515</v>
      </c>
      <c r="F693" s="215">
        <v>525</v>
      </c>
      <c r="G693" s="215">
        <v>549</v>
      </c>
      <c r="H693" s="215">
        <v>574</v>
      </c>
      <c r="I693" s="215">
        <v>600</v>
      </c>
      <c r="J693" t="s">
        <v>94</v>
      </c>
    </row>
    <row r="694" spans="1:10" x14ac:dyDescent="0.3">
      <c r="A694" s="286">
        <v>630013</v>
      </c>
      <c r="B694" s="286">
        <v>43801</v>
      </c>
      <c r="E694" s="215">
        <v>18473</v>
      </c>
      <c r="F694" s="215">
        <v>18953</v>
      </c>
      <c r="G694" s="215">
        <v>19370</v>
      </c>
      <c r="H694" s="215">
        <v>19796</v>
      </c>
      <c r="I694" s="215">
        <v>20232</v>
      </c>
      <c r="J694" t="s">
        <v>94</v>
      </c>
    </row>
    <row r="695" spans="1:10" x14ac:dyDescent="0.3">
      <c r="A695" s="286">
        <v>630013</v>
      </c>
      <c r="B695" s="286">
        <v>43802</v>
      </c>
      <c r="E695" s="215">
        <v>21946</v>
      </c>
      <c r="F695" s="215">
        <v>22517</v>
      </c>
      <c r="G695" s="215">
        <v>23012</v>
      </c>
      <c r="H695" s="215">
        <v>23518</v>
      </c>
      <c r="I695" s="215">
        <v>24035</v>
      </c>
      <c r="J695" t="s">
        <v>94</v>
      </c>
    </row>
    <row r="696" spans="1:10" x14ac:dyDescent="0.3">
      <c r="A696" s="286">
        <v>630013</v>
      </c>
      <c r="B696" s="286">
        <v>43806</v>
      </c>
      <c r="E696" s="215">
        <v>14710</v>
      </c>
      <c r="F696" s="215">
        <v>15092</v>
      </c>
      <c r="G696" s="215">
        <v>15424</v>
      </c>
      <c r="H696" s="215">
        <v>15763</v>
      </c>
      <c r="I696" s="215">
        <v>16110</v>
      </c>
      <c r="J696" t="s">
        <v>94</v>
      </c>
    </row>
    <row r="697" spans="1:10" x14ac:dyDescent="0.3">
      <c r="A697" s="286">
        <v>630013</v>
      </c>
      <c r="B697" s="286">
        <v>43806</v>
      </c>
      <c r="E697" s="215">
        <v>158</v>
      </c>
      <c r="F697" s="215">
        <v>162</v>
      </c>
      <c r="G697" s="215">
        <v>166</v>
      </c>
      <c r="H697" s="215">
        <v>170</v>
      </c>
      <c r="I697" s="215">
        <v>174</v>
      </c>
      <c r="J697" t="s">
        <v>94</v>
      </c>
    </row>
    <row r="698" spans="1:10" x14ac:dyDescent="0.3">
      <c r="A698" s="286">
        <v>630013</v>
      </c>
      <c r="B698" s="286">
        <v>43812</v>
      </c>
      <c r="E698" s="215">
        <v>30308</v>
      </c>
      <c r="F698" s="215">
        <v>31097</v>
      </c>
      <c r="G698" s="215">
        <v>31781</v>
      </c>
      <c r="H698" s="215">
        <v>32480</v>
      </c>
      <c r="I698" s="215">
        <v>33194</v>
      </c>
      <c r="J698" t="s">
        <v>94</v>
      </c>
    </row>
    <row r="699" spans="1:10" x14ac:dyDescent="0.3">
      <c r="A699" s="286">
        <v>630013</v>
      </c>
      <c r="B699" s="286">
        <v>43817</v>
      </c>
      <c r="E699" s="215">
        <v>68601.54867199999</v>
      </c>
      <c r="F699" s="215">
        <v>70385.18893747199</v>
      </c>
      <c r="G699" s="215">
        <v>71933.663094096381</v>
      </c>
      <c r="H699" s="215">
        <v>73516.203682166495</v>
      </c>
      <c r="I699" s="215">
        <v>75133.560163174159</v>
      </c>
      <c r="J699" t="s">
        <v>94</v>
      </c>
    </row>
    <row r="700" spans="1:10" x14ac:dyDescent="0.3">
      <c r="A700" s="286">
        <v>630013</v>
      </c>
      <c r="B700" s="286">
        <v>43818</v>
      </c>
      <c r="E700" s="215">
        <v>607</v>
      </c>
      <c r="F700" s="215">
        <v>623</v>
      </c>
      <c r="G700" s="215">
        <v>637</v>
      </c>
      <c r="H700" s="215">
        <v>651</v>
      </c>
      <c r="I700" s="215">
        <v>665</v>
      </c>
      <c r="J700" t="s">
        <v>94</v>
      </c>
    </row>
    <row r="701" spans="1:10" x14ac:dyDescent="0.3">
      <c r="A701" s="286">
        <v>630013</v>
      </c>
      <c r="B701" s="286">
        <v>43818</v>
      </c>
      <c r="E701" s="215">
        <v>1798</v>
      </c>
      <c r="F701" s="215">
        <v>1845</v>
      </c>
      <c r="G701" s="215">
        <v>1886</v>
      </c>
      <c r="H701" s="215">
        <v>1927</v>
      </c>
      <c r="I701" s="215">
        <v>1969</v>
      </c>
      <c r="J701" t="s">
        <v>94</v>
      </c>
    </row>
    <row r="702" spans="1:10" x14ac:dyDescent="0.3">
      <c r="A702" s="286">
        <v>630013</v>
      </c>
      <c r="B702" s="286">
        <v>47201</v>
      </c>
      <c r="E702" s="215">
        <v>129593</v>
      </c>
      <c r="F702" s="215">
        <v>134388.65134499999</v>
      </c>
      <c r="G702" s="215">
        <v>139361.03144476499</v>
      </c>
      <c r="H702" s="215">
        <v>144517.38960822127</v>
      </c>
      <c r="I702" s="215">
        <v>149864.53302372544</v>
      </c>
      <c r="J702" t="s">
        <v>94</v>
      </c>
    </row>
    <row r="703" spans="1:10" x14ac:dyDescent="0.3">
      <c r="A703" s="286">
        <v>630015</v>
      </c>
      <c r="B703" s="286">
        <v>42100</v>
      </c>
      <c r="E703" s="215">
        <v>742</v>
      </c>
      <c r="F703" s="215">
        <v>761</v>
      </c>
      <c r="G703" s="215">
        <v>778</v>
      </c>
      <c r="H703" s="215">
        <v>795</v>
      </c>
      <c r="I703" s="215">
        <v>812</v>
      </c>
      <c r="J703" t="s">
        <v>94</v>
      </c>
    </row>
    <row r="704" spans="1:10" x14ac:dyDescent="0.3">
      <c r="A704" s="286">
        <v>630015</v>
      </c>
      <c r="B704" s="286">
        <v>42100</v>
      </c>
      <c r="E704" s="215">
        <v>185</v>
      </c>
      <c r="F704" s="215">
        <v>190</v>
      </c>
      <c r="G704" s="215">
        <v>194</v>
      </c>
      <c r="H704" s="215">
        <v>198</v>
      </c>
      <c r="I704" s="215">
        <v>202</v>
      </c>
      <c r="J704" t="s">
        <v>94</v>
      </c>
    </row>
    <row r="705" spans="1:10" x14ac:dyDescent="0.3">
      <c r="A705" s="286">
        <v>630015</v>
      </c>
      <c r="B705" s="286">
        <v>43511</v>
      </c>
      <c r="E705" s="215">
        <v>167</v>
      </c>
      <c r="F705" s="215">
        <v>170</v>
      </c>
      <c r="G705" s="215">
        <v>178</v>
      </c>
      <c r="H705" s="215">
        <v>186</v>
      </c>
      <c r="I705" s="215">
        <v>195</v>
      </c>
      <c r="J705" t="s">
        <v>94</v>
      </c>
    </row>
    <row r="706" spans="1:10" x14ac:dyDescent="0.3">
      <c r="A706" s="286">
        <v>630015</v>
      </c>
      <c r="B706" s="286">
        <v>43801</v>
      </c>
      <c r="E706" s="215">
        <v>6380</v>
      </c>
      <c r="F706" s="215">
        <v>6550</v>
      </c>
      <c r="G706" s="215">
        <v>6690</v>
      </c>
      <c r="H706" s="215">
        <v>6840</v>
      </c>
      <c r="I706" s="215">
        <v>6990</v>
      </c>
      <c r="J706" t="s">
        <v>94</v>
      </c>
    </row>
    <row r="707" spans="1:10" x14ac:dyDescent="0.3">
      <c r="A707" s="286">
        <v>630015</v>
      </c>
      <c r="B707" s="286">
        <v>43802</v>
      </c>
      <c r="E707" s="215">
        <v>1438</v>
      </c>
      <c r="F707" s="215">
        <v>1475</v>
      </c>
      <c r="G707" s="215">
        <v>1507</v>
      </c>
      <c r="H707" s="215">
        <v>1540</v>
      </c>
      <c r="I707" s="215">
        <v>1574</v>
      </c>
      <c r="J707" t="s">
        <v>94</v>
      </c>
    </row>
    <row r="708" spans="1:10" x14ac:dyDescent="0.3">
      <c r="A708" s="286">
        <v>630015</v>
      </c>
      <c r="B708" s="286">
        <v>43806</v>
      </c>
      <c r="E708" s="215">
        <v>864</v>
      </c>
      <c r="F708" s="215">
        <v>886</v>
      </c>
      <c r="G708" s="215">
        <v>905</v>
      </c>
      <c r="H708" s="215">
        <v>925</v>
      </c>
      <c r="I708" s="215">
        <v>945</v>
      </c>
      <c r="J708" t="s">
        <v>94</v>
      </c>
    </row>
    <row r="709" spans="1:10" x14ac:dyDescent="0.3">
      <c r="A709" s="286">
        <v>630015</v>
      </c>
      <c r="B709" s="286">
        <v>43812</v>
      </c>
      <c r="E709" s="215">
        <v>12035</v>
      </c>
      <c r="F709" s="215">
        <v>12348</v>
      </c>
      <c r="G709" s="215">
        <v>12620</v>
      </c>
      <c r="H709" s="215">
        <v>12898</v>
      </c>
      <c r="I709" s="215">
        <v>13182</v>
      </c>
      <c r="J709" t="s">
        <v>94</v>
      </c>
    </row>
    <row r="710" spans="1:10" x14ac:dyDescent="0.3">
      <c r="A710" s="286">
        <v>630015</v>
      </c>
      <c r="B710" s="286">
        <v>47201</v>
      </c>
      <c r="E710" s="215">
        <v>8061.75</v>
      </c>
      <c r="F710" s="215">
        <v>8359.9186059999975</v>
      </c>
      <c r="G710" s="215">
        <v>8669.2355944219962</v>
      </c>
      <c r="H710" s="215">
        <v>8989.9973114156091</v>
      </c>
      <c r="I710" s="215">
        <v>9322.6272119379864</v>
      </c>
      <c r="J710" t="s">
        <v>94</v>
      </c>
    </row>
    <row r="711" spans="1:10" x14ac:dyDescent="0.3">
      <c r="A711" s="286">
        <v>630016</v>
      </c>
      <c r="B711" s="286">
        <v>42100</v>
      </c>
      <c r="E711" s="215">
        <v>880</v>
      </c>
      <c r="F711" s="215">
        <v>903</v>
      </c>
      <c r="G711" s="215">
        <v>923</v>
      </c>
      <c r="H711" s="215">
        <v>943</v>
      </c>
      <c r="I711" s="215">
        <v>964</v>
      </c>
      <c r="J711" t="s">
        <v>94</v>
      </c>
    </row>
    <row r="712" spans="1:10" x14ac:dyDescent="0.3">
      <c r="A712" s="286">
        <v>630016</v>
      </c>
      <c r="B712" s="286">
        <v>42100</v>
      </c>
      <c r="E712" s="215">
        <v>192</v>
      </c>
      <c r="F712" s="215">
        <v>197</v>
      </c>
      <c r="G712" s="215">
        <v>201</v>
      </c>
      <c r="H712" s="215">
        <v>205</v>
      </c>
      <c r="I712" s="215">
        <v>210</v>
      </c>
      <c r="J712" t="s">
        <v>94</v>
      </c>
    </row>
    <row r="713" spans="1:10" x14ac:dyDescent="0.3">
      <c r="A713" s="286">
        <v>630016</v>
      </c>
      <c r="B713" s="286">
        <v>43511</v>
      </c>
      <c r="E713" s="215">
        <v>296</v>
      </c>
      <c r="F713" s="215">
        <v>302</v>
      </c>
      <c r="G713" s="215">
        <v>316</v>
      </c>
      <c r="H713" s="215">
        <v>331</v>
      </c>
      <c r="I713" s="215">
        <v>346</v>
      </c>
      <c r="J713" t="s">
        <v>94</v>
      </c>
    </row>
    <row r="714" spans="1:10" x14ac:dyDescent="0.3">
      <c r="A714" s="286">
        <v>630016</v>
      </c>
      <c r="B714" s="286">
        <v>43801</v>
      </c>
      <c r="E714" s="215">
        <v>6730</v>
      </c>
      <c r="F714" s="215">
        <v>6905</v>
      </c>
      <c r="G714" s="215">
        <v>7057</v>
      </c>
      <c r="H714" s="215">
        <v>7212</v>
      </c>
      <c r="I714" s="215">
        <v>7371</v>
      </c>
      <c r="J714" t="s">
        <v>94</v>
      </c>
    </row>
    <row r="715" spans="1:10" x14ac:dyDescent="0.3">
      <c r="A715" s="286">
        <v>630016</v>
      </c>
      <c r="B715" s="286">
        <v>43802</v>
      </c>
      <c r="E715" s="215">
        <v>2460</v>
      </c>
      <c r="F715" s="215">
        <v>2524</v>
      </c>
      <c r="G715" s="215">
        <v>2580</v>
      </c>
      <c r="H715" s="215">
        <v>2637</v>
      </c>
      <c r="I715" s="215">
        <v>2695</v>
      </c>
      <c r="J715" t="s">
        <v>94</v>
      </c>
    </row>
    <row r="716" spans="1:10" x14ac:dyDescent="0.3">
      <c r="A716" s="286">
        <v>630016</v>
      </c>
      <c r="B716" s="286">
        <v>43806</v>
      </c>
      <c r="E716" s="215">
        <v>973</v>
      </c>
      <c r="F716" s="215">
        <v>1000</v>
      </c>
      <c r="G716" s="215">
        <v>1026</v>
      </c>
      <c r="H716" s="215">
        <v>1049</v>
      </c>
      <c r="I716" s="215">
        <v>1072</v>
      </c>
      <c r="J716" t="s">
        <v>94</v>
      </c>
    </row>
    <row r="717" spans="1:10" x14ac:dyDescent="0.3">
      <c r="A717" s="286">
        <v>630016</v>
      </c>
      <c r="B717" s="286">
        <v>43812</v>
      </c>
      <c r="E717" s="215">
        <v>12547</v>
      </c>
      <c r="F717" s="215">
        <v>12873</v>
      </c>
      <c r="G717" s="215">
        <v>13157</v>
      </c>
      <c r="H717" s="215">
        <v>13447</v>
      </c>
      <c r="I717" s="215">
        <v>13743</v>
      </c>
      <c r="J717" t="s">
        <v>94</v>
      </c>
    </row>
    <row r="718" spans="1:10" x14ac:dyDescent="0.3">
      <c r="A718" s="286">
        <v>630016</v>
      </c>
      <c r="B718" s="286">
        <v>47201</v>
      </c>
      <c r="E718" s="215">
        <v>8061.75</v>
      </c>
      <c r="F718" s="215">
        <v>8359.9186059999975</v>
      </c>
      <c r="G718" s="215">
        <v>8669.2355944219962</v>
      </c>
      <c r="H718" s="215">
        <v>8989.9973114156091</v>
      </c>
      <c r="I718" s="215">
        <v>9322.6272119379864</v>
      </c>
      <c r="J718" t="s">
        <v>94</v>
      </c>
    </row>
    <row r="719" spans="1:10" x14ac:dyDescent="0.3">
      <c r="A719" s="286">
        <v>630017</v>
      </c>
      <c r="B719" s="286">
        <v>43511</v>
      </c>
      <c r="E719" s="215">
        <v>39</v>
      </c>
      <c r="F719" s="215">
        <v>40</v>
      </c>
      <c r="G719" s="215">
        <v>42</v>
      </c>
      <c r="H719" s="215">
        <v>44</v>
      </c>
      <c r="I719" s="215">
        <v>46</v>
      </c>
      <c r="J719" t="s">
        <v>94</v>
      </c>
    </row>
    <row r="720" spans="1:10" x14ac:dyDescent="0.3">
      <c r="A720" s="286">
        <v>630017</v>
      </c>
      <c r="B720" s="286">
        <v>43801</v>
      </c>
      <c r="E720" s="215">
        <v>6179</v>
      </c>
      <c r="F720" s="215">
        <v>6340</v>
      </c>
      <c r="G720" s="215">
        <v>6479</v>
      </c>
      <c r="H720" s="215">
        <v>6622</v>
      </c>
      <c r="I720" s="215">
        <v>6768</v>
      </c>
      <c r="J720" t="s">
        <v>94</v>
      </c>
    </row>
    <row r="721" spans="1:10" x14ac:dyDescent="0.3">
      <c r="A721" s="286">
        <v>630017</v>
      </c>
      <c r="B721" s="286">
        <v>43802</v>
      </c>
      <c r="E721" s="215">
        <v>2164</v>
      </c>
      <c r="F721" s="215">
        <v>2220</v>
      </c>
      <c r="G721" s="215">
        <v>2269</v>
      </c>
      <c r="H721" s="215">
        <v>2319</v>
      </c>
      <c r="I721" s="215">
        <v>2370</v>
      </c>
      <c r="J721" t="s">
        <v>94</v>
      </c>
    </row>
    <row r="722" spans="1:10" x14ac:dyDescent="0.3">
      <c r="A722" s="286">
        <v>630017</v>
      </c>
      <c r="B722" s="286">
        <v>43806</v>
      </c>
      <c r="E722" s="215">
        <v>859</v>
      </c>
      <c r="F722" s="215">
        <v>881</v>
      </c>
      <c r="G722" s="215">
        <v>900</v>
      </c>
      <c r="H722" s="215">
        <v>920</v>
      </c>
      <c r="I722" s="215">
        <v>940</v>
      </c>
      <c r="J722" t="s">
        <v>94</v>
      </c>
    </row>
    <row r="723" spans="1:10" x14ac:dyDescent="0.3">
      <c r="A723" s="286">
        <v>630017</v>
      </c>
      <c r="B723" s="286">
        <v>43812</v>
      </c>
      <c r="E723" s="215">
        <v>11466</v>
      </c>
      <c r="F723" s="215">
        <v>11765</v>
      </c>
      <c r="G723" s="215">
        <v>12025</v>
      </c>
      <c r="H723" s="215">
        <v>12290</v>
      </c>
      <c r="I723" s="215">
        <v>12561</v>
      </c>
      <c r="J723" t="s">
        <v>94</v>
      </c>
    </row>
    <row r="724" spans="1:10" x14ac:dyDescent="0.3">
      <c r="A724" s="286">
        <v>630017</v>
      </c>
      <c r="B724" s="286">
        <v>43812</v>
      </c>
      <c r="E724" s="215">
        <v>0</v>
      </c>
      <c r="F724" s="215">
        <v>0</v>
      </c>
      <c r="G724" s="215">
        <v>0</v>
      </c>
      <c r="H724" s="215">
        <v>1</v>
      </c>
      <c r="I724" s="215">
        <v>1</v>
      </c>
      <c r="J724" t="s">
        <v>94</v>
      </c>
    </row>
    <row r="725" spans="1:10" x14ac:dyDescent="0.3">
      <c r="A725" s="286">
        <v>630017</v>
      </c>
      <c r="B725" s="286">
        <v>47201</v>
      </c>
      <c r="E725" s="215">
        <v>8061.75</v>
      </c>
      <c r="F725" s="215">
        <v>8359.9186059999975</v>
      </c>
      <c r="G725" s="215">
        <v>8669.2355944219962</v>
      </c>
      <c r="H725" s="215">
        <v>8989.9973114156091</v>
      </c>
      <c r="I725" s="215">
        <v>9322.6272119379864</v>
      </c>
      <c r="J725" t="s">
        <v>94</v>
      </c>
    </row>
    <row r="726" spans="1:10" x14ac:dyDescent="0.3">
      <c r="A726" s="286">
        <v>630018</v>
      </c>
      <c r="B726" s="286">
        <v>42100</v>
      </c>
      <c r="E726" s="215">
        <v>1513</v>
      </c>
      <c r="F726" s="215">
        <v>1552</v>
      </c>
      <c r="G726" s="215">
        <v>1586</v>
      </c>
      <c r="H726" s="215">
        <v>1621</v>
      </c>
      <c r="I726" s="215">
        <v>1657</v>
      </c>
      <c r="J726" t="s">
        <v>94</v>
      </c>
    </row>
    <row r="727" spans="1:10" x14ac:dyDescent="0.3">
      <c r="A727" s="286">
        <v>630018</v>
      </c>
      <c r="B727" s="286">
        <v>42100</v>
      </c>
      <c r="E727" s="215">
        <v>192</v>
      </c>
      <c r="F727" s="215">
        <v>197</v>
      </c>
      <c r="G727" s="215">
        <v>201</v>
      </c>
      <c r="H727" s="215">
        <v>205</v>
      </c>
      <c r="I727" s="215">
        <v>210</v>
      </c>
      <c r="J727" t="s">
        <v>94</v>
      </c>
    </row>
    <row r="728" spans="1:10" x14ac:dyDescent="0.3">
      <c r="A728" s="286">
        <v>630018</v>
      </c>
      <c r="B728" s="286">
        <v>43511</v>
      </c>
      <c r="E728" s="215">
        <v>296</v>
      </c>
      <c r="F728" s="215">
        <v>302</v>
      </c>
      <c r="G728" s="215">
        <v>316</v>
      </c>
      <c r="H728" s="215">
        <v>331</v>
      </c>
      <c r="I728" s="215">
        <v>346</v>
      </c>
      <c r="J728" t="s">
        <v>94</v>
      </c>
    </row>
    <row r="729" spans="1:10" x14ac:dyDescent="0.3">
      <c r="A729" s="286">
        <v>630018</v>
      </c>
      <c r="B729" s="286">
        <v>43801</v>
      </c>
      <c r="E729" s="215">
        <v>3580</v>
      </c>
      <c r="F729" s="215">
        <v>3670</v>
      </c>
      <c r="G729" s="215">
        <v>3750</v>
      </c>
      <c r="H729" s="215">
        <v>3830</v>
      </c>
      <c r="I729" s="215">
        <v>3910</v>
      </c>
      <c r="J729" t="s">
        <v>94</v>
      </c>
    </row>
    <row r="730" spans="1:10" x14ac:dyDescent="0.3">
      <c r="A730" s="286">
        <v>630018</v>
      </c>
      <c r="B730" s="286">
        <v>43802</v>
      </c>
      <c r="E730" s="215">
        <v>2369</v>
      </c>
      <c r="F730" s="215">
        <v>2431</v>
      </c>
      <c r="G730" s="215">
        <v>2484</v>
      </c>
      <c r="H730" s="215">
        <v>2539</v>
      </c>
      <c r="I730" s="215">
        <v>2595</v>
      </c>
      <c r="J730" t="s">
        <v>94</v>
      </c>
    </row>
    <row r="731" spans="1:10" x14ac:dyDescent="0.3">
      <c r="A731" s="286">
        <v>630018</v>
      </c>
      <c r="B731" s="286">
        <v>43806</v>
      </c>
      <c r="E731" s="215">
        <v>1094</v>
      </c>
      <c r="F731" s="215">
        <v>1122</v>
      </c>
      <c r="G731" s="215">
        <v>1147</v>
      </c>
      <c r="H731" s="215">
        <v>1172</v>
      </c>
      <c r="I731" s="215">
        <v>1198</v>
      </c>
      <c r="J731" t="s">
        <v>94</v>
      </c>
    </row>
    <row r="732" spans="1:10" x14ac:dyDescent="0.3">
      <c r="A732" s="286">
        <v>630018</v>
      </c>
      <c r="B732" s="286">
        <v>43812</v>
      </c>
      <c r="E732" s="215">
        <v>14817</v>
      </c>
      <c r="F732" s="215">
        <v>15202</v>
      </c>
      <c r="G732" s="215">
        <v>15537</v>
      </c>
      <c r="H732" s="215">
        <v>15879</v>
      </c>
      <c r="I732" s="215">
        <v>16229</v>
      </c>
      <c r="J732" t="s">
        <v>94</v>
      </c>
    </row>
    <row r="733" spans="1:10" x14ac:dyDescent="0.3">
      <c r="A733" s="286">
        <v>630018</v>
      </c>
      <c r="B733" s="286">
        <v>47201</v>
      </c>
      <c r="E733" s="215">
        <v>8061.75</v>
      </c>
      <c r="F733" s="215">
        <v>8359.9186059999975</v>
      </c>
      <c r="G733" s="215">
        <v>8669.2355944219962</v>
      </c>
      <c r="H733" s="215">
        <v>8989.9973114156091</v>
      </c>
      <c r="I733" s="215">
        <v>9322.6272119379864</v>
      </c>
      <c r="J733" t="s">
        <v>94</v>
      </c>
    </row>
    <row r="734" spans="1:10" x14ac:dyDescent="0.3">
      <c r="A734" s="286">
        <v>630019</v>
      </c>
      <c r="B734" s="286">
        <v>43805</v>
      </c>
      <c r="E734" s="215">
        <v>25238</v>
      </c>
      <c r="F734" s="215">
        <v>25894</v>
      </c>
      <c r="G734" s="215">
        <v>26464</v>
      </c>
      <c r="H734" s="215">
        <v>27046</v>
      </c>
      <c r="I734" s="215">
        <v>27641</v>
      </c>
      <c r="J734" t="s">
        <v>94</v>
      </c>
    </row>
    <row r="735" spans="1:10" x14ac:dyDescent="0.3">
      <c r="A735" s="286">
        <v>630019</v>
      </c>
      <c r="B735" s="286">
        <v>43806</v>
      </c>
      <c r="E735" s="215">
        <v>34021</v>
      </c>
      <c r="F735" s="215">
        <v>34906</v>
      </c>
      <c r="G735" s="215">
        <v>35674</v>
      </c>
      <c r="H735" s="215">
        <v>36459</v>
      </c>
      <c r="I735" s="215">
        <v>37261</v>
      </c>
      <c r="J735" t="s">
        <v>94</v>
      </c>
    </row>
    <row r="736" spans="1:10" x14ac:dyDescent="0.3">
      <c r="A736" s="286">
        <v>630019</v>
      </c>
      <c r="B736" s="286">
        <v>43812</v>
      </c>
      <c r="E736" s="215">
        <v>58</v>
      </c>
      <c r="F736" s="215">
        <v>60</v>
      </c>
      <c r="G736" s="215">
        <v>62</v>
      </c>
      <c r="H736" s="215">
        <v>64</v>
      </c>
      <c r="I736" s="215">
        <v>66</v>
      </c>
      <c r="J736" t="s">
        <v>94</v>
      </c>
    </row>
    <row r="737" spans="1:10" x14ac:dyDescent="0.3">
      <c r="A737" s="286">
        <v>630026</v>
      </c>
      <c r="B737" s="286">
        <v>43812</v>
      </c>
      <c r="E737" s="215">
        <v>0</v>
      </c>
      <c r="F737" s="215">
        <v>0</v>
      </c>
      <c r="G737" s="215">
        <v>0</v>
      </c>
      <c r="H737" s="215">
        <v>15000</v>
      </c>
      <c r="I737" s="215">
        <v>30000</v>
      </c>
      <c r="J737" t="s">
        <v>94</v>
      </c>
    </row>
    <row r="738" spans="1:10" x14ac:dyDescent="0.3">
      <c r="A738" s="286">
        <v>630020</v>
      </c>
      <c r="B738" s="286">
        <v>42100</v>
      </c>
      <c r="E738" s="215">
        <v>3437</v>
      </c>
      <c r="F738" s="215">
        <v>3526</v>
      </c>
      <c r="G738" s="215">
        <v>3604</v>
      </c>
      <c r="H738" s="215">
        <v>3683</v>
      </c>
      <c r="I738" s="215">
        <v>3764</v>
      </c>
      <c r="J738" t="s">
        <v>94</v>
      </c>
    </row>
    <row r="739" spans="1:10" x14ac:dyDescent="0.3">
      <c r="A739" s="286">
        <v>630020</v>
      </c>
      <c r="B739" s="286">
        <v>42100</v>
      </c>
      <c r="E739" s="215">
        <v>2222</v>
      </c>
      <c r="F739" s="215">
        <v>2280</v>
      </c>
      <c r="G739" s="215">
        <v>2330</v>
      </c>
      <c r="H739" s="215">
        <v>2381</v>
      </c>
      <c r="I739" s="215">
        <v>2433</v>
      </c>
      <c r="J739" t="s">
        <v>94</v>
      </c>
    </row>
    <row r="740" spans="1:10" x14ac:dyDescent="0.3">
      <c r="A740" s="286">
        <v>630020</v>
      </c>
      <c r="B740" s="286">
        <v>43201</v>
      </c>
      <c r="E740" s="215">
        <v>575</v>
      </c>
      <c r="F740" s="215">
        <v>590</v>
      </c>
      <c r="G740" s="215">
        <v>603</v>
      </c>
      <c r="H740" s="215">
        <v>616</v>
      </c>
      <c r="I740" s="215">
        <v>630</v>
      </c>
      <c r="J740" t="s">
        <v>94</v>
      </c>
    </row>
    <row r="741" spans="1:10" x14ac:dyDescent="0.3">
      <c r="A741" s="286">
        <v>630020</v>
      </c>
      <c r="B741" s="286">
        <v>43511</v>
      </c>
      <c r="E741" s="215">
        <v>70821</v>
      </c>
      <c r="F741" s="215">
        <v>73013</v>
      </c>
      <c r="G741" s="215">
        <v>76407</v>
      </c>
      <c r="H741" s="215">
        <v>78598</v>
      </c>
      <c r="I741" s="215">
        <v>80889</v>
      </c>
      <c r="J741" t="s">
        <v>94</v>
      </c>
    </row>
    <row r="742" spans="1:10" x14ac:dyDescent="0.3">
      <c r="A742" s="286">
        <v>630020</v>
      </c>
      <c r="B742" s="286">
        <v>43511</v>
      </c>
      <c r="E742" s="215">
        <v>3651</v>
      </c>
      <c r="F742" s="215">
        <v>3746</v>
      </c>
      <c r="G742" s="215">
        <v>3828</v>
      </c>
      <c r="H742" s="215">
        <v>3912</v>
      </c>
      <c r="I742" s="215">
        <v>3998</v>
      </c>
      <c r="J742" t="s">
        <v>94</v>
      </c>
    </row>
    <row r="743" spans="1:10" x14ac:dyDescent="0.3">
      <c r="A743" s="286">
        <v>630020</v>
      </c>
      <c r="B743" s="286">
        <v>43801</v>
      </c>
      <c r="E743" s="215">
        <v>9787</v>
      </c>
      <c r="F743" s="215">
        <v>10041</v>
      </c>
      <c r="G743" s="215">
        <v>10262</v>
      </c>
      <c r="H743" s="215">
        <v>10488</v>
      </c>
      <c r="I743" s="215">
        <v>10719</v>
      </c>
      <c r="J743" t="s">
        <v>94</v>
      </c>
    </row>
    <row r="744" spans="1:10" x14ac:dyDescent="0.3">
      <c r="A744" s="286">
        <v>630020</v>
      </c>
      <c r="B744" s="286">
        <v>43802</v>
      </c>
      <c r="E744" s="215">
        <v>13280</v>
      </c>
      <c r="F744" s="215">
        <v>13625</v>
      </c>
      <c r="G744" s="215">
        <v>13925</v>
      </c>
      <c r="H744" s="215">
        <v>14231</v>
      </c>
      <c r="I744" s="215">
        <v>14544</v>
      </c>
      <c r="J744" t="s">
        <v>94</v>
      </c>
    </row>
    <row r="745" spans="1:10" x14ac:dyDescent="0.3">
      <c r="A745" s="286">
        <v>630020</v>
      </c>
      <c r="B745" s="286">
        <v>43806</v>
      </c>
      <c r="E745" s="215">
        <v>1693</v>
      </c>
      <c r="F745" s="215">
        <v>1737</v>
      </c>
      <c r="G745" s="215">
        <v>1775</v>
      </c>
      <c r="H745" s="215">
        <v>1814</v>
      </c>
      <c r="I745" s="215">
        <v>1854</v>
      </c>
      <c r="J745" t="s">
        <v>94</v>
      </c>
    </row>
    <row r="746" spans="1:10" x14ac:dyDescent="0.3">
      <c r="A746" s="286">
        <v>630020</v>
      </c>
      <c r="B746" s="286">
        <v>43812</v>
      </c>
      <c r="E746" s="215">
        <v>21574</v>
      </c>
      <c r="F746" s="215">
        <v>22155</v>
      </c>
      <c r="G746" s="215">
        <v>22796</v>
      </c>
      <c r="H746" s="215">
        <v>23452</v>
      </c>
      <c r="I746" s="215">
        <v>24121</v>
      </c>
      <c r="J746" t="s">
        <v>94</v>
      </c>
    </row>
    <row r="747" spans="1:10" x14ac:dyDescent="0.3">
      <c r="A747" s="286">
        <v>630020</v>
      </c>
      <c r="B747" s="286">
        <v>43817</v>
      </c>
      <c r="E747" s="215">
        <v>6871</v>
      </c>
      <c r="F747" s="215">
        <v>7029</v>
      </c>
      <c r="G747" s="215">
        <v>7029</v>
      </c>
      <c r="H747" s="215">
        <v>7030</v>
      </c>
      <c r="I747" s="215">
        <v>7030</v>
      </c>
      <c r="J747" t="s">
        <v>94</v>
      </c>
    </row>
    <row r="748" spans="1:10" x14ac:dyDescent="0.3">
      <c r="A748" s="286">
        <v>630020</v>
      </c>
      <c r="B748" s="286">
        <v>47201</v>
      </c>
      <c r="E748" s="215">
        <v>46933.692053375999</v>
      </c>
      <c r="F748" s="215">
        <v>78670.2386593509</v>
      </c>
      <c r="G748" s="215">
        <v>80471.037489746886</v>
      </c>
      <c r="H748" s="215">
        <v>82338.465876867514</v>
      </c>
      <c r="I748" s="215">
        <v>84274.989114311611</v>
      </c>
      <c r="J748" t="s">
        <v>94</v>
      </c>
    </row>
    <row r="749" spans="1:10" x14ac:dyDescent="0.3">
      <c r="A749" s="286">
        <v>630022</v>
      </c>
      <c r="B749" s="286">
        <v>42100</v>
      </c>
      <c r="E749" s="215">
        <v>2048</v>
      </c>
      <c r="F749" s="215">
        <v>2101</v>
      </c>
      <c r="G749" s="215">
        <v>2147</v>
      </c>
      <c r="H749" s="215">
        <v>2194</v>
      </c>
      <c r="I749" s="215">
        <v>2242</v>
      </c>
      <c r="J749" t="s">
        <v>94</v>
      </c>
    </row>
    <row r="750" spans="1:10" x14ac:dyDescent="0.3">
      <c r="A750" s="286">
        <v>630022</v>
      </c>
      <c r="B750" s="286">
        <v>43803</v>
      </c>
      <c r="E750" s="215">
        <v>4064</v>
      </c>
      <c r="F750" s="215">
        <v>4170</v>
      </c>
      <c r="G750" s="215">
        <v>4262</v>
      </c>
      <c r="H750" s="215">
        <v>4356</v>
      </c>
      <c r="I750" s="215">
        <v>4452</v>
      </c>
      <c r="J750" t="s">
        <v>94</v>
      </c>
    </row>
    <row r="751" spans="1:10" x14ac:dyDescent="0.3">
      <c r="A751" s="286">
        <v>630022</v>
      </c>
      <c r="B751" s="286">
        <v>43806</v>
      </c>
      <c r="E751" s="215">
        <v>4407</v>
      </c>
      <c r="F751" s="215">
        <v>4522</v>
      </c>
      <c r="G751" s="215">
        <v>4621</v>
      </c>
      <c r="H751" s="215">
        <v>4723</v>
      </c>
      <c r="I751" s="215">
        <v>4827</v>
      </c>
      <c r="J751" t="s">
        <v>94</v>
      </c>
    </row>
    <row r="752" spans="1:10" x14ac:dyDescent="0.3">
      <c r="A752" s="286">
        <v>630022</v>
      </c>
      <c r="B752" s="286">
        <v>43812</v>
      </c>
      <c r="E752" s="215">
        <v>6237</v>
      </c>
      <c r="F752" s="215">
        <v>6399</v>
      </c>
      <c r="G752" s="215">
        <v>6540</v>
      </c>
      <c r="H752" s="215">
        <v>6684</v>
      </c>
      <c r="I752" s="215">
        <v>6831</v>
      </c>
      <c r="J752" t="s">
        <v>94</v>
      </c>
    </row>
    <row r="753" spans="1:10" x14ac:dyDescent="0.3">
      <c r="A753" s="286">
        <v>630022</v>
      </c>
      <c r="B753" s="286">
        <v>47300</v>
      </c>
      <c r="E753" s="215">
        <v>0</v>
      </c>
      <c r="F753" s="215">
        <v>0</v>
      </c>
      <c r="G753" s="215">
        <v>0</v>
      </c>
      <c r="H753" s="215">
        <v>0</v>
      </c>
      <c r="I753" s="215">
        <v>0</v>
      </c>
      <c r="J753" t="s">
        <v>94</v>
      </c>
    </row>
    <row r="754" spans="1:10" x14ac:dyDescent="0.3">
      <c r="A754" s="286">
        <v>630023</v>
      </c>
      <c r="B754" s="286">
        <v>42100</v>
      </c>
      <c r="E754" s="215">
        <v>2415.6999999999998</v>
      </c>
      <c r="F754" s="215">
        <v>2483.27</v>
      </c>
      <c r="G754" s="215">
        <v>2552.87</v>
      </c>
      <c r="H754" s="215">
        <v>2624.21</v>
      </c>
      <c r="I754" s="215">
        <v>2697.58</v>
      </c>
      <c r="J754" t="s">
        <v>94</v>
      </c>
    </row>
    <row r="755" spans="1:10" x14ac:dyDescent="0.3">
      <c r="A755" s="286">
        <v>630023</v>
      </c>
      <c r="B755" s="286">
        <v>42100</v>
      </c>
      <c r="E755" s="215">
        <v>412.38</v>
      </c>
      <c r="F755" s="215">
        <v>423.97999999999996</v>
      </c>
      <c r="G755" s="215">
        <v>435.86999999999995</v>
      </c>
      <c r="H755" s="215">
        <v>448.04999999999995</v>
      </c>
      <c r="I755" s="215">
        <v>460.52</v>
      </c>
      <c r="J755" t="s">
        <v>94</v>
      </c>
    </row>
    <row r="756" spans="1:10" x14ac:dyDescent="0.3">
      <c r="A756" s="286">
        <v>630023</v>
      </c>
      <c r="B756" s="286">
        <v>42100</v>
      </c>
      <c r="E756" s="215">
        <v>55.099999999999994</v>
      </c>
      <c r="F756" s="215">
        <v>56.55</v>
      </c>
      <c r="G756" s="215">
        <v>57.999999999999993</v>
      </c>
      <c r="H756" s="215">
        <v>59.739999999999995</v>
      </c>
      <c r="I756" s="215">
        <v>61.48</v>
      </c>
      <c r="J756" t="s">
        <v>94</v>
      </c>
    </row>
    <row r="757" spans="1:10" x14ac:dyDescent="0.3">
      <c r="A757" s="286">
        <v>630023</v>
      </c>
      <c r="B757" s="286">
        <v>43511</v>
      </c>
      <c r="E757" s="215">
        <v>5823.49</v>
      </c>
      <c r="F757" s="215">
        <v>5975.74</v>
      </c>
      <c r="G757" s="215">
        <v>6106.24</v>
      </c>
      <c r="H757" s="215">
        <v>6239.6399999999994</v>
      </c>
      <c r="I757" s="215">
        <v>6376.4126999999999</v>
      </c>
      <c r="J757" t="s">
        <v>94</v>
      </c>
    </row>
    <row r="758" spans="1:10" x14ac:dyDescent="0.3">
      <c r="A758" s="286">
        <v>630023</v>
      </c>
      <c r="B758" s="286">
        <v>43801</v>
      </c>
      <c r="E758" s="215">
        <v>2094.67</v>
      </c>
      <c r="F758" s="215">
        <v>2153.25</v>
      </c>
      <c r="G758" s="215">
        <v>2213.5699999999997</v>
      </c>
      <c r="H758" s="215">
        <v>2275.6299999999997</v>
      </c>
      <c r="I758" s="215">
        <v>2339.4299999999998</v>
      </c>
      <c r="J758" t="s">
        <v>94</v>
      </c>
    </row>
    <row r="759" spans="1:10" x14ac:dyDescent="0.3">
      <c r="A759" s="286">
        <v>630023</v>
      </c>
      <c r="B759" s="286">
        <v>43802</v>
      </c>
      <c r="E759" s="215">
        <v>194.29999999999998</v>
      </c>
      <c r="F759" s="215">
        <v>199.80999999999997</v>
      </c>
      <c r="G759" s="215">
        <v>205.32</v>
      </c>
      <c r="H759" s="215">
        <v>211.11999999999998</v>
      </c>
      <c r="I759" s="215">
        <v>216.92</v>
      </c>
      <c r="J759" t="s">
        <v>94</v>
      </c>
    </row>
    <row r="760" spans="1:10" x14ac:dyDescent="0.3">
      <c r="A760" s="286">
        <v>630023</v>
      </c>
      <c r="B760" s="286">
        <v>43803</v>
      </c>
      <c r="E760" s="215">
        <v>107.88</v>
      </c>
      <c r="F760" s="215">
        <v>110.77999999999999</v>
      </c>
      <c r="G760" s="215">
        <v>113.97</v>
      </c>
      <c r="H760" s="215">
        <v>117.16</v>
      </c>
      <c r="I760" s="215">
        <v>120.35</v>
      </c>
      <c r="J760" t="s">
        <v>94</v>
      </c>
    </row>
    <row r="761" spans="1:10" x14ac:dyDescent="0.3">
      <c r="A761" s="286">
        <v>630023</v>
      </c>
      <c r="B761" s="286">
        <v>43806</v>
      </c>
      <c r="E761" s="215">
        <v>158.33999999999997</v>
      </c>
      <c r="F761" s="215">
        <v>162.69</v>
      </c>
      <c r="G761" s="215">
        <v>167.32999999999998</v>
      </c>
      <c r="H761" s="215">
        <v>171.97</v>
      </c>
      <c r="I761" s="215">
        <v>176.89999999999998</v>
      </c>
      <c r="J761" t="s">
        <v>94</v>
      </c>
    </row>
    <row r="762" spans="1:10" x14ac:dyDescent="0.3">
      <c r="A762" s="286">
        <v>630023</v>
      </c>
      <c r="B762" s="286">
        <v>43806</v>
      </c>
      <c r="E762" s="215">
        <v>117.16</v>
      </c>
      <c r="F762" s="215">
        <v>120.35</v>
      </c>
      <c r="G762" s="215">
        <v>123.83</v>
      </c>
      <c r="H762" s="215">
        <v>127.30999999999999</v>
      </c>
      <c r="I762" s="215">
        <v>130.79</v>
      </c>
      <c r="J762" t="s">
        <v>94</v>
      </c>
    </row>
    <row r="763" spans="1:10" x14ac:dyDescent="0.3">
      <c r="A763" s="286">
        <v>630023</v>
      </c>
      <c r="B763" s="286">
        <v>43806</v>
      </c>
      <c r="E763" s="215">
        <v>1051.54</v>
      </c>
      <c r="F763" s="215">
        <v>1081.1199999999999</v>
      </c>
      <c r="G763" s="215">
        <v>1111.28</v>
      </c>
      <c r="H763" s="215">
        <v>1142.31</v>
      </c>
      <c r="I763" s="215">
        <v>1174.2099999999998</v>
      </c>
      <c r="J763" t="s">
        <v>94</v>
      </c>
    </row>
    <row r="764" spans="1:10" x14ac:dyDescent="0.3">
      <c r="A764" s="286">
        <v>630023</v>
      </c>
      <c r="B764" s="286">
        <v>43812</v>
      </c>
      <c r="E764" s="215">
        <v>4241.83</v>
      </c>
      <c r="F764" s="215">
        <v>4352.03</v>
      </c>
      <c r="G764" s="215">
        <v>4447.7299999999996</v>
      </c>
      <c r="H764" s="215">
        <v>4545.46</v>
      </c>
      <c r="I764" s="215">
        <v>4645.5099999999993</v>
      </c>
      <c r="J764" t="s">
        <v>94</v>
      </c>
    </row>
    <row r="765" spans="1:10" x14ac:dyDescent="0.3">
      <c r="A765" s="286">
        <v>630023</v>
      </c>
      <c r="B765" s="286">
        <v>43814</v>
      </c>
      <c r="E765" s="215">
        <v>0</v>
      </c>
      <c r="F765" s="215">
        <v>0</v>
      </c>
      <c r="G765" s="215">
        <v>0</v>
      </c>
      <c r="H765" s="215">
        <v>0</v>
      </c>
      <c r="I765" s="215">
        <v>0</v>
      </c>
      <c r="J765" t="s">
        <v>94</v>
      </c>
    </row>
    <row r="766" spans="1:10" x14ac:dyDescent="0.3">
      <c r="A766" s="286">
        <v>630023</v>
      </c>
      <c r="B766" s="286">
        <v>43817</v>
      </c>
      <c r="E766" s="215">
        <v>7356.7199999999993</v>
      </c>
      <c r="F766" s="215">
        <v>7548.12</v>
      </c>
      <c r="G766" s="215">
        <v>7714.2899999999991</v>
      </c>
      <c r="H766" s="215">
        <v>7883.94</v>
      </c>
      <c r="I766" s="215">
        <v>8057.36</v>
      </c>
      <c r="J766" t="s">
        <v>94</v>
      </c>
    </row>
    <row r="767" spans="1:10" x14ac:dyDescent="0.3">
      <c r="A767" s="286">
        <v>630023</v>
      </c>
      <c r="B767" s="286">
        <v>47201</v>
      </c>
      <c r="E767" s="215">
        <v>4965.38</v>
      </c>
      <c r="F767" s="215">
        <v>6083.6614181433597</v>
      </c>
      <c r="G767" s="215">
        <v>6387.844489050528</v>
      </c>
      <c r="H767" s="215">
        <v>6707.2367135030545</v>
      </c>
      <c r="I767" s="215">
        <v>7042.5985491782076</v>
      </c>
      <c r="J767" t="s">
        <v>94</v>
      </c>
    </row>
    <row r="768" spans="1:10" x14ac:dyDescent="0.3">
      <c r="A768" s="286">
        <v>630023</v>
      </c>
      <c r="B768" s="286">
        <v>47300</v>
      </c>
      <c r="E768" s="215">
        <v>9152.1099999999988</v>
      </c>
      <c r="F768" s="215">
        <v>9152.1099999999988</v>
      </c>
      <c r="G768" s="215">
        <v>9152.1099999999988</v>
      </c>
      <c r="H768" s="215">
        <v>9152.1099999999988</v>
      </c>
      <c r="I768" s="215">
        <v>9152.1099999999988</v>
      </c>
      <c r="J768" t="s">
        <v>94</v>
      </c>
    </row>
    <row r="769" spans="1:10" x14ac:dyDescent="0.3">
      <c r="A769" s="286">
        <v>630023</v>
      </c>
      <c r="B769" s="286">
        <v>43803</v>
      </c>
      <c r="E769" s="215">
        <v>39.15</v>
      </c>
      <c r="F769" s="215">
        <v>40.309999999999995</v>
      </c>
      <c r="G769" s="215">
        <v>41.47</v>
      </c>
      <c r="H769" s="215">
        <v>42.629999999999995</v>
      </c>
      <c r="I769" s="215">
        <v>43.79</v>
      </c>
      <c r="J769" t="s">
        <v>94</v>
      </c>
    </row>
    <row r="770" spans="1:10" x14ac:dyDescent="0.3">
      <c r="A770" s="286">
        <v>630023</v>
      </c>
      <c r="B770" s="286">
        <v>43812</v>
      </c>
      <c r="E770" s="215">
        <v>5487.67</v>
      </c>
      <c r="F770" s="215">
        <v>5630.3499999999995</v>
      </c>
      <c r="G770" s="215">
        <v>5754.1799999999994</v>
      </c>
      <c r="H770" s="215">
        <v>5880.62</v>
      </c>
      <c r="I770" s="215">
        <v>6009.96</v>
      </c>
      <c r="J770" t="s">
        <v>94</v>
      </c>
    </row>
    <row r="771" spans="1:10" x14ac:dyDescent="0.3">
      <c r="A771" s="286">
        <v>630023</v>
      </c>
      <c r="B771" s="286">
        <v>43818</v>
      </c>
      <c r="E771" s="215">
        <v>2404.1</v>
      </c>
      <c r="F771" s="215">
        <v>2466.4499999999998</v>
      </c>
      <c r="G771" s="215">
        <v>2520.6799999999998</v>
      </c>
      <c r="H771" s="215">
        <v>2576.3599999999997</v>
      </c>
      <c r="I771" s="215">
        <v>2633.2</v>
      </c>
      <c r="J771" t="s">
        <v>94</v>
      </c>
    </row>
    <row r="772" spans="1:10" x14ac:dyDescent="0.3">
      <c r="A772" s="286">
        <v>630023</v>
      </c>
      <c r="B772" s="286">
        <v>42100</v>
      </c>
      <c r="E772" s="215">
        <v>3918</v>
      </c>
      <c r="F772" s="215">
        <v>4019.6899999999996</v>
      </c>
      <c r="G772" s="215">
        <v>4108.1399999999994</v>
      </c>
      <c r="H772" s="215">
        <v>4198.62</v>
      </c>
      <c r="I772" s="215">
        <v>4290.84</v>
      </c>
      <c r="J772" t="s">
        <v>94</v>
      </c>
    </row>
    <row r="773" spans="1:10" x14ac:dyDescent="0.3">
      <c r="A773" s="286">
        <v>630023</v>
      </c>
      <c r="B773" s="286">
        <v>43803</v>
      </c>
      <c r="E773" s="215">
        <v>4636</v>
      </c>
      <c r="F773" s="215">
        <v>4756.58</v>
      </c>
      <c r="G773" s="215">
        <v>4861.2699999999995</v>
      </c>
      <c r="H773" s="215">
        <v>4967.99</v>
      </c>
      <c r="I773" s="215">
        <v>5077.6099999999997</v>
      </c>
      <c r="J773" t="s">
        <v>94</v>
      </c>
    </row>
    <row r="774" spans="1:10" x14ac:dyDescent="0.3">
      <c r="A774" s="286">
        <v>630023</v>
      </c>
      <c r="B774" s="286">
        <v>43806</v>
      </c>
      <c r="E774" s="215">
        <v>6746</v>
      </c>
      <c r="F774" s="215">
        <v>6921.4299999999994</v>
      </c>
      <c r="G774" s="215">
        <v>7073.6799999999994</v>
      </c>
      <c r="H774" s="215">
        <v>7229.41</v>
      </c>
      <c r="I774" s="215">
        <v>7388.33</v>
      </c>
      <c r="J774" t="s">
        <v>94</v>
      </c>
    </row>
    <row r="775" spans="1:10" x14ac:dyDescent="0.3">
      <c r="A775" s="286">
        <v>630023</v>
      </c>
      <c r="B775" s="286">
        <v>43812</v>
      </c>
      <c r="E775" s="215">
        <v>1975</v>
      </c>
      <c r="F775" s="215">
        <v>2026.5199999999998</v>
      </c>
      <c r="G775" s="215">
        <v>2070.89</v>
      </c>
      <c r="H775" s="215">
        <v>2116.71</v>
      </c>
      <c r="I775" s="215">
        <v>2163.1099999999997</v>
      </c>
      <c r="J775" t="s">
        <v>94</v>
      </c>
    </row>
    <row r="776" spans="1:10" x14ac:dyDescent="0.3">
      <c r="A776" s="286">
        <v>630023</v>
      </c>
      <c r="B776" s="286">
        <v>47300</v>
      </c>
      <c r="E776" s="215">
        <v>15834</v>
      </c>
      <c r="F776" s="215">
        <v>13599.55</v>
      </c>
      <c r="G776" s="215">
        <v>15985.089999999998</v>
      </c>
      <c r="H776" s="215">
        <v>15985.089999999998</v>
      </c>
      <c r="I776" s="215">
        <v>15985.089999999998</v>
      </c>
      <c r="J776" t="s">
        <v>94</v>
      </c>
    </row>
    <row r="777" spans="1:10" x14ac:dyDescent="0.3">
      <c r="A777" s="286">
        <v>630013</v>
      </c>
      <c r="B777" s="286">
        <v>83600</v>
      </c>
      <c r="E777" s="215">
        <v>-324517.5</v>
      </c>
      <c r="F777" s="215">
        <v>-333636.75</v>
      </c>
      <c r="G777" s="215">
        <v>-290898.75</v>
      </c>
      <c r="H777" s="215">
        <v>-295904.75</v>
      </c>
      <c r="I777" s="215">
        <v>-301045.75</v>
      </c>
      <c r="J777" t="s">
        <v>94</v>
      </c>
    </row>
    <row r="778" spans="1:10" x14ac:dyDescent="0.3">
      <c r="A778" s="286">
        <v>630015</v>
      </c>
      <c r="B778" s="286">
        <v>83600</v>
      </c>
      <c r="E778" s="215">
        <v>-19300</v>
      </c>
      <c r="F778" s="215">
        <v>-19810</v>
      </c>
      <c r="G778" s="215">
        <v>-20330</v>
      </c>
      <c r="H778" s="215">
        <v>-20330</v>
      </c>
      <c r="I778" s="215">
        <v>-20330</v>
      </c>
      <c r="J778" t="s">
        <v>94</v>
      </c>
    </row>
    <row r="779" spans="1:10" x14ac:dyDescent="0.3">
      <c r="A779" s="286">
        <v>630016</v>
      </c>
      <c r="B779" s="286">
        <v>83600</v>
      </c>
      <c r="E779" s="215">
        <v>-15580</v>
      </c>
      <c r="F779" s="215">
        <v>-15990</v>
      </c>
      <c r="G779" s="215">
        <v>-16420</v>
      </c>
      <c r="H779" s="215">
        <v>-16420</v>
      </c>
      <c r="I779" s="215">
        <v>-16420</v>
      </c>
      <c r="J779" t="s">
        <v>94</v>
      </c>
    </row>
    <row r="780" spans="1:10" x14ac:dyDescent="0.3">
      <c r="A780" s="286">
        <v>630017</v>
      </c>
      <c r="B780" s="286">
        <v>83600</v>
      </c>
      <c r="E780" s="215">
        <v>-12160</v>
      </c>
      <c r="F780" s="215">
        <v>-12500</v>
      </c>
      <c r="G780" s="215">
        <v>-12850</v>
      </c>
      <c r="H780" s="215">
        <v>-12850</v>
      </c>
      <c r="I780" s="215">
        <v>-12850</v>
      </c>
      <c r="J780" t="s">
        <v>94</v>
      </c>
    </row>
    <row r="781" spans="1:10" x14ac:dyDescent="0.3">
      <c r="A781" s="286">
        <v>630018</v>
      </c>
      <c r="B781" s="286">
        <v>83600</v>
      </c>
      <c r="E781" s="215">
        <v>-29270</v>
      </c>
      <c r="F781" s="215">
        <v>-30060</v>
      </c>
      <c r="G781" s="215">
        <v>-30870</v>
      </c>
      <c r="H781" s="215">
        <v>-30870</v>
      </c>
      <c r="I781" s="215">
        <v>-30870</v>
      </c>
      <c r="J781" t="s">
        <v>94</v>
      </c>
    </row>
    <row r="782" spans="1:10" x14ac:dyDescent="0.3">
      <c r="A782" s="286">
        <v>630019</v>
      </c>
      <c r="B782" s="286">
        <v>83600</v>
      </c>
      <c r="E782" s="215">
        <v>-18890</v>
      </c>
      <c r="F782" s="215">
        <v>-19370</v>
      </c>
      <c r="G782" s="215">
        <v>-19880</v>
      </c>
      <c r="H782" s="215">
        <v>-19880</v>
      </c>
      <c r="I782" s="215">
        <v>-19880</v>
      </c>
      <c r="J782" t="s">
        <v>94</v>
      </c>
    </row>
    <row r="783" spans="1:10" x14ac:dyDescent="0.3">
      <c r="A783" s="286">
        <v>630020</v>
      </c>
      <c r="B783" s="286">
        <v>83600</v>
      </c>
      <c r="E783" s="215">
        <v>-3287</v>
      </c>
      <c r="F783" s="215">
        <v>-3373</v>
      </c>
      <c r="G783" s="215">
        <v>-3447</v>
      </c>
      <c r="H783" s="215">
        <v>-3523</v>
      </c>
      <c r="I783" s="215">
        <v>-3600</v>
      </c>
      <c r="J783" t="s">
        <v>94</v>
      </c>
    </row>
    <row r="784" spans="1:10" x14ac:dyDescent="0.3">
      <c r="A784" s="286">
        <v>630020</v>
      </c>
      <c r="B784" s="286">
        <v>83800</v>
      </c>
      <c r="E784" s="215">
        <v>-144348</v>
      </c>
      <c r="F784" s="215">
        <v>-160510</v>
      </c>
      <c r="G784" s="215">
        <v>-161810</v>
      </c>
      <c r="H784" s="215">
        <v>-161809</v>
      </c>
      <c r="I784" s="215">
        <v>-161809</v>
      </c>
      <c r="J784" t="s">
        <v>94</v>
      </c>
    </row>
    <row r="785" spans="1:10" x14ac:dyDescent="0.3">
      <c r="A785" s="286">
        <v>630024</v>
      </c>
      <c r="B785" s="286">
        <v>84310</v>
      </c>
      <c r="E785" s="215">
        <v>-100000</v>
      </c>
      <c r="F785" s="215">
        <v>-100000</v>
      </c>
      <c r="G785" s="215">
        <v>-100000</v>
      </c>
      <c r="H785" s="215">
        <v>-99999</v>
      </c>
      <c r="I785" s="215">
        <v>-99999</v>
      </c>
      <c r="J785" t="s">
        <v>94</v>
      </c>
    </row>
    <row r="786" spans="1:10" x14ac:dyDescent="0.3">
      <c r="A786" s="286">
        <v>630901</v>
      </c>
      <c r="B786" s="286">
        <v>41100</v>
      </c>
      <c r="E786" s="215">
        <v>0</v>
      </c>
      <c r="F786" s="215">
        <v>0</v>
      </c>
      <c r="G786" s="215">
        <v>0</v>
      </c>
      <c r="H786" s="215">
        <v>0</v>
      </c>
      <c r="I786" s="215">
        <v>0</v>
      </c>
      <c r="J786" t="s">
        <v>94</v>
      </c>
    </row>
    <row r="787" spans="1:10" x14ac:dyDescent="0.3">
      <c r="A787" s="286">
        <v>630901</v>
      </c>
      <c r="B787" s="286">
        <v>41100</v>
      </c>
      <c r="E787" s="215">
        <v>684137.43200000003</v>
      </c>
      <c r="F787" s="215">
        <v>675750.29</v>
      </c>
      <c r="G787" s="215">
        <v>706835</v>
      </c>
      <c r="H787" s="215">
        <v>739348</v>
      </c>
      <c r="I787" s="215">
        <v>773356</v>
      </c>
      <c r="J787" t="s">
        <v>94</v>
      </c>
    </row>
    <row r="788" spans="1:10" x14ac:dyDescent="0.3">
      <c r="A788" s="286">
        <v>630901</v>
      </c>
      <c r="B788" s="286">
        <v>47300</v>
      </c>
      <c r="E788" s="215">
        <v>785327</v>
      </c>
      <c r="F788" s="215">
        <v>777187</v>
      </c>
      <c r="G788" s="215">
        <v>808687</v>
      </c>
      <c r="H788" s="215">
        <v>701859</v>
      </c>
      <c r="I788" s="215">
        <v>773169</v>
      </c>
      <c r="J788" t="s">
        <v>94</v>
      </c>
    </row>
    <row r="789" spans="1:10" x14ac:dyDescent="0.3">
      <c r="A789" s="286">
        <v>630901</v>
      </c>
      <c r="B789" s="286">
        <v>41100</v>
      </c>
      <c r="E789" s="215">
        <v>7334.3724000000002</v>
      </c>
      <c r="F789" s="215">
        <v>7642.56</v>
      </c>
      <c r="G789" s="215">
        <v>7963.66</v>
      </c>
      <c r="H789" s="215">
        <v>8298.06</v>
      </c>
      <c r="I789" s="215">
        <v>8298.06</v>
      </c>
      <c r="J789" t="s">
        <v>94</v>
      </c>
    </row>
    <row r="790" spans="1:10" x14ac:dyDescent="0.3">
      <c r="A790" s="286">
        <v>631001</v>
      </c>
      <c r="B790" s="286">
        <v>44380</v>
      </c>
      <c r="E790" s="215">
        <v>64926</v>
      </c>
      <c r="F790" s="215">
        <v>66225</v>
      </c>
      <c r="G790" s="215">
        <v>69271</v>
      </c>
      <c r="H790" s="215">
        <v>72458</v>
      </c>
      <c r="I790" s="215">
        <v>75791</v>
      </c>
      <c r="J790" t="s">
        <v>95</v>
      </c>
    </row>
    <row r="791" spans="1:10" x14ac:dyDescent="0.3">
      <c r="A791" s="286">
        <v>631002</v>
      </c>
      <c r="B791" s="286">
        <v>44380</v>
      </c>
      <c r="E791" s="215">
        <v>243926.61630400002</v>
      </c>
      <c r="F791" s="215">
        <v>223527.91232790402</v>
      </c>
      <c r="G791" s="215">
        <v>238019.04839911789</v>
      </c>
      <c r="H791" s="215">
        <v>253229.40346389846</v>
      </c>
      <c r="I791" s="215">
        <v>269192.92634010426</v>
      </c>
      <c r="J791" t="s">
        <v>95</v>
      </c>
    </row>
    <row r="792" spans="1:10" x14ac:dyDescent="0.3">
      <c r="A792" s="286">
        <v>631004</v>
      </c>
      <c r="B792" s="286">
        <v>43806</v>
      </c>
      <c r="E792" s="215">
        <v>580</v>
      </c>
      <c r="F792" s="215">
        <v>595</v>
      </c>
      <c r="G792" s="215">
        <v>608</v>
      </c>
      <c r="H792" s="215">
        <v>621</v>
      </c>
      <c r="I792" s="215">
        <v>635</v>
      </c>
      <c r="J792" t="s">
        <v>95</v>
      </c>
    </row>
    <row r="793" spans="1:10" x14ac:dyDescent="0.3">
      <c r="A793" s="286">
        <v>631004</v>
      </c>
      <c r="B793" s="286">
        <v>43812</v>
      </c>
      <c r="E793" s="215">
        <v>0</v>
      </c>
      <c r="F793" s="215">
        <v>0</v>
      </c>
      <c r="G793" s="215">
        <v>0</v>
      </c>
      <c r="H793" s="215">
        <v>0</v>
      </c>
      <c r="I793" s="215">
        <v>0</v>
      </c>
      <c r="J793" t="s">
        <v>95</v>
      </c>
    </row>
    <row r="794" spans="1:10" x14ac:dyDescent="0.3">
      <c r="A794" s="286">
        <v>631005</v>
      </c>
      <c r="B794" s="286">
        <v>43812</v>
      </c>
      <c r="E794" s="215">
        <v>12260</v>
      </c>
      <c r="F794" s="215">
        <v>12580</v>
      </c>
      <c r="G794" s="215">
        <v>12860</v>
      </c>
      <c r="H794" s="215">
        <v>13140</v>
      </c>
      <c r="I794" s="215">
        <v>13430</v>
      </c>
      <c r="J794" t="s">
        <v>95</v>
      </c>
    </row>
    <row r="795" spans="1:10" x14ac:dyDescent="0.3">
      <c r="A795" s="286">
        <v>631006</v>
      </c>
      <c r="B795" s="286">
        <v>44380</v>
      </c>
      <c r="E795" s="215">
        <v>144729</v>
      </c>
      <c r="F795" s="215">
        <v>160896</v>
      </c>
      <c r="G795" s="215">
        <v>164434</v>
      </c>
      <c r="H795" s="215">
        <v>168053</v>
      </c>
      <c r="I795" s="215">
        <v>171747</v>
      </c>
      <c r="J795" t="s">
        <v>95</v>
      </c>
    </row>
    <row r="796" spans="1:10" x14ac:dyDescent="0.3">
      <c r="A796" s="286">
        <v>631007</v>
      </c>
      <c r="B796" s="286">
        <v>44380</v>
      </c>
      <c r="E796" s="215">
        <v>20579</v>
      </c>
      <c r="F796" s="215">
        <v>21114</v>
      </c>
      <c r="G796" s="215">
        <v>21579</v>
      </c>
      <c r="H796" s="215">
        <v>22054</v>
      </c>
      <c r="I796" s="215">
        <v>22539</v>
      </c>
      <c r="J796" t="s">
        <v>95</v>
      </c>
    </row>
    <row r="797" spans="1:10" x14ac:dyDescent="0.3">
      <c r="A797" s="286">
        <v>631009</v>
      </c>
      <c r="B797" s="286">
        <v>42100</v>
      </c>
      <c r="E797" s="215">
        <v>1804</v>
      </c>
      <c r="F797" s="215">
        <v>1851</v>
      </c>
      <c r="G797" s="215">
        <v>1892</v>
      </c>
      <c r="H797" s="215">
        <v>1934</v>
      </c>
      <c r="I797" s="215">
        <v>1977</v>
      </c>
      <c r="J797" t="s">
        <v>95</v>
      </c>
    </row>
    <row r="798" spans="1:10" x14ac:dyDescent="0.3">
      <c r="A798">
        <v>631010</v>
      </c>
      <c r="B798" s="286">
        <v>43812</v>
      </c>
      <c r="E798" s="215">
        <v>32150</v>
      </c>
      <c r="F798" s="215">
        <v>34680</v>
      </c>
      <c r="G798" s="215">
        <v>36870</v>
      </c>
      <c r="H798" s="215">
        <v>39110</v>
      </c>
      <c r="I798" s="215">
        <v>41400</v>
      </c>
      <c r="J798" t="s">
        <v>95</v>
      </c>
    </row>
    <row r="799" spans="1:10" x14ac:dyDescent="0.3">
      <c r="A799">
        <v>631011</v>
      </c>
      <c r="B799" s="286">
        <v>43812</v>
      </c>
      <c r="E799" s="215">
        <v>58410</v>
      </c>
      <c r="F799" s="215">
        <v>59930</v>
      </c>
      <c r="G799" s="215">
        <v>61250</v>
      </c>
      <c r="H799" s="215">
        <v>62600</v>
      </c>
      <c r="I799" s="215">
        <v>63980</v>
      </c>
      <c r="J799" t="s">
        <v>95</v>
      </c>
    </row>
    <row r="800" spans="1:10" x14ac:dyDescent="0.3">
      <c r="A800">
        <v>631013</v>
      </c>
      <c r="B800" s="286">
        <v>43812</v>
      </c>
      <c r="E800" s="215">
        <v>30000</v>
      </c>
      <c r="F800" s="215">
        <v>30000</v>
      </c>
      <c r="G800" s="215">
        <v>30000</v>
      </c>
      <c r="H800" s="215">
        <v>30000</v>
      </c>
      <c r="I800" s="215">
        <v>30000</v>
      </c>
      <c r="J800" t="s">
        <v>95</v>
      </c>
    </row>
    <row r="801" spans="1:10" x14ac:dyDescent="0.3">
      <c r="A801" s="286">
        <v>631901</v>
      </c>
      <c r="B801" s="286">
        <v>41100</v>
      </c>
      <c r="E801" s="215">
        <v>231738.82</v>
      </c>
      <c r="F801" s="215">
        <v>197752.58000000002</v>
      </c>
      <c r="G801" s="215">
        <v>206849</v>
      </c>
      <c r="H801" s="215">
        <v>216364</v>
      </c>
      <c r="I801" s="215">
        <v>226317</v>
      </c>
      <c r="J801" t="s">
        <v>95</v>
      </c>
    </row>
    <row r="802" spans="1:10" x14ac:dyDescent="0.3">
      <c r="A802" s="286">
        <v>631013</v>
      </c>
      <c r="B802" s="286">
        <v>84310</v>
      </c>
      <c r="E802" s="215">
        <v>0</v>
      </c>
      <c r="F802" s="215">
        <v>0</v>
      </c>
      <c r="G802" s="215">
        <v>-16217.2</v>
      </c>
      <c r="H802" s="215">
        <v>-16963.2</v>
      </c>
      <c r="I802" s="215">
        <v>-17743.600000000002</v>
      </c>
      <c r="J802" t="s">
        <v>95</v>
      </c>
    </row>
    <row r="803" spans="1:10" x14ac:dyDescent="0.3">
      <c r="A803" s="286">
        <v>631009</v>
      </c>
      <c r="B803" s="286">
        <v>83600</v>
      </c>
      <c r="E803" s="215">
        <v>-500</v>
      </c>
      <c r="F803" s="215">
        <v>-531</v>
      </c>
      <c r="G803" s="215">
        <v>-543</v>
      </c>
      <c r="H803" s="215">
        <v>-555</v>
      </c>
      <c r="I803" s="215">
        <v>-567</v>
      </c>
      <c r="J803" t="s">
        <v>95</v>
      </c>
    </row>
    <row r="804" spans="1:10" x14ac:dyDescent="0.3">
      <c r="A804" s="286">
        <v>632001</v>
      </c>
      <c r="B804" s="286">
        <v>44330</v>
      </c>
      <c r="E804" s="215">
        <v>129097</v>
      </c>
      <c r="F804" s="215">
        <v>134868</v>
      </c>
      <c r="G804" s="215">
        <v>141072</v>
      </c>
      <c r="H804" s="215">
        <v>147562</v>
      </c>
      <c r="I804" s="215">
        <v>154350</v>
      </c>
      <c r="J804" t="s">
        <v>96</v>
      </c>
    </row>
    <row r="805" spans="1:10" x14ac:dyDescent="0.3">
      <c r="A805" s="286">
        <v>633001</v>
      </c>
      <c r="B805" s="286">
        <v>43812</v>
      </c>
      <c r="E805" s="215">
        <v>12048</v>
      </c>
      <c r="F805" s="215">
        <v>16328</v>
      </c>
      <c r="G805" s="215">
        <v>16687</v>
      </c>
      <c r="H805" s="215">
        <v>17054</v>
      </c>
      <c r="I805" s="215">
        <v>17429</v>
      </c>
      <c r="J805" t="s">
        <v>97</v>
      </c>
    </row>
    <row r="806" spans="1:10" x14ac:dyDescent="0.3">
      <c r="A806" s="286">
        <v>633001</v>
      </c>
      <c r="B806" s="286">
        <v>44380</v>
      </c>
      <c r="E806" s="215">
        <v>28710.588</v>
      </c>
      <c r="F806" s="215">
        <v>25491</v>
      </c>
      <c r="G806" s="215">
        <v>26052</v>
      </c>
      <c r="H806" s="215">
        <v>26625</v>
      </c>
      <c r="I806" s="215">
        <v>27211</v>
      </c>
      <c r="J806" t="s">
        <v>97</v>
      </c>
    </row>
    <row r="807" spans="1:10" x14ac:dyDescent="0.3">
      <c r="A807" s="286">
        <v>633002</v>
      </c>
      <c r="B807" s="286">
        <v>43511</v>
      </c>
      <c r="E807" s="215">
        <v>44207</v>
      </c>
      <c r="F807" s="215">
        <v>45356</v>
      </c>
      <c r="G807" s="215">
        <v>46354</v>
      </c>
      <c r="H807" s="215">
        <v>47374</v>
      </c>
      <c r="I807" s="215">
        <v>48417</v>
      </c>
      <c r="J807" t="s">
        <v>97</v>
      </c>
    </row>
    <row r="808" spans="1:10" x14ac:dyDescent="0.3">
      <c r="A808" s="286">
        <v>633003</v>
      </c>
      <c r="B808" s="286">
        <v>42100</v>
      </c>
      <c r="E808" s="215">
        <v>36</v>
      </c>
      <c r="F808" s="215">
        <v>37</v>
      </c>
      <c r="G808" s="215">
        <v>38</v>
      </c>
      <c r="H808" s="215">
        <v>39</v>
      </c>
      <c r="I808" s="215">
        <v>40</v>
      </c>
      <c r="J808" t="s">
        <v>97</v>
      </c>
    </row>
    <row r="809" spans="1:10" x14ac:dyDescent="0.3">
      <c r="A809" s="286">
        <v>633003</v>
      </c>
      <c r="B809" s="286">
        <v>42100</v>
      </c>
      <c r="E809" s="215">
        <v>635</v>
      </c>
      <c r="F809" s="215">
        <v>652</v>
      </c>
      <c r="G809" s="215">
        <v>666</v>
      </c>
      <c r="H809" s="215">
        <v>681</v>
      </c>
      <c r="I809" s="215">
        <v>696</v>
      </c>
      <c r="J809" t="s">
        <v>97</v>
      </c>
    </row>
    <row r="810" spans="1:10" x14ac:dyDescent="0.3">
      <c r="A810" s="286">
        <v>633003</v>
      </c>
      <c r="B810" s="286">
        <v>43806</v>
      </c>
      <c r="E810" s="215">
        <v>205</v>
      </c>
      <c r="F810" s="215">
        <v>210</v>
      </c>
      <c r="G810" s="215">
        <v>215</v>
      </c>
      <c r="H810" s="215">
        <v>220</v>
      </c>
      <c r="I810" s="215">
        <v>225</v>
      </c>
      <c r="J810" t="s">
        <v>97</v>
      </c>
    </row>
    <row r="811" spans="1:10" x14ac:dyDescent="0.3">
      <c r="A811" s="286">
        <v>633003</v>
      </c>
      <c r="B811" s="286">
        <v>43812</v>
      </c>
      <c r="E811" s="215">
        <v>31981</v>
      </c>
      <c r="F811" s="215">
        <v>32813</v>
      </c>
      <c r="G811" s="215">
        <v>33535</v>
      </c>
      <c r="H811" s="215">
        <v>34273</v>
      </c>
      <c r="I811" s="215">
        <v>35027</v>
      </c>
      <c r="J811" t="s">
        <v>97</v>
      </c>
    </row>
    <row r="812" spans="1:10" x14ac:dyDescent="0.3">
      <c r="A812" s="286">
        <v>633901</v>
      </c>
      <c r="B812" s="286">
        <v>41100</v>
      </c>
      <c r="E812" s="215">
        <v>46302.41</v>
      </c>
      <c r="F812" s="215">
        <v>62839.12</v>
      </c>
      <c r="G812" s="215">
        <v>65730</v>
      </c>
      <c r="H812" s="215">
        <v>68754</v>
      </c>
      <c r="I812" s="215">
        <v>71917</v>
      </c>
      <c r="J812" t="s">
        <v>97</v>
      </c>
    </row>
    <row r="813" spans="1:10" x14ac:dyDescent="0.3">
      <c r="A813" s="286">
        <v>634001</v>
      </c>
      <c r="B813" s="286">
        <v>42100</v>
      </c>
      <c r="E813" s="215">
        <v>1174</v>
      </c>
      <c r="F813" s="215">
        <v>1205</v>
      </c>
      <c r="G813" s="215">
        <v>1236</v>
      </c>
      <c r="H813" s="215">
        <v>1268</v>
      </c>
      <c r="I813" s="215">
        <v>1301</v>
      </c>
      <c r="J813" t="s">
        <v>98</v>
      </c>
    </row>
    <row r="814" spans="1:10" x14ac:dyDescent="0.3">
      <c r="A814" s="286">
        <v>634001</v>
      </c>
      <c r="B814" s="286">
        <v>43812</v>
      </c>
      <c r="E814" s="215">
        <v>4835</v>
      </c>
      <c r="F814" s="215">
        <v>4946</v>
      </c>
      <c r="G814" s="215">
        <v>4946</v>
      </c>
      <c r="H814" s="215">
        <v>4947</v>
      </c>
      <c r="I814" s="215">
        <v>4947</v>
      </c>
      <c r="J814" t="s">
        <v>98</v>
      </c>
    </row>
    <row r="815" spans="1:10" x14ac:dyDescent="0.3">
      <c r="A815" s="286">
        <v>634001</v>
      </c>
      <c r="B815" s="286">
        <v>43817</v>
      </c>
      <c r="E815" s="215">
        <v>6086</v>
      </c>
      <c r="F815" s="215">
        <v>6244</v>
      </c>
      <c r="G815" s="215">
        <v>6406</v>
      </c>
      <c r="H815" s="215">
        <v>6573</v>
      </c>
      <c r="I815" s="215">
        <v>6744</v>
      </c>
      <c r="J815" t="s">
        <v>98</v>
      </c>
    </row>
    <row r="816" spans="1:10" x14ac:dyDescent="0.3">
      <c r="A816" s="286">
        <v>634001</v>
      </c>
      <c r="B816" s="286">
        <v>43817</v>
      </c>
      <c r="E816" s="215">
        <v>90</v>
      </c>
      <c r="F816" s="215">
        <v>107</v>
      </c>
      <c r="G816" s="215">
        <v>238</v>
      </c>
      <c r="H816" s="215">
        <v>374</v>
      </c>
      <c r="I816" s="215">
        <v>512</v>
      </c>
      <c r="J816" t="s">
        <v>98</v>
      </c>
    </row>
    <row r="817" spans="1:10" x14ac:dyDescent="0.3">
      <c r="A817" s="286">
        <v>634001</v>
      </c>
      <c r="B817" s="286">
        <v>44360</v>
      </c>
      <c r="E817" s="215">
        <v>851225</v>
      </c>
      <c r="F817" s="215">
        <v>865147</v>
      </c>
      <c r="G817" s="215">
        <v>779347</v>
      </c>
      <c r="H817" s="215">
        <v>793832</v>
      </c>
      <c r="I817" s="215">
        <v>808605</v>
      </c>
      <c r="J817" t="s">
        <v>98</v>
      </c>
    </row>
    <row r="818" spans="1:10" x14ac:dyDescent="0.3">
      <c r="A818" s="286">
        <v>634001</v>
      </c>
      <c r="B818" s="286">
        <v>47201</v>
      </c>
      <c r="E818" s="215">
        <v>15445.477244999996</v>
      </c>
      <c r="F818" s="215">
        <v>16016.729397289697</v>
      </c>
      <c r="G818" s="215">
        <v>16609.348384989415</v>
      </c>
      <c r="H818" s="215">
        <v>17223.894275234023</v>
      </c>
      <c r="I818" s="215">
        <v>17861.178363417679</v>
      </c>
      <c r="J818" t="s">
        <v>98</v>
      </c>
    </row>
    <row r="819" spans="1:10" x14ac:dyDescent="0.3">
      <c r="A819" s="286">
        <v>634901</v>
      </c>
      <c r="B819" s="286">
        <v>41100</v>
      </c>
      <c r="E819" s="215">
        <v>0</v>
      </c>
      <c r="F819" s="215">
        <v>0</v>
      </c>
      <c r="G819" s="215">
        <v>0</v>
      </c>
      <c r="H819" s="215">
        <v>0</v>
      </c>
      <c r="I819" s="215">
        <v>0</v>
      </c>
      <c r="J819" t="s">
        <v>98</v>
      </c>
    </row>
    <row r="820" spans="1:10" x14ac:dyDescent="0.3">
      <c r="A820" s="286">
        <v>634901</v>
      </c>
      <c r="B820" s="286">
        <v>41100</v>
      </c>
      <c r="E820" s="215">
        <v>0</v>
      </c>
      <c r="F820" s="215">
        <v>0</v>
      </c>
      <c r="G820" s="215">
        <v>0</v>
      </c>
      <c r="H820" s="215">
        <v>0</v>
      </c>
      <c r="I820" s="215">
        <v>0</v>
      </c>
      <c r="J820" t="s">
        <v>98</v>
      </c>
    </row>
    <row r="821" spans="1:10" x14ac:dyDescent="0.3">
      <c r="A821" s="286">
        <v>634901</v>
      </c>
      <c r="B821" s="286">
        <v>47300</v>
      </c>
      <c r="E821" s="215">
        <v>86087</v>
      </c>
      <c r="F821" s="215">
        <v>98704</v>
      </c>
      <c r="G821" s="215">
        <v>98704</v>
      </c>
      <c r="H821" s="215">
        <v>98704</v>
      </c>
      <c r="I821" s="215">
        <v>98704</v>
      </c>
      <c r="J821" t="s">
        <v>98</v>
      </c>
    </row>
    <row r="822" spans="1:10" x14ac:dyDescent="0.3">
      <c r="A822" s="286">
        <v>634001</v>
      </c>
      <c r="B822" s="286">
        <v>83600</v>
      </c>
      <c r="E822" s="215">
        <v>-226875</v>
      </c>
      <c r="F822" s="215">
        <v>-199108</v>
      </c>
      <c r="G822" s="215">
        <v>-204683</v>
      </c>
      <c r="H822" s="215">
        <v>-210414</v>
      </c>
      <c r="I822" s="215">
        <v>-216306</v>
      </c>
      <c r="J822" t="s">
        <v>98</v>
      </c>
    </row>
    <row r="823" spans="1:10" x14ac:dyDescent="0.3">
      <c r="A823" s="286">
        <v>635001</v>
      </c>
      <c r="B823" s="286">
        <v>43806</v>
      </c>
      <c r="E823" s="215">
        <v>16</v>
      </c>
      <c r="F823" s="215">
        <v>16</v>
      </c>
      <c r="G823" s="215">
        <v>16</v>
      </c>
      <c r="H823" s="215">
        <v>16</v>
      </c>
      <c r="I823" s="215">
        <v>16</v>
      </c>
      <c r="J823" t="s">
        <v>99</v>
      </c>
    </row>
    <row r="824" spans="1:10" x14ac:dyDescent="0.3">
      <c r="A824" s="286">
        <v>635001</v>
      </c>
      <c r="B824" s="286">
        <v>43812</v>
      </c>
      <c r="E824" s="215">
        <v>1705</v>
      </c>
      <c r="F824" s="215">
        <v>1749</v>
      </c>
      <c r="G824" s="215">
        <v>1788</v>
      </c>
      <c r="H824" s="215">
        <v>1827</v>
      </c>
      <c r="I824" s="215">
        <v>1868</v>
      </c>
      <c r="J824" t="s">
        <v>99</v>
      </c>
    </row>
    <row r="825" spans="1:10" x14ac:dyDescent="0.3">
      <c r="A825" s="286">
        <v>635002</v>
      </c>
      <c r="B825" s="286">
        <v>42100</v>
      </c>
      <c r="E825" s="215">
        <v>2583</v>
      </c>
      <c r="F825" s="215">
        <v>2650</v>
      </c>
      <c r="G825" s="215">
        <v>2708</v>
      </c>
      <c r="H825" s="215">
        <v>2768</v>
      </c>
      <c r="I825" s="215">
        <v>2829</v>
      </c>
      <c r="J825" t="s">
        <v>99</v>
      </c>
    </row>
    <row r="826" spans="1:10" x14ac:dyDescent="0.3">
      <c r="A826" s="286">
        <v>635002</v>
      </c>
      <c r="B826" s="286">
        <v>43802</v>
      </c>
      <c r="E826" s="215">
        <v>921</v>
      </c>
      <c r="F826" s="215">
        <v>945</v>
      </c>
      <c r="G826" s="215">
        <v>966</v>
      </c>
      <c r="H826" s="215">
        <v>987</v>
      </c>
      <c r="I826" s="215">
        <v>1009</v>
      </c>
      <c r="J826" t="s">
        <v>99</v>
      </c>
    </row>
    <row r="827" spans="1:10" x14ac:dyDescent="0.3">
      <c r="A827" s="286">
        <v>635002</v>
      </c>
      <c r="B827" s="286">
        <v>43812</v>
      </c>
      <c r="E827" s="215">
        <v>84019</v>
      </c>
      <c r="F827" s="215">
        <v>86204</v>
      </c>
      <c r="G827" s="215">
        <v>88101</v>
      </c>
      <c r="H827" s="215">
        <v>90039</v>
      </c>
      <c r="I827" s="215">
        <v>92020</v>
      </c>
      <c r="J827" t="s">
        <v>99</v>
      </c>
    </row>
    <row r="828" spans="1:10" x14ac:dyDescent="0.3">
      <c r="A828" s="286">
        <v>635002</v>
      </c>
      <c r="B828" s="286">
        <v>43814</v>
      </c>
      <c r="E828" s="215">
        <v>1664350</v>
      </c>
      <c r="F828" s="215">
        <v>1725837</v>
      </c>
      <c r="G828" s="215">
        <v>1829706</v>
      </c>
      <c r="H828" s="215">
        <v>1906973</v>
      </c>
      <c r="I828" s="215">
        <v>1987794</v>
      </c>
      <c r="J828" t="s">
        <v>99</v>
      </c>
    </row>
    <row r="829" spans="1:10" x14ac:dyDescent="0.3">
      <c r="A829" s="286">
        <v>635002</v>
      </c>
      <c r="B829" s="286">
        <v>43812</v>
      </c>
      <c r="E829" s="215">
        <v>40605</v>
      </c>
      <c r="F829" s="215">
        <v>41661</v>
      </c>
      <c r="G829" s="215">
        <v>42578</v>
      </c>
      <c r="H829" s="215">
        <v>43515</v>
      </c>
      <c r="I829" s="215">
        <v>44472</v>
      </c>
      <c r="J829" t="s">
        <v>99</v>
      </c>
    </row>
    <row r="830" spans="1:10" x14ac:dyDescent="0.3">
      <c r="A830" s="286">
        <v>635002</v>
      </c>
      <c r="B830" s="286">
        <v>42100</v>
      </c>
      <c r="E830" s="215">
        <v>2583</v>
      </c>
      <c r="F830" s="215">
        <v>2650</v>
      </c>
      <c r="G830" s="215">
        <v>2708</v>
      </c>
      <c r="H830" s="215">
        <v>2768</v>
      </c>
      <c r="I830" s="215">
        <v>2829</v>
      </c>
      <c r="J830" t="s">
        <v>99</v>
      </c>
    </row>
    <row r="831" spans="1:10" x14ac:dyDescent="0.3">
      <c r="A831" s="286">
        <v>635002</v>
      </c>
      <c r="B831" s="286">
        <v>43802</v>
      </c>
      <c r="E831" s="215">
        <v>320</v>
      </c>
      <c r="F831" s="215">
        <v>328</v>
      </c>
      <c r="G831" s="215">
        <v>335</v>
      </c>
      <c r="H831" s="215">
        <v>342</v>
      </c>
      <c r="I831" s="215">
        <v>350</v>
      </c>
      <c r="J831" t="s">
        <v>99</v>
      </c>
    </row>
    <row r="832" spans="1:10" x14ac:dyDescent="0.3">
      <c r="A832" s="286">
        <v>635002</v>
      </c>
      <c r="B832" s="286">
        <v>43812</v>
      </c>
      <c r="E832" s="215">
        <v>12774</v>
      </c>
      <c r="F832" s="215">
        <v>13237</v>
      </c>
      <c r="G832" s="215">
        <v>13638</v>
      </c>
      <c r="H832" s="215">
        <v>14049</v>
      </c>
      <c r="I832" s="215">
        <v>14468</v>
      </c>
      <c r="J832" t="s">
        <v>99</v>
      </c>
    </row>
    <row r="833" spans="1:10" x14ac:dyDescent="0.3">
      <c r="A833" s="286">
        <v>635003</v>
      </c>
      <c r="B833" s="286">
        <v>43803</v>
      </c>
      <c r="E833" s="215">
        <v>680</v>
      </c>
      <c r="F833" s="215">
        <v>698</v>
      </c>
      <c r="G833" s="215">
        <v>713</v>
      </c>
      <c r="H833" s="215">
        <v>729</v>
      </c>
      <c r="I833" s="215">
        <v>745</v>
      </c>
      <c r="J833" t="s">
        <v>99</v>
      </c>
    </row>
    <row r="834" spans="1:10" x14ac:dyDescent="0.3">
      <c r="A834" s="286">
        <v>635003</v>
      </c>
      <c r="B834" s="286">
        <v>43805</v>
      </c>
      <c r="E834" s="215">
        <v>13229</v>
      </c>
      <c r="F834" s="215">
        <v>13573</v>
      </c>
      <c r="G834" s="215">
        <v>13872</v>
      </c>
      <c r="H834" s="215">
        <v>14177</v>
      </c>
      <c r="I834" s="215">
        <v>14489</v>
      </c>
      <c r="J834" t="s">
        <v>99</v>
      </c>
    </row>
    <row r="835" spans="1:10" x14ac:dyDescent="0.3">
      <c r="A835" s="286">
        <v>635003</v>
      </c>
      <c r="B835" s="286">
        <v>43812</v>
      </c>
      <c r="E835" s="215">
        <v>16306</v>
      </c>
      <c r="F835" s="215">
        <v>16730</v>
      </c>
      <c r="G835" s="215">
        <v>17098</v>
      </c>
      <c r="H835" s="215">
        <v>17475</v>
      </c>
      <c r="I835" s="215">
        <v>17859</v>
      </c>
      <c r="J835" t="s">
        <v>99</v>
      </c>
    </row>
    <row r="836" spans="1:10" x14ac:dyDescent="0.3">
      <c r="A836" s="286">
        <v>635003</v>
      </c>
      <c r="B836" s="286">
        <v>43812</v>
      </c>
      <c r="E836" s="215">
        <v>1443</v>
      </c>
      <c r="F836" s="215">
        <v>1533</v>
      </c>
      <c r="G836" s="215">
        <v>1611</v>
      </c>
      <c r="H836" s="215">
        <v>1692</v>
      </c>
      <c r="I836" s="215">
        <v>1773</v>
      </c>
      <c r="J836" t="s">
        <v>99</v>
      </c>
    </row>
    <row r="837" spans="1:10" x14ac:dyDescent="0.3">
      <c r="A837" s="286">
        <v>635003</v>
      </c>
      <c r="B837" s="286">
        <v>44380</v>
      </c>
      <c r="E837" s="215">
        <v>477</v>
      </c>
      <c r="F837" s="215">
        <v>489</v>
      </c>
      <c r="G837" s="215">
        <v>500</v>
      </c>
      <c r="H837" s="215">
        <v>511</v>
      </c>
      <c r="I837" s="215">
        <v>522</v>
      </c>
      <c r="J837" t="s">
        <v>99</v>
      </c>
    </row>
    <row r="838" spans="1:10" x14ac:dyDescent="0.3">
      <c r="A838" s="286">
        <v>635005</v>
      </c>
      <c r="B838" s="286">
        <v>43812</v>
      </c>
      <c r="E838" s="215">
        <v>2000</v>
      </c>
      <c r="F838" s="215">
        <v>2000</v>
      </c>
      <c r="G838" s="215">
        <v>2000</v>
      </c>
      <c r="H838" s="215">
        <v>2001</v>
      </c>
      <c r="I838" s="215">
        <v>2001</v>
      </c>
      <c r="J838" t="s">
        <v>99</v>
      </c>
    </row>
    <row r="839" spans="1:10" x14ac:dyDescent="0.3">
      <c r="A839" s="286">
        <v>635005</v>
      </c>
      <c r="B839" s="286">
        <v>43814</v>
      </c>
      <c r="E839" s="215">
        <v>41761</v>
      </c>
      <c r="F839" s="215">
        <v>42847</v>
      </c>
      <c r="G839" s="215">
        <v>43790</v>
      </c>
      <c r="H839" s="215">
        <v>44753</v>
      </c>
      <c r="I839" s="215">
        <v>45738</v>
      </c>
      <c r="J839" t="s">
        <v>99</v>
      </c>
    </row>
    <row r="840" spans="1:10" x14ac:dyDescent="0.3">
      <c r="A840" s="286">
        <v>635009</v>
      </c>
      <c r="B840" s="286">
        <v>43812</v>
      </c>
      <c r="E840" s="215">
        <v>13738</v>
      </c>
      <c r="F840" s="215">
        <v>14095</v>
      </c>
      <c r="G840" s="215">
        <v>14406</v>
      </c>
      <c r="H840" s="215">
        <v>14723</v>
      </c>
      <c r="I840" s="215">
        <v>15047</v>
      </c>
      <c r="J840" t="s">
        <v>99</v>
      </c>
    </row>
    <row r="841" spans="1:10" x14ac:dyDescent="0.3">
      <c r="A841" s="286">
        <v>635009</v>
      </c>
      <c r="B841" s="286">
        <v>42100</v>
      </c>
      <c r="E841" s="215">
        <v>297</v>
      </c>
      <c r="F841" s="215">
        <v>305</v>
      </c>
      <c r="G841" s="215">
        <v>312</v>
      </c>
      <c r="H841" s="215">
        <v>319</v>
      </c>
      <c r="I841" s="215">
        <v>326</v>
      </c>
      <c r="J841" t="s">
        <v>99</v>
      </c>
    </row>
    <row r="842" spans="1:10" x14ac:dyDescent="0.3">
      <c r="A842" s="286">
        <v>635009</v>
      </c>
      <c r="B842" s="286">
        <v>42100</v>
      </c>
      <c r="E842" s="215">
        <v>596</v>
      </c>
      <c r="F842" s="215">
        <v>611</v>
      </c>
      <c r="G842" s="215">
        <v>624</v>
      </c>
      <c r="H842" s="215">
        <v>638</v>
      </c>
      <c r="I842" s="215">
        <v>652</v>
      </c>
      <c r="J842" t="s">
        <v>99</v>
      </c>
    </row>
    <row r="843" spans="1:10" x14ac:dyDescent="0.3">
      <c r="A843" s="286">
        <v>635009</v>
      </c>
      <c r="B843" s="286">
        <v>42100</v>
      </c>
      <c r="E843" s="215">
        <v>367</v>
      </c>
      <c r="F843" s="215">
        <v>377</v>
      </c>
      <c r="G843" s="215">
        <v>385</v>
      </c>
      <c r="H843" s="215">
        <v>393</v>
      </c>
      <c r="I843" s="215">
        <v>402</v>
      </c>
      <c r="J843" t="s">
        <v>99</v>
      </c>
    </row>
    <row r="844" spans="1:10" x14ac:dyDescent="0.3">
      <c r="A844" s="286">
        <v>635009</v>
      </c>
      <c r="B844" s="286">
        <v>43801</v>
      </c>
      <c r="E844" s="215">
        <v>1354</v>
      </c>
      <c r="F844" s="215">
        <v>1389</v>
      </c>
      <c r="G844" s="215">
        <v>1420</v>
      </c>
      <c r="H844" s="215">
        <v>1451</v>
      </c>
      <c r="I844" s="215">
        <v>1483</v>
      </c>
      <c r="J844" t="s">
        <v>99</v>
      </c>
    </row>
    <row r="845" spans="1:10" x14ac:dyDescent="0.3">
      <c r="A845" s="286">
        <v>635009</v>
      </c>
      <c r="B845" s="286">
        <v>43802</v>
      </c>
      <c r="E845" s="215">
        <v>552</v>
      </c>
      <c r="F845" s="215">
        <v>566</v>
      </c>
      <c r="G845" s="215">
        <v>578</v>
      </c>
      <c r="H845" s="215">
        <v>591</v>
      </c>
      <c r="I845" s="215">
        <v>604</v>
      </c>
      <c r="J845" t="s">
        <v>99</v>
      </c>
    </row>
    <row r="846" spans="1:10" x14ac:dyDescent="0.3">
      <c r="A846" s="286">
        <v>635009</v>
      </c>
      <c r="B846" s="286">
        <v>43806</v>
      </c>
      <c r="E846" s="215">
        <v>188</v>
      </c>
      <c r="F846" s="215">
        <v>193</v>
      </c>
      <c r="G846" s="215">
        <v>197</v>
      </c>
      <c r="H846" s="215">
        <v>201</v>
      </c>
      <c r="I846" s="215">
        <v>205</v>
      </c>
      <c r="J846" t="s">
        <v>99</v>
      </c>
    </row>
    <row r="847" spans="1:10" x14ac:dyDescent="0.3">
      <c r="A847" s="286">
        <v>635009</v>
      </c>
      <c r="B847" s="286">
        <v>43812</v>
      </c>
      <c r="E847" s="215">
        <v>61416</v>
      </c>
      <c r="F847" s="215">
        <v>62662</v>
      </c>
      <c r="G847" s="215">
        <v>65474</v>
      </c>
      <c r="H847" s="215">
        <v>68413</v>
      </c>
      <c r="I847" s="215">
        <v>71485</v>
      </c>
      <c r="J847" t="s">
        <v>99</v>
      </c>
    </row>
    <row r="848" spans="1:10" x14ac:dyDescent="0.3">
      <c r="A848" s="286">
        <v>635010</v>
      </c>
      <c r="B848" s="286">
        <v>43812</v>
      </c>
      <c r="E848" s="215">
        <v>184088</v>
      </c>
      <c r="F848" s="215">
        <v>186404</v>
      </c>
      <c r="G848" s="215">
        <v>188415</v>
      </c>
      <c r="H848" s="215">
        <v>190470</v>
      </c>
      <c r="I848" s="215">
        <v>192570</v>
      </c>
      <c r="J848" t="s">
        <v>99</v>
      </c>
    </row>
    <row r="849" spans="1:10" x14ac:dyDescent="0.3">
      <c r="A849" s="286">
        <v>635010</v>
      </c>
      <c r="B849" s="286">
        <v>44380</v>
      </c>
      <c r="E849" s="215">
        <v>17919</v>
      </c>
      <c r="F849" s="215">
        <v>18421</v>
      </c>
      <c r="G849" s="215">
        <v>18900</v>
      </c>
      <c r="H849" s="215">
        <v>19316</v>
      </c>
      <c r="I849" s="215">
        <v>19741</v>
      </c>
      <c r="J849" t="s">
        <v>99</v>
      </c>
    </row>
    <row r="850" spans="1:10" x14ac:dyDescent="0.3">
      <c r="A850" s="286">
        <v>635011</v>
      </c>
      <c r="B850" s="286">
        <v>43812</v>
      </c>
      <c r="E850" s="215">
        <v>33739</v>
      </c>
      <c r="F850" s="215">
        <v>33739</v>
      </c>
      <c r="G850" s="215">
        <v>33739</v>
      </c>
      <c r="H850" s="215">
        <v>33740</v>
      </c>
      <c r="I850" s="215">
        <v>33740</v>
      </c>
      <c r="J850" t="s">
        <v>99</v>
      </c>
    </row>
    <row r="851" spans="1:10" x14ac:dyDescent="0.3">
      <c r="A851" s="286">
        <v>635012</v>
      </c>
      <c r="B851" s="286">
        <v>43812</v>
      </c>
      <c r="E851" s="215">
        <v>58908</v>
      </c>
      <c r="F851" s="215">
        <v>0</v>
      </c>
      <c r="G851" s="215">
        <v>0</v>
      </c>
      <c r="H851" s="215">
        <v>0</v>
      </c>
      <c r="I851" s="215">
        <v>0</v>
      </c>
      <c r="J851" t="s">
        <v>99</v>
      </c>
    </row>
    <row r="852" spans="1:10" x14ac:dyDescent="0.3">
      <c r="A852" s="286">
        <v>635013</v>
      </c>
      <c r="B852" s="286">
        <v>42100</v>
      </c>
      <c r="E852" s="215">
        <v>2176</v>
      </c>
      <c r="F852" s="215">
        <v>2233</v>
      </c>
      <c r="G852" s="215">
        <v>2282</v>
      </c>
      <c r="H852" s="215">
        <v>2332</v>
      </c>
      <c r="I852" s="215">
        <v>2383</v>
      </c>
      <c r="J852" t="s">
        <v>99</v>
      </c>
    </row>
    <row r="853" spans="1:10" x14ac:dyDescent="0.3">
      <c r="A853" s="286">
        <v>635013</v>
      </c>
      <c r="B853" s="286">
        <v>43803</v>
      </c>
      <c r="E853" s="215">
        <v>444</v>
      </c>
      <c r="F853" s="215">
        <v>456</v>
      </c>
      <c r="G853" s="215">
        <v>466</v>
      </c>
      <c r="H853" s="215">
        <v>476</v>
      </c>
      <c r="I853" s="215">
        <v>486</v>
      </c>
      <c r="J853" t="s">
        <v>99</v>
      </c>
    </row>
    <row r="854" spans="1:10" x14ac:dyDescent="0.3">
      <c r="A854" s="286">
        <v>635013</v>
      </c>
      <c r="B854" s="286">
        <v>43806</v>
      </c>
      <c r="E854" s="215">
        <v>0</v>
      </c>
      <c r="F854" s="215">
        <v>0</v>
      </c>
      <c r="G854" s="215">
        <v>0</v>
      </c>
      <c r="H854" s="215">
        <v>0</v>
      </c>
      <c r="I854" s="215">
        <v>0</v>
      </c>
      <c r="J854" t="s">
        <v>99</v>
      </c>
    </row>
    <row r="855" spans="1:10" x14ac:dyDescent="0.3">
      <c r="A855" s="286">
        <v>635013</v>
      </c>
      <c r="B855" s="286">
        <v>43812</v>
      </c>
      <c r="E855" s="215">
        <v>144</v>
      </c>
      <c r="F855" s="215">
        <v>148</v>
      </c>
      <c r="G855" s="215">
        <v>151</v>
      </c>
      <c r="H855" s="215">
        <v>154</v>
      </c>
      <c r="I855" s="215">
        <v>157</v>
      </c>
      <c r="J855" t="s">
        <v>99</v>
      </c>
    </row>
    <row r="856" spans="1:10" x14ac:dyDescent="0.3">
      <c r="A856" s="286">
        <v>635013</v>
      </c>
      <c r="B856" s="286">
        <v>42100</v>
      </c>
      <c r="E856" s="215">
        <v>3624</v>
      </c>
      <c r="F856" s="215">
        <v>3718</v>
      </c>
      <c r="G856" s="215">
        <v>3800</v>
      </c>
      <c r="H856" s="215">
        <v>3884</v>
      </c>
      <c r="I856" s="215">
        <v>3969</v>
      </c>
      <c r="J856" t="s">
        <v>99</v>
      </c>
    </row>
    <row r="857" spans="1:10" x14ac:dyDescent="0.3">
      <c r="A857" s="286">
        <v>635013</v>
      </c>
      <c r="B857" s="286">
        <v>43803</v>
      </c>
      <c r="E857" s="215">
        <v>0</v>
      </c>
      <c r="F857" s="215">
        <v>0</v>
      </c>
      <c r="G857" s="215">
        <v>0</v>
      </c>
      <c r="H857" s="215">
        <v>0</v>
      </c>
      <c r="I857" s="215">
        <v>0</v>
      </c>
      <c r="J857" t="s">
        <v>99</v>
      </c>
    </row>
    <row r="858" spans="1:10" x14ac:dyDescent="0.3">
      <c r="A858" s="286">
        <v>635013</v>
      </c>
      <c r="B858" s="286">
        <v>43806</v>
      </c>
      <c r="E858" s="215">
        <v>5881</v>
      </c>
      <c r="F858" s="215">
        <v>6034</v>
      </c>
      <c r="G858" s="215">
        <v>6167</v>
      </c>
      <c r="H858" s="215">
        <v>6303</v>
      </c>
      <c r="I858" s="215">
        <v>6442</v>
      </c>
      <c r="J858" t="s">
        <v>99</v>
      </c>
    </row>
    <row r="859" spans="1:10" x14ac:dyDescent="0.3">
      <c r="A859" s="286">
        <v>635013</v>
      </c>
      <c r="B859" s="286">
        <v>43812</v>
      </c>
      <c r="E859" s="215">
        <v>0</v>
      </c>
      <c r="F859" s="215">
        <v>0</v>
      </c>
      <c r="G859" s="215">
        <v>0</v>
      </c>
      <c r="H859" s="215">
        <v>0</v>
      </c>
      <c r="I859" s="215">
        <v>0</v>
      </c>
      <c r="J859" t="s">
        <v>99</v>
      </c>
    </row>
    <row r="860" spans="1:10" x14ac:dyDescent="0.3">
      <c r="A860" s="286">
        <v>635013</v>
      </c>
      <c r="B860" s="286">
        <v>47300</v>
      </c>
      <c r="E860" s="215">
        <v>0</v>
      </c>
      <c r="F860" s="215">
        <v>0</v>
      </c>
      <c r="G860" s="215">
        <v>0</v>
      </c>
      <c r="H860" s="215">
        <v>1</v>
      </c>
      <c r="I860" s="215">
        <v>1</v>
      </c>
      <c r="J860" t="s">
        <v>99</v>
      </c>
    </row>
    <row r="861" spans="1:10" x14ac:dyDescent="0.3">
      <c r="A861" s="286">
        <v>635014</v>
      </c>
      <c r="B861" s="286">
        <v>42100</v>
      </c>
      <c r="E861" s="215">
        <v>2748.9</v>
      </c>
      <c r="F861" s="215">
        <v>2825.79</v>
      </c>
      <c r="G861" s="215">
        <v>2904.9900000000002</v>
      </c>
      <c r="H861" s="215">
        <v>2986.17</v>
      </c>
      <c r="I861" s="215">
        <v>3069.6600000000003</v>
      </c>
      <c r="J861" t="s">
        <v>99</v>
      </c>
    </row>
    <row r="862" spans="1:10" x14ac:dyDescent="0.3">
      <c r="A862" s="286">
        <v>635014</v>
      </c>
      <c r="B862" s="286">
        <v>42100</v>
      </c>
      <c r="E862" s="215">
        <v>469.26000000000005</v>
      </c>
      <c r="F862" s="215">
        <v>482.46000000000004</v>
      </c>
      <c r="G862" s="215">
        <v>495.99</v>
      </c>
      <c r="H862" s="215">
        <v>509.85</v>
      </c>
      <c r="I862" s="215">
        <v>524.04000000000008</v>
      </c>
      <c r="J862" t="s">
        <v>99</v>
      </c>
    </row>
    <row r="863" spans="1:10" x14ac:dyDescent="0.3">
      <c r="A863" s="286">
        <v>635014</v>
      </c>
      <c r="B863" s="286">
        <v>42100</v>
      </c>
      <c r="E863" s="215">
        <v>62.7</v>
      </c>
      <c r="F863" s="215">
        <v>64.350000000000009</v>
      </c>
      <c r="G863" s="215">
        <v>66</v>
      </c>
      <c r="H863" s="215">
        <v>67.98</v>
      </c>
      <c r="I863" s="215">
        <v>69.960000000000008</v>
      </c>
      <c r="J863" t="s">
        <v>99</v>
      </c>
    </row>
    <row r="864" spans="1:10" x14ac:dyDescent="0.3">
      <c r="A864" s="286">
        <v>635014</v>
      </c>
      <c r="B864" s="286">
        <v>43511</v>
      </c>
      <c r="E864" s="215">
        <v>6626.7300000000005</v>
      </c>
      <c r="F864" s="215">
        <v>6799.9800000000005</v>
      </c>
      <c r="G864" s="215">
        <v>6948.4800000000005</v>
      </c>
      <c r="H864" s="215">
        <v>7100.2800000000007</v>
      </c>
      <c r="I864" s="215">
        <v>7255.9179000000004</v>
      </c>
      <c r="J864" t="s">
        <v>99</v>
      </c>
    </row>
    <row r="865" spans="1:10" x14ac:dyDescent="0.3">
      <c r="A865" s="286">
        <v>635014</v>
      </c>
      <c r="B865" s="286">
        <v>43801</v>
      </c>
      <c r="E865" s="215">
        <v>2383.59</v>
      </c>
      <c r="F865" s="215">
        <v>2450.25</v>
      </c>
      <c r="G865" s="215">
        <v>2518.8900000000003</v>
      </c>
      <c r="H865" s="215">
        <v>2589.5100000000002</v>
      </c>
      <c r="I865" s="215">
        <v>2662.11</v>
      </c>
      <c r="J865" t="s">
        <v>99</v>
      </c>
    </row>
    <row r="866" spans="1:10" x14ac:dyDescent="0.3">
      <c r="A866" s="286">
        <v>635014</v>
      </c>
      <c r="B866" s="286">
        <v>43802</v>
      </c>
      <c r="E866" s="215">
        <v>221.10000000000002</v>
      </c>
      <c r="F866" s="215">
        <v>227.37</v>
      </c>
      <c r="G866" s="215">
        <v>233.64000000000001</v>
      </c>
      <c r="H866" s="215">
        <v>240.24</v>
      </c>
      <c r="I866" s="215">
        <v>246.84</v>
      </c>
      <c r="J866" t="s">
        <v>99</v>
      </c>
    </row>
    <row r="867" spans="1:10" x14ac:dyDescent="0.3">
      <c r="A867" s="286">
        <v>635014</v>
      </c>
      <c r="B867" s="286">
        <v>43803</v>
      </c>
      <c r="E867" s="215">
        <v>122.76</v>
      </c>
      <c r="F867" s="215">
        <v>126.06</v>
      </c>
      <c r="G867" s="215">
        <v>129.69</v>
      </c>
      <c r="H867" s="215">
        <v>133.32</v>
      </c>
      <c r="I867" s="215">
        <v>136.95000000000002</v>
      </c>
      <c r="J867" t="s">
        <v>99</v>
      </c>
    </row>
    <row r="868" spans="1:10" x14ac:dyDescent="0.3">
      <c r="A868" s="286">
        <v>635014</v>
      </c>
      <c r="B868" s="286">
        <v>43806</v>
      </c>
      <c r="E868" s="215">
        <v>180.18</v>
      </c>
      <c r="F868" s="215">
        <v>185.13</v>
      </c>
      <c r="G868" s="215">
        <v>190.41</v>
      </c>
      <c r="H868" s="215">
        <v>195.69</v>
      </c>
      <c r="I868" s="215">
        <v>201.3</v>
      </c>
      <c r="J868" t="s">
        <v>99</v>
      </c>
    </row>
    <row r="869" spans="1:10" x14ac:dyDescent="0.3">
      <c r="A869" s="286">
        <v>635014</v>
      </c>
      <c r="B869" s="286">
        <v>43806</v>
      </c>
      <c r="E869" s="215">
        <v>133.32</v>
      </c>
      <c r="F869" s="215">
        <v>136.95000000000002</v>
      </c>
      <c r="G869" s="215">
        <v>140.91</v>
      </c>
      <c r="H869" s="215">
        <v>144.87</v>
      </c>
      <c r="I869" s="215">
        <v>148.83000000000001</v>
      </c>
      <c r="J869" t="s">
        <v>99</v>
      </c>
    </row>
    <row r="870" spans="1:10" x14ac:dyDescent="0.3">
      <c r="A870" s="286">
        <v>635014</v>
      </c>
      <c r="B870" s="286">
        <v>43806</v>
      </c>
      <c r="E870" s="215">
        <v>1196.5800000000002</v>
      </c>
      <c r="F870" s="215">
        <v>1230.24</v>
      </c>
      <c r="G870" s="215">
        <v>1264.5600000000002</v>
      </c>
      <c r="H870" s="215">
        <v>1299.8700000000001</v>
      </c>
      <c r="I870" s="215">
        <v>1336.17</v>
      </c>
      <c r="J870" t="s">
        <v>99</v>
      </c>
    </row>
    <row r="871" spans="1:10" x14ac:dyDescent="0.3">
      <c r="A871" s="286">
        <v>635014</v>
      </c>
      <c r="B871" s="286">
        <v>43812</v>
      </c>
      <c r="E871" s="215">
        <v>4826.91</v>
      </c>
      <c r="F871" s="215">
        <v>4952.3100000000004</v>
      </c>
      <c r="G871" s="215">
        <v>5061.21</v>
      </c>
      <c r="H871" s="215">
        <v>5172.42</v>
      </c>
      <c r="I871" s="215">
        <v>5286.27</v>
      </c>
      <c r="J871" t="s">
        <v>99</v>
      </c>
    </row>
    <row r="872" spans="1:10" x14ac:dyDescent="0.3">
      <c r="A872" s="286">
        <v>635014</v>
      </c>
      <c r="B872" s="286">
        <v>43814</v>
      </c>
      <c r="E872" s="215">
        <v>0</v>
      </c>
      <c r="F872" s="215">
        <v>0</v>
      </c>
      <c r="G872" s="215">
        <v>0</v>
      </c>
      <c r="H872" s="215">
        <v>0</v>
      </c>
      <c r="I872" s="215">
        <v>0</v>
      </c>
      <c r="J872" t="s">
        <v>99</v>
      </c>
    </row>
    <row r="873" spans="1:10" x14ac:dyDescent="0.3">
      <c r="A873" s="286">
        <v>635014</v>
      </c>
      <c r="B873" s="286">
        <v>43817</v>
      </c>
      <c r="E873" s="215">
        <v>8371.44</v>
      </c>
      <c r="F873" s="215">
        <v>8589.24</v>
      </c>
      <c r="G873" s="215">
        <v>8778.33</v>
      </c>
      <c r="H873" s="215">
        <v>8971.380000000001</v>
      </c>
      <c r="I873" s="215">
        <v>9168.7200000000012</v>
      </c>
      <c r="J873" t="s">
        <v>99</v>
      </c>
    </row>
    <row r="874" spans="1:10" x14ac:dyDescent="0.3">
      <c r="A874" s="286">
        <v>635014</v>
      </c>
      <c r="B874" s="286">
        <v>47201</v>
      </c>
      <c r="E874" s="215">
        <v>5650.26</v>
      </c>
      <c r="F874" s="215">
        <v>6922.7871309907205</v>
      </c>
      <c r="G874" s="215">
        <v>7268.9264875402559</v>
      </c>
      <c r="H874" s="215">
        <v>7632.3728119172702</v>
      </c>
      <c r="I874" s="215">
        <v>8013.9914525131335</v>
      </c>
      <c r="J874" t="s">
        <v>99</v>
      </c>
    </row>
    <row r="875" spans="1:10" x14ac:dyDescent="0.3">
      <c r="A875" s="286">
        <v>635014</v>
      </c>
      <c r="B875" s="286">
        <v>47300</v>
      </c>
      <c r="E875" s="215">
        <v>10414.470000000001</v>
      </c>
      <c r="F875" s="215">
        <v>10414.470000000001</v>
      </c>
      <c r="G875" s="215">
        <v>10414.470000000001</v>
      </c>
      <c r="H875" s="215">
        <v>10414.470000000001</v>
      </c>
      <c r="I875" s="215">
        <v>10414.470000000001</v>
      </c>
      <c r="J875" t="s">
        <v>99</v>
      </c>
    </row>
    <row r="876" spans="1:10" x14ac:dyDescent="0.3">
      <c r="A876" s="286">
        <v>635014</v>
      </c>
      <c r="B876" s="286">
        <v>43803</v>
      </c>
      <c r="E876" s="215">
        <v>44.550000000000004</v>
      </c>
      <c r="F876" s="215">
        <v>45.870000000000005</v>
      </c>
      <c r="G876" s="215">
        <v>47.190000000000005</v>
      </c>
      <c r="H876" s="215">
        <v>48.510000000000005</v>
      </c>
      <c r="I876" s="215">
        <v>49.830000000000005</v>
      </c>
      <c r="J876" t="s">
        <v>99</v>
      </c>
    </row>
    <row r="877" spans="1:10" x14ac:dyDescent="0.3">
      <c r="A877" s="286">
        <v>635014</v>
      </c>
      <c r="B877" s="286">
        <v>43812</v>
      </c>
      <c r="E877" s="215">
        <v>6244.59</v>
      </c>
      <c r="F877" s="215">
        <v>6406.9500000000007</v>
      </c>
      <c r="G877" s="215">
        <v>6547.8600000000006</v>
      </c>
      <c r="H877" s="215">
        <v>6691.7400000000007</v>
      </c>
      <c r="I877" s="215">
        <v>6838.92</v>
      </c>
      <c r="J877" t="s">
        <v>99</v>
      </c>
    </row>
    <row r="878" spans="1:10" x14ac:dyDescent="0.3">
      <c r="A878" s="286">
        <v>635014</v>
      </c>
      <c r="B878" s="286">
        <v>43818</v>
      </c>
      <c r="E878" s="215">
        <v>2735.7000000000003</v>
      </c>
      <c r="F878" s="215">
        <v>2806.65</v>
      </c>
      <c r="G878" s="215">
        <v>2868.36</v>
      </c>
      <c r="H878" s="215">
        <v>2931.7200000000003</v>
      </c>
      <c r="I878" s="215">
        <v>2996.4</v>
      </c>
      <c r="J878" t="s">
        <v>99</v>
      </c>
    </row>
    <row r="879" spans="1:10" x14ac:dyDescent="0.3">
      <c r="A879" s="286">
        <v>635014</v>
      </c>
      <c r="B879" s="286">
        <v>42100</v>
      </c>
      <c r="E879" s="215">
        <v>4458.3</v>
      </c>
      <c r="F879" s="215">
        <v>4574.13</v>
      </c>
      <c r="G879" s="215">
        <v>4674.7800000000007</v>
      </c>
      <c r="H879" s="215">
        <v>4777.74</v>
      </c>
      <c r="I879" s="215">
        <v>4882.68</v>
      </c>
      <c r="J879" t="s">
        <v>99</v>
      </c>
    </row>
    <row r="880" spans="1:10" x14ac:dyDescent="0.3">
      <c r="A880" s="286">
        <v>635014</v>
      </c>
      <c r="B880" s="286">
        <v>43803</v>
      </c>
      <c r="E880" s="215">
        <v>5275.38</v>
      </c>
      <c r="F880" s="215">
        <v>5412.66</v>
      </c>
      <c r="G880" s="215">
        <v>5531.79</v>
      </c>
      <c r="H880" s="215">
        <v>5653.2300000000005</v>
      </c>
      <c r="I880" s="215">
        <v>5777.97</v>
      </c>
      <c r="J880" t="s">
        <v>99</v>
      </c>
    </row>
    <row r="881" spans="1:10" x14ac:dyDescent="0.3">
      <c r="A881" s="286">
        <v>635014</v>
      </c>
      <c r="B881" s="286">
        <v>43806</v>
      </c>
      <c r="E881" s="215">
        <v>7676.46</v>
      </c>
      <c r="F881" s="215">
        <v>7876.1100000000006</v>
      </c>
      <c r="G881" s="215">
        <v>8049.3600000000006</v>
      </c>
      <c r="H881" s="215">
        <v>8226.57</v>
      </c>
      <c r="I881" s="215">
        <v>8407.41</v>
      </c>
      <c r="J881" t="s">
        <v>99</v>
      </c>
    </row>
    <row r="882" spans="1:10" x14ac:dyDescent="0.3">
      <c r="A882" s="286">
        <v>635014</v>
      </c>
      <c r="B882" s="286">
        <v>43812</v>
      </c>
      <c r="E882" s="215">
        <v>2247.63</v>
      </c>
      <c r="F882" s="215">
        <v>2306.04</v>
      </c>
      <c r="G882" s="215">
        <v>2356.5300000000002</v>
      </c>
      <c r="H882" s="215">
        <v>2408.67</v>
      </c>
      <c r="I882" s="215">
        <v>2461.4700000000003</v>
      </c>
      <c r="J882" t="s">
        <v>99</v>
      </c>
    </row>
    <row r="883" spans="1:10" x14ac:dyDescent="0.3">
      <c r="A883" s="286">
        <v>635014</v>
      </c>
      <c r="B883" s="286">
        <v>47300</v>
      </c>
      <c r="E883" s="215">
        <v>18017.670000000002</v>
      </c>
      <c r="F883" s="215">
        <v>15475.35</v>
      </c>
      <c r="G883" s="215">
        <v>18189.93</v>
      </c>
      <c r="H883" s="215">
        <v>18189.93</v>
      </c>
      <c r="I883" s="215">
        <v>18189.93</v>
      </c>
      <c r="J883" t="s">
        <v>99</v>
      </c>
    </row>
    <row r="884" spans="1:10" x14ac:dyDescent="0.3">
      <c r="A884" s="286" t="s">
        <v>100</v>
      </c>
      <c r="B884" s="286">
        <v>43812</v>
      </c>
      <c r="E884" s="215">
        <v>0</v>
      </c>
      <c r="F884" s="215">
        <v>337000</v>
      </c>
      <c r="G884" s="215">
        <v>0</v>
      </c>
      <c r="H884" s="215">
        <v>0</v>
      </c>
      <c r="I884" s="215">
        <v>0</v>
      </c>
      <c r="J884" t="s">
        <v>99</v>
      </c>
    </row>
    <row r="885" spans="1:10" x14ac:dyDescent="0.3">
      <c r="A885" s="286">
        <v>635901</v>
      </c>
      <c r="B885" s="286">
        <v>41100</v>
      </c>
      <c r="E885" s="215">
        <v>678031.1</v>
      </c>
      <c r="F885" s="215">
        <v>863865.67</v>
      </c>
      <c r="G885" s="215">
        <v>898221.49082000006</v>
      </c>
      <c r="H885" s="215">
        <v>934157.67939771991</v>
      </c>
      <c r="I885" s="215">
        <v>971746.93265001522</v>
      </c>
      <c r="J885" t="s">
        <v>99</v>
      </c>
    </row>
    <row r="886" spans="1:10" x14ac:dyDescent="0.3">
      <c r="A886" s="286">
        <v>635901</v>
      </c>
      <c r="B886" s="286">
        <v>47300</v>
      </c>
      <c r="E886" s="215">
        <v>80877</v>
      </c>
      <c r="F886" s="215">
        <v>81590</v>
      </c>
      <c r="G886" s="215">
        <v>93871</v>
      </c>
      <c r="H886" s="215">
        <v>93871</v>
      </c>
      <c r="I886" s="215">
        <v>86789</v>
      </c>
      <c r="J886" t="s">
        <v>99</v>
      </c>
    </row>
    <row r="887" spans="1:10" x14ac:dyDescent="0.3">
      <c r="A887" s="286">
        <v>635901</v>
      </c>
      <c r="B887" s="286">
        <v>41100</v>
      </c>
      <c r="E887" s="215">
        <v>0</v>
      </c>
      <c r="F887" s="215">
        <v>0</v>
      </c>
      <c r="G887" s="215">
        <v>0</v>
      </c>
      <c r="H887" s="215">
        <v>0</v>
      </c>
      <c r="I887" s="215">
        <v>0</v>
      </c>
      <c r="J887" t="s">
        <v>99</v>
      </c>
    </row>
    <row r="888" spans="1:10" x14ac:dyDescent="0.3">
      <c r="A888" s="286">
        <v>635901</v>
      </c>
      <c r="B888" s="286">
        <v>47300</v>
      </c>
      <c r="E888" s="215">
        <v>0</v>
      </c>
      <c r="F888" s="215">
        <v>0</v>
      </c>
      <c r="G888" s="215">
        <v>0</v>
      </c>
      <c r="H888" s="215">
        <v>0</v>
      </c>
      <c r="I888" s="215">
        <v>0</v>
      </c>
      <c r="J888" t="s">
        <v>99</v>
      </c>
    </row>
    <row r="889" spans="1:10" x14ac:dyDescent="0.3">
      <c r="A889" s="286">
        <v>635002</v>
      </c>
      <c r="B889" s="286">
        <v>83800</v>
      </c>
      <c r="E889" s="215">
        <v>-30030</v>
      </c>
      <c r="F889" s="215">
        <v>-30811</v>
      </c>
      <c r="G889" s="215">
        <v>-31488</v>
      </c>
      <c r="H889" s="215">
        <v>-32182</v>
      </c>
      <c r="I889" s="215">
        <v>-32892</v>
      </c>
      <c r="J889" t="s">
        <v>99</v>
      </c>
    </row>
    <row r="890" spans="1:10" x14ac:dyDescent="0.3">
      <c r="A890" s="286">
        <v>635004</v>
      </c>
      <c r="B890" s="286">
        <v>83600</v>
      </c>
      <c r="E890" s="215">
        <v>-1973</v>
      </c>
      <c r="F890" s="215">
        <v>-2024</v>
      </c>
      <c r="G890" s="215">
        <v>-2069</v>
      </c>
      <c r="H890" s="215">
        <v>-2115</v>
      </c>
      <c r="I890" s="215">
        <v>-2162</v>
      </c>
      <c r="J890" t="s">
        <v>99</v>
      </c>
    </row>
    <row r="891" spans="1:10" x14ac:dyDescent="0.3">
      <c r="A891" s="286">
        <v>635004</v>
      </c>
      <c r="B891" s="286">
        <v>83800</v>
      </c>
      <c r="E891" s="215">
        <v>-3797</v>
      </c>
      <c r="F891" s="215">
        <v>-3896</v>
      </c>
      <c r="G891" s="215">
        <v>-3982</v>
      </c>
      <c r="H891" s="215">
        <v>-4070</v>
      </c>
      <c r="I891" s="215">
        <v>-4160</v>
      </c>
      <c r="J891" t="s">
        <v>99</v>
      </c>
    </row>
    <row r="892" spans="1:10" x14ac:dyDescent="0.3">
      <c r="A892" s="286">
        <v>635006</v>
      </c>
      <c r="B892" s="286">
        <v>83800</v>
      </c>
      <c r="E892" s="215">
        <v>-41703</v>
      </c>
      <c r="F892" s="215">
        <v>-42449</v>
      </c>
      <c r="G892" s="215">
        <v>-43097</v>
      </c>
      <c r="H892" s="215">
        <v>-43759</v>
      </c>
      <c r="I892" s="215">
        <v>-44436</v>
      </c>
      <c r="J892" t="s">
        <v>99</v>
      </c>
    </row>
    <row r="893" spans="1:10" x14ac:dyDescent="0.3">
      <c r="A893" s="286">
        <v>635007</v>
      </c>
      <c r="B893" s="286">
        <v>83300</v>
      </c>
      <c r="E893" s="215">
        <v>-4285</v>
      </c>
      <c r="F893" s="215">
        <v>-1000</v>
      </c>
      <c r="G893" s="215">
        <v>-1022</v>
      </c>
      <c r="H893" s="215">
        <v>-1044</v>
      </c>
      <c r="I893" s="215">
        <v>-1067</v>
      </c>
      <c r="J893" t="s">
        <v>99</v>
      </c>
    </row>
    <row r="894" spans="1:10" x14ac:dyDescent="0.3">
      <c r="A894" s="286">
        <v>635008</v>
      </c>
      <c r="B894" s="286">
        <v>84360</v>
      </c>
      <c r="E894" s="215">
        <v>-5716</v>
      </c>
      <c r="F894" s="215">
        <v>-5715</v>
      </c>
      <c r="G894" s="215">
        <v>-5715</v>
      </c>
      <c r="H894" s="215">
        <v>-5714</v>
      </c>
      <c r="I894" s="215">
        <v>-5714</v>
      </c>
      <c r="J894" t="s">
        <v>99</v>
      </c>
    </row>
    <row r="895" spans="1:10" x14ac:dyDescent="0.3">
      <c r="A895" s="286">
        <v>635012</v>
      </c>
      <c r="B895" s="286">
        <v>83800</v>
      </c>
      <c r="E895" s="215">
        <v>-58908</v>
      </c>
      <c r="F895" s="215">
        <v>-104010</v>
      </c>
      <c r="G895" s="215">
        <v>-135541</v>
      </c>
      <c r="H895" s="215">
        <v>-102383</v>
      </c>
      <c r="I895" s="215">
        <v>-37590</v>
      </c>
      <c r="J895" t="s">
        <v>99</v>
      </c>
    </row>
    <row r="896" spans="1:10" x14ac:dyDescent="0.3">
      <c r="A896" s="286">
        <v>636012</v>
      </c>
      <c r="B896" s="286">
        <v>42100</v>
      </c>
      <c r="E896" s="215">
        <v>426</v>
      </c>
      <c r="F896" s="215">
        <v>437</v>
      </c>
      <c r="G896" s="215">
        <v>447</v>
      </c>
      <c r="H896" s="215">
        <v>457</v>
      </c>
      <c r="I896" s="215">
        <v>467</v>
      </c>
      <c r="J896" t="s">
        <v>101</v>
      </c>
    </row>
    <row r="897" spans="1:10" x14ac:dyDescent="0.3">
      <c r="A897" s="286">
        <v>636012</v>
      </c>
      <c r="B897" s="286">
        <v>43806</v>
      </c>
      <c r="E897" s="215">
        <v>379</v>
      </c>
      <c r="F897" s="215">
        <v>389</v>
      </c>
      <c r="G897" s="215">
        <v>398</v>
      </c>
      <c r="H897" s="215">
        <v>407</v>
      </c>
      <c r="I897" s="215">
        <v>416</v>
      </c>
      <c r="J897" t="s">
        <v>101</v>
      </c>
    </row>
    <row r="898" spans="1:10" x14ac:dyDescent="0.3">
      <c r="A898" s="286">
        <v>636012</v>
      </c>
      <c r="B898" s="286">
        <v>43817</v>
      </c>
      <c r="E898" s="215">
        <v>1517</v>
      </c>
      <c r="F898" s="215">
        <v>1556</v>
      </c>
      <c r="G898" s="215">
        <v>1590</v>
      </c>
      <c r="H898" s="215">
        <v>1625</v>
      </c>
      <c r="I898" s="215">
        <v>1661</v>
      </c>
      <c r="J898" t="s">
        <v>101</v>
      </c>
    </row>
    <row r="899" spans="1:10" x14ac:dyDescent="0.3">
      <c r="A899" s="286">
        <v>636012</v>
      </c>
      <c r="B899" s="286">
        <v>47201</v>
      </c>
      <c r="E899" s="215">
        <v>5183</v>
      </c>
      <c r="F899" s="215">
        <v>7376.4820499999996</v>
      </c>
      <c r="G899" s="215">
        <v>7649.4118858499987</v>
      </c>
      <c r="H899" s="215">
        <v>7932.4401256264482</v>
      </c>
      <c r="I899" s="215">
        <v>8225.9404102746266</v>
      </c>
      <c r="J899" t="s">
        <v>101</v>
      </c>
    </row>
    <row r="900" spans="1:10" x14ac:dyDescent="0.3">
      <c r="A900" s="286">
        <v>636013</v>
      </c>
      <c r="B900" s="286">
        <v>42100</v>
      </c>
      <c r="E900" s="215">
        <v>775</v>
      </c>
      <c r="F900" s="215">
        <v>795</v>
      </c>
      <c r="G900" s="215">
        <v>812</v>
      </c>
      <c r="H900" s="215">
        <v>830</v>
      </c>
      <c r="I900" s="215">
        <v>848</v>
      </c>
      <c r="J900" t="s">
        <v>101</v>
      </c>
    </row>
    <row r="901" spans="1:10" x14ac:dyDescent="0.3">
      <c r="A901" s="286">
        <v>636013</v>
      </c>
      <c r="B901" s="286">
        <v>43806</v>
      </c>
      <c r="E901" s="215">
        <v>645</v>
      </c>
      <c r="F901" s="215">
        <v>662</v>
      </c>
      <c r="G901" s="215">
        <v>677</v>
      </c>
      <c r="H901" s="215">
        <v>692</v>
      </c>
      <c r="I901" s="215">
        <v>707</v>
      </c>
      <c r="J901" t="s">
        <v>101</v>
      </c>
    </row>
    <row r="902" spans="1:10" x14ac:dyDescent="0.3">
      <c r="A902" s="286">
        <v>636013</v>
      </c>
      <c r="B902" s="286">
        <v>43817</v>
      </c>
      <c r="E902" s="215">
        <v>2652</v>
      </c>
      <c r="F902" s="215">
        <v>2721</v>
      </c>
      <c r="G902" s="215">
        <v>2781</v>
      </c>
      <c r="H902" s="215">
        <v>2842</v>
      </c>
      <c r="I902" s="215">
        <v>2905</v>
      </c>
      <c r="J902" t="s">
        <v>101</v>
      </c>
    </row>
    <row r="903" spans="1:10" x14ac:dyDescent="0.3">
      <c r="A903" s="286">
        <v>636013</v>
      </c>
      <c r="B903" s="286">
        <v>47201</v>
      </c>
      <c r="E903" s="215">
        <v>10384</v>
      </c>
      <c r="F903" s="215">
        <v>12268.33151980768</v>
      </c>
      <c r="G903" s="215">
        <v>12722.259786040562</v>
      </c>
      <c r="H903" s="215">
        <v>13192.983398124063</v>
      </c>
      <c r="I903" s="215">
        <v>13681.123783854651</v>
      </c>
      <c r="J903" t="s">
        <v>101</v>
      </c>
    </row>
    <row r="904" spans="1:10" x14ac:dyDescent="0.3">
      <c r="A904" s="286">
        <v>636015</v>
      </c>
      <c r="B904" s="286">
        <v>43806</v>
      </c>
      <c r="E904" s="215">
        <v>1054</v>
      </c>
      <c r="F904" s="215">
        <v>0</v>
      </c>
      <c r="G904" s="215">
        <v>0</v>
      </c>
      <c r="H904" s="215">
        <v>0</v>
      </c>
      <c r="I904" s="215">
        <v>0</v>
      </c>
      <c r="J904" t="s">
        <v>101</v>
      </c>
    </row>
    <row r="905" spans="1:10" x14ac:dyDescent="0.3">
      <c r="A905" s="286">
        <v>636016</v>
      </c>
      <c r="B905" s="286">
        <v>42100</v>
      </c>
      <c r="E905" s="215">
        <v>344</v>
      </c>
      <c r="F905" s="215">
        <v>353</v>
      </c>
      <c r="G905" s="215">
        <v>361</v>
      </c>
      <c r="H905" s="215">
        <v>369</v>
      </c>
      <c r="I905" s="215">
        <v>377</v>
      </c>
      <c r="J905" t="s">
        <v>101</v>
      </c>
    </row>
    <row r="906" spans="1:10" x14ac:dyDescent="0.3">
      <c r="A906" s="286">
        <v>636016</v>
      </c>
      <c r="B906" s="286">
        <v>43806</v>
      </c>
      <c r="E906" s="215">
        <v>306</v>
      </c>
      <c r="F906" s="215">
        <v>314</v>
      </c>
      <c r="G906" s="215">
        <v>321</v>
      </c>
      <c r="H906" s="215">
        <v>328</v>
      </c>
      <c r="I906" s="215">
        <v>335</v>
      </c>
      <c r="J906" t="s">
        <v>101</v>
      </c>
    </row>
    <row r="907" spans="1:10" x14ac:dyDescent="0.3">
      <c r="A907" s="286">
        <v>636016</v>
      </c>
      <c r="B907" s="286">
        <v>43817</v>
      </c>
      <c r="E907" s="215">
        <v>2329</v>
      </c>
      <c r="F907" s="215">
        <v>2390</v>
      </c>
      <c r="G907" s="215">
        <v>2443</v>
      </c>
      <c r="H907" s="215">
        <v>2497</v>
      </c>
      <c r="I907" s="215">
        <v>2552</v>
      </c>
      <c r="J907" t="s">
        <v>101</v>
      </c>
    </row>
    <row r="908" spans="1:10" x14ac:dyDescent="0.3">
      <c r="A908" s="286">
        <v>636016</v>
      </c>
      <c r="B908" s="286">
        <v>47201</v>
      </c>
      <c r="E908" s="215">
        <v>4702</v>
      </c>
      <c r="F908" s="215">
        <v>4876.3433412384002</v>
      </c>
      <c r="G908" s="215">
        <v>5056.7680448642204</v>
      </c>
      <c r="H908" s="215">
        <v>5243.8684625241958</v>
      </c>
      <c r="I908" s="215">
        <v>5437.8915956375904</v>
      </c>
      <c r="J908" t="s">
        <v>101</v>
      </c>
    </row>
    <row r="909" spans="1:10" x14ac:dyDescent="0.3">
      <c r="A909" s="286">
        <v>636018</v>
      </c>
      <c r="B909" s="286">
        <v>42100</v>
      </c>
      <c r="E909" s="215">
        <v>639</v>
      </c>
      <c r="F909" s="215">
        <v>656</v>
      </c>
      <c r="G909" s="215">
        <v>670</v>
      </c>
      <c r="H909" s="215">
        <v>685</v>
      </c>
      <c r="I909" s="215">
        <v>700</v>
      </c>
      <c r="J909" t="s">
        <v>101</v>
      </c>
    </row>
    <row r="910" spans="1:10" x14ac:dyDescent="0.3">
      <c r="A910" s="286">
        <v>636018</v>
      </c>
      <c r="B910" s="286">
        <v>43806</v>
      </c>
      <c r="E910" s="215">
        <v>1064</v>
      </c>
      <c r="F910" s="215">
        <v>1092</v>
      </c>
      <c r="G910" s="215">
        <v>1116</v>
      </c>
      <c r="H910" s="215">
        <v>1141</v>
      </c>
      <c r="I910" s="215">
        <v>1166</v>
      </c>
      <c r="J910" t="s">
        <v>101</v>
      </c>
    </row>
    <row r="911" spans="1:10" x14ac:dyDescent="0.3">
      <c r="A911" s="286">
        <v>636018</v>
      </c>
      <c r="B911" s="286">
        <v>43817</v>
      </c>
      <c r="E911" s="215">
        <v>7294</v>
      </c>
      <c r="F911" s="215">
        <v>7484</v>
      </c>
      <c r="G911" s="215">
        <v>7649</v>
      </c>
      <c r="H911" s="215">
        <v>7817</v>
      </c>
      <c r="I911" s="215">
        <v>7989</v>
      </c>
      <c r="J911" t="s">
        <v>101</v>
      </c>
    </row>
    <row r="912" spans="1:10" x14ac:dyDescent="0.3">
      <c r="A912" s="286">
        <v>636018</v>
      </c>
      <c r="B912" s="286">
        <v>47201</v>
      </c>
      <c r="E912" s="215">
        <v>8808</v>
      </c>
      <c r="F912" s="215">
        <v>12248.6092125</v>
      </c>
      <c r="G912" s="215">
        <v>12861.039673125</v>
      </c>
      <c r="H912" s="215">
        <v>13504.091656781251</v>
      </c>
      <c r="I912" s="215">
        <v>14179.296239620315</v>
      </c>
      <c r="J912" t="s">
        <v>101</v>
      </c>
    </row>
    <row r="913" spans="1:10" x14ac:dyDescent="0.3">
      <c r="A913" s="286">
        <v>636019</v>
      </c>
      <c r="B913" s="286">
        <v>42100</v>
      </c>
      <c r="E913" s="215">
        <v>2765</v>
      </c>
      <c r="F913" s="215">
        <v>2837</v>
      </c>
      <c r="G913" s="215">
        <v>2899</v>
      </c>
      <c r="H913" s="215">
        <v>2963</v>
      </c>
      <c r="I913" s="215">
        <v>3028</v>
      </c>
      <c r="J913" t="s">
        <v>101</v>
      </c>
    </row>
    <row r="914" spans="1:10" x14ac:dyDescent="0.3">
      <c r="A914" s="286">
        <v>636019</v>
      </c>
      <c r="B914" s="286">
        <v>43806</v>
      </c>
      <c r="E914" s="215">
        <v>1739</v>
      </c>
      <c r="F914" s="215">
        <v>1784</v>
      </c>
      <c r="G914" s="215">
        <v>1823</v>
      </c>
      <c r="H914" s="215">
        <v>1863</v>
      </c>
      <c r="I914" s="215">
        <v>1904</v>
      </c>
      <c r="J914" t="s">
        <v>101</v>
      </c>
    </row>
    <row r="915" spans="1:10" x14ac:dyDescent="0.3">
      <c r="A915" s="286">
        <v>636019</v>
      </c>
      <c r="B915" s="286">
        <v>43817</v>
      </c>
      <c r="E915" s="215">
        <v>3758</v>
      </c>
      <c r="F915" s="215">
        <v>3856</v>
      </c>
      <c r="G915" s="215">
        <v>3941</v>
      </c>
      <c r="H915" s="215">
        <v>4028</v>
      </c>
      <c r="I915" s="215">
        <v>4117</v>
      </c>
      <c r="J915" t="s">
        <v>101</v>
      </c>
    </row>
    <row r="916" spans="1:10" x14ac:dyDescent="0.3">
      <c r="A916" s="286">
        <v>636019</v>
      </c>
      <c r="B916" s="286">
        <v>47201</v>
      </c>
      <c r="E916" s="215">
        <v>27871</v>
      </c>
      <c r="F916" s="215">
        <v>29264.782713600001</v>
      </c>
      <c r="G916" s="215">
        <v>30728.021849280001</v>
      </c>
      <c r="H916" s="215">
        <v>32264.422941744004</v>
      </c>
      <c r="I916" s="215">
        <v>33877.644088831206</v>
      </c>
      <c r="J916" t="s">
        <v>101</v>
      </c>
    </row>
    <row r="917" spans="1:10" x14ac:dyDescent="0.3">
      <c r="A917" s="286">
        <v>636020</v>
      </c>
      <c r="B917" s="286">
        <v>42100</v>
      </c>
      <c r="E917" s="215">
        <v>1074</v>
      </c>
      <c r="F917" s="215">
        <v>0</v>
      </c>
      <c r="G917" s="215">
        <v>0</v>
      </c>
      <c r="H917" s="215">
        <v>0</v>
      </c>
      <c r="I917" s="215">
        <v>0</v>
      </c>
      <c r="J917" t="s">
        <v>101</v>
      </c>
    </row>
    <row r="918" spans="1:10" x14ac:dyDescent="0.3">
      <c r="A918" s="286">
        <v>636020</v>
      </c>
      <c r="B918" s="286">
        <v>43817</v>
      </c>
      <c r="E918" s="215">
        <v>3499</v>
      </c>
      <c r="F918" s="215">
        <v>0</v>
      </c>
      <c r="G918" s="215">
        <v>0</v>
      </c>
      <c r="H918" s="215">
        <v>0</v>
      </c>
      <c r="I918" s="215">
        <v>0</v>
      </c>
      <c r="J918" t="s">
        <v>101</v>
      </c>
    </row>
    <row r="919" spans="1:10" x14ac:dyDescent="0.3">
      <c r="A919" s="286">
        <v>636020</v>
      </c>
      <c r="B919" s="286">
        <v>47201</v>
      </c>
      <c r="E919" s="215">
        <v>0</v>
      </c>
      <c r="F919" s="215">
        <v>0</v>
      </c>
      <c r="G919" s="215">
        <v>0</v>
      </c>
      <c r="H919" s="215">
        <v>0</v>
      </c>
      <c r="I919" s="215">
        <v>0</v>
      </c>
      <c r="J919" t="s">
        <v>101</v>
      </c>
    </row>
    <row r="920" spans="1:10" x14ac:dyDescent="0.3">
      <c r="A920" s="286">
        <v>636024</v>
      </c>
      <c r="B920" s="286">
        <v>42100</v>
      </c>
      <c r="E920" s="215">
        <v>1850</v>
      </c>
      <c r="F920" s="215">
        <v>1898</v>
      </c>
      <c r="G920" s="215">
        <v>1940</v>
      </c>
      <c r="H920" s="215">
        <v>1983</v>
      </c>
      <c r="I920" s="215">
        <v>2027</v>
      </c>
      <c r="J920" t="s">
        <v>101</v>
      </c>
    </row>
    <row r="921" spans="1:10" x14ac:dyDescent="0.3">
      <c r="A921" s="286">
        <v>636024</v>
      </c>
      <c r="B921" s="286">
        <v>43806</v>
      </c>
      <c r="E921" s="215">
        <v>818</v>
      </c>
      <c r="F921" s="215">
        <v>839</v>
      </c>
      <c r="G921" s="215">
        <v>857</v>
      </c>
      <c r="H921" s="215">
        <v>876</v>
      </c>
      <c r="I921" s="215">
        <v>895</v>
      </c>
      <c r="J921" t="s">
        <v>101</v>
      </c>
    </row>
    <row r="922" spans="1:10" x14ac:dyDescent="0.3">
      <c r="A922" s="286">
        <v>636025</v>
      </c>
      <c r="B922" s="286">
        <v>42100</v>
      </c>
      <c r="E922" s="215">
        <v>3769</v>
      </c>
      <c r="F922" s="215">
        <v>3867</v>
      </c>
      <c r="G922" s="215">
        <v>3952</v>
      </c>
      <c r="H922" s="215">
        <v>4039</v>
      </c>
      <c r="I922" s="215">
        <v>4128</v>
      </c>
      <c r="J922" t="s">
        <v>101</v>
      </c>
    </row>
    <row r="923" spans="1:10" x14ac:dyDescent="0.3">
      <c r="A923" s="286">
        <v>636025</v>
      </c>
      <c r="B923" s="286">
        <v>43806</v>
      </c>
      <c r="E923" s="215">
        <v>1612</v>
      </c>
      <c r="F923" s="215">
        <v>1654</v>
      </c>
      <c r="G923" s="215">
        <v>1690</v>
      </c>
      <c r="H923" s="215">
        <v>1727</v>
      </c>
      <c r="I923" s="215">
        <v>1765</v>
      </c>
      <c r="J923" t="s">
        <v>101</v>
      </c>
    </row>
    <row r="924" spans="1:10" x14ac:dyDescent="0.3">
      <c r="A924" s="286">
        <v>636026</v>
      </c>
      <c r="B924" s="286">
        <v>42100</v>
      </c>
      <c r="E924" s="215">
        <v>570</v>
      </c>
      <c r="F924" s="215">
        <v>585</v>
      </c>
      <c r="G924" s="215">
        <v>598</v>
      </c>
      <c r="H924" s="215">
        <v>611</v>
      </c>
      <c r="I924" s="215">
        <v>624</v>
      </c>
      <c r="J924" t="s">
        <v>101</v>
      </c>
    </row>
    <row r="925" spans="1:10" x14ac:dyDescent="0.3">
      <c r="A925" s="286">
        <v>636026</v>
      </c>
      <c r="B925" s="286">
        <v>43806</v>
      </c>
      <c r="E925" s="215">
        <v>818</v>
      </c>
      <c r="F925" s="215">
        <v>839</v>
      </c>
      <c r="G925" s="215">
        <v>857</v>
      </c>
      <c r="H925" s="215">
        <v>876</v>
      </c>
      <c r="I925" s="215">
        <v>895</v>
      </c>
      <c r="J925" t="s">
        <v>101</v>
      </c>
    </row>
    <row r="926" spans="1:10" x14ac:dyDescent="0.3">
      <c r="A926" s="286">
        <v>636021</v>
      </c>
      <c r="B926" s="286">
        <v>43410</v>
      </c>
      <c r="E926" s="215">
        <v>0</v>
      </c>
      <c r="F926" s="215">
        <v>0</v>
      </c>
      <c r="G926" s="215">
        <v>0</v>
      </c>
      <c r="H926" s="215">
        <v>0</v>
      </c>
      <c r="I926" s="215">
        <v>0</v>
      </c>
      <c r="J926" t="s">
        <v>101</v>
      </c>
    </row>
    <row r="927" spans="1:10" x14ac:dyDescent="0.3">
      <c r="A927" s="286">
        <v>636022</v>
      </c>
      <c r="B927" s="286">
        <v>43410</v>
      </c>
      <c r="E927" s="215">
        <v>31520</v>
      </c>
      <c r="F927" s="215">
        <v>32340</v>
      </c>
      <c r="G927" s="215">
        <v>33050</v>
      </c>
      <c r="H927" s="215">
        <v>33780</v>
      </c>
      <c r="I927" s="215">
        <v>34520</v>
      </c>
      <c r="J927" t="s">
        <v>101</v>
      </c>
    </row>
    <row r="928" spans="1:10" x14ac:dyDescent="0.3">
      <c r="A928" s="286">
        <v>636001</v>
      </c>
      <c r="B928" s="286">
        <v>44360</v>
      </c>
      <c r="E928" s="215">
        <v>671250</v>
      </c>
      <c r="F928" s="215">
        <v>701980</v>
      </c>
      <c r="G928" s="215">
        <v>734090</v>
      </c>
      <c r="H928" s="215">
        <v>767660</v>
      </c>
      <c r="I928" s="215">
        <v>802780</v>
      </c>
      <c r="J928" t="s">
        <v>101</v>
      </c>
    </row>
    <row r="929" spans="1:10" x14ac:dyDescent="0.3">
      <c r="A929" s="286">
        <v>636002</v>
      </c>
      <c r="B929" s="286">
        <v>44380</v>
      </c>
      <c r="E929" s="215">
        <v>7770</v>
      </c>
      <c r="F929" s="215">
        <v>7970</v>
      </c>
      <c r="G929" s="215">
        <v>8150</v>
      </c>
      <c r="H929" s="215">
        <v>8330</v>
      </c>
      <c r="I929" s="215">
        <v>8510</v>
      </c>
      <c r="J929" t="s">
        <v>101</v>
      </c>
    </row>
    <row r="930" spans="1:10" x14ac:dyDescent="0.3">
      <c r="A930" s="286">
        <v>636003</v>
      </c>
      <c r="B930" s="286">
        <v>43812</v>
      </c>
      <c r="E930" s="215">
        <v>29320</v>
      </c>
      <c r="F930" s="215">
        <v>22080</v>
      </c>
      <c r="G930" s="215">
        <v>22560</v>
      </c>
      <c r="H930" s="215">
        <v>23060</v>
      </c>
      <c r="I930" s="215">
        <v>23570</v>
      </c>
      <c r="J930" t="s">
        <v>101</v>
      </c>
    </row>
    <row r="931" spans="1:10" x14ac:dyDescent="0.3">
      <c r="A931" s="286">
        <v>636004</v>
      </c>
      <c r="B931" s="286">
        <v>43812</v>
      </c>
      <c r="E931" s="215">
        <v>5618</v>
      </c>
      <c r="F931" s="215">
        <v>5764</v>
      </c>
      <c r="G931" s="215">
        <v>5891</v>
      </c>
      <c r="H931" s="215">
        <v>6021</v>
      </c>
      <c r="I931" s="215">
        <v>6153</v>
      </c>
      <c r="J931" t="s">
        <v>101</v>
      </c>
    </row>
    <row r="932" spans="1:10" x14ac:dyDescent="0.3">
      <c r="A932" s="286">
        <v>636004</v>
      </c>
      <c r="B932" s="286">
        <v>43812</v>
      </c>
      <c r="E932" s="215">
        <v>-5515</v>
      </c>
      <c r="F932" s="215">
        <v>-5642</v>
      </c>
      <c r="G932" s="215">
        <v>-5642</v>
      </c>
      <c r="H932" s="215">
        <v>-5642</v>
      </c>
      <c r="I932" s="215">
        <v>-5642</v>
      </c>
      <c r="J932" t="s">
        <v>101</v>
      </c>
    </row>
    <row r="933" spans="1:10" x14ac:dyDescent="0.3">
      <c r="A933" s="286">
        <v>636901</v>
      </c>
      <c r="B933" s="286">
        <v>41100</v>
      </c>
      <c r="E933" s="215">
        <v>600668.99</v>
      </c>
      <c r="F933" s="215">
        <v>807384.23</v>
      </c>
      <c r="G933" s="215">
        <v>844524</v>
      </c>
      <c r="H933" s="215">
        <v>883372</v>
      </c>
      <c r="I933" s="215">
        <v>924008</v>
      </c>
      <c r="J933" t="s">
        <v>101</v>
      </c>
    </row>
    <row r="934" spans="1:10" x14ac:dyDescent="0.3">
      <c r="A934" s="286">
        <v>636901</v>
      </c>
      <c r="B934" s="286">
        <v>47300</v>
      </c>
      <c r="E934" s="215">
        <v>82880</v>
      </c>
      <c r="F934" s="215">
        <v>82879</v>
      </c>
      <c r="G934" s="215">
        <v>128546</v>
      </c>
      <c r="H934" s="215">
        <v>128546</v>
      </c>
      <c r="I934" s="215">
        <v>116046</v>
      </c>
      <c r="J934" t="s">
        <v>101</v>
      </c>
    </row>
    <row r="935" spans="1:10" x14ac:dyDescent="0.3">
      <c r="A935" s="286">
        <v>636005</v>
      </c>
      <c r="B935" s="286">
        <v>43806</v>
      </c>
      <c r="E935" s="215">
        <v>4340</v>
      </c>
      <c r="F935" s="215">
        <v>4453</v>
      </c>
      <c r="G935" s="215">
        <v>4551</v>
      </c>
      <c r="H935" s="215">
        <v>4651</v>
      </c>
      <c r="I935" s="215">
        <v>4753</v>
      </c>
      <c r="J935" t="s">
        <v>101</v>
      </c>
    </row>
    <row r="936" spans="1:10" x14ac:dyDescent="0.3">
      <c r="A936" s="286">
        <v>636005</v>
      </c>
      <c r="B936" s="286">
        <v>44380</v>
      </c>
      <c r="E936" s="215">
        <v>218843</v>
      </c>
      <c r="F936" s="215">
        <v>224530</v>
      </c>
      <c r="G936" s="215">
        <v>229470</v>
      </c>
      <c r="H936" s="215">
        <v>234520</v>
      </c>
      <c r="I936" s="215">
        <v>239680</v>
      </c>
      <c r="J936" t="s">
        <v>101</v>
      </c>
    </row>
    <row r="937" spans="1:10" x14ac:dyDescent="0.3">
      <c r="A937" s="286">
        <v>636006</v>
      </c>
      <c r="B937" s="286">
        <v>43812</v>
      </c>
      <c r="E937" s="215">
        <v>7140</v>
      </c>
      <c r="F937" s="215">
        <v>7330</v>
      </c>
      <c r="G937" s="215">
        <v>7490</v>
      </c>
      <c r="H937" s="215">
        <v>7660</v>
      </c>
      <c r="I937" s="215">
        <v>7830</v>
      </c>
      <c r="J937" t="s">
        <v>101</v>
      </c>
    </row>
    <row r="938" spans="1:10" x14ac:dyDescent="0.3">
      <c r="A938" s="286">
        <v>636006</v>
      </c>
      <c r="B938" s="286">
        <v>44360</v>
      </c>
      <c r="E938" s="215">
        <v>790530</v>
      </c>
      <c r="F938" s="215">
        <v>800240</v>
      </c>
      <c r="G938" s="215">
        <v>837050</v>
      </c>
      <c r="H938" s="215">
        <v>875550</v>
      </c>
      <c r="I938" s="215">
        <v>915830</v>
      </c>
      <c r="J938" t="s">
        <v>101</v>
      </c>
    </row>
    <row r="939" spans="1:10" x14ac:dyDescent="0.3">
      <c r="A939" s="286">
        <v>636007</v>
      </c>
      <c r="B939" s="286">
        <v>42100</v>
      </c>
      <c r="E939" s="215">
        <v>602</v>
      </c>
      <c r="F939" s="215">
        <v>618</v>
      </c>
      <c r="G939" s="215">
        <v>632</v>
      </c>
      <c r="H939" s="215">
        <v>646</v>
      </c>
      <c r="I939" s="215">
        <v>660</v>
      </c>
      <c r="J939" t="s">
        <v>101</v>
      </c>
    </row>
    <row r="940" spans="1:10" x14ac:dyDescent="0.3">
      <c r="A940" s="286">
        <v>636007</v>
      </c>
      <c r="B940" s="286">
        <v>43806</v>
      </c>
      <c r="E940" s="215">
        <v>277</v>
      </c>
      <c r="F940" s="215">
        <v>284</v>
      </c>
      <c r="G940" s="215">
        <v>290</v>
      </c>
      <c r="H940" s="215">
        <v>296</v>
      </c>
      <c r="I940" s="215">
        <v>303</v>
      </c>
      <c r="J940" t="s">
        <v>101</v>
      </c>
    </row>
    <row r="941" spans="1:10" x14ac:dyDescent="0.3">
      <c r="A941" s="286">
        <v>636008</v>
      </c>
      <c r="B941" s="286">
        <v>42100</v>
      </c>
      <c r="E941" s="215">
        <v>759</v>
      </c>
      <c r="F941" s="215">
        <v>779</v>
      </c>
      <c r="G941" s="215">
        <v>796</v>
      </c>
      <c r="H941" s="215">
        <v>814</v>
      </c>
      <c r="I941" s="215">
        <v>832</v>
      </c>
      <c r="J941" t="s">
        <v>101</v>
      </c>
    </row>
    <row r="942" spans="1:10" x14ac:dyDescent="0.3">
      <c r="A942" s="286">
        <v>636008</v>
      </c>
      <c r="B942" s="286">
        <v>43806</v>
      </c>
      <c r="E942" s="215">
        <v>50</v>
      </c>
      <c r="F942" s="215">
        <v>51</v>
      </c>
      <c r="G942" s="215">
        <v>52</v>
      </c>
      <c r="H942" s="215">
        <v>53</v>
      </c>
      <c r="I942" s="215">
        <v>54</v>
      </c>
      <c r="J942" t="s">
        <v>101</v>
      </c>
    </row>
    <row r="943" spans="1:10" x14ac:dyDescent="0.3">
      <c r="A943" s="286">
        <v>636008</v>
      </c>
      <c r="B943" s="286">
        <v>44380</v>
      </c>
      <c r="E943" s="215">
        <v>16028</v>
      </c>
      <c r="F943" s="215">
        <v>16445</v>
      </c>
      <c r="G943" s="215">
        <v>16807</v>
      </c>
      <c r="H943" s="215">
        <v>17177</v>
      </c>
      <c r="I943" s="215">
        <v>17555</v>
      </c>
      <c r="J943" t="s">
        <v>101</v>
      </c>
    </row>
    <row r="944" spans="1:10" x14ac:dyDescent="0.3">
      <c r="A944" s="286">
        <v>636008</v>
      </c>
      <c r="B944" s="286">
        <v>47201</v>
      </c>
      <c r="E944" s="215">
        <v>4269</v>
      </c>
      <c r="F944" s="215">
        <v>4426.5599970763196</v>
      </c>
      <c r="G944" s="215">
        <v>4590.3427169681427</v>
      </c>
      <c r="H944" s="215">
        <v>4760.185397495964</v>
      </c>
      <c r="I944" s="215">
        <v>4936.3122572033144</v>
      </c>
      <c r="J944" t="s">
        <v>101</v>
      </c>
    </row>
    <row r="945" spans="1:10" x14ac:dyDescent="0.3">
      <c r="A945" s="286">
        <v>636009</v>
      </c>
      <c r="B945" s="286">
        <v>44380</v>
      </c>
      <c r="E945" s="215">
        <v>238890</v>
      </c>
      <c r="F945" s="215">
        <v>218850</v>
      </c>
      <c r="G945" s="215">
        <v>229340</v>
      </c>
      <c r="H945" s="215">
        <v>240370</v>
      </c>
      <c r="I945" s="215">
        <v>251940</v>
      </c>
      <c r="J945" t="s">
        <v>101</v>
      </c>
    </row>
    <row r="946" spans="1:10" x14ac:dyDescent="0.3">
      <c r="A946" s="286">
        <v>636010</v>
      </c>
      <c r="B946" s="286">
        <v>43812</v>
      </c>
      <c r="E946" s="215">
        <v>0</v>
      </c>
      <c r="F946" s="215">
        <v>0</v>
      </c>
      <c r="G946" s="215">
        <v>0</v>
      </c>
      <c r="H946" s="215">
        <v>0</v>
      </c>
      <c r="I946" s="215">
        <v>0</v>
      </c>
      <c r="J946" t="s">
        <v>101</v>
      </c>
    </row>
    <row r="947" spans="1:10" x14ac:dyDescent="0.3">
      <c r="A947" s="286">
        <v>636010</v>
      </c>
      <c r="B947" s="286">
        <v>44380</v>
      </c>
      <c r="E947" s="215">
        <v>77400</v>
      </c>
      <c r="F947" s="215">
        <v>79410</v>
      </c>
      <c r="G947" s="215">
        <v>81160</v>
      </c>
      <c r="H947" s="215">
        <v>82950</v>
      </c>
      <c r="I947" s="215">
        <v>84770</v>
      </c>
      <c r="J947" t="s">
        <v>101</v>
      </c>
    </row>
    <row r="948" spans="1:10" x14ac:dyDescent="0.3">
      <c r="A948" s="286">
        <v>636011</v>
      </c>
      <c r="B948" s="286">
        <v>44380</v>
      </c>
      <c r="E948" s="215">
        <v>0</v>
      </c>
      <c r="F948" s="215">
        <v>0</v>
      </c>
      <c r="G948" s="215">
        <v>0</v>
      </c>
      <c r="H948" s="215">
        <v>0</v>
      </c>
      <c r="I948" s="215">
        <v>0</v>
      </c>
      <c r="J948" t="s">
        <v>101</v>
      </c>
    </row>
    <row r="949" spans="1:10" x14ac:dyDescent="0.3">
      <c r="A949" s="286">
        <v>636023</v>
      </c>
      <c r="B949" s="286">
        <v>43812</v>
      </c>
      <c r="E949" s="215">
        <v>16180</v>
      </c>
      <c r="F949" s="215">
        <v>16600</v>
      </c>
      <c r="G949" s="215">
        <v>16970</v>
      </c>
      <c r="H949" s="215">
        <v>17350</v>
      </c>
      <c r="I949" s="215">
        <v>17730</v>
      </c>
      <c r="J949" t="s">
        <v>101</v>
      </c>
    </row>
    <row r="950" spans="1:10" x14ac:dyDescent="0.3">
      <c r="A950" s="286">
        <v>636027</v>
      </c>
      <c r="B950" s="286">
        <v>42100</v>
      </c>
      <c r="E950" s="215">
        <v>4371</v>
      </c>
      <c r="F950" s="215">
        <v>4485</v>
      </c>
      <c r="G950" s="215">
        <v>4584</v>
      </c>
      <c r="H950" s="215">
        <v>4685</v>
      </c>
      <c r="I950" s="215">
        <v>4788</v>
      </c>
      <c r="J950" t="s">
        <v>101</v>
      </c>
    </row>
    <row r="951" spans="1:10" x14ac:dyDescent="0.3">
      <c r="A951" s="286">
        <v>636027</v>
      </c>
      <c r="B951" s="286">
        <v>43806</v>
      </c>
      <c r="E951" s="215">
        <v>2470</v>
      </c>
      <c r="F951" s="215">
        <v>2534</v>
      </c>
      <c r="G951" s="215">
        <v>2590</v>
      </c>
      <c r="H951" s="215">
        <v>2647</v>
      </c>
      <c r="I951" s="215">
        <v>2705</v>
      </c>
      <c r="J951" t="s">
        <v>101</v>
      </c>
    </row>
    <row r="952" spans="1:10" x14ac:dyDescent="0.3">
      <c r="A952" s="286">
        <v>636027</v>
      </c>
      <c r="B952" s="286">
        <v>43817</v>
      </c>
      <c r="E952" s="215">
        <v>9300</v>
      </c>
      <c r="F952" s="215">
        <v>9500</v>
      </c>
      <c r="G952" s="215">
        <v>9700</v>
      </c>
      <c r="H952" s="215">
        <v>9900</v>
      </c>
      <c r="I952" s="215">
        <v>10100</v>
      </c>
      <c r="J952" t="s">
        <v>101</v>
      </c>
    </row>
    <row r="953" spans="1:10" x14ac:dyDescent="0.3">
      <c r="A953" s="286">
        <v>636027</v>
      </c>
      <c r="B953" s="286">
        <v>47201</v>
      </c>
      <c r="E953" s="215">
        <v>22794</v>
      </c>
      <c r="F953" s="215">
        <v>23933.719095551998</v>
      </c>
      <c r="G953" s="215">
        <v>25130.405050329598</v>
      </c>
      <c r="H953" s="215">
        <v>26386.925302846081</v>
      </c>
      <c r="I953" s="215">
        <v>27706.271567988388</v>
      </c>
      <c r="J953" t="s">
        <v>101</v>
      </c>
    </row>
    <row r="954" spans="1:10" x14ac:dyDescent="0.3">
      <c r="A954" s="286">
        <v>636028</v>
      </c>
      <c r="B954" s="286">
        <v>43812</v>
      </c>
      <c r="E954" s="215">
        <v>68230</v>
      </c>
      <c r="F954" s="215">
        <v>70000</v>
      </c>
      <c r="G954" s="215">
        <v>71540</v>
      </c>
      <c r="H954" s="215">
        <v>73110</v>
      </c>
      <c r="I954" s="215">
        <v>74720</v>
      </c>
      <c r="J954" t="s">
        <v>101</v>
      </c>
    </row>
    <row r="955" spans="1:10" x14ac:dyDescent="0.3">
      <c r="A955" s="286">
        <v>636036</v>
      </c>
      <c r="B955" s="286">
        <v>44380</v>
      </c>
      <c r="E955" s="215">
        <v>70914</v>
      </c>
      <c r="F955" s="215">
        <v>26172</v>
      </c>
      <c r="G955" s="215">
        <v>26172</v>
      </c>
      <c r="H955" s="215">
        <v>26172</v>
      </c>
      <c r="I955" s="215">
        <v>26172</v>
      </c>
      <c r="J955" t="s">
        <v>101</v>
      </c>
    </row>
    <row r="956" spans="1:10" x14ac:dyDescent="0.3">
      <c r="A956" s="286">
        <v>636037</v>
      </c>
      <c r="B956" s="286">
        <v>44380</v>
      </c>
      <c r="E956" s="215">
        <v>53745</v>
      </c>
      <c r="F956" s="215">
        <v>41972</v>
      </c>
      <c r="G956" s="215">
        <v>41972</v>
      </c>
      <c r="H956" s="215">
        <v>41972</v>
      </c>
      <c r="I956" s="215">
        <v>41972</v>
      </c>
      <c r="J956" t="s">
        <v>101</v>
      </c>
    </row>
    <row r="957" spans="1:10" x14ac:dyDescent="0.3">
      <c r="A957" s="286">
        <v>636038</v>
      </c>
      <c r="B957" s="286">
        <v>44380</v>
      </c>
      <c r="E957" s="215">
        <v>14929</v>
      </c>
      <c r="F957" s="215">
        <v>13990</v>
      </c>
      <c r="G957" s="215">
        <v>13990</v>
      </c>
      <c r="H957" s="215">
        <v>13990</v>
      </c>
      <c r="I957" s="215">
        <v>13990</v>
      </c>
      <c r="J957" t="s">
        <v>101</v>
      </c>
    </row>
    <row r="958" spans="1:10" x14ac:dyDescent="0.3">
      <c r="A958" s="286">
        <v>636039</v>
      </c>
      <c r="B958" s="286">
        <v>44380</v>
      </c>
      <c r="E958" s="215">
        <v>11943</v>
      </c>
      <c r="F958" s="215">
        <v>0</v>
      </c>
      <c r="G958" s="215">
        <v>0</v>
      </c>
      <c r="H958" s="215">
        <v>0</v>
      </c>
      <c r="I958" s="215">
        <v>0</v>
      </c>
      <c r="J958" t="s">
        <v>101</v>
      </c>
    </row>
    <row r="959" spans="1:10" x14ac:dyDescent="0.3">
      <c r="A959" s="286">
        <v>636040</v>
      </c>
      <c r="B959" s="286">
        <v>44380</v>
      </c>
      <c r="E959" s="215">
        <v>17169</v>
      </c>
      <c r="F959" s="215">
        <v>20987</v>
      </c>
      <c r="G959" s="215">
        <v>20987</v>
      </c>
      <c r="H959" s="215">
        <v>20987</v>
      </c>
      <c r="I959" s="215">
        <v>20987</v>
      </c>
      <c r="J959" t="s">
        <v>101</v>
      </c>
    </row>
    <row r="960" spans="1:10" x14ac:dyDescent="0.3">
      <c r="A960" s="286">
        <v>636042</v>
      </c>
      <c r="B960" s="286">
        <v>43812</v>
      </c>
      <c r="E960" s="215">
        <v>0</v>
      </c>
      <c r="F960" s="215">
        <v>27700</v>
      </c>
      <c r="G960" s="215">
        <v>28310</v>
      </c>
      <c r="H960" s="215">
        <v>28930</v>
      </c>
      <c r="I960" s="215">
        <v>29570</v>
      </c>
      <c r="J960" t="s">
        <v>101</v>
      </c>
    </row>
    <row r="961" spans="1:10" x14ac:dyDescent="0.3">
      <c r="A961" s="286">
        <v>636043</v>
      </c>
      <c r="B961" s="286">
        <v>43812</v>
      </c>
      <c r="E961" s="215">
        <v>0</v>
      </c>
      <c r="F961" s="215">
        <v>10260</v>
      </c>
      <c r="G961" s="215">
        <v>10490</v>
      </c>
      <c r="H961" s="215">
        <v>10720</v>
      </c>
      <c r="I961" s="215">
        <v>10960</v>
      </c>
      <c r="J961" t="s">
        <v>101</v>
      </c>
    </row>
    <row r="962" spans="1:10" x14ac:dyDescent="0.3">
      <c r="A962" s="286">
        <v>636012</v>
      </c>
      <c r="B962" s="286">
        <v>83600</v>
      </c>
      <c r="E962" s="215">
        <v>-22838</v>
      </c>
      <c r="F962" s="215">
        <v>-23591</v>
      </c>
      <c r="G962" s="215">
        <v>-24110</v>
      </c>
      <c r="H962" s="215">
        <v>-24640</v>
      </c>
      <c r="I962" s="215">
        <v>-25180</v>
      </c>
      <c r="J962" t="s">
        <v>101</v>
      </c>
    </row>
    <row r="963" spans="1:10" x14ac:dyDescent="0.3">
      <c r="A963" s="286">
        <v>636013</v>
      </c>
      <c r="B963" s="286">
        <v>83600</v>
      </c>
      <c r="E963" s="215">
        <v>-44881</v>
      </c>
      <c r="F963" s="215">
        <v>-46361</v>
      </c>
      <c r="G963" s="215">
        <v>-47380</v>
      </c>
      <c r="H963" s="215">
        <v>-48420</v>
      </c>
      <c r="I963" s="215">
        <v>-49490</v>
      </c>
      <c r="J963" t="s">
        <v>101</v>
      </c>
    </row>
    <row r="964" spans="1:10" x14ac:dyDescent="0.3">
      <c r="A964" s="286">
        <v>636016</v>
      </c>
      <c r="B964" s="286">
        <v>83600</v>
      </c>
      <c r="E964" s="215">
        <v>-22393</v>
      </c>
      <c r="F964" s="215">
        <v>-23199</v>
      </c>
      <c r="G964" s="215">
        <v>-23710</v>
      </c>
      <c r="H964" s="215">
        <v>-24230</v>
      </c>
      <c r="I964" s="215">
        <v>-24760</v>
      </c>
      <c r="J964" t="s">
        <v>101</v>
      </c>
    </row>
    <row r="965" spans="1:10" x14ac:dyDescent="0.3">
      <c r="A965" s="286">
        <v>636018</v>
      </c>
      <c r="B965" s="286">
        <v>83600</v>
      </c>
      <c r="E965" s="215">
        <v>-80895</v>
      </c>
      <c r="F965" s="215">
        <v>-83564</v>
      </c>
      <c r="G965" s="215">
        <v>-85400</v>
      </c>
      <c r="H965" s="215">
        <v>-87280</v>
      </c>
      <c r="I965" s="215">
        <v>-89200</v>
      </c>
      <c r="J965" t="s">
        <v>101</v>
      </c>
    </row>
    <row r="966" spans="1:10" x14ac:dyDescent="0.3">
      <c r="A966" s="286">
        <v>636019</v>
      </c>
      <c r="B966" s="286">
        <v>83600</v>
      </c>
      <c r="E966" s="215">
        <v>-128131</v>
      </c>
      <c r="F966" s="215">
        <v>-132357</v>
      </c>
      <c r="G966" s="215">
        <v>-135270</v>
      </c>
      <c r="H966" s="215">
        <v>-138250</v>
      </c>
      <c r="I966" s="215">
        <v>-141290</v>
      </c>
      <c r="J966" t="s">
        <v>101</v>
      </c>
    </row>
    <row r="967" spans="1:10" x14ac:dyDescent="0.3">
      <c r="A967" s="286">
        <v>636020</v>
      </c>
      <c r="B967" s="286">
        <v>83600</v>
      </c>
      <c r="E967" s="215">
        <v>-74988</v>
      </c>
      <c r="F967" s="215">
        <v>0</v>
      </c>
      <c r="G967" s="215">
        <v>0</v>
      </c>
      <c r="H967" s="215">
        <v>0</v>
      </c>
      <c r="I967" s="215">
        <v>0</v>
      </c>
      <c r="J967" t="s">
        <v>101</v>
      </c>
    </row>
    <row r="968" spans="1:10" x14ac:dyDescent="0.3">
      <c r="A968" s="286">
        <v>636007</v>
      </c>
      <c r="B968" s="286">
        <v>83600</v>
      </c>
      <c r="E968" s="215">
        <v>-3290</v>
      </c>
      <c r="F968" s="215">
        <v>-3408</v>
      </c>
      <c r="G968" s="215">
        <v>-3482</v>
      </c>
      <c r="H968" s="215">
        <v>-3552</v>
      </c>
      <c r="I968" s="215">
        <v>-3622</v>
      </c>
      <c r="J968" t="s">
        <v>101</v>
      </c>
    </row>
    <row r="969" spans="1:10" x14ac:dyDescent="0.3">
      <c r="A969" s="286">
        <v>636008</v>
      </c>
      <c r="B969" s="286">
        <v>83600</v>
      </c>
      <c r="E969" s="215">
        <v>-10548</v>
      </c>
      <c r="F969" s="215">
        <v>-10928</v>
      </c>
      <c r="G969" s="215">
        <v>-11170</v>
      </c>
      <c r="H969" s="215">
        <v>-11420</v>
      </c>
      <c r="I969" s="215">
        <v>-11670</v>
      </c>
      <c r="J969" t="s">
        <v>101</v>
      </c>
    </row>
    <row r="970" spans="1:10" x14ac:dyDescent="0.3">
      <c r="A970" s="286">
        <v>636024</v>
      </c>
      <c r="B970" s="286">
        <v>83600</v>
      </c>
      <c r="E970" s="215">
        <v>-58810</v>
      </c>
      <c r="F970" s="215">
        <v>-60750</v>
      </c>
      <c r="G970" s="215">
        <v>-62090</v>
      </c>
      <c r="H970" s="215">
        <v>-63460</v>
      </c>
      <c r="I970" s="215">
        <v>-64860</v>
      </c>
      <c r="J970" t="s">
        <v>101</v>
      </c>
    </row>
    <row r="971" spans="1:10" x14ac:dyDescent="0.3">
      <c r="A971" s="286">
        <v>636025</v>
      </c>
      <c r="B971" s="286">
        <v>83600</v>
      </c>
      <c r="E971" s="215">
        <v>-88419</v>
      </c>
      <c r="F971" s="215">
        <v>-91335</v>
      </c>
      <c r="G971" s="215">
        <v>-93340</v>
      </c>
      <c r="H971" s="215">
        <v>-95390</v>
      </c>
      <c r="I971" s="215">
        <v>-97490</v>
      </c>
      <c r="J971" t="s">
        <v>101</v>
      </c>
    </row>
    <row r="972" spans="1:10" x14ac:dyDescent="0.3">
      <c r="A972" s="286">
        <v>636026</v>
      </c>
      <c r="B972" s="286">
        <v>83600</v>
      </c>
      <c r="E972" s="215">
        <v>-42464</v>
      </c>
      <c r="F972" s="215">
        <v>-44963</v>
      </c>
      <c r="G972" s="215">
        <v>-45950</v>
      </c>
      <c r="H972" s="215">
        <v>-46960</v>
      </c>
      <c r="I972" s="215">
        <v>-47990</v>
      </c>
      <c r="J972" t="s">
        <v>101</v>
      </c>
    </row>
    <row r="973" spans="1:10" x14ac:dyDescent="0.3">
      <c r="A973" s="286">
        <v>636044</v>
      </c>
      <c r="B973" s="286">
        <v>83600</v>
      </c>
      <c r="E973" s="215">
        <v>0</v>
      </c>
      <c r="F973" s="215">
        <v>-28587.33</v>
      </c>
      <c r="G973" s="215">
        <v>-29220</v>
      </c>
      <c r="H973" s="215">
        <v>-29860</v>
      </c>
      <c r="I973" s="215">
        <v>-30520</v>
      </c>
      <c r="J973" t="s">
        <v>101</v>
      </c>
    </row>
    <row r="974" spans="1:10" x14ac:dyDescent="0.3">
      <c r="A974" s="286">
        <v>636045</v>
      </c>
      <c r="B974" s="286">
        <v>83600</v>
      </c>
      <c r="E974" s="215">
        <v>0</v>
      </c>
      <c r="F974" s="215">
        <v>-34874.351999999999</v>
      </c>
      <c r="G974" s="215">
        <v>-35640</v>
      </c>
      <c r="H974" s="215">
        <v>-36420</v>
      </c>
      <c r="I974" s="215">
        <v>-37220</v>
      </c>
      <c r="J974" t="s">
        <v>101</v>
      </c>
    </row>
    <row r="975" spans="1:10" x14ac:dyDescent="0.3">
      <c r="A975" s="286">
        <v>636046</v>
      </c>
      <c r="B975" s="286">
        <v>83600</v>
      </c>
      <c r="E975" s="215">
        <v>0</v>
      </c>
      <c r="F975" s="215">
        <v>-22224.42</v>
      </c>
      <c r="G975" s="215">
        <v>-22710</v>
      </c>
      <c r="H975" s="215">
        <v>-23210</v>
      </c>
      <c r="I975" s="215">
        <v>-23720</v>
      </c>
      <c r="J975" t="s">
        <v>101</v>
      </c>
    </row>
    <row r="976" spans="1:10" x14ac:dyDescent="0.3">
      <c r="A976" s="286">
        <v>636027</v>
      </c>
      <c r="B976" s="286">
        <v>83600</v>
      </c>
      <c r="E976" s="215">
        <v>-128512</v>
      </c>
      <c r="F976" s="215">
        <v>-128346</v>
      </c>
      <c r="G976" s="215">
        <v>-131170</v>
      </c>
      <c r="H976" s="215">
        <v>-134056</v>
      </c>
      <c r="I976" s="215">
        <v>-137005</v>
      </c>
      <c r="J976" t="s">
        <v>101</v>
      </c>
    </row>
    <row r="977" spans="1:10" x14ac:dyDescent="0.3">
      <c r="A977" s="286">
        <v>636036</v>
      </c>
      <c r="B977" s="286">
        <v>84310</v>
      </c>
      <c r="E977" s="215">
        <v>-70914</v>
      </c>
      <c r="F977" s="215">
        <v>-76172</v>
      </c>
      <c r="G977" s="215">
        <v>-76172</v>
      </c>
      <c r="H977" s="215">
        <v>-76172</v>
      </c>
      <c r="I977" s="215">
        <v>-76172</v>
      </c>
      <c r="J977" t="s">
        <v>101</v>
      </c>
    </row>
    <row r="978" spans="1:10" x14ac:dyDescent="0.3">
      <c r="A978" s="286">
        <v>636037</v>
      </c>
      <c r="B978" s="286">
        <v>84310</v>
      </c>
      <c r="E978" s="215">
        <v>-53745</v>
      </c>
      <c r="F978" s="215">
        <v>-41972</v>
      </c>
      <c r="G978" s="215">
        <v>-41972</v>
      </c>
      <c r="H978" s="215">
        <v>-41972</v>
      </c>
      <c r="I978" s="215">
        <v>-41972</v>
      </c>
      <c r="J978" t="s">
        <v>101</v>
      </c>
    </row>
    <row r="979" spans="1:10" x14ac:dyDescent="0.3">
      <c r="A979" s="286">
        <v>636038</v>
      </c>
      <c r="B979" s="286">
        <v>84310</v>
      </c>
      <c r="E979" s="215">
        <v>-14929</v>
      </c>
      <c r="F979" s="215">
        <v>-13990</v>
      </c>
      <c r="G979" s="215">
        <v>-13990</v>
      </c>
      <c r="H979" s="215">
        <v>-13990</v>
      </c>
      <c r="I979" s="215">
        <v>-13990</v>
      </c>
      <c r="J979" t="s">
        <v>101</v>
      </c>
    </row>
    <row r="980" spans="1:10" x14ac:dyDescent="0.3">
      <c r="A980" s="286">
        <v>636039</v>
      </c>
      <c r="B980" s="286">
        <v>84310</v>
      </c>
      <c r="E980" s="215">
        <v>-11943</v>
      </c>
      <c r="F980" s="215">
        <v>0</v>
      </c>
      <c r="G980" s="215">
        <v>0</v>
      </c>
      <c r="H980" s="215">
        <v>0</v>
      </c>
      <c r="I980" s="215">
        <v>0</v>
      </c>
      <c r="J980" t="s">
        <v>101</v>
      </c>
    </row>
    <row r="981" spans="1:10" x14ac:dyDescent="0.3">
      <c r="A981" s="286">
        <v>636040</v>
      </c>
      <c r="B981" s="286">
        <v>84310</v>
      </c>
      <c r="E981" s="215">
        <v>-17169</v>
      </c>
      <c r="F981" s="215">
        <v>-20987</v>
      </c>
      <c r="G981" s="215">
        <v>-20987</v>
      </c>
      <c r="H981" s="215">
        <v>-20987</v>
      </c>
      <c r="I981" s="215">
        <v>-20987</v>
      </c>
      <c r="J981" t="s">
        <v>101</v>
      </c>
    </row>
    <row r="982" spans="1:10" x14ac:dyDescent="0.3">
      <c r="A982" s="286">
        <v>676001</v>
      </c>
      <c r="B982" s="286">
        <v>44380</v>
      </c>
      <c r="E982" s="215">
        <v>0</v>
      </c>
      <c r="F982" s="215">
        <v>0</v>
      </c>
      <c r="G982" s="215">
        <v>0</v>
      </c>
      <c r="H982" s="215">
        <v>0</v>
      </c>
      <c r="I982" s="215">
        <v>0</v>
      </c>
      <c r="J982" t="s">
        <v>102</v>
      </c>
    </row>
    <row r="983" spans="1:10" x14ac:dyDescent="0.3">
      <c r="A983" s="286">
        <v>676002</v>
      </c>
      <c r="B983" s="286">
        <v>44380</v>
      </c>
      <c r="E983" s="215">
        <v>262500</v>
      </c>
      <c r="F983" s="215">
        <v>270000</v>
      </c>
      <c r="G983" s="215">
        <v>277800</v>
      </c>
      <c r="H983" s="215">
        <v>286000</v>
      </c>
      <c r="I983" s="215">
        <v>294600</v>
      </c>
      <c r="J983" t="s">
        <v>102</v>
      </c>
    </row>
    <row r="984" spans="1:10" x14ac:dyDescent="0.3">
      <c r="A984" s="286">
        <v>676003</v>
      </c>
      <c r="B984" s="286">
        <v>44380</v>
      </c>
      <c r="E984" s="215">
        <v>591300</v>
      </c>
      <c r="F984" s="215">
        <v>605700</v>
      </c>
      <c r="G984" s="215">
        <v>633500</v>
      </c>
      <c r="H984" s="215">
        <v>662700</v>
      </c>
      <c r="I984" s="215">
        <v>693300</v>
      </c>
      <c r="J984" t="s">
        <v>102</v>
      </c>
    </row>
    <row r="985" spans="1:10" x14ac:dyDescent="0.3">
      <c r="A985" s="286">
        <v>676004</v>
      </c>
      <c r="B985" s="286">
        <v>44380</v>
      </c>
      <c r="E985" s="215">
        <v>1012790</v>
      </c>
      <c r="F985" s="215">
        <v>1227380</v>
      </c>
      <c r="G985" s="215">
        <v>1284110</v>
      </c>
      <c r="H985" s="215">
        <v>1159080</v>
      </c>
      <c r="I985" s="215">
        <v>1212400</v>
      </c>
      <c r="J985" t="s">
        <v>102</v>
      </c>
    </row>
    <row r="986" spans="1:10" x14ac:dyDescent="0.3">
      <c r="A986" s="286">
        <v>676901</v>
      </c>
      <c r="B986" s="286">
        <v>41100</v>
      </c>
      <c r="E986" s="215">
        <v>0</v>
      </c>
      <c r="F986" s="215">
        <v>102000</v>
      </c>
      <c r="G986" s="215">
        <v>204244</v>
      </c>
      <c r="H986" s="215">
        <v>208737</v>
      </c>
      <c r="I986" s="215">
        <v>213329</v>
      </c>
      <c r="J986" t="s">
        <v>102</v>
      </c>
    </row>
    <row r="987" spans="1:10" x14ac:dyDescent="0.3">
      <c r="A987" s="286">
        <v>677001</v>
      </c>
      <c r="B987" s="286">
        <v>42100</v>
      </c>
      <c r="E987" s="215">
        <v>4153</v>
      </c>
      <c r="F987" s="215">
        <v>4261</v>
      </c>
      <c r="G987" s="215">
        <v>4355</v>
      </c>
      <c r="H987" s="215">
        <v>4451</v>
      </c>
      <c r="I987" s="215">
        <v>4549</v>
      </c>
      <c r="J987" t="s">
        <v>103</v>
      </c>
    </row>
    <row r="988" spans="1:10" x14ac:dyDescent="0.3">
      <c r="A988" s="286">
        <v>677001</v>
      </c>
      <c r="B988" s="286">
        <v>43802</v>
      </c>
      <c r="E988" s="215">
        <v>17639</v>
      </c>
      <c r="F988" s="215">
        <v>18098</v>
      </c>
      <c r="G988" s="215">
        <v>18496</v>
      </c>
      <c r="H988" s="215">
        <v>18903</v>
      </c>
      <c r="I988" s="215">
        <v>19319</v>
      </c>
      <c r="J988" t="s">
        <v>103</v>
      </c>
    </row>
    <row r="989" spans="1:10" x14ac:dyDescent="0.3">
      <c r="A989" s="286">
        <v>677001</v>
      </c>
      <c r="B989" s="286">
        <v>43806</v>
      </c>
      <c r="E989" s="215">
        <v>253</v>
      </c>
      <c r="F989" s="215">
        <v>260</v>
      </c>
      <c r="G989" s="215">
        <v>266</v>
      </c>
      <c r="H989" s="215">
        <v>272</v>
      </c>
      <c r="I989" s="215">
        <v>278</v>
      </c>
      <c r="J989" t="s">
        <v>103</v>
      </c>
    </row>
    <row r="990" spans="1:10" x14ac:dyDescent="0.3">
      <c r="A990" s="286">
        <v>677001</v>
      </c>
      <c r="B990" s="286">
        <v>43812</v>
      </c>
      <c r="E990" s="215">
        <v>117720</v>
      </c>
      <c r="F990" s="215">
        <v>120790</v>
      </c>
      <c r="G990" s="215">
        <v>123450</v>
      </c>
      <c r="H990" s="215">
        <v>126170</v>
      </c>
      <c r="I990" s="215">
        <v>128950</v>
      </c>
      <c r="J990" t="s">
        <v>103</v>
      </c>
    </row>
    <row r="991" spans="1:10" x14ac:dyDescent="0.3">
      <c r="A991" s="286">
        <v>677001</v>
      </c>
      <c r="B991" s="286">
        <v>43817</v>
      </c>
      <c r="E991" s="215">
        <v>9600</v>
      </c>
      <c r="F991" s="215">
        <v>9850</v>
      </c>
      <c r="G991" s="215">
        <v>10070</v>
      </c>
      <c r="H991" s="215">
        <v>10290</v>
      </c>
      <c r="I991" s="215">
        <v>10520</v>
      </c>
      <c r="J991" t="s">
        <v>103</v>
      </c>
    </row>
    <row r="992" spans="1:10" x14ac:dyDescent="0.3">
      <c r="A992" s="286">
        <v>677001</v>
      </c>
      <c r="B992" s="286">
        <v>47201</v>
      </c>
      <c r="E992" s="215">
        <v>21033</v>
      </c>
      <c r="F992" s="215">
        <v>22084.300350000001</v>
      </c>
      <c r="G992" s="215">
        <v>23188.515367500004</v>
      </c>
      <c r="H992" s="215">
        <v>24347.941135875004</v>
      </c>
      <c r="I992" s="215">
        <v>25565.338192668754</v>
      </c>
      <c r="J992" t="s">
        <v>103</v>
      </c>
    </row>
    <row r="993" spans="1:10" x14ac:dyDescent="0.3">
      <c r="A993" s="286">
        <v>677002</v>
      </c>
      <c r="B993" s="286">
        <v>44380</v>
      </c>
      <c r="E993" s="215">
        <v>904100</v>
      </c>
      <c r="F993" s="215">
        <v>364600</v>
      </c>
      <c r="G993" s="215">
        <v>381419</v>
      </c>
      <c r="H993" s="215">
        <v>398958</v>
      </c>
      <c r="I993" s="215">
        <v>417304</v>
      </c>
      <c r="J993" t="s">
        <v>103</v>
      </c>
    </row>
    <row r="994" spans="1:10" x14ac:dyDescent="0.3">
      <c r="A994" s="286">
        <v>677901</v>
      </c>
      <c r="B994" s="286">
        <v>41100</v>
      </c>
      <c r="E994" s="215">
        <v>104738</v>
      </c>
      <c r="F994" s="215">
        <v>99714</v>
      </c>
      <c r="G994" s="215">
        <v>104301</v>
      </c>
      <c r="H994" s="215">
        <v>109099</v>
      </c>
      <c r="I994" s="215">
        <v>114117</v>
      </c>
      <c r="J994" t="s">
        <v>103</v>
      </c>
    </row>
    <row r="995" spans="1:10" x14ac:dyDescent="0.3">
      <c r="A995" s="286">
        <v>677901</v>
      </c>
      <c r="B995" s="286">
        <v>47300</v>
      </c>
      <c r="E995" s="215">
        <v>28062</v>
      </c>
      <c r="F995" s="215">
        <v>28062</v>
      </c>
      <c r="G995" s="215">
        <v>33328</v>
      </c>
      <c r="H995" s="215">
        <v>8317</v>
      </c>
      <c r="I995" s="215">
        <v>5267</v>
      </c>
      <c r="J995" t="s">
        <v>103</v>
      </c>
    </row>
    <row r="996" spans="1:10" x14ac:dyDescent="0.3">
      <c r="A996" s="286">
        <v>677001</v>
      </c>
      <c r="B996" s="286">
        <v>83600</v>
      </c>
      <c r="E996" s="215">
        <v>-170444</v>
      </c>
      <c r="F996" s="215">
        <v>-117736</v>
      </c>
      <c r="G996" s="215">
        <v>-120326</v>
      </c>
      <c r="H996" s="215">
        <v>-122973</v>
      </c>
      <c r="I996" s="215">
        <v>-125679</v>
      </c>
      <c r="J996" t="s">
        <v>103</v>
      </c>
    </row>
    <row r="997" spans="1:10" x14ac:dyDescent="0.3">
      <c r="A997" s="286">
        <v>638002</v>
      </c>
      <c r="B997" s="286">
        <v>44110</v>
      </c>
      <c r="E997" s="215">
        <v>6130000</v>
      </c>
      <c r="F997" s="215">
        <v>5900000</v>
      </c>
      <c r="G997" s="215">
        <v>5900000</v>
      </c>
      <c r="H997" s="215">
        <v>5900000</v>
      </c>
      <c r="I997" s="215">
        <v>5900000</v>
      </c>
      <c r="J997" t="s">
        <v>104</v>
      </c>
    </row>
    <row r="998" spans="1:10" x14ac:dyDescent="0.3">
      <c r="A998" s="286">
        <v>638004</v>
      </c>
      <c r="B998" s="286">
        <v>43812</v>
      </c>
      <c r="E998" s="215">
        <v>105360</v>
      </c>
      <c r="F998" s="215">
        <v>96000</v>
      </c>
      <c r="G998" s="215">
        <v>100740</v>
      </c>
      <c r="H998" s="215">
        <v>100290</v>
      </c>
      <c r="I998" s="215">
        <v>105340</v>
      </c>
      <c r="J998" t="s">
        <v>104</v>
      </c>
    </row>
    <row r="999" spans="1:10" x14ac:dyDescent="0.3">
      <c r="A999" s="286">
        <v>638005</v>
      </c>
      <c r="B999" s="286">
        <v>43812</v>
      </c>
      <c r="E999" s="215">
        <v>19100</v>
      </c>
      <c r="F999" s="215">
        <v>19600</v>
      </c>
      <c r="G999" s="215">
        <v>20000</v>
      </c>
      <c r="H999" s="215">
        <v>20400</v>
      </c>
      <c r="I999" s="215">
        <v>20800</v>
      </c>
      <c r="J999" t="s">
        <v>104</v>
      </c>
    </row>
    <row r="1000" spans="1:10" x14ac:dyDescent="0.3">
      <c r="A1000" s="286">
        <v>638003</v>
      </c>
      <c r="B1000" s="286">
        <v>44110</v>
      </c>
      <c r="E1000" s="215">
        <v>39000</v>
      </c>
      <c r="F1000" s="215">
        <v>33000</v>
      </c>
      <c r="G1000" s="215">
        <v>33000</v>
      </c>
      <c r="H1000" s="215">
        <v>33000</v>
      </c>
      <c r="I1000" s="215">
        <v>33000</v>
      </c>
      <c r="J1000" t="s">
        <v>104</v>
      </c>
    </row>
    <row r="1001" spans="1:10" x14ac:dyDescent="0.3">
      <c r="A1001" s="286">
        <v>638901</v>
      </c>
      <c r="B1001" s="286">
        <v>41100</v>
      </c>
      <c r="E1001" s="215">
        <v>1392086.85</v>
      </c>
      <c r="F1001" s="215">
        <v>1791856.9300000002</v>
      </c>
      <c r="G1001" s="215">
        <v>1762256</v>
      </c>
      <c r="H1001" s="215">
        <v>1843321</v>
      </c>
      <c r="I1001" s="215">
        <v>1928115</v>
      </c>
      <c r="J1001" t="s">
        <v>104</v>
      </c>
    </row>
    <row r="1002" spans="1:10" x14ac:dyDescent="0.3">
      <c r="A1002" s="286">
        <v>638011</v>
      </c>
      <c r="B1002" s="286">
        <v>44110</v>
      </c>
      <c r="E1002" s="215">
        <v>40000</v>
      </c>
      <c r="F1002" s="215">
        <v>40000</v>
      </c>
      <c r="G1002" s="215">
        <v>40000</v>
      </c>
      <c r="H1002" s="215">
        <v>40000</v>
      </c>
      <c r="I1002" s="215">
        <v>40000</v>
      </c>
      <c r="J1002" t="s">
        <v>104</v>
      </c>
    </row>
    <row r="1003" spans="1:10" x14ac:dyDescent="0.3">
      <c r="A1003" s="286">
        <v>638012</v>
      </c>
      <c r="B1003" s="286">
        <v>44110</v>
      </c>
      <c r="E1003" s="215">
        <v>25000</v>
      </c>
      <c r="F1003" s="215">
        <v>25000</v>
      </c>
      <c r="G1003" s="215">
        <v>25000</v>
      </c>
      <c r="H1003" s="215">
        <v>25000</v>
      </c>
      <c r="I1003" s="215">
        <v>25000</v>
      </c>
      <c r="J1003" t="s">
        <v>104</v>
      </c>
    </row>
    <row r="1004" spans="1:10" x14ac:dyDescent="0.3">
      <c r="A1004" s="286">
        <v>638013</v>
      </c>
      <c r="B1004" s="286">
        <v>44310</v>
      </c>
      <c r="E1004" s="215">
        <v>38500</v>
      </c>
      <c r="F1004" s="215">
        <v>38500</v>
      </c>
      <c r="G1004" s="215">
        <v>38500</v>
      </c>
      <c r="H1004" s="215">
        <v>38500</v>
      </c>
      <c r="I1004" s="215">
        <v>38500</v>
      </c>
      <c r="J1004" t="s">
        <v>104</v>
      </c>
    </row>
    <row r="1005" spans="1:10" x14ac:dyDescent="0.3">
      <c r="A1005" s="286">
        <v>638015</v>
      </c>
      <c r="B1005" s="286">
        <v>43812</v>
      </c>
      <c r="E1005" s="215">
        <v>11500</v>
      </c>
      <c r="F1005" s="215">
        <v>11800</v>
      </c>
      <c r="G1005" s="215">
        <v>12100</v>
      </c>
      <c r="H1005" s="215">
        <v>12400</v>
      </c>
      <c r="I1005" s="215">
        <v>12700</v>
      </c>
      <c r="J1005" t="s">
        <v>104</v>
      </c>
    </row>
    <row r="1006" spans="1:10" x14ac:dyDescent="0.3">
      <c r="A1006" s="286">
        <v>638016</v>
      </c>
      <c r="B1006" s="286">
        <v>43812</v>
      </c>
      <c r="E1006" s="215">
        <v>8300</v>
      </c>
      <c r="F1006" s="215">
        <v>8500</v>
      </c>
      <c r="G1006" s="215">
        <v>8700</v>
      </c>
      <c r="H1006" s="215">
        <v>8900</v>
      </c>
      <c r="I1006" s="215">
        <v>9100</v>
      </c>
      <c r="J1006" t="s">
        <v>104</v>
      </c>
    </row>
    <row r="1007" spans="1:10" x14ac:dyDescent="0.3">
      <c r="A1007" s="286">
        <v>638017</v>
      </c>
      <c r="B1007" s="286">
        <v>44110</v>
      </c>
      <c r="E1007" s="215">
        <v>9000</v>
      </c>
      <c r="F1007" s="215">
        <v>9000</v>
      </c>
      <c r="G1007" s="215">
        <v>9000</v>
      </c>
      <c r="H1007" s="215">
        <v>9000</v>
      </c>
      <c r="I1007" s="215">
        <v>9000</v>
      </c>
      <c r="J1007" t="s">
        <v>104</v>
      </c>
    </row>
    <row r="1008" spans="1:10" x14ac:dyDescent="0.3">
      <c r="A1008" s="286">
        <v>638009</v>
      </c>
      <c r="B1008" s="286">
        <v>44110</v>
      </c>
      <c r="E1008" s="215">
        <v>749000</v>
      </c>
      <c r="F1008" s="215">
        <v>920000</v>
      </c>
      <c r="G1008" s="215">
        <v>920000</v>
      </c>
      <c r="H1008" s="215">
        <v>920000</v>
      </c>
      <c r="I1008" s="215">
        <v>920000</v>
      </c>
      <c r="J1008" t="s">
        <v>104</v>
      </c>
    </row>
    <row r="1009" spans="1:10" x14ac:dyDescent="0.3">
      <c r="A1009" s="286">
        <v>638020</v>
      </c>
      <c r="B1009" s="286">
        <v>44110</v>
      </c>
      <c r="E1009" s="215">
        <v>315000</v>
      </c>
      <c r="F1009" s="215">
        <v>235000</v>
      </c>
      <c r="G1009" s="215">
        <v>235000</v>
      </c>
      <c r="H1009" s="215">
        <v>235000</v>
      </c>
      <c r="I1009" s="215">
        <v>235000</v>
      </c>
      <c r="J1009" t="s">
        <v>104</v>
      </c>
    </row>
    <row r="1010" spans="1:10" x14ac:dyDescent="0.3">
      <c r="A1010" s="286">
        <v>638021</v>
      </c>
      <c r="B1010" s="286">
        <v>44110</v>
      </c>
      <c r="E1010" s="215">
        <v>40000</v>
      </c>
      <c r="F1010" s="215">
        <v>33000</v>
      </c>
      <c r="G1010" s="215">
        <v>33000</v>
      </c>
      <c r="H1010" s="215">
        <v>33000</v>
      </c>
      <c r="I1010" s="215">
        <v>33000</v>
      </c>
      <c r="J1010" t="s">
        <v>104</v>
      </c>
    </row>
    <row r="1011" spans="1:10" x14ac:dyDescent="0.3">
      <c r="A1011" s="286">
        <v>638022</v>
      </c>
      <c r="B1011" s="286">
        <v>43812</v>
      </c>
      <c r="E1011" s="215">
        <v>6100</v>
      </c>
      <c r="F1011" s="215">
        <v>6300</v>
      </c>
      <c r="G1011" s="215">
        <v>6400</v>
      </c>
      <c r="H1011" s="215">
        <v>6500</v>
      </c>
      <c r="I1011" s="215">
        <v>6600</v>
      </c>
      <c r="J1011" t="s">
        <v>104</v>
      </c>
    </row>
    <row r="1012" spans="1:10" x14ac:dyDescent="0.3">
      <c r="A1012" s="286">
        <v>638023</v>
      </c>
      <c r="B1012" s="286">
        <v>43410</v>
      </c>
      <c r="E1012" s="215">
        <v>669000</v>
      </c>
      <c r="F1012" s="215">
        <v>796000</v>
      </c>
      <c r="G1012" s="215">
        <v>813000</v>
      </c>
      <c r="H1012" s="215">
        <v>830000</v>
      </c>
      <c r="I1012" s="215">
        <v>849000</v>
      </c>
      <c r="J1012" t="s">
        <v>104</v>
      </c>
    </row>
    <row r="1013" spans="1:10" x14ac:dyDescent="0.3">
      <c r="A1013" s="286">
        <v>638024</v>
      </c>
      <c r="B1013" s="286">
        <v>43410</v>
      </c>
      <c r="E1013" s="215">
        <v>102800</v>
      </c>
      <c r="F1013" s="215">
        <v>21500</v>
      </c>
      <c r="G1013" s="215">
        <v>21800</v>
      </c>
      <c r="H1013" s="215">
        <v>22200</v>
      </c>
      <c r="I1013" s="215">
        <v>22600</v>
      </c>
      <c r="J1013" t="s">
        <v>104</v>
      </c>
    </row>
    <row r="1014" spans="1:10" x14ac:dyDescent="0.3">
      <c r="A1014" s="286">
        <v>638025</v>
      </c>
      <c r="B1014" s="286">
        <v>43410</v>
      </c>
      <c r="E1014" s="215">
        <v>30000</v>
      </c>
      <c r="F1014" s="215">
        <v>30000</v>
      </c>
      <c r="G1014" s="215">
        <v>30000</v>
      </c>
      <c r="H1014" s="215">
        <v>30000</v>
      </c>
      <c r="I1014" s="215">
        <v>30000</v>
      </c>
      <c r="J1014" t="s">
        <v>104</v>
      </c>
    </row>
    <row r="1015" spans="1:10" x14ac:dyDescent="0.3">
      <c r="A1015" s="286">
        <v>638026</v>
      </c>
      <c r="B1015" s="286">
        <v>44680</v>
      </c>
      <c r="E1015" s="215">
        <v>233400</v>
      </c>
      <c r="F1015" s="215">
        <v>239500</v>
      </c>
      <c r="G1015" s="215">
        <v>244800</v>
      </c>
      <c r="H1015" s="215">
        <v>250200</v>
      </c>
      <c r="I1015" s="215">
        <v>255700</v>
      </c>
      <c r="J1015" t="s">
        <v>104</v>
      </c>
    </row>
    <row r="1016" spans="1:10" x14ac:dyDescent="0.3">
      <c r="A1016" s="286">
        <v>638028</v>
      </c>
      <c r="B1016" s="286">
        <v>44380</v>
      </c>
      <c r="E1016" s="215">
        <v>9800</v>
      </c>
      <c r="F1016" s="215">
        <v>10500</v>
      </c>
      <c r="G1016" s="215">
        <v>11000</v>
      </c>
      <c r="H1016" s="215">
        <v>11500</v>
      </c>
      <c r="I1016" s="215">
        <v>12000</v>
      </c>
      <c r="J1016" t="s">
        <v>104</v>
      </c>
    </row>
    <row r="1017" spans="1:10" x14ac:dyDescent="0.3">
      <c r="A1017" s="286">
        <v>638029</v>
      </c>
      <c r="B1017" s="286">
        <v>44360</v>
      </c>
      <c r="E1017" s="215">
        <v>11800</v>
      </c>
      <c r="F1017" s="215">
        <v>12100</v>
      </c>
      <c r="G1017" s="215">
        <v>12400</v>
      </c>
      <c r="H1017" s="215">
        <v>12700</v>
      </c>
      <c r="I1017" s="215">
        <v>13000</v>
      </c>
      <c r="J1017" t="s">
        <v>104</v>
      </c>
    </row>
    <row r="1018" spans="1:10" x14ac:dyDescent="0.3">
      <c r="A1018" s="286">
        <v>638027</v>
      </c>
      <c r="B1018" s="286">
        <v>43812</v>
      </c>
      <c r="E1018" s="215">
        <v>302837</v>
      </c>
      <c r="F1018" s="215">
        <v>309400</v>
      </c>
      <c r="G1018" s="215">
        <v>315100</v>
      </c>
      <c r="H1018" s="215">
        <v>320900</v>
      </c>
      <c r="I1018" s="215">
        <v>326900</v>
      </c>
      <c r="J1018" t="s">
        <v>104</v>
      </c>
    </row>
    <row r="1019" spans="1:10" x14ac:dyDescent="0.3">
      <c r="A1019" s="286">
        <v>638030</v>
      </c>
      <c r="B1019" s="286">
        <v>43410</v>
      </c>
      <c r="E1019" s="215">
        <v>30000</v>
      </c>
      <c r="F1019" s="215">
        <v>30000</v>
      </c>
      <c r="G1019" s="215">
        <v>30000</v>
      </c>
      <c r="H1019" s="215">
        <v>30000</v>
      </c>
      <c r="I1019" s="215">
        <v>30000</v>
      </c>
      <c r="J1019" t="s">
        <v>104</v>
      </c>
    </row>
    <row r="1020" spans="1:10" x14ac:dyDescent="0.3">
      <c r="A1020" s="286">
        <v>638001</v>
      </c>
      <c r="B1020" s="286">
        <v>84310</v>
      </c>
      <c r="E1020" s="215">
        <v>-7420000</v>
      </c>
      <c r="F1020" s="215">
        <v>-7268000</v>
      </c>
      <c r="G1020" s="215">
        <v>-7268000</v>
      </c>
      <c r="H1020" s="215">
        <v>-7268000</v>
      </c>
      <c r="I1020" s="215">
        <v>-7268000</v>
      </c>
      <c r="J1020" t="s">
        <v>104</v>
      </c>
    </row>
    <row r="1021" spans="1:10" x14ac:dyDescent="0.3">
      <c r="A1021" s="286">
        <v>638006</v>
      </c>
      <c r="B1021" s="286">
        <v>84120</v>
      </c>
      <c r="E1021" s="215">
        <v>-3500</v>
      </c>
      <c r="F1021" s="215">
        <v>-3500</v>
      </c>
      <c r="G1021" s="215">
        <v>-3500</v>
      </c>
      <c r="H1021" s="215">
        <v>-3500</v>
      </c>
      <c r="I1021" s="215">
        <v>-3500</v>
      </c>
      <c r="J1021" t="s">
        <v>104</v>
      </c>
    </row>
    <row r="1022" spans="1:10" x14ac:dyDescent="0.3">
      <c r="A1022" s="286">
        <v>638007</v>
      </c>
      <c r="B1022" s="286">
        <v>84120</v>
      </c>
      <c r="E1022" s="215">
        <v>-60000</v>
      </c>
      <c r="F1022" s="215">
        <v>-60000</v>
      </c>
      <c r="G1022" s="215">
        <v>-60000</v>
      </c>
      <c r="H1022" s="215">
        <v>-60000</v>
      </c>
      <c r="I1022" s="215">
        <v>-60000</v>
      </c>
      <c r="J1022" t="s">
        <v>104</v>
      </c>
    </row>
    <row r="1023" spans="1:10" x14ac:dyDescent="0.3">
      <c r="A1023" s="286">
        <v>638008</v>
      </c>
      <c r="B1023" s="286">
        <v>84120</v>
      </c>
      <c r="E1023" s="215">
        <v>-500</v>
      </c>
      <c r="F1023" s="215">
        <v>-500</v>
      </c>
      <c r="G1023" s="215">
        <v>-500</v>
      </c>
      <c r="H1023" s="215">
        <v>-500</v>
      </c>
      <c r="I1023" s="215">
        <v>-500</v>
      </c>
      <c r="J1023" t="s">
        <v>104</v>
      </c>
    </row>
    <row r="1024" spans="1:10" x14ac:dyDescent="0.3">
      <c r="A1024" s="286">
        <v>638011</v>
      </c>
      <c r="B1024" s="286">
        <v>84310</v>
      </c>
      <c r="E1024" s="215">
        <v>-30000</v>
      </c>
      <c r="F1024" s="215">
        <v>-30000</v>
      </c>
      <c r="G1024" s="215">
        <v>-30000</v>
      </c>
      <c r="H1024" s="215">
        <v>-30000</v>
      </c>
      <c r="I1024" s="215">
        <v>-30000</v>
      </c>
      <c r="J1024" t="s">
        <v>104</v>
      </c>
    </row>
    <row r="1025" spans="1:10" x14ac:dyDescent="0.3">
      <c r="A1025" s="286">
        <v>638012</v>
      </c>
      <c r="B1025" s="286">
        <v>84310</v>
      </c>
      <c r="E1025" s="215">
        <v>-18750</v>
      </c>
      <c r="F1025" s="215">
        <v>-18750</v>
      </c>
      <c r="G1025" s="215">
        <v>-18750</v>
      </c>
      <c r="H1025" s="215">
        <v>-18750</v>
      </c>
      <c r="I1025" s="215">
        <v>-18750</v>
      </c>
      <c r="J1025" t="s">
        <v>104</v>
      </c>
    </row>
    <row r="1026" spans="1:10" x14ac:dyDescent="0.3">
      <c r="A1026" s="286">
        <v>638013</v>
      </c>
      <c r="B1026" s="286">
        <v>84380</v>
      </c>
      <c r="E1026" s="215">
        <v>-38500</v>
      </c>
      <c r="F1026" s="215">
        <v>-38500</v>
      </c>
      <c r="G1026" s="215">
        <v>-38500</v>
      </c>
      <c r="H1026" s="215">
        <v>-38500</v>
      </c>
      <c r="I1026" s="215">
        <v>-38500</v>
      </c>
      <c r="J1026" t="s">
        <v>104</v>
      </c>
    </row>
    <row r="1027" spans="1:10" x14ac:dyDescent="0.3">
      <c r="A1027" s="286">
        <v>638014</v>
      </c>
      <c r="B1027" s="286">
        <v>84380</v>
      </c>
      <c r="E1027" s="215">
        <v>-5000</v>
      </c>
      <c r="F1027" s="215">
        <v>-5000</v>
      </c>
      <c r="G1027" s="215">
        <v>-5000</v>
      </c>
      <c r="H1027" s="215">
        <v>-5000</v>
      </c>
      <c r="I1027" s="215">
        <v>-5000</v>
      </c>
      <c r="J1027" t="s">
        <v>104</v>
      </c>
    </row>
    <row r="1028" spans="1:10" x14ac:dyDescent="0.3">
      <c r="A1028" s="286">
        <v>638015</v>
      </c>
      <c r="B1028" s="286">
        <v>84310</v>
      </c>
      <c r="E1028" s="215">
        <v>0</v>
      </c>
      <c r="F1028" s="215">
        <v>0</v>
      </c>
      <c r="G1028" s="215">
        <v>0</v>
      </c>
      <c r="H1028" s="215">
        <v>0</v>
      </c>
      <c r="I1028" s="215">
        <v>0</v>
      </c>
      <c r="J1028" t="s">
        <v>104</v>
      </c>
    </row>
    <row r="1029" spans="1:10" x14ac:dyDescent="0.3">
      <c r="A1029" s="286">
        <v>638023</v>
      </c>
      <c r="B1029" s="286">
        <v>83420</v>
      </c>
      <c r="E1029" s="215">
        <v>-5000</v>
      </c>
      <c r="F1029" s="215">
        <v>-5000</v>
      </c>
      <c r="G1029" s="215">
        <v>-5000</v>
      </c>
      <c r="H1029" s="215">
        <v>-5000</v>
      </c>
      <c r="I1029" s="215">
        <v>-5000</v>
      </c>
      <c r="J1029" t="s">
        <v>104</v>
      </c>
    </row>
    <row r="1030" spans="1:10" x14ac:dyDescent="0.3">
      <c r="A1030" s="286">
        <v>638901</v>
      </c>
      <c r="B1030" s="286">
        <v>84320</v>
      </c>
      <c r="E1030" s="215">
        <v>0</v>
      </c>
      <c r="F1030" s="215">
        <v>-42000</v>
      </c>
      <c r="G1030" s="215">
        <v>-43932</v>
      </c>
      <c r="H1030" s="215">
        <v>-45953</v>
      </c>
      <c r="I1030" s="215">
        <v>-48067</v>
      </c>
      <c r="J1030" t="s">
        <v>104</v>
      </c>
    </row>
    <row r="1031" spans="1:10" x14ac:dyDescent="0.3">
      <c r="A1031" s="286">
        <v>639001</v>
      </c>
      <c r="B1031" s="286">
        <v>44110</v>
      </c>
      <c r="E1031" s="215">
        <v>21220</v>
      </c>
      <c r="F1031" s="215">
        <v>49534</v>
      </c>
      <c r="G1031" s="215">
        <v>52177</v>
      </c>
      <c r="H1031" s="215">
        <v>54838</v>
      </c>
      <c r="I1031" s="215">
        <v>57513</v>
      </c>
      <c r="J1031" t="s">
        <v>105</v>
      </c>
    </row>
    <row r="1032" spans="1:10" x14ac:dyDescent="0.3">
      <c r="A1032" s="286">
        <v>639001</v>
      </c>
      <c r="B1032" s="286">
        <v>44330</v>
      </c>
      <c r="E1032" s="215">
        <v>3339015</v>
      </c>
      <c r="F1032" s="215">
        <v>3510349</v>
      </c>
      <c r="G1032" s="215">
        <v>3343375</v>
      </c>
      <c r="H1032" s="215">
        <v>3185574</v>
      </c>
      <c r="I1032" s="215">
        <v>3183096</v>
      </c>
      <c r="J1032" t="s">
        <v>105</v>
      </c>
    </row>
    <row r="1033" spans="1:10" x14ac:dyDescent="0.3">
      <c r="A1033" s="286">
        <v>640001</v>
      </c>
      <c r="B1033" s="286">
        <v>43812</v>
      </c>
      <c r="E1033" s="215">
        <v>695129</v>
      </c>
      <c r="F1033" s="215">
        <v>793955</v>
      </c>
      <c r="G1033" s="215">
        <v>842876</v>
      </c>
      <c r="H1033" s="215">
        <v>881133</v>
      </c>
      <c r="I1033" s="215">
        <v>925418</v>
      </c>
      <c r="J1033" t="s">
        <v>106</v>
      </c>
    </row>
    <row r="1034" spans="1:10" x14ac:dyDescent="0.3">
      <c r="A1034" s="286">
        <v>640003</v>
      </c>
      <c r="B1034" s="286">
        <v>43812</v>
      </c>
      <c r="E1034" s="215">
        <v>3500</v>
      </c>
      <c r="F1034" s="215">
        <v>3590</v>
      </c>
      <c r="G1034" s="215">
        <v>3670</v>
      </c>
      <c r="H1034" s="215">
        <v>3750</v>
      </c>
      <c r="I1034" s="215">
        <v>3830</v>
      </c>
      <c r="J1034" t="s">
        <v>106</v>
      </c>
    </row>
    <row r="1035" spans="1:10" x14ac:dyDescent="0.3">
      <c r="A1035" s="286">
        <v>640008</v>
      </c>
      <c r="B1035" s="286">
        <v>43812</v>
      </c>
      <c r="E1035" s="215">
        <v>0</v>
      </c>
      <c r="F1035" s="215">
        <v>30800</v>
      </c>
      <c r="G1035" s="215">
        <v>31500</v>
      </c>
      <c r="H1035" s="215">
        <v>32200</v>
      </c>
      <c r="I1035" s="215">
        <v>32900</v>
      </c>
      <c r="J1035" t="s">
        <v>106</v>
      </c>
    </row>
    <row r="1036" spans="1:10" x14ac:dyDescent="0.3">
      <c r="A1036" s="286">
        <v>640901</v>
      </c>
      <c r="B1036" s="286">
        <v>41100</v>
      </c>
      <c r="E1036" s="215">
        <v>1164542</v>
      </c>
      <c r="F1036" s="215">
        <v>1242652.98</v>
      </c>
      <c r="G1036" s="215">
        <v>1299815</v>
      </c>
      <c r="H1036" s="215">
        <v>1359607</v>
      </c>
      <c r="I1036" s="215">
        <v>1422148</v>
      </c>
      <c r="J1036" t="s">
        <v>106</v>
      </c>
    </row>
    <row r="1037" spans="1:10" x14ac:dyDescent="0.3">
      <c r="A1037" s="286">
        <v>640006</v>
      </c>
      <c r="B1037" s="286">
        <v>43812</v>
      </c>
      <c r="E1037" s="215">
        <v>33652</v>
      </c>
      <c r="F1037" s="215">
        <v>32370</v>
      </c>
      <c r="G1037" s="215">
        <v>33080</v>
      </c>
      <c r="H1037" s="215">
        <v>33810</v>
      </c>
      <c r="I1037" s="215">
        <v>34550</v>
      </c>
      <c r="J1037" t="s">
        <v>106</v>
      </c>
    </row>
    <row r="1038" spans="1:10" x14ac:dyDescent="0.3">
      <c r="A1038" s="286">
        <v>640901</v>
      </c>
      <c r="B1038" s="286">
        <v>84360</v>
      </c>
      <c r="E1038" s="215">
        <v>-20000</v>
      </c>
      <c r="F1038" s="215">
        <v>0</v>
      </c>
      <c r="G1038" s="215">
        <v>0</v>
      </c>
      <c r="H1038" s="215">
        <v>0</v>
      </c>
      <c r="I1038" s="215">
        <v>0</v>
      </c>
      <c r="J1038" t="s">
        <v>106</v>
      </c>
    </row>
    <row r="1039" spans="1:10" x14ac:dyDescent="0.3">
      <c r="A1039" s="286">
        <v>678001</v>
      </c>
      <c r="B1039" s="286">
        <v>43410</v>
      </c>
      <c r="E1039" s="215">
        <v>152700</v>
      </c>
      <c r="F1039" s="215">
        <v>160400</v>
      </c>
      <c r="G1039" s="215">
        <v>150600</v>
      </c>
      <c r="H1039" s="215">
        <v>153900</v>
      </c>
      <c r="I1039" s="215">
        <v>157300</v>
      </c>
      <c r="J1039" t="s">
        <v>107</v>
      </c>
    </row>
    <row r="1040" spans="1:10" x14ac:dyDescent="0.3">
      <c r="A1040" s="286">
        <v>678002</v>
      </c>
      <c r="B1040" s="286">
        <v>43410</v>
      </c>
      <c r="E1040" s="215">
        <v>185300</v>
      </c>
      <c r="F1040" s="215">
        <v>190100</v>
      </c>
      <c r="G1040" s="215">
        <v>194300</v>
      </c>
      <c r="H1040" s="215">
        <v>198600</v>
      </c>
      <c r="I1040" s="215">
        <v>203000</v>
      </c>
      <c r="J1040" t="s">
        <v>107</v>
      </c>
    </row>
    <row r="1041" spans="1:10" x14ac:dyDescent="0.3">
      <c r="A1041" s="286">
        <v>678002</v>
      </c>
      <c r="B1041" s="286">
        <v>43812</v>
      </c>
      <c r="E1041" s="215">
        <v>6160</v>
      </c>
      <c r="F1041" s="215">
        <v>6320</v>
      </c>
      <c r="G1041" s="215">
        <v>6460</v>
      </c>
      <c r="H1041" s="215">
        <v>6600</v>
      </c>
      <c r="I1041" s="215">
        <v>6750</v>
      </c>
      <c r="J1041" t="s">
        <v>107</v>
      </c>
    </row>
    <row r="1042" spans="1:10" x14ac:dyDescent="0.3">
      <c r="A1042" s="286">
        <v>678003</v>
      </c>
      <c r="B1042" s="286">
        <v>43410</v>
      </c>
      <c r="E1042" s="215">
        <v>267400</v>
      </c>
      <c r="F1042" s="215">
        <v>274400</v>
      </c>
      <c r="G1042" s="215">
        <v>280400</v>
      </c>
      <c r="H1042" s="215">
        <v>286600</v>
      </c>
      <c r="I1042" s="215">
        <v>292900</v>
      </c>
      <c r="J1042" t="s">
        <v>107</v>
      </c>
    </row>
    <row r="1043" spans="1:10" x14ac:dyDescent="0.3">
      <c r="A1043" s="286">
        <v>678004</v>
      </c>
      <c r="B1043" s="286">
        <v>43410</v>
      </c>
      <c r="E1043" s="215">
        <v>1890</v>
      </c>
      <c r="F1043" s="215">
        <v>1940</v>
      </c>
      <c r="G1043" s="215">
        <v>1980</v>
      </c>
      <c r="H1043" s="215">
        <v>2020</v>
      </c>
      <c r="I1043" s="215">
        <v>2060</v>
      </c>
      <c r="J1043" t="s">
        <v>107</v>
      </c>
    </row>
    <row r="1044" spans="1:10" x14ac:dyDescent="0.3">
      <c r="A1044" s="286">
        <v>678005</v>
      </c>
      <c r="B1044" s="286">
        <v>43410</v>
      </c>
      <c r="E1044" s="215">
        <v>5460</v>
      </c>
      <c r="F1044" s="215">
        <v>5600</v>
      </c>
      <c r="G1044" s="215">
        <v>5720</v>
      </c>
      <c r="H1044" s="215">
        <v>5850</v>
      </c>
      <c r="I1044" s="215">
        <v>5980</v>
      </c>
      <c r="J1044" t="s">
        <v>107</v>
      </c>
    </row>
    <row r="1045" spans="1:10" x14ac:dyDescent="0.3">
      <c r="A1045" s="286">
        <v>678006</v>
      </c>
      <c r="B1045" s="286">
        <v>43410</v>
      </c>
      <c r="E1045" s="215">
        <v>65490</v>
      </c>
      <c r="F1045" s="215">
        <v>67190</v>
      </c>
      <c r="G1045" s="215">
        <v>68670</v>
      </c>
      <c r="H1045" s="215">
        <v>70180</v>
      </c>
      <c r="I1045" s="215">
        <v>71720</v>
      </c>
      <c r="J1045" t="s">
        <v>107</v>
      </c>
    </row>
    <row r="1046" spans="1:10" x14ac:dyDescent="0.3">
      <c r="A1046" s="286">
        <v>678007</v>
      </c>
      <c r="B1046" s="286">
        <v>43410</v>
      </c>
      <c r="E1046" s="215">
        <v>39440</v>
      </c>
      <c r="F1046" s="215">
        <v>40470</v>
      </c>
      <c r="G1046" s="215">
        <v>41360</v>
      </c>
      <c r="H1046" s="215">
        <v>42270</v>
      </c>
      <c r="I1046" s="215">
        <v>43200</v>
      </c>
      <c r="J1046" t="s">
        <v>107</v>
      </c>
    </row>
    <row r="1047" spans="1:10" x14ac:dyDescent="0.3">
      <c r="A1047" s="286">
        <v>678008</v>
      </c>
      <c r="B1047" s="286">
        <v>43410</v>
      </c>
      <c r="E1047" s="215">
        <v>166600</v>
      </c>
      <c r="F1047" s="215">
        <v>170900</v>
      </c>
      <c r="G1047" s="215">
        <v>174700</v>
      </c>
      <c r="H1047" s="215">
        <v>178500</v>
      </c>
      <c r="I1047" s="215">
        <v>182400</v>
      </c>
      <c r="J1047" t="s">
        <v>107</v>
      </c>
    </row>
    <row r="1048" spans="1:10" x14ac:dyDescent="0.3">
      <c r="A1048" s="286">
        <v>678009</v>
      </c>
      <c r="B1048" s="286">
        <v>43812</v>
      </c>
      <c r="E1048" s="215">
        <v>22800</v>
      </c>
      <c r="F1048" s="215">
        <v>23390</v>
      </c>
      <c r="G1048" s="215">
        <v>23900</v>
      </c>
      <c r="H1048" s="215">
        <v>24430</v>
      </c>
      <c r="I1048" s="215">
        <v>24970</v>
      </c>
      <c r="J1048" t="s">
        <v>107</v>
      </c>
    </row>
    <row r="1049" spans="1:10" x14ac:dyDescent="0.3">
      <c r="A1049" s="286">
        <v>678010</v>
      </c>
      <c r="B1049" s="286">
        <v>43812</v>
      </c>
      <c r="E1049" s="215">
        <v>4130</v>
      </c>
      <c r="F1049" s="215">
        <v>4240</v>
      </c>
      <c r="G1049" s="215">
        <v>4330</v>
      </c>
      <c r="H1049" s="215">
        <v>4430</v>
      </c>
      <c r="I1049" s="215">
        <v>4530</v>
      </c>
      <c r="J1049" t="s">
        <v>107</v>
      </c>
    </row>
    <row r="1050" spans="1:10" x14ac:dyDescent="0.3">
      <c r="A1050" s="286">
        <v>678010</v>
      </c>
      <c r="B1050" s="286">
        <v>44380</v>
      </c>
      <c r="E1050" s="215">
        <v>8430</v>
      </c>
      <c r="F1050" s="215">
        <v>8820</v>
      </c>
      <c r="G1050" s="215">
        <v>9230</v>
      </c>
      <c r="H1050" s="215">
        <v>9650</v>
      </c>
      <c r="I1050" s="215">
        <v>10090</v>
      </c>
      <c r="J1050" t="s">
        <v>107</v>
      </c>
    </row>
    <row r="1051" spans="1:10" x14ac:dyDescent="0.3">
      <c r="A1051" s="286">
        <v>678011</v>
      </c>
      <c r="B1051" s="286">
        <v>43812</v>
      </c>
      <c r="E1051" s="215">
        <v>59200</v>
      </c>
      <c r="F1051" s="215">
        <v>22780</v>
      </c>
      <c r="G1051" s="215">
        <v>23280</v>
      </c>
      <c r="H1051" s="215">
        <v>23800</v>
      </c>
      <c r="I1051" s="215">
        <v>24320</v>
      </c>
      <c r="J1051" t="s">
        <v>107</v>
      </c>
    </row>
    <row r="1052" spans="1:10" x14ac:dyDescent="0.3">
      <c r="A1052" s="286">
        <v>678901</v>
      </c>
      <c r="B1052" s="286"/>
      <c r="E1052" s="215">
        <v>0</v>
      </c>
      <c r="F1052" s="215">
        <v>0</v>
      </c>
      <c r="G1052" s="215">
        <v>0</v>
      </c>
      <c r="H1052" s="215">
        <v>0</v>
      </c>
      <c r="I1052" s="215">
        <v>0</v>
      </c>
      <c r="J1052" t="s">
        <v>107</v>
      </c>
    </row>
    <row r="1053" spans="1:10" x14ac:dyDescent="0.3">
      <c r="A1053" s="286">
        <v>678004</v>
      </c>
      <c r="B1053" s="286">
        <v>83800</v>
      </c>
      <c r="E1053" s="215">
        <v>-20530</v>
      </c>
      <c r="F1053" s="215">
        <v>-21060</v>
      </c>
      <c r="G1053" s="215">
        <v>-21520</v>
      </c>
      <c r="H1053" s="215">
        <v>-21990</v>
      </c>
      <c r="I1053" s="215">
        <v>-22470</v>
      </c>
      <c r="J1053" t="s">
        <v>107</v>
      </c>
    </row>
    <row r="1054" spans="1:10" x14ac:dyDescent="0.3">
      <c r="A1054" s="286">
        <v>679001</v>
      </c>
      <c r="B1054" s="286">
        <v>43410</v>
      </c>
      <c r="E1054" s="215">
        <v>2337300</v>
      </c>
      <c r="F1054" s="215">
        <v>2666800</v>
      </c>
      <c r="G1054" s="215">
        <v>2789300</v>
      </c>
      <c r="H1054" s="215">
        <v>2917900</v>
      </c>
      <c r="I1054" s="215">
        <v>3051900</v>
      </c>
      <c r="J1054" t="s">
        <v>108</v>
      </c>
    </row>
    <row r="1055" spans="1:10" x14ac:dyDescent="0.3">
      <c r="A1055" s="286">
        <v>679002</v>
      </c>
      <c r="B1055" s="286">
        <v>83420</v>
      </c>
      <c r="E1055" s="215">
        <v>-90000</v>
      </c>
      <c r="F1055" s="215">
        <v>-92500</v>
      </c>
      <c r="G1055" s="215">
        <v>-173600</v>
      </c>
      <c r="H1055" s="215">
        <v>-181600</v>
      </c>
      <c r="I1055" s="215">
        <v>-186000</v>
      </c>
      <c r="J1055" t="s">
        <v>108</v>
      </c>
    </row>
    <row r="1056" spans="1:10" x14ac:dyDescent="0.3">
      <c r="A1056" s="286">
        <v>680001</v>
      </c>
      <c r="B1056" s="286">
        <v>43410</v>
      </c>
      <c r="E1056" s="215">
        <v>2679674</v>
      </c>
      <c r="F1056" s="215">
        <v>1677574</v>
      </c>
      <c r="G1056" s="215">
        <v>1878975</v>
      </c>
      <c r="H1056" s="215">
        <v>2062175</v>
      </c>
      <c r="I1056" s="215">
        <v>2137375</v>
      </c>
      <c r="J1056" t="s">
        <v>109</v>
      </c>
    </row>
    <row r="1057" spans="1:10" x14ac:dyDescent="0.3">
      <c r="A1057" s="286">
        <v>680901</v>
      </c>
      <c r="B1057" s="286">
        <v>43812</v>
      </c>
      <c r="E1057" s="215">
        <v>255060</v>
      </c>
      <c r="F1057" s="215">
        <v>255701</v>
      </c>
      <c r="G1057" s="215">
        <v>261327</v>
      </c>
      <c r="H1057" s="215">
        <v>267077</v>
      </c>
      <c r="I1057" s="215">
        <v>272952</v>
      </c>
      <c r="J1057" t="s">
        <v>109</v>
      </c>
    </row>
    <row r="1058" spans="1:10" x14ac:dyDescent="0.3">
      <c r="A1058" s="286">
        <v>680002</v>
      </c>
      <c r="B1058" s="286">
        <v>83420</v>
      </c>
      <c r="E1058" s="215">
        <v>-60000</v>
      </c>
      <c r="F1058" s="215">
        <v>-61000</v>
      </c>
      <c r="G1058" s="215">
        <v>-125500</v>
      </c>
      <c r="H1058" s="215">
        <v>-131300</v>
      </c>
      <c r="I1058" s="215">
        <v>-137300</v>
      </c>
      <c r="J1058" t="s">
        <v>109</v>
      </c>
    </row>
    <row r="1059" spans="1:10" x14ac:dyDescent="0.3">
      <c r="A1059" s="286">
        <v>681001</v>
      </c>
      <c r="B1059" s="286">
        <v>43410</v>
      </c>
      <c r="E1059" s="215">
        <v>551800</v>
      </c>
      <c r="F1059" s="215">
        <v>617200</v>
      </c>
      <c r="G1059" s="215">
        <v>645800</v>
      </c>
      <c r="H1059" s="215">
        <v>675600</v>
      </c>
      <c r="I1059" s="215">
        <v>706700</v>
      </c>
      <c r="J1059" t="s">
        <v>110</v>
      </c>
    </row>
    <row r="1060" spans="1:10" x14ac:dyDescent="0.3">
      <c r="A1060" s="286">
        <v>681002</v>
      </c>
      <c r="B1060" s="286">
        <v>44380</v>
      </c>
      <c r="E1060" s="215">
        <v>110400</v>
      </c>
      <c r="F1060" s="215">
        <v>115500</v>
      </c>
      <c r="G1060" s="215">
        <v>120800</v>
      </c>
      <c r="H1060" s="215">
        <v>126400</v>
      </c>
      <c r="I1060" s="215">
        <v>132200</v>
      </c>
      <c r="J1060" t="s">
        <v>110</v>
      </c>
    </row>
    <row r="1061" spans="1:10" x14ac:dyDescent="0.3">
      <c r="A1061" s="286">
        <v>682001</v>
      </c>
      <c r="B1061" s="286">
        <v>43410</v>
      </c>
      <c r="E1061" s="215">
        <v>60700</v>
      </c>
      <c r="F1061" s="215">
        <v>63500</v>
      </c>
      <c r="G1061" s="215">
        <v>66400</v>
      </c>
      <c r="H1061" s="215">
        <v>69500</v>
      </c>
      <c r="I1061" s="215">
        <v>72700</v>
      </c>
      <c r="J1061" t="s">
        <v>111</v>
      </c>
    </row>
    <row r="1062" spans="1:10" x14ac:dyDescent="0.3">
      <c r="A1062" s="286">
        <v>688001</v>
      </c>
      <c r="B1062" s="286">
        <v>43410</v>
      </c>
      <c r="E1062" s="215">
        <v>2616317</v>
      </c>
      <c r="F1062" s="215">
        <v>3749240</v>
      </c>
      <c r="G1062" s="215">
        <v>3864690</v>
      </c>
      <c r="H1062" s="215">
        <v>4008140</v>
      </c>
      <c r="I1062" s="215">
        <v>4086140</v>
      </c>
      <c r="J1062" t="s">
        <v>112</v>
      </c>
    </row>
    <row r="1063" spans="1:10" x14ac:dyDescent="0.3">
      <c r="A1063" s="286">
        <v>688002</v>
      </c>
      <c r="B1063" s="286">
        <v>43410</v>
      </c>
      <c r="E1063" s="215">
        <v>1589000</v>
      </c>
      <c r="F1063" s="215">
        <v>2828000</v>
      </c>
      <c r="G1063" s="215">
        <v>2958000</v>
      </c>
      <c r="H1063" s="215">
        <v>3094000</v>
      </c>
      <c r="I1063" s="215">
        <v>3237000</v>
      </c>
      <c r="J1063" t="s">
        <v>112</v>
      </c>
    </row>
    <row r="1064" spans="1:10" x14ac:dyDescent="0.3">
      <c r="A1064" s="286">
        <v>688003</v>
      </c>
      <c r="B1064" s="286">
        <v>43410</v>
      </c>
      <c r="E1064" s="215">
        <v>662000</v>
      </c>
      <c r="F1064" s="215">
        <v>41000</v>
      </c>
      <c r="G1064" s="215">
        <v>43000</v>
      </c>
      <c r="H1064" s="215">
        <v>45000</v>
      </c>
      <c r="I1064" s="215">
        <v>47000</v>
      </c>
      <c r="J1064" t="s">
        <v>112</v>
      </c>
    </row>
    <row r="1065" spans="1:10" x14ac:dyDescent="0.3">
      <c r="A1065" s="286">
        <v>688004</v>
      </c>
      <c r="B1065" s="286">
        <v>43410</v>
      </c>
      <c r="E1065" s="215">
        <v>66000</v>
      </c>
      <c r="F1065" s="215">
        <v>118000</v>
      </c>
      <c r="G1065" s="215">
        <v>123000</v>
      </c>
      <c r="H1065" s="215">
        <v>128000</v>
      </c>
      <c r="I1065" s="215">
        <v>133000</v>
      </c>
      <c r="J1065" t="s">
        <v>112</v>
      </c>
    </row>
    <row r="1066" spans="1:10" x14ac:dyDescent="0.3">
      <c r="A1066" s="286">
        <v>688005</v>
      </c>
      <c r="B1066" s="286">
        <v>43410</v>
      </c>
      <c r="E1066" s="215">
        <v>762000</v>
      </c>
      <c r="F1066" s="215">
        <v>941000</v>
      </c>
      <c r="G1066" s="215">
        <v>984000</v>
      </c>
      <c r="H1066" s="215">
        <v>1029000</v>
      </c>
      <c r="I1066" s="215">
        <v>1077000</v>
      </c>
      <c r="J1066" t="s">
        <v>112</v>
      </c>
    </row>
    <row r="1067" spans="1:10" x14ac:dyDescent="0.3">
      <c r="A1067" s="286">
        <v>688901</v>
      </c>
      <c r="B1067" s="286">
        <v>43812</v>
      </c>
      <c r="E1067" s="215">
        <v>28082</v>
      </c>
      <c r="F1067" s="215">
        <v>28812</v>
      </c>
      <c r="G1067" s="215">
        <v>29446</v>
      </c>
      <c r="H1067" s="215">
        <v>30094</v>
      </c>
      <c r="I1067" s="215">
        <v>30756</v>
      </c>
      <c r="J1067" t="s">
        <v>112</v>
      </c>
    </row>
    <row r="1068" spans="1:10" x14ac:dyDescent="0.3">
      <c r="A1068" s="286">
        <v>688901</v>
      </c>
      <c r="B1068" s="286">
        <v>47300</v>
      </c>
      <c r="E1068" s="215">
        <v>235</v>
      </c>
      <c r="F1068" s="215">
        <v>235</v>
      </c>
      <c r="G1068" s="215">
        <v>0</v>
      </c>
      <c r="H1068" s="215">
        <v>0</v>
      </c>
      <c r="I1068" s="215">
        <v>0</v>
      </c>
      <c r="J1068" t="s">
        <v>112</v>
      </c>
    </row>
    <row r="1069" spans="1:10" x14ac:dyDescent="0.3">
      <c r="A1069" s="286">
        <v>691001</v>
      </c>
      <c r="B1069" s="286">
        <v>43410</v>
      </c>
      <c r="E1069" s="215">
        <v>331000</v>
      </c>
      <c r="F1069" s="215">
        <v>262000</v>
      </c>
      <c r="G1069" s="215">
        <v>274000</v>
      </c>
      <c r="H1069" s="215">
        <v>287000</v>
      </c>
      <c r="I1069" s="215">
        <v>300000</v>
      </c>
      <c r="J1069" t="s">
        <v>113</v>
      </c>
    </row>
    <row r="1070" spans="1:10" x14ac:dyDescent="0.3">
      <c r="A1070" s="286">
        <v>691002</v>
      </c>
      <c r="B1070" s="286">
        <v>43410</v>
      </c>
      <c r="E1070" s="215">
        <v>66000</v>
      </c>
      <c r="F1070" s="215">
        <v>34000</v>
      </c>
      <c r="G1070" s="215">
        <v>35000</v>
      </c>
      <c r="H1070" s="215">
        <v>36000</v>
      </c>
      <c r="I1070" s="215">
        <v>37000</v>
      </c>
      <c r="J1070" t="s">
        <v>113</v>
      </c>
    </row>
    <row r="1071" spans="1:10" x14ac:dyDescent="0.3">
      <c r="A1071" s="286">
        <v>691003</v>
      </c>
      <c r="B1071" s="286">
        <v>43410</v>
      </c>
      <c r="E1071" s="215">
        <v>993000</v>
      </c>
      <c r="F1071" s="215">
        <v>1506000</v>
      </c>
      <c r="G1071" s="215">
        <v>1575000</v>
      </c>
      <c r="H1071" s="215">
        <v>1647000</v>
      </c>
      <c r="I1071" s="215">
        <v>1722000</v>
      </c>
      <c r="J1071" t="s">
        <v>113</v>
      </c>
    </row>
    <row r="1072" spans="1:10" x14ac:dyDescent="0.3">
      <c r="A1072" s="286">
        <v>691004</v>
      </c>
      <c r="B1072" s="286">
        <v>43410</v>
      </c>
      <c r="E1072" s="215">
        <v>110000</v>
      </c>
      <c r="F1072" s="215">
        <v>42000</v>
      </c>
      <c r="G1072" s="215">
        <v>44000</v>
      </c>
      <c r="H1072" s="215">
        <v>47000</v>
      </c>
      <c r="I1072" s="215">
        <v>49000</v>
      </c>
      <c r="J1072" t="s">
        <v>113</v>
      </c>
    </row>
    <row r="1073" spans="1:10" x14ac:dyDescent="0.3">
      <c r="A1073" s="286">
        <v>691005</v>
      </c>
      <c r="B1073" s="286">
        <v>43410</v>
      </c>
      <c r="E1073" s="215">
        <v>220000</v>
      </c>
      <c r="F1073" s="215">
        <v>31000</v>
      </c>
      <c r="G1073" s="215">
        <v>33000</v>
      </c>
      <c r="H1073" s="215">
        <v>34000</v>
      </c>
      <c r="I1073" s="215">
        <v>36000</v>
      </c>
      <c r="J1073" t="s">
        <v>113</v>
      </c>
    </row>
    <row r="1074" spans="1:10" x14ac:dyDescent="0.3">
      <c r="A1074" s="286">
        <v>691006</v>
      </c>
      <c r="B1074" s="286">
        <v>43410</v>
      </c>
      <c r="E1074" s="215">
        <v>217000</v>
      </c>
      <c r="F1074" s="215">
        <v>10000</v>
      </c>
      <c r="G1074" s="215">
        <v>10000</v>
      </c>
      <c r="H1074" s="215">
        <v>11000</v>
      </c>
      <c r="I1074" s="215">
        <v>11000</v>
      </c>
      <c r="J1074" t="s">
        <v>113</v>
      </c>
    </row>
    <row r="1075" spans="1:10" x14ac:dyDescent="0.3">
      <c r="A1075" s="286">
        <v>683001</v>
      </c>
      <c r="B1075" s="286">
        <v>43410</v>
      </c>
      <c r="E1075" s="215">
        <v>0</v>
      </c>
      <c r="F1075" s="215">
        <v>382000</v>
      </c>
      <c r="G1075" s="215">
        <v>400000</v>
      </c>
      <c r="H1075" s="215">
        <v>418000</v>
      </c>
      <c r="I1075" s="215">
        <v>437000</v>
      </c>
      <c r="J1075" t="s">
        <v>114</v>
      </c>
    </row>
    <row r="1076" spans="1:10" x14ac:dyDescent="0.3">
      <c r="A1076" s="286">
        <v>693001</v>
      </c>
      <c r="B1076" s="286">
        <v>43410</v>
      </c>
      <c r="E1076" s="215">
        <v>0</v>
      </c>
      <c r="F1076" s="215">
        <v>554000</v>
      </c>
      <c r="G1076" s="215">
        <v>579000</v>
      </c>
      <c r="H1076" s="215">
        <v>606000</v>
      </c>
      <c r="I1076" s="215">
        <v>634000</v>
      </c>
      <c r="J1076" t="s">
        <v>115</v>
      </c>
    </row>
    <row r="1077" spans="1:10" x14ac:dyDescent="0.3">
      <c r="A1077" s="286">
        <v>695001</v>
      </c>
      <c r="B1077" s="286">
        <v>43410</v>
      </c>
      <c r="E1077" s="215">
        <v>331000</v>
      </c>
      <c r="F1077" s="215">
        <v>152000</v>
      </c>
      <c r="G1077" s="215">
        <v>159000</v>
      </c>
      <c r="H1077" s="215">
        <v>167000</v>
      </c>
      <c r="I1077" s="215">
        <v>174000</v>
      </c>
      <c r="J1077" t="s">
        <v>116</v>
      </c>
    </row>
    <row r="1078" spans="1:10" x14ac:dyDescent="0.3">
      <c r="A1078" s="286">
        <v>695001</v>
      </c>
      <c r="B1078" s="286">
        <v>44360</v>
      </c>
      <c r="E1078" s="215">
        <v>265000</v>
      </c>
      <c r="F1078" s="215">
        <v>277000</v>
      </c>
      <c r="G1078" s="215">
        <v>290000</v>
      </c>
      <c r="H1078" s="215">
        <v>303000</v>
      </c>
      <c r="I1078" s="215">
        <v>317000</v>
      </c>
      <c r="J1078" t="s">
        <v>116</v>
      </c>
    </row>
    <row r="1079" spans="1:10" x14ac:dyDescent="0.3">
      <c r="A1079" s="286">
        <v>696001</v>
      </c>
      <c r="B1079" s="286">
        <v>43410</v>
      </c>
      <c r="E1079" s="215">
        <v>56000</v>
      </c>
      <c r="F1079" s="215">
        <v>85000</v>
      </c>
      <c r="G1079" s="215">
        <v>89000</v>
      </c>
      <c r="H1079" s="215">
        <v>93000</v>
      </c>
      <c r="I1079" s="215">
        <v>97000</v>
      </c>
      <c r="J1079" t="s">
        <v>117</v>
      </c>
    </row>
    <row r="1080" spans="1:10" x14ac:dyDescent="0.3">
      <c r="A1080" s="286">
        <v>684901</v>
      </c>
      <c r="B1080" s="286">
        <v>41100</v>
      </c>
      <c r="E1080" s="215">
        <v>718676.59000000008</v>
      </c>
      <c r="F1080" s="215">
        <v>1051284.8700000001</v>
      </c>
      <c r="G1080" s="215">
        <v>979772.62102000008</v>
      </c>
      <c r="H1080" s="215">
        <v>1024841.4395869201</v>
      </c>
      <c r="I1080" s="215">
        <v>1071984.1638079183</v>
      </c>
      <c r="J1080" t="s">
        <v>118</v>
      </c>
    </row>
    <row r="1081" spans="1:10" x14ac:dyDescent="0.3">
      <c r="A1081" s="286">
        <v>694901</v>
      </c>
      <c r="B1081" s="286">
        <v>41100</v>
      </c>
      <c r="E1081" s="215">
        <v>1328758.83</v>
      </c>
      <c r="F1081" s="215">
        <v>1851945.81</v>
      </c>
      <c r="G1081" s="215">
        <v>1937135</v>
      </c>
      <c r="H1081" s="215">
        <v>2026244</v>
      </c>
      <c r="I1081" s="215">
        <v>2119451</v>
      </c>
      <c r="J1081" t="s">
        <v>119</v>
      </c>
    </row>
    <row r="1082" spans="1:10" x14ac:dyDescent="0.3">
      <c r="A1082" s="286">
        <v>646001</v>
      </c>
      <c r="B1082" s="286">
        <v>44330</v>
      </c>
      <c r="E1082" s="215">
        <v>1430857</v>
      </c>
      <c r="F1082" s="215">
        <v>1462352</v>
      </c>
      <c r="G1082" s="215">
        <v>1529586</v>
      </c>
      <c r="H1082" s="215">
        <v>1599913</v>
      </c>
      <c r="I1082" s="215">
        <v>1673474</v>
      </c>
      <c r="J1082" t="s">
        <v>120</v>
      </c>
    </row>
    <row r="1083" spans="1:10" x14ac:dyDescent="0.3">
      <c r="A1083" s="286">
        <v>646002</v>
      </c>
      <c r="B1083" s="286">
        <v>44380</v>
      </c>
      <c r="E1083" s="215">
        <v>23690</v>
      </c>
      <c r="F1083" s="215">
        <v>24310</v>
      </c>
      <c r="G1083" s="215">
        <v>24840</v>
      </c>
      <c r="H1083" s="215">
        <v>25390</v>
      </c>
      <c r="I1083" s="215">
        <v>25950</v>
      </c>
      <c r="J1083" t="s">
        <v>120</v>
      </c>
    </row>
    <row r="1084" spans="1:10" x14ac:dyDescent="0.3">
      <c r="A1084" s="286">
        <v>646003</v>
      </c>
      <c r="B1084" s="286">
        <v>44380</v>
      </c>
      <c r="E1084" s="215">
        <v>0</v>
      </c>
      <c r="F1084" s="215">
        <v>0</v>
      </c>
      <c r="G1084" s="215">
        <v>0</v>
      </c>
      <c r="H1084" s="215">
        <v>0</v>
      </c>
      <c r="I1084" s="215">
        <v>0</v>
      </c>
      <c r="J1084" t="s">
        <v>120</v>
      </c>
    </row>
    <row r="1085" spans="1:10" x14ac:dyDescent="0.3">
      <c r="A1085" s="286">
        <v>646901</v>
      </c>
      <c r="B1085" s="286">
        <v>41100</v>
      </c>
      <c r="E1085" s="215">
        <v>36873.93</v>
      </c>
      <c r="F1085" s="215">
        <v>37580.25</v>
      </c>
      <c r="G1085" s="215">
        <v>39310</v>
      </c>
      <c r="H1085" s="215">
        <v>41120</v>
      </c>
      <c r="I1085" s="215">
        <v>43010</v>
      </c>
      <c r="J1085" t="s">
        <v>120</v>
      </c>
    </row>
    <row r="1086" spans="1:10" x14ac:dyDescent="0.3">
      <c r="A1086" s="286">
        <v>646004</v>
      </c>
      <c r="B1086" s="286">
        <v>43812</v>
      </c>
      <c r="E1086" s="215">
        <v>0</v>
      </c>
      <c r="F1086" s="215">
        <v>0</v>
      </c>
      <c r="G1086" s="215">
        <v>0</v>
      </c>
      <c r="H1086" s="215">
        <v>0</v>
      </c>
      <c r="I1086" s="215">
        <v>0</v>
      </c>
      <c r="J1086" t="s">
        <v>120</v>
      </c>
    </row>
    <row r="1087" spans="1:10" x14ac:dyDescent="0.3">
      <c r="A1087" s="286">
        <v>646004</v>
      </c>
      <c r="B1087" s="286">
        <v>44380</v>
      </c>
      <c r="E1087" s="215">
        <v>0</v>
      </c>
      <c r="F1087" s="215">
        <v>0</v>
      </c>
      <c r="G1087" s="215">
        <v>0</v>
      </c>
      <c r="H1087" s="215">
        <v>0</v>
      </c>
      <c r="I1087" s="215">
        <v>0</v>
      </c>
      <c r="J1087" t="s">
        <v>120</v>
      </c>
    </row>
    <row r="1088" spans="1:10" x14ac:dyDescent="0.3">
      <c r="A1088" s="286">
        <v>646008</v>
      </c>
      <c r="B1088" s="286">
        <v>44380</v>
      </c>
      <c r="E1088" s="215">
        <v>29858</v>
      </c>
      <c r="F1088" s="215">
        <v>31090</v>
      </c>
      <c r="G1088" s="215">
        <v>31090</v>
      </c>
      <c r="H1088" s="215">
        <v>31090</v>
      </c>
      <c r="I1088" s="215">
        <v>31090</v>
      </c>
      <c r="J1088" t="s">
        <v>120</v>
      </c>
    </row>
    <row r="1089" spans="1:10" x14ac:dyDescent="0.3">
      <c r="A1089" s="286">
        <v>646009</v>
      </c>
      <c r="B1089" s="286">
        <v>44380</v>
      </c>
      <c r="E1089" s="215">
        <v>23887</v>
      </c>
      <c r="F1089" s="215">
        <v>31090</v>
      </c>
      <c r="G1089" s="215">
        <v>31090</v>
      </c>
      <c r="H1089" s="215">
        <v>31090</v>
      </c>
      <c r="I1089" s="215">
        <v>31090</v>
      </c>
      <c r="J1089" t="s">
        <v>120</v>
      </c>
    </row>
    <row r="1090" spans="1:10" x14ac:dyDescent="0.3">
      <c r="A1090" s="286">
        <v>646010</v>
      </c>
      <c r="B1090" s="286">
        <v>44380</v>
      </c>
      <c r="E1090" s="215">
        <v>7465</v>
      </c>
      <c r="F1090" s="215">
        <v>0</v>
      </c>
      <c r="G1090" s="215">
        <v>0</v>
      </c>
      <c r="H1090" s="215">
        <v>0</v>
      </c>
      <c r="I1090" s="215">
        <v>0</v>
      </c>
      <c r="J1090" t="s">
        <v>120</v>
      </c>
    </row>
    <row r="1091" spans="1:10" x14ac:dyDescent="0.3">
      <c r="A1091" s="286">
        <v>646011</v>
      </c>
      <c r="B1091" s="286">
        <v>44380</v>
      </c>
      <c r="E1091" s="215">
        <v>26126</v>
      </c>
      <c r="F1091" s="215">
        <v>0</v>
      </c>
      <c r="G1091" s="215">
        <v>0</v>
      </c>
      <c r="H1091" s="215">
        <v>0</v>
      </c>
      <c r="I1091" s="215">
        <v>0</v>
      </c>
      <c r="J1091" t="s">
        <v>120</v>
      </c>
    </row>
    <row r="1092" spans="1:10" x14ac:dyDescent="0.3">
      <c r="A1092" s="286">
        <v>646012</v>
      </c>
      <c r="B1092" s="286">
        <v>44380</v>
      </c>
      <c r="E1092" s="215">
        <v>14929</v>
      </c>
      <c r="F1092" s="215">
        <v>0</v>
      </c>
      <c r="G1092" s="215">
        <v>0</v>
      </c>
      <c r="H1092" s="215">
        <v>0</v>
      </c>
      <c r="I1092" s="215">
        <v>0</v>
      </c>
      <c r="J1092" t="s">
        <v>120</v>
      </c>
    </row>
    <row r="1093" spans="1:10" x14ac:dyDescent="0.3">
      <c r="A1093" s="286">
        <v>646013</v>
      </c>
      <c r="B1093" s="286">
        <v>44380</v>
      </c>
      <c r="E1093" s="215">
        <v>3732</v>
      </c>
      <c r="F1093" s="215">
        <v>0</v>
      </c>
      <c r="G1093" s="215">
        <v>0</v>
      </c>
      <c r="H1093" s="215">
        <v>0</v>
      </c>
      <c r="I1093" s="215">
        <v>0</v>
      </c>
      <c r="J1093" t="s">
        <v>120</v>
      </c>
    </row>
    <row r="1094" spans="1:10" x14ac:dyDescent="0.3">
      <c r="A1094" s="286">
        <v>646014</v>
      </c>
      <c r="B1094" s="286">
        <v>44380</v>
      </c>
      <c r="E1094" s="215">
        <v>3732</v>
      </c>
      <c r="F1094" s="215">
        <v>0</v>
      </c>
      <c r="G1094" s="215">
        <v>0</v>
      </c>
      <c r="H1094" s="215">
        <v>0</v>
      </c>
      <c r="I1094" s="215">
        <v>0</v>
      </c>
      <c r="J1094" t="s">
        <v>120</v>
      </c>
    </row>
    <row r="1095" spans="1:10" x14ac:dyDescent="0.3">
      <c r="A1095" s="286">
        <v>646015</v>
      </c>
      <c r="B1095" s="286">
        <v>44380</v>
      </c>
      <c r="E1095" s="215">
        <v>10898</v>
      </c>
      <c r="F1095" s="215">
        <v>0</v>
      </c>
      <c r="G1095" s="215">
        <v>0</v>
      </c>
      <c r="H1095" s="215">
        <v>0</v>
      </c>
      <c r="I1095" s="215">
        <v>0</v>
      </c>
      <c r="J1095" t="s">
        <v>120</v>
      </c>
    </row>
    <row r="1096" spans="1:10" x14ac:dyDescent="0.3">
      <c r="A1096" s="286">
        <v>646008</v>
      </c>
      <c r="B1096" s="286">
        <v>84310</v>
      </c>
      <c r="E1096" s="215">
        <v>-29858</v>
      </c>
      <c r="F1096" s="215">
        <v>-31090</v>
      </c>
      <c r="G1096" s="215">
        <v>-31090</v>
      </c>
      <c r="H1096" s="215">
        <v>-31090</v>
      </c>
      <c r="I1096" s="215">
        <v>-31090</v>
      </c>
      <c r="J1096" t="s">
        <v>120</v>
      </c>
    </row>
    <row r="1097" spans="1:10" x14ac:dyDescent="0.3">
      <c r="A1097" s="286">
        <v>646009</v>
      </c>
      <c r="B1097" s="286">
        <v>84310</v>
      </c>
      <c r="E1097" s="215">
        <v>-23887</v>
      </c>
      <c r="F1097" s="215">
        <v>-31090</v>
      </c>
      <c r="G1097" s="215">
        <v>-31090</v>
      </c>
      <c r="H1097" s="215">
        <v>-31090</v>
      </c>
      <c r="I1097" s="215">
        <v>-31090</v>
      </c>
      <c r="J1097" t="s">
        <v>120</v>
      </c>
    </row>
    <row r="1098" spans="1:10" x14ac:dyDescent="0.3">
      <c r="A1098" s="286">
        <v>646010</v>
      </c>
      <c r="B1098" s="286">
        <v>84310</v>
      </c>
      <c r="E1098" s="215">
        <v>-7465</v>
      </c>
      <c r="F1098" s="215">
        <v>0</v>
      </c>
      <c r="G1098" s="215">
        <v>0</v>
      </c>
      <c r="H1098" s="215">
        <v>0</v>
      </c>
      <c r="I1098" s="215">
        <v>0</v>
      </c>
      <c r="J1098" t="s">
        <v>120</v>
      </c>
    </row>
    <row r="1099" spans="1:10" x14ac:dyDescent="0.3">
      <c r="A1099" s="286">
        <v>646011</v>
      </c>
      <c r="B1099" s="286">
        <v>84310</v>
      </c>
      <c r="E1099" s="215">
        <v>-26126</v>
      </c>
      <c r="F1099" s="215">
        <v>0</v>
      </c>
      <c r="G1099" s="215">
        <v>0</v>
      </c>
      <c r="H1099" s="215">
        <v>0</v>
      </c>
      <c r="I1099" s="215">
        <v>0</v>
      </c>
      <c r="J1099" t="s">
        <v>120</v>
      </c>
    </row>
    <row r="1100" spans="1:10" x14ac:dyDescent="0.3">
      <c r="A1100" s="286">
        <v>646012</v>
      </c>
      <c r="B1100" s="286">
        <v>84310</v>
      </c>
      <c r="E1100" s="215">
        <v>-14929</v>
      </c>
      <c r="F1100" s="215">
        <v>0</v>
      </c>
      <c r="G1100" s="215">
        <v>0</v>
      </c>
      <c r="H1100" s="215">
        <v>0</v>
      </c>
      <c r="I1100" s="215">
        <v>0</v>
      </c>
      <c r="J1100" t="s">
        <v>120</v>
      </c>
    </row>
    <row r="1101" spans="1:10" x14ac:dyDescent="0.3">
      <c r="A1101" s="286">
        <v>646013</v>
      </c>
      <c r="B1101" s="286">
        <v>84310</v>
      </c>
      <c r="E1101" s="215">
        <v>-3732</v>
      </c>
      <c r="F1101" s="215">
        <v>0</v>
      </c>
      <c r="G1101" s="215">
        <v>0</v>
      </c>
      <c r="H1101" s="215">
        <v>0</v>
      </c>
      <c r="I1101" s="215">
        <v>0</v>
      </c>
      <c r="J1101" t="s">
        <v>120</v>
      </c>
    </row>
    <row r="1102" spans="1:10" x14ac:dyDescent="0.3">
      <c r="A1102" s="286">
        <v>646014</v>
      </c>
      <c r="B1102" s="286">
        <v>84310</v>
      </c>
      <c r="E1102" s="215">
        <v>-3732</v>
      </c>
      <c r="F1102" s="215">
        <v>0</v>
      </c>
      <c r="G1102" s="215">
        <v>0</v>
      </c>
      <c r="H1102" s="215">
        <v>0</v>
      </c>
      <c r="I1102" s="215">
        <v>0</v>
      </c>
      <c r="J1102" t="s">
        <v>120</v>
      </c>
    </row>
    <row r="1103" spans="1:10" x14ac:dyDescent="0.3">
      <c r="A1103" s="286">
        <v>646015</v>
      </c>
      <c r="B1103" s="286">
        <v>84310</v>
      </c>
      <c r="E1103" s="215">
        <v>-10898</v>
      </c>
      <c r="F1103" s="215">
        <v>0</v>
      </c>
      <c r="G1103" s="215">
        <v>0</v>
      </c>
      <c r="H1103" s="215">
        <v>0</v>
      </c>
      <c r="I1103" s="215">
        <v>0</v>
      </c>
      <c r="J1103" t="s">
        <v>120</v>
      </c>
    </row>
    <row r="1104" spans="1:10" x14ac:dyDescent="0.3">
      <c r="A1104" s="286">
        <v>647007</v>
      </c>
      <c r="B1104" s="286">
        <v>43812</v>
      </c>
      <c r="E1104" s="215">
        <v>179980</v>
      </c>
      <c r="F1104" s="215">
        <v>207008</v>
      </c>
      <c r="G1104" s="215">
        <v>221515</v>
      </c>
      <c r="H1104" s="215">
        <v>236128</v>
      </c>
      <c r="I1104" s="215">
        <v>251001</v>
      </c>
      <c r="J1104" t="s">
        <v>121</v>
      </c>
    </row>
    <row r="1105" spans="1:10" x14ac:dyDescent="0.3">
      <c r="A1105" s="286">
        <v>647007</v>
      </c>
      <c r="B1105" s="286">
        <v>44510</v>
      </c>
      <c r="E1105" s="215">
        <v>35554</v>
      </c>
      <c r="F1105" s="215">
        <v>41627</v>
      </c>
      <c r="G1105" s="215">
        <v>44570</v>
      </c>
      <c r="H1105" s="215">
        <v>47557</v>
      </c>
      <c r="I1105" s="215">
        <v>50591</v>
      </c>
      <c r="J1105" t="s">
        <v>121</v>
      </c>
    </row>
    <row r="1106" spans="1:10" x14ac:dyDescent="0.3">
      <c r="A1106" s="286">
        <v>647001</v>
      </c>
      <c r="B1106" s="286">
        <v>43802</v>
      </c>
      <c r="E1106" s="215">
        <v>47286</v>
      </c>
      <c r="F1106" s="215">
        <v>48421</v>
      </c>
      <c r="G1106" s="215">
        <v>49583</v>
      </c>
      <c r="H1106" s="215">
        <v>50773</v>
      </c>
      <c r="I1106" s="215">
        <v>51890</v>
      </c>
      <c r="J1106" t="s">
        <v>121</v>
      </c>
    </row>
    <row r="1107" spans="1:10" x14ac:dyDescent="0.3">
      <c r="A1107" s="286">
        <v>647001</v>
      </c>
      <c r="B1107" s="286">
        <v>43812</v>
      </c>
      <c r="E1107" s="215">
        <v>79173</v>
      </c>
      <c r="F1107" s="215">
        <v>81233</v>
      </c>
      <c r="G1107" s="215">
        <v>83020</v>
      </c>
      <c r="H1107" s="215">
        <v>84847</v>
      </c>
      <c r="I1107" s="215">
        <v>86714</v>
      </c>
      <c r="J1107" t="s">
        <v>121</v>
      </c>
    </row>
    <row r="1108" spans="1:10" x14ac:dyDescent="0.3">
      <c r="A1108" s="286">
        <v>647001</v>
      </c>
      <c r="B1108" s="286">
        <v>44510</v>
      </c>
      <c r="E1108" s="215">
        <v>278556</v>
      </c>
      <c r="F1108" s="215">
        <v>279227</v>
      </c>
      <c r="G1108" s="215">
        <v>279847</v>
      </c>
      <c r="H1108" s="215">
        <v>88217</v>
      </c>
      <c r="I1108" s="215">
        <v>88844</v>
      </c>
      <c r="J1108" t="s">
        <v>121</v>
      </c>
    </row>
    <row r="1109" spans="1:10" x14ac:dyDescent="0.3">
      <c r="A1109" s="286">
        <v>647002</v>
      </c>
      <c r="B1109" s="286">
        <v>43802</v>
      </c>
      <c r="E1109" s="215">
        <v>45346</v>
      </c>
      <c r="F1109" s="215">
        <v>46434</v>
      </c>
      <c r="G1109" s="215">
        <v>47548</v>
      </c>
      <c r="H1109" s="215">
        <v>48689</v>
      </c>
      <c r="I1109" s="215">
        <v>49760</v>
      </c>
      <c r="J1109" t="s">
        <v>121</v>
      </c>
    </row>
    <row r="1110" spans="1:10" x14ac:dyDescent="0.3">
      <c r="A1110" s="286">
        <v>647002</v>
      </c>
      <c r="B1110" s="286">
        <v>43812</v>
      </c>
      <c r="E1110" s="215">
        <v>36311</v>
      </c>
      <c r="F1110" s="215">
        <v>37146</v>
      </c>
      <c r="G1110" s="215">
        <v>38001</v>
      </c>
      <c r="H1110" s="215">
        <v>38876</v>
      </c>
      <c r="I1110" s="215">
        <v>39731</v>
      </c>
      <c r="J1110" t="s">
        <v>121</v>
      </c>
    </row>
    <row r="1111" spans="1:10" x14ac:dyDescent="0.3">
      <c r="A1111" s="286">
        <v>647002</v>
      </c>
      <c r="B1111" s="286">
        <v>44510</v>
      </c>
      <c r="E1111" s="215">
        <v>17148</v>
      </c>
      <c r="F1111" s="215">
        <v>17552</v>
      </c>
      <c r="G1111" s="215">
        <v>17965</v>
      </c>
      <c r="H1111" s="215">
        <v>18389</v>
      </c>
      <c r="I1111" s="215">
        <v>18794</v>
      </c>
      <c r="J1111" t="s">
        <v>121</v>
      </c>
    </row>
    <row r="1112" spans="1:10" x14ac:dyDescent="0.3">
      <c r="A1112" s="286">
        <v>647001</v>
      </c>
      <c r="B1112" s="286">
        <v>43511</v>
      </c>
      <c r="E1112" s="215">
        <v>40000</v>
      </c>
      <c r="F1112" s="215">
        <v>40000</v>
      </c>
      <c r="G1112" s="215">
        <v>40000</v>
      </c>
      <c r="H1112" s="215">
        <v>40000</v>
      </c>
      <c r="I1112" s="215">
        <v>40000</v>
      </c>
      <c r="J1112" t="s">
        <v>121</v>
      </c>
    </row>
    <row r="1113" spans="1:10" x14ac:dyDescent="0.3">
      <c r="A1113" s="286">
        <v>647001</v>
      </c>
      <c r="B1113" s="286">
        <v>43812</v>
      </c>
      <c r="E1113" s="215">
        <v>102299</v>
      </c>
      <c r="F1113" s="215">
        <v>104959</v>
      </c>
      <c r="G1113" s="215">
        <v>107268</v>
      </c>
      <c r="H1113" s="215">
        <v>109628</v>
      </c>
      <c r="I1113" s="215">
        <v>112040</v>
      </c>
      <c r="J1113" t="s">
        <v>121</v>
      </c>
    </row>
    <row r="1114" spans="1:10" x14ac:dyDescent="0.3">
      <c r="A1114" s="286">
        <v>647001</v>
      </c>
      <c r="B1114" s="286">
        <v>44510</v>
      </c>
      <c r="E1114" s="215">
        <v>21483</v>
      </c>
      <c r="F1114" s="215">
        <v>22041</v>
      </c>
      <c r="G1114" s="215">
        <v>22526</v>
      </c>
      <c r="H1114" s="215">
        <v>23022</v>
      </c>
      <c r="I1114" s="215">
        <v>23528</v>
      </c>
      <c r="J1114" t="s">
        <v>121</v>
      </c>
    </row>
    <row r="1115" spans="1:10" x14ac:dyDescent="0.3">
      <c r="A1115" s="286">
        <v>647001</v>
      </c>
      <c r="B1115" s="286">
        <v>43812</v>
      </c>
      <c r="E1115" s="215">
        <v>1721</v>
      </c>
      <c r="F1115" s="215">
        <v>1762</v>
      </c>
      <c r="G1115" s="215">
        <v>1804</v>
      </c>
      <c r="H1115" s="215">
        <v>1847</v>
      </c>
      <c r="I1115" s="215">
        <v>1888</v>
      </c>
      <c r="J1115" t="s">
        <v>121</v>
      </c>
    </row>
    <row r="1116" spans="1:10" x14ac:dyDescent="0.3">
      <c r="A1116" s="286">
        <v>647001</v>
      </c>
      <c r="B1116" s="286">
        <v>44510</v>
      </c>
      <c r="E1116" s="215">
        <v>361</v>
      </c>
      <c r="F1116" s="215">
        <v>370</v>
      </c>
      <c r="G1116" s="215">
        <v>379</v>
      </c>
      <c r="H1116" s="215">
        <v>388</v>
      </c>
      <c r="I1116" s="215">
        <v>396</v>
      </c>
      <c r="J1116" t="s">
        <v>121</v>
      </c>
    </row>
    <row r="1117" spans="1:10" x14ac:dyDescent="0.3">
      <c r="A1117" s="286">
        <v>647003</v>
      </c>
      <c r="B1117" s="286">
        <v>42100</v>
      </c>
      <c r="E1117" s="215">
        <v>355</v>
      </c>
      <c r="F1117" s="215">
        <v>364</v>
      </c>
      <c r="G1117" s="215">
        <v>373</v>
      </c>
      <c r="H1117" s="215">
        <v>382</v>
      </c>
      <c r="I1117" s="215">
        <v>390</v>
      </c>
      <c r="J1117" t="s">
        <v>121</v>
      </c>
    </row>
    <row r="1118" spans="1:10" x14ac:dyDescent="0.3">
      <c r="A1118" s="286">
        <v>647003</v>
      </c>
      <c r="B1118" s="286">
        <v>43803</v>
      </c>
      <c r="E1118" s="215">
        <v>7911</v>
      </c>
      <c r="F1118" s="215">
        <v>8101</v>
      </c>
      <c r="G1118" s="215">
        <v>8295</v>
      </c>
      <c r="H1118" s="215">
        <v>8494</v>
      </c>
      <c r="I1118" s="215">
        <v>8681</v>
      </c>
      <c r="J1118" t="s">
        <v>121</v>
      </c>
    </row>
    <row r="1119" spans="1:10" x14ac:dyDescent="0.3">
      <c r="A1119" s="286">
        <v>647003</v>
      </c>
      <c r="B1119" s="286">
        <v>43806</v>
      </c>
      <c r="E1119" s="215">
        <v>6243</v>
      </c>
      <c r="F1119" s="215">
        <v>6393</v>
      </c>
      <c r="G1119" s="215">
        <v>6546</v>
      </c>
      <c r="H1119" s="215">
        <v>6703</v>
      </c>
      <c r="I1119" s="215">
        <v>6850</v>
      </c>
      <c r="J1119" t="s">
        <v>121</v>
      </c>
    </row>
    <row r="1120" spans="1:10" x14ac:dyDescent="0.3">
      <c r="A1120" s="286">
        <v>647003</v>
      </c>
      <c r="B1120" s="286">
        <v>43812</v>
      </c>
      <c r="E1120" s="215">
        <v>1967</v>
      </c>
      <c r="F1120" s="215">
        <v>2014</v>
      </c>
      <c r="G1120" s="215">
        <v>2062</v>
      </c>
      <c r="H1120" s="215">
        <v>2111</v>
      </c>
      <c r="I1120" s="215">
        <v>2157</v>
      </c>
      <c r="J1120" t="s">
        <v>121</v>
      </c>
    </row>
    <row r="1121" spans="1:10" x14ac:dyDescent="0.3">
      <c r="A1121" s="286">
        <v>647003</v>
      </c>
      <c r="B1121" s="286">
        <v>44510</v>
      </c>
      <c r="E1121" s="215">
        <v>413</v>
      </c>
      <c r="F1121" s="215">
        <v>423</v>
      </c>
      <c r="G1121" s="215">
        <v>433</v>
      </c>
      <c r="H1121" s="215">
        <v>443</v>
      </c>
      <c r="I1121" s="215">
        <v>453</v>
      </c>
      <c r="J1121" t="s">
        <v>121</v>
      </c>
    </row>
    <row r="1122" spans="1:10" x14ac:dyDescent="0.3">
      <c r="A1122" s="286">
        <v>647004</v>
      </c>
      <c r="B1122" s="286">
        <v>43812</v>
      </c>
      <c r="E1122" s="215">
        <v>1348</v>
      </c>
      <c r="F1122" s="215">
        <v>1380</v>
      </c>
      <c r="G1122" s="215">
        <v>1413</v>
      </c>
      <c r="H1122" s="215">
        <v>1447</v>
      </c>
      <c r="I1122" s="215">
        <v>1479</v>
      </c>
      <c r="J1122" t="s">
        <v>121</v>
      </c>
    </row>
    <row r="1123" spans="1:10" x14ac:dyDescent="0.3">
      <c r="A1123" s="286">
        <v>647004</v>
      </c>
      <c r="B1123" s="286">
        <v>44510</v>
      </c>
      <c r="E1123" s="215">
        <v>283</v>
      </c>
      <c r="F1123" s="215">
        <v>290</v>
      </c>
      <c r="G1123" s="215">
        <v>297</v>
      </c>
      <c r="H1123" s="215">
        <v>304</v>
      </c>
      <c r="I1123" s="215">
        <v>311</v>
      </c>
      <c r="J1123" t="s">
        <v>121</v>
      </c>
    </row>
    <row r="1124" spans="1:10" x14ac:dyDescent="0.3">
      <c r="A1124" s="286">
        <v>647004</v>
      </c>
      <c r="B1124" s="286">
        <v>43812</v>
      </c>
      <c r="E1124" s="215">
        <v>6709</v>
      </c>
      <c r="F1124" s="215">
        <v>6870</v>
      </c>
      <c r="G1124" s="215">
        <v>7035</v>
      </c>
      <c r="H1124" s="215">
        <v>7204</v>
      </c>
      <c r="I1124" s="215">
        <v>7362</v>
      </c>
      <c r="J1124" t="s">
        <v>121</v>
      </c>
    </row>
    <row r="1125" spans="1:10" x14ac:dyDescent="0.3">
      <c r="A1125" s="286">
        <v>647004</v>
      </c>
      <c r="B1125" s="286">
        <v>44510</v>
      </c>
      <c r="E1125" s="215">
        <v>1409</v>
      </c>
      <c r="F1125" s="215">
        <v>1443</v>
      </c>
      <c r="G1125" s="215">
        <v>1477</v>
      </c>
      <c r="H1125" s="215">
        <v>1513</v>
      </c>
      <c r="I1125" s="215">
        <v>1546</v>
      </c>
      <c r="J1125" t="s">
        <v>121</v>
      </c>
    </row>
    <row r="1126" spans="1:10" x14ac:dyDescent="0.3">
      <c r="A1126" s="286">
        <v>647004</v>
      </c>
      <c r="B1126" s="286">
        <v>43200</v>
      </c>
      <c r="E1126" s="215">
        <v>29435</v>
      </c>
      <c r="F1126" s="215">
        <v>30141</v>
      </c>
      <c r="G1126" s="215">
        <v>30864</v>
      </c>
      <c r="H1126" s="215">
        <v>31605</v>
      </c>
      <c r="I1126" s="215">
        <v>32300</v>
      </c>
      <c r="J1126" t="s">
        <v>121</v>
      </c>
    </row>
    <row r="1127" spans="1:10" x14ac:dyDescent="0.3">
      <c r="A1127" s="286">
        <v>647004</v>
      </c>
      <c r="B1127" s="286">
        <v>44510</v>
      </c>
      <c r="E1127" s="215">
        <v>6181</v>
      </c>
      <c r="F1127" s="215">
        <v>6330</v>
      </c>
      <c r="G1127" s="215">
        <v>6481</v>
      </c>
      <c r="H1127" s="215">
        <v>6637</v>
      </c>
      <c r="I1127" s="215">
        <v>6783</v>
      </c>
      <c r="J1127" t="s">
        <v>121</v>
      </c>
    </row>
    <row r="1128" spans="1:10" x14ac:dyDescent="0.3">
      <c r="A1128" s="286">
        <v>647005</v>
      </c>
      <c r="B1128" s="286">
        <v>43812</v>
      </c>
      <c r="E1128" s="215">
        <v>3552</v>
      </c>
      <c r="F1128" s="215">
        <v>3637</v>
      </c>
      <c r="G1128" s="215">
        <v>3724</v>
      </c>
      <c r="H1128" s="215">
        <v>3813</v>
      </c>
      <c r="I1128" s="215">
        <v>3897</v>
      </c>
      <c r="J1128" t="s">
        <v>121</v>
      </c>
    </row>
    <row r="1129" spans="1:10" x14ac:dyDescent="0.3">
      <c r="A1129" s="286">
        <v>647005</v>
      </c>
      <c r="B1129" s="286">
        <v>44510</v>
      </c>
      <c r="E1129" s="215">
        <v>746</v>
      </c>
      <c r="F1129" s="215">
        <v>764</v>
      </c>
      <c r="G1129" s="215">
        <v>782</v>
      </c>
      <c r="H1129" s="215">
        <v>801</v>
      </c>
      <c r="I1129" s="215">
        <v>818</v>
      </c>
      <c r="J1129" t="s">
        <v>121</v>
      </c>
    </row>
    <row r="1130" spans="1:10" x14ac:dyDescent="0.3">
      <c r="A1130" s="286">
        <v>647005</v>
      </c>
      <c r="B1130" s="286">
        <v>47200</v>
      </c>
      <c r="E1130" s="215">
        <v>968723.28840487055</v>
      </c>
      <c r="F1130" s="215">
        <v>1059035.6896272432</v>
      </c>
      <c r="G1130" s="215">
        <v>1093675.974443937</v>
      </c>
      <c r="H1130" s="215">
        <v>1327338.3950342878</v>
      </c>
      <c r="I1130" s="215">
        <v>1368349.0071699792</v>
      </c>
      <c r="J1130" t="s">
        <v>121</v>
      </c>
    </row>
    <row r="1131" spans="1:10" x14ac:dyDescent="0.3">
      <c r="A1131" s="286">
        <v>647006</v>
      </c>
      <c r="B1131" s="286">
        <v>44510</v>
      </c>
      <c r="E1131" s="215">
        <v>-383134</v>
      </c>
      <c r="F1131" s="215">
        <v>-391613</v>
      </c>
      <c r="G1131" s="215">
        <v>-396786</v>
      </c>
      <c r="H1131" s="215">
        <v>-209783</v>
      </c>
      <c r="I1131" s="215">
        <v>-215080</v>
      </c>
      <c r="J1131" t="s">
        <v>121</v>
      </c>
    </row>
    <row r="1132" spans="1:10" x14ac:dyDescent="0.3">
      <c r="A1132" s="286">
        <v>647008</v>
      </c>
      <c r="B1132" s="286">
        <v>43511</v>
      </c>
      <c r="E1132" s="215">
        <v>100000</v>
      </c>
      <c r="F1132" s="215">
        <v>102600</v>
      </c>
      <c r="G1132" s="215">
        <v>104900</v>
      </c>
      <c r="H1132" s="215">
        <v>107200</v>
      </c>
      <c r="I1132" s="215">
        <v>109600</v>
      </c>
      <c r="J1132" t="s">
        <v>121</v>
      </c>
    </row>
    <row r="1133" spans="1:10" x14ac:dyDescent="0.3">
      <c r="A1133" s="286">
        <v>647008</v>
      </c>
      <c r="B1133" s="286">
        <v>44510</v>
      </c>
      <c r="E1133" s="215">
        <v>21000</v>
      </c>
      <c r="F1133" s="215">
        <v>21546</v>
      </c>
      <c r="G1133" s="215">
        <v>22029</v>
      </c>
      <c r="H1133" s="215">
        <v>22512</v>
      </c>
      <c r="I1133" s="215">
        <v>23016</v>
      </c>
      <c r="J1133" t="s">
        <v>121</v>
      </c>
    </row>
    <row r="1134" spans="1:10" x14ac:dyDescent="0.3">
      <c r="A1134" s="286">
        <v>647901</v>
      </c>
      <c r="B1134" s="286">
        <v>41100</v>
      </c>
      <c r="E1134" s="215">
        <v>465114.68</v>
      </c>
      <c r="F1134" s="215">
        <v>467723.04</v>
      </c>
      <c r="G1134" s="215">
        <v>489239</v>
      </c>
      <c r="H1134" s="215">
        <v>511744</v>
      </c>
      <c r="I1134" s="215">
        <v>535284</v>
      </c>
      <c r="J1134" t="s">
        <v>121</v>
      </c>
    </row>
    <row r="1135" spans="1:10" x14ac:dyDescent="0.3">
      <c r="A1135" s="286">
        <v>647901</v>
      </c>
      <c r="B1135" s="286">
        <v>41100</v>
      </c>
      <c r="E1135" s="215">
        <v>0</v>
      </c>
      <c r="F1135" s="215">
        <v>0</v>
      </c>
      <c r="G1135" s="215">
        <v>0</v>
      </c>
      <c r="H1135" s="215">
        <v>0</v>
      </c>
      <c r="I1135" s="215">
        <v>0</v>
      </c>
      <c r="J1135" t="s">
        <v>121</v>
      </c>
    </row>
    <row r="1136" spans="1:10" x14ac:dyDescent="0.3">
      <c r="A1136" s="286">
        <v>647901</v>
      </c>
      <c r="B1136" s="286">
        <v>43812</v>
      </c>
      <c r="E1136" s="215">
        <v>17876</v>
      </c>
      <c r="F1136" s="215">
        <v>18412</v>
      </c>
      <c r="G1136" s="215">
        <v>18817</v>
      </c>
      <c r="H1136" s="215">
        <v>19231</v>
      </c>
      <c r="I1136" s="215">
        <v>19654</v>
      </c>
      <c r="J1136" t="s">
        <v>121</v>
      </c>
    </row>
    <row r="1137" spans="1:10" x14ac:dyDescent="0.3">
      <c r="A1137" s="286">
        <v>647901</v>
      </c>
      <c r="B1137" s="286">
        <v>47300</v>
      </c>
      <c r="E1137" s="215">
        <v>23879</v>
      </c>
      <c r="F1137" s="215">
        <v>23879</v>
      </c>
      <c r="G1137" s="215">
        <v>23879</v>
      </c>
      <c r="H1137" s="215">
        <v>23879</v>
      </c>
      <c r="I1137" s="215">
        <v>23879</v>
      </c>
      <c r="J1137" t="s">
        <v>121</v>
      </c>
    </row>
    <row r="1138" spans="1:10" x14ac:dyDescent="0.3">
      <c r="A1138" s="286">
        <v>647004</v>
      </c>
      <c r="B1138" s="286">
        <v>84380</v>
      </c>
      <c r="E1138" s="215">
        <v>-35616</v>
      </c>
      <c r="F1138" s="215">
        <v>-36471</v>
      </c>
      <c r="G1138" s="215">
        <v>-37345</v>
      </c>
      <c r="H1138" s="215">
        <v>-38242</v>
      </c>
      <c r="I1138" s="215">
        <v>-39083</v>
      </c>
      <c r="J1138" t="s">
        <v>121</v>
      </c>
    </row>
    <row r="1139" spans="1:10" x14ac:dyDescent="0.3">
      <c r="A1139" s="286">
        <v>647005</v>
      </c>
      <c r="B1139" s="286">
        <v>82210</v>
      </c>
      <c r="E1139" s="215">
        <v>-259569.25819999957</v>
      </c>
      <c r="F1139" s="215">
        <v>-268581.50284470385</v>
      </c>
      <c r="G1139" s="215">
        <v>-277906.6526234718</v>
      </c>
      <c r="H1139" s="215">
        <v>-287555.57160255872</v>
      </c>
      <c r="I1139" s="215">
        <v>-297539.50104859937</v>
      </c>
      <c r="J1139" t="s">
        <v>121</v>
      </c>
    </row>
    <row r="1140" spans="1:10" x14ac:dyDescent="0.3">
      <c r="A1140" s="286">
        <v>647005</v>
      </c>
      <c r="B1140" s="286">
        <v>82220</v>
      </c>
      <c r="E1140" s="215">
        <v>-2666879.2448</v>
      </c>
      <c r="F1140" s="215">
        <v>-2759473.292179456</v>
      </c>
      <c r="G1140" s="215">
        <v>-2855282.204883927</v>
      </c>
      <c r="H1140" s="215">
        <v>-2954417.603037497</v>
      </c>
      <c r="I1140" s="215">
        <v>-3056994.9822149593</v>
      </c>
      <c r="J1140" t="s">
        <v>121</v>
      </c>
    </row>
    <row r="1141" spans="1:10" x14ac:dyDescent="0.3">
      <c r="A1141" s="286">
        <v>647901</v>
      </c>
      <c r="B1141" s="286">
        <v>83800</v>
      </c>
      <c r="E1141" s="215">
        <v>-6014</v>
      </c>
      <c r="F1141" s="215">
        <v>-6194</v>
      </c>
      <c r="G1141" s="215">
        <v>-6330</v>
      </c>
      <c r="H1141" s="215">
        <v>-6469</v>
      </c>
      <c r="I1141" s="215">
        <v>-6611</v>
      </c>
      <c r="J1141" t="s">
        <v>121</v>
      </c>
    </row>
    <row r="1142" spans="1:10" x14ac:dyDescent="0.3">
      <c r="A1142">
        <v>648006</v>
      </c>
      <c r="B1142" s="286">
        <v>43812</v>
      </c>
      <c r="E1142" s="215">
        <v>179980</v>
      </c>
      <c r="F1142" s="215">
        <v>207008</v>
      </c>
      <c r="G1142" s="215">
        <v>221515</v>
      </c>
      <c r="H1142" s="215">
        <v>236128</v>
      </c>
      <c r="I1142" s="215">
        <v>251001</v>
      </c>
      <c r="J1142" t="s">
        <v>122</v>
      </c>
    </row>
    <row r="1143" spans="1:10" x14ac:dyDescent="0.3">
      <c r="A1143" s="286">
        <v>648006</v>
      </c>
      <c r="B1143" s="286">
        <v>44510</v>
      </c>
      <c r="E1143" s="215">
        <v>35554</v>
      </c>
      <c r="F1143" s="215">
        <v>41627</v>
      </c>
      <c r="G1143" s="215">
        <v>44570</v>
      </c>
      <c r="H1143" s="215">
        <v>47557</v>
      </c>
      <c r="I1143" s="215">
        <v>50591</v>
      </c>
      <c r="J1143" t="s">
        <v>122</v>
      </c>
    </row>
    <row r="1144" spans="1:10" x14ac:dyDescent="0.3">
      <c r="A1144">
        <v>648005</v>
      </c>
      <c r="B1144" s="286">
        <v>43812</v>
      </c>
      <c r="E1144" s="215">
        <v>42641</v>
      </c>
      <c r="F1144" s="215">
        <v>43750</v>
      </c>
      <c r="G1144" s="215">
        <v>44713</v>
      </c>
      <c r="H1144" s="215">
        <v>45697</v>
      </c>
      <c r="I1144" s="215">
        <v>46702</v>
      </c>
      <c r="J1144" t="s">
        <v>122</v>
      </c>
    </row>
    <row r="1145" spans="1:10" x14ac:dyDescent="0.3">
      <c r="A1145" s="286">
        <v>648005</v>
      </c>
      <c r="B1145" s="286">
        <v>44510</v>
      </c>
      <c r="E1145" s="215">
        <v>8955</v>
      </c>
      <c r="F1145" s="215">
        <v>9188</v>
      </c>
      <c r="G1145" s="215">
        <v>9390</v>
      </c>
      <c r="H1145" s="215">
        <v>9596</v>
      </c>
      <c r="I1145" s="215">
        <v>9807</v>
      </c>
      <c r="J1145" t="s">
        <v>122</v>
      </c>
    </row>
    <row r="1146" spans="1:10" x14ac:dyDescent="0.3">
      <c r="A1146">
        <v>648001</v>
      </c>
      <c r="B1146" s="286">
        <v>43511</v>
      </c>
      <c r="E1146" s="215">
        <v>0</v>
      </c>
      <c r="F1146" s="215">
        <v>0</v>
      </c>
      <c r="G1146" s="215">
        <v>0</v>
      </c>
      <c r="H1146" s="215">
        <v>0</v>
      </c>
      <c r="I1146" s="215">
        <v>0</v>
      </c>
      <c r="J1146" t="s">
        <v>122</v>
      </c>
    </row>
    <row r="1147" spans="1:10" x14ac:dyDescent="0.3">
      <c r="A1147">
        <v>648001</v>
      </c>
      <c r="B1147" s="286">
        <v>43812</v>
      </c>
      <c r="E1147" s="215">
        <v>358705</v>
      </c>
      <c r="F1147" s="215">
        <v>368032</v>
      </c>
      <c r="G1147" s="215">
        <v>376128</v>
      </c>
      <c r="H1147" s="215">
        <v>384403</v>
      </c>
      <c r="I1147" s="215">
        <v>392861</v>
      </c>
      <c r="J1147" t="s">
        <v>122</v>
      </c>
    </row>
    <row r="1148" spans="1:10" x14ac:dyDescent="0.3">
      <c r="A1148">
        <v>648001</v>
      </c>
      <c r="B1148" s="286">
        <v>43815</v>
      </c>
      <c r="E1148" s="215">
        <v>2131914.4335000003</v>
      </c>
      <c r="F1148" s="215">
        <v>2240508.8023999999</v>
      </c>
      <c r="G1148" s="215">
        <v>2285320</v>
      </c>
      <c r="H1148" s="215">
        <v>2331028</v>
      </c>
      <c r="I1148" s="215">
        <v>2377648</v>
      </c>
      <c r="J1148" t="s">
        <v>122</v>
      </c>
    </row>
    <row r="1149" spans="1:10" x14ac:dyDescent="0.3">
      <c r="A1149">
        <v>648001</v>
      </c>
      <c r="B1149" s="286">
        <v>43816</v>
      </c>
      <c r="E1149" s="215">
        <v>702979.8</v>
      </c>
      <c r="F1149" s="215">
        <v>736497.43500000006</v>
      </c>
      <c r="G1149" s="215">
        <v>751823</v>
      </c>
      <c r="H1149" s="215">
        <v>767484</v>
      </c>
      <c r="I1149" s="215">
        <v>783490</v>
      </c>
      <c r="J1149" t="s">
        <v>122</v>
      </c>
    </row>
    <row r="1150" spans="1:10" x14ac:dyDescent="0.3">
      <c r="A1150">
        <v>648001</v>
      </c>
      <c r="B1150" s="286">
        <v>44510</v>
      </c>
      <c r="E1150" s="215">
        <v>670656</v>
      </c>
      <c r="F1150" s="215">
        <v>702458</v>
      </c>
      <c r="G1150" s="215">
        <v>716787</v>
      </c>
      <c r="H1150" s="215">
        <v>731413</v>
      </c>
      <c r="I1150" s="215">
        <v>746340</v>
      </c>
      <c r="J1150" t="s">
        <v>122</v>
      </c>
    </row>
    <row r="1151" spans="1:10" x14ac:dyDescent="0.3">
      <c r="A1151">
        <v>648001</v>
      </c>
      <c r="B1151" s="286">
        <v>47300</v>
      </c>
      <c r="E1151" s="215">
        <v>0</v>
      </c>
      <c r="F1151" s="215">
        <v>0</v>
      </c>
      <c r="G1151" s="215">
        <v>0</v>
      </c>
      <c r="H1151" s="215">
        <v>0</v>
      </c>
      <c r="I1151" s="215">
        <v>0</v>
      </c>
      <c r="J1151" t="s">
        <v>122</v>
      </c>
    </row>
    <row r="1152" spans="1:10" x14ac:dyDescent="0.3">
      <c r="A1152">
        <v>648002</v>
      </c>
      <c r="B1152" s="286">
        <v>43812</v>
      </c>
      <c r="E1152" s="215">
        <v>7311</v>
      </c>
      <c r="F1152" s="215">
        <v>7469</v>
      </c>
      <c r="G1152" s="215">
        <v>7606</v>
      </c>
      <c r="H1152" s="215">
        <v>7747</v>
      </c>
      <c r="I1152" s="215">
        <v>8305</v>
      </c>
      <c r="J1152" t="s">
        <v>122</v>
      </c>
    </row>
    <row r="1153" spans="1:10" x14ac:dyDescent="0.3">
      <c r="A1153">
        <v>648002</v>
      </c>
      <c r="B1153" s="286">
        <v>44510</v>
      </c>
      <c r="E1153" s="215">
        <v>1535</v>
      </c>
      <c r="F1153" s="215">
        <v>1568</v>
      </c>
      <c r="G1153" s="215">
        <v>1597</v>
      </c>
      <c r="H1153" s="215">
        <v>1627</v>
      </c>
      <c r="I1153" s="215">
        <v>1744</v>
      </c>
      <c r="J1153" t="s">
        <v>122</v>
      </c>
    </row>
    <row r="1154" spans="1:10" x14ac:dyDescent="0.3">
      <c r="A1154">
        <v>648004</v>
      </c>
      <c r="B1154" s="286">
        <v>43812</v>
      </c>
      <c r="E1154" s="215">
        <v>3437</v>
      </c>
      <c r="F1154" s="215">
        <v>3526</v>
      </c>
      <c r="G1154" s="215">
        <v>3604</v>
      </c>
      <c r="H1154" s="215">
        <v>3683</v>
      </c>
      <c r="I1154" s="215">
        <v>3764</v>
      </c>
      <c r="J1154" t="s">
        <v>122</v>
      </c>
    </row>
    <row r="1155" spans="1:10" x14ac:dyDescent="0.3">
      <c r="A1155">
        <v>648004</v>
      </c>
      <c r="B1155" s="286">
        <v>44510</v>
      </c>
      <c r="E1155" s="215">
        <v>722</v>
      </c>
      <c r="F1155" s="215">
        <v>740</v>
      </c>
      <c r="G1155" s="215">
        <v>757</v>
      </c>
      <c r="H1155" s="215">
        <v>773</v>
      </c>
      <c r="I1155" s="215">
        <v>790</v>
      </c>
      <c r="J1155" t="s">
        <v>122</v>
      </c>
    </row>
    <row r="1156" spans="1:10" x14ac:dyDescent="0.3">
      <c r="A1156">
        <v>648002</v>
      </c>
      <c r="B1156" s="286">
        <v>42100</v>
      </c>
      <c r="E1156" s="215">
        <v>2980</v>
      </c>
      <c r="F1156" s="215">
        <v>3057</v>
      </c>
      <c r="G1156" s="215">
        <v>3124</v>
      </c>
      <c r="H1156" s="215">
        <v>3193</v>
      </c>
      <c r="I1156" s="215">
        <v>3263</v>
      </c>
      <c r="J1156" t="s">
        <v>122</v>
      </c>
    </row>
    <row r="1157" spans="1:10" x14ac:dyDescent="0.3">
      <c r="A1157">
        <v>648002</v>
      </c>
      <c r="B1157" s="286">
        <v>42100</v>
      </c>
      <c r="E1157" s="215">
        <v>193</v>
      </c>
      <c r="F1157" s="215">
        <v>198</v>
      </c>
      <c r="G1157" s="215">
        <v>202</v>
      </c>
      <c r="H1157" s="215">
        <v>206</v>
      </c>
      <c r="I1157" s="215">
        <v>211</v>
      </c>
      <c r="J1157" t="s">
        <v>122</v>
      </c>
    </row>
    <row r="1158" spans="1:10" x14ac:dyDescent="0.3">
      <c r="A1158">
        <v>648002</v>
      </c>
      <c r="B1158" s="286">
        <v>42100</v>
      </c>
      <c r="E1158" s="215">
        <v>367</v>
      </c>
      <c r="F1158" s="215">
        <v>377</v>
      </c>
      <c r="G1158" s="215">
        <v>385</v>
      </c>
      <c r="H1158" s="215">
        <v>393</v>
      </c>
      <c r="I1158" s="215">
        <v>402</v>
      </c>
      <c r="J1158" t="s">
        <v>122</v>
      </c>
    </row>
    <row r="1159" spans="1:10" x14ac:dyDescent="0.3">
      <c r="A1159">
        <v>648002</v>
      </c>
      <c r="B1159" s="286">
        <v>43802</v>
      </c>
      <c r="E1159" s="215">
        <v>6070</v>
      </c>
      <c r="F1159" s="215">
        <v>6228</v>
      </c>
      <c r="G1159" s="215">
        <v>6365</v>
      </c>
      <c r="H1159" s="215">
        <v>6505</v>
      </c>
      <c r="I1159" s="215">
        <v>6648</v>
      </c>
      <c r="J1159" t="s">
        <v>122</v>
      </c>
    </row>
    <row r="1160" spans="1:10" x14ac:dyDescent="0.3">
      <c r="A1160">
        <v>648002</v>
      </c>
      <c r="B1160" s="286">
        <v>43805</v>
      </c>
      <c r="E1160" s="215">
        <v>83224</v>
      </c>
      <c r="F1160" s="215">
        <v>85388</v>
      </c>
      <c r="G1160" s="215">
        <v>87267</v>
      </c>
      <c r="H1160" s="215">
        <v>89187</v>
      </c>
      <c r="I1160" s="215">
        <v>91149</v>
      </c>
      <c r="J1160" t="s">
        <v>122</v>
      </c>
    </row>
    <row r="1161" spans="1:10" x14ac:dyDescent="0.3">
      <c r="A1161">
        <v>648002</v>
      </c>
      <c r="B1161" s="286">
        <v>43806</v>
      </c>
      <c r="E1161" s="215">
        <v>347</v>
      </c>
      <c r="F1161" s="215">
        <v>356</v>
      </c>
      <c r="G1161" s="215">
        <v>364</v>
      </c>
      <c r="H1161" s="215">
        <v>372</v>
      </c>
      <c r="I1161" s="215">
        <v>380</v>
      </c>
      <c r="J1161" t="s">
        <v>122</v>
      </c>
    </row>
    <row r="1162" spans="1:10" x14ac:dyDescent="0.3">
      <c r="A1162">
        <v>648002</v>
      </c>
      <c r="B1162" s="286">
        <v>43814</v>
      </c>
      <c r="E1162" s="215">
        <v>12045</v>
      </c>
      <c r="F1162" s="215">
        <v>12332</v>
      </c>
      <c r="G1162" s="215">
        <v>12586</v>
      </c>
      <c r="H1162" s="215">
        <v>12845</v>
      </c>
      <c r="I1162" s="215">
        <v>13110</v>
      </c>
      <c r="J1162" t="s">
        <v>122</v>
      </c>
    </row>
    <row r="1163" spans="1:10" x14ac:dyDescent="0.3">
      <c r="A1163">
        <v>648002</v>
      </c>
      <c r="B1163" s="286">
        <v>43812</v>
      </c>
      <c r="E1163" s="215">
        <v>477</v>
      </c>
      <c r="F1163" s="215">
        <v>478</v>
      </c>
      <c r="G1163" s="215">
        <v>479</v>
      </c>
      <c r="H1163" s="215">
        <v>480</v>
      </c>
      <c r="I1163" s="215">
        <v>480</v>
      </c>
      <c r="J1163" t="s">
        <v>122</v>
      </c>
    </row>
    <row r="1164" spans="1:10" x14ac:dyDescent="0.3">
      <c r="A1164">
        <v>648002</v>
      </c>
      <c r="B1164" s="286">
        <v>43814</v>
      </c>
      <c r="E1164" s="215">
        <v>929968.24</v>
      </c>
      <c r="F1164" s="215">
        <v>952198.08719999995</v>
      </c>
      <c r="G1164" s="215">
        <v>981455.91981600004</v>
      </c>
      <c r="H1164" s="215">
        <v>1011737.1274104801</v>
      </c>
      <c r="I1164" s="215">
        <v>1043082.1112327944</v>
      </c>
      <c r="J1164" t="s">
        <v>122</v>
      </c>
    </row>
    <row r="1165" spans="1:10" x14ac:dyDescent="0.3">
      <c r="A1165">
        <v>648002</v>
      </c>
      <c r="B1165" s="286">
        <v>44510</v>
      </c>
      <c r="E1165" s="215">
        <v>197823</v>
      </c>
      <c r="F1165" s="215">
        <v>202551</v>
      </c>
      <c r="G1165" s="215">
        <v>208749</v>
      </c>
      <c r="H1165" s="215">
        <v>215162</v>
      </c>
      <c r="I1165" s="215">
        <v>221800</v>
      </c>
      <c r="J1165" t="s">
        <v>122</v>
      </c>
    </row>
    <row r="1166" spans="1:10" x14ac:dyDescent="0.3">
      <c r="A1166">
        <v>648002</v>
      </c>
      <c r="B1166" s="286">
        <v>47300</v>
      </c>
      <c r="E1166" s="215">
        <v>0</v>
      </c>
      <c r="F1166" s="215">
        <v>0</v>
      </c>
      <c r="G1166" s="215">
        <v>0</v>
      </c>
      <c r="H1166" s="215">
        <v>0</v>
      </c>
      <c r="I1166" s="215">
        <v>0</v>
      </c>
      <c r="J1166" t="s">
        <v>122</v>
      </c>
    </row>
    <row r="1167" spans="1:10" x14ac:dyDescent="0.3">
      <c r="A1167">
        <v>648002</v>
      </c>
      <c r="B1167" s="286">
        <v>43812</v>
      </c>
      <c r="E1167" s="215">
        <v>13821</v>
      </c>
      <c r="F1167" s="215">
        <v>14180</v>
      </c>
      <c r="G1167" s="215">
        <v>14492</v>
      </c>
      <c r="H1167" s="215">
        <v>14811</v>
      </c>
      <c r="I1167" s="215">
        <v>15137</v>
      </c>
      <c r="J1167" t="s">
        <v>122</v>
      </c>
    </row>
    <row r="1168" spans="1:10" x14ac:dyDescent="0.3">
      <c r="A1168">
        <v>648002</v>
      </c>
      <c r="B1168" s="286">
        <v>44360</v>
      </c>
      <c r="E1168" s="215">
        <v>6096.7640000000001</v>
      </c>
      <c r="F1168" s="215">
        <v>6096.7640000000001</v>
      </c>
      <c r="G1168" s="215">
        <v>6096.7640000000001</v>
      </c>
      <c r="H1168" s="215">
        <v>6096.9660000000003</v>
      </c>
      <c r="I1168" s="215">
        <v>6096.9660000000003</v>
      </c>
      <c r="J1168" t="s">
        <v>122</v>
      </c>
    </row>
    <row r="1169" spans="1:10" x14ac:dyDescent="0.3">
      <c r="A1169">
        <v>648002</v>
      </c>
      <c r="B1169" s="286">
        <v>43812</v>
      </c>
      <c r="E1169" s="215">
        <v>0</v>
      </c>
      <c r="F1169" s="215">
        <v>0</v>
      </c>
      <c r="G1169" s="215">
        <v>0</v>
      </c>
      <c r="H1169" s="215">
        <v>0</v>
      </c>
      <c r="I1169" s="215">
        <v>0</v>
      </c>
      <c r="J1169" t="s">
        <v>122</v>
      </c>
    </row>
    <row r="1170" spans="1:10" x14ac:dyDescent="0.3">
      <c r="A1170">
        <v>648002</v>
      </c>
      <c r="B1170" s="286">
        <v>44510</v>
      </c>
      <c r="E1170" s="215">
        <v>0</v>
      </c>
      <c r="F1170" s="215">
        <v>0</v>
      </c>
      <c r="G1170" s="215">
        <v>0</v>
      </c>
      <c r="H1170" s="215">
        <v>0</v>
      </c>
      <c r="I1170" s="215">
        <v>0</v>
      </c>
      <c r="J1170" t="s">
        <v>122</v>
      </c>
    </row>
    <row r="1171" spans="1:10" x14ac:dyDescent="0.3">
      <c r="A1171" s="286">
        <v>648901</v>
      </c>
      <c r="B1171" s="286">
        <v>41100</v>
      </c>
      <c r="E1171" s="215">
        <v>204862.24</v>
      </c>
      <c r="F1171" s="215">
        <v>239958.64</v>
      </c>
      <c r="G1171" s="215">
        <v>250997</v>
      </c>
      <c r="H1171" s="215">
        <v>262543</v>
      </c>
      <c r="I1171" s="215">
        <v>274620</v>
      </c>
      <c r="J1171" t="s">
        <v>122</v>
      </c>
    </row>
    <row r="1172" spans="1:10" x14ac:dyDescent="0.3">
      <c r="A1172" s="286">
        <v>648901</v>
      </c>
      <c r="B1172" s="286">
        <v>41100</v>
      </c>
      <c r="E1172" s="215">
        <v>0</v>
      </c>
      <c r="F1172" s="215">
        <v>0</v>
      </c>
      <c r="G1172" s="215">
        <v>0</v>
      </c>
      <c r="H1172" s="215">
        <v>0</v>
      </c>
      <c r="I1172" s="215">
        <v>0</v>
      </c>
      <c r="J1172" t="s">
        <v>122</v>
      </c>
    </row>
    <row r="1173" spans="1:10" x14ac:dyDescent="0.3">
      <c r="A1173" s="286">
        <v>648901</v>
      </c>
      <c r="B1173" s="286">
        <v>47300</v>
      </c>
      <c r="E1173" s="215">
        <v>59669</v>
      </c>
      <c r="F1173" s="215">
        <v>62543</v>
      </c>
      <c r="G1173" s="215">
        <v>67877</v>
      </c>
      <c r="H1173" s="215">
        <v>73210</v>
      </c>
      <c r="I1173" s="215">
        <v>78544</v>
      </c>
      <c r="J1173" t="s">
        <v>122</v>
      </c>
    </row>
    <row r="1174" spans="1:10" x14ac:dyDescent="0.3">
      <c r="A1174" s="286">
        <v>648901</v>
      </c>
      <c r="B1174" s="286">
        <v>43812</v>
      </c>
      <c r="E1174" s="215">
        <v>26814</v>
      </c>
      <c r="F1174" s="215">
        <v>27619</v>
      </c>
      <c r="G1174" s="215">
        <v>28227</v>
      </c>
      <c r="H1174" s="215">
        <v>28848</v>
      </c>
      <c r="I1174" s="215">
        <v>29483</v>
      </c>
      <c r="J1174" t="s">
        <v>122</v>
      </c>
    </row>
    <row r="1175" spans="1:10" x14ac:dyDescent="0.3">
      <c r="A1175" s="286">
        <v>648901</v>
      </c>
      <c r="B1175" s="286">
        <v>83800</v>
      </c>
      <c r="E1175" s="215">
        <v>-9021</v>
      </c>
      <c r="F1175" s="215">
        <v>-9291</v>
      </c>
      <c r="G1175" s="215">
        <v>-9495</v>
      </c>
      <c r="H1175" s="215">
        <v>-9704</v>
      </c>
      <c r="I1175" s="215">
        <v>-9917</v>
      </c>
      <c r="J1175" t="s">
        <v>122</v>
      </c>
    </row>
    <row r="1176" spans="1:10" x14ac:dyDescent="0.3">
      <c r="A1176" s="286">
        <v>648003</v>
      </c>
      <c r="B1176" s="286">
        <v>44510</v>
      </c>
      <c r="E1176" s="215">
        <v>-915245</v>
      </c>
      <c r="F1176" s="215">
        <v>-958132</v>
      </c>
      <c r="G1176" s="215">
        <v>-981850</v>
      </c>
      <c r="H1176" s="215">
        <v>-1006128</v>
      </c>
      <c r="I1176" s="215">
        <v>-1031072</v>
      </c>
      <c r="J1176" t="s">
        <v>122</v>
      </c>
    </row>
    <row r="1177" spans="1:10" x14ac:dyDescent="0.3">
      <c r="A1177" s="286">
        <v>648001</v>
      </c>
      <c r="B1177" s="286">
        <v>83800</v>
      </c>
      <c r="E1177" s="215">
        <v>-462497</v>
      </c>
      <c r="F1177" s="215">
        <v>-490886.35</v>
      </c>
      <c r="G1177" s="215">
        <v>-501686</v>
      </c>
      <c r="H1177" s="215">
        <v>-512722</v>
      </c>
      <c r="I1177" s="215">
        <v>-524001</v>
      </c>
      <c r="J1177" t="s">
        <v>122</v>
      </c>
    </row>
    <row r="1178" spans="1:10" x14ac:dyDescent="0.3">
      <c r="A1178" s="286">
        <v>648002</v>
      </c>
      <c r="B1178" s="286">
        <v>83800</v>
      </c>
      <c r="E1178" s="215">
        <v>-65792</v>
      </c>
      <c r="F1178" s="215">
        <v>-67503</v>
      </c>
      <c r="G1178" s="215">
        <v>-68988</v>
      </c>
      <c r="H1178" s="215">
        <v>-70505</v>
      </c>
      <c r="I1178" s="215">
        <v>-72056</v>
      </c>
      <c r="J1178" t="s">
        <v>122</v>
      </c>
    </row>
    <row r="1179" spans="1:10" x14ac:dyDescent="0.3">
      <c r="A1179" s="286">
        <v>648004</v>
      </c>
      <c r="B1179" s="286">
        <v>83700</v>
      </c>
      <c r="E1179" s="215">
        <v>-5380992</v>
      </c>
      <c r="F1179" s="215">
        <v>-5679397.2000000002</v>
      </c>
      <c r="G1179" s="215">
        <v>-5833130.4000000004</v>
      </c>
      <c r="H1179" s="215">
        <v>-5987388</v>
      </c>
      <c r="I1179" s="215">
        <v>-6148348.7999999998</v>
      </c>
      <c r="J1179" t="s">
        <v>122</v>
      </c>
    </row>
    <row r="1180" spans="1:10" x14ac:dyDescent="0.3">
      <c r="A1180" s="286">
        <v>649001</v>
      </c>
      <c r="B1180" s="286">
        <v>43812</v>
      </c>
      <c r="E1180" s="215">
        <v>94224</v>
      </c>
      <c r="F1180" s="215">
        <v>122362</v>
      </c>
      <c r="G1180" s="215">
        <v>125054</v>
      </c>
      <c r="H1180" s="215">
        <v>127805</v>
      </c>
      <c r="I1180" s="215">
        <v>130617</v>
      </c>
      <c r="J1180" t="s">
        <v>123</v>
      </c>
    </row>
    <row r="1181" spans="1:10" x14ac:dyDescent="0.3">
      <c r="A1181" s="286">
        <v>649002</v>
      </c>
      <c r="B1181" s="286">
        <v>43812</v>
      </c>
      <c r="E1181" s="215">
        <v>25037</v>
      </c>
      <c r="F1181" s="215">
        <v>0</v>
      </c>
      <c r="G1181" s="215">
        <v>0</v>
      </c>
      <c r="H1181" s="215">
        <v>0</v>
      </c>
      <c r="I1181" s="215">
        <v>0</v>
      </c>
      <c r="J1181" t="s">
        <v>123</v>
      </c>
    </row>
    <row r="1182" spans="1:10" x14ac:dyDescent="0.3">
      <c r="A1182" s="286">
        <v>649003</v>
      </c>
      <c r="B1182" s="286">
        <v>44380</v>
      </c>
      <c r="E1182" s="215">
        <v>21832</v>
      </c>
      <c r="F1182" s="215">
        <v>22400</v>
      </c>
      <c r="G1182" s="215">
        <v>22893</v>
      </c>
      <c r="H1182" s="215">
        <v>23397</v>
      </c>
      <c r="I1182" s="215">
        <v>23912</v>
      </c>
      <c r="J1182" t="s">
        <v>123</v>
      </c>
    </row>
    <row r="1183" spans="1:10" x14ac:dyDescent="0.3">
      <c r="A1183" s="286">
        <v>649005</v>
      </c>
      <c r="B1183" s="286">
        <v>43511</v>
      </c>
      <c r="E1183" s="215">
        <v>12250</v>
      </c>
      <c r="F1183" s="215">
        <v>12568</v>
      </c>
      <c r="G1183" s="215">
        <v>12844</v>
      </c>
      <c r="H1183" s="215">
        <v>13126</v>
      </c>
      <c r="I1183" s="215">
        <v>13415</v>
      </c>
      <c r="J1183" t="s">
        <v>123</v>
      </c>
    </row>
    <row r="1184" spans="1:10" x14ac:dyDescent="0.3">
      <c r="A1184" s="286">
        <v>649005</v>
      </c>
      <c r="B1184" s="286">
        <v>43812</v>
      </c>
      <c r="E1184" s="215">
        <v>345681</v>
      </c>
      <c r="F1184" s="215">
        <v>174869</v>
      </c>
      <c r="G1184" s="215">
        <v>179529</v>
      </c>
      <c r="H1184" s="215">
        <v>102537</v>
      </c>
      <c r="I1184" s="215">
        <v>104791</v>
      </c>
      <c r="J1184" t="s">
        <v>123</v>
      </c>
    </row>
    <row r="1185" spans="1:10" x14ac:dyDescent="0.3">
      <c r="A1185" s="286">
        <v>649006</v>
      </c>
      <c r="B1185" s="286">
        <v>43812</v>
      </c>
      <c r="E1185" s="215">
        <v>4900</v>
      </c>
      <c r="F1185" s="215">
        <v>5400</v>
      </c>
      <c r="G1185" s="215">
        <v>5545</v>
      </c>
      <c r="H1185" s="215">
        <v>5682</v>
      </c>
      <c r="I1185" s="215">
        <v>5719</v>
      </c>
      <c r="J1185" t="s">
        <v>123</v>
      </c>
    </row>
    <row r="1186" spans="1:10" x14ac:dyDescent="0.3">
      <c r="A1186" s="286">
        <v>649013</v>
      </c>
      <c r="B1186" s="286">
        <v>43812</v>
      </c>
      <c r="E1186" s="215">
        <v>35670</v>
      </c>
      <c r="F1186" s="215">
        <v>36598</v>
      </c>
      <c r="G1186" s="215">
        <v>37403</v>
      </c>
      <c r="H1186" s="215">
        <v>38227</v>
      </c>
      <c r="I1186" s="215">
        <v>39068</v>
      </c>
      <c r="J1186" t="s">
        <v>123</v>
      </c>
    </row>
    <row r="1187" spans="1:10" x14ac:dyDescent="0.3">
      <c r="A1187" s="286">
        <v>649014</v>
      </c>
      <c r="B1187" s="286">
        <v>43812</v>
      </c>
      <c r="E1187" s="215">
        <v>4295</v>
      </c>
      <c r="F1187" s="215">
        <v>4407</v>
      </c>
      <c r="G1187" s="215">
        <v>4504</v>
      </c>
      <c r="H1187" s="215">
        <v>4603</v>
      </c>
      <c r="I1187" s="215">
        <v>4704</v>
      </c>
      <c r="J1187" t="s">
        <v>123</v>
      </c>
    </row>
    <row r="1188" spans="1:10" x14ac:dyDescent="0.3">
      <c r="A1188" s="286">
        <v>649018</v>
      </c>
      <c r="B1188" s="286">
        <v>43511</v>
      </c>
      <c r="E1188" s="215">
        <v>124295</v>
      </c>
      <c r="F1188" s="215">
        <v>-87992</v>
      </c>
      <c r="G1188" s="215">
        <v>-106004</v>
      </c>
      <c r="H1188" s="215">
        <v>-82003</v>
      </c>
      <c r="I1188" s="215">
        <v>-100725</v>
      </c>
      <c r="J1188" t="s">
        <v>123</v>
      </c>
    </row>
    <row r="1189" spans="1:10" x14ac:dyDescent="0.3">
      <c r="A1189" s="286">
        <v>649018</v>
      </c>
      <c r="B1189" s="286">
        <v>41100</v>
      </c>
      <c r="E1189" s="215">
        <v>170005</v>
      </c>
      <c r="F1189" s="215">
        <v>371992</v>
      </c>
      <c r="G1189" s="215">
        <v>389104</v>
      </c>
      <c r="H1189" s="215">
        <v>407003</v>
      </c>
      <c r="I1189" s="215">
        <v>425725</v>
      </c>
      <c r="J1189" t="s">
        <v>123</v>
      </c>
    </row>
    <row r="1190" spans="1:10" x14ac:dyDescent="0.3">
      <c r="A1190" s="286">
        <v>649019</v>
      </c>
      <c r="B1190" s="286">
        <v>43812</v>
      </c>
      <c r="E1190" s="215">
        <v>51200</v>
      </c>
      <c r="F1190" s="215">
        <v>52400</v>
      </c>
      <c r="G1190" s="215">
        <v>53700</v>
      </c>
      <c r="H1190" s="215">
        <v>0</v>
      </c>
      <c r="I1190" s="215">
        <v>0</v>
      </c>
      <c r="J1190" t="s">
        <v>123</v>
      </c>
    </row>
    <row r="1191" spans="1:10" x14ac:dyDescent="0.3">
      <c r="A1191" s="286">
        <v>649020</v>
      </c>
      <c r="B1191" s="286">
        <v>43812</v>
      </c>
      <c r="E1191" s="215">
        <v>250000</v>
      </c>
      <c r="F1191" s="215">
        <v>250000</v>
      </c>
      <c r="G1191" s="215">
        <v>0</v>
      </c>
      <c r="H1191" s="215">
        <v>0</v>
      </c>
      <c r="I1191" s="215">
        <v>0</v>
      </c>
      <c r="J1191" t="s">
        <v>123</v>
      </c>
    </row>
    <row r="1192" spans="1:10" x14ac:dyDescent="0.3">
      <c r="A1192" s="286">
        <v>649024</v>
      </c>
      <c r="B1192" s="286">
        <v>42100</v>
      </c>
      <c r="E1192" s="215">
        <v>0</v>
      </c>
      <c r="F1192" s="215">
        <v>0</v>
      </c>
      <c r="G1192" s="215">
        <v>140600</v>
      </c>
      <c r="H1192" s="215">
        <v>140600</v>
      </c>
      <c r="I1192" s="215">
        <v>140600</v>
      </c>
      <c r="J1192" t="s">
        <v>123</v>
      </c>
    </row>
    <row r="1193" spans="1:10" x14ac:dyDescent="0.3">
      <c r="A1193" s="286">
        <v>649024</v>
      </c>
      <c r="B1193" s="286">
        <v>43802</v>
      </c>
      <c r="E1193" s="215">
        <v>0</v>
      </c>
      <c r="F1193" s="215">
        <v>0</v>
      </c>
      <c r="G1193" s="215">
        <v>210000</v>
      </c>
      <c r="H1193" s="215">
        <v>210000</v>
      </c>
      <c r="I1193" s="215">
        <v>210000</v>
      </c>
      <c r="J1193" t="s">
        <v>123</v>
      </c>
    </row>
    <row r="1194" spans="1:10" x14ac:dyDescent="0.3">
      <c r="A1194" s="286">
        <v>649024</v>
      </c>
      <c r="B1194" s="286">
        <v>43812</v>
      </c>
      <c r="E1194" s="215">
        <v>0</v>
      </c>
      <c r="F1194" s="215">
        <v>0</v>
      </c>
      <c r="G1194" s="215">
        <v>50000</v>
      </c>
      <c r="H1194" s="215">
        <v>50000</v>
      </c>
      <c r="I1194" s="215">
        <v>50000</v>
      </c>
      <c r="J1194" t="s">
        <v>123</v>
      </c>
    </row>
    <row r="1195" spans="1:10" x14ac:dyDescent="0.3">
      <c r="A1195" s="286">
        <v>649024</v>
      </c>
      <c r="B1195" s="286">
        <v>43812</v>
      </c>
      <c r="E1195" s="215">
        <v>0</v>
      </c>
      <c r="F1195" s="215">
        <v>0</v>
      </c>
      <c r="G1195" s="215">
        <v>302666</v>
      </c>
      <c r="H1195" s="215">
        <v>302666</v>
      </c>
      <c r="I1195" s="215">
        <v>302666</v>
      </c>
      <c r="J1195" t="s">
        <v>123</v>
      </c>
    </row>
    <row r="1196" spans="1:10" x14ac:dyDescent="0.3">
      <c r="A1196" s="286">
        <v>649007</v>
      </c>
      <c r="B1196" s="286">
        <v>43511</v>
      </c>
      <c r="E1196" s="215">
        <v>208973</v>
      </c>
      <c r="F1196" s="215">
        <v>214406</v>
      </c>
      <c r="G1196" s="215">
        <v>219123</v>
      </c>
      <c r="H1196" s="215">
        <v>223944</v>
      </c>
      <c r="I1196" s="215">
        <v>228871</v>
      </c>
      <c r="J1196" t="s">
        <v>123</v>
      </c>
    </row>
    <row r="1197" spans="1:10" x14ac:dyDescent="0.3">
      <c r="A1197" s="286">
        <v>649010</v>
      </c>
      <c r="B1197" s="286">
        <v>43511</v>
      </c>
      <c r="E1197" s="215">
        <v>10731</v>
      </c>
      <c r="F1197" s="215">
        <v>11010</v>
      </c>
      <c r="G1197" s="215">
        <v>11252</v>
      </c>
      <c r="H1197" s="215">
        <v>11500</v>
      </c>
      <c r="I1197" s="215">
        <v>11753</v>
      </c>
      <c r="J1197" t="s">
        <v>123</v>
      </c>
    </row>
    <row r="1198" spans="1:10" x14ac:dyDescent="0.3">
      <c r="A1198" s="286">
        <v>649011</v>
      </c>
      <c r="B1198" s="286">
        <v>43511</v>
      </c>
      <c r="E1198" s="215">
        <v>27141</v>
      </c>
      <c r="F1198" s="215">
        <v>27847</v>
      </c>
      <c r="G1198" s="215">
        <v>28460</v>
      </c>
      <c r="H1198" s="215">
        <v>29086</v>
      </c>
      <c r="I1198" s="215">
        <v>29726</v>
      </c>
      <c r="J1198" t="s">
        <v>123</v>
      </c>
    </row>
    <row r="1199" spans="1:10" x14ac:dyDescent="0.3">
      <c r="A1199" s="286">
        <v>649012</v>
      </c>
      <c r="B1199" s="286">
        <v>43511</v>
      </c>
      <c r="E1199" s="215">
        <v>6918</v>
      </c>
      <c r="F1199" s="215">
        <v>7098</v>
      </c>
      <c r="G1199" s="215">
        <v>7254</v>
      </c>
      <c r="H1199" s="215">
        <v>7414</v>
      </c>
      <c r="I1199" s="215">
        <v>7577</v>
      </c>
      <c r="J1199" t="s">
        <v>123</v>
      </c>
    </row>
    <row r="1200" spans="1:10" x14ac:dyDescent="0.3">
      <c r="A1200" s="286">
        <v>649902</v>
      </c>
      <c r="B1200" s="286">
        <v>41100</v>
      </c>
      <c r="E1200" s="215">
        <v>847478.06</v>
      </c>
      <c r="F1200" s="215">
        <v>589800.71</v>
      </c>
      <c r="G1200" s="215">
        <v>510239</v>
      </c>
      <c r="H1200" s="215">
        <v>533710</v>
      </c>
      <c r="I1200" s="215">
        <v>558261</v>
      </c>
      <c r="J1200" t="s">
        <v>123</v>
      </c>
    </row>
    <row r="1201" spans="1:10" x14ac:dyDescent="0.3">
      <c r="A1201" s="286">
        <v>649902</v>
      </c>
      <c r="B1201" s="286">
        <v>47300</v>
      </c>
      <c r="E1201" s="215">
        <v>59669</v>
      </c>
      <c r="F1201" s="215">
        <v>46585</v>
      </c>
      <c r="G1201" s="215">
        <v>342585</v>
      </c>
      <c r="H1201" s="215">
        <v>425919</v>
      </c>
      <c r="I1201" s="215">
        <v>459252</v>
      </c>
      <c r="J1201" t="s">
        <v>123</v>
      </c>
    </row>
    <row r="1202" spans="1:10" x14ac:dyDescent="0.3">
      <c r="A1202" s="286">
        <v>649901</v>
      </c>
      <c r="B1202" s="286">
        <v>41100</v>
      </c>
      <c r="E1202" s="215">
        <v>5459.85</v>
      </c>
      <c r="F1202" s="215">
        <v>0</v>
      </c>
      <c r="G1202" s="215">
        <v>0</v>
      </c>
      <c r="H1202" s="215">
        <v>0</v>
      </c>
      <c r="I1202" s="215">
        <v>0</v>
      </c>
      <c r="J1202" t="s">
        <v>123</v>
      </c>
    </row>
    <row r="1203" spans="1:10" x14ac:dyDescent="0.3">
      <c r="A1203" s="286">
        <v>649015</v>
      </c>
      <c r="B1203" s="286">
        <v>84310</v>
      </c>
      <c r="E1203" s="215">
        <v>-24900</v>
      </c>
      <c r="F1203" s="215">
        <v>-24900</v>
      </c>
      <c r="G1203" s="215">
        <v>-24900</v>
      </c>
      <c r="H1203" s="215">
        <v>-24900</v>
      </c>
      <c r="I1203" s="215">
        <v>-24900</v>
      </c>
      <c r="J1203" t="s">
        <v>123</v>
      </c>
    </row>
    <row r="1204" spans="1:10" x14ac:dyDescent="0.3">
      <c r="A1204" s="286">
        <v>649008</v>
      </c>
      <c r="B1204" s="286">
        <v>83700</v>
      </c>
      <c r="E1204" s="215">
        <v>-10197</v>
      </c>
      <c r="F1204" s="215">
        <v>-10462</v>
      </c>
      <c r="G1204" s="215">
        <v>-10692</v>
      </c>
      <c r="H1204" s="215">
        <v>-10927</v>
      </c>
      <c r="I1204" s="215">
        <v>-11167</v>
      </c>
      <c r="J1204" t="s">
        <v>123</v>
      </c>
    </row>
    <row r="1205" spans="1:10" x14ac:dyDescent="0.3">
      <c r="A1205" s="286">
        <v>649009</v>
      </c>
      <c r="B1205" s="286">
        <v>83700</v>
      </c>
      <c r="E1205" s="215">
        <v>-3908</v>
      </c>
      <c r="F1205" s="215">
        <v>-4010</v>
      </c>
      <c r="G1205" s="215">
        <v>-4098</v>
      </c>
      <c r="H1205" s="215">
        <v>-4188</v>
      </c>
      <c r="I1205" s="215">
        <v>-4280</v>
      </c>
      <c r="J1205" t="s">
        <v>123</v>
      </c>
    </row>
    <row r="1206" spans="1:10" x14ac:dyDescent="0.3">
      <c r="A1206" s="286">
        <v>649018</v>
      </c>
      <c r="B1206" s="286">
        <v>84310</v>
      </c>
      <c r="E1206" s="215">
        <v>-325000</v>
      </c>
      <c r="F1206" s="215">
        <v>-325000</v>
      </c>
      <c r="G1206" s="215">
        <v>-325000</v>
      </c>
      <c r="H1206" s="215">
        <v>-325000</v>
      </c>
      <c r="I1206" s="215">
        <v>-325000</v>
      </c>
      <c r="J1206" t="s">
        <v>123</v>
      </c>
    </row>
    <row r="1207" spans="1:10" x14ac:dyDescent="0.3">
      <c r="A1207" s="286">
        <v>649019</v>
      </c>
      <c r="B1207" s="286">
        <v>84310</v>
      </c>
      <c r="E1207" s="215">
        <v>-51200</v>
      </c>
      <c r="F1207" s="215">
        <v>-52400</v>
      </c>
      <c r="G1207" s="215">
        <v>-53700</v>
      </c>
      <c r="H1207" s="215">
        <v>0</v>
      </c>
      <c r="I1207" s="215">
        <v>0</v>
      </c>
      <c r="J1207" t="s">
        <v>123</v>
      </c>
    </row>
    <row r="1208" spans="1:10" x14ac:dyDescent="0.3">
      <c r="A1208" s="286" t="s">
        <v>124</v>
      </c>
      <c r="B1208" s="286">
        <v>83800</v>
      </c>
      <c r="E1208" s="215">
        <v>0</v>
      </c>
      <c r="F1208" s="215">
        <v>0</v>
      </c>
      <c r="G1208" s="215">
        <v>-600000</v>
      </c>
      <c r="H1208" s="215">
        <v>-600000</v>
      </c>
      <c r="I1208" s="215">
        <v>-600000</v>
      </c>
      <c r="J1208" t="s">
        <v>123</v>
      </c>
    </row>
    <row r="1209" spans="1:10" x14ac:dyDescent="0.3">
      <c r="A1209" s="286" t="s">
        <v>124</v>
      </c>
      <c r="B1209" s="286">
        <v>84310</v>
      </c>
      <c r="E1209" s="215">
        <v>0</v>
      </c>
      <c r="F1209" s="215">
        <v>0</v>
      </c>
      <c r="G1209" s="215">
        <v>-400000</v>
      </c>
      <c r="H1209" s="215">
        <v>-400000</v>
      </c>
      <c r="I1209" s="215">
        <v>-400000</v>
      </c>
      <c r="J1209" t="s">
        <v>123</v>
      </c>
    </row>
    <row r="1210" spans="1:10" x14ac:dyDescent="0.3">
      <c r="A1210" s="286">
        <v>650001</v>
      </c>
      <c r="B1210" s="286">
        <v>43812</v>
      </c>
      <c r="E1210" s="215">
        <v>2107</v>
      </c>
      <c r="F1210" s="215">
        <v>7809</v>
      </c>
      <c r="G1210" s="215">
        <v>8112</v>
      </c>
      <c r="H1210" s="215">
        <v>8438</v>
      </c>
      <c r="I1210" s="215">
        <v>8488</v>
      </c>
      <c r="J1210" t="s">
        <v>125</v>
      </c>
    </row>
    <row r="1211" spans="1:10" x14ac:dyDescent="0.3">
      <c r="A1211" s="286">
        <v>650901</v>
      </c>
      <c r="B1211" s="286">
        <v>41100</v>
      </c>
      <c r="E1211" s="215">
        <v>1555</v>
      </c>
      <c r="F1211" s="215">
        <v>2943</v>
      </c>
      <c r="G1211" s="215">
        <v>3078</v>
      </c>
      <c r="H1211" s="215">
        <v>3220</v>
      </c>
      <c r="I1211" s="215">
        <v>3368</v>
      </c>
      <c r="J1211" t="s">
        <v>125</v>
      </c>
    </row>
    <row r="1212" spans="1:10" x14ac:dyDescent="0.3">
      <c r="A1212" s="286">
        <v>650901</v>
      </c>
      <c r="B1212" s="286">
        <v>47300</v>
      </c>
      <c r="E1212" s="215">
        <v>2069</v>
      </c>
      <c r="F1212" s="215">
        <v>2069</v>
      </c>
      <c r="G1212" s="215">
        <v>2069</v>
      </c>
      <c r="H1212" s="215">
        <v>2069</v>
      </c>
      <c r="I1212" s="215">
        <v>2069</v>
      </c>
      <c r="J1212" t="s">
        <v>125</v>
      </c>
    </row>
    <row r="1213" spans="1:10" x14ac:dyDescent="0.3">
      <c r="A1213" s="286">
        <v>650001</v>
      </c>
      <c r="B1213" s="286">
        <v>83700</v>
      </c>
      <c r="E1213" s="215">
        <v>-4067</v>
      </c>
      <c r="F1213" s="215">
        <v>-4067</v>
      </c>
      <c r="G1213" s="215">
        <v>-4067</v>
      </c>
      <c r="H1213" s="215">
        <v>-4063</v>
      </c>
      <c r="I1213" s="215">
        <v>-4063</v>
      </c>
      <c r="J1213" t="s">
        <v>125</v>
      </c>
    </row>
    <row r="1214" spans="1:10" x14ac:dyDescent="0.3">
      <c r="A1214" s="286">
        <v>651001</v>
      </c>
      <c r="B1214" s="286">
        <v>43804</v>
      </c>
      <c r="E1214" s="215">
        <v>96872</v>
      </c>
      <c r="F1214" s="215">
        <v>149391</v>
      </c>
      <c r="G1214" s="215">
        <v>151578</v>
      </c>
      <c r="H1214" s="215">
        <v>153813</v>
      </c>
      <c r="I1214" s="215">
        <v>156097</v>
      </c>
      <c r="J1214" t="s">
        <v>126</v>
      </c>
    </row>
    <row r="1215" spans="1:10" x14ac:dyDescent="0.3">
      <c r="A1215" s="286">
        <v>651002</v>
      </c>
      <c r="B1215" s="286">
        <v>43511</v>
      </c>
      <c r="E1215" s="215">
        <v>57716</v>
      </c>
      <c r="F1215" s="215">
        <v>58870</v>
      </c>
      <c r="G1215" s="215">
        <v>61578</v>
      </c>
      <c r="H1215" s="215">
        <v>64411</v>
      </c>
      <c r="I1215" s="215">
        <v>67374</v>
      </c>
      <c r="J1215" t="s">
        <v>126</v>
      </c>
    </row>
    <row r="1216" spans="1:10" x14ac:dyDescent="0.3">
      <c r="A1216" s="286">
        <v>651003</v>
      </c>
      <c r="B1216" s="286">
        <v>43511</v>
      </c>
      <c r="E1216" s="215">
        <v>200000</v>
      </c>
      <c r="F1216" s="215">
        <v>204300</v>
      </c>
      <c r="G1216" s="215">
        <v>212429</v>
      </c>
      <c r="H1216" s="215">
        <v>220982</v>
      </c>
      <c r="I1216" s="215">
        <v>229861</v>
      </c>
      <c r="J1216" t="s">
        <v>126</v>
      </c>
    </row>
    <row r="1217" spans="1:10" x14ac:dyDescent="0.3">
      <c r="A1217" s="286">
        <v>651004</v>
      </c>
      <c r="B1217" s="286">
        <v>43812</v>
      </c>
      <c r="E1217" s="215">
        <v>16853</v>
      </c>
      <c r="F1217" s="215">
        <v>17291</v>
      </c>
      <c r="G1217" s="215">
        <v>17671</v>
      </c>
      <c r="H1217" s="215">
        <v>18060</v>
      </c>
      <c r="I1217" s="215">
        <v>18457</v>
      </c>
      <c r="J1217" t="s">
        <v>126</v>
      </c>
    </row>
    <row r="1218" spans="1:10" x14ac:dyDescent="0.3">
      <c r="A1218" s="286">
        <v>651005</v>
      </c>
      <c r="B1218" s="286">
        <v>44380</v>
      </c>
      <c r="E1218" s="215">
        <v>31235</v>
      </c>
      <c r="F1218" s="215">
        <v>31527</v>
      </c>
      <c r="G1218" s="215">
        <v>31781</v>
      </c>
      <c r="H1218" s="215">
        <v>27040</v>
      </c>
      <c r="I1218" s="215">
        <v>27305</v>
      </c>
      <c r="J1218" t="s">
        <v>126</v>
      </c>
    </row>
    <row r="1219" spans="1:10" x14ac:dyDescent="0.3">
      <c r="A1219" s="286">
        <v>651007</v>
      </c>
      <c r="B1219" s="286">
        <v>43100</v>
      </c>
      <c r="E1219" s="215">
        <v>1416143</v>
      </c>
      <c r="F1219" s="215">
        <v>1416143</v>
      </c>
      <c r="G1219" s="215">
        <v>0</v>
      </c>
      <c r="H1219" s="215">
        <v>0</v>
      </c>
      <c r="I1219" s="215">
        <v>0</v>
      </c>
      <c r="J1219" t="s">
        <v>126</v>
      </c>
    </row>
    <row r="1220" spans="1:10" x14ac:dyDescent="0.3">
      <c r="A1220" s="286">
        <v>651007</v>
      </c>
      <c r="B1220" s="286">
        <v>43812</v>
      </c>
      <c r="E1220" s="215">
        <v>133432</v>
      </c>
      <c r="F1220" s="215">
        <v>58432</v>
      </c>
      <c r="G1220" s="215">
        <v>58432</v>
      </c>
      <c r="H1220" s="215">
        <v>58432</v>
      </c>
      <c r="I1220" s="215">
        <v>58432</v>
      </c>
      <c r="J1220" t="s">
        <v>126</v>
      </c>
    </row>
    <row r="1221" spans="1:10" x14ac:dyDescent="0.3">
      <c r="A1221" s="286">
        <v>651008</v>
      </c>
      <c r="B1221" s="286">
        <v>43511</v>
      </c>
      <c r="E1221" s="215">
        <v>56447</v>
      </c>
      <c r="F1221" s="215">
        <v>357576</v>
      </c>
      <c r="G1221" s="215">
        <v>360224</v>
      </c>
      <c r="H1221" s="215">
        <v>362994</v>
      </c>
      <c r="I1221" s="215">
        <v>365892</v>
      </c>
      <c r="J1221" t="s">
        <v>126</v>
      </c>
    </row>
    <row r="1222" spans="1:10" x14ac:dyDescent="0.3">
      <c r="A1222" s="286">
        <v>651008</v>
      </c>
      <c r="B1222" s="286">
        <v>41100</v>
      </c>
      <c r="E1222" s="215">
        <v>160000</v>
      </c>
      <c r="F1222" s="215">
        <v>163200</v>
      </c>
      <c r="G1222" s="215">
        <v>170700</v>
      </c>
      <c r="H1222" s="215">
        <v>0</v>
      </c>
      <c r="I1222" s="215">
        <v>0</v>
      </c>
      <c r="J1222" t="s">
        <v>126</v>
      </c>
    </row>
    <row r="1223" spans="1:10" x14ac:dyDescent="0.3">
      <c r="A1223" s="286">
        <v>651012</v>
      </c>
      <c r="B1223" s="286">
        <v>43812</v>
      </c>
      <c r="E1223" s="215">
        <v>0</v>
      </c>
      <c r="F1223" s="215">
        <v>100000</v>
      </c>
      <c r="G1223" s="215">
        <v>100000</v>
      </c>
      <c r="H1223" s="215">
        <v>100000</v>
      </c>
      <c r="I1223" s="215">
        <v>0</v>
      </c>
      <c r="J1223" t="s">
        <v>126</v>
      </c>
    </row>
    <row r="1224" spans="1:10" x14ac:dyDescent="0.3">
      <c r="A1224" s="286" t="s">
        <v>127</v>
      </c>
      <c r="B1224" s="286">
        <v>43812</v>
      </c>
      <c r="E1224" s="215">
        <v>0</v>
      </c>
      <c r="F1224" s="215">
        <v>50000</v>
      </c>
      <c r="G1224" s="215">
        <v>50000</v>
      </c>
      <c r="H1224" s="215">
        <v>0</v>
      </c>
      <c r="I1224" s="215">
        <v>0</v>
      </c>
      <c r="J1224" t="s">
        <v>126</v>
      </c>
    </row>
    <row r="1225" spans="1:10" x14ac:dyDescent="0.3">
      <c r="A1225" s="286">
        <v>651901</v>
      </c>
      <c r="B1225" s="286">
        <v>41100</v>
      </c>
      <c r="E1225" s="215">
        <v>1430328.94</v>
      </c>
      <c r="F1225" s="215">
        <v>1408186.71</v>
      </c>
      <c r="G1225" s="215">
        <v>1358707</v>
      </c>
      <c r="H1225" s="215">
        <v>1604255</v>
      </c>
      <c r="I1225" s="215">
        <v>1678676</v>
      </c>
      <c r="J1225" t="s">
        <v>126</v>
      </c>
    </row>
    <row r="1226" spans="1:10" x14ac:dyDescent="0.3">
      <c r="A1226" s="286">
        <v>651901</v>
      </c>
      <c r="B1226" s="286">
        <v>43812</v>
      </c>
      <c r="E1226" s="215">
        <v>3034</v>
      </c>
      <c r="F1226" s="215">
        <v>3100</v>
      </c>
      <c r="G1226" s="215">
        <v>3140</v>
      </c>
      <c r="H1226" s="215">
        <v>3262</v>
      </c>
      <c r="I1226" s="215">
        <v>3282</v>
      </c>
      <c r="J1226" t="s">
        <v>126</v>
      </c>
    </row>
    <row r="1227" spans="1:10" x14ac:dyDescent="0.3">
      <c r="A1227" s="286">
        <v>651901</v>
      </c>
      <c r="B1227" s="286">
        <v>47300</v>
      </c>
      <c r="E1227" s="215">
        <v>0</v>
      </c>
      <c r="F1227" s="215">
        <v>0</v>
      </c>
      <c r="G1227" s="215">
        <v>16667</v>
      </c>
      <c r="H1227" s="215">
        <v>33334</v>
      </c>
      <c r="I1227" s="215">
        <v>50001</v>
      </c>
      <c r="J1227" t="s">
        <v>126</v>
      </c>
    </row>
    <row r="1228" spans="1:10" x14ac:dyDescent="0.3">
      <c r="A1228" s="286">
        <v>651902</v>
      </c>
      <c r="B1228" s="286">
        <v>41100</v>
      </c>
      <c r="E1228" s="215">
        <v>152151.62</v>
      </c>
      <c r="F1228" s="215">
        <v>170945.85</v>
      </c>
      <c r="G1228" s="215">
        <v>178810</v>
      </c>
      <c r="H1228" s="215">
        <v>187036</v>
      </c>
      <c r="I1228" s="215">
        <v>195640</v>
      </c>
      <c r="J1228" t="s">
        <v>126</v>
      </c>
    </row>
    <row r="1229" spans="1:10" x14ac:dyDescent="0.3">
      <c r="A1229" s="286">
        <v>651903</v>
      </c>
      <c r="B1229" s="286">
        <v>41100</v>
      </c>
      <c r="E1229" s="215">
        <v>320783</v>
      </c>
      <c r="F1229" s="215">
        <v>407289.67</v>
      </c>
      <c r="G1229" s="215">
        <v>426025</v>
      </c>
      <c r="H1229" s="215">
        <v>445622</v>
      </c>
      <c r="I1229" s="215">
        <v>466121</v>
      </c>
      <c r="J1229" t="s">
        <v>126</v>
      </c>
    </row>
    <row r="1230" spans="1:10" x14ac:dyDescent="0.3">
      <c r="A1230" s="286">
        <v>651006</v>
      </c>
      <c r="B1230" s="286">
        <v>83700</v>
      </c>
      <c r="E1230" s="215">
        <v>-17499</v>
      </c>
      <c r="F1230" s="215">
        <v>-17954</v>
      </c>
      <c r="G1230" s="215">
        <v>-18349</v>
      </c>
      <c r="H1230" s="215">
        <v>-18753</v>
      </c>
      <c r="I1230" s="215">
        <v>-19166</v>
      </c>
      <c r="J1230" t="s">
        <v>126</v>
      </c>
    </row>
    <row r="1231" spans="1:10" x14ac:dyDescent="0.3">
      <c r="A1231" s="286">
        <v>651007</v>
      </c>
      <c r="B1231" s="286">
        <v>83100</v>
      </c>
      <c r="E1231" s="215">
        <v>-1416143</v>
      </c>
      <c r="F1231" s="215">
        <v>-1416143</v>
      </c>
      <c r="G1231" s="215">
        <v>0</v>
      </c>
      <c r="H1231" s="215">
        <v>0</v>
      </c>
      <c r="I1231" s="215">
        <v>0</v>
      </c>
      <c r="J1231" t="s">
        <v>126</v>
      </c>
    </row>
    <row r="1232" spans="1:10" x14ac:dyDescent="0.3">
      <c r="A1232" s="286">
        <v>651007</v>
      </c>
      <c r="B1232" s="286">
        <v>83800</v>
      </c>
      <c r="E1232" s="215">
        <v>-320783</v>
      </c>
      <c r="F1232" s="215">
        <v>-407289.67</v>
      </c>
      <c r="G1232" s="215">
        <v>-426025</v>
      </c>
      <c r="H1232" s="215">
        <v>-445622</v>
      </c>
      <c r="I1232" s="215">
        <v>-466121</v>
      </c>
      <c r="J1232" t="s">
        <v>126</v>
      </c>
    </row>
    <row r="1233" spans="1:10" x14ac:dyDescent="0.3">
      <c r="A1233" s="286">
        <v>651007</v>
      </c>
      <c r="B1233" s="286">
        <v>83800</v>
      </c>
      <c r="E1233" s="215">
        <v>-133432</v>
      </c>
      <c r="F1233" s="215">
        <v>-58432</v>
      </c>
      <c r="G1233" s="215">
        <v>-58432</v>
      </c>
      <c r="H1233" s="215">
        <v>-58432</v>
      </c>
      <c r="I1233" s="215">
        <v>-58432</v>
      </c>
      <c r="J1233" t="s">
        <v>126</v>
      </c>
    </row>
    <row r="1234" spans="1:10" x14ac:dyDescent="0.3">
      <c r="A1234" s="286">
        <v>651008</v>
      </c>
      <c r="B1234" s="286">
        <v>83800</v>
      </c>
      <c r="E1234" s="215">
        <v>-28224</v>
      </c>
      <c r="F1234" s="215">
        <v>0</v>
      </c>
      <c r="G1234" s="215">
        <v>0</v>
      </c>
      <c r="H1234" s="215">
        <v>0</v>
      </c>
      <c r="I1234" s="215">
        <v>0</v>
      </c>
      <c r="J1234" t="s">
        <v>126</v>
      </c>
    </row>
    <row r="1235" spans="1:10" x14ac:dyDescent="0.3">
      <c r="A1235" s="286">
        <v>652008</v>
      </c>
      <c r="B1235" s="286">
        <v>43812</v>
      </c>
      <c r="E1235" s="215">
        <v>236570.76053651547</v>
      </c>
      <c r="F1235" s="215">
        <v>258764.67255459577</v>
      </c>
      <c r="G1235" s="215">
        <v>237805.0781431302</v>
      </c>
      <c r="H1235" s="215">
        <v>148990.77462217869</v>
      </c>
      <c r="I1235" s="215">
        <v>139392.95733789614</v>
      </c>
      <c r="J1235" t="s">
        <v>128</v>
      </c>
    </row>
    <row r="1236" spans="1:10" x14ac:dyDescent="0.3">
      <c r="A1236" s="286">
        <v>652008</v>
      </c>
      <c r="B1236" s="286">
        <v>43812</v>
      </c>
      <c r="E1236" s="215">
        <v>1570.9556620730975</v>
      </c>
      <c r="F1236" s="215">
        <v>0</v>
      </c>
      <c r="G1236" s="215">
        <v>0</v>
      </c>
      <c r="H1236" s="215">
        <v>0</v>
      </c>
      <c r="I1236" s="215">
        <v>0</v>
      </c>
      <c r="J1236" t="s">
        <v>128</v>
      </c>
    </row>
    <row r="1237" spans="1:10" x14ac:dyDescent="0.3">
      <c r="A1237" s="286">
        <v>652008</v>
      </c>
      <c r="B1237" s="286">
        <v>43812</v>
      </c>
      <c r="E1237" s="215">
        <v>21397.981931244864</v>
      </c>
      <c r="F1237" s="215">
        <v>21460.185145805866</v>
      </c>
      <c r="G1237" s="215">
        <v>19435.487941848285</v>
      </c>
      <c r="H1237" s="215">
        <v>2852.9903208491337</v>
      </c>
      <c r="I1237" s="215">
        <v>2886.2069154084661</v>
      </c>
      <c r="J1237" t="s">
        <v>128</v>
      </c>
    </row>
    <row r="1238" spans="1:10" x14ac:dyDescent="0.3">
      <c r="A1238" s="286">
        <v>652008</v>
      </c>
      <c r="B1238" s="286">
        <v>43812</v>
      </c>
      <c r="E1238" s="215">
        <v>0</v>
      </c>
      <c r="F1238" s="215">
        <v>2662.1049587433772</v>
      </c>
      <c r="G1238" s="215">
        <v>0</v>
      </c>
      <c r="H1238" s="215">
        <v>0</v>
      </c>
      <c r="I1238" s="215">
        <v>0</v>
      </c>
      <c r="J1238" t="s">
        <v>128</v>
      </c>
    </row>
    <row r="1239" spans="1:10" x14ac:dyDescent="0.3">
      <c r="A1239" s="286">
        <v>652012</v>
      </c>
      <c r="B1239" s="286">
        <v>43511</v>
      </c>
      <c r="E1239" s="215">
        <v>30674.324350987114</v>
      </c>
      <c r="F1239" s="215">
        <v>25646.981928866375</v>
      </c>
      <c r="G1239" s="215">
        <v>26541.070031044754</v>
      </c>
      <c r="H1239" s="215">
        <v>27265.634405991805</v>
      </c>
      <c r="I1239" s="215">
        <v>14508.505772450946</v>
      </c>
      <c r="J1239" t="s">
        <v>128</v>
      </c>
    </row>
    <row r="1240" spans="1:10" x14ac:dyDescent="0.3">
      <c r="A1240" s="286">
        <v>652034</v>
      </c>
      <c r="B1240" s="286">
        <v>43200</v>
      </c>
      <c r="E1240" s="215">
        <v>1783039.7186596047</v>
      </c>
      <c r="F1240" s="215">
        <v>1749199.9882227166</v>
      </c>
      <c r="G1240" s="215">
        <v>1810179.4400014165</v>
      </c>
      <c r="H1240" s="215">
        <v>1041374.2485533133</v>
      </c>
      <c r="I1240" s="215">
        <v>0</v>
      </c>
      <c r="J1240" t="s">
        <v>128</v>
      </c>
    </row>
    <row r="1241" spans="1:10" x14ac:dyDescent="0.3">
      <c r="A1241" s="286">
        <v>652035</v>
      </c>
      <c r="B1241" s="286">
        <v>43200</v>
      </c>
      <c r="E1241" s="215">
        <v>93599.096656429654</v>
      </c>
      <c r="F1241" s="215">
        <v>197553.26100620336</v>
      </c>
      <c r="G1241" s="215">
        <v>0</v>
      </c>
      <c r="H1241" s="215">
        <v>0</v>
      </c>
      <c r="I1241" s="215">
        <v>0</v>
      </c>
      <c r="J1241" t="s">
        <v>128</v>
      </c>
    </row>
    <row r="1242" spans="1:10" x14ac:dyDescent="0.3">
      <c r="A1242" s="286">
        <v>652035</v>
      </c>
      <c r="B1242" s="286">
        <v>43200</v>
      </c>
      <c r="E1242" s="215">
        <v>2911863.2185998843</v>
      </c>
      <c r="F1242" s="215">
        <v>2670984.5082552736</v>
      </c>
      <c r="G1242" s="215">
        <v>3015380.2926800167</v>
      </c>
      <c r="H1242" s="215">
        <v>4130265.8638896169</v>
      </c>
      <c r="I1242" s="215">
        <v>4475541.5105351247</v>
      </c>
      <c r="J1242" t="s">
        <v>128</v>
      </c>
    </row>
    <row r="1243" spans="1:10" x14ac:dyDescent="0.3">
      <c r="A1243" s="286">
        <v>652035</v>
      </c>
      <c r="B1243" s="286">
        <v>43200</v>
      </c>
      <c r="E1243" s="215">
        <v>78547.783103654874</v>
      </c>
      <c r="F1243" s="215">
        <v>0</v>
      </c>
      <c r="G1243" s="215">
        <v>0</v>
      </c>
      <c r="H1243" s="215">
        <v>0</v>
      </c>
      <c r="I1243" s="215">
        <v>0</v>
      </c>
      <c r="J1243" t="s">
        <v>128</v>
      </c>
    </row>
    <row r="1244" spans="1:10" x14ac:dyDescent="0.3">
      <c r="A1244" s="286">
        <v>652035</v>
      </c>
      <c r="B1244" s="286">
        <v>43200</v>
      </c>
      <c r="E1244" s="215">
        <v>0</v>
      </c>
      <c r="F1244" s="215">
        <v>0</v>
      </c>
      <c r="G1244" s="215">
        <v>0</v>
      </c>
      <c r="H1244" s="215">
        <v>0</v>
      </c>
      <c r="I1244" s="215">
        <v>928700.57158481306</v>
      </c>
      <c r="J1244" t="s">
        <v>128</v>
      </c>
    </row>
    <row r="1245" spans="1:10" x14ac:dyDescent="0.3">
      <c r="A1245" s="286">
        <v>652035</v>
      </c>
      <c r="B1245" s="286">
        <v>43200</v>
      </c>
      <c r="E1245" s="215">
        <v>43760.590062111805</v>
      </c>
      <c r="F1245" s="215">
        <v>0</v>
      </c>
      <c r="G1245" s="215">
        <v>0</v>
      </c>
      <c r="H1245" s="215">
        <v>0</v>
      </c>
      <c r="I1245" s="215">
        <v>0</v>
      </c>
      <c r="J1245" t="s">
        <v>128</v>
      </c>
    </row>
    <row r="1246" spans="1:10" x14ac:dyDescent="0.3">
      <c r="A1246" s="286">
        <v>652035</v>
      </c>
      <c r="B1246" s="286">
        <v>43200</v>
      </c>
      <c r="E1246" s="215">
        <v>794139.22693841869</v>
      </c>
      <c r="F1246" s="215">
        <v>1042075.6618901774</v>
      </c>
      <c r="G1246" s="215">
        <v>1391905.938259976</v>
      </c>
      <c r="H1246" s="215">
        <v>0</v>
      </c>
      <c r="I1246" s="215">
        <v>0</v>
      </c>
      <c r="J1246" t="s">
        <v>128</v>
      </c>
    </row>
    <row r="1247" spans="1:10" x14ac:dyDescent="0.3">
      <c r="A1247" s="286">
        <v>652022</v>
      </c>
      <c r="B1247" s="286">
        <v>43200</v>
      </c>
      <c r="E1247" s="215">
        <v>3415.3578732787505</v>
      </c>
      <c r="F1247" s="215">
        <v>0</v>
      </c>
      <c r="G1247" s="215">
        <v>0</v>
      </c>
      <c r="H1247" s="215">
        <v>0</v>
      </c>
      <c r="I1247" s="215">
        <v>0</v>
      </c>
      <c r="J1247" t="s">
        <v>128</v>
      </c>
    </row>
    <row r="1248" spans="1:10" x14ac:dyDescent="0.3">
      <c r="A1248" s="286">
        <v>652022</v>
      </c>
      <c r="B1248" s="286">
        <v>43200</v>
      </c>
      <c r="E1248" s="215">
        <v>58190.25968137668</v>
      </c>
      <c r="F1248" s="215">
        <v>104009.56535352548</v>
      </c>
      <c r="G1248" s="215">
        <v>135540.84978941569</v>
      </c>
      <c r="H1248" s="215">
        <v>102383.11381582274</v>
      </c>
      <c r="I1248" s="215">
        <v>37589.79965252948</v>
      </c>
      <c r="J1248" t="s">
        <v>128</v>
      </c>
    </row>
    <row r="1249" spans="1:10" x14ac:dyDescent="0.3">
      <c r="A1249" s="286">
        <v>652023</v>
      </c>
      <c r="B1249" s="286">
        <v>47400</v>
      </c>
      <c r="E1249" s="215">
        <v>33130</v>
      </c>
      <c r="F1249" s="215">
        <v>29861</v>
      </c>
      <c r="G1249" s="215">
        <v>0</v>
      </c>
      <c r="H1249" s="215">
        <v>0</v>
      </c>
      <c r="I1249" s="215">
        <v>0</v>
      </c>
      <c r="J1249" t="s">
        <v>128</v>
      </c>
    </row>
    <row r="1250" spans="1:10" x14ac:dyDescent="0.3">
      <c r="A1250" s="286">
        <v>652023</v>
      </c>
      <c r="B1250" s="286">
        <v>47400</v>
      </c>
      <c r="E1250" s="215">
        <v>68586</v>
      </c>
      <c r="F1250" s="215">
        <v>59688</v>
      </c>
      <c r="G1250" s="215">
        <v>42905</v>
      </c>
      <c r="H1250" s="215">
        <v>17525</v>
      </c>
      <c r="I1250" s="215">
        <v>5616</v>
      </c>
      <c r="J1250" t="s">
        <v>128</v>
      </c>
    </row>
    <row r="1251" spans="1:10" x14ac:dyDescent="0.3">
      <c r="A1251" s="286">
        <v>652023</v>
      </c>
      <c r="B1251" s="286">
        <v>47400</v>
      </c>
      <c r="E1251" s="215">
        <v>10343</v>
      </c>
      <c r="F1251" s="215">
        <v>0</v>
      </c>
      <c r="G1251" s="215">
        <v>0</v>
      </c>
      <c r="H1251" s="215">
        <v>0</v>
      </c>
      <c r="I1251" s="215">
        <v>0</v>
      </c>
      <c r="J1251" t="s">
        <v>128</v>
      </c>
    </row>
    <row r="1252" spans="1:10" x14ac:dyDescent="0.3">
      <c r="A1252" s="286">
        <v>652023</v>
      </c>
      <c r="B1252" s="286">
        <v>47400</v>
      </c>
      <c r="E1252" s="215">
        <v>18539</v>
      </c>
      <c r="F1252" s="215">
        <v>18374</v>
      </c>
      <c r="G1252" s="215">
        <v>18731</v>
      </c>
      <c r="H1252" s="215">
        <v>11403</v>
      </c>
      <c r="I1252" s="215">
        <v>11947</v>
      </c>
      <c r="J1252" t="s">
        <v>128</v>
      </c>
    </row>
    <row r="1253" spans="1:10" x14ac:dyDescent="0.3">
      <c r="A1253" s="286">
        <v>652023</v>
      </c>
      <c r="B1253" s="286">
        <v>47400</v>
      </c>
      <c r="E1253" s="215">
        <v>11039</v>
      </c>
      <c r="F1253" s="215">
        <v>-1790</v>
      </c>
      <c r="G1253" s="215">
        <v>-7785</v>
      </c>
      <c r="H1253" s="215">
        <v>0</v>
      </c>
      <c r="I1253" s="215">
        <v>0</v>
      </c>
      <c r="J1253" t="s">
        <v>128</v>
      </c>
    </row>
    <row r="1254" spans="1:10" x14ac:dyDescent="0.3">
      <c r="A1254" s="286">
        <v>652031</v>
      </c>
      <c r="B1254" s="286">
        <v>43812</v>
      </c>
      <c r="E1254" s="215">
        <v>4204.8111705494002</v>
      </c>
      <c r="F1254" s="215">
        <v>4263.1260467458651</v>
      </c>
      <c r="G1254" s="215">
        <v>0</v>
      </c>
      <c r="H1254" s="215">
        <v>0</v>
      </c>
      <c r="I1254" s="215">
        <v>0</v>
      </c>
      <c r="J1254" t="s">
        <v>128</v>
      </c>
    </row>
    <row r="1255" spans="1:10" x14ac:dyDescent="0.3">
      <c r="A1255" s="286">
        <v>652031</v>
      </c>
      <c r="B1255" s="286">
        <v>43812</v>
      </c>
      <c r="E1255" s="215">
        <v>-1254.5735930874075</v>
      </c>
      <c r="F1255" s="215">
        <v>3620.6501643475203</v>
      </c>
      <c r="G1255" s="215">
        <v>7163.1354925174765</v>
      </c>
      <c r="H1255" s="215">
        <v>7358.6872462608681</v>
      </c>
      <c r="I1255" s="215">
        <v>7504.7976699770134</v>
      </c>
      <c r="J1255" t="s">
        <v>128</v>
      </c>
    </row>
    <row r="1256" spans="1:10" x14ac:dyDescent="0.3">
      <c r="A1256" s="286">
        <v>652031</v>
      </c>
      <c r="B1256" s="286">
        <v>43812</v>
      </c>
      <c r="E1256" s="215">
        <v>2094.6075494307966</v>
      </c>
      <c r="F1256" s="215">
        <v>0</v>
      </c>
      <c r="G1256" s="215">
        <v>0</v>
      </c>
      <c r="H1256" s="215">
        <v>0</v>
      </c>
      <c r="I1256" s="215">
        <v>0</v>
      </c>
      <c r="J1256" t="s">
        <v>128</v>
      </c>
    </row>
    <row r="1257" spans="1:10" x14ac:dyDescent="0.3">
      <c r="A1257" s="286">
        <v>652031</v>
      </c>
      <c r="B1257" s="286">
        <v>43812</v>
      </c>
      <c r="E1257" s="215">
        <v>5679.0006385489505</v>
      </c>
      <c r="F1257" s="215">
        <v>5324.2099174867544</v>
      </c>
      <c r="G1257" s="215">
        <v>5509.6184895815895</v>
      </c>
      <c r="H1257" s="215">
        <v>0</v>
      </c>
      <c r="I1257" s="215">
        <v>0</v>
      </c>
      <c r="J1257" t="s">
        <v>128</v>
      </c>
    </row>
    <row r="1258" spans="1:10" x14ac:dyDescent="0.3">
      <c r="A1258" s="286">
        <v>652031</v>
      </c>
      <c r="B1258" s="286">
        <v>43812</v>
      </c>
      <c r="E1258" s="215">
        <v>2138.7981931244867</v>
      </c>
      <c r="F1258" s="215">
        <v>2146.0185145805867</v>
      </c>
      <c r="G1258" s="215">
        <v>2221.1986219255186</v>
      </c>
      <c r="H1258" s="215">
        <v>2282.3922566793067</v>
      </c>
      <c r="I1258" s="215">
        <v>2308.965532326773</v>
      </c>
      <c r="J1258" t="s">
        <v>128</v>
      </c>
    </row>
    <row r="1259" spans="1:10" x14ac:dyDescent="0.3">
      <c r="A1259" s="286">
        <v>652031</v>
      </c>
      <c r="B1259" s="286">
        <v>43812</v>
      </c>
      <c r="E1259" s="215">
        <v>1581.7080745341616</v>
      </c>
      <c r="F1259" s="215">
        <v>0</v>
      </c>
      <c r="G1259" s="215">
        <v>0</v>
      </c>
      <c r="H1259" s="215">
        <v>0</v>
      </c>
      <c r="I1259" s="215">
        <v>0</v>
      </c>
      <c r="J1259" t="s">
        <v>128</v>
      </c>
    </row>
    <row r="1260" spans="1:10" x14ac:dyDescent="0.3">
      <c r="A1260" s="286">
        <v>652030</v>
      </c>
      <c r="B1260" s="286">
        <v>47501</v>
      </c>
      <c r="E1260" s="215">
        <v>727075</v>
      </c>
      <c r="F1260" s="215">
        <v>-302862</v>
      </c>
      <c r="G1260" s="215">
        <v>0</v>
      </c>
      <c r="H1260" s="215">
        <v>0</v>
      </c>
      <c r="I1260" s="215">
        <v>0</v>
      </c>
      <c r="J1260" t="s">
        <v>128</v>
      </c>
    </row>
    <row r="1261" spans="1:10" x14ac:dyDescent="0.3">
      <c r="A1261" s="286">
        <v>652030</v>
      </c>
      <c r="B1261" s="286">
        <v>47501</v>
      </c>
      <c r="E1261" s="215">
        <v>-120180</v>
      </c>
      <c r="F1261" s="215">
        <v>4416574</v>
      </c>
      <c r="G1261" s="215">
        <v>6678905.0000000009</v>
      </c>
      <c r="H1261" s="215">
        <v>3133999</v>
      </c>
      <c r="I1261" s="215">
        <v>-1877244.0000000009</v>
      </c>
      <c r="J1261" t="s">
        <v>128</v>
      </c>
    </row>
    <row r="1262" spans="1:10" x14ac:dyDescent="0.3">
      <c r="A1262" s="286">
        <v>652030</v>
      </c>
      <c r="B1262" s="286">
        <v>47501</v>
      </c>
      <c r="E1262" s="215">
        <v>-115219.99999999999</v>
      </c>
      <c r="F1262" s="215">
        <v>0</v>
      </c>
      <c r="G1262" s="215">
        <v>0</v>
      </c>
      <c r="H1262" s="215">
        <v>0</v>
      </c>
      <c r="I1262" s="215">
        <v>0</v>
      </c>
      <c r="J1262" t="s">
        <v>128</v>
      </c>
    </row>
    <row r="1263" spans="1:10" x14ac:dyDescent="0.3">
      <c r="A1263" s="286">
        <v>652030</v>
      </c>
      <c r="B1263" s="286">
        <v>47501</v>
      </c>
      <c r="E1263" s="215">
        <v>6065126.9999999991</v>
      </c>
      <c r="F1263" s="215">
        <v>1577642</v>
      </c>
      <c r="G1263" s="215">
        <v>-1636997</v>
      </c>
      <c r="H1263" s="215">
        <v>0</v>
      </c>
      <c r="I1263" s="215">
        <v>0</v>
      </c>
      <c r="J1263" t="s">
        <v>128</v>
      </c>
    </row>
    <row r="1264" spans="1:10" x14ac:dyDescent="0.3">
      <c r="A1264" s="286">
        <v>652030</v>
      </c>
      <c r="B1264" s="286">
        <v>47501</v>
      </c>
      <c r="E1264" s="215">
        <v>-91487.999999999985</v>
      </c>
      <c r="F1264" s="215">
        <v>-94064.073009257292</v>
      </c>
      <c r="G1264" s="215">
        <v>1928590.8894006889</v>
      </c>
      <c r="H1264" s="215">
        <v>-143218</v>
      </c>
      <c r="I1264" s="215">
        <v>-1067531.0000000002</v>
      </c>
      <c r="J1264" t="s">
        <v>128</v>
      </c>
    </row>
    <row r="1265" spans="1:10" x14ac:dyDescent="0.3">
      <c r="A1265" s="286">
        <v>652030</v>
      </c>
      <c r="B1265" s="286">
        <v>47501</v>
      </c>
      <c r="E1265" s="215">
        <v>-86567.000000000015</v>
      </c>
      <c r="F1265" s="215">
        <v>0</v>
      </c>
      <c r="G1265" s="215">
        <v>0</v>
      </c>
      <c r="H1265" s="215">
        <v>0</v>
      </c>
      <c r="I1265" s="215">
        <v>0</v>
      </c>
      <c r="J1265" t="s">
        <v>128</v>
      </c>
    </row>
    <row r="1266" spans="1:10" x14ac:dyDescent="0.3">
      <c r="A1266" s="286">
        <v>652030</v>
      </c>
      <c r="B1266" s="286">
        <v>47501</v>
      </c>
      <c r="E1266" s="215">
        <v>156566</v>
      </c>
      <c r="F1266" s="215">
        <v>160017</v>
      </c>
      <c r="G1266" s="215">
        <v>0</v>
      </c>
      <c r="H1266" s="215">
        <v>0</v>
      </c>
      <c r="I1266" s="215">
        <v>0</v>
      </c>
      <c r="J1266" t="s">
        <v>128</v>
      </c>
    </row>
    <row r="1267" spans="1:10" x14ac:dyDescent="0.3">
      <c r="A1267" s="286">
        <v>652030</v>
      </c>
      <c r="B1267" s="286">
        <v>47501</v>
      </c>
      <c r="E1267" s="215">
        <v>189476</v>
      </c>
      <c r="F1267" s="215">
        <v>211987</v>
      </c>
      <c r="G1267" s="215">
        <v>216227</v>
      </c>
      <c r="H1267" s="215">
        <v>220551</v>
      </c>
      <c r="I1267" s="215">
        <v>224962</v>
      </c>
      <c r="J1267" t="s">
        <v>128</v>
      </c>
    </row>
    <row r="1268" spans="1:10" x14ac:dyDescent="0.3">
      <c r="A1268" s="286">
        <v>652030</v>
      </c>
      <c r="B1268" s="286">
        <v>47501</v>
      </c>
      <c r="E1268" s="215">
        <v>55629</v>
      </c>
      <c r="F1268" s="215">
        <v>0</v>
      </c>
      <c r="G1268" s="215">
        <v>0</v>
      </c>
      <c r="H1268" s="215">
        <v>0</v>
      </c>
      <c r="I1268" s="215">
        <v>0</v>
      </c>
      <c r="J1268" t="s">
        <v>128</v>
      </c>
    </row>
    <row r="1269" spans="1:10" x14ac:dyDescent="0.3">
      <c r="A1269" s="286">
        <v>652030</v>
      </c>
      <c r="B1269" s="286">
        <v>47501</v>
      </c>
      <c r="E1269" s="215">
        <v>90447</v>
      </c>
      <c r="F1269" s="215">
        <v>95196</v>
      </c>
      <c r="G1269" s="215">
        <v>97100</v>
      </c>
      <c r="H1269" s="215">
        <v>99042</v>
      </c>
      <c r="I1269" s="215">
        <v>101023</v>
      </c>
      <c r="J1269" t="s">
        <v>128</v>
      </c>
    </row>
    <row r="1270" spans="1:10" x14ac:dyDescent="0.3">
      <c r="A1270" s="286">
        <v>652030</v>
      </c>
      <c r="B1270" s="286">
        <v>47501</v>
      </c>
      <c r="E1270" s="215">
        <v>10372</v>
      </c>
      <c r="F1270" s="215">
        <v>0</v>
      </c>
      <c r="G1270" s="215">
        <v>0</v>
      </c>
      <c r="H1270" s="215">
        <v>0</v>
      </c>
      <c r="I1270" s="215">
        <v>0</v>
      </c>
      <c r="J1270" t="s">
        <v>128</v>
      </c>
    </row>
    <row r="1271" spans="1:10" x14ac:dyDescent="0.3">
      <c r="A1271" s="286">
        <v>652901</v>
      </c>
      <c r="B1271" s="286">
        <v>41100</v>
      </c>
      <c r="E1271" s="215">
        <v>8127.2237489320833</v>
      </c>
      <c r="F1271" s="215">
        <v>2481.4233609841467</v>
      </c>
      <c r="G1271" s="215">
        <v>0</v>
      </c>
      <c r="H1271" s="215">
        <v>0</v>
      </c>
      <c r="I1271" s="215">
        <v>0</v>
      </c>
      <c r="J1271" t="s">
        <v>128</v>
      </c>
    </row>
    <row r="1272" spans="1:10" x14ac:dyDescent="0.3">
      <c r="A1272" s="286">
        <v>652901</v>
      </c>
      <c r="B1272" s="286">
        <v>41100</v>
      </c>
      <c r="E1272" s="215">
        <v>68301.690607005992</v>
      </c>
      <c r="F1272" s="215">
        <v>22568.694438214181</v>
      </c>
      <c r="G1272" s="215">
        <v>-19962.086943879025</v>
      </c>
      <c r="H1272" s="215">
        <v>-110138.39480415831</v>
      </c>
      <c r="I1272" s="215">
        <v>-102384.15700118354</v>
      </c>
      <c r="J1272" t="s">
        <v>128</v>
      </c>
    </row>
    <row r="1273" spans="1:10" x14ac:dyDescent="0.3">
      <c r="A1273" s="286">
        <v>652901</v>
      </c>
      <c r="B1273" s="286">
        <v>41100</v>
      </c>
      <c r="E1273" s="215">
        <v>3598.7018002738969</v>
      </c>
      <c r="F1273" s="215">
        <v>0</v>
      </c>
      <c r="G1273" s="215">
        <v>0</v>
      </c>
      <c r="H1273" s="215">
        <v>0</v>
      </c>
      <c r="I1273" s="215">
        <v>0</v>
      </c>
      <c r="J1273" t="s">
        <v>128</v>
      </c>
    </row>
    <row r="1274" spans="1:10" x14ac:dyDescent="0.3">
      <c r="A1274" s="286">
        <v>652901</v>
      </c>
      <c r="B1274" s="286">
        <v>41100</v>
      </c>
      <c r="E1274" s="215">
        <v>20025.050486919499</v>
      </c>
      <c r="F1274" s="215">
        <v>4348.9043910124965</v>
      </c>
      <c r="G1274" s="215">
        <v>-2779.8859431227611</v>
      </c>
      <c r="H1274" s="215">
        <v>0</v>
      </c>
      <c r="I1274" s="215">
        <v>0</v>
      </c>
      <c r="J1274" t="s">
        <v>128</v>
      </c>
    </row>
    <row r="1275" spans="1:10" x14ac:dyDescent="0.3">
      <c r="A1275" s="286">
        <v>652901</v>
      </c>
      <c r="B1275" s="286">
        <v>41100</v>
      </c>
      <c r="E1275" s="215">
        <v>10252.911888434872</v>
      </c>
      <c r="F1275" s="215">
        <v>3597.4109815894917</v>
      </c>
      <c r="G1275" s="215">
        <v>-4047.4788350333547</v>
      </c>
      <c r="H1275" s="215">
        <v>-9074.2996372380294</v>
      </c>
      <c r="I1275" s="215">
        <v>-7061.4121388308449</v>
      </c>
      <c r="J1275" t="s">
        <v>128</v>
      </c>
    </row>
    <row r="1276" spans="1:10" x14ac:dyDescent="0.3">
      <c r="A1276" s="286">
        <v>652901</v>
      </c>
      <c r="B1276" s="286">
        <v>41100</v>
      </c>
      <c r="E1276" s="215">
        <v>6944.9293289994275</v>
      </c>
      <c r="F1276" s="215">
        <v>0</v>
      </c>
      <c r="G1276" s="215">
        <v>0</v>
      </c>
      <c r="H1276" s="215">
        <v>0</v>
      </c>
      <c r="I1276" s="215">
        <v>0</v>
      </c>
      <c r="J1276" t="s">
        <v>128</v>
      </c>
    </row>
    <row r="1277" spans="1:10" x14ac:dyDescent="0.3">
      <c r="A1277" s="286">
        <v>652901</v>
      </c>
      <c r="B1277" s="286">
        <v>47501</v>
      </c>
      <c r="E1277" s="215">
        <v>31040.592304735583</v>
      </c>
      <c r="F1277" s="215">
        <v>33445.005616454939</v>
      </c>
      <c r="G1277" s="215">
        <v>0</v>
      </c>
      <c r="H1277" s="215">
        <v>0</v>
      </c>
      <c r="I1277" s="215">
        <v>0</v>
      </c>
      <c r="J1277" t="s">
        <v>128</v>
      </c>
    </row>
    <row r="1278" spans="1:10" x14ac:dyDescent="0.3">
      <c r="A1278" s="286">
        <v>652901</v>
      </c>
      <c r="B1278" s="286">
        <v>47501</v>
      </c>
      <c r="E1278" s="215">
        <v>260867.05587930258</v>
      </c>
      <c r="F1278" s="215">
        <v>304184.33392307791</v>
      </c>
      <c r="G1278" s="215">
        <v>347196.15665897739</v>
      </c>
      <c r="H1278" s="215">
        <v>446305.8703279586</v>
      </c>
      <c r="I1278" s="215">
        <v>414883.93197902641</v>
      </c>
      <c r="J1278" t="s">
        <v>128</v>
      </c>
    </row>
    <row r="1279" spans="1:10" x14ac:dyDescent="0.3">
      <c r="A1279" s="286">
        <v>652901</v>
      </c>
      <c r="B1279" s="286">
        <v>47501</v>
      </c>
      <c r="E1279" s="215">
        <v>13744.6487090131</v>
      </c>
      <c r="F1279" s="215">
        <v>0</v>
      </c>
      <c r="G1279" s="215">
        <v>0</v>
      </c>
      <c r="H1279" s="215">
        <v>0</v>
      </c>
      <c r="I1279" s="215">
        <v>0</v>
      </c>
      <c r="J1279" t="s">
        <v>128</v>
      </c>
    </row>
    <row r="1280" spans="1:10" x14ac:dyDescent="0.3">
      <c r="A1280" s="286">
        <v>652901</v>
      </c>
      <c r="B1280" s="286">
        <v>47501</v>
      </c>
      <c r="E1280" s="215">
        <v>76482.381591609505</v>
      </c>
      <c r="F1280" s="215">
        <v>58615.202093185857</v>
      </c>
      <c r="G1280" s="215">
        <v>48349.940470452086</v>
      </c>
      <c r="H1280" s="215">
        <v>0</v>
      </c>
      <c r="I1280" s="215">
        <v>0</v>
      </c>
      <c r="J1280" t="s">
        <v>128</v>
      </c>
    </row>
    <row r="1281" spans="1:10" x14ac:dyDescent="0.3">
      <c r="A1281" s="286">
        <v>652901</v>
      </c>
      <c r="B1281" s="286">
        <v>47501</v>
      </c>
      <c r="E1281" s="215">
        <v>39159.307987195767</v>
      </c>
      <c r="F1281" s="215">
        <v>48486.458367281353</v>
      </c>
      <c r="G1281" s="215">
        <v>70396.902870570513</v>
      </c>
      <c r="H1281" s="215">
        <v>36771.129672041418</v>
      </c>
      <c r="I1281" s="215">
        <v>28614.450900335109</v>
      </c>
      <c r="J1281" t="s">
        <v>128</v>
      </c>
    </row>
    <row r="1282" spans="1:10" x14ac:dyDescent="0.3">
      <c r="A1282" s="286">
        <v>652901</v>
      </c>
      <c r="B1282" s="286">
        <v>47501</v>
      </c>
      <c r="E1282" s="215">
        <v>26525.01352814343</v>
      </c>
      <c r="F1282" s="215">
        <v>0</v>
      </c>
      <c r="G1282" s="215">
        <v>0</v>
      </c>
      <c r="H1282" s="215">
        <v>0</v>
      </c>
      <c r="I1282" s="215">
        <v>0</v>
      </c>
      <c r="J1282" t="s">
        <v>128</v>
      </c>
    </row>
    <row r="1283" spans="1:10" x14ac:dyDescent="0.3">
      <c r="A1283" s="286">
        <v>652902</v>
      </c>
      <c r="B1283" s="286">
        <v>41100</v>
      </c>
      <c r="E1283" s="215">
        <v>5623.4128432613616</v>
      </c>
      <c r="F1283" s="215">
        <v>13788.412850995035</v>
      </c>
      <c r="G1283" s="215">
        <v>0</v>
      </c>
      <c r="H1283" s="215">
        <v>0</v>
      </c>
      <c r="I1283" s="215">
        <v>0</v>
      </c>
      <c r="J1283" t="s">
        <v>128</v>
      </c>
    </row>
    <row r="1284" spans="1:10" x14ac:dyDescent="0.3">
      <c r="A1284" s="286">
        <v>652902</v>
      </c>
      <c r="B1284" s="286">
        <v>41100</v>
      </c>
      <c r="E1284" s="215">
        <v>124385.49673789003</v>
      </c>
      <c r="F1284" s="215">
        <v>133138.79518343843</v>
      </c>
      <c r="G1284" s="215">
        <v>140589.74071765924</v>
      </c>
      <c r="H1284" s="215">
        <v>90835.924298584752</v>
      </c>
      <c r="I1284" s="215">
        <v>48333.661098679062</v>
      </c>
      <c r="J1284" t="s">
        <v>128</v>
      </c>
    </row>
    <row r="1285" spans="1:10" x14ac:dyDescent="0.3">
      <c r="A1285" s="286">
        <v>652902</v>
      </c>
      <c r="B1285" s="286">
        <v>41100</v>
      </c>
      <c r="E1285" s="215">
        <v>1718.6581867250202</v>
      </c>
      <c r="F1285" s="215">
        <v>0</v>
      </c>
      <c r="G1285" s="215">
        <v>0</v>
      </c>
      <c r="H1285" s="215">
        <v>0</v>
      </c>
      <c r="I1285" s="215">
        <v>0</v>
      </c>
      <c r="J1285" t="s">
        <v>128</v>
      </c>
    </row>
    <row r="1286" spans="1:10" x14ac:dyDescent="0.3">
      <c r="A1286" s="286">
        <v>652902</v>
      </c>
      <c r="B1286" s="286">
        <v>41100</v>
      </c>
      <c r="E1286" s="215">
        <v>34436.245502091275</v>
      </c>
      <c r="F1286" s="215">
        <v>57195.497843955338</v>
      </c>
      <c r="G1286" s="215">
        <v>80525.712152813532</v>
      </c>
      <c r="H1286" s="215">
        <v>0</v>
      </c>
      <c r="I1286" s="215">
        <v>0</v>
      </c>
      <c r="J1286" t="s">
        <v>128</v>
      </c>
    </row>
    <row r="1287" spans="1:10" x14ac:dyDescent="0.3">
      <c r="A1287" s="286">
        <v>652902</v>
      </c>
      <c r="B1287" s="286">
        <v>41100</v>
      </c>
      <c r="E1287" s="215">
        <v>0</v>
      </c>
      <c r="F1287" s="215">
        <v>0</v>
      </c>
      <c r="G1287" s="215">
        <v>0</v>
      </c>
      <c r="H1287" s="215">
        <v>24842.065032098719</v>
      </c>
      <c r="I1287" s="215">
        <v>25131.294475380608</v>
      </c>
      <c r="J1287" t="s">
        <v>128</v>
      </c>
    </row>
    <row r="1288" spans="1:10" x14ac:dyDescent="0.3">
      <c r="A1288" s="286">
        <v>652902</v>
      </c>
      <c r="B1288" s="286">
        <v>41100</v>
      </c>
      <c r="E1288" s="215">
        <v>1962.052780785797</v>
      </c>
      <c r="F1288" s="215">
        <v>0</v>
      </c>
      <c r="G1288" s="215">
        <v>0</v>
      </c>
      <c r="H1288" s="215">
        <v>0</v>
      </c>
      <c r="I1288" s="215">
        <v>0</v>
      </c>
      <c r="J1288" t="s">
        <v>128</v>
      </c>
    </row>
    <row r="1289" spans="1:10" x14ac:dyDescent="0.3">
      <c r="A1289" s="286">
        <v>652902</v>
      </c>
      <c r="B1289" s="286">
        <v>47501</v>
      </c>
      <c r="E1289" s="215">
        <v>11784.505402813156</v>
      </c>
      <c r="F1289" s="215">
        <v>21469.771118616638</v>
      </c>
      <c r="G1289" s="215">
        <v>0</v>
      </c>
      <c r="H1289" s="215">
        <v>0</v>
      </c>
      <c r="I1289" s="215">
        <v>0</v>
      </c>
      <c r="J1289" t="s">
        <v>128</v>
      </c>
    </row>
    <row r="1290" spans="1:10" x14ac:dyDescent="0.3">
      <c r="A1290" s="286">
        <v>652902</v>
      </c>
      <c r="B1290" s="286">
        <v>47501</v>
      </c>
      <c r="E1290" s="215">
        <v>260664.0485405201</v>
      </c>
      <c r="F1290" s="215">
        <v>207308.80997594455</v>
      </c>
      <c r="G1290" s="215">
        <v>211726.32342970034</v>
      </c>
      <c r="H1290" s="215">
        <v>271098.27764443052</v>
      </c>
      <c r="I1290" s="215">
        <v>144250.99295550032</v>
      </c>
      <c r="J1290" t="s">
        <v>128</v>
      </c>
    </row>
    <row r="1291" spans="1:10" x14ac:dyDescent="0.3">
      <c r="A1291" s="286">
        <v>652902</v>
      </c>
      <c r="B1291" s="286">
        <v>47501</v>
      </c>
      <c r="E1291" s="215">
        <v>3601.6449888292032</v>
      </c>
      <c r="F1291" s="215">
        <v>0</v>
      </c>
      <c r="G1291" s="215">
        <v>0</v>
      </c>
      <c r="H1291" s="215">
        <v>0</v>
      </c>
      <c r="I1291" s="215">
        <v>0</v>
      </c>
      <c r="J1291" t="s">
        <v>128</v>
      </c>
    </row>
    <row r="1292" spans="1:10" x14ac:dyDescent="0.3">
      <c r="A1292" s="286">
        <v>652902</v>
      </c>
      <c r="B1292" s="286">
        <v>47501</v>
      </c>
      <c r="E1292" s="215">
        <v>72165.09484241216</v>
      </c>
      <c r="F1292" s="215">
        <v>89058.418905438812</v>
      </c>
      <c r="G1292" s="215">
        <v>121270.67657029966</v>
      </c>
      <c r="H1292" s="215">
        <v>0</v>
      </c>
      <c r="I1292" s="215">
        <v>0</v>
      </c>
      <c r="J1292" t="s">
        <v>128</v>
      </c>
    </row>
    <row r="1293" spans="1:10" x14ac:dyDescent="0.3">
      <c r="A1293" s="286">
        <v>652902</v>
      </c>
      <c r="B1293" s="286">
        <v>47501</v>
      </c>
      <c r="E1293" s="215">
        <v>0</v>
      </c>
      <c r="F1293" s="215">
        <v>0</v>
      </c>
      <c r="G1293" s="215">
        <v>0</v>
      </c>
      <c r="H1293" s="215">
        <v>74140.722355569465</v>
      </c>
      <c r="I1293" s="215">
        <v>75003.92273056689</v>
      </c>
      <c r="J1293" t="s">
        <v>128</v>
      </c>
    </row>
    <row r="1294" spans="1:10" x14ac:dyDescent="0.3">
      <c r="A1294" s="286">
        <v>652902</v>
      </c>
      <c r="B1294" s="286">
        <v>47501</v>
      </c>
      <c r="E1294" s="215">
        <v>4111.7062254253833</v>
      </c>
      <c r="F1294" s="215">
        <v>0</v>
      </c>
      <c r="G1294" s="215">
        <v>0</v>
      </c>
      <c r="H1294" s="215">
        <v>0</v>
      </c>
      <c r="I1294" s="215">
        <v>0</v>
      </c>
      <c r="J1294" t="s">
        <v>128</v>
      </c>
    </row>
    <row r="1295" spans="1:10" x14ac:dyDescent="0.3">
      <c r="A1295" s="286">
        <v>652025</v>
      </c>
      <c r="B1295" s="286">
        <v>83100</v>
      </c>
      <c r="E1295" s="215">
        <v>-337960</v>
      </c>
      <c r="F1295" s="215">
        <v>-1017054.8166492325</v>
      </c>
      <c r="G1295" s="215">
        <v>-875688.46894396818</v>
      </c>
      <c r="H1295" s="215">
        <v>-725195.0223007286</v>
      </c>
      <c r="I1295" s="215">
        <v>-314820</v>
      </c>
      <c r="J1295" t="s">
        <v>128</v>
      </c>
    </row>
    <row r="1296" spans="1:10" x14ac:dyDescent="0.3">
      <c r="A1296" s="286">
        <v>652025</v>
      </c>
      <c r="B1296" s="286">
        <v>83100</v>
      </c>
      <c r="E1296" s="215">
        <v>-578544.02124868892</v>
      </c>
      <c r="F1296" s="215">
        <v>0</v>
      </c>
      <c r="G1296" s="215">
        <v>0</v>
      </c>
      <c r="H1296" s="215">
        <v>0</v>
      </c>
      <c r="I1296" s="215">
        <v>0</v>
      </c>
      <c r="J1296" t="s">
        <v>128</v>
      </c>
    </row>
    <row r="1297" spans="1:10" x14ac:dyDescent="0.3">
      <c r="A1297" s="286">
        <v>652026</v>
      </c>
      <c r="B1297" s="286">
        <v>83100</v>
      </c>
      <c r="E1297" s="215">
        <v>-918000</v>
      </c>
      <c r="F1297" s="215">
        <v>0</v>
      </c>
      <c r="G1297" s="215">
        <v>0</v>
      </c>
      <c r="H1297" s="215">
        <v>0</v>
      </c>
      <c r="I1297" s="215">
        <v>0</v>
      </c>
      <c r="J1297" t="s">
        <v>128</v>
      </c>
    </row>
    <row r="1298" spans="1:10" x14ac:dyDescent="0.3">
      <c r="A1298" s="286">
        <v>652026</v>
      </c>
      <c r="B1298" s="286">
        <v>83100</v>
      </c>
      <c r="E1298" s="215">
        <v>-5343748</v>
      </c>
      <c r="F1298" s="215">
        <v>-8938634.1833507679</v>
      </c>
      <c r="G1298" s="215">
        <v>-11758281.531056032</v>
      </c>
      <c r="H1298" s="215">
        <v>-8582068.9776992723</v>
      </c>
      <c r="I1298" s="215">
        <v>-2993174</v>
      </c>
      <c r="J1298" t="s">
        <v>128</v>
      </c>
    </row>
    <row r="1299" spans="1:10" x14ac:dyDescent="0.3">
      <c r="A1299" s="286">
        <v>652026</v>
      </c>
      <c r="B1299" s="286">
        <v>83100</v>
      </c>
      <c r="E1299" s="215">
        <v>-6500548.9787513101</v>
      </c>
      <c r="F1299" s="215">
        <v>-2835132</v>
      </c>
      <c r="G1299" s="215">
        <v>0</v>
      </c>
      <c r="H1299" s="215">
        <v>0</v>
      </c>
      <c r="I1299" s="215">
        <v>0</v>
      </c>
      <c r="J1299" t="s">
        <v>128</v>
      </c>
    </row>
    <row r="1300" spans="1:10" x14ac:dyDescent="0.3">
      <c r="A1300" s="286">
        <v>652027</v>
      </c>
      <c r="B1300" s="286">
        <v>83100</v>
      </c>
      <c r="E1300" s="215">
        <v>0</v>
      </c>
      <c r="F1300" s="215">
        <v>0</v>
      </c>
      <c r="G1300" s="215">
        <v>-2035328</v>
      </c>
      <c r="H1300" s="215">
        <v>0</v>
      </c>
      <c r="I1300" s="215">
        <v>0</v>
      </c>
      <c r="J1300" t="s">
        <v>128</v>
      </c>
    </row>
    <row r="1301" spans="1:10" x14ac:dyDescent="0.3">
      <c r="A1301" s="286">
        <v>653001</v>
      </c>
      <c r="B1301" s="286">
        <v>43812</v>
      </c>
      <c r="E1301" s="215">
        <v>22113</v>
      </c>
      <c r="F1301" s="215">
        <v>22688</v>
      </c>
      <c r="G1301" s="215">
        <v>23187</v>
      </c>
      <c r="H1301" s="215">
        <v>23697</v>
      </c>
      <c r="I1301" s="215">
        <v>24218</v>
      </c>
      <c r="J1301" t="s">
        <v>129</v>
      </c>
    </row>
    <row r="1302" spans="1:10" x14ac:dyDescent="0.3">
      <c r="A1302" s="286">
        <v>653002</v>
      </c>
      <c r="B1302" s="286">
        <v>43511</v>
      </c>
      <c r="E1302" s="215">
        <v>31633</v>
      </c>
      <c r="F1302" s="215">
        <v>32455</v>
      </c>
      <c r="G1302" s="215">
        <v>33169</v>
      </c>
      <c r="H1302" s="215">
        <v>33899</v>
      </c>
      <c r="I1302" s="215">
        <v>34645</v>
      </c>
      <c r="J1302" t="s">
        <v>129</v>
      </c>
    </row>
    <row r="1303" spans="1:10" x14ac:dyDescent="0.3">
      <c r="A1303" s="286">
        <v>653002</v>
      </c>
      <c r="B1303" s="286">
        <v>43812</v>
      </c>
      <c r="E1303" s="215">
        <v>50733</v>
      </c>
      <c r="F1303" s="215">
        <v>52050</v>
      </c>
      <c r="G1303" s="215">
        <v>53200</v>
      </c>
      <c r="H1303" s="215">
        <v>54370</v>
      </c>
      <c r="I1303" s="215">
        <v>55560</v>
      </c>
      <c r="J1303" t="s">
        <v>129</v>
      </c>
    </row>
    <row r="1304" spans="1:10" x14ac:dyDescent="0.3">
      <c r="A1304" s="286">
        <v>653006</v>
      </c>
      <c r="B1304" s="286">
        <v>43813</v>
      </c>
      <c r="E1304" s="215">
        <v>17762</v>
      </c>
      <c r="F1304" s="215">
        <v>38878</v>
      </c>
      <c r="G1304" s="215">
        <v>39733</v>
      </c>
      <c r="H1304" s="215">
        <v>40607</v>
      </c>
      <c r="I1304" s="215">
        <v>41500</v>
      </c>
      <c r="J1304" t="s">
        <v>129</v>
      </c>
    </row>
    <row r="1305" spans="1:10" x14ac:dyDescent="0.3">
      <c r="A1305" s="286">
        <v>653007</v>
      </c>
      <c r="B1305" s="286">
        <v>43812</v>
      </c>
      <c r="E1305" s="215">
        <v>18947</v>
      </c>
      <c r="F1305" s="215">
        <v>0</v>
      </c>
      <c r="G1305" s="215">
        <v>0</v>
      </c>
      <c r="H1305" s="215">
        <v>0</v>
      </c>
      <c r="I1305" s="215">
        <v>0</v>
      </c>
      <c r="J1305" t="s">
        <v>129</v>
      </c>
    </row>
    <row r="1306" spans="1:10" x14ac:dyDescent="0.3">
      <c r="A1306" s="286">
        <v>653008</v>
      </c>
      <c r="B1306" s="286">
        <v>43812</v>
      </c>
      <c r="E1306" s="215">
        <v>1184</v>
      </c>
      <c r="F1306" s="215">
        <v>0</v>
      </c>
      <c r="G1306" s="215">
        <v>0</v>
      </c>
      <c r="H1306" s="215">
        <v>0</v>
      </c>
      <c r="I1306" s="215">
        <v>0</v>
      </c>
      <c r="J1306" t="s">
        <v>129</v>
      </c>
    </row>
    <row r="1307" spans="1:10" x14ac:dyDescent="0.3">
      <c r="A1307" s="286">
        <v>653012</v>
      </c>
      <c r="B1307" s="286">
        <v>43812</v>
      </c>
      <c r="E1307" s="215">
        <v>16340</v>
      </c>
      <c r="F1307" s="215">
        <v>16765</v>
      </c>
      <c r="G1307" s="215">
        <v>17134</v>
      </c>
      <c r="H1307" s="215">
        <v>17511</v>
      </c>
      <c r="I1307" s="215">
        <v>17896</v>
      </c>
      <c r="J1307" t="s">
        <v>129</v>
      </c>
    </row>
    <row r="1308" spans="1:10" x14ac:dyDescent="0.3">
      <c r="A1308" s="286">
        <v>653013</v>
      </c>
      <c r="B1308" s="286">
        <v>43812</v>
      </c>
      <c r="E1308" s="215">
        <v>208023</v>
      </c>
      <c r="F1308" s="215">
        <v>153909</v>
      </c>
      <c r="G1308" s="215">
        <v>117293</v>
      </c>
      <c r="H1308" s="215">
        <v>114872</v>
      </c>
      <c r="I1308" s="215">
        <v>117399</v>
      </c>
      <c r="J1308" t="s">
        <v>129</v>
      </c>
    </row>
    <row r="1309" spans="1:10" x14ac:dyDescent="0.3">
      <c r="A1309" s="286">
        <v>653014</v>
      </c>
      <c r="B1309" s="286">
        <v>43511</v>
      </c>
      <c r="E1309" s="215">
        <v>30700</v>
      </c>
      <c r="F1309" s="215">
        <v>0</v>
      </c>
      <c r="G1309" s="215">
        <v>0</v>
      </c>
      <c r="H1309" s="215">
        <v>0</v>
      </c>
      <c r="I1309" s="215">
        <v>0</v>
      </c>
      <c r="J1309" t="s">
        <v>129</v>
      </c>
    </row>
    <row r="1310" spans="1:10" x14ac:dyDescent="0.3">
      <c r="A1310" s="286">
        <v>653015</v>
      </c>
      <c r="B1310" s="286">
        <v>43812</v>
      </c>
      <c r="E1310" s="215">
        <v>0</v>
      </c>
      <c r="F1310" s="215">
        <v>250000</v>
      </c>
      <c r="G1310" s="215">
        <v>312500</v>
      </c>
      <c r="H1310" s="215">
        <v>312500</v>
      </c>
      <c r="I1310" s="215">
        <v>312500</v>
      </c>
      <c r="J1310" t="s">
        <v>129</v>
      </c>
    </row>
    <row r="1311" spans="1:10" x14ac:dyDescent="0.3">
      <c r="A1311" s="286">
        <v>653003</v>
      </c>
      <c r="B1311" s="286">
        <v>43511</v>
      </c>
      <c r="E1311" s="215">
        <v>144626</v>
      </c>
      <c r="F1311" s="215">
        <v>148386</v>
      </c>
      <c r="G1311" s="215">
        <v>151650</v>
      </c>
      <c r="H1311" s="215">
        <v>154986</v>
      </c>
      <c r="I1311" s="215">
        <v>158396</v>
      </c>
      <c r="J1311" t="s">
        <v>129</v>
      </c>
    </row>
    <row r="1312" spans="1:10" x14ac:dyDescent="0.3">
      <c r="A1312" s="286">
        <v>653004</v>
      </c>
      <c r="B1312" s="286">
        <v>43511</v>
      </c>
      <c r="E1312" s="215">
        <v>39206</v>
      </c>
      <c r="F1312" s="215">
        <v>40225</v>
      </c>
      <c r="G1312" s="215">
        <v>41110</v>
      </c>
      <c r="H1312" s="215">
        <v>42014</v>
      </c>
      <c r="I1312" s="215">
        <v>42938</v>
      </c>
      <c r="J1312" t="s">
        <v>129</v>
      </c>
    </row>
    <row r="1313" spans="1:10" x14ac:dyDescent="0.3">
      <c r="A1313" s="286">
        <v>653009</v>
      </c>
      <c r="B1313" s="286">
        <v>43511</v>
      </c>
      <c r="E1313" s="215">
        <v>185914</v>
      </c>
      <c r="F1313" s="215">
        <v>190748</v>
      </c>
      <c r="G1313" s="215">
        <v>194944</v>
      </c>
      <c r="H1313" s="215">
        <v>199233</v>
      </c>
      <c r="I1313" s="215">
        <v>203616</v>
      </c>
      <c r="J1313" t="s">
        <v>129</v>
      </c>
    </row>
    <row r="1314" spans="1:10" x14ac:dyDescent="0.3">
      <c r="A1314" s="286">
        <v>653010</v>
      </c>
      <c r="B1314" s="286">
        <v>43511</v>
      </c>
      <c r="E1314" s="215">
        <v>23683</v>
      </c>
      <c r="F1314" s="215">
        <v>24299</v>
      </c>
      <c r="G1314" s="215">
        <v>24834</v>
      </c>
      <c r="H1314" s="215">
        <v>25380</v>
      </c>
      <c r="I1314" s="215">
        <v>25938</v>
      </c>
      <c r="J1314" t="s">
        <v>129</v>
      </c>
    </row>
    <row r="1315" spans="1:10" x14ac:dyDescent="0.3">
      <c r="A1315" s="286">
        <v>653011</v>
      </c>
      <c r="B1315" s="286">
        <v>43511</v>
      </c>
      <c r="E1315" s="215">
        <v>22237</v>
      </c>
      <c r="F1315" s="215">
        <v>22816</v>
      </c>
      <c r="G1315" s="215">
        <v>23318</v>
      </c>
      <c r="H1315" s="215">
        <v>23831</v>
      </c>
      <c r="I1315" s="215">
        <v>24355</v>
      </c>
      <c r="J1315" t="s">
        <v>129</v>
      </c>
    </row>
    <row r="1316" spans="1:10" x14ac:dyDescent="0.3">
      <c r="A1316" s="286">
        <v>653901</v>
      </c>
      <c r="B1316" s="286">
        <v>41100</v>
      </c>
      <c r="E1316" s="215">
        <v>906685.85</v>
      </c>
      <c r="F1316" s="215">
        <v>640300.9</v>
      </c>
      <c r="G1316" s="215">
        <v>669754</v>
      </c>
      <c r="H1316" s="215">
        <v>700562</v>
      </c>
      <c r="I1316" s="215">
        <v>732787</v>
      </c>
      <c r="J1316" t="s">
        <v>129</v>
      </c>
    </row>
    <row r="1317" spans="1:10" x14ac:dyDescent="0.3">
      <c r="A1317" s="286">
        <v>653902</v>
      </c>
      <c r="B1317" s="286">
        <v>41100</v>
      </c>
      <c r="E1317" s="215">
        <v>355295.07999999996</v>
      </c>
      <c r="F1317" s="215">
        <v>149055.57999999999</v>
      </c>
      <c r="G1317" s="215">
        <v>155912</v>
      </c>
      <c r="H1317" s="215">
        <v>163084</v>
      </c>
      <c r="I1317" s="215">
        <v>170586</v>
      </c>
      <c r="J1317" t="s">
        <v>129</v>
      </c>
    </row>
    <row r="1318" spans="1:10" x14ac:dyDescent="0.3">
      <c r="A1318" s="286">
        <v>653902</v>
      </c>
      <c r="B1318" s="286">
        <v>43812</v>
      </c>
      <c r="E1318" s="215">
        <v>88426</v>
      </c>
      <c r="F1318" s="215">
        <v>90721</v>
      </c>
      <c r="G1318" s="215">
        <v>92797</v>
      </c>
      <c r="H1318" s="215">
        <v>94815</v>
      </c>
      <c r="I1318" s="215">
        <v>96871</v>
      </c>
      <c r="J1318" t="s">
        <v>129</v>
      </c>
    </row>
    <row r="1319" spans="1:10" x14ac:dyDescent="0.3">
      <c r="A1319" s="286">
        <v>653005</v>
      </c>
      <c r="B1319" s="286">
        <v>83700</v>
      </c>
      <c r="E1319" s="215">
        <v>-1140000</v>
      </c>
      <c r="F1319" s="215">
        <v>-855000</v>
      </c>
      <c r="G1319" s="215">
        <v>-855000</v>
      </c>
      <c r="H1319" s="215">
        <v>-855000</v>
      </c>
      <c r="I1319" s="215">
        <v>-855000</v>
      </c>
      <c r="J1319" t="s">
        <v>129</v>
      </c>
    </row>
    <row r="1320" spans="1:10" x14ac:dyDescent="0.3">
      <c r="A1320" s="286">
        <v>653901</v>
      </c>
      <c r="B1320" s="286">
        <v>83800</v>
      </c>
      <c r="E1320" s="215">
        <v>-39323</v>
      </c>
      <c r="F1320" s="215">
        <v>-40345</v>
      </c>
      <c r="G1320" s="215">
        <v>-41233</v>
      </c>
      <c r="H1320" s="215">
        <v>-42140</v>
      </c>
      <c r="I1320" s="215">
        <v>-43067</v>
      </c>
      <c r="J1320" t="s">
        <v>129</v>
      </c>
    </row>
    <row r="1321" spans="1:10" x14ac:dyDescent="0.3">
      <c r="A1321" s="286">
        <v>653006</v>
      </c>
      <c r="B1321" s="286">
        <v>83700</v>
      </c>
      <c r="E1321" s="215">
        <v>-11235</v>
      </c>
      <c r="F1321" s="215">
        <v>-11527</v>
      </c>
      <c r="G1321" s="215">
        <v>-11781</v>
      </c>
      <c r="H1321" s="215">
        <v>-12040</v>
      </c>
      <c r="I1321" s="215">
        <v>-12305</v>
      </c>
      <c r="J1321"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BB5C-CC02-42C9-92A3-8F2D551EE544}">
  <sheetPr codeName="Blad1"/>
  <dimension ref="A2:M571"/>
  <sheetViews>
    <sheetView workbookViewId="0"/>
  </sheetViews>
  <sheetFormatPr defaultRowHeight="14.4" x14ac:dyDescent="0.3"/>
  <cols>
    <col min="1" max="1" width="46.44140625" bestFit="1" customWidth="1"/>
    <col min="2" max="5" width="15.88671875" bestFit="1" customWidth="1"/>
    <col min="6" max="6" width="13.109375" bestFit="1" customWidth="1"/>
    <col min="7" max="7" width="10" bestFit="1" customWidth="1"/>
    <col min="8" max="8" width="15.88671875" bestFit="1" customWidth="1"/>
    <col min="9" max="9" width="17.6640625" customWidth="1"/>
    <col min="10" max="11" width="16" bestFit="1" customWidth="1"/>
    <col min="12" max="12" width="10.5546875" bestFit="1" customWidth="1"/>
    <col min="13" max="13" width="12.6640625" bestFit="1" customWidth="1"/>
  </cols>
  <sheetData>
    <row r="2" spans="1:5" x14ac:dyDescent="0.3">
      <c r="A2" t="s">
        <v>63</v>
      </c>
      <c r="B2" t="s">
        <v>130</v>
      </c>
    </row>
    <row r="4" spans="1:5" x14ac:dyDescent="0.3">
      <c r="A4" t="s">
        <v>131</v>
      </c>
      <c r="B4" t="s">
        <v>132</v>
      </c>
      <c r="C4" t="s">
        <v>133</v>
      </c>
      <c r="D4" t="s">
        <v>134</v>
      </c>
      <c r="E4" t="s">
        <v>135</v>
      </c>
    </row>
    <row r="5" spans="1:5" x14ac:dyDescent="0.3">
      <c r="A5" s="159">
        <v>601001</v>
      </c>
      <c r="B5" s="278">
        <v>134315.78836800001</v>
      </c>
      <c r="C5" s="278">
        <v>126874.957712096</v>
      </c>
      <c r="D5" s="278">
        <v>129491.95878176211</v>
      </c>
      <c r="E5" s="278">
        <v>132164.87587496088</v>
      </c>
    </row>
    <row r="6" spans="1:5" x14ac:dyDescent="0.3">
      <c r="A6" s="159">
        <v>601002</v>
      </c>
      <c r="B6" s="278">
        <v>23922</v>
      </c>
      <c r="C6" s="278">
        <v>24536</v>
      </c>
      <c r="D6" s="278">
        <v>25164</v>
      </c>
      <c r="E6" s="278">
        <v>25805</v>
      </c>
    </row>
    <row r="7" spans="1:5" x14ac:dyDescent="0.3">
      <c r="A7" s="159">
        <v>601003</v>
      </c>
      <c r="B7" s="278">
        <v>43712</v>
      </c>
      <c r="C7" s="278">
        <v>45231</v>
      </c>
      <c r="D7" s="278">
        <v>47118</v>
      </c>
      <c r="E7" s="278">
        <v>48879.5</v>
      </c>
    </row>
    <row r="8" spans="1:5" x14ac:dyDescent="0.3">
      <c r="A8" s="159">
        <v>601004</v>
      </c>
      <c r="B8" s="278">
        <v>70000</v>
      </c>
      <c r="C8" s="278">
        <v>71540</v>
      </c>
      <c r="D8" s="278">
        <v>73114</v>
      </c>
      <c r="E8" s="278">
        <v>74723</v>
      </c>
    </row>
    <row r="9" spans="1:5" x14ac:dyDescent="0.3">
      <c r="A9" s="159">
        <v>601005</v>
      </c>
      <c r="B9" s="278">
        <v>1728.699192</v>
      </c>
      <c r="C9" s="278">
        <v>1766.7305742240001</v>
      </c>
      <c r="D9" s="278">
        <v>1805.5986468569281</v>
      </c>
      <c r="E9" s="278">
        <v>1845.3218170877806</v>
      </c>
    </row>
    <row r="10" spans="1:5" x14ac:dyDescent="0.3">
      <c r="A10" s="159">
        <v>601007</v>
      </c>
      <c r="B10" s="278">
        <v>0</v>
      </c>
      <c r="C10" s="278">
        <v>0</v>
      </c>
      <c r="D10" s="278">
        <v>0</v>
      </c>
      <c r="E10" s="278">
        <v>0</v>
      </c>
    </row>
    <row r="11" spans="1:5" x14ac:dyDescent="0.3">
      <c r="A11" s="159">
        <v>601008</v>
      </c>
      <c r="B11" s="278">
        <v>18740</v>
      </c>
      <c r="C11" s="278">
        <v>19152</v>
      </c>
      <c r="D11" s="278">
        <v>19574</v>
      </c>
      <c r="E11" s="278">
        <v>20003</v>
      </c>
    </row>
    <row r="12" spans="1:5" x14ac:dyDescent="0.3">
      <c r="A12" s="159">
        <v>601010</v>
      </c>
      <c r="B12" s="278">
        <v>35717</v>
      </c>
      <c r="C12" s="278">
        <v>36502</v>
      </c>
      <c r="D12" s="278">
        <v>37304</v>
      </c>
      <c r="E12" s="278">
        <v>38124</v>
      </c>
    </row>
    <row r="13" spans="1:5" x14ac:dyDescent="0.3">
      <c r="A13" s="159">
        <v>601011</v>
      </c>
      <c r="B13" s="278">
        <v>24153</v>
      </c>
      <c r="C13" s="278">
        <v>24684</v>
      </c>
      <c r="D13" s="278">
        <v>25227</v>
      </c>
      <c r="E13" s="278">
        <v>25782</v>
      </c>
    </row>
    <row r="14" spans="1:5" x14ac:dyDescent="0.3">
      <c r="A14" s="159">
        <v>601012</v>
      </c>
      <c r="B14" s="278">
        <v>321495</v>
      </c>
      <c r="C14" s="278">
        <v>340729</v>
      </c>
      <c r="D14" s="278">
        <v>357023</v>
      </c>
      <c r="E14" s="278">
        <v>377551.04800000001</v>
      </c>
    </row>
    <row r="15" spans="1:5" x14ac:dyDescent="0.3">
      <c r="A15" s="159">
        <v>601013</v>
      </c>
      <c r="B15" s="278">
        <v>79636</v>
      </c>
      <c r="C15" s="278">
        <v>84595</v>
      </c>
      <c r="D15" s="278">
        <v>87532.599999999991</v>
      </c>
      <c r="E15" s="278">
        <v>93374.148000000001</v>
      </c>
    </row>
    <row r="16" spans="1:5" x14ac:dyDescent="0.3">
      <c r="A16" s="159">
        <v>601014</v>
      </c>
      <c r="B16" s="278">
        <v>29867</v>
      </c>
      <c r="C16" s="278">
        <v>31241</v>
      </c>
      <c r="D16" s="278">
        <v>32678</v>
      </c>
      <c r="E16" s="278">
        <v>34181</v>
      </c>
    </row>
    <row r="17" spans="1:5" x14ac:dyDescent="0.3">
      <c r="A17" s="159">
        <v>601015</v>
      </c>
      <c r="B17" s="278">
        <v>0</v>
      </c>
      <c r="C17" s="278">
        <v>0</v>
      </c>
      <c r="D17" s="278">
        <v>0</v>
      </c>
      <c r="E17" s="278">
        <v>0</v>
      </c>
    </row>
    <row r="18" spans="1:5" x14ac:dyDescent="0.3">
      <c r="A18" s="159">
        <v>601016</v>
      </c>
      <c r="B18" s="278">
        <v>27321</v>
      </c>
      <c r="C18" s="278">
        <v>27923</v>
      </c>
      <c r="D18" s="278">
        <v>28538</v>
      </c>
      <c r="E18" s="278">
        <v>29167</v>
      </c>
    </row>
    <row r="19" spans="1:5" x14ac:dyDescent="0.3">
      <c r="A19" s="159">
        <v>601017</v>
      </c>
      <c r="B19" s="278">
        <v>0</v>
      </c>
      <c r="C19" s="278">
        <v>0</v>
      </c>
      <c r="D19" s="278">
        <v>0</v>
      </c>
      <c r="E19" s="278">
        <v>0</v>
      </c>
    </row>
    <row r="20" spans="1:5" x14ac:dyDescent="0.3">
      <c r="A20" s="159">
        <v>601018</v>
      </c>
      <c r="B20" s="278">
        <v>0</v>
      </c>
      <c r="C20" s="278">
        <v>0</v>
      </c>
      <c r="D20" s="278">
        <v>0</v>
      </c>
      <c r="E20" s="278">
        <v>0</v>
      </c>
    </row>
    <row r="21" spans="1:5" x14ac:dyDescent="0.3">
      <c r="A21" s="159">
        <v>601020</v>
      </c>
      <c r="B21" s="278">
        <v>455130</v>
      </c>
      <c r="C21" s="278">
        <v>5243</v>
      </c>
      <c r="D21" s="278">
        <v>5358</v>
      </c>
      <c r="E21" s="278">
        <v>5476</v>
      </c>
    </row>
    <row r="22" spans="1:5" x14ac:dyDescent="0.3">
      <c r="A22" s="159">
        <v>601901</v>
      </c>
      <c r="B22" s="278">
        <v>1508457.4800000002</v>
      </c>
      <c r="C22" s="278">
        <v>1577617</v>
      </c>
      <c r="D22" s="278">
        <v>1649958</v>
      </c>
      <c r="E22" s="278">
        <v>1725627</v>
      </c>
    </row>
    <row r="23" spans="1:5" x14ac:dyDescent="0.3">
      <c r="A23" s="159">
        <v>601902</v>
      </c>
      <c r="B23" s="278">
        <v>172976.63</v>
      </c>
      <c r="C23" s="278">
        <v>180934</v>
      </c>
      <c r="D23" s="278">
        <v>189257</v>
      </c>
      <c r="E23" s="278">
        <v>197963</v>
      </c>
    </row>
    <row r="24" spans="1:5" x14ac:dyDescent="0.3">
      <c r="A24" s="159">
        <v>602001</v>
      </c>
      <c r="B24" s="278">
        <v>-78962.78</v>
      </c>
      <c r="C24" s="278">
        <v>-82565.899999999994</v>
      </c>
      <c r="D24" s="278">
        <v>-86314.2</v>
      </c>
      <c r="E24" s="278">
        <v>-90230.9</v>
      </c>
    </row>
    <row r="25" spans="1:5" x14ac:dyDescent="0.3">
      <c r="A25" s="159">
        <v>602002</v>
      </c>
      <c r="B25" s="278">
        <v>-204530</v>
      </c>
      <c r="C25" s="278">
        <v>-204812.5</v>
      </c>
      <c r="D25" s="278">
        <v>-205095</v>
      </c>
      <c r="E25" s="278">
        <v>-204607.5</v>
      </c>
    </row>
    <row r="26" spans="1:5" x14ac:dyDescent="0.3">
      <c r="A26" s="159">
        <v>602003</v>
      </c>
      <c r="B26" s="278">
        <v>-74800</v>
      </c>
      <c r="C26" s="278">
        <v>-76400</v>
      </c>
      <c r="D26" s="278">
        <v>-78200</v>
      </c>
      <c r="E26" s="278">
        <v>-80000</v>
      </c>
    </row>
    <row r="27" spans="1:5" x14ac:dyDescent="0.3">
      <c r="A27" s="159">
        <v>602004</v>
      </c>
      <c r="B27" s="278">
        <v>-14297.5</v>
      </c>
      <c r="C27" s="278">
        <v>-14715</v>
      </c>
      <c r="D27" s="278">
        <v>-15132.5</v>
      </c>
      <c r="E27" s="278">
        <v>-15550</v>
      </c>
    </row>
    <row r="28" spans="1:5" x14ac:dyDescent="0.3">
      <c r="A28" s="159">
        <v>602005</v>
      </c>
      <c r="B28" s="278">
        <v>-29258.5</v>
      </c>
      <c r="C28" s="278">
        <v>-30244.5</v>
      </c>
      <c r="D28" s="278">
        <v>-31264</v>
      </c>
      <c r="E28" s="278">
        <v>-32347</v>
      </c>
    </row>
    <row r="29" spans="1:5" x14ac:dyDescent="0.3">
      <c r="A29" s="159">
        <v>602006</v>
      </c>
      <c r="B29" s="278">
        <v>61895</v>
      </c>
      <c r="C29" s="278">
        <v>62931</v>
      </c>
      <c r="D29" s="278">
        <v>63984</v>
      </c>
      <c r="E29" s="278">
        <v>65055</v>
      </c>
    </row>
    <row r="30" spans="1:5" x14ac:dyDescent="0.3">
      <c r="A30" s="159">
        <v>602007</v>
      </c>
      <c r="B30" s="278">
        <v>9825</v>
      </c>
      <c r="C30" s="278">
        <v>10040.529999999999</v>
      </c>
      <c r="D30" s="278">
        <v>10259.26166</v>
      </c>
      <c r="E30" s="278">
        <v>10491.26541652</v>
      </c>
    </row>
    <row r="31" spans="1:5" x14ac:dyDescent="0.3">
      <c r="A31" s="159">
        <v>602901</v>
      </c>
      <c r="B31" s="278">
        <v>100258.11</v>
      </c>
      <c r="C31" s="278">
        <v>104870</v>
      </c>
      <c r="D31" s="278">
        <v>109694</v>
      </c>
      <c r="E31" s="278">
        <v>114740</v>
      </c>
    </row>
    <row r="32" spans="1:5" x14ac:dyDescent="0.3">
      <c r="A32" s="159">
        <v>602902</v>
      </c>
      <c r="B32" s="278">
        <v>133135.84</v>
      </c>
      <c r="C32" s="278">
        <v>139260</v>
      </c>
      <c r="D32" s="278">
        <v>145666</v>
      </c>
      <c r="E32" s="278">
        <v>152366</v>
      </c>
    </row>
    <row r="33" spans="1:5" x14ac:dyDescent="0.3">
      <c r="A33" s="159">
        <v>602903</v>
      </c>
      <c r="B33" s="278">
        <v>123799.24</v>
      </c>
      <c r="C33" s="278">
        <v>129494</v>
      </c>
      <c r="D33" s="278">
        <v>135451</v>
      </c>
      <c r="E33" s="278">
        <v>141682</v>
      </c>
    </row>
    <row r="34" spans="1:5" x14ac:dyDescent="0.3">
      <c r="A34" s="159">
        <v>602904</v>
      </c>
      <c r="B34" s="278">
        <v>264213.37</v>
      </c>
      <c r="C34" s="278">
        <v>272899</v>
      </c>
      <c r="D34" s="278">
        <v>281908</v>
      </c>
      <c r="E34" s="278">
        <v>291254</v>
      </c>
    </row>
    <row r="35" spans="1:5" x14ac:dyDescent="0.3">
      <c r="A35" s="159">
        <v>602905</v>
      </c>
      <c r="B35" s="278">
        <v>40461.449999999997</v>
      </c>
      <c r="C35" s="278">
        <v>42323</v>
      </c>
      <c r="D35" s="278">
        <v>44270</v>
      </c>
      <c r="E35" s="278">
        <v>46306</v>
      </c>
    </row>
    <row r="36" spans="1:5" x14ac:dyDescent="0.3">
      <c r="A36" s="159">
        <v>602906</v>
      </c>
      <c r="B36" s="278">
        <v>169988.77</v>
      </c>
      <c r="C36" s="278">
        <v>160590</v>
      </c>
      <c r="D36" s="278">
        <v>167977</v>
      </c>
      <c r="E36" s="278">
        <v>175704</v>
      </c>
    </row>
    <row r="37" spans="1:5" x14ac:dyDescent="0.3">
      <c r="A37" s="159">
        <v>602907</v>
      </c>
      <c r="B37" s="278">
        <v>7848</v>
      </c>
      <c r="C37" s="278">
        <v>8209</v>
      </c>
      <c r="D37" s="278">
        <v>8587</v>
      </c>
      <c r="E37" s="278">
        <v>8982</v>
      </c>
    </row>
    <row r="38" spans="1:5" x14ac:dyDescent="0.3">
      <c r="A38" s="159">
        <v>603001</v>
      </c>
      <c r="B38" s="278">
        <v>-148741</v>
      </c>
      <c r="C38" s="278">
        <v>-151946</v>
      </c>
      <c r="D38" s="278">
        <v>-155222</v>
      </c>
      <c r="E38" s="278">
        <v>-158571</v>
      </c>
    </row>
    <row r="39" spans="1:5" x14ac:dyDescent="0.3">
      <c r="A39" s="159">
        <v>603002</v>
      </c>
      <c r="B39" s="278">
        <v>-2172</v>
      </c>
      <c r="C39" s="278">
        <v>-2219</v>
      </c>
      <c r="D39" s="278">
        <v>-2267</v>
      </c>
      <c r="E39" s="278">
        <v>-2316</v>
      </c>
    </row>
    <row r="40" spans="1:5" x14ac:dyDescent="0.3">
      <c r="A40" s="159">
        <v>603003</v>
      </c>
      <c r="B40" s="278">
        <v>-39129</v>
      </c>
      <c r="C40" s="278">
        <v>-39990</v>
      </c>
      <c r="D40" s="278">
        <v>-40870</v>
      </c>
      <c r="E40" s="278">
        <v>-41769</v>
      </c>
    </row>
    <row r="41" spans="1:5" x14ac:dyDescent="0.3">
      <c r="A41" s="159">
        <v>603004</v>
      </c>
      <c r="B41" s="278">
        <v>7680</v>
      </c>
      <c r="C41" s="278">
        <v>7849</v>
      </c>
      <c r="D41" s="278">
        <v>8021</v>
      </c>
      <c r="E41" s="278">
        <v>8197</v>
      </c>
    </row>
    <row r="42" spans="1:5" x14ac:dyDescent="0.3">
      <c r="A42" s="159">
        <v>603005</v>
      </c>
      <c r="B42" s="278">
        <v>9221</v>
      </c>
      <c r="C42" s="278">
        <v>9424</v>
      </c>
      <c r="D42" s="278">
        <v>9632</v>
      </c>
      <c r="E42" s="278">
        <v>9844</v>
      </c>
    </row>
    <row r="43" spans="1:5" x14ac:dyDescent="0.3">
      <c r="A43" s="159">
        <v>603006</v>
      </c>
      <c r="B43" s="278">
        <v>-13927</v>
      </c>
      <c r="C43" s="278">
        <v>-14233</v>
      </c>
      <c r="D43" s="278">
        <v>-14546</v>
      </c>
      <c r="E43" s="278">
        <v>-14866</v>
      </c>
    </row>
    <row r="44" spans="1:5" x14ac:dyDescent="0.3">
      <c r="A44" s="159">
        <v>603007</v>
      </c>
      <c r="B44" s="278">
        <v>13759</v>
      </c>
      <c r="C44" s="278">
        <v>14062</v>
      </c>
      <c r="D44" s="278">
        <v>14371</v>
      </c>
      <c r="E44" s="278">
        <v>14688</v>
      </c>
    </row>
    <row r="45" spans="1:5" x14ac:dyDescent="0.3">
      <c r="A45" s="159">
        <v>603008</v>
      </c>
      <c r="B45" s="278">
        <v>29433.465225074873</v>
      </c>
      <c r="C45" s="278">
        <v>30375.953438402641</v>
      </c>
      <c r="D45" s="278">
        <v>31347.733715623537</v>
      </c>
      <c r="E45" s="278">
        <v>32351.630863101607</v>
      </c>
    </row>
    <row r="46" spans="1:5" x14ac:dyDescent="0.3">
      <c r="A46" s="159">
        <v>603009</v>
      </c>
      <c r="B46" s="278">
        <v>-2274</v>
      </c>
      <c r="C46" s="278">
        <v>-2325</v>
      </c>
      <c r="D46" s="278">
        <v>-2376</v>
      </c>
      <c r="E46" s="278">
        <v>-2428</v>
      </c>
    </row>
    <row r="47" spans="1:5" x14ac:dyDescent="0.3">
      <c r="A47" s="159">
        <v>603010</v>
      </c>
      <c r="B47" s="278">
        <v>-16186</v>
      </c>
      <c r="C47" s="278">
        <v>-16543</v>
      </c>
      <c r="D47" s="278">
        <v>-16907</v>
      </c>
      <c r="E47" s="278">
        <v>-17278</v>
      </c>
    </row>
    <row r="48" spans="1:5" x14ac:dyDescent="0.3">
      <c r="A48" s="159">
        <v>603013</v>
      </c>
      <c r="B48" s="278">
        <v>1044</v>
      </c>
      <c r="C48" s="278">
        <v>1067</v>
      </c>
      <c r="D48" s="278">
        <v>1091</v>
      </c>
      <c r="E48" s="278">
        <v>1115</v>
      </c>
    </row>
    <row r="49" spans="1:5" x14ac:dyDescent="0.3">
      <c r="A49" s="159">
        <v>603014</v>
      </c>
      <c r="B49" s="278">
        <v>-24535</v>
      </c>
      <c r="C49" s="278">
        <v>-25074</v>
      </c>
      <c r="D49" s="278">
        <v>-25625</v>
      </c>
      <c r="E49" s="278">
        <v>-26188</v>
      </c>
    </row>
    <row r="50" spans="1:5" x14ac:dyDescent="0.3">
      <c r="A50" s="159">
        <v>603015</v>
      </c>
      <c r="B50" s="278">
        <v>-70984</v>
      </c>
      <c r="C50" s="278">
        <v>-72679</v>
      </c>
      <c r="D50" s="278">
        <v>-74360</v>
      </c>
      <c r="E50" s="278">
        <v>-76131</v>
      </c>
    </row>
    <row r="51" spans="1:5" x14ac:dyDescent="0.3">
      <c r="A51" s="159">
        <v>603017</v>
      </c>
      <c r="B51" s="278">
        <v>16912</v>
      </c>
      <c r="C51" s="278">
        <v>17283</v>
      </c>
      <c r="D51" s="278">
        <v>17662</v>
      </c>
      <c r="E51" s="278">
        <v>18050</v>
      </c>
    </row>
    <row r="52" spans="1:5" x14ac:dyDescent="0.3">
      <c r="A52" s="159">
        <v>603901</v>
      </c>
      <c r="B52" s="278">
        <v>198559.05</v>
      </c>
      <c r="C52" s="278">
        <v>194286</v>
      </c>
      <c r="D52" s="278">
        <v>201916</v>
      </c>
      <c r="E52" s="278">
        <v>209896</v>
      </c>
    </row>
    <row r="53" spans="1:5" x14ac:dyDescent="0.3">
      <c r="A53" s="159">
        <v>604001</v>
      </c>
      <c r="B53" s="278">
        <v>12497</v>
      </c>
      <c r="C53" s="278">
        <v>13072</v>
      </c>
      <c r="D53" s="278">
        <v>13673</v>
      </c>
      <c r="E53" s="278">
        <v>14302</v>
      </c>
    </row>
    <row r="54" spans="1:5" x14ac:dyDescent="0.3">
      <c r="A54" s="159">
        <v>604002</v>
      </c>
      <c r="B54" s="278">
        <v>1560677</v>
      </c>
      <c r="C54" s="278">
        <v>1706531</v>
      </c>
      <c r="D54" s="278">
        <v>1873767</v>
      </c>
      <c r="E54" s="278">
        <v>2052573</v>
      </c>
    </row>
    <row r="55" spans="1:5" x14ac:dyDescent="0.3">
      <c r="A55" s="159">
        <v>604003</v>
      </c>
      <c r="B55" s="278">
        <v>-11701</v>
      </c>
      <c r="C55" s="278">
        <v>-11958</v>
      </c>
      <c r="D55" s="278">
        <v>-12221</v>
      </c>
      <c r="E55" s="278">
        <v>-12490</v>
      </c>
    </row>
    <row r="56" spans="1:5" x14ac:dyDescent="0.3">
      <c r="A56" s="159">
        <v>604004</v>
      </c>
      <c r="B56" s="278">
        <v>342217</v>
      </c>
      <c r="C56" s="278">
        <v>362560</v>
      </c>
      <c r="D56" s="278">
        <v>383840</v>
      </c>
      <c r="E56" s="278">
        <v>406099.51855026698</v>
      </c>
    </row>
    <row r="57" spans="1:5" x14ac:dyDescent="0.3">
      <c r="A57" s="159">
        <v>604006</v>
      </c>
      <c r="B57" s="278">
        <v>426178.39591240161</v>
      </c>
      <c r="C57" s="278">
        <v>438687.25256116042</v>
      </c>
      <c r="D57" s="278">
        <v>451581.77590592334</v>
      </c>
      <c r="E57" s="278">
        <v>464869.98261444247</v>
      </c>
    </row>
    <row r="58" spans="1:5" x14ac:dyDescent="0.3">
      <c r="A58" s="159">
        <v>604007</v>
      </c>
      <c r="B58" s="278">
        <v>21108</v>
      </c>
      <c r="C58" s="278">
        <v>21108</v>
      </c>
      <c r="D58" s="278">
        <v>21108</v>
      </c>
      <c r="E58" s="278">
        <v>21108</v>
      </c>
    </row>
    <row r="59" spans="1:5" x14ac:dyDescent="0.3">
      <c r="A59" s="159">
        <v>604008</v>
      </c>
      <c r="B59" s="278">
        <v>4431</v>
      </c>
      <c r="C59" s="278">
        <v>6028</v>
      </c>
      <c r="D59" s="278">
        <v>4627</v>
      </c>
      <c r="E59" s="278">
        <v>4729</v>
      </c>
    </row>
    <row r="60" spans="1:5" x14ac:dyDescent="0.3">
      <c r="A60" s="159">
        <v>604009</v>
      </c>
      <c r="B60" s="278">
        <v>42013</v>
      </c>
      <c r="C60" s="278">
        <v>42937</v>
      </c>
      <c r="D60" s="278">
        <v>43882</v>
      </c>
      <c r="E60" s="278">
        <v>44847</v>
      </c>
    </row>
    <row r="61" spans="1:5" x14ac:dyDescent="0.3">
      <c r="A61" s="159">
        <v>604010</v>
      </c>
      <c r="B61" s="278">
        <v>106527</v>
      </c>
      <c r="C61" s="278">
        <v>108871</v>
      </c>
      <c r="D61" s="278">
        <v>111266</v>
      </c>
      <c r="E61" s="278">
        <v>113714</v>
      </c>
    </row>
    <row r="62" spans="1:5" x14ac:dyDescent="0.3">
      <c r="A62" s="159">
        <v>604011</v>
      </c>
      <c r="B62" s="278">
        <v>66308</v>
      </c>
      <c r="C62" s="278">
        <v>67767</v>
      </c>
      <c r="D62" s="278">
        <v>69257</v>
      </c>
      <c r="E62" s="278">
        <v>70780</v>
      </c>
    </row>
    <row r="63" spans="1:5" x14ac:dyDescent="0.3">
      <c r="A63" s="159">
        <v>604012</v>
      </c>
      <c r="B63" s="278">
        <v>23940</v>
      </c>
      <c r="C63" s="278">
        <v>24467</v>
      </c>
      <c r="D63" s="278">
        <v>25005</v>
      </c>
      <c r="E63" s="278">
        <v>25555</v>
      </c>
    </row>
    <row r="64" spans="1:5" x14ac:dyDescent="0.3">
      <c r="A64" s="159">
        <v>604013</v>
      </c>
      <c r="B64" s="278">
        <v>826</v>
      </c>
      <c r="C64" s="278">
        <v>845</v>
      </c>
      <c r="D64" s="278">
        <v>864</v>
      </c>
      <c r="E64" s="278">
        <v>883</v>
      </c>
    </row>
    <row r="65" spans="1:5" x14ac:dyDescent="0.3">
      <c r="A65" s="159">
        <v>604014</v>
      </c>
      <c r="B65" s="278">
        <v>6940</v>
      </c>
      <c r="C65" s="278">
        <v>7134</v>
      </c>
      <c r="D65" s="278">
        <v>7334</v>
      </c>
      <c r="E65" s="278">
        <v>7539</v>
      </c>
    </row>
    <row r="66" spans="1:5" x14ac:dyDescent="0.3">
      <c r="A66" s="159">
        <v>604015</v>
      </c>
      <c r="B66" s="278">
        <v>41147</v>
      </c>
      <c r="C66" s="278">
        <v>42052</v>
      </c>
      <c r="D66" s="278">
        <v>42977</v>
      </c>
      <c r="E66" s="278">
        <v>43923</v>
      </c>
    </row>
    <row r="67" spans="1:5" x14ac:dyDescent="0.3">
      <c r="A67" s="159">
        <v>604016</v>
      </c>
      <c r="B67" s="278">
        <v>61092</v>
      </c>
      <c r="C67" s="278">
        <v>62435</v>
      </c>
      <c r="D67" s="278">
        <v>63808</v>
      </c>
      <c r="E67" s="278">
        <v>65213</v>
      </c>
    </row>
    <row r="68" spans="1:5" x14ac:dyDescent="0.3">
      <c r="A68" s="159">
        <v>604017</v>
      </c>
      <c r="B68" s="278">
        <v>1355566</v>
      </c>
      <c r="C68" s="278">
        <v>1386237</v>
      </c>
      <c r="D68" s="278">
        <v>1417499</v>
      </c>
      <c r="E68" s="278">
        <v>1449562</v>
      </c>
    </row>
    <row r="69" spans="1:5" x14ac:dyDescent="0.3">
      <c r="A69" s="159">
        <v>604018</v>
      </c>
      <c r="B69" s="278">
        <v>62709</v>
      </c>
      <c r="C69" s="278">
        <v>64088</v>
      </c>
      <c r="D69" s="278">
        <v>65498</v>
      </c>
      <c r="E69" s="278">
        <v>66939</v>
      </c>
    </row>
    <row r="70" spans="1:5" x14ac:dyDescent="0.3">
      <c r="A70" s="159">
        <v>604019</v>
      </c>
      <c r="B70" s="278">
        <v>138880</v>
      </c>
      <c r="C70" s="278">
        <v>141936</v>
      </c>
      <c r="D70" s="278">
        <v>145057.65</v>
      </c>
      <c r="E70" s="278">
        <v>148248.92000000001</v>
      </c>
    </row>
    <row r="71" spans="1:5" x14ac:dyDescent="0.3">
      <c r="A71" s="159">
        <v>604021</v>
      </c>
      <c r="B71" s="278">
        <v>7301</v>
      </c>
      <c r="C71" s="278">
        <v>7462</v>
      </c>
      <c r="D71" s="278">
        <v>7626</v>
      </c>
      <c r="E71" s="278">
        <v>7794</v>
      </c>
    </row>
    <row r="72" spans="1:5" x14ac:dyDescent="0.3">
      <c r="A72" s="159">
        <v>604022</v>
      </c>
      <c r="B72" s="278">
        <v>0</v>
      </c>
      <c r="C72" s="278">
        <v>0</v>
      </c>
      <c r="D72" s="278">
        <v>0</v>
      </c>
      <c r="E72" s="278">
        <v>0</v>
      </c>
    </row>
    <row r="73" spans="1:5" x14ac:dyDescent="0.3">
      <c r="A73" s="159">
        <v>604023</v>
      </c>
      <c r="B73" s="278">
        <v>214508.973</v>
      </c>
      <c r="C73" s="278">
        <v>222261.72</v>
      </c>
      <c r="D73" s="278">
        <v>231841.64599999998</v>
      </c>
      <c r="E73" s="278">
        <v>241001.16</v>
      </c>
    </row>
    <row r="74" spans="1:5" x14ac:dyDescent="0.3">
      <c r="A74" s="159">
        <v>604027</v>
      </c>
      <c r="B74" s="278">
        <v>87016</v>
      </c>
      <c r="C74" s="278">
        <v>89530</v>
      </c>
      <c r="D74" s="278">
        <v>92127</v>
      </c>
      <c r="E74" s="278">
        <v>94810</v>
      </c>
    </row>
    <row r="75" spans="1:5" x14ac:dyDescent="0.3">
      <c r="A75" s="159">
        <v>604028</v>
      </c>
      <c r="B75" s="278">
        <v>10000</v>
      </c>
      <c r="C75" s="278">
        <v>10460</v>
      </c>
      <c r="D75" s="278">
        <v>10941</v>
      </c>
      <c r="E75" s="278">
        <v>11444</v>
      </c>
    </row>
    <row r="76" spans="1:5" x14ac:dyDescent="0.3">
      <c r="A76" s="159">
        <v>604029</v>
      </c>
      <c r="B76" s="278">
        <v>168830</v>
      </c>
      <c r="C76" s="278">
        <v>171773</v>
      </c>
      <c r="D76" s="278">
        <v>174747</v>
      </c>
      <c r="E76" s="278">
        <v>177748</v>
      </c>
    </row>
    <row r="77" spans="1:5" x14ac:dyDescent="0.3">
      <c r="A77" s="159">
        <v>604030</v>
      </c>
      <c r="B77" s="278">
        <v>6765</v>
      </c>
      <c r="C77" s="278">
        <v>6860</v>
      </c>
      <c r="D77" s="278">
        <v>6968</v>
      </c>
      <c r="E77" s="278">
        <v>7290</v>
      </c>
    </row>
    <row r="78" spans="1:5" x14ac:dyDescent="0.3">
      <c r="A78" s="159">
        <v>604031</v>
      </c>
      <c r="B78" s="278">
        <v>0</v>
      </c>
      <c r="C78" s="278">
        <v>0</v>
      </c>
      <c r="D78" s="278">
        <v>0</v>
      </c>
      <c r="E78" s="278">
        <v>0</v>
      </c>
    </row>
    <row r="79" spans="1:5" x14ac:dyDescent="0.3">
      <c r="A79" s="159">
        <v>604032</v>
      </c>
      <c r="B79" s="278">
        <v>49116.542484999998</v>
      </c>
      <c r="C79" s="278">
        <v>50505.677439310006</v>
      </c>
      <c r="D79" s="278">
        <v>51965.74710151826</v>
      </c>
      <c r="E79" s="278">
        <v>52773.74710151826</v>
      </c>
    </row>
    <row r="80" spans="1:5" x14ac:dyDescent="0.3">
      <c r="A80" s="159">
        <v>604033</v>
      </c>
      <c r="B80" s="278">
        <v>252262</v>
      </c>
      <c r="C80" s="278">
        <v>253785</v>
      </c>
      <c r="D80" s="278">
        <v>256788</v>
      </c>
      <c r="E80" s="278">
        <v>259906</v>
      </c>
    </row>
    <row r="81" spans="1:5" x14ac:dyDescent="0.3">
      <c r="A81" s="159">
        <v>604034</v>
      </c>
      <c r="B81" s="278">
        <v>10465</v>
      </c>
      <c r="C81" s="278">
        <v>10696</v>
      </c>
      <c r="D81" s="278">
        <v>10931</v>
      </c>
      <c r="E81" s="278">
        <v>11171</v>
      </c>
    </row>
    <row r="82" spans="1:5" x14ac:dyDescent="0.3">
      <c r="A82" s="159">
        <v>604035</v>
      </c>
      <c r="B82" s="278">
        <v>21102</v>
      </c>
      <c r="C82" s="278">
        <v>21566</v>
      </c>
      <c r="D82" s="278">
        <v>22040</v>
      </c>
      <c r="E82" s="278">
        <v>22525</v>
      </c>
    </row>
    <row r="83" spans="1:5" x14ac:dyDescent="0.3">
      <c r="A83" s="159">
        <v>604036</v>
      </c>
      <c r="B83" s="278">
        <v>0</v>
      </c>
      <c r="C83" s="278">
        <v>0</v>
      </c>
      <c r="D83" s="278">
        <v>0</v>
      </c>
      <c r="E83" s="278">
        <v>0</v>
      </c>
    </row>
    <row r="84" spans="1:5" x14ac:dyDescent="0.3">
      <c r="A84" s="159">
        <v>604038</v>
      </c>
      <c r="B84" s="278">
        <v>5147</v>
      </c>
      <c r="C84" s="278">
        <v>5291</v>
      </c>
      <c r="D84" s="278">
        <v>5439</v>
      </c>
      <c r="E84" s="278">
        <v>5591</v>
      </c>
    </row>
    <row r="85" spans="1:5" x14ac:dyDescent="0.3">
      <c r="A85" s="159">
        <v>604043</v>
      </c>
      <c r="B85" s="278">
        <v>0</v>
      </c>
      <c r="C85" s="278">
        <v>0</v>
      </c>
      <c r="D85" s="278">
        <v>0</v>
      </c>
      <c r="E85" s="278">
        <v>0</v>
      </c>
    </row>
    <row r="86" spans="1:5" x14ac:dyDescent="0.3">
      <c r="A86" s="159">
        <v>604045</v>
      </c>
      <c r="B86" s="278">
        <v>137598.14282118401</v>
      </c>
      <c r="C86" s="278">
        <v>140656.04996224318</v>
      </c>
      <c r="D86" s="278">
        <v>143813.40246035537</v>
      </c>
      <c r="E86" s="278">
        <v>147076.45258337312</v>
      </c>
    </row>
    <row r="87" spans="1:5" x14ac:dyDescent="0.3">
      <c r="A87" s="159">
        <v>604046</v>
      </c>
      <c r="B87" s="278">
        <v>28059</v>
      </c>
      <c r="C87" s="278">
        <v>28677</v>
      </c>
      <c r="D87" s="278">
        <v>29309</v>
      </c>
      <c r="E87" s="278">
        <v>29955</v>
      </c>
    </row>
    <row r="88" spans="1:5" x14ac:dyDescent="0.3">
      <c r="A88" s="159">
        <v>604048</v>
      </c>
      <c r="B88" s="278">
        <v>108013</v>
      </c>
      <c r="C88" s="278">
        <v>117583</v>
      </c>
      <c r="D88" s="278">
        <v>118958</v>
      </c>
      <c r="E88" s="278">
        <v>120362</v>
      </c>
    </row>
    <row r="89" spans="1:5" x14ac:dyDescent="0.3">
      <c r="A89" s="159">
        <v>604056</v>
      </c>
      <c r="B89" s="278">
        <v>123792</v>
      </c>
      <c r="C89" s="278">
        <v>126516</v>
      </c>
      <c r="D89" s="278">
        <v>129300</v>
      </c>
      <c r="E89" s="278">
        <v>132145</v>
      </c>
    </row>
    <row r="90" spans="1:5" x14ac:dyDescent="0.3">
      <c r="A90" s="159">
        <v>604057</v>
      </c>
      <c r="B90" s="278">
        <v>132521</v>
      </c>
      <c r="C90" s="278">
        <v>135437</v>
      </c>
      <c r="D90" s="278">
        <v>138418</v>
      </c>
      <c r="E90" s="278">
        <v>141464</v>
      </c>
    </row>
    <row r="91" spans="1:5" x14ac:dyDescent="0.3">
      <c r="A91" s="159">
        <v>604058</v>
      </c>
      <c r="B91" s="278">
        <v>81255</v>
      </c>
      <c r="C91" s="278">
        <v>83043</v>
      </c>
      <c r="D91" s="278">
        <v>84870</v>
      </c>
      <c r="E91" s="278">
        <v>86738</v>
      </c>
    </row>
    <row r="92" spans="1:5" x14ac:dyDescent="0.3">
      <c r="A92" s="159">
        <v>604060</v>
      </c>
      <c r="B92" s="278">
        <v>0</v>
      </c>
      <c r="C92" s="278">
        <v>0</v>
      </c>
      <c r="D92" s="278">
        <v>0</v>
      </c>
      <c r="E92" s="278">
        <v>0</v>
      </c>
    </row>
    <row r="93" spans="1:5" x14ac:dyDescent="0.3">
      <c r="A93" s="159">
        <v>604061</v>
      </c>
      <c r="B93" s="278">
        <v>31806</v>
      </c>
      <c r="C93" s="278">
        <v>20971</v>
      </c>
      <c r="D93" s="278">
        <v>42894</v>
      </c>
      <c r="E93" s="278">
        <v>21904</v>
      </c>
    </row>
    <row r="94" spans="1:5" x14ac:dyDescent="0.3">
      <c r="A94" s="159">
        <v>604062</v>
      </c>
      <c r="B94" s="278">
        <v>158003</v>
      </c>
      <c r="C94" s="278">
        <v>96232</v>
      </c>
      <c r="D94" s="278">
        <v>98445</v>
      </c>
      <c r="E94" s="278">
        <v>100611</v>
      </c>
    </row>
    <row r="95" spans="1:5" x14ac:dyDescent="0.3">
      <c r="A95" s="159">
        <v>604901</v>
      </c>
      <c r="B95" s="278">
        <v>8511372.1807550713</v>
      </c>
      <c r="C95" s="278">
        <v>9285631.7058837973</v>
      </c>
      <c r="D95" s="278">
        <v>9510250.101367943</v>
      </c>
      <c r="E95" s="278">
        <v>9902183.7058585938</v>
      </c>
    </row>
    <row r="96" spans="1:5" x14ac:dyDescent="0.3">
      <c r="A96" s="159">
        <v>604902</v>
      </c>
      <c r="B96" s="278">
        <v>-273670.14282118401</v>
      </c>
      <c r="C96" s="278">
        <v>-286916.04996224318</v>
      </c>
      <c r="D96" s="278">
        <v>-292080.40246035531</v>
      </c>
      <c r="E96" s="278">
        <v>-297393.45258337306</v>
      </c>
    </row>
    <row r="97" spans="1:5" x14ac:dyDescent="0.3">
      <c r="A97" s="159">
        <v>605001</v>
      </c>
      <c r="B97" s="278">
        <v>-53071</v>
      </c>
      <c r="C97" s="278">
        <v>-53071</v>
      </c>
      <c r="D97" s="278">
        <v>-53071</v>
      </c>
      <c r="E97" s="278">
        <v>-53071</v>
      </c>
    </row>
    <row r="98" spans="1:5" x14ac:dyDescent="0.3">
      <c r="A98" s="159">
        <v>605002</v>
      </c>
      <c r="B98" s="278">
        <v>29938</v>
      </c>
      <c r="C98" s="278">
        <v>29938</v>
      </c>
      <c r="D98" s="278">
        <v>29938</v>
      </c>
      <c r="E98" s="278">
        <v>29938</v>
      </c>
    </row>
    <row r="99" spans="1:5" x14ac:dyDescent="0.3">
      <c r="A99" s="159">
        <v>605003</v>
      </c>
      <c r="B99" s="278">
        <v>104582.85345</v>
      </c>
      <c r="C99" s="278">
        <v>243938.11791</v>
      </c>
      <c r="D99" s="278">
        <v>395160.54444500001</v>
      </c>
      <c r="E99" s="278">
        <v>391054.87</v>
      </c>
    </row>
    <row r="100" spans="1:5" x14ac:dyDescent="0.3">
      <c r="A100" s="159">
        <v>605901</v>
      </c>
      <c r="B100" s="278">
        <v>0</v>
      </c>
      <c r="C100" s="278">
        <v>0</v>
      </c>
      <c r="D100" s="278">
        <v>0</v>
      </c>
      <c r="E100" s="278">
        <v>0</v>
      </c>
    </row>
    <row r="101" spans="1:5" x14ac:dyDescent="0.3">
      <c r="A101" s="159">
        <v>606001</v>
      </c>
      <c r="B101" s="278">
        <v>-5650000.4835999999</v>
      </c>
      <c r="C101" s="278">
        <v>-6373000</v>
      </c>
      <c r="D101" s="278">
        <v>-6970000</v>
      </c>
      <c r="E101" s="278">
        <v>-7603000</v>
      </c>
    </row>
    <row r="102" spans="1:5" x14ac:dyDescent="0.3">
      <c r="A102" s="159">
        <v>606002</v>
      </c>
      <c r="B102" s="278">
        <v>52200</v>
      </c>
      <c r="C102" s="278">
        <v>53348</v>
      </c>
      <c r="D102" s="278">
        <v>54522</v>
      </c>
      <c r="E102" s="278">
        <v>55722</v>
      </c>
    </row>
    <row r="103" spans="1:5" x14ac:dyDescent="0.3">
      <c r="A103" s="159">
        <v>606003</v>
      </c>
      <c r="B103" s="278">
        <v>18327</v>
      </c>
      <c r="C103" s="278">
        <v>18731</v>
      </c>
      <c r="D103" s="278">
        <v>19144</v>
      </c>
      <c r="E103" s="278">
        <v>19564</v>
      </c>
    </row>
    <row r="104" spans="1:5" x14ac:dyDescent="0.3">
      <c r="A104" s="159">
        <v>606901</v>
      </c>
      <c r="B104" s="278">
        <v>92269</v>
      </c>
      <c r="C104" s="278">
        <v>96513</v>
      </c>
      <c r="D104" s="278">
        <v>100953</v>
      </c>
      <c r="E104" s="278">
        <v>105597</v>
      </c>
    </row>
    <row r="105" spans="1:5" x14ac:dyDescent="0.3">
      <c r="A105" s="159">
        <v>607001</v>
      </c>
      <c r="B105" s="278">
        <v>-1644000</v>
      </c>
      <c r="C105" s="278">
        <v>-1851000</v>
      </c>
      <c r="D105" s="278">
        <v>-2010000</v>
      </c>
      <c r="E105" s="278">
        <v>-2183000</v>
      </c>
    </row>
    <row r="106" spans="1:5" x14ac:dyDescent="0.3">
      <c r="A106" s="159">
        <v>607002</v>
      </c>
      <c r="B106" s="278">
        <v>-2366000</v>
      </c>
      <c r="C106" s="278">
        <v>-2662000</v>
      </c>
      <c r="D106" s="278">
        <v>-2887000</v>
      </c>
      <c r="E106" s="278">
        <v>-3131000</v>
      </c>
    </row>
    <row r="107" spans="1:5" x14ac:dyDescent="0.3">
      <c r="A107" s="159">
        <v>607901</v>
      </c>
      <c r="B107" s="278">
        <v>124473</v>
      </c>
      <c r="C107" s="278">
        <v>129071</v>
      </c>
      <c r="D107" s="278">
        <v>133854</v>
      </c>
      <c r="E107" s="278">
        <v>138833</v>
      </c>
    </row>
    <row r="108" spans="1:5" x14ac:dyDescent="0.3">
      <c r="A108" s="159">
        <v>609001</v>
      </c>
      <c r="B108" s="278">
        <v>0</v>
      </c>
      <c r="C108" s="278">
        <v>0</v>
      </c>
      <c r="D108" s="278">
        <v>0</v>
      </c>
      <c r="E108" s="278">
        <v>0</v>
      </c>
    </row>
    <row r="109" spans="1:5" x14ac:dyDescent="0.3">
      <c r="A109" s="159">
        <v>609002</v>
      </c>
      <c r="B109" s="278">
        <v>0</v>
      </c>
      <c r="C109" s="278">
        <v>0</v>
      </c>
      <c r="D109" s="278">
        <v>0</v>
      </c>
      <c r="E109" s="278">
        <v>0</v>
      </c>
    </row>
    <row r="110" spans="1:5" x14ac:dyDescent="0.3">
      <c r="A110" s="159">
        <v>609003</v>
      </c>
      <c r="B110" s="278">
        <v>-86286.491999999998</v>
      </c>
      <c r="C110" s="278">
        <v>-89404.379220000003</v>
      </c>
      <c r="D110" s="278">
        <v>-92635.337492699997</v>
      </c>
      <c r="E110" s="278">
        <v>-95857.279304944488</v>
      </c>
    </row>
    <row r="111" spans="1:5" x14ac:dyDescent="0.3">
      <c r="A111" s="159">
        <v>609901</v>
      </c>
      <c r="B111" s="278">
        <v>65986</v>
      </c>
      <c r="C111" s="278">
        <v>69021</v>
      </c>
      <c r="D111" s="278">
        <v>72196</v>
      </c>
      <c r="E111" s="278">
        <v>75517</v>
      </c>
    </row>
    <row r="112" spans="1:5" x14ac:dyDescent="0.3">
      <c r="A112" s="159">
        <v>610001</v>
      </c>
      <c r="B112" s="278">
        <v>-63258655</v>
      </c>
      <c r="C112" s="278">
        <v>-65434702</v>
      </c>
      <c r="D112" s="278">
        <v>-66127406</v>
      </c>
      <c r="E112" s="278">
        <v>-68972334</v>
      </c>
    </row>
    <row r="113" spans="1:5" x14ac:dyDescent="0.3">
      <c r="A113" s="159">
        <v>611001</v>
      </c>
      <c r="B113" s="278">
        <v>0</v>
      </c>
      <c r="C113" s="278">
        <v>0</v>
      </c>
      <c r="D113" s="278">
        <v>0</v>
      </c>
      <c r="E113" s="278">
        <v>0</v>
      </c>
    </row>
    <row r="114" spans="1:5" x14ac:dyDescent="0.3">
      <c r="A114" s="159">
        <v>611002</v>
      </c>
      <c r="B114" s="278">
        <v>50000</v>
      </c>
      <c r="C114" s="278">
        <v>51100</v>
      </c>
      <c r="D114" s="278">
        <v>52224</v>
      </c>
      <c r="E114" s="278">
        <v>53373</v>
      </c>
    </row>
    <row r="115" spans="1:5" x14ac:dyDescent="0.3">
      <c r="A115" s="159">
        <v>611004</v>
      </c>
      <c r="B115" s="278">
        <v>-178427</v>
      </c>
      <c r="C115" s="278">
        <v>320620</v>
      </c>
      <c r="D115" s="278">
        <v>151777</v>
      </c>
      <c r="E115" s="278">
        <v>151778</v>
      </c>
    </row>
    <row r="116" spans="1:5" x14ac:dyDescent="0.3">
      <c r="A116" s="159">
        <v>611005</v>
      </c>
      <c r="B116" s="278">
        <v>43660</v>
      </c>
      <c r="C116" s="278">
        <v>43660</v>
      </c>
      <c r="D116" s="278">
        <v>43660</v>
      </c>
      <c r="E116" s="278">
        <v>43660</v>
      </c>
    </row>
    <row r="117" spans="1:5" x14ac:dyDescent="0.3">
      <c r="A117" s="159">
        <v>611006</v>
      </c>
      <c r="B117" s="278">
        <v>136282</v>
      </c>
      <c r="C117" s="278">
        <v>139280</v>
      </c>
      <c r="D117" s="278">
        <v>142344</v>
      </c>
      <c r="E117" s="278">
        <v>145476</v>
      </c>
    </row>
    <row r="118" spans="1:5" x14ac:dyDescent="0.3">
      <c r="A118" s="159">
        <v>611007</v>
      </c>
      <c r="B118" s="278">
        <v>0</v>
      </c>
      <c r="C118" s="278">
        <v>0</v>
      </c>
      <c r="D118" s="278">
        <v>0</v>
      </c>
      <c r="E118" s="278">
        <v>0</v>
      </c>
    </row>
    <row r="119" spans="1:5" x14ac:dyDescent="0.3">
      <c r="A119" s="159">
        <v>611009</v>
      </c>
      <c r="B119" s="278">
        <v>0</v>
      </c>
      <c r="C119" s="278">
        <v>0</v>
      </c>
      <c r="D119" s="278">
        <v>0</v>
      </c>
      <c r="E119" s="278">
        <v>0</v>
      </c>
    </row>
    <row r="120" spans="1:5" x14ac:dyDescent="0.3">
      <c r="A120" s="159">
        <v>611011</v>
      </c>
      <c r="B120" s="278">
        <v>-680</v>
      </c>
      <c r="C120" s="278">
        <v>-680</v>
      </c>
      <c r="D120" s="278">
        <v>-680</v>
      </c>
      <c r="E120" s="278">
        <v>-680</v>
      </c>
    </row>
    <row r="121" spans="1:5" x14ac:dyDescent="0.3">
      <c r="A121" s="159">
        <v>611901</v>
      </c>
      <c r="B121" s="278">
        <v>0</v>
      </c>
      <c r="C121" s="278">
        <v>0</v>
      </c>
      <c r="D121" s="278">
        <v>0</v>
      </c>
      <c r="E121" s="278">
        <v>0</v>
      </c>
    </row>
    <row r="122" spans="1:5" x14ac:dyDescent="0.3">
      <c r="A122" s="159">
        <v>612001</v>
      </c>
      <c r="B122" s="278">
        <v>11400</v>
      </c>
      <c r="C122" s="278">
        <v>11400</v>
      </c>
      <c r="D122" s="278">
        <v>11400</v>
      </c>
      <c r="E122" s="278">
        <v>11400</v>
      </c>
    </row>
    <row r="123" spans="1:5" x14ac:dyDescent="0.3">
      <c r="A123" s="159">
        <v>613001</v>
      </c>
      <c r="B123" s="278">
        <v>-450000</v>
      </c>
      <c r="C123" s="278">
        <v>0</v>
      </c>
      <c r="D123" s="278">
        <v>0</v>
      </c>
      <c r="E123" s="278">
        <v>0</v>
      </c>
    </row>
    <row r="124" spans="1:5" x14ac:dyDescent="0.3">
      <c r="A124" s="159">
        <v>613003</v>
      </c>
      <c r="B124" s="278">
        <v>-20406</v>
      </c>
      <c r="C124" s="278">
        <v>-20406</v>
      </c>
      <c r="D124" s="278">
        <v>-20406</v>
      </c>
      <c r="E124" s="278">
        <v>-20406</v>
      </c>
    </row>
    <row r="125" spans="1:5" x14ac:dyDescent="0.3">
      <c r="A125" s="159">
        <v>613004</v>
      </c>
      <c r="B125" s="278">
        <v>-125513</v>
      </c>
      <c r="C125" s="278">
        <v>-183743</v>
      </c>
      <c r="D125" s="278">
        <v>-88165</v>
      </c>
      <c r="E125" s="278">
        <v>-58977</v>
      </c>
    </row>
    <row r="126" spans="1:5" x14ac:dyDescent="0.3">
      <c r="A126" s="159">
        <v>613005</v>
      </c>
      <c r="B126" s="278">
        <v>1578</v>
      </c>
      <c r="C126" s="278">
        <v>1288</v>
      </c>
      <c r="D126" s="278">
        <v>985</v>
      </c>
      <c r="E126" s="278">
        <v>670</v>
      </c>
    </row>
    <row r="127" spans="1:5" x14ac:dyDescent="0.3">
      <c r="A127" s="159">
        <v>613013</v>
      </c>
      <c r="B127" s="278">
        <v>0</v>
      </c>
      <c r="C127" s="278">
        <v>0</v>
      </c>
      <c r="D127" s="278">
        <v>0</v>
      </c>
      <c r="E127" s="278">
        <v>0</v>
      </c>
    </row>
    <row r="128" spans="1:5" x14ac:dyDescent="0.3">
      <c r="A128" s="159">
        <v>613015</v>
      </c>
      <c r="B128" s="278">
        <v>-12683</v>
      </c>
      <c r="C128" s="278">
        <v>-8164</v>
      </c>
      <c r="D128" s="278">
        <v>-8164</v>
      </c>
      <c r="E128" s="278">
        <v>-8164</v>
      </c>
    </row>
    <row r="129" spans="1:5" x14ac:dyDescent="0.3">
      <c r="A129" s="159">
        <v>613016</v>
      </c>
      <c r="B129" s="278">
        <v>0</v>
      </c>
      <c r="C129" s="278">
        <v>0</v>
      </c>
      <c r="D129" s="278">
        <v>0</v>
      </c>
      <c r="E129" s="278">
        <v>0</v>
      </c>
    </row>
    <row r="130" spans="1:5" x14ac:dyDescent="0.3">
      <c r="A130" s="159">
        <v>613017</v>
      </c>
      <c r="B130" s="278">
        <v>-1064240</v>
      </c>
      <c r="C130" s="278">
        <v>-564238</v>
      </c>
      <c r="D130" s="278">
        <v>-564238</v>
      </c>
      <c r="E130" s="278">
        <v>-754699</v>
      </c>
    </row>
    <row r="131" spans="1:5" x14ac:dyDescent="0.3">
      <c r="A131" s="159">
        <v>613018</v>
      </c>
      <c r="B131" s="278">
        <v>-31806</v>
      </c>
      <c r="C131" s="278">
        <v>-31806</v>
      </c>
      <c r="D131" s="278">
        <v>-31806</v>
      </c>
      <c r="E131" s="278">
        <v>-31806</v>
      </c>
    </row>
    <row r="132" spans="1:5" x14ac:dyDescent="0.3">
      <c r="A132" s="159">
        <v>613022</v>
      </c>
      <c r="B132" s="278">
        <v>0</v>
      </c>
      <c r="C132" s="278">
        <v>0</v>
      </c>
      <c r="D132" s="278">
        <v>0</v>
      </c>
      <c r="E132" s="278">
        <v>0</v>
      </c>
    </row>
    <row r="133" spans="1:5" x14ac:dyDescent="0.3">
      <c r="A133" s="159">
        <v>613027</v>
      </c>
      <c r="B133" s="278">
        <v>-427537</v>
      </c>
      <c r="C133" s="278">
        <v>-427537</v>
      </c>
      <c r="D133" s="278">
        <v>-427537</v>
      </c>
      <c r="E133" s="278">
        <v>-427537</v>
      </c>
    </row>
    <row r="134" spans="1:5" x14ac:dyDescent="0.3">
      <c r="A134" s="159">
        <v>613028</v>
      </c>
      <c r="B134" s="278">
        <v>-15176</v>
      </c>
      <c r="C134" s="278">
        <v>-15176</v>
      </c>
      <c r="D134" s="278">
        <v>-15176</v>
      </c>
      <c r="E134" s="278">
        <v>-15176</v>
      </c>
    </row>
    <row r="135" spans="1:5" x14ac:dyDescent="0.3">
      <c r="A135" s="159">
        <v>613030</v>
      </c>
      <c r="B135" s="278">
        <v>-518514</v>
      </c>
      <c r="C135" s="278">
        <v>-487378</v>
      </c>
      <c r="D135" s="278">
        <v>-383674</v>
      </c>
      <c r="E135" s="278">
        <v>-371764</v>
      </c>
    </row>
    <row r="136" spans="1:5" x14ac:dyDescent="0.3">
      <c r="A136" s="159">
        <v>613031</v>
      </c>
      <c r="B136" s="278">
        <v>10000</v>
      </c>
      <c r="C136" s="278">
        <v>10000</v>
      </c>
      <c r="D136" s="278">
        <v>10000</v>
      </c>
      <c r="E136" s="278">
        <v>10000</v>
      </c>
    </row>
    <row r="137" spans="1:5" x14ac:dyDescent="0.3">
      <c r="A137" s="159">
        <v>613034</v>
      </c>
      <c r="B137" s="278">
        <v>-7917</v>
      </c>
      <c r="C137" s="278">
        <v>-7917</v>
      </c>
      <c r="D137" s="278">
        <v>-7917</v>
      </c>
      <c r="E137" s="278">
        <v>-7917</v>
      </c>
    </row>
    <row r="138" spans="1:5" x14ac:dyDescent="0.3">
      <c r="A138" s="159">
        <v>613035</v>
      </c>
      <c r="B138" s="278">
        <v>-290714</v>
      </c>
      <c r="C138" s="278">
        <v>77819</v>
      </c>
      <c r="D138" s="278">
        <v>44661</v>
      </c>
      <c r="E138" s="278">
        <v>-20132</v>
      </c>
    </row>
    <row r="139" spans="1:5" x14ac:dyDescent="0.3">
      <c r="A139" s="159">
        <v>613036</v>
      </c>
      <c r="B139" s="278">
        <v>-8757</v>
      </c>
      <c r="C139" s="278">
        <v>-8757</v>
      </c>
      <c r="D139" s="278">
        <v>-8757</v>
      </c>
      <c r="E139" s="278">
        <v>-8757</v>
      </c>
    </row>
    <row r="140" spans="1:5" x14ac:dyDescent="0.3">
      <c r="A140" s="159">
        <v>613037</v>
      </c>
      <c r="B140" s="278">
        <v>-19657</v>
      </c>
      <c r="C140" s="278">
        <v>-19656</v>
      </c>
      <c r="D140" s="278">
        <v>0</v>
      </c>
      <c r="E140" s="278">
        <v>0</v>
      </c>
    </row>
    <row r="141" spans="1:5" x14ac:dyDescent="0.3">
      <c r="A141" s="159">
        <v>613038</v>
      </c>
      <c r="B141" s="278">
        <v>-109400</v>
      </c>
      <c r="C141" s="278">
        <v>0</v>
      </c>
      <c r="D141" s="278">
        <v>0</v>
      </c>
      <c r="E141" s="278">
        <v>0</v>
      </c>
    </row>
    <row r="142" spans="1:5" x14ac:dyDescent="0.3">
      <c r="A142" s="159">
        <v>613040</v>
      </c>
      <c r="B142" s="278">
        <v>0</v>
      </c>
      <c r="C142" s="278">
        <v>0</v>
      </c>
      <c r="D142" s="278">
        <v>0</v>
      </c>
      <c r="E142" s="278">
        <v>0</v>
      </c>
    </row>
    <row r="143" spans="1:5" x14ac:dyDescent="0.3">
      <c r="A143" s="159">
        <v>613041</v>
      </c>
      <c r="B143" s="278">
        <v>-283800</v>
      </c>
      <c r="C143" s="278">
        <v>-173700</v>
      </c>
      <c r="D143" s="278">
        <v>0</v>
      </c>
      <c r="E143" s="278">
        <v>0</v>
      </c>
    </row>
    <row r="144" spans="1:5" x14ac:dyDescent="0.3">
      <c r="A144" s="159">
        <v>613048</v>
      </c>
      <c r="B144" s="278">
        <v>75000</v>
      </c>
      <c r="C144" s="278">
        <v>75000</v>
      </c>
      <c r="D144" s="278">
        <v>75000</v>
      </c>
      <c r="E144" s="278">
        <v>75000</v>
      </c>
    </row>
    <row r="145" spans="1:5" x14ac:dyDescent="0.3">
      <c r="A145" s="159">
        <v>613049</v>
      </c>
      <c r="B145" s="278">
        <v>-140000</v>
      </c>
      <c r="C145" s="278">
        <v>-36600</v>
      </c>
      <c r="D145" s="278">
        <v>0</v>
      </c>
      <c r="E145" s="278">
        <v>0</v>
      </c>
    </row>
    <row r="146" spans="1:5" x14ac:dyDescent="0.3">
      <c r="A146" s="159">
        <v>613051</v>
      </c>
      <c r="B146" s="278">
        <v>-616700</v>
      </c>
      <c r="C146" s="278">
        <v>-623700</v>
      </c>
      <c r="D146" s="278">
        <v>-400000</v>
      </c>
      <c r="E146" s="278">
        <v>-300000</v>
      </c>
    </row>
    <row r="147" spans="1:5" x14ac:dyDescent="0.3">
      <c r="A147" s="159">
        <v>613052</v>
      </c>
      <c r="B147" s="278">
        <v>-467201</v>
      </c>
      <c r="C147" s="278">
        <v>-313327</v>
      </c>
      <c r="D147" s="278">
        <v>-319594</v>
      </c>
      <c r="E147" s="278">
        <v>-325986</v>
      </c>
    </row>
    <row r="148" spans="1:5" x14ac:dyDescent="0.3">
      <c r="A148" s="159">
        <v>613053</v>
      </c>
      <c r="B148" s="278">
        <v>0</v>
      </c>
      <c r="C148" s="278">
        <v>0</v>
      </c>
      <c r="D148" s="278">
        <v>0</v>
      </c>
      <c r="E148" s="278">
        <v>0</v>
      </c>
    </row>
    <row r="149" spans="1:5" x14ac:dyDescent="0.3">
      <c r="A149" s="159">
        <v>614001</v>
      </c>
      <c r="B149" s="278">
        <v>0</v>
      </c>
      <c r="C149" s="278">
        <v>0</v>
      </c>
      <c r="D149" s="278">
        <v>0</v>
      </c>
      <c r="E149" s="278">
        <v>0</v>
      </c>
    </row>
    <row r="150" spans="1:5" x14ac:dyDescent="0.3">
      <c r="A150" s="159">
        <v>615001</v>
      </c>
      <c r="B150" s="278">
        <v>10087</v>
      </c>
      <c r="C150" s="278">
        <v>16917</v>
      </c>
      <c r="D150" s="278">
        <v>10535</v>
      </c>
      <c r="E150" s="278">
        <v>10767</v>
      </c>
    </row>
    <row r="151" spans="1:5" x14ac:dyDescent="0.3">
      <c r="A151" s="159">
        <v>615002</v>
      </c>
      <c r="B151" s="278">
        <v>1970633</v>
      </c>
      <c r="C151" s="278">
        <v>2128080.6865600003</v>
      </c>
      <c r="D151" s="278">
        <v>2201967.6479973635</v>
      </c>
      <c r="E151" s="278">
        <v>2278419.9647358321</v>
      </c>
    </row>
    <row r="152" spans="1:5" x14ac:dyDescent="0.3">
      <c r="A152" s="159">
        <v>615003</v>
      </c>
      <c r="B152" s="278">
        <v>-73500.247650000005</v>
      </c>
      <c r="C152" s="278">
        <v>-74695.963813049995</v>
      </c>
      <c r="D152" s="278">
        <v>-75902.226474132854</v>
      </c>
      <c r="E152" s="278">
        <v>-77118.612853675761</v>
      </c>
    </row>
    <row r="153" spans="1:5" x14ac:dyDescent="0.3">
      <c r="A153" s="159">
        <v>615004</v>
      </c>
      <c r="B153" s="278">
        <v>2102</v>
      </c>
      <c r="C153" s="278">
        <v>2148</v>
      </c>
      <c r="D153" s="278">
        <v>2195</v>
      </c>
      <c r="E153" s="278">
        <v>2243</v>
      </c>
    </row>
    <row r="154" spans="1:5" x14ac:dyDescent="0.3">
      <c r="A154" s="159">
        <v>615901</v>
      </c>
      <c r="B154" s="278">
        <v>64916.78</v>
      </c>
      <c r="C154" s="278">
        <v>85407</v>
      </c>
      <c r="D154" s="278">
        <v>87979</v>
      </c>
      <c r="E154" s="278">
        <v>90669</v>
      </c>
    </row>
    <row r="155" spans="1:5" x14ac:dyDescent="0.3">
      <c r="A155" s="159">
        <v>616001</v>
      </c>
      <c r="B155" s="278">
        <v>37493</v>
      </c>
      <c r="C155" s="278">
        <v>32753</v>
      </c>
      <c r="D155" s="278">
        <v>33481</v>
      </c>
      <c r="E155" s="278">
        <v>34220</v>
      </c>
    </row>
    <row r="156" spans="1:5" x14ac:dyDescent="0.3">
      <c r="A156" s="159">
        <v>616002</v>
      </c>
      <c r="B156" s="278">
        <v>28570</v>
      </c>
      <c r="C156" s="278">
        <v>29200</v>
      </c>
      <c r="D156" s="278">
        <v>29840</v>
      </c>
      <c r="E156" s="278">
        <v>30500</v>
      </c>
    </row>
    <row r="157" spans="1:5" x14ac:dyDescent="0.3">
      <c r="A157" s="159">
        <v>616003</v>
      </c>
      <c r="B157" s="278">
        <v>10458</v>
      </c>
      <c r="C157" s="278">
        <v>10688</v>
      </c>
      <c r="D157" s="278">
        <v>10923</v>
      </c>
      <c r="E157" s="278">
        <v>11163</v>
      </c>
    </row>
    <row r="158" spans="1:5" x14ac:dyDescent="0.3">
      <c r="A158" s="159">
        <v>616004</v>
      </c>
      <c r="B158" s="278">
        <v>24500</v>
      </c>
      <c r="C158" s="278">
        <v>25039</v>
      </c>
      <c r="D158" s="278">
        <v>25590</v>
      </c>
      <c r="E158" s="278">
        <v>26153</v>
      </c>
    </row>
    <row r="159" spans="1:5" x14ac:dyDescent="0.3">
      <c r="A159" s="159">
        <v>616005</v>
      </c>
      <c r="B159" s="278">
        <v>33259</v>
      </c>
      <c r="C159" s="278">
        <v>26929</v>
      </c>
      <c r="D159" s="278">
        <v>27522</v>
      </c>
      <c r="E159" s="278">
        <v>28128</v>
      </c>
    </row>
    <row r="160" spans="1:5" x14ac:dyDescent="0.3">
      <c r="A160" s="159">
        <v>616006</v>
      </c>
      <c r="B160" s="278">
        <v>22038</v>
      </c>
      <c r="C160" s="278">
        <v>22545</v>
      </c>
      <c r="D160" s="278">
        <v>23064</v>
      </c>
      <c r="E160" s="278">
        <v>23595</v>
      </c>
    </row>
    <row r="161" spans="1:5" x14ac:dyDescent="0.3">
      <c r="A161" s="159">
        <v>616007</v>
      </c>
      <c r="B161" s="278">
        <v>8035.25</v>
      </c>
      <c r="C161" s="278">
        <v>8135</v>
      </c>
      <c r="D161" s="278">
        <v>8295.5</v>
      </c>
      <c r="E161" s="278">
        <v>8427.5</v>
      </c>
    </row>
    <row r="162" spans="1:5" x14ac:dyDescent="0.3">
      <c r="A162" s="159">
        <v>616008</v>
      </c>
      <c r="B162" s="278">
        <v>0</v>
      </c>
      <c r="C162" s="278">
        <v>0</v>
      </c>
      <c r="D162" s="278">
        <v>0</v>
      </c>
      <c r="E162" s="278">
        <v>0</v>
      </c>
    </row>
    <row r="163" spans="1:5" x14ac:dyDescent="0.3">
      <c r="A163" s="159">
        <v>616009</v>
      </c>
      <c r="B163" s="278">
        <v>-20000</v>
      </c>
      <c r="C163" s="278">
        <v>-20440</v>
      </c>
      <c r="D163" s="278">
        <v>-20890</v>
      </c>
      <c r="E163" s="278">
        <v>-21350</v>
      </c>
    </row>
    <row r="164" spans="1:5" x14ac:dyDescent="0.3">
      <c r="A164" s="159">
        <v>616010</v>
      </c>
      <c r="B164" s="278">
        <v>-5985</v>
      </c>
      <c r="C164" s="278">
        <v>-6117</v>
      </c>
      <c r="D164" s="278">
        <v>-6252</v>
      </c>
      <c r="E164" s="278">
        <v>-6390</v>
      </c>
    </row>
    <row r="165" spans="1:5" x14ac:dyDescent="0.3">
      <c r="A165" s="159">
        <v>616011</v>
      </c>
      <c r="B165" s="278">
        <v>-35907</v>
      </c>
      <c r="C165" s="278">
        <v>-36697</v>
      </c>
      <c r="D165" s="278">
        <v>-37504</v>
      </c>
      <c r="E165" s="278">
        <v>-38329</v>
      </c>
    </row>
    <row r="166" spans="1:5" x14ac:dyDescent="0.3">
      <c r="A166" s="159">
        <v>616012</v>
      </c>
      <c r="B166" s="278">
        <v>-1796</v>
      </c>
      <c r="C166" s="278">
        <v>-1836</v>
      </c>
      <c r="D166" s="278">
        <v>-1876</v>
      </c>
      <c r="E166" s="278">
        <v>-1917</v>
      </c>
    </row>
    <row r="167" spans="1:5" x14ac:dyDescent="0.3">
      <c r="A167" s="159">
        <v>616013</v>
      </c>
      <c r="B167" s="278">
        <v>63401</v>
      </c>
      <c r="C167" s="278">
        <v>64796</v>
      </c>
      <c r="D167" s="278">
        <v>66222</v>
      </c>
      <c r="E167" s="278">
        <v>67679</v>
      </c>
    </row>
    <row r="168" spans="1:5" x14ac:dyDescent="0.3">
      <c r="A168" s="159">
        <v>616015</v>
      </c>
      <c r="B168" s="278">
        <v>71229.598560000013</v>
      </c>
      <c r="C168" s="278">
        <v>73556.123328000016</v>
      </c>
      <c r="D168" s="278">
        <v>78457.691805350405</v>
      </c>
      <c r="E168" s="278">
        <v>82473.526368919687</v>
      </c>
    </row>
    <row r="169" spans="1:5" x14ac:dyDescent="0.3">
      <c r="A169" s="159">
        <v>616016</v>
      </c>
      <c r="B169" s="278">
        <v>3963</v>
      </c>
      <c r="C169" s="278">
        <v>4314</v>
      </c>
      <c r="D169" s="278">
        <v>4673</v>
      </c>
      <c r="E169" s="278">
        <v>5040</v>
      </c>
    </row>
    <row r="170" spans="1:5" x14ac:dyDescent="0.3">
      <c r="A170" s="159">
        <v>616901</v>
      </c>
      <c r="B170" s="278">
        <v>113909.32</v>
      </c>
      <c r="C170" s="278">
        <v>119150</v>
      </c>
      <c r="D170" s="278">
        <v>124631</v>
      </c>
      <c r="E170" s="278">
        <v>130364</v>
      </c>
    </row>
    <row r="171" spans="1:5" x14ac:dyDescent="0.3">
      <c r="A171" s="159">
        <v>616902</v>
      </c>
      <c r="B171" s="278">
        <v>179523.23</v>
      </c>
      <c r="C171" s="278">
        <v>187782</v>
      </c>
      <c r="D171" s="278">
        <v>196420</v>
      </c>
      <c r="E171" s="278">
        <v>205456</v>
      </c>
    </row>
    <row r="172" spans="1:5" x14ac:dyDescent="0.3">
      <c r="A172" s="159">
        <v>616903</v>
      </c>
      <c r="B172" s="278">
        <v>1142362.78</v>
      </c>
      <c r="C172" s="278">
        <v>1200185</v>
      </c>
      <c r="D172" s="278">
        <v>1254934</v>
      </c>
      <c r="E172" s="278">
        <v>1312201</v>
      </c>
    </row>
    <row r="173" spans="1:5" x14ac:dyDescent="0.3">
      <c r="A173" s="159">
        <v>617001</v>
      </c>
      <c r="B173" s="278">
        <v>1215</v>
      </c>
      <c r="C173" s="278">
        <v>1242</v>
      </c>
      <c r="D173" s="278">
        <v>1269</v>
      </c>
      <c r="E173" s="278">
        <v>1297</v>
      </c>
    </row>
    <row r="174" spans="1:5" x14ac:dyDescent="0.3">
      <c r="A174" s="159">
        <v>617002</v>
      </c>
      <c r="B174" s="278">
        <v>11047</v>
      </c>
      <c r="C174" s="278">
        <v>11290</v>
      </c>
      <c r="D174" s="278">
        <v>11539</v>
      </c>
      <c r="E174" s="278">
        <v>11793</v>
      </c>
    </row>
    <row r="175" spans="1:5" x14ac:dyDescent="0.3">
      <c r="A175" s="159">
        <v>617003</v>
      </c>
      <c r="B175" s="278">
        <v>3610</v>
      </c>
      <c r="C175" s="278">
        <v>3689</v>
      </c>
      <c r="D175" s="278">
        <v>3770</v>
      </c>
      <c r="E175" s="278">
        <v>3853</v>
      </c>
    </row>
    <row r="176" spans="1:5" x14ac:dyDescent="0.3">
      <c r="A176" s="159">
        <v>617004</v>
      </c>
      <c r="B176" s="278">
        <v>38759</v>
      </c>
      <c r="C176" s="278">
        <v>39612</v>
      </c>
      <c r="D176" s="278">
        <v>40483</v>
      </c>
      <c r="E176" s="278">
        <v>41373</v>
      </c>
    </row>
    <row r="177" spans="1:5" x14ac:dyDescent="0.3">
      <c r="A177" s="159">
        <v>617005</v>
      </c>
      <c r="B177" s="278">
        <v>2790</v>
      </c>
      <c r="C177" s="278">
        <v>2851</v>
      </c>
      <c r="D177" s="278">
        <v>2914</v>
      </c>
      <c r="E177" s="278">
        <v>2978</v>
      </c>
    </row>
    <row r="178" spans="1:5" x14ac:dyDescent="0.3">
      <c r="A178" s="159">
        <v>617007</v>
      </c>
      <c r="B178" s="278">
        <v>152000</v>
      </c>
      <c r="C178" s="278">
        <v>152000</v>
      </c>
      <c r="D178" s="278">
        <v>152000</v>
      </c>
      <c r="E178" s="278">
        <v>152000</v>
      </c>
    </row>
    <row r="179" spans="1:5" x14ac:dyDescent="0.3">
      <c r="A179" s="159">
        <v>617008</v>
      </c>
      <c r="B179" s="278">
        <v>1183</v>
      </c>
      <c r="C179" s="278">
        <v>1209</v>
      </c>
      <c r="D179" s="278">
        <v>1236</v>
      </c>
      <c r="E179" s="278">
        <v>1263</v>
      </c>
    </row>
    <row r="180" spans="1:5" x14ac:dyDescent="0.3">
      <c r="A180" s="159">
        <v>617009</v>
      </c>
      <c r="B180" s="278">
        <v>11982</v>
      </c>
      <c r="C180" s="278">
        <v>12246</v>
      </c>
      <c r="D180" s="278">
        <v>12515</v>
      </c>
      <c r="E180" s="278">
        <v>12791</v>
      </c>
    </row>
    <row r="181" spans="1:5" x14ac:dyDescent="0.3">
      <c r="A181" s="159">
        <v>617010</v>
      </c>
      <c r="B181" s="278">
        <v>57637</v>
      </c>
      <c r="C181" s="278">
        <v>58905</v>
      </c>
      <c r="D181" s="278">
        <v>60201</v>
      </c>
      <c r="E181" s="278">
        <v>61525</v>
      </c>
    </row>
    <row r="182" spans="1:5" x14ac:dyDescent="0.3">
      <c r="A182" s="159">
        <v>617011</v>
      </c>
      <c r="B182" s="278">
        <v>694432</v>
      </c>
      <c r="C182" s="278">
        <v>714505</v>
      </c>
      <c r="D182" s="278">
        <v>726769</v>
      </c>
      <c r="E182" s="278">
        <v>739228</v>
      </c>
    </row>
    <row r="183" spans="1:5" x14ac:dyDescent="0.3">
      <c r="A183" s="159">
        <v>617014</v>
      </c>
      <c r="B183" s="278">
        <v>35222.5</v>
      </c>
      <c r="C183" s="278">
        <v>36174.5</v>
      </c>
      <c r="D183" s="278">
        <v>37247.58</v>
      </c>
      <c r="E183" s="278">
        <v>38351.4</v>
      </c>
    </row>
    <row r="184" spans="1:5" x14ac:dyDescent="0.3">
      <c r="A184" s="159">
        <v>617015</v>
      </c>
      <c r="B184" s="278">
        <v>0</v>
      </c>
      <c r="C184" s="278">
        <v>0</v>
      </c>
      <c r="D184" s="278">
        <v>0</v>
      </c>
      <c r="E184" s="278">
        <v>0</v>
      </c>
    </row>
    <row r="185" spans="1:5" x14ac:dyDescent="0.3">
      <c r="A185" s="159">
        <v>617016</v>
      </c>
      <c r="B185" s="278">
        <v>258137</v>
      </c>
      <c r="C185" s="278">
        <v>269461</v>
      </c>
      <c r="D185" s="278">
        <v>282374</v>
      </c>
      <c r="E185" s="278">
        <v>294729</v>
      </c>
    </row>
    <row r="186" spans="1:5" x14ac:dyDescent="0.3">
      <c r="A186" s="159">
        <v>617017</v>
      </c>
      <c r="B186" s="278">
        <v>182476</v>
      </c>
      <c r="C186" s="278">
        <v>195575.59999999998</v>
      </c>
      <c r="D186" s="278">
        <v>209102.59999999998</v>
      </c>
      <c r="E186" s="278">
        <v>222771</v>
      </c>
    </row>
    <row r="187" spans="1:5" x14ac:dyDescent="0.3">
      <c r="A187" s="159">
        <v>617018</v>
      </c>
      <c r="B187" s="278">
        <v>103994.55427204992</v>
      </c>
      <c r="C187" s="278">
        <v>109028.11898565243</v>
      </c>
      <c r="D187" s="278">
        <v>110990.57293493504</v>
      </c>
      <c r="E187" s="278">
        <v>113009.53198168178</v>
      </c>
    </row>
    <row r="188" spans="1:5" x14ac:dyDescent="0.3">
      <c r="A188" s="159">
        <v>617020</v>
      </c>
      <c r="B188" s="278">
        <v>0</v>
      </c>
      <c r="C188" s="278">
        <v>0</v>
      </c>
      <c r="D188" s="278">
        <v>0</v>
      </c>
      <c r="E188" s="278">
        <v>0</v>
      </c>
    </row>
    <row r="189" spans="1:5" x14ac:dyDescent="0.3">
      <c r="A189" s="159">
        <v>617021</v>
      </c>
      <c r="B189" s="278">
        <v>72819</v>
      </c>
      <c r="C189" s="278">
        <v>72819</v>
      </c>
      <c r="D189" s="278">
        <v>72819</v>
      </c>
      <c r="E189" s="278">
        <v>259615</v>
      </c>
    </row>
    <row r="190" spans="1:5" x14ac:dyDescent="0.3">
      <c r="A190" s="159">
        <v>617023</v>
      </c>
      <c r="B190" s="278">
        <v>500000</v>
      </c>
      <c r="C190" s="278"/>
      <c r="D190" s="278"/>
      <c r="E190" s="278"/>
    </row>
    <row r="191" spans="1:5" x14ac:dyDescent="0.3">
      <c r="A191" s="159">
        <v>617901</v>
      </c>
      <c r="B191" s="278">
        <v>1579483.83</v>
      </c>
      <c r="C191" s="278">
        <v>1866724</v>
      </c>
      <c r="D191" s="278">
        <v>2186933</v>
      </c>
      <c r="E191" s="278">
        <v>2508648</v>
      </c>
    </row>
    <row r="192" spans="1:5" x14ac:dyDescent="0.3">
      <c r="A192" s="159">
        <v>617902</v>
      </c>
      <c r="B192" s="278">
        <v>0</v>
      </c>
      <c r="C192" s="278">
        <v>0</v>
      </c>
      <c r="D192" s="278">
        <v>0</v>
      </c>
      <c r="E192" s="278">
        <v>0</v>
      </c>
    </row>
    <row r="193" spans="1:5" x14ac:dyDescent="0.3">
      <c r="A193" s="159">
        <v>617903</v>
      </c>
      <c r="B193" s="278">
        <v>14736</v>
      </c>
      <c r="C193" s="278">
        <v>15414</v>
      </c>
      <c r="D193" s="278">
        <v>16123</v>
      </c>
      <c r="E193" s="278">
        <v>16865</v>
      </c>
    </row>
    <row r="194" spans="1:5" x14ac:dyDescent="0.3">
      <c r="A194" s="159">
        <v>618001</v>
      </c>
      <c r="B194" s="278">
        <v>45653.891072138882</v>
      </c>
      <c r="C194" s="278">
        <v>46729.392663345126</v>
      </c>
      <c r="D194" s="278">
        <v>47828.242129099846</v>
      </c>
      <c r="E194" s="278">
        <v>68955.895708411466</v>
      </c>
    </row>
    <row r="195" spans="1:5" x14ac:dyDescent="0.3">
      <c r="A195" s="159">
        <v>618901</v>
      </c>
      <c r="B195" s="278">
        <v>31806</v>
      </c>
      <c r="C195" s="278">
        <v>31806</v>
      </c>
      <c r="D195" s="278">
        <v>31806</v>
      </c>
      <c r="E195" s="278">
        <v>81806</v>
      </c>
    </row>
    <row r="196" spans="1:5" x14ac:dyDescent="0.3">
      <c r="A196" s="159">
        <v>621001</v>
      </c>
      <c r="B196" s="278">
        <v>95236.3</v>
      </c>
      <c r="C196" s="278">
        <v>97339.4</v>
      </c>
      <c r="D196" s="278">
        <v>99489.48</v>
      </c>
      <c r="E196" s="278">
        <v>101685.54000000001</v>
      </c>
    </row>
    <row r="197" spans="1:5" x14ac:dyDescent="0.3">
      <c r="A197" s="159">
        <v>621002</v>
      </c>
      <c r="B197" s="278">
        <v>1417</v>
      </c>
      <c r="C197" s="278">
        <v>1445</v>
      </c>
      <c r="D197" s="278">
        <v>1476</v>
      </c>
      <c r="E197" s="278">
        <v>1506</v>
      </c>
    </row>
    <row r="198" spans="1:5" x14ac:dyDescent="0.3">
      <c r="A198" s="159">
        <v>621901</v>
      </c>
      <c r="B198" s="278">
        <v>7452.51</v>
      </c>
      <c r="C198" s="278">
        <v>7565</v>
      </c>
      <c r="D198" s="278">
        <v>7683</v>
      </c>
      <c r="E198" s="278">
        <v>7806</v>
      </c>
    </row>
    <row r="199" spans="1:5" x14ac:dyDescent="0.3">
      <c r="A199" s="159">
        <v>622001</v>
      </c>
      <c r="B199" s="278">
        <v>1469</v>
      </c>
      <c r="C199" s="278">
        <v>1502</v>
      </c>
      <c r="D199" s="278">
        <v>1535</v>
      </c>
      <c r="E199" s="278">
        <v>1569</v>
      </c>
    </row>
    <row r="200" spans="1:5" x14ac:dyDescent="0.3">
      <c r="A200" s="159">
        <v>622003</v>
      </c>
      <c r="B200" s="278">
        <v>27830</v>
      </c>
      <c r="C200" s="278">
        <v>28451</v>
      </c>
      <c r="D200" s="278">
        <v>29077</v>
      </c>
      <c r="E200" s="278">
        <v>29707</v>
      </c>
    </row>
    <row r="201" spans="1:5" x14ac:dyDescent="0.3">
      <c r="A201" s="159">
        <v>622004</v>
      </c>
      <c r="B201" s="278">
        <v>0</v>
      </c>
      <c r="C201" s="278">
        <v>0</v>
      </c>
      <c r="D201" s="278">
        <v>0</v>
      </c>
      <c r="E201" s="278">
        <v>5.681496461329516E-2</v>
      </c>
    </row>
    <row r="202" spans="1:5" x14ac:dyDescent="0.3">
      <c r="A202" s="159">
        <v>622005</v>
      </c>
      <c r="B202" s="278">
        <v>232833</v>
      </c>
      <c r="C202" s="278">
        <v>225443</v>
      </c>
      <c r="D202" s="278">
        <v>230403</v>
      </c>
      <c r="E202" s="278">
        <v>235472</v>
      </c>
    </row>
    <row r="203" spans="1:5" x14ac:dyDescent="0.3">
      <c r="A203" s="159">
        <v>622006</v>
      </c>
      <c r="B203" s="278">
        <v>31172</v>
      </c>
      <c r="C203" s="278">
        <v>31858</v>
      </c>
      <c r="D203" s="278">
        <v>32559</v>
      </c>
      <c r="E203" s="278">
        <v>33275</v>
      </c>
    </row>
    <row r="204" spans="1:5" x14ac:dyDescent="0.3">
      <c r="A204" s="159">
        <v>622008</v>
      </c>
      <c r="B204" s="278">
        <v>-143673</v>
      </c>
      <c r="C204" s="278">
        <v>-146834</v>
      </c>
      <c r="D204" s="278">
        <v>-150064</v>
      </c>
      <c r="E204" s="278">
        <v>-153365</v>
      </c>
    </row>
    <row r="205" spans="1:5" x14ac:dyDescent="0.3">
      <c r="A205" s="159">
        <v>622009</v>
      </c>
      <c r="B205" s="278">
        <v>28603.86</v>
      </c>
      <c r="C205" s="278">
        <v>29232.92</v>
      </c>
      <c r="D205" s="278">
        <v>29872.11</v>
      </c>
      <c r="E205" s="278">
        <v>30560.68</v>
      </c>
    </row>
    <row r="206" spans="1:5" x14ac:dyDescent="0.3">
      <c r="A206" s="159">
        <v>622012</v>
      </c>
      <c r="B206" s="278">
        <v>0</v>
      </c>
      <c r="C206" s="278">
        <v>0</v>
      </c>
      <c r="D206" s="278">
        <v>0</v>
      </c>
      <c r="E206" s="278">
        <v>0</v>
      </c>
    </row>
    <row r="207" spans="1:5" x14ac:dyDescent="0.3">
      <c r="A207" s="159">
        <v>622013</v>
      </c>
      <c r="B207" s="278">
        <v>31642</v>
      </c>
      <c r="C207" s="278">
        <v>32338</v>
      </c>
      <c r="D207" s="278">
        <v>33049</v>
      </c>
      <c r="E207" s="278">
        <v>33776</v>
      </c>
    </row>
    <row r="208" spans="1:5" x14ac:dyDescent="0.3">
      <c r="A208" s="159">
        <v>622015</v>
      </c>
      <c r="B208" s="278">
        <v>440800</v>
      </c>
      <c r="C208" s="278">
        <v>450100</v>
      </c>
      <c r="D208" s="278">
        <v>460500</v>
      </c>
      <c r="E208" s="278">
        <v>470900</v>
      </c>
    </row>
    <row r="209" spans="1:5" x14ac:dyDescent="0.3">
      <c r="A209" s="159">
        <v>622901</v>
      </c>
      <c r="B209" s="278">
        <v>196836.7</v>
      </c>
      <c r="C209" s="278">
        <v>205891</v>
      </c>
      <c r="D209" s="278">
        <v>215362</v>
      </c>
      <c r="E209" s="278">
        <v>225269</v>
      </c>
    </row>
    <row r="210" spans="1:5" x14ac:dyDescent="0.3">
      <c r="A210" s="159">
        <v>622902</v>
      </c>
      <c r="B210" s="278">
        <v>114331</v>
      </c>
      <c r="C210" s="278">
        <v>119590</v>
      </c>
      <c r="D210" s="278">
        <v>125091</v>
      </c>
      <c r="E210" s="278">
        <v>130846</v>
      </c>
    </row>
    <row r="211" spans="1:5" x14ac:dyDescent="0.3">
      <c r="A211" s="159">
        <v>624001</v>
      </c>
      <c r="B211" s="278">
        <v>-24561</v>
      </c>
      <c r="C211" s="278">
        <v>-24519</v>
      </c>
      <c r="D211" s="278">
        <v>-25437</v>
      </c>
      <c r="E211" s="278">
        <v>-25395</v>
      </c>
    </row>
    <row r="212" spans="1:5" x14ac:dyDescent="0.3">
      <c r="A212" s="159">
        <v>624002</v>
      </c>
      <c r="B212" s="278">
        <v>-47805</v>
      </c>
      <c r="C212" s="278">
        <v>-48856</v>
      </c>
      <c r="D212" s="278">
        <v>-49931</v>
      </c>
      <c r="E212" s="278">
        <v>-51029</v>
      </c>
    </row>
    <row r="213" spans="1:5" x14ac:dyDescent="0.3">
      <c r="A213" s="159">
        <v>624003</v>
      </c>
      <c r="B213" s="278">
        <v>5780.0240000000003</v>
      </c>
      <c r="C213" s="278">
        <v>5872.5043840000008</v>
      </c>
      <c r="D213" s="278">
        <v>5966.4644541440011</v>
      </c>
      <c r="E213" s="278">
        <v>6061.927885410305</v>
      </c>
    </row>
    <row r="214" spans="1:5" x14ac:dyDescent="0.3">
      <c r="A214" s="159">
        <v>624901</v>
      </c>
      <c r="B214" s="278">
        <v>32097</v>
      </c>
      <c r="C214" s="278">
        <v>33573</v>
      </c>
      <c r="D214" s="278">
        <v>35117</v>
      </c>
      <c r="E214" s="278">
        <v>36732</v>
      </c>
    </row>
    <row r="215" spans="1:5" x14ac:dyDescent="0.3">
      <c r="A215" s="159">
        <v>625001</v>
      </c>
      <c r="B215" s="278">
        <v>-86343.253000000026</v>
      </c>
      <c r="C215" s="278">
        <v>-93756.235818999994</v>
      </c>
      <c r="D215" s="278">
        <v>-101293.41324283701</v>
      </c>
      <c r="E215" s="278">
        <v>-109035.2377474223</v>
      </c>
    </row>
    <row r="216" spans="1:5" x14ac:dyDescent="0.3">
      <c r="A216" s="159">
        <v>625002</v>
      </c>
      <c r="B216" s="278">
        <v>3137</v>
      </c>
      <c r="C216" s="278">
        <v>3206</v>
      </c>
      <c r="D216" s="278">
        <v>3276</v>
      </c>
      <c r="E216" s="278">
        <v>3348</v>
      </c>
    </row>
    <row r="217" spans="1:5" x14ac:dyDescent="0.3">
      <c r="A217" s="159">
        <v>625003</v>
      </c>
      <c r="B217" s="278">
        <v>-455180</v>
      </c>
      <c r="C217" s="278">
        <v>-459352</v>
      </c>
      <c r="D217" s="278">
        <v>-463669</v>
      </c>
      <c r="E217" s="278">
        <v>-468136</v>
      </c>
    </row>
    <row r="218" spans="1:5" x14ac:dyDescent="0.3">
      <c r="A218" s="159">
        <v>625901</v>
      </c>
      <c r="B218" s="278">
        <v>26011.08</v>
      </c>
      <c r="C218" s="278">
        <v>27208</v>
      </c>
      <c r="D218" s="278">
        <v>28460</v>
      </c>
      <c r="E218" s="278">
        <v>29769</v>
      </c>
    </row>
    <row r="219" spans="1:5" x14ac:dyDescent="0.3">
      <c r="A219" s="159">
        <v>625902</v>
      </c>
      <c r="B219" s="278">
        <v>154759</v>
      </c>
      <c r="C219" s="278">
        <v>161982</v>
      </c>
      <c r="D219" s="278">
        <v>169543</v>
      </c>
      <c r="E219" s="278">
        <v>177457</v>
      </c>
    </row>
    <row r="220" spans="1:5" x14ac:dyDescent="0.3">
      <c r="A220" s="159">
        <v>627001</v>
      </c>
      <c r="B220" s="278">
        <v>-51766</v>
      </c>
      <c r="C220" s="278">
        <v>-52900</v>
      </c>
      <c r="D220" s="278">
        <v>-54060</v>
      </c>
      <c r="E220" s="278">
        <v>-55250</v>
      </c>
    </row>
    <row r="221" spans="1:5" x14ac:dyDescent="0.3">
      <c r="A221" s="159">
        <v>627002</v>
      </c>
      <c r="B221" s="278">
        <v>6681</v>
      </c>
      <c r="C221" s="278">
        <v>6828</v>
      </c>
      <c r="D221" s="278">
        <v>6978</v>
      </c>
      <c r="E221" s="278">
        <v>7132</v>
      </c>
    </row>
    <row r="222" spans="1:5" x14ac:dyDescent="0.3">
      <c r="A222" s="159">
        <v>627003</v>
      </c>
      <c r="B222" s="278">
        <v>47129.7153246784</v>
      </c>
      <c r="C222" s="278">
        <v>48326.310791691496</v>
      </c>
      <c r="D222" s="278">
        <v>49554.469290984081</v>
      </c>
      <c r="E222" s="278">
        <v>50816.729654750496</v>
      </c>
    </row>
    <row r="223" spans="1:5" x14ac:dyDescent="0.3">
      <c r="A223" s="159">
        <v>627004</v>
      </c>
      <c r="B223" s="278">
        <v>85320</v>
      </c>
      <c r="C223" s="278">
        <v>87180</v>
      </c>
      <c r="D223" s="278">
        <v>89070</v>
      </c>
      <c r="E223" s="278">
        <v>91010</v>
      </c>
    </row>
    <row r="224" spans="1:5" x14ac:dyDescent="0.3">
      <c r="A224" s="159">
        <v>627006</v>
      </c>
      <c r="B224" s="278">
        <v>11951</v>
      </c>
      <c r="C224" s="278">
        <v>12228</v>
      </c>
      <c r="D224" s="278">
        <v>12512</v>
      </c>
      <c r="E224" s="278">
        <v>12802</v>
      </c>
    </row>
    <row r="225" spans="1:5" x14ac:dyDescent="0.3">
      <c r="A225" s="159">
        <v>627007</v>
      </c>
      <c r="B225" s="278">
        <v>15170</v>
      </c>
      <c r="C225" s="278">
        <v>15504</v>
      </c>
      <c r="D225" s="278">
        <v>15845</v>
      </c>
      <c r="E225" s="278">
        <v>16194</v>
      </c>
    </row>
    <row r="226" spans="1:5" x14ac:dyDescent="0.3">
      <c r="A226" s="159">
        <v>627008</v>
      </c>
      <c r="B226" s="278">
        <v>11801</v>
      </c>
      <c r="C226" s="278">
        <v>12060</v>
      </c>
      <c r="D226" s="278">
        <v>12325</v>
      </c>
      <c r="E226" s="278">
        <v>12596</v>
      </c>
    </row>
    <row r="227" spans="1:5" x14ac:dyDescent="0.3">
      <c r="A227" s="159">
        <v>627009</v>
      </c>
      <c r="B227" s="278">
        <v>15353</v>
      </c>
      <c r="C227" s="278">
        <v>15691</v>
      </c>
      <c r="D227" s="278">
        <v>16036</v>
      </c>
      <c r="E227" s="278">
        <v>16389</v>
      </c>
    </row>
    <row r="228" spans="1:5" x14ac:dyDescent="0.3">
      <c r="A228" s="159">
        <v>627011</v>
      </c>
      <c r="B228" s="278">
        <v>8950</v>
      </c>
      <c r="C228" s="278">
        <v>9147</v>
      </c>
      <c r="D228" s="278">
        <v>9348</v>
      </c>
      <c r="E228" s="278">
        <v>9553</v>
      </c>
    </row>
    <row r="229" spans="1:5" x14ac:dyDescent="0.3">
      <c r="A229" s="159">
        <v>627012</v>
      </c>
      <c r="B229" s="278">
        <v>1633</v>
      </c>
      <c r="C229" s="278">
        <v>1675</v>
      </c>
      <c r="D229" s="278">
        <v>1719</v>
      </c>
      <c r="E229" s="278">
        <v>1764</v>
      </c>
    </row>
    <row r="230" spans="1:5" x14ac:dyDescent="0.3">
      <c r="A230" s="159">
        <v>627013</v>
      </c>
      <c r="B230" s="278">
        <v>9593</v>
      </c>
      <c r="C230" s="278">
        <v>9804</v>
      </c>
      <c r="D230" s="278">
        <v>10020</v>
      </c>
      <c r="E230" s="278">
        <v>10240</v>
      </c>
    </row>
    <row r="231" spans="1:5" x14ac:dyDescent="0.3">
      <c r="A231" s="159">
        <v>627014</v>
      </c>
      <c r="B231" s="278">
        <v>6165</v>
      </c>
      <c r="C231" s="278">
        <v>6301</v>
      </c>
      <c r="D231" s="278">
        <v>6440</v>
      </c>
      <c r="E231" s="278">
        <v>6582</v>
      </c>
    </row>
    <row r="232" spans="1:5" x14ac:dyDescent="0.3">
      <c r="A232" s="159">
        <v>627015</v>
      </c>
      <c r="B232" s="278">
        <v>11296</v>
      </c>
      <c r="C232" s="278">
        <v>11575</v>
      </c>
      <c r="D232" s="278">
        <v>11861</v>
      </c>
      <c r="E232" s="278">
        <v>12154</v>
      </c>
    </row>
    <row r="233" spans="1:5" x14ac:dyDescent="0.3">
      <c r="A233" s="159">
        <v>627016</v>
      </c>
      <c r="B233" s="278">
        <v>0</v>
      </c>
      <c r="C233" s="278">
        <v>0</v>
      </c>
      <c r="D233" s="278">
        <v>0</v>
      </c>
      <c r="E233" s="278">
        <v>0</v>
      </c>
    </row>
    <row r="234" spans="1:5" x14ac:dyDescent="0.3">
      <c r="A234" s="159">
        <v>627017</v>
      </c>
      <c r="B234" s="278">
        <v>-4389</v>
      </c>
      <c r="C234" s="278">
        <v>-4485</v>
      </c>
      <c r="D234" s="278">
        <v>-4584</v>
      </c>
      <c r="E234" s="278">
        <v>-4684</v>
      </c>
    </row>
    <row r="235" spans="1:5" x14ac:dyDescent="0.3">
      <c r="A235" s="159">
        <v>627018</v>
      </c>
      <c r="B235" s="278">
        <v>49975</v>
      </c>
      <c r="C235" s="278">
        <v>51074</v>
      </c>
      <c r="D235" s="278">
        <v>52198</v>
      </c>
      <c r="E235" s="278">
        <v>53346</v>
      </c>
    </row>
    <row r="236" spans="1:5" x14ac:dyDescent="0.3">
      <c r="A236" s="159">
        <v>627019</v>
      </c>
      <c r="B236" s="278">
        <v>11496</v>
      </c>
      <c r="C236" s="278">
        <v>11749</v>
      </c>
      <c r="D236" s="278">
        <v>12007</v>
      </c>
      <c r="E236" s="278">
        <v>12271</v>
      </c>
    </row>
    <row r="237" spans="1:5" x14ac:dyDescent="0.3">
      <c r="A237" s="159">
        <v>627901</v>
      </c>
      <c r="B237" s="278">
        <v>1428836.64</v>
      </c>
      <c r="C237" s="278">
        <v>1427843</v>
      </c>
      <c r="D237" s="278">
        <v>2154801</v>
      </c>
      <c r="E237" s="278">
        <v>2270432</v>
      </c>
    </row>
    <row r="238" spans="1:5" x14ac:dyDescent="0.3">
      <c r="A238" s="159">
        <v>628001</v>
      </c>
      <c r="B238" s="278">
        <v>-7134</v>
      </c>
      <c r="C238" s="278">
        <v>-7126</v>
      </c>
      <c r="D238" s="278">
        <v>-7117</v>
      </c>
      <c r="E238" s="278">
        <v>-7109</v>
      </c>
    </row>
    <row r="239" spans="1:5" x14ac:dyDescent="0.3">
      <c r="A239" s="159">
        <v>628002</v>
      </c>
      <c r="B239" s="278">
        <v>22962</v>
      </c>
      <c r="C239" s="278">
        <v>23467</v>
      </c>
      <c r="D239" s="278">
        <v>23983</v>
      </c>
      <c r="E239" s="278">
        <v>24511</v>
      </c>
    </row>
    <row r="240" spans="1:5" x14ac:dyDescent="0.3">
      <c r="A240" s="159">
        <v>628003</v>
      </c>
      <c r="B240" s="278">
        <v>-400000</v>
      </c>
      <c r="C240" s="278">
        <v>-400000</v>
      </c>
      <c r="D240" s="278">
        <v>-400000</v>
      </c>
      <c r="E240" s="278">
        <v>-400000</v>
      </c>
    </row>
    <row r="241" spans="1:5" x14ac:dyDescent="0.3">
      <c r="A241" s="159">
        <v>628004</v>
      </c>
      <c r="B241" s="278">
        <v>29184</v>
      </c>
      <c r="C241" s="278">
        <v>29826</v>
      </c>
      <c r="D241" s="278">
        <v>30482</v>
      </c>
      <c r="E241" s="278">
        <v>31153</v>
      </c>
    </row>
    <row r="242" spans="1:5" x14ac:dyDescent="0.3">
      <c r="A242" s="159">
        <v>628005</v>
      </c>
      <c r="B242" s="278">
        <v>711696</v>
      </c>
      <c r="C242" s="278">
        <v>720295</v>
      </c>
      <c r="D242" s="278">
        <v>729187</v>
      </c>
      <c r="E242" s="278">
        <v>738466</v>
      </c>
    </row>
    <row r="243" spans="1:5" x14ac:dyDescent="0.3">
      <c r="A243" s="159">
        <v>628007</v>
      </c>
      <c r="B243" s="278">
        <v>671020</v>
      </c>
      <c r="C243" s="278">
        <v>702060</v>
      </c>
      <c r="D243" s="278">
        <v>712290</v>
      </c>
      <c r="E243" s="278">
        <v>745510</v>
      </c>
    </row>
    <row r="244" spans="1:5" x14ac:dyDescent="0.3">
      <c r="A244" s="159">
        <v>628008</v>
      </c>
      <c r="B244" s="278">
        <v>79247</v>
      </c>
      <c r="C244" s="278">
        <v>80990</v>
      </c>
      <c r="D244" s="278">
        <v>82771</v>
      </c>
      <c r="E244" s="278">
        <v>84591</v>
      </c>
    </row>
    <row r="245" spans="1:5" x14ac:dyDescent="0.3">
      <c r="A245" s="159">
        <v>628901</v>
      </c>
      <c r="B245" s="278">
        <v>303283.23</v>
      </c>
      <c r="C245" s="278">
        <v>317234</v>
      </c>
      <c r="D245" s="278">
        <v>331827</v>
      </c>
      <c r="E245" s="278">
        <v>347091</v>
      </c>
    </row>
    <row r="246" spans="1:5" x14ac:dyDescent="0.3">
      <c r="A246" s="159">
        <v>629001</v>
      </c>
      <c r="B246" s="278">
        <v>71013</v>
      </c>
      <c r="C246" s="278">
        <v>72575</v>
      </c>
      <c r="D246" s="278">
        <v>74172</v>
      </c>
      <c r="E246" s="278">
        <v>75803</v>
      </c>
    </row>
    <row r="247" spans="1:5" x14ac:dyDescent="0.3">
      <c r="A247" s="159">
        <v>629002</v>
      </c>
      <c r="B247" s="278">
        <v>209393</v>
      </c>
      <c r="C247" s="278">
        <v>213129</v>
      </c>
      <c r="D247" s="278">
        <v>217037</v>
      </c>
      <c r="E247" s="278">
        <v>221125</v>
      </c>
    </row>
    <row r="248" spans="1:5" x14ac:dyDescent="0.3">
      <c r="A248" s="159">
        <v>629004</v>
      </c>
      <c r="B248" s="278">
        <v>0</v>
      </c>
      <c r="C248" s="278">
        <v>0</v>
      </c>
      <c r="D248" s="278">
        <v>0</v>
      </c>
      <c r="E248" s="278">
        <v>0</v>
      </c>
    </row>
    <row r="249" spans="1:5" x14ac:dyDescent="0.3">
      <c r="A249" s="159">
        <v>629005</v>
      </c>
      <c r="B249" s="278">
        <v>0</v>
      </c>
      <c r="C249" s="278">
        <v>0</v>
      </c>
      <c r="D249" s="278">
        <v>2</v>
      </c>
      <c r="E249" s="278">
        <v>2</v>
      </c>
    </row>
    <row r="250" spans="1:5" x14ac:dyDescent="0.3">
      <c r="A250" s="159">
        <v>629901</v>
      </c>
      <c r="B250" s="278">
        <v>140596.75</v>
      </c>
      <c r="C250" s="278">
        <v>147065</v>
      </c>
      <c r="D250" s="278">
        <v>153830</v>
      </c>
      <c r="E250" s="278">
        <v>160907</v>
      </c>
    </row>
    <row r="251" spans="1:5" x14ac:dyDescent="0.3">
      <c r="A251" s="159">
        <v>630001</v>
      </c>
      <c r="B251" s="278">
        <v>-41162.512416114863</v>
      </c>
      <c r="C251" s="278">
        <v>-42068.229689269378</v>
      </c>
      <c r="D251" s="278">
        <v>-42992.964742433309</v>
      </c>
      <c r="E251" s="278">
        <v>-43939.245966766845</v>
      </c>
    </row>
    <row r="252" spans="1:5" x14ac:dyDescent="0.3">
      <c r="A252" s="159">
        <v>630002</v>
      </c>
      <c r="B252" s="278">
        <v>-7032.6429429333348</v>
      </c>
      <c r="C252" s="278">
        <v>-7237.0049453354659</v>
      </c>
      <c r="D252" s="278">
        <v>-7447.8730838048596</v>
      </c>
      <c r="E252" s="278">
        <v>-7664.4295301513939</v>
      </c>
    </row>
    <row r="253" spans="1:5" x14ac:dyDescent="0.3">
      <c r="A253" s="159">
        <v>630003</v>
      </c>
      <c r="B253" s="278">
        <v>339</v>
      </c>
      <c r="C253" s="278">
        <v>348</v>
      </c>
      <c r="D253" s="278">
        <v>357</v>
      </c>
      <c r="E253" s="278">
        <v>366</v>
      </c>
    </row>
    <row r="254" spans="1:5" x14ac:dyDescent="0.3">
      <c r="A254" s="159">
        <v>630004</v>
      </c>
      <c r="B254" s="278">
        <v>0</v>
      </c>
      <c r="C254" s="278">
        <v>0</v>
      </c>
      <c r="D254" s="278">
        <v>0</v>
      </c>
      <c r="E254" s="278">
        <v>0</v>
      </c>
    </row>
    <row r="255" spans="1:5" x14ac:dyDescent="0.3">
      <c r="A255" s="159">
        <v>630005</v>
      </c>
      <c r="B255" s="278">
        <v>-23884.301631999999</v>
      </c>
      <c r="C255" s="278">
        <v>-24552.255677696001</v>
      </c>
      <c r="D255" s="278">
        <v>-25210.99523667149</v>
      </c>
      <c r="E255" s="278">
        <v>-25969.156183298295</v>
      </c>
    </row>
    <row r="256" spans="1:5" x14ac:dyDescent="0.3">
      <c r="A256" s="159">
        <v>630006</v>
      </c>
      <c r="B256" s="278">
        <v>89705.050272320004</v>
      </c>
      <c r="C256" s="278">
        <v>92694.084584846714</v>
      </c>
      <c r="D256" s="278">
        <v>95776.636475749663</v>
      </c>
      <c r="E256" s="278">
        <v>99057.073253634153</v>
      </c>
    </row>
    <row r="257" spans="1:5" x14ac:dyDescent="0.3">
      <c r="A257" s="159">
        <v>630007</v>
      </c>
      <c r="B257" s="278">
        <v>-52851.810202390436</v>
      </c>
      <c r="C257" s="278">
        <v>-54014.38002684302</v>
      </c>
      <c r="D257" s="278">
        <v>-55202.078387433576</v>
      </c>
      <c r="E257" s="278">
        <v>-56416.524111957115</v>
      </c>
    </row>
    <row r="258" spans="1:5" x14ac:dyDescent="0.3">
      <c r="A258" s="159">
        <v>630008</v>
      </c>
      <c r="B258" s="278">
        <v>453</v>
      </c>
      <c r="C258" s="278">
        <v>464</v>
      </c>
      <c r="D258" s="278">
        <v>475</v>
      </c>
      <c r="E258" s="278">
        <v>487</v>
      </c>
    </row>
    <row r="259" spans="1:5" x14ac:dyDescent="0.3">
      <c r="A259" s="159">
        <v>630009</v>
      </c>
      <c r="B259" s="278">
        <v>1227</v>
      </c>
      <c r="C259" s="278">
        <v>1254</v>
      </c>
      <c r="D259" s="278">
        <v>1282</v>
      </c>
      <c r="E259" s="278">
        <v>1311</v>
      </c>
    </row>
    <row r="260" spans="1:5" x14ac:dyDescent="0.3">
      <c r="A260" s="159">
        <v>630010</v>
      </c>
      <c r="B260" s="278">
        <v>228</v>
      </c>
      <c r="C260" s="278">
        <v>234</v>
      </c>
      <c r="D260" s="278">
        <v>240</v>
      </c>
      <c r="E260" s="278">
        <v>247</v>
      </c>
    </row>
    <row r="261" spans="1:5" x14ac:dyDescent="0.3">
      <c r="A261" s="159">
        <v>630011</v>
      </c>
      <c r="B261" s="278">
        <v>-20492.401519999999</v>
      </c>
      <c r="C261" s="278">
        <v>-20944.008353440011</v>
      </c>
      <c r="D261" s="278">
        <v>-21404.720537215686</v>
      </c>
      <c r="E261" s="278">
        <v>-21875.870389034426</v>
      </c>
    </row>
    <row r="262" spans="1:5" x14ac:dyDescent="0.3">
      <c r="A262" s="159">
        <v>630012</v>
      </c>
      <c r="B262" s="278">
        <v>81326</v>
      </c>
      <c r="C262" s="278">
        <v>84147.5</v>
      </c>
      <c r="D262" s="278">
        <v>87080.375</v>
      </c>
      <c r="E262" s="278">
        <v>90128.59375</v>
      </c>
    </row>
    <row r="263" spans="1:5" x14ac:dyDescent="0.3">
      <c r="A263" s="159">
        <v>630013</v>
      </c>
      <c r="B263" s="278">
        <v>16628.090282471967</v>
      </c>
      <c r="C263" s="278">
        <v>69354.944538861397</v>
      </c>
      <c r="D263" s="278">
        <v>74641.843290387769</v>
      </c>
      <c r="E263" s="278">
        <v>80110.343186899612</v>
      </c>
    </row>
    <row r="264" spans="1:5" x14ac:dyDescent="0.3">
      <c r="A264" s="159">
        <v>630015</v>
      </c>
      <c r="B264" s="278">
        <v>10929.918605999999</v>
      </c>
      <c r="C264" s="278">
        <v>11211.235594421996</v>
      </c>
      <c r="D264" s="278">
        <v>12041.997311415609</v>
      </c>
      <c r="E264" s="278">
        <v>12892.627211937986</v>
      </c>
    </row>
    <row r="265" spans="1:5" x14ac:dyDescent="0.3">
      <c r="A265" s="159">
        <v>630016</v>
      </c>
      <c r="B265" s="278">
        <v>17073.918605999999</v>
      </c>
      <c r="C265" s="278">
        <v>17509.235594421996</v>
      </c>
      <c r="D265" s="278">
        <v>18393.997311415609</v>
      </c>
      <c r="E265" s="278">
        <v>19303.627211937986</v>
      </c>
    </row>
    <row r="266" spans="1:5" x14ac:dyDescent="0.3">
      <c r="A266" s="159">
        <v>630017</v>
      </c>
      <c r="B266" s="278">
        <v>17105.918605999999</v>
      </c>
      <c r="C266" s="278">
        <v>17534.235594421996</v>
      </c>
      <c r="D266" s="278">
        <v>18335.997311415609</v>
      </c>
      <c r="E266" s="278">
        <v>19158.627211937986</v>
      </c>
    </row>
    <row r="267" spans="1:5" x14ac:dyDescent="0.3">
      <c r="A267" s="159">
        <v>630018</v>
      </c>
      <c r="B267" s="278">
        <v>2775.9186059999993</v>
      </c>
      <c r="C267" s="278">
        <v>2820.2355944219962</v>
      </c>
      <c r="D267" s="278">
        <v>3696.9973114156091</v>
      </c>
      <c r="E267" s="278">
        <v>4597.6272119379864</v>
      </c>
    </row>
    <row r="268" spans="1:5" x14ac:dyDescent="0.3">
      <c r="A268" s="159">
        <v>630019</v>
      </c>
      <c r="B268" s="278">
        <v>41490</v>
      </c>
      <c r="C268" s="278">
        <v>42320</v>
      </c>
      <c r="D268" s="278">
        <v>43689</v>
      </c>
      <c r="E268" s="278">
        <v>45088</v>
      </c>
    </row>
    <row r="269" spans="1:5" x14ac:dyDescent="0.3">
      <c r="A269" s="159">
        <v>630020</v>
      </c>
      <c r="B269" s="278">
        <v>52529.2386593509</v>
      </c>
      <c r="C269" s="278">
        <v>57773.037489746872</v>
      </c>
      <c r="D269" s="278">
        <v>63211.465876867529</v>
      </c>
      <c r="E269" s="278">
        <v>68847.989114311611</v>
      </c>
    </row>
    <row r="270" spans="1:5" x14ac:dyDescent="0.3">
      <c r="A270" s="159">
        <v>630022</v>
      </c>
      <c r="B270" s="278">
        <v>17192</v>
      </c>
      <c r="C270" s="278">
        <v>17570</v>
      </c>
      <c r="D270" s="278">
        <v>17957</v>
      </c>
      <c r="E270" s="278">
        <v>18352</v>
      </c>
    </row>
    <row r="271" spans="1:5" x14ac:dyDescent="0.3">
      <c r="A271" s="159">
        <v>630023</v>
      </c>
      <c r="B271" s="278">
        <v>79364.341418143362</v>
      </c>
      <c r="C271" s="278">
        <v>83205.654489050517</v>
      </c>
      <c r="D271" s="278">
        <v>84703.316713503053</v>
      </c>
      <c r="E271" s="278">
        <v>86244.101249178202</v>
      </c>
    </row>
    <row r="272" spans="1:5" x14ac:dyDescent="0.3">
      <c r="A272" s="159">
        <v>630024</v>
      </c>
      <c r="B272" s="278">
        <v>-100000</v>
      </c>
      <c r="C272" s="278">
        <v>-100000</v>
      </c>
      <c r="D272" s="278">
        <v>-99999</v>
      </c>
      <c r="E272" s="278">
        <v>-99999</v>
      </c>
    </row>
    <row r="273" spans="1:5" x14ac:dyDescent="0.3">
      <c r="A273" s="159">
        <v>630026</v>
      </c>
      <c r="B273" s="278">
        <v>0</v>
      </c>
      <c r="C273" s="278">
        <v>0</v>
      </c>
      <c r="D273" s="278">
        <v>15000</v>
      </c>
      <c r="E273" s="278">
        <v>30000</v>
      </c>
    </row>
    <row r="274" spans="1:5" x14ac:dyDescent="0.3">
      <c r="A274" s="159">
        <v>630901</v>
      </c>
      <c r="B274" s="278">
        <v>1460579.85</v>
      </c>
      <c r="C274" s="278">
        <v>1523485.66</v>
      </c>
      <c r="D274" s="278">
        <v>1449505.06</v>
      </c>
      <c r="E274" s="278">
        <v>1554823.06</v>
      </c>
    </row>
    <row r="275" spans="1:5" x14ac:dyDescent="0.3">
      <c r="A275" s="159">
        <v>631001</v>
      </c>
      <c r="B275" s="278">
        <v>66225</v>
      </c>
      <c r="C275" s="278">
        <v>69271</v>
      </c>
      <c r="D275" s="278">
        <v>72458</v>
      </c>
      <c r="E275" s="278">
        <v>75791</v>
      </c>
    </row>
    <row r="276" spans="1:5" x14ac:dyDescent="0.3">
      <c r="A276" s="159">
        <v>631002</v>
      </c>
      <c r="B276" s="278">
        <v>223527.91232790402</v>
      </c>
      <c r="C276" s="278">
        <v>238019.04839911789</v>
      </c>
      <c r="D276" s="278">
        <v>253229.40346389846</v>
      </c>
      <c r="E276" s="278">
        <v>269192.92634010426</v>
      </c>
    </row>
    <row r="277" spans="1:5" x14ac:dyDescent="0.3">
      <c r="A277" s="159">
        <v>631004</v>
      </c>
      <c r="B277" s="278">
        <v>24075</v>
      </c>
      <c r="C277" s="278">
        <v>24488</v>
      </c>
      <c r="D277" s="278">
        <v>24921</v>
      </c>
      <c r="E277" s="278">
        <v>25355</v>
      </c>
    </row>
    <row r="278" spans="1:5" x14ac:dyDescent="0.3">
      <c r="A278" s="159">
        <v>631005</v>
      </c>
      <c r="B278" s="278">
        <v>12580</v>
      </c>
      <c r="C278" s="278">
        <v>12860</v>
      </c>
      <c r="D278" s="278">
        <v>13140</v>
      </c>
      <c r="E278" s="278">
        <v>13430</v>
      </c>
    </row>
    <row r="279" spans="1:5" x14ac:dyDescent="0.3">
      <c r="A279" s="159">
        <v>631006</v>
      </c>
      <c r="B279" s="278">
        <v>148487</v>
      </c>
      <c r="C279" s="278">
        <v>151752</v>
      </c>
      <c r="D279" s="278">
        <v>155092</v>
      </c>
      <c r="E279" s="278">
        <v>158500</v>
      </c>
    </row>
    <row r="280" spans="1:5" x14ac:dyDescent="0.3">
      <c r="A280" s="159">
        <v>631007</v>
      </c>
      <c r="B280" s="278">
        <v>21114</v>
      </c>
      <c r="C280" s="278">
        <v>21579</v>
      </c>
      <c r="D280" s="278">
        <v>22054</v>
      </c>
      <c r="E280" s="278">
        <v>22539</v>
      </c>
    </row>
    <row r="281" spans="1:5" x14ac:dyDescent="0.3">
      <c r="A281" s="159">
        <v>631009</v>
      </c>
      <c r="B281" s="278">
        <v>1320</v>
      </c>
      <c r="C281" s="278">
        <v>1349</v>
      </c>
      <c r="D281" s="278">
        <v>1379</v>
      </c>
      <c r="E281" s="278">
        <v>1410</v>
      </c>
    </row>
    <row r="282" spans="1:5" x14ac:dyDescent="0.3">
      <c r="A282" s="159">
        <v>631010</v>
      </c>
      <c r="B282" s="278">
        <v>69680</v>
      </c>
      <c r="C282" s="278">
        <v>71870</v>
      </c>
      <c r="D282" s="278">
        <v>74110</v>
      </c>
      <c r="E282" s="278">
        <v>76400</v>
      </c>
    </row>
    <row r="283" spans="1:5" x14ac:dyDescent="0.3">
      <c r="A283" s="159">
        <v>631011</v>
      </c>
      <c r="B283" s="278">
        <v>59930</v>
      </c>
      <c r="C283" s="278">
        <v>61250</v>
      </c>
      <c r="D283" s="278">
        <v>62600</v>
      </c>
      <c r="E283" s="278">
        <v>63980</v>
      </c>
    </row>
    <row r="284" spans="1:5" x14ac:dyDescent="0.3">
      <c r="A284" s="159">
        <v>631013</v>
      </c>
      <c r="B284" s="278">
        <v>30000</v>
      </c>
      <c r="C284" s="278">
        <v>30000</v>
      </c>
      <c r="D284" s="278">
        <v>30000</v>
      </c>
      <c r="E284" s="278">
        <v>30000</v>
      </c>
    </row>
    <row r="285" spans="1:5" x14ac:dyDescent="0.3">
      <c r="A285" s="159">
        <v>631901</v>
      </c>
      <c r="B285" s="278">
        <v>197752.58000000002</v>
      </c>
      <c r="C285" s="278">
        <v>190631.8</v>
      </c>
      <c r="D285" s="278">
        <v>199400.8</v>
      </c>
      <c r="E285" s="278">
        <v>208573.4</v>
      </c>
    </row>
    <row r="286" spans="1:5" x14ac:dyDescent="0.3">
      <c r="A286" s="159">
        <v>632001</v>
      </c>
      <c r="B286" s="278">
        <v>134868</v>
      </c>
      <c r="C286" s="278">
        <v>141072</v>
      </c>
      <c r="D286" s="278">
        <v>147562</v>
      </c>
      <c r="E286" s="278">
        <v>154350</v>
      </c>
    </row>
    <row r="287" spans="1:5" x14ac:dyDescent="0.3">
      <c r="A287" s="159">
        <v>633001</v>
      </c>
      <c r="B287" s="278">
        <v>41819</v>
      </c>
      <c r="C287" s="278">
        <v>42739</v>
      </c>
      <c r="D287" s="278">
        <v>43679</v>
      </c>
      <c r="E287" s="278">
        <v>44640</v>
      </c>
    </row>
    <row r="288" spans="1:5" x14ac:dyDescent="0.3">
      <c r="A288" s="159">
        <v>633002</v>
      </c>
      <c r="B288" s="278">
        <v>45356</v>
      </c>
      <c r="C288" s="278">
        <v>46354</v>
      </c>
      <c r="D288" s="278">
        <v>47374</v>
      </c>
      <c r="E288" s="278">
        <v>48417</v>
      </c>
    </row>
    <row r="289" spans="1:5" x14ac:dyDescent="0.3">
      <c r="A289" s="159">
        <v>633003</v>
      </c>
      <c r="B289" s="278">
        <v>33712</v>
      </c>
      <c r="C289" s="278">
        <v>34454</v>
      </c>
      <c r="D289" s="278">
        <v>35213</v>
      </c>
      <c r="E289" s="278">
        <v>35988</v>
      </c>
    </row>
    <row r="290" spans="1:5" x14ac:dyDescent="0.3">
      <c r="A290" s="159">
        <v>633901</v>
      </c>
      <c r="B290" s="278">
        <v>62839.12</v>
      </c>
      <c r="C290" s="278">
        <v>65730</v>
      </c>
      <c r="D290" s="278">
        <v>68754</v>
      </c>
      <c r="E290" s="278">
        <v>71917</v>
      </c>
    </row>
    <row r="291" spans="1:5" x14ac:dyDescent="0.3">
      <c r="A291" s="159">
        <v>634001</v>
      </c>
      <c r="B291" s="278">
        <v>694557.72939728969</v>
      </c>
      <c r="C291" s="278">
        <v>604099.34838498943</v>
      </c>
      <c r="D291" s="278">
        <v>613803.89427523408</v>
      </c>
      <c r="E291" s="278">
        <v>623664.17836341762</v>
      </c>
    </row>
    <row r="292" spans="1:5" x14ac:dyDescent="0.3">
      <c r="A292" s="159">
        <v>634901</v>
      </c>
      <c r="B292" s="278">
        <v>98704</v>
      </c>
      <c r="C292" s="278">
        <v>98704</v>
      </c>
      <c r="D292" s="278">
        <v>98704</v>
      </c>
      <c r="E292" s="278">
        <v>98704</v>
      </c>
    </row>
    <row r="293" spans="1:5" x14ac:dyDescent="0.3">
      <c r="A293" s="159">
        <v>635001</v>
      </c>
      <c r="B293" s="278">
        <v>1765</v>
      </c>
      <c r="C293" s="278">
        <v>1804</v>
      </c>
      <c r="D293" s="278">
        <v>1843</v>
      </c>
      <c r="E293" s="278">
        <v>1884</v>
      </c>
    </row>
    <row r="294" spans="1:5" x14ac:dyDescent="0.3">
      <c r="A294" s="159">
        <v>635002</v>
      </c>
      <c r="B294" s="278">
        <v>1842701</v>
      </c>
      <c r="C294" s="278">
        <v>1949252</v>
      </c>
      <c r="D294" s="278">
        <v>2029259</v>
      </c>
      <c r="E294" s="278">
        <v>2112879</v>
      </c>
    </row>
    <row r="295" spans="1:5" x14ac:dyDescent="0.3">
      <c r="A295" s="159">
        <v>635003</v>
      </c>
      <c r="B295" s="278">
        <v>33023</v>
      </c>
      <c r="C295" s="278">
        <v>33794</v>
      </c>
      <c r="D295" s="278">
        <v>34584</v>
      </c>
      <c r="E295" s="278">
        <v>35388</v>
      </c>
    </row>
    <row r="296" spans="1:5" x14ac:dyDescent="0.3">
      <c r="A296" s="159">
        <v>635004</v>
      </c>
      <c r="B296" s="278">
        <v>-5920</v>
      </c>
      <c r="C296" s="278">
        <v>-6051</v>
      </c>
      <c r="D296" s="278">
        <v>-6185</v>
      </c>
      <c r="E296" s="278">
        <v>-6322</v>
      </c>
    </row>
    <row r="297" spans="1:5" x14ac:dyDescent="0.3">
      <c r="A297" s="159">
        <v>635005</v>
      </c>
      <c r="B297" s="278">
        <v>44847</v>
      </c>
      <c r="C297" s="278">
        <v>45790</v>
      </c>
      <c r="D297" s="278">
        <v>46754</v>
      </c>
      <c r="E297" s="278">
        <v>47739</v>
      </c>
    </row>
    <row r="298" spans="1:5" x14ac:dyDescent="0.3">
      <c r="A298" s="159">
        <v>635006</v>
      </c>
      <c r="B298" s="278">
        <v>-42449</v>
      </c>
      <c r="C298" s="278">
        <v>-43097</v>
      </c>
      <c r="D298" s="278">
        <v>-43759</v>
      </c>
      <c r="E298" s="278">
        <v>-44436</v>
      </c>
    </row>
    <row r="299" spans="1:5" x14ac:dyDescent="0.3">
      <c r="A299" s="159">
        <v>635007</v>
      </c>
      <c r="B299" s="278">
        <v>-1000</v>
      </c>
      <c r="C299" s="278">
        <v>-1022</v>
      </c>
      <c r="D299" s="278">
        <v>-1044</v>
      </c>
      <c r="E299" s="278">
        <v>-1067</v>
      </c>
    </row>
    <row r="300" spans="1:5" x14ac:dyDescent="0.3">
      <c r="A300" s="159">
        <v>635008</v>
      </c>
      <c r="B300" s="278">
        <v>-5715</v>
      </c>
      <c r="C300" s="278">
        <v>-5715</v>
      </c>
      <c r="D300" s="278">
        <v>-5714</v>
      </c>
      <c r="E300" s="278">
        <v>-5714</v>
      </c>
    </row>
    <row r="301" spans="1:5" x14ac:dyDescent="0.3">
      <c r="A301" s="159">
        <v>635009</v>
      </c>
      <c r="B301" s="278">
        <v>80198</v>
      </c>
      <c r="C301" s="278">
        <v>83396</v>
      </c>
      <c r="D301" s="278">
        <v>86729</v>
      </c>
      <c r="E301" s="278">
        <v>90204</v>
      </c>
    </row>
    <row r="302" spans="1:5" x14ac:dyDescent="0.3">
      <c r="A302" s="159">
        <v>635010</v>
      </c>
      <c r="B302" s="278">
        <v>204825</v>
      </c>
      <c r="C302" s="278">
        <v>207315</v>
      </c>
      <c r="D302" s="278">
        <v>209786</v>
      </c>
      <c r="E302" s="278">
        <v>212311</v>
      </c>
    </row>
    <row r="303" spans="1:5" x14ac:dyDescent="0.3">
      <c r="A303" s="159">
        <v>635011</v>
      </c>
      <c r="B303" s="278">
        <v>33739</v>
      </c>
      <c r="C303" s="278">
        <v>33739</v>
      </c>
      <c r="D303" s="278">
        <v>33740</v>
      </c>
      <c r="E303" s="278">
        <v>33740</v>
      </c>
    </row>
    <row r="304" spans="1:5" x14ac:dyDescent="0.3">
      <c r="A304" s="159">
        <v>635012</v>
      </c>
      <c r="B304" s="278">
        <v>-104010</v>
      </c>
      <c r="C304" s="278">
        <v>-135541</v>
      </c>
      <c r="D304" s="278">
        <v>-102383</v>
      </c>
      <c r="E304" s="278">
        <v>-37590</v>
      </c>
    </row>
    <row r="305" spans="1:5" x14ac:dyDescent="0.3">
      <c r="A305" s="159">
        <v>635013</v>
      </c>
      <c r="B305" s="278">
        <v>12589</v>
      </c>
      <c r="C305" s="278">
        <v>12866</v>
      </c>
      <c r="D305" s="278">
        <v>13150</v>
      </c>
      <c r="E305" s="278">
        <v>13438</v>
      </c>
    </row>
    <row r="306" spans="1:5" x14ac:dyDescent="0.3">
      <c r="A306" s="159">
        <v>635014</v>
      </c>
      <c r="B306" s="278">
        <v>90311.147130990721</v>
      </c>
      <c r="C306" s="278">
        <v>94682.296487540269</v>
      </c>
      <c r="D306" s="278">
        <v>96386.532811917277</v>
      </c>
      <c r="E306" s="278">
        <v>98139.83935251314</v>
      </c>
    </row>
    <row r="307" spans="1:5" x14ac:dyDescent="0.3">
      <c r="A307" s="159">
        <v>635901</v>
      </c>
      <c r="B307" s="278">
        <v>945455.67</v>
      </c>
      <c r="C307" s="278">
        <v>992092.49082000006</v>
      </c>
      <c r="D307" s="278">
        <v>1028028.6793977199</v>
      </c>
      <c r="E307" s="278">
        <v>1058535.9326500152</v>
      </c>
    </row>
    <row r="308" spans="1:5" x14ac:dyDescent="0.3">
      <c r="A308" s="159">
        <v>636001</v>
      </c>
      <c r="B308" s="278">
        <v>701980</v>
      </c>
      <c r="C308" s="278">
        <v>734090</v>
      </c>
      <c r="D308" s="278">
        <v>767660</v>
      </c>
      <c r="E308" s="278">
        <v>802780</v>
      </c>
    </row>
    <row r="309" spans="1:5" x14ac:dyDescent="0.3">
      <c r="A309" s="159">
        <v>636002</v>
      </c>
      <c r="B309" s="278">
        <v>7970</v>
      </c>
      <c r="C309" s="278">
        <v>8150</v>
      </c>
      <c r="D309" s="278">
        <v>8330</v>
      </c>
      <c r="E309" s="278">
        <v>8510</v>
      </c>
    </row>
    <row r="310" spans="1:5" x14ac:dyDescent="0.3">
      <c r="A310" s="159">
        <v>636003</v>
      </c>
      <c r="B310" s="278">
        <v>22080</v>
      </c>
      <c r="C310" s="278">
        <v>22560</v>
      </c>
      <c r="D310" s="278">
        <v>23060</v>
      </c>
      <c r="E310" s="278">
        <v>23570</v>
      </c>
    </row>
    <row r="311" spans="1:5" x14ac:dyDescent="0.3">
      <c r="A311" s="159">
        <v>636004</v>
      </c>
      <c r="B311" s="278">
        <v>122</v>
      </c>
      <c r="C311" s="278">
        <v>249</v>
      </c>
      <c r="D311" s="278">
        <v>379</v>
      </c>
      <c r="E311" s="278">
        <v>511</v>
      </c>
    </row>
    <row r="312" spans="1:5" x14ac:dyDescent="0.3">
      <c r="A312" s="159">
        <v>636005</v>
      </c>
      <c r="B312" s="278">
        <v>228983</v>
      </c>
      <c r="C312" s="278">
        <v>234021</v>
      </c>
      <c r="D312" s="278">
        <v>239171</v>
      </c>
      <c r="E312" s="278">
        <v>244433</v>
      </c>
    </row>
    <row r="313" spans="1:5" x14ac:dyDescent="0.3">
      <c r="A313" s="159">
        <v>636006</v>
      </c>
      <c r="B313" s="278">
        <v>807570</v>
      </c>
      <c r="C313" s="278">
        <v>844540</v>
      </c>
      <c r="D313" s="278">
        <v>883210</v>
      </c>
      <c r="E313" s="278">
        <v>923660</v>
      </c>
    </row>
    <row r="314" spans="1:5" x14ac:dyDescent="0.3">
      <c r="A314" s="159">
        <v>636007</v>
      </c>
      <c r="B314" s="278">
        <v>-2506</v>
      </c>
      <c r="C314" s="278">
        <v>-2560</v>
      </c>
      <c r="D314" s="278">
        <v>-2610</v>
      </c>
      <c r="E314" s="278">
        <v>-2659</v>
      </c>
    </row>
    <row r="315" spans="1:5" x14ac:dyDescent="0.3">
      <c r="A315" s="159">
        <v>636008</v>
      </c>
      <c r="B315" s="278">
        <v>10773.559997076321</v>
      </c>
      <c r="C315" s="278">
        <v>11075.342716968142</v>
      </c>
      <c r="D315" s="278">
        <v>11384.185397495963</v>
      </c>
      <c r="E315" s="278">
        <v>11707.312257203313</v>
      </c>
    </row>
    <row r="316" spans="1:5" x14ac:dyDescent="0.3">
      <c r="A316" s="159">
        <v>636009</v>
      </c>
      <c r="B316" s="278">
        <v>218850</v>
      </c>
      <c r="C316" s="278">
        <v>229340</v>
      </c>
      <c r="D316" s="278">
        <v>240370</v>
      </c>
      <c r="E316" s="278">
        <v>251940</v>
      </c>
    </row>
    <row r="317" spans="1:5" x14ac:dyDescent="0.3">
      <c r="A317" s="159">
        <v>636010</v>
      </c>
      <c r="B317" s="278">
        <v>79410</v>
      </c>
      <c r="C317" s="278">
        <v>81160</v>
      </c>
      <c r="D317" s="278">
        <v>82950</v>
      </c>
      <c r="E317" s="278">
        <v>84770</v>
      </c>
    </row>
    <row r="318" spans="1:5" x14ac:dyDescent="0.3">
      <c r="A318" s="159">
        <v>636011</v>
      </c>
      <c r="B318" s="278">
        <v>0</v>
      </c>
      <c r="C318" s="278">
        <v>0</v>
      </c>
      <c r="D318" s="278">
        <v>0</v>
      </c>
      <c r="E318" s="278">
        <v>0</v>
      </c>
    </row>
    <row r="319" spans="1:5" x14ac:dyDescent="0.3">
      <c r="A319" s="159">
        <v>636012</v>
      </c>
      <c r="B319" s="278">
        <v>-13832.517950000001</v>
      </c>
      <c r="C319" s="278">
        <v>-14025.588114150001</v>
      </c>
      <c r="D319" s="278">
        <v>-14218.559874373552</v>
      </c>
      <c r="E319" s="278">
        <v>-14410.059589725373</v>
      </c>
    </row>
    <row r="320" spans="1:5" x14ac:dyDescent="0.3">
      <c r="A320" s="159">
        <v>636013</v>
      </c>
      <c r="B320" s="278">
        <v>-29914.668480192318</v>
      </c>
      <c r="C320" s="278">
        <v>-30387.740213959438</v>
      </c>
      <c r="D320" s="278">
        <v>-30863.016601875937</v>
      </c>
      <c r="E320" s="278">
        <v>-31348.876216145349</v>
      </c>
    </row>
    <row r="321" spans="1:5" x14ac:dyDescent="0.3">
      <c r="A321" s="159">
        <v>636015</v>
      </c>
      <c r="B321" s="278">
        <v>0</v>
      </c>
      <c r="C321" s="278">
        <v>0</v>
      </c>
      <c r="D321" s="278">
        <v>0</v>
      </c>
      <c r="E321" s="278">
        <v>0</v>
      </c>
    </row>
    <row r="322" spans="1:5" x14ac:dyDescent="0.3">
      <c r="A322" s="159">
        <v>636016</v>
      </c>
      <c r="B322" s="278">
        <v>-15265.6566587616</v>
      </c>
      <c r="C322" s="278">
        <v>-15528.23195513578</v>
      </c>
      <c r="D322" s="278">
        <v>-15792.131537475805</v>
      </c>
      <c r="E322" s="278">
        <v>-16058.108404362411</v>
      </c>
    </row>
    <row r="323" spans="1:5" x14ac:dyDescent="0.3">
      <c r="A323" s="159">
        <v>636018</v>
      </c>
      <c r="B323" s="278">
        <v>-62083.3907875</v>
      </c>
      <c r="C323" s="278">
        <v>-63103.960326875</v>
      </c>
      <c r="D323" s="278">
        <v>-64132.908343218747</v>
      </c>
      <c r="E323" s="278">
        <v>-65165.703760379685</v>
      </c>
    </row>
    <row r="324" spans="1:5" x14ac:dyDescent="0.3">
      <c r="A324" s="159">
        <v>636019</v>
      </c>
      <c r="B324" s="278">
        <v>-94615.217286400002</v>
      </c>
      <c r="C324" s="278">
        <v>-95878.978150719995</v>
      </c>
      <c r="D324" s="278">
        <v>-97131.577058255993</v>
      </c>
      <c r="E324" s="278">
        <v>-98363.355911168794</v>
      </c>
    </row>
    <row r="325" spans="1:5" x14ac:dyDescent="0.3">
      <c r="A325" s="159">
        <v>636020</v>
      </c>
      <c r="B325" s="278">
        <v>0</v>
      </c>
      <c r="C325" s="278">
        <v>0</v>
      </c>
      <c r="D325" s="278">
        <v>0</v>
      </c>
      <c r="E325" s="278">
        <v>0</v>
      </c>
    </row>
    <row r="326" spans="1:5" x14ac:dyDescent="0.3">
      <c r="A326" s="159">
        <v>636021</v>
      </c>
      <c r="B326" s="278">
        <v>0</v>
      </c>
      <c r="C326" s="278">
        <v>0</v>
      </c>
      <c r="D326" s="278">
        <v>0</v>
      </c>
      <c r="E326" s="278">
        <v>0</v>
      </c>
    </row>
    <row r="327" spans="1:5" x14ac:dyDescent="0.3">
      <c r="A327" s="159">
        <v>636022</v>
      </c>
      <c r="B327" s="278">
        <v>32340</v>
      </c>
      <c r="C327" s="278">
        <v>33050</v>
      </c>
      <c r="D327" s="278">
        <v>33780</v>
      </c>
      <c r="E327" s="278">
        <v>34520</v>
      </c>
    </row>
    <row r="328" spans="1:5" x14ac:dyDescent="0.3">
      <c r="A328" s="159">
        <v>636023</v>
      </c>
      <c r="B328" s="278">
        <v>16600</v>
      </c>
      <c r="C328" s="278">
        <v>16970</v>
      </c>
      <c r="D328" s="278">
        <v>17350</v>
      </c>
      <c r="E328" s="278">
        <v>17730</v>
      </c>
    </row>
    <row r="329" spans="1:5" x14ac:dyDescent="0.3">
      <c r="A329" s="159">
        <v>636024</v>
      </c>
      <c r="B329" s="278">
        <v>-58013</v>
      </c>
      <c r="C329" s="278">
        <v>-59293</v>
      </c>
      <c r="D329" s="278">
        <v>-60601</v>
      </c>
      <c r="E329" s="278">
        <v>-61938</v>
      </c>
    </row>
    <row r="330" spans="1:5" x14ac:dyDescent="0.3">
      <c r="A330" s="159">
        <v>636025</v>
      </c>
      <c r="B330" s="278">
        <v>-85814</v>
      </c>
      <c r="C330" s="278">
        <v>-87698</v>
      </c>
      <c r="D330" s="278">
        <v>-89624</v>
      </c>
      <c r="E330" s="278">
        <v>-91597</v>
      </c>
    </row>
    <row r="331" spans="1:5" x14ac:dyDescent="0.3">
      <c r="A331" s="159">
        <v>636026</v>
      </c>
      <c r="B331" s="278">
        <v>-43539</v>
      </c>
      <c r="C331" s="278">
        <v>-44495</v>
      </c>
      <c r="D331" s="278">
        <v>-45473</v>
      </c>
      <c r="E331" s="278">
        <v>-46471</v>
      </c>
    </row>
    <row r="332" spans="1:5" x14ac:dyDescent="0.3">
      <c r="A332" s="159">
        <v>636027</v>
      </c>
      <c r="B332" s="278">
        <v>-87893.280904448009</v>
      </c>
      <c r="C332" s="278">
        <v>-89165.594949670398</v>
      </c>
      <c r="D332" s="278">
        <v>-90437.074697153919</v>
      </c>
      <c r="E332" s="278">
        <v>-91705.728432011616</v>
      </c>
    </row>
    <row r="333" spans="1:5" x14ac:dyDescent="0.3">
      <c r="A333" s="159">
        <v>636028</v>
      </c>
      <c r="B333" s="278">
        <v>70000</v>
      </c>
      <c r="C333" s="278">
        <v>71540</v>
      </c>
      <c r="D333" s="278">
        <v>73110</v>
      </c>
      <c r="E333" s="278">
        <v>74720</v>
      </c>
    </row>
    <row r="334" spans="1:5" x14ac:dyDescent="0.3">
      <c r="A334" s="159">
        <v>636036</v>
      </c>
      <c r="B334" s="278">
        <v>0</v>
      </c>
      <c r="C334" s="278">
        <v>0</v>
      </c>
      <c r="D334" s="278">
        <v>0</v>
      </c>
      <c r="E334" s="278">
        <v>0</v>
      </c>
    </row>
    <row r="335" spans="1:5" x14ac:dyDescent="0.3">
      <c r="A335" s="159">
        <v>636037</v>
      </c>
      <c r="B335" s="278">
        <v>0</v>
      </c>
      <c r="C335" s="278">
        <v>0</v>
      </c>
      <c r="D335" s="278">
        <v>0</v>
      </c>
      <c r="E335" s="278">
        <v>0</v>
      </c>
    </row>
    <row r="336" spans="1:5" x14ac:dyDescent="0.3">
      <c r="A336" s="159">
        <v>636038</v>
      </c>
      <c r="B336" s="278">
        <v>0</v>
      </c>
      <c r="C336" s="278">
        <v>0</v>
      </c>
      <c r="D336" s="278">
        <v>0</v>
      </c>
      <c r="E336" s="278">
        <v>0</v>
      </c>
    </row>
    <row r="337" spans="1:5" x14ac:dyDescent="0.3">
      <c r="A337" s="159">
        <v>636039</v>
      </c>
      <c r="B337" s="278">
        <v>0</v>
      </c>
      <c r="C337" s="278">
        <v>0</v>
      </c>
      <c r="D337" s="278">
        <v>0</v>
      </c>
      <c r="E337" s="278">
        <v>0</v>
      </c>
    </row>
    <row r="338" spans="1:5" x14ac:dyDescent="0.3">
      <c r="A338" s="159">
        <v>636040</v>
      </c>
      <c r="B338" s="278">
        <v>0</v>
      </c>
      <c r="C338" s="278">
        <v>0</v>
      </c>
      <c r="D338" s="278">
        <v>0</v>
      </c>
      <c r="E338" s="278">
        <v>0</v>
      </c>
    </row>
    <row r="339" spans="1:5" x14ac:dyDescent="0.3">
      <c r="A339" s="159">
        <v>636044</v>
      </c>
      <c r="B339" s="278">
        <v>-28587.33</v>
      </c>
      <c r="C339" s="278">
        <v>-29220</v>
      </c>
      <c r="D339" s="278">
        <v>-29860</v>
      </c>
      <c r="E339" s="278">
        <v>-30520</v>
      </c>
    </row>
    <row r="340" spans="1:5" x14ac:dyDescent="0.3">
      <c r="A340" s="159">
        <v>636045</v>
      </c>
      <c r="B340" s="278">
        <v>-34874.351999999999</v>
      </c>
      <c r="C340" s="278">
        <v>-35640</v>
      </c>
      <c r="D340" s="278">
        <v>-36420</v>
      </c>
      <c r="E340" s="278">
        <v>-37220</v>
      </c>
    </row>
    <row r="341" spans="1:5" x14ac:dyDescent="0.3">
      <c r="A341" s="159">
        <v>636046</v>
      </c>
      <c r="B341" s="278">
        <v>-22224.42</v>
      </c>
      <c r="C341" s="278">
        <v>-22710</v>
      </c>
      <c r="D341" s="278">
        <v>-23210</v>
      </c>
      <c r="E341" s="278">
        <v>-23720</v>
      </c>
    </row>
    <row r="342" spans="1:5" x14ac:dyDescent="0.3">
      <c r="A342" s="159">
        <v>636901</v>
      </c>
      <c r="B342" s="278">
        <v>890263.23</v>
      </c>
      <c r="C342" s="278">
        <v>973070</v>
      </c>
      <c r="D342" s="278">
        <v>1011918</v>
      </c>
      <c r="E342" s="278">
        <v>1040054</v>
      </c>
    </row>
    <row r="343" spans="1:5" x14ac:dyDescent="0.3">
      <c r="A343" s="159">
        <v>638001</v>
      </c>
      <c r="B343" s="278">
        <v>-7268000</v>
      </c>
      <c r="C343" s="278">
        <v>-7268000</v>
      </c>
      <c r="D343" s="278">
        <v>-7268000</v>
      </c>
      <c r="E343" s="278">
        <v>-7268000</v>
      </c>
    </row>
    <row r="344" spans="1:5" x14ac:dyDescent="0.3">
      <c r="A344" s="159">
        <v>638002</v>
      </c>
      <c r="B344" s="278">
        <v>5900000</v>
      </c>
      <c r="C344" s="278">
        <v>5900000</v>
      </c>
      <c r="D344" s="278">
        <v>5900000</v>
      </c>
      <c r="E344" s="278">
        <v>5900000</v>
      </c>
    </row>
    <row r="345" spans="1:5" x14ac:dyDescent="0.3">
      <c r="A345" s="159">
        <v>638003</v>
      </c>
      <c r="B345" s="278">
        <v>33000</v>
      </c>
      <c r="C345" s="278">
        <v>33000</v>
      </c>
      <c r="D345" s="278">
        <v>33000</v>
      </c>
      <c r="E345" s="278">
        <v>33000</v>
      </c>
    </row>
    <row r="346" spans="1:5" x14ac:dyDescent="0.3">
      <c r="A346" s="159">
        <v>638004</v>
      </c>
      <c r="B346" s="278">
        <v>96000</v>
      </c>
      <c r="C346" s="278">
        <v>100740</v>
      </c>
      <c r="D346" s="278">
        <v>100290</v>
      </c>
      <c r="E346" s="278">
        <v>105340</v>
      </c>
    </row>
    <row r="347" spans="1:5" x14ac:dyDescent="0.3">
      <c r="A347" s="159">
        <v>638005</v>
      </c>
      <c r="B347" s="278">
        <v>19600</v>
      </c>
      <c r="C347" s="278">
        <v>20000</v>
      </c>
      <c r="D347" s="278">
        <v>20400</v>
      </c>
      <c r="E347" s="278">
        <v>20800</v>
      </c>
    </row>
    <row r="348" spans="1:5" x14ac:dyDescent="0.3">
      <c r="A348" s="159">
        <v>638006</v>
      </c>
      <c r="B348" s="278">
        <v>-3500</v>
      </c>
      <c r="C348" s="278">
        <v>-3500</v>
      </c>
      <c r="D348" s="278">
        <v>-3500</v>
      </c>
      <c r="E348" s="278">
        <v>-3500</v>
      </c>
    </row>
    <row r="349" spans="1:5" x14ac:dyDescent="0.3">
      <c r="A349" s="159">
        <v>638007</v>
      </c>
      <c r="B349" s="278">
        <v>-60000</v>
      </c>
      <c r="C349" s="278">
        <v>-60000</v>
      </c>
      <c r="D349" s="278">
        <v>-60000</v>
      </c>
      <c r="E349" s="278">
        <v>-60000</v>
      </c>
    </row>
    <row r="350" spans="1:5" x14ac:dyDescent="0.3">
      <c r="A350" s="159">
        <v>638008</v>
      </c>
      <c r="B350" s="278">
        <v>-500</v>
      </c>
      <c r="C350" s="278">
        <v>-500</v>
      </c>
      <c r="D350" s="278">
        <v>-500</v>
      </c>
      <c r="E350" s="278">
        <v>-500</v>
      </c>
    </row>
    <row r="351" spans="1:5" x14ac:dyDescent="0.3">
      <c r="A351" s="159">
        <v>638009</v>
      </c>
      <c r="B351" s="278">
        <v>920000</v>
      </c>
      <c r="C351" s="278">
        <v>920000</v>
      </c>
      <c r="D351" s="278">
        <v>920000</v>
      </c>
      <c r="E351" s="278">
        <v>920000</v>
      </c>
    </row>
    <row r="352" spans="1:5" x14ac:dyDescent="0.3">
      <c r="A352" s="159">
        <v>638011</v>
      </c>
      <c r="B352" s="278">
        <v>10000</v>
      </c>
      <c r="C352" s="278">
        <v>10000</v>
      </c>
      <c r="D352" s="278">
        <v>10000</v>
      </c>
      <c r="E352" s="278">
        <v>10000</v>
      </c>
    </row>
    <row r="353" spans="1:5" x14ac:dyDescent="0.3">
      <c r="A353" s="159">
        <v>638012</v>
      </c>
      <c r="B353" s="278">
        <v>6250</v>
      </c>
      <c r="C353" s="278">
        <v>6250</v>
      </c>
      <c r="D353" s="278">
        <v>6250</v>
      </c>
      <c r="E353" s="278">
        <v>6250</v>
      </c>
    </row>
    <row r="354" spans="1:5" x14ac:dyDescent="0.3">
      <c r="A354" s="159">
        <v>638013</v>
      </c>
      <c r="B354" s="278">
        <v>0</v>
      </c>
      <c r="C354" s="278">
        <v>0</v>
      </c>
      <c r="D354" s="278">
        <v>0</v>
      </c>
      <c r="E354" s="278">
        <v>0</v>
      </c>
    </row>
    <row r="355" spans="1:5" x14ac:dyDescent="0.3">
      <c r="A355" s="159">
        <v>638014</v>
      </c>
      <c r="B355" s="278">
        <v>-5000</v>
      </c>
      <c r="C355" s="278">
        <v>-5000</v>
      </c>
      <c r="D355" s="278">
        <v>-5000</v>
      </c>
      <c r="E355" s="278">
        <v>-5000</v>
      </c>
    </row>
    <row r="356" spans="1:5" x14ac:dyDescent="0.3">
      <c r="A356" s="159">
        <v>638015</v>
      </c>
      <c r="B356" s="278">
        <v>11800</v>
      </c>
      <c r="C356" s="278">
        <v>12100</v>
      </c>
      <c r="D356" s="278">
        <v>12400</v>
      </c>
      <c r="E356" s="278">
        <v>12700</v>
      </c>
    </row>
    <row r="357" spans="1:5" x14ac:dyDescent="0.3">
      <c r="A357" s="159">
        <v>638016</v>
      </c>
      <c r="B357" s="278">
        <v>8500</v>
      </c>
      <c r="C357" s="278">
        <v>8700</v>
      </c>
      <c r="D357" s="278">
        <v>8900</v>
      </c>
      <c r="E357" s="278">
        <v>9100</v>
      </c>
    </row>
    <row r="358" spans="1:5" x14ac:dyDescent="0.3">
      <c r="A358" s="159">
        <v>638017</v>
      </c>
      <c r="B358" s="278">
        <v>9000</v>
      </c>
      <c r="C358" s="278">
        <v>9000</v>
      </c>
      <c r="D358" s="278">
        <v>9000</v>
      </c>
      <c r="E358" s="278">
        <v>9000</v>
      </c>
    </row>
    <row r="359" spans="1:5" x14ac:dyDescent="0.3">
      <c r="A359" s="159">
        <v>638020</v>
      </c>
      <c r="B359" s="278">
        <v>235000</v>
      </c>
      <c r="C359" s="278">
        <v>235000</v>
      </c>
      <c r="D359" s="278">
        <v>235000</v>
      </c>
      <c r="E359" s="278">
        <v>235000</v>
      </c>
    </row>
    <row r="360" spans="1:5" x14ac:dyDescent="0.3">
      <c r="A360" s="159">
        <v>638021</v>
      </c>
      <c r="B360" s="278">
        <v>33000</v>
      </c>
      <c r="C360" s="278">
        <v>33000</v>
      </c>
      <c r="D360" s="278">
        <v>33000</v>
      </c>
      <c r="E360" s="278">
        <v>33000</v>
      </c>
    </row>
    <row r="361" spans="1:5" x14ac:dyDescent="0.3">
      <c r="A361" s="159">
        <v>638022</v>
      </c>
      <c r="B361" s="278">
        <v>6300</v>
      </c>
      <c r="C361" s="278">
        <v>6400</v>
      </c>
      <c r="D361" s="278">
        <v>6500</v>
      </c>
      <c r="E361" s="278">
        <v>6600</v>
      </c>
    </row>
    <row r="362" spans="1:5" x14ac:dyDescent="0.3">
      <c r="A362" s="159">
        <v>638023</v>
      </c>
      <c r="B362" s="278">
        <v>791000</v>
      </c>
      <c r="C362" s="278">
        <v>808000</v>
      </c>
      <c r="D362" s="278">
        <v>825000</v>
      </c>
      <c r="E362" s="278">
        <v>844000</v>
      </c>
    </row>
    <row r="363" spans="1:5" x14ac:dyDescent="0.3">
      <c r="A363" s="159">
        <v>638024</v>
      </c>
      <c r="B363" s="278">
        <v>21500</v>
      </c>
      <c r="C363" s="278">
        <v>21800</v>
      </c>
      <c r="D363" s="278">
        <v>22200</v>
      </c>
      <c r="E363" s="278">
        <v>22600</v>
      </c>
    </row>
    <row r="364" spans="1:5" x14ac:dyDescent="0.3">
      <c r="A364" s="159">
        <v>638025</v>
      </c>
      <c r="B364" s="278">
        <v>30000</v>
      </c>
      <c r="C364" s="278">
        <v>30000</v>
      </c>
      <c r="D364" s="278">
        <v>30000</v>
      </c>
      <c r="E364" s="278">
        <v>30000</v>
      </c>
    </row>
    <row r="365" spans="1:5" x14ac:dyDescent="0.3">
      <c r="A365" s="159">
        <v>638026</v>
      </c>
      <c r="B365" s="278">
        <v>239500</v>
      </c>
      <c r="C365" s="278">
        <v>244800</v>
      </c>
      <c r="D365" s="278">
        <v>250200</v>
      </c>
      <c r="E365" s="278">
        <v>255700</v>
      </c>
    </row>
    <row r="366" spans="1:5" x14ac:dyDescent="0.3">
      <c r="A366" s="159">
        <v>638027</v>
      </c>
      <c r="B366" s="278">
        <v>309400</v>
      </c>
      <c r="C366" s="278">
        <v>315100</v>
      </c>
      <c r="D366" s="278">
        <v>320900</v>
      </c>
      <c r="E366" s="278">
        <v>326900</v>
      </c>
    </row>
    <row r="367" spans="1:5" x14ac:dyDescent="0.3">
      <c r="A367" s="159">
        <v>638028</v>
      </c>
      <c r="B367" s="278">
        <v>10100</v>
      </c>
      <c r="C367" s="278">
        <v>10300</v>
      </c>
      <c r="D367" s="278">
        <v>10500</v>
      </c>
      <c r="E367" s="278">
        <v>10700</v>
      </c>
    </row>
    <row r="368" spans="1:5" x14ac:dyDescent="0.3">
      <c r="A368" s="159">
        <v>638029</v>
      </c>
      <c r="B368" s="278">
        <v>12100</v>
      </c>
      <c r="C368" s="278">
        <v>12400</v>
      </c>
      <c r="D368" s="278">
        <v>12700</v>
      </c>
      <c r="E368" s="278">
        <v>13000</v>
      </c>
    </row>
    <row r="369" spans="1:5" x14ac:dyDescent="0.3">
      <c r="A369" s="159">
        <v>638030</v>
      </c>
      <c r="B369" s="278">
        <v>30000</v>
      </c>
      <c r="C369" s="278">
        <v>30000</v>
      </c>
      <c r="D369" s="278">
        <v>30000</v>
      </c>
      <c r="E369" s="278">
        <v>30000</v>
      </c>
    </row>
    <row r="370" spans="1:5" x14ac:dyDescent="0.3">
      <c r="A370" s="159">
        <v>638901</v>
      </c>
      <c r="B370" s="278">
        <v>1791856.9300000002</v>
      </c>
      <c r="C370" s="278">
        <v>1762256</v>
      </c>
      <c r="D370" s="278">
        <v>1843321</v>
      </c>
      <c r="E370" s="278">
        <v>1928115</v>
      </c>
    </row>
    <row r="371" spans="1:5" x14ac:dyDescent="0.3">
      <c r="A371" s="159">
        <v>639001</v>
      </c>
      <c r="B371" s="278">
        <v>3531104</v>
      </c>
      <c r="C371" s="278">
        <v>3364585</v>
      </c>
      <c r="D371" s="278">
        <v>3207254</v>
      </c>
      <c r="E371" s="278">
        <v>3205256</v>
      </c>
    </row>
    <row r="372" spans="1:5" x14ac:dyDescent="0.3">
      <c r="A372" s="159">
        <v>640001</v>
      </c>
      <c r="B372" s="278">
        <v>822734</v>
      </c>
      <c r="C372" s="278">
        <v>873843</v>
      </c>
      <c r="D372" s="278">
        <v>914291</v>
      </c>
      <c r="E372" s="278">
        <v>960771</v>
      </c>
    </row>
    <row r="373" spans="1:5" x14ac:dyDescent="0.3">
      <c r="A373" s="159">
        <v>640003</v>
      </c>
      <c r="B373" s="278">
        <v>3590</v>
      </c>
      <c r="C373" s="278">
        <v>3670</v>
      </c>
      <c r="D373" s="278">
        <v>3750</v>
      </c>
      <c r="E373" s="278">
        <v>3830</v>
      </c>
    </row>
    <row r="374" spans="1:5" x14ac:dyDescent="0.3">
      <c r="A374" s="159">
        <v>640006</v>
      </c>
      <c r="B374" s="278">
        <v>32370</v>
      </c>
      <c r="C374" s="278">
        <v>33080</v>
      </c>
      <c r="D374" s="278">
        <v>33810</v>
      </c>
      <c r="E374" s="278">
        <v>34550</v>
      </c>
    </row>
    <row r="375" spans="1:5" x14ac:dyDescent="0.3">
      <c r="A375" s="159">
        <v>640901</v>
      </c>
      <c r="B375" s="278">
        <v>1242652.98</v>
      </c>
      <c r="C375" s="278">
        <v>1299815</v>
      </c>
      <c r="D375" s="278">
        <v>1359607</v>
      </c>
      <c r="E375" s="278">
        <v>1422148</v>
      </c>
    </row>
    <row r="376" spans="1:5" x14ac:dyDescent="0.3">
      <c r="A376" s="159">
        <v>646001</v>
      </c>
      <c r="B376" s="278">
        <v>1499023</v>
      </c>
      <c r="C376" s="278">
        <v>1567064</v>
      </c>
      <c r="D376" s="278">
        <v>1638215</v>
      </c>
      <c r="E376" s="278">
        <v>1712618</v>
      </c>
    </row>
    <row r="377" spans="1:5" x14ac:dyDescent="0.3">
      <c r="A377" s="159">
        <v>646002</v>
      </c>
      <c r="B377" s="278">
        <v>24310</v>
      </c>
      <c r="C377" s="278">
        <v>24840</v>
      </c>
      <c r="D377" s="278">
        <v>25390</v>
      </c>
      <c r="E377" s="278">
        <v>25950</v>
      </c>
    </row>
    <row r="378" spans="1:5" x14ac:dyDescent="0.3">
      <c r="A378" s="159">
        <v>646003</v>
      </c>
      <c r="B378" s="278">
        <v>0</v>
      </c>
      <c r="C378" s="278">
        <v>0</v>
      </c>
      <c r="D378" s="278">
        <v>0</v>
      </c>
      <c r="E378" s="278">
        <v>0</v>
      </c>
    </row>
    <row r="379" spans="1:5" x14ac:dyDescent="0.3">
      <c r="A379" s="159">
        <v>646004</v>
      </c>
      <c r="B379" s="278">
        <v>0</v>
      </c>
      <c r="C379" s="278">
        <v>0</v>
      </c>
      <c r="D379" s="278">
        <v>0</v>
      </c>
      <c r="E379" s="278">
        <v>0</v>
      </c>
    </row>
    <row r="380" spans="1:5" x14ac:dyDescent="0.3">
      <c r="A380" s="159">
        <v>646008</v>
      </c>
      <c r="B380" s="278">
        <v>0</v>
      </c>
      <c r="C380" s="278">
        <v>0</v>
      </c>
      <c r="D380" s="278">
        <v>0</v>
      </c>
      <c r="E380" s="278">
        <v>0</v>
      </c>
    </row>
    <row r="381" spans="1:5" x14ac:dyDescent="0.3">
      <c r="A381" s="159">
        <v>646009</v>
      </c>
      <c r="B381" s="278">
        <v>0</v>
      </c>
      <c r="C381" s="278">
        <v>0</v>
      </c>
      <c r="D381" s="278">
        <v>0</v>
      </c>
      <c r="E381" s="278">
        <v>0</v>
      </c>
    </row>
    <row r="382" spans="1:5" x14ac:dyDescent="0.3">
      <c r="A382" s="159">
        <v>646010</v>
      </c>
      <c r="B382" s="278">
        <v>0</v>
      </c>
      <c r="C382" s="278">
        <v>0</v>
      </c>
      <c r="D382" s="278">
        <v>0</v>
      </c>
      <c r="E382" s="278">
        <v>0</v>
      </c>
    </row>
    <row r="383" spans="1:5" x14ac:dyDescent="0.3">
      <c r="A383" s="159">
        <v>646011</v>
      </c>
      <c r="B383" s="278">
        <v>0</v>
      </c>
      <c r="C383" s="278">
        <v>0</v>
      </c>
      <c r="D383" s="278">
        <v>0</v>
      </c>
      <c r="E383" s="278">
        <v>0</v>
      </c>
    </row>
    <row r="384" spans="1:5" x14ac:dyDescent="0.3">
      <c r="A384" s="159">
        <v>646012</v>
      </c>
      <c r="B384" s="278">
        <v>0</v>
      </c>
      <c r="C384" s="278">
        <v>0</v>
      </c>
      <c r="D384" s="278">
        <v>0</v>
      </c>
      <c r="E384" s="278">
        <v>0</v>
      </c>
    </row>
    <row r="385" spans="1:5" x14ac:dyDescent="0.3">
      <c r="A385" s="159">
        <v>646013</v>
      </c>
      <c r="B385" s="278">
        <v>0</v>
      </c>
      <c r="C385" s="278">
        <v>0</v>
      </c>
      <c r="D385" s="278">
        <v>0</v>
      </c>
      <c r="E385" s="278">
        <v>0</v>
      </c>
    </row>
    <row r="386" spans="1:5" x14ac:dyDescent="0.3">
      <c r="A386" s="159">
        <v>646014</v>
      </c>
      <c r="B386" s="278">
        <v>0</v>
      </c>
      <c r="C386" s="278">
        <v>0</v>
      </c>
      <c r="D386" s="278">
        <v>0</v>
      </c>
      <c r="E386" s="278">
        <v>0</v>
      </c>
    </row>
    <row r="387" spans="1:5" x14ac:dyDescent="0.3">
      <c r="A387" s="159">
        <v>646015</v>
      </c>
      <c r="B387" s="278">
        <v>0</v>
      </c>
      <c r="C387" s="278">
        <v>0</v>
      </c>
      <c r="D387" s="278">
        <v>0</v>
      </c>
      <c r="E387" s="278">
        <v>0</v>
      </c>
    </row>
    <row r="388" spans="1:5" x14ac:dyDescent="0.3">
      <c r="A388" s="159">
        <v>646901</v>
      </c>
      <c r="B388" s="278">
        <v>37580.25</v>
      </c>
      <c r="C388" s="278">
        <v>39310</v>
      </c>
      <c r="D388" s="278">
        <v>41120</v>
      </c>
      <c r="E388" s="278">
        <v>43010</v>
      </c>
    </row>
    <row r="389" spans="1:5" x14ac:dyDescent="0.3">
      <c r="A389" s="159">
        <v>647001</v>
      </c>
      <c r="B389" s="278">
        <v>578013</v>
      </c>
      <c r="C389" s="278">
        <v>584427</v>
      </c>
      <c r="D389" s="278">
        <v>398722</v>
      </c>
      <c r="E389" s="278">
        <v>405300</v>
      </c>
    </row>
    <row r="390" spans="1:5" x14ac:dyDescent="0.3">
      <c r="A390" s="159">
        <v>647002</v>
      </c>
      <c r="B390" s="278">
        <v>101132</v>
      </c>
      <c r="C390" s="278">
        <v>103514</v>
      </c>
      <c r="D390" s="278">
        <v>105954</v>
      </c>
      <c r="E390" s="278">
        <v>108285</v>
      </c>
    </row>
    <row r="391" spans="1:5" x14ac:dyDescent="0.3">
      <c r="A391" s="159">
        <v>647003</v>
      </c>
      <c r="B391" s="278">
        <v>17295</v>
      </c>
      <c r="C391" s="278">
        <v>17709</v>
      </c>
      <c r="D391" s="278">
        <v>18133</v>
      </c>
      <c r="E391" s="278">
        <v>18531</v>
      </c>
    </row>
    <row r="392" spans="1:5" x14ac:dyDescent="0.3">
      <c r="A392" s="159">
        <v>647004</v>
      </c>
      <c r="B392" s="278">
        <v>9983</v>
      </c>
      <c r="C392" s="278">
        <v>10222</v>
      </c>
      <c r="D392" s="278">
        <v>10468</v>
      </c>
      <c r="E392" s="278">
        <v>10698</v>
      </c>
    </row>
    <row r="393" spans="1:5" x14ac:dyDescent="0.3">
      <c r="A393" s="159">
        <v>647005</v>
      </c>
      <c r="B393" s="278">
        <v>-1964618.1053969166</v>
      </c>
      <c r="C393" s="278">
        <v>-2035006.8830634619</v>
      </c>
      <c r="D393" s="278">
        <v>-1910020.7796057679</v>
      </c>
      <c r="E393" s="278">
        <v>-1679878.4760935795</v>
      </c>
    </row>
    <row r="394" spans="1:5" x14ac:dyDescent="0.3">
      <c r="A394" s="159">
        <v>647006</v>
      </c>
      <c r="B394" s="278">
        <v>-391613</v>
      </c>
      <c r="C394" s="278">
        <v>-396786</v>
      </c>
      <c r="D394" s="278">
        <v>-209783</v>
      </c>
      <c r="E394" s="278">
        <v>-164489</v>
      </c>
    </row>
    <row r="395" spans="1:5" x14ac:dyDescent="0.3">
      <c r="A395" s="159">
        <v>647007</v>
      </c>
      <c r="B395" s="278">
        <v>248635</v>
      </c>
      <c r="C395" s="278">
        <v>266085</v>
      </c>
      <c r="D395" s="278">
        <v>283685</v>
      </c>
      <c r="E395" s="278">
        <v>0</v>
      </c>
    </row>
    <row r="396" spans="1:5" x14ac:dyDescent="0.3">
      <c r="A396" s="159">
        <v>647008</v>
      </c>
      <c r="B396" s="278">
        <v>124146</v>
      </c>
      <c r="C396" s="278">
        <v>126929</v>
      </c>
      <c r="D396" s="278">
        <v>129712</v>
      </c>
      <c r="E396" s="278">
        <v>132616</v>
      </c>
    </row>
    <row r="397" spans="1:5" x14ac:dyDescent="0.3">
      <c r="A397" s="159">
        <v>647901</v>
      </c>
      <c r="B397" s="278">
        <v>503820.04</v>
      </c>
      <c r="C397" s="278">
        <v>525605</v>
      </c>
      <c r="D397" s="278">
        <v>548385</v>
      </c>
      <c r="E397" s="278">
        <v>572206</v>
      </c>
    </row>
    <row r="398" spans="1:5" x14ac:dyDescent="0.3">
      <c r="A398" s="159">
        <v>648001</v>
      </c>
      <c r="B398" s="278">
        <v>3557622.2</v>
      </c>
      <c r="C398" s="278">
        <v>3612329</v>
      </c>
      <c r="D398" s="278">
        <v>3685369</v>
      </c>
      <c r="E398" s="278">
        <v>3759910</v>
      </c>
    </row>
    <row r="399" spans="1:5" x14ac:dyDescent="0.3">
      <c r="A399" s="159">
        <v>648002</v>
      </c>
      <c r="B399" s="278">
        <v>1224973.8511999999</v>
      </c>
      <c r="C399" s="278">
        <v>1261780.6838159999</v>
      </c>
      <c r="D399" s="278">
        <v>1299858.0934104801</v>
      </c>
      <c r="E399" s="278">
        <v>1339753.0772327944</v>
      </c>
    </row>
    <row r="400" spans="1:5" x14ac:dyDescent="0.3">
      <c r="A400" s="159">
        <v>648003</v>
      </c>
      <c r="B400" s="278">
        <v>-955468</v>
      </c>
      <c r="C400" s="278">
        <v>-976163</v>
      </c>
      <c r="D400" s="278">
        <v>-1000343</v>
      </c>
      <c r="E400" s="278">
        <v>-1025189</v>
      </c>
    </row>
    <row r="401" spans="1:5" x14ac:dyDescent="0.3">
      <c r="A401" s="159">
        <v>648004</v>
      </c>
      <c r="B401" s="278">
        <v>-5675131.2000000002</v>
      </c>
      <c r="C401" s="278">
        <v>-5813228.1999999993</v>
      </c>
      <c r="D401" s="278">
        <v>-5967012.7999999998</v>
      </c>
      <c r="E401" s="278">
        <v>-6127875.6000000006</v>
      </c>
    </row>
    <row r="402" spans="1:5" x14ac:dyDescent="0.3">
      <c r="A402" s="159">
        <v>648005</v>
      </c>
      <c r="B402" s="278">
        <v>52938</v>
      </c>
      <c r="C402" s="278">
        <v>54103</v>
      </c>
      <c r="D402" s="278">
        <v>55293</v>
      </c>
      <c r="E402" s="278">
        <v>56509</v>
      </c>
    </row>
    <row r="403" spans="1:5" x14ac:dyDescent="0.3">
      <c r="A403" s="159">
        <v>648006</v>
      </c>
      <c r="B403" s="278">
        <v>248635</v>
      </c>
      <c r="C403" s="278">
        <v>266085</v>
      </c>
      <c r="D403" s="278">
        <v>283685</v>
      </c>
      <c r="E403" s="278">
        <v>301592</v>
      </c>
    </row>
    <row r="404" spans="1:5" x14ac:dyDescent="0.3">
      <c r="A404" s="159">
        <v>648901</v>
      </c>
      <c r="B404" s="278">
        <v>320829.64</v>
      </c>
      <c r="C404" s="278">
        <v>337606</v>
      </c>
      <c r="D404" s="278">
        <v>354897</v>
      </c>
      <c r="E404" s="278">
        <v>372730</v>
      </c>
    </row>
    <row r="405" spans="1:5" x14ac:dyDescent="0.3">
      <c r="A405" s="159">
        <v>649001</v>
      </c>
      <c r="B405" s="278">
        <v>122362</v>
      </c>
      <c r="C405" s="278">
        <v>125054</v>
      </c>
      <c r="D405" s="278">
        <v>127805</v>
      </c>
      <c r="E405" s="278">
        <v>130617</v>
      </c>
    </row>
    <row r="406" spans="1:5" x14ac:dyDescent="0.3">
      <c r="A406" s="159">
        <v>649002</v>
      </c>
      <c r="B406" s="278">
        <v>0</v>
      </c>
      <c r="C406" s="278">
        <v>0</v>
      </c>
      <c r="D406" s="278">
        <v>0</v>
      </c>
      <c r="E406" s="278">
        <v>0</v>
      </c>
    </row>
    <row r="407" spans="1:5" x14ac:dyDescent="0.3">
      <c r="A407" s="159">
        <v>649003</v>
      </c>
      <c r="B407" s="278">
        <v>22400</v>
      </c>
      <c r="C407" s="278">
        <v>22893</v>
      </c>
      <c r="D407" s="278">
        <v>23397</v>
      </c>
      <c r="E407" s="278">
        <v>23912</v>
      </c>
    </row>
    <row r="408" spans="1:5" x14ac:dyDescent="0.3">
      <c r="A408" s="159">
        <v>649005</v>
      </c>
      <c r="B408" s="278">
        <v>187437</v>
      </c>
      <c r="C408" s="278">
        <v>192373</v>
      </c>
      <c r="D408" s="278">
        <v>115663</v>
      </c>
      <c r="E408" s="278">
        <v>118206</v>
      </c>
    </row>
    <row r="409" spans="1:5" x14ac:dyDescent="0.3">
      <c r="A409" s="159">
        <v>649006</v>
      </c>
      <c r="B409" s="278">
        <v>5400</v>
      </c>
      <c r="C409" s="278">
        <v>5545</v>
      </c>
      <c r="D409" s="278">
        <v>5682</v>
      </c>
      <c r="E409" s="278">
        <v>5719</v>
      </c>
    </row>
    <row r="410" spans="1:5" x14ac:dyDescent="0.3">
      <c r="A410" s="159">
        <v>649007</v>
      </c>
      <c r="B410" s="278">
        <v>214406</v>
      </c>
      <c r="C410" s="278">
        <v>219123</v>
      </c>
      <c r="D410" s="278">
        <v>223944</v>
      </c>
      <c r="E410" s="278">
        <v>228871</v>
      </c>
    </row>
    <row r="411" spans="1:5" x14ac:dyDescent="0.3">
      <c r="A411" s="159">
        <v>649008</v>
      </c>
      <c r="B411" s="278">
        <v>-10462</v>
      </c>
      <c r="C411" s="278">
        <v>-10692</v>
      </c>
      <c r="D411" s="278">
        <v>-10927</v>
      </c>
      <c r="E411" s="278">
        <v>-11167</v>
      </c>
    </row>
    <row r="412" spans="1:5" x14ac:dyDescent="0.3">
      <c r="A412" s="159">
        <v>649009</v>
      </c>
      <c r="B412" s="278">
        <v>-4010</v>
      </c>
      <c r="C412" s="278">
        <v>-4098</v>
      </c>
      <c r="D412" s="278">
        <v>-4188</v>
      </c>
      <c r="E412" s="278">
        <v>-4280</v>
      </c>
    </row>
    <row r="413" spans="1:5" x14ac:dyDescent="0.3">
      <c r="A413" s="159">
        <v>649010</v>
      </c>
      <c r="B413" s="278">
        <v>11010</v>
      </c>
      <c r="C413" s="278">
        <v>11252</v>
      </c>
      <c r="D413" s="278">
        <v>11500</v>
      </c>
      <c r="E413" s="278">
        <v>11753</v>
      </c>
    </row>
    <row r="414" spans="1:5" x14ac:dyDescent="0.3">
      <c r="A414" s="159">
        <v>649011</v>
      </c>
      <c r="B414" s="278">
        <v>27847</v>
      </c>
      <c r="C414" s="278">
        <v>28460</v>
      </c>
      <c r="D414" s="278">
        <v>29086</v>
      </c>
      <c r="E414" s="278">
        <v>29726</v>
      </c>
    </row>
    <row r="415" spans="1:5" x14ac:dyDescent="0.3">
      <c r="A415" s="159">
        <v>649012</v>
      </c>
      <c r="B415" s="278">
        <v>7098</v>
      </c>
      <c r="C415" s="278">
        <v>7254</v>
      </c>
      <c r="D415" s="278">
        <v>7414</v>
      </c>
      <c r="E415" s="278">
        <v>7577</v>
      </c>
    </row>
    <row r="416" spans="1:5" x14ac:dyDescent="0.3">
      <c r="A416" s="159">
        <v>649013</v>
      </c>
      <c r="B416" s="278">
        <v>36598</v>
      </c>
      <c r="C416" s="278">
        <v>37403</v>
      </c>
      <c r="D416" s="278">
        <v>38227</v>
      </c>
      <c r="E416" s="278">
        <v>39068</v>
      </c>
    </row>
    <row r="417" spans="1:5" x14ac:dyDescent="0.3">
      <c r="A417" s="159">
        <v>649014</v>
      </c>
      <c r="B417" s="278">
        <v>4407</v>
      </c>
      <c r="C417" s="278">
        <v>4504</v>
      </c>
      <c r="D417" s="278">
        <v>4603</v>
      </c>
      <c r="E417" s="278">
        <v>4704</v>
      </c>
    </row>
    <row r="418" spans="1:5" x14ac:dyDescent="0.3">
      <c r="A418" s="159">
        <v>649015</v>
      </c>
      <c r="B418" s="278">
        <v>-24900</v>
      </c>
      <c r="C418" s="278">
        <v>-24900</v>
      </c>
      <c r="D418" s="278">
        <v>-24900</v>
      </c>
      <c r="E418" s="278">
        <v>-24900</v>
      </c>
    </row>
    <row r="419" spans="1:5" x14ac:dyDescent="0.3">
      <c r="A419" s="159">
        <v>649018</v>
      </c>
      <c r="B419" s="278">
        <v>-41000</v>
      </c>
      <c r="C419" s="278">
        <v>-41900</v>
      </c>
      <c r="D419" s="278">
        <v>0</v>
      </c>
      <c r="E419" s="278">
        <v>0</v>
      </c>
    </row>
    <row r="420" spans="1:5" x14ac:dyDescent="0.3">
      <c r="A420" s="159">
        <v>649019</v>
      </c>
      <c r="B420" s="278">
        <v>0</v>
      </c>
      <c r="C420" s="278">
        <v>0</v>
      </c>
      <c r="D420" s="278">
        <v>0</v>
      </c>
      <c r="E420" s="278">
        <v>0</v>
      </c>
    </row>
    <row r="421" spans="1:5" x14ac:dyDescent="0.3">
      <c r="A421" s="159">
        <v>649020</v>
      </c>
      <c r="B421" s="278">
        <v>250000</v>
      </c>
      <c r="C421" s="278">
        <v>0</v>
      </c>
      <c r="D421" s="278">
        <v>0</v>
      </c>
      <c r="E421" s="278">
        <v>0</v>
      </c>
    </row>
    <row r="422" spans="1:5" x14ac:dyDescent="0.3">
      <c r="A422" s="159">
        <v>649024</v>
      </c>
      <c r="B422" s="278">
        <v>0</v>
      </c>
      <c r="C422" s="278">
        <v>703266</v>
      </c>
      <c r="D422" s="278">
        <v>703266</v>
      </c>
      <c r="E422" s="278">
        <v>703266</v>
      </c>
    </row>
    <row r="423" spans="1:5" x14ac:dyDescent="0.3">
      <c r="A423" s="159">
        <v>649901</v>
      </c>
      <c r="B423" s="278">
        <v>0</v>
      </c>
      <c r="C423" s="278">
        <v>0</v>
      </c>
      <c r="D423" s="278">
        <v>0</v>
      </c>
      <c r="E423" s="278">
        <v>0</v>
      </c>
    </row>
    <row r="424" spans="1:5" x14ac:dyDescent="0.3">
      <c r="A424" s="159">
        <v>649902</v>
      </c>
      <c r="B424" s="278">
        <v>636385.71</v>
      </c>
      <c r="C424" s="278">
        <v>852824</v>
      </c>
      <c r="D424" s="278">
        <v>959629</v>
      </c>
      <c r="E424" s="278">
        <v>1017513</v>
      </c>
    </row>
    <row r="425" spans="1:5" x14ac:dyDescent="0.3">
      <c r="A425" s="159">
        <v>650001</v>
      </c>
      <c r="B425" s="278">
        <v>3742</v>
      </c>
      <c r="C425" s="278">
        <v>4045</v>
      </c>
      <c r="D425" s="278">
        <v>4375</v>
      </c>
      <c r="E425" s="278">
        <v>4425</v>
      </c>
    </row>
    <row r="426" spans="1:5" x14ac:dyDescent="0.3">
      <c r="A426" s="159">
        <v>650901</v>
      </c>
      <c r="B426" s="278">
        <v>5012</v>
      </c>
      <c r="C426" s="278">
        <v>5147</v>
      </c>
      <c r="D426" s="278">
        <v>5289</v>
      </c>
      <c r="E426" s="278">
        <v>5437</v>
      </c>
    </row>
    <row r="427" spans="1:5" x14ac:dyDescent="0.3">
      <c r="A427" s="159">
        <v>651001</v>
      </c>
      <c r="B427" s="278">
        <v>149391</v>
      </c>
      <c r="C427" s="278">
        <v>151578</v>
      </c>
      <c r="D427" s="278">
        <v>153813</v>
      </c>
      <c r="E427" s="278">
        <v>156097</v>
      </c>
    </row>
    <row r="428" spans="1:5" x14ac:dyDescent="0.3">
      <c r="A428" s="159">
        <v>651002</v>
      </c>
      <c r="B428" s="278">
        <v>58870</v>
      </c>
      <c r="C428" s="278">
        <v>61578</v>
      </c>
      <c r="D428" s="278">
        <v>64411</v>
      </c>
      <c r="E428" s="278">
        <v>67374</v>
      </c>
    </row>
    <row r="429" spans="1:5" x14ac:dyDescent="0.3">
      <c r="A429" s="159">
        <v>651003</v>
      </c>
      <c r="B429" s="278">
        <v>204300</v>
      </c>
      <c r="C429" s="278">
        <v>212429</v>
      </c>
      <c r="D429" s="278">
        <v>220982</v>
      </c>
      <c r="E429" s="278">
        <v>229861</v>
      </c>
    </row>
    <row r="430" spans="1:5" x14ac:dyDescent="0.3">
      <c r="A430" s="159">
        <v>651004</v>
      </c>
      <c r="B430" s="278">
        <v>17291</v>
      </c>
      <c r="C430" s="278">
        <v>17671</v>
      </c>
      <c r="D430" s="278">
        <v>18060</v>
      </c>
      <c r="E430" s="278">
        <v>18457</v>
      </c>
    </row>
    <row r="431" spans="1:5" x14ac:dyDescent="0.3">
      <c r="A431" s="159">
        <v>651005</v>
      </c>
      <c r="B431" s="278">
        <v>31527</v>
      </c>
      <c r="C431" s="278">
        <v>31781</v>
      </c>
      <c r="D431" s="278">
        <v>27040</v>
      </c>
      <c r="E431" s="278">
        <v>27305</v>
      </c>
    </row>
    <row r="432" spans="1:5" x14ac:dyDescent="0.3">
      <c r="A432" s="159">
        <v>651006</v>
      </c>
      <c r="B432" s="278">
        <v>-17954</v>
      </c>
      <c r="C432" s="278">
        <v>-18349</v>
      </c>
      <c r="D432" s="278">
        <v>-18753</v>
      </c>
      <c r="E432" s="278">
        <v>-19166</v>
      </c>
    </row>
    <row r="433" spans="1:5" x14ac:dyDescent="0.3">
      <c r="A433" s="159">
        <v>651007</v>
      </c>
      <c r="B433" s="278">
        <v>-407289.67</v>
      </c>
      <c r="C433" s="278">
        <v>-426025</v>
      </c>
      <c r="D433" s="278">
        <v>-445622</v>
      </c>
      <c r="E433" s="278">
        <v>-466121</v>
      </c>
    </row>
    <row r="434" spans="1:5" x14ac:dyDescent="0.3">
      <c r="A434" s="159">
        <v>651008</v>
      </c>
      <c r="B434" s="278">
        <v>520776</v>
      </c>
      <c r="C434" s="278">
        <v>530924</v>
      </c>
      <c r="D434" s="278">
        <v>362994</v>
      </c>
      <c r="E434" s="278">
        <v>365892</v>
      </c>
    </row>
    <row r="435" spans="1:5" x14ac:dyDescent="0.3">
      <c r="A435" s="159">
        <v>651012</v>
      </c>
      <c r="B435" s="278">
        <v>100000</v>
      </c>
      <c r="C435" s="278">
        <v>100000</v>
      </c>
      <c r="D435" s="278">
        <v>100000</v>
      </c>
      <c r="E435" s="278">
        <v>0</v>
      </c>
    </row>
    <row r="436" spans="1:5" x14ac:dyDescent="0.3">
      <c r="A436" s="159">
        <v>651901</v>
      </c>
      <c r="B436" s="278">
        <v>1411286.71</v>
      </c>
      <c r="C436" s="278">
        <v>1378514</v>
      </c>
      <c r="D436" s="278">
        <v>1640851</v>
      </c>
      <c r="E436" s="278">
        <v>1731959</v>
      </c>
    </row>
    <row r="437" spans="1:5" x14ac:dyDescent="0.3">
      <c r="A437" s="159">
        <v>651902</v>
      </c>
      <c r="B437" s="278">
        <v>170945.85</v>
      </c>
      <c r="C437" s="278">
        <v>178810</v>
      </c>
      <c r="D437" s="278">
        <v>187036</v>
      </c>
      <c r="E437" s="278">
        <v>195640</v>
      </c>
    </row>
    <row r="438" spans="1:5" x14ac:dyDescent="0.3">
      <c r="A438" s="159">
        <v>651903</v>
      </c>
      <c r="B438" s="278">
        <v>407289.67</v>
      </c>
      <c r="C438" s="278">
        <v>426025</v>
      </c>
      <c r="D438" s="278">
        <v>445622</v>
      </c>
      <c r="E438" s="278">
        <v>466121</v>
      </c>
    </row>
    <row r="439" spans="1:5" x14ac:dyDescent="0.3">
      <c r="A439" s="159">
        <v>652008</v>
      </c>
      <c r="B439" s="278">
        <v>282886.96265914501</v>
      </c>
      <c r="C439" s="278">
        <v>257240.56608497849</v>
      </c>
      <c r="D439" s="278">
        <v>151843.76494302784</v>
      </c>
      <c r="E439" s="278">
        <v>142279.1642533046</v>
      </c>
    </row>
    <row r="440" spans="1:5" x14ac:dyDescent="0.3">
      <c r="A440" s="159">
        <v>652012</v>
      </c>
      <c r="B440" s="278">
        <v>25646.981928866375</v>
      </c>
      <c r="C440" s="278">
        <v>26541.070031044754</v>
      </c>
      <c r="D440" s="278">
        <v>27265.634405991805</v>
      </c>
      <c r="E440" s="278">
        <v>14508.505772450946</v>
      </c>
    </row>
    <row r="441" spans="1:5" x14ac:dyDescent="0.3">
      <c r="A441" s="159">
        <v>652022</v>
      </c>
      <c r="B441" s="278">
        <v>104009.56535352548</v>
      </c>
      <c r="C441" s="278">
        <v>135540.84978941569</v>
      </c>
      <c r="D441" s="278">
        <v>102383.11381582274</v>
      </c>
      <c r="E441" s="278">
        <v>37589.79965252948</v>
      </c>
    </row>
    <row r="442" spans="1:5" x14ac:dyDescent="0.3">
      <c r="A442" s="159">
        <v>652023</v>
      </c>
      <c r="B442" s="278">
        <v>106133</v>
      </c>
      <c r="C442" s="278">
        <v>53851</v>
      </c>
      <c r="D442" s="278">
        <v>28928</v>
      </c>
      <c r="E442" s="278">
        <v>17563</v>
      </c>
    </row>
    <row r="443" spans="1:5" x14ac:dyDescent="0.3">
      <c r="A443" s="159">
        <v>652025</v>
      </c>
      <c r="B443" s="278">
        <v>-1017054.8166492325</v>
      </c>
      <c r="C443" s="278">
        <v>-875688.46894396818</v>
      </c>
      <c r="D443" s="278">
        <v>-725195.0223007286</v>
      </c>
      <c r="E443" s="278">
        <v>-314820</v>
      </c>
    </row>
    <row r="444" spans="1:5" x14ac:dyDescent="0.3">
      <c r="A444" s="159">
        <v>652026</v>
      </c>
      <c r="B444" s="278">
        <v>-11773766.183350768</v>
      </c>
      <c r="C444" s="278">
        <v>-11758281.531056032</v>
      </c>
      <c r="D444" s="278">
        <v>-8582068.9776992723</v>
      </c>
      <c r="E444" s="278">
        <v>-2993174</v>
      </c>
    </row>
    <row r="445" spans="1:5" x14ac:dyDescent="0.3">
      <c r="A445" s="159">
        <v>652027</v>
      </c>
      <c r="B445" s="278">
        <v>0</v>
      </c>
      <c r="C445" s="278">
        <v>-2035328</v>
      </c>
      <c r="D445" s="278">
        <v>0</v>
      </c>
      <c r="E445" s="278">
        <v>0</v>
      </c>
    </row>
    <row r="446" spans="1:5" x14ac:dyDescent="0.3">
      <c r="A446" s="159">
        <v>652030</v>
      </c>
      <c r="B446" s="278">
        <v>6064489.9269907428</v>
      </c>
      <c r="C446" s="278">
        <v>7283825.8894006899</v>
      </c>
      <c r="D446" s="278">
        <v>3310374</v>
      </c>
      <c r="E446" s="278">
        <v>-2618790.0000000009</v>
      </c>
    </row>
    <row r="447" spans="1:5" x14ac:dyDescent="0.3">
      <c r="A447" s="159">
        <v>652031</v>
      </c>
      <c r="B447" s="278">
        <v>15354.004643160726</v>
      </c>
      <c r="C447" s="278">
        <v>14893.952604024584</v>
      </c>
      <c r="D447" s="278">
        <v>9641.0795029401743</v>
      </c>
      <c r="E447" s="278">
        <v>9813.7632023037859</v>
      </c>
    </row>
    <row r="448" spans="1:5" x14ac:dyDescent="0.3">
      <c r="A448" s="159">
        <v>652034</v>
      </c>
      <c r="B448" s="278">
        <v>1749199.9882227166</v>
      </c>
      <c r="C448" s="278">
        <v>1810179.4400014165</v>
      </c>
      <c r="D448" s="278">
        <v>1041374.2485533133</v>
      </c>
      <c r="E448" s="278">
        <v>0</v>
      </c>
    </row>
    <row r="449" spans="1:5" x14ac:dyDescent="0.3">
      <c r="A449" s="159">
        <v>652035</v>
      </c>
      <c r="B449" s="278">
        <v>3910613.4311516546</v>
      </c>
      <c r="C449" s="278">
        <v>4407286.2309399927</v>
      </c>
      <c r="D449" s="278">
        <v>4130265.8638896169</v>
      </c>
      <c r="E449" s="278">
        <v>5404242.082119938</v>
      </c>
    </row>
    <row r="450" spans="1:5" x14ac:dyDescent="0.3">
      <c r="A450" s="159">
        <v>652901</v>
      </c>
      <c r="B450" s="278">
        <v>477727.4331718004</v>
      </c>
      <c r="C450" s="278">
        <v>439153.54827796482</v>
      </c>
      <c r="D450" s="278">
        <v>363864.30555860366</v>
      </c>
      <c r="E450" s="278">
        <v>334052.81373934716</v>
      </c>
    </row>
    <row r="451" spans="1:5" x14ac:dyDescent="0.3">
      <c r="A451" s="159">
        <v>652902</v>
      </c>
      <c r="B451" s="278">
        <v>521959.70587838878</v>
      </c>
      <c r="C451" s="278">
        <v>554112.4528704728</v>
      </c>
      <c r="D451" s="278">
        <v>460916.98933068349</v>
      </c>
      <c r="E451" s="278">
        <v>292719.87126012688</v>
      </c>
    </row>
    <row r="452" spans="1:5" x14ac:dyDescent="0.3">
      <c r="A452" s="159">
        <v>653001</v>
      </c>
      <c r="B452" s="278">
        <v>22688</v>
      </c>
      <c r="C452" s="278">
        <v>23187</v>
      </c>
      <c r="D452" s="278">
        <v>23697</v>
      </c>
      <c r="E452" s="278">
        <v>24218</v>
      </c>
    </row>
    <row r="453" spans="1:5" x14ac:dyDescent="0.3">
      <c r="A453" s="159">
        <v>653002</v>
      </c>
      <c r="B453" s="278">
        <v>84505</v>
      </c>
      <c r="C453" s="278">
        <v>86369</v>
      </c>
      <c r="D453" s="278">
        <v>88269</v>
      </c>
      <c r="E453" s="278">
        <v>90205</v>
      </c>
    </row>
    <row r="454" spans="1:5" x14ac:dyDescent="0.3">
      <c r="A454" s="159">
        <v>653003</v>
      </c>
      <c r="B454" s="278">
        <v>148386</v>
      </c>
      <c r="C454" s="278">
        <v>151650</v>
      </c>
      <c r="D454" s="278">
        <v>154986</v>
      </c>
      <c r="E454" s="278">
        <v>158396</v>
      </c>
    </row>
    <row r="455" spans="1:5" x14ac:dyDescent="0.3">
      <c r="A455" s="159">
        <v>653004</v>
      </c>
      <c r="B455" s="278">
        <v>40225</v>
      </c>
      <c r="C455" s="278">
        <v>41110</v>
      </c>
      <c r="D455" s="278">
        <v>42014</v>
      </c>
      <c r="E455" s="278">
        <v>42938</v>
      </c>
    </row>
    <row r="456" spans="1:5" x14ac:dyDescent="0.3">
      <c r="A456" s="159">
        <v>653005</v>
      </c>
      <c r="B456" s="278">
        <v>-855000</v>
      </c>
      <c r="C456" s="278">
        <v>-855000</v>
      </c>
      <c r="D456" s="278">
        <v>-855000</v>
      </c>
      <c r="E456" s="278">
        <v>-855000</v>
      </c>
    </row>
    <row r="457" spans="1:5" x14ac:dyDescent="0.3">
      <c r="A457" s="159">
        <v>653006</v>
      </c>
      <c r="B457" s="278">
        <v>27351</v>
      </c>
      <c r="C457" s="278">
        <v>27952</v>
      </c>
      <c r="D457" s="278">
        <v>28567</v>
      </c>
      <c r="E457" s="278">
        <v>29195</v>
      </c>
    </row>
    <row r="458" spans="1:5" x14ac:dyDescent="0.3">
      <c r="A458" s="159">
        <v>653007</v>
      </c>
      <c r="B458" s="278">
        <v>0</v>
      </c>
      <c r="C458" s="278">
        <v>0</v>
      </c>
      <c r="D458" s="278">
        <v>0</v>
      </c>
      <c r="E458" s="278">
        <v>0</v>
      </c>
    </row>
    <row r="459" spans="1:5" x14ac:dyDescent="0.3">
      <c r="A459" s="159">
        <v>653008</v>
      </c>
      <c r="B459" s="278">
        <v>0</v>
      </c>
      <c r="C459" s="278">
        <v>0</v>
      </c>
      <c r="D459" s="278">
        <v>0</v>
      </c>
      <c r="E459" s="278">
        <v>0</v>
      </c>
    </row>
    <row r="460" spans="1:5" x14ac:dyDescent="0.3">
      <c r="A460" s="159">
        <v>653009</v>
      </c>
      <c r="B460" s="278">
        <v>190748</v>
      </c>
      <c r="C460" s="278">
        <v>194944</v>
      </c>
      <c r="D460" s="278">
        <v>199233</v>
      </c>
      <c r="E460" s="278">
        <v>203616</v>
      </c>
    </row>
    <row r="461" spans="1:5" x14ac:dyDescent="0.3">
      <c r="A461" s="159">
        <v>653010</v>
      </c>
      <c r="B461" s="278">
        <v>24299</v>
      </c>
      <c r="C461" s="278">
        <v>24834</v>
      </c>
      <c r="D461" s="278">
        <v>25380</v>
      </c>
      <c r="E461" s="278">
        <v>25938</v>
      </c>
    </row>
    <row r="462" spans="1:5" x14ac:dyDescent="0.3">
      <c r="A462" s="159">
        <v>653011</v>
      </c>
      <c r="B462" s="278">
        <v>22816</v>
      </c>
      <c r="C462" s="278">
        <v>23318</v>
      </c>
      <c r="D462" s="278">
        <v>23831</v>
      </c>
      <c r="E462" s="278">
        <v>24355</v>
      </c>
    </row>
    <row r="463" spans="1:5" x14ac:dyDescent="0.3">
      <c r="A463" s="159">
        <v>653012</v>
      </c>
      <c r="B463" s="278">
        <v>16765</v>
      </c>
      <c r="C463" s="278">
        <v>17134</v>
      </c>
      <c r="D463" s="278">
        <v>17511</v>
      </c>
      <c r="E463" s="278">
        <v>17896</v>
      </c>
    </row>
    <row r="464" spans="1:5" x14ac:dyDescent="0.3">
      <c r="A464" s="159">
        <v>653013</v>
      </c>
      <c r="B464" s="278">
        <v>153909</v>
      </c>
      <c r="C464" s="278">
        <v>117293</v>
      </c>
      <c r="D464" s="278">
        <v>114872</v>
      </c>
      <c r="E464" s="278">
        <v>117399</v>
      </c>
    </row>
    <row r="465" spans="1:5" x14ac:dyDescent="0.3">
      <c r="A465" s="159">
        <v>653014</v>
      </c>
      <c r="B465" s="278">
        <v>0</v>
      </c>
      <c r="C465" s="278">
        <v>0</v>
      </c>
      <c r="D465" s="278">
        <v>0</v>
      </c>
      <c r="E465" s="278">
        <v>0</v>
      </c>
    </row>
    <row r="466" spans="1:5" x14ac:dyDescent="0.3">
      <c r="A466" s="159">
        <v>653901</v>
      </c>
      <c r="B466" s="278">
        <v>599955.9</v>
      </c>
      <c r="C466" s="278">
        <v>628521</v>
      </c>
      <c r="D466" s="278">
        <v>658422</v>
      </c>
      <c r="E466" s="278">
        <v>689720</v>
      </c>
    </row>
    <row r="467" spans="1:5" x14ac:dyDescent="0.3">
      <c r="A467" s="159">
        <v>653902</v>
      </c>
      <c r="B467" s="278">
        <v>239776.58</v>
      </c>
      <c r="C467" s="278">
        <v>248709</v>
      </c>
      <c r="D467" s="278">
        <v>257899</v>
      </c>
      <c r="E467" s="278">
        <v>267457</v>
      </c>
    </row>
    <row r="468" spans="1:5" x14ac:dyDescent="0.3">
      <c r="A468" s="159">
        <v>676001</v>
      </c>
      <c r="B468" s="278">
        <v>0</v>
      </c>
      <c r="C468" s="278">
        <v>0</v>
      </c>
      <c r="D468" s="278">
        <v>0</v>
      </c>
      <c r="E468" s="278">
        <v>0</v>
      </c>
    </row>
    <row r="469" spans="1:5" x14ac:dyDescent="0.3">
      <c r="A469" s="159">
        <v>676002</v>
      </c>
      <c r="B469" s="278">
        <v>270000</v>
      </c>
      <c r="C469" s="278">
        <v>277800</v>
      </c>
      <c r="D469" s="278">
        <v>286000</v>
      </c>
      <c r="E469" s="278">
        <v>294600</v>
      </c>
    </row>
    <row r="470" spans="1:5" x14ac:dyDescent="0.3">
      <c r="A470" s="159">
        <v>676003</v>
      </c>
      <c r="B470" s="278">
        <v>605700</v>
      </c>
      <c r="C470" s="278">
        <v>633500</v>
      </c>
      <c r="D470" s="278">
        <v>662700</v>
      </c>
      <c r="E470" s="278">
        <v>693300</v>
      </c>
    </row>
    <row r="471" spans="1:5" x14ac:dyDescent="0.3">
      <c r="A471" s="159">
        <v>676004</v>
      </c>
      <c r="B471" s="278">
        <v>1227380</v>
      </c>
      <c r="C471" s="278">
        <v>1284110</v>
      </c>
      <c r="D471" s="278">
        <v>1159080</v>
      </c>
      <c r="E471" s="278">
        <v>1212400</v>
      </c>
    </row>
    <row r="472" spans="1:5" x14ac:dyDescent="0.3">
      <c r="A472" s="159">
        <v>676901</v>
      </c>
      <c r="B472" s="278">
        <v>102000</v>
      </c>
      <c r="C472" s="278">
        <v>204244</v>
      </c>
      <c r="D472" s="278">
        <v>208737</v>
      </c>
      <c r="E472" s="278">
        <v>213329</v>
      </c>
    </row>
    <row r="473" spans="1:5" x14ac:dyDescent="0.3">
      <c r="A473" s="159">
        <v>677001</v>
      </c>
      <c r="B473" s="278">
        <v>23555.300350000005</v>
      </c>
      <c r="C473" s="278">
        <v>24698.515367500018</v>
      </c>
      <c r="D473" s="278">
        <v>25893.941135875008</v>
      </c>
      <c r="E473" s="278">
        <v>27153.338192668743</v>
      </c>
    </row>
    <row r="474" spans="1:5" x14ac:dyDescent="0.3">
      <c r="A474" s="159">
        <v>677002</v>
      </c>
      <c r="B474" s="278">
        <v>364600</v>
      </c>
      <c r="C474" s="278">
        <v>381419</v>
      </c>
      <c r="D474" s="278">
        <v>398958</v>
      </c>
      <c r="E474" s="278">
        <v>417304</v>
      </c>
    </row>
    <row r="475" spans="1:5" x14ac:dyDescent="0.3">
      <c r="A475" s="159">
        <v>677901</v>
      </c>
      <c r="B475" s="278">
        <v>127776</v>
      </c>
      <c r="C475" s="278">
        <v>137629</v>
      </c>
      <c r="D475" s="278">
        <v>117416</v>
      </c>
      <c r="E475" s="278">
        <v>119384</v>
      </c>
    </row>
    <row r="476" spans="1:5" x14ac:dyDescent="0.3">
      <c r="A476" s="159">
        <v>678001</v>
      </c>
      <c r="B476" s="278">
        <v>160400</v>
      </c>
      <c r="C476" s="278">
        <v>150600</v>
      </c>
      <c r="D476" s="278">
        <v>153900</v>
      </c>
      <c r="E476" s="278">
        <v>157300</v>
      </c>
    </row>
    <row r="477" spans="1:5" x14ac:dyDescent="0.3">
      <c r="A477" s="159">
        <v>678002</v>
      </c>
      <c r="B477" s="278">
        <v>196420</v>
      </c>
      <c r="C477" s="278">
        <v>200760</v>
      </c>
      <c r="D477" s="278">
        <v>205200</v>
      </c>
      <c r="E477" s="278">
        <v>209750</v>
      </c>
    </row>
    <row r="478" spans="1:5" x14ac:dyDescent="0.3">
      <c r="A478" s="159">
        <v>678003</v>
      </c>
      <c r="B478" s="278">
        <v>274400</v>
      </c>
      <c r="C478" s="278">
        <v>280400</v>
      </c>
      <c r="D478" s="278">
        <v>286600</v>
      </c>
      <c r="E478" s="278">
        <v>292900</v>
      </c>
    </row>
    <row r="479" spans="1:5" x14ac:dyDescent="0.3">
      <c r="A479" s="159">
        <v>678004</v>
      </c>
      <c r="B479" s="278">
        <v>-19120</v>
      </c>
      <c r="C479" s="278">
        <v>-19540</v>
      </c>
      <c r="D479" s="278">
        <v>-19970</v>
      </c>
      <c r="E479" s="278">
        <v>-20410</v>
      </c>
    </row>
    <row r="480" spans="1:5" x14ac:dyDescent="0.3">
      <c r="A480" s="159">
        <v>678005</v>
      </c>
      <c r="B480" s="278">
        <v>5600</v>
      </c>
      <c r="C480" s="278">
        <v>5720</v>
      </c>
      <c r="D480" s="278">
        <v>5850</v>
      </c>
      <c r="E480" s="278">
        <v>5980</v>
      </c>
    </row>
    <row r="481" spans="1:5" x14ac:dyDescent="0.3">
      <c r="A481" s="159">
        <v>678006</v>
      </c>
      <c r="B481" s="278">
        <v>67190</v>
      </c>
      <c r="C481" s="278">
        <v>68670</v>
      </c>
      <c r="D481" s="278">
        <v>70180</v>
      </c>
      <c r="E481" s="278">
        <v>71720</v>
      </c>
    </row>
    <row r="482" spans="1:5" x14ac:dyDescent="0.3">
      <c r="A482" s="159">
        <v>678007</v>
      </c>
      <c r="B482" s="278">
        <v>40470</v>
      </c>
      <c r="C482" s="278">
        <v>41360</v>
      </c>
      <c r="D482" s="278">
        <v>42270</v>
      </c>
      <c r="E482" s="278">
        <v>43200</v>
      </c>
    </row>
    <row r="483" spans="1:5" x14ac:dyDescent="0.3">
      <c r="A483" s="159">
        <v>678008</v>
      </c>
      <c r="B483" s="278">
        <v>170900</v>
      </c>
      <c r="C483" s="278">
        <v>174700</v>
      </c>
      <c r="D483" s="278">
        <v>178500</v>
      </c>
      <c r="E483" s="278">
        <v>182400</v>
      </c>
    </row>
    <row r="484" spans="1:5" x14ac:dyDescent="0.3">
      <c r="A484" s="159">
        <v>678009</v>
      </c>
      <c r="B484" s="278">
        <v>23390</v>
      </c>
      <c r="C484" s="278">
        <v>23900</v>
      </c>
      <c r="D484" s="278">
        <v>24430</v>
      </c>
      <c r="E484" s="278">
        <v>24970</v>
      </c>
    </row>
    <row r="485" spans="1:5" x14ac:dyDescent="0.3">
      <c r="A485" s="159">
        <v>678010</v>
      </c>
      <c r="B485" s="278">
        <v>13060</v>
      </c>
      <c r="C485" s="278">
        <v>13560</v>
      </c>
      <c r="D485" s="278">
        <v>14080</v>
      </c>
      <c r="E485" s="278">
        <v>14620</v>
      </c>
    </row>
    <row r="486" spans="1:5" x14ac:dyDescent="0.3">
      <c r="A486" s="159">
        <v>678011</v>
      </c>
      <c r="B486" s="278">
        <v>22780</v>
      </c>
      <c r="C486" s="278">
        <v>23280</v>
      </c>
      <c r="D486" s="278">
        <v>23800</v>
      </c>
      <c r="E486" s="278">
        <v>24320</v>
      </c>
    </row>
    <row r="487" spans="1:5" x14ac:dyDescent="0.3">
      <c r="A487" s="159">
        <v>678901</v>
      </c>
      <c r="B487" s="278">
        <v>0</v>
      </c>
      <c r="C487" s="278">
        <v>0</v>
      </c>
      <c r="D487" s="278">
        <v>0</v>
      </c>
      <c r="E487" s="278">
        <v>0</v>
      </c>
    </row>
    <row r="488" spans="1:5" x14ac:dyDescent="0.3">
      <c r="A488" s="159">
        <v>679001</v>
      </c>
      <c r="B488" s="278">
        <v>2666800</v>
      </c>
      <c r="C488" s="278">
        <v>2789300</v>
      </c>
      <c r="D488" s="278">
        <v>2917900</v>
      </c>
      <c r="E488" s="278">
        <v>3051900</v>
      </c>
    </row>
    <row r="489" spans="1:5" x14ac:dyDescent="0.3">
      <c r="A489" s="159">
        <v>679002</v>
      </c>
      <c r="B489" s="278">
        <v>-92500</v>
      </c>
      <c r="C489" s="278">
        <v>-173600</v>
      </c>
      <c r="D489" s="278">
        <v>-181600</v>
      </c>
      <c r="E489" s="278">
        <v>-186000</v>
      </c>
    </row>
    <row r="490" spans="1:5" x14ac:dyDescent="0.3">
      <c r="A490" s="159">
        <v>680001</v>
      </c>
      <c r="B490" s="278">
        <v>1677574</v>
      </c>
      <c r="C490" s="278">
        <v>1878975</v>
      </c>
      <c r="D490" s="278">
        <v>2062175</v>
      </c>
      <c r="E490" s="278">
        <v>2137375</v>
      </c>
    </row>
    <row r="491" spans="1:5" x14ac:dyDescent="0.3">
      <c r="A491" s="159">
        <v>680002</v>
      </c>
      <c r="B491" s="278">
        <v>-61000</v>
      </c>
      <c r="C491" s="278">
        <v>-125500</v>
      </c>
      <c r="D491" s="278">
        <v>-131300</v>
      </c>
      <c r="E491" s="278">
        <v>-137300</v>
      </c>
    </row>
    <row r="492" spans="1:5" x14ac:dyDescent="0.3">
      <c r="A492" s="159">
        <v>680901</v>
      </c>
      <c r="B492" s="278">
        <v>255701</v>
      </c>
      <c r="C492" s="278">
        <v>261327</v>
      </c>
      <c r="D492" s="278">
        <v>267077</v>
      </c>
      <c r="E492" s="278">
        <v>272952</v>
      </c>
    </row>
    <row r="493" spans="1:5" x14ac:dyDescent="0.3">
      <c r="A493" s="159">
        <v>681001</v>
      </c>
      <c r="B493" s="278">
        <v>617200</v>
      </c>
      <c r="C493" s="278">
        <v>645800</v>
      </c>
      <c r="D493" s="278">
        <v>675600</v>
      </c>
      <c r="E493" s="278">
        <v>706700</v>
      </c>
    </row>
    <row r="494" spans="1:5" x14ac:dyDescent="0.3">
      <c r="A494" s="159">
        <v>681002</v>
      </c>
      <c r="B494" s="278">
        <v>115500</v>
      </c>
      <c r="C494" s="278">
        <v>120800</v>
      </c>
      <c r="D494" s="278">
        <v>126400</v>
      </c>
      <c r="E494" s="278">
        <v>132200</v>
      </c>
    </row>
    <row r="495" spans="1:5" x14ac:dyDescent="0.3">
      <c r="A495" s="159">
        <v>682001</v>
      </c>
      <c r="B495" s="278">
        <v>63500</v>
      </c>
      <c r="C495" s="278">
        <v>66400</v>
      </c>
      <c r="D495" s="278">
        <v>69500</v>
      </c>
      <c r="E495" s="278">
        <v>72700</v>
      </c>
    </row>
    <row r="496" spans="1:5" x14ac:dyDescent="0.3">
      <c r="A496" s="159">
        <v>683001</v>
      </c>
      <c r="B496" s="278">
        <v>382000</v>
      </c>
      <c r="C496" s="278">
        <v>400000</v>
      </c>
      <c r="D496" s="278">
        <v>418000</v>
      </c>
      <c r="E496" s="278">
        <v>437000</v>
      </c>
    </row>
    <row r="497" spans="1:5" x14ac:dyDescent="0.3">
      <c r="A497" s="159">
        <v>684901</v>
      </c>
      <c r="B497" s="278">
        <v>1051284.8700000001</v>
      </c>
      <c r="C497" s="278">
        <v>979772.62102000008</v>
      </c>
      <c r="D497" s="278">
        <v>1024841.4395869201</v>
      </c>
      <c r="E497" s="278">
        <v>1071984.1638079183</v>
      </c>
    </row>
    <row r="498" spans="1:5" x14ac:dyDescent="0.3">
      <c r="A498" s="159">
        <v>688001</v>
      </c>
      <c r="B498" s="278">
        <v>3749240</v>
      </c>
      <c r="C498" s="278">
        <v>3864690</v>
      </c>
      <c r="D498" s="278">
        <v>4008140</v>
      </c>
      <c r="E498" s="278">
        <v>4086140</v>
      </c>
    </row>
    <row r="499" spans="1:5" x14ac:dyDescent="0.3">
      <c r="A499" s="159">
        <v>688002</v>
      </c>
      <c r="B499" s="278">
        <v>2828000</v>
      </c>
      <c r="C499" s="278">
        <v>2958000</v>
      </c>
      <c r="D499" s="278">
        <v>3094000</v>
      </c>
      <c r="E499" s="278">
        <v>3237000</v>
      </c>
    </row>
    <row r="500" spans="1:5" x14ac:dyDescent="0.3">
      <c r="A500" s="159">
        <v>688003</v>
      </c>
      <c r="B500" s="278">
        <v>41000</v>
      </c>
      <c r="C500" s="278">
        <v>43000</v>
      </c>
      <c r="D500" s="278">
        <v>45000</v>
      </c>
      <c r="E500" s="278">
        <v>47000</v>
      </c>
    </row>
    <row r="501" spans="1:5" x14ac:dyDescent="0.3">
      <c r="A501" s="159">
        <v>688004</v>
      </c>
      <c r="B501" s="278">
        <v>118000</v>
      </c>
      <c r="C501" s="278">
        <v>123000</v>
      </c>
      <c r="D501" s="278">
        <v>128000</v>
      </c>
      <c r="E501" s="278">
        <v>133000</v>
      </c>
    </row>
    <row r="502" spans="1:5" x14ac:dyDescent="0.3">
      <c r="A502" s="159">
        <v>688005</v>
      </c>
      <c r="B502" s="278">
        <v>941000</v>
      </c>
      <c r="C502" s="278">
        <v>984000</v>
      </c>
      <c r="D502" s="278">
        <v>1029000</v>
      </c>
      <c r="E502" s="278">
        <v>1077000</v>
      </c>
    </row>
    <row r="503" spans="1:5" x14ac:dyDescent="0.3">
      <c r="A503" s="159">
        <v>688901</v>
      </c>
      <c r="B503" s="278">
        <v>29047</v>
      </c>
      <c r="C503" s="278">
        <v>29446</v>
      </c>
      <c r="D503" s="278">
        <v>30094</v>
      </c>
      <c r="E503" s="278">
        <v>30756</v>
      </c>
    </row>
    <row r="504" spans="1:5" x14ac:dyDescent="0.3">
      <c r="A504" s="159">
        <v>691001</v>
      </c>
      <c r="B504" s="278">
        <v>262000</v>
      </c>
      <c r="C504" s="278">
        <v>274000</v>
      </c>
      <c r="D504" s="278">
        <v>287000</v>
      </c>
      <c r="E504" s="278">
        <v>300000</v>
      </c>
    </row>
    <row r="505" spans="1:5" x14ac:dyDescent="0.3">
      <c r="A505" s="159">
        <v>691002</v>
      </c>
      <c r="B505" s="278">
        <v>34000</v>
      </c>
      <c r="C505" s="278">
        <v>35000</v>
      </c>
      <c r="D505" s="278">
        <v>36000</v>
      </c>
      <c r="E505" s="278">
        <v>37000</v>
      </c>
    </row>
    <row r="506" spans="1:5" x14ac:dyDescent="0.3">
      <c r="A506" s="159">
        <v>691003</v>
      </c>
      <c r="B506" s="278">
        <v>1506000</v>
      </c>
      <c r="C506" s="278">
        <v>1575000</v>
      </c>
      <c r="D506" s="278">
        <v>1647000</v>
      </c>
      <c r="E506" s="278">
        <v>1722000</v>
      </c>
    </row>
    <row r="507" spans="1:5" x14ac:dyDescent="0.3">
      <c r="A507" s="159">
        <v>691004</v>
      </c>
      <c r="B507" s="278">
        <v>42000</v>
      </c>
      <c r="C507" s="278">
        <v>44000</v>
      </c>
      <c r="D507" s="278">
        <v>47000</v>
      </c>
      <c r="E507" s="278">
        <v>49000</v>
      </c>
    </row>
    <row r="508" spans="1:5" x14ac:dyDescent="0.3">
      <c r="A508" s="159">
        <v>691005</v>
      </c>
      <c r="B508" s="278">
        <v>31000</v>
      </c>
      <c r="C508" s="278">
        <v>33000</v>
      </c>
      <c r="D508" s="278">
        <v>34000</v>
      </c>
      <c r="E508" s="278">
        <v>36000</v>
      </c>
    </row>
    <row r="509" spans="1:5" x14ac:dyDescent="0.3">
      <c r="A509" s="159">
        <v>691006</v>
      </c>
      <c r="B509" s="278">
        <v>10000</v>
      </c>
      <c r="C509" s="278">
        <v>10000</v>
      </c>
      <c r="D509" s="278">
        <v>11000</v>
      </c>
      <c r="E509" s="278">
        <v>11000</v>
      </c>
    </row>
    <row r="510" spans="1:5" x14ac:dyDescent="0.3">
      <c r="A510" s="159">
        <v>693001</v>
      </c>
      <c r="B510" s="278">
        <v>554000</v>
      </c>
      <c r="C510" s="278">
        <v>579000</v>
      </c>
      <c r="D510" s="278">
        <v>606000</v>
      </c>
      <c r="E510" s="278">
        <v>634000</v>
      </c>
    </row>
    <row r="511" spans="1:5" x14ac:dyDescent="0.3">
      <c r="A511" s="159">
        <v>694901</v>
      </c>
      <c r="B511" s="278">
        <v>1851945.81</v>
      </c>
      <c r="C511" s="278">
        <v>1937135</v>
      </c>
      <c r="D511" s="278">
        <v>2026244</v>
      </c>
      <c r="E511" s="278">
        <v>2119451</v>
      </c>
    </row>
    <row r="512" spans="1:5" x14ac:dyDescent="0.3">
      <c r="A512" s="159">
        <v>695001</v>
      </c>
      <c r="B512" s="278">
        <v>429000</v>
      </c>
      <c r="C512" s="278">
        <v>449000</v>
      </c>
      <c r="D512" s="278">
        <v>470000</v>
      </c>
      <c r="E512" s="278">
        <v>491000</v>
      </c>
    </row>
    <row r="513" spans="1:10" x14ac:dyDescent="0.3">
      <c r="A513" s="159">
        <v>696001</v>
      </c>
      <c r="B513" s="278">
        <v>85000</v>
      </c>
      <c r="C513" s="278">
        <v>89000</v>
      </c>
      <c r="D513" s="278">
        <v>93000</v>
      </c>
      <c r="E513" s="278">
        <v>97000</v>
      </c>
    </row>
    <row r="514" spans="1:10" x14ac:dyDescent="0.3">
      <c r="A514" s="159" t="s">
        <v>100</v>
      </c>
      <c r="B514" s="278">
        <v>337000</v>
      </c>
      <c r="C514" s="278">
        <v>0</v>
      </c>
      <c r="D514" s="278">
        <v>0</v>
      </c>
      <c r="E514" s="278">
        <v>0</v>
      </c>
    </row>
    <row r="515" spans="1:10" x14ac:dyDescent="0.3">
      <c r="A515" s="159" t="s">
        <v>124</v>
      </c>
      <c r="B515" s="278">
        <v>0</v>
      </c>
      <c r="C515" s="278">
        <v>-1000000</v>
      </c>
      <c r="D515" s="278">
        <v>-1000000</v>
      </c>
      <c r="E515" s="278">
        <v>-1000000</v>
      </c>
    </row>
    <row r="516" spans="1:10" x14ac:dyDescent="0.3">
      <c r="A516" s="159" t="s">
        <v>127</v>
      </c>
      <c r="B516" s="278">
        <v>50000</v>
      </c>
      <c r="C516" s="278">
        <v>50000</v>
      </c>
      <c r="D516" s="278">
        <v>0</v>
      </c>
      <c r="E516" s="278">
        <v>0</v>
      </c>
    </row>
    <row r="517" spans="1:10" x14ac:dyDescent="0.3">
      <c r="A517" s="159" t="s">
        <v>136</v>
      </c>
      <c r="B517" s="278">
        <v>-1700582.8673517206</v>
      </c>
      <c r="C517" s="278">
        <v>-1455914.3615946136</v>
      </c>
      <c r="D517" s="278">
        <v>1142980.4754028488</v>
      </c>
      <c r="E517" s="278">
        <v>887102.62035023794</v>
      </c>
    </row>
    <row r="520" spans="1:10" x14ac:dyDescent="0.3">
      <c r="A520" s="280" t="s">
        <v>137</v>
      </c>
      <c r="B520" s="279">
        <v>-1700582.8673517206</v>
      </c>
      <c r="C520" s="279">
        <v>-1455914.3615946136</v>
      </c>
      <c r="D520" s="279">
        <v>1142980.4754028488</v>
      </c>
      <c r="E520" s="279">
        <v>887102.62035023794</v>
      </c>
    </row>
    <row r="521" spans="1:10" x14ac:dyDescent="0.3">
      <c r="B521" s="1782">
        <v>-980246.59748575091</v>
      </c>
      <c r="C521" s="1782">
        <v>-946399.03616294265</v>
      </c>
      <c r="D521" s="1782">
        <v>-3851192.2080393732</v>
      </c>
      <c r="E521" s="1782">
        <v>-4003624.3531794399</v>
      </c>
      <c r="F521" s="261" t="s">
        <v>138</v>
      </c>
      <c r="G521" s="295"/>
      <c r="H521" s="295"/>
      <c r="I521" s="295"/>
      <c r="J521" s="295"/>
    </row>
    <row r="522" spans="1:10" x14ac:dyDescent="0.3">
      <c r="G522" s="295"/>
      <c r="H522" s="295"/>
      <c r="I522" s="295"/>
      <c r="J522" s="295"/>
    </row>
    <row r="523" spans="1:10" ht="15" thickTop="1" x14ac:dyDescent="0.3">
      <c r="A523" s="280" t="s">
        <v>139</v>
      </c>
      <c r="B523" s="279">
        <v>-1003000</v>
      </c>
      <c r="C523" s="279">
        <v>-873000</v>
      </c>
      <c r="D523" s="279">
        <v>-4317000</v>
      </c>
      <c r="E523" s="279">
        <v>-4931000</v>
      </c>
    </row>
    <row r="524" spans="1:10" x14ac:dyDescent="0.3">
      <c r="A524" s="103" t="s">
        <v>140</v>
      </c>
      <c r="B524" s="114">
        <v>364489.35097718053</v>
      </c>
      <c r="C524" s="114">
        <v>344581.87061746046</v>
      </c>
      <c r="D524" s="114">
        <v>-3873182.6658023167</v>
      </c>
      <c r="E524" s="114">
        <v>-4232187.2167886812</v>
      </c>
    </row>
    <row r="525" spans="1:10" x14ac:dyDescent="0.3">
      <c r="B525" s="114"/>
      <c r="C525" s="114"/>
      <c r="D525" s="114"/>
      <c r="E525" s="114"/>
    </row>
    <row r="526" spans="1:10" x14ac:dyDescent="0.3">
      <c r="A526" t="s">
        <v>141</v>
      </c>
      <c r="B526" s="278">
        <f>B524-B523</f>
        <v>1367489.3509771805</v>
      </c>
      <c r="C526" s="278">
        <f t="shared" ref="C526:E526" si="0">C524-C523</f>
        <v>1217581.8706174605</v>
      </c>
      <c r="D526" s="278">
        <f t="shared" si="0"/>
        <v>443817.33419768326</v>
      </c>
      <c r="E526" s="278">
        <f t="shared" si="0"/>
        <v>698812.78321131878</v>
      </c>
    </row>
    <row r="527" spans="1:10" x14ac:dyDescent="0.3">
      <c r="A527" t="s">
        <v>142</v>
      </c>
      <c r="B527" s="278">
        <f>-B561</f>
        <v>-1460000</v>
      </c>
      <c r="C527" s="278">
        <f t="shared" ref="C527:E527" si="1">-C561</f>
        <v>-1737500</v>
      </c>
      <c r="D527" s="278">
        <f t="shared" si="1"/>
        <v>0</v>
      </c>
      <c r="E527" s="278">
        <f t="shared" si="1"/>
        <v>0</v>
      </c>
    </row>
    <row r="528" spans="1:10" x14ac:dyDescent="0.3">
      <c r="A528" t="s">
        <v>143</v>
      </c>
      <c r="B528" s="278">
        <v>0</v>
      </c>
      <c r="C528" s="278">
        <v>300000</v>
      </c>
      <c r="D528" s="278">
        <v>-150000</v>
      </c>
      <c r="E528" s="278">
        <v>450000</v>
      </c>
    </row>
    <row r="529" spans="1:13" x14ac:dyDescent="0.3">
      <c r="A529" t="s">
        <v>144</v>
      </c>
      <c r="B529" s="278">
        <v>-325000</v>
      </c>
      <c r="C529" s="278">
        <v>-325000</v>
      </c>
      <c r="D529" s="278">
        <v>-325000</v>
      </c>
      <c r="E529" s="278">
        <v>-325000</v>
      </c>
    </row>
    <row r="530" spans="1:13" x14ac:dyDescent="0.3">
      <c r="A530" s="294" t="s">
        <v>145</v>
      </c>
      <c r="B530" s="292">
        <v>-24489.3509771805</v>
      </c>
      <c r="C530" s="292">
        <v>-171081.87061745999</v>
      </c>
      <c r="D530" s="292">
        <v>265182.66580231697</v>
      </c>
      <c r="E530" s="292">
        <v>435187.21678868099</v>
      </c>
    </row>
    <row r="531" spans="1:13" x14ac:dyDescent="0.3">
      <c r="A531" s="294" t="s">
        <v>146</v>
      </c>
      <c r="B531" s="292">
        <v>-288000</v>
      </c>
      <c r="C531" s="292">
        <v>-304000</v>
      </c>
      <c r="D531" s="292">
        <v>-334000</v>
      </c>
      <c r="E531" s="292">
        <v>-1384000</v>
      </c>
      <c r="G531" s="97" t="s">
        <v>147</v>
      </c>
      <c r="H531" s="97"/>
      <c r="I531" t="s">
        <v>148</v>
      </c>
      <c r="J531" s="215">
        <v>-150000</v>
      </c>
      <c r="K531" s="215">
        <v>-189000</v>
      </c>
      <c r="L531" s="215">
        <v>-201000</v>
      </c>
      <c r="M531" s="215">
        <v>804000</v>
      </c>
    </row>
    <row r="532" spans="1:13" x14ac:dyDescent="0.3">
      <c r="A532" t="s">
        <v>149</v>
      </c>
      <c r="B532" s="278">
        <v>60000</v>
      </c>
      <c r="C532" s="278">
        <v>60000</v>
      </c>
      <c r="D532" s="278">
        <v>60000</v>
      </c>
      <c r="E532" s="278">
        <v>60000</v>
      </c>
      <c r="J532" s="215"/>
      <c r="K532" s="215"/>
      <c r="L532" s="215"/>
      <c r="M532" s="215"/>
    </row>
    <row r="533" spans="1:13" x14ac:dyDescent="0.3">
      <c r="A533" t="s">
        <v>150</v>
      </c>
      <c r="B533" s="278">
        <v>50000</v>
      </c>
      <c r="C533" s="278">
        <v>50000</v>
      </c>
      <c r="D533" s="278">
        <v>50000</v>
      </c>
      <c r="E533" s="278">
        <v>50000</v>
      </c>
      <c r="J533" s="215"/>
      <c r="K533" s="215"/>
      <c r="L533" s="215"/>
      <c r="M533" s="215"/>
    </row>
    <row r="534" spans="1:13" x14ac:dyDescent="0.3">
      <c r="A534" t="s">
        <v>151</v>
      </c>
      <c r="B534" s="278">
        <v>30000</v>
      </c>
      <c r="C534" s="278">
        <v>60000</v>
      </c>
      <c r="D534" s="278">
        <v>80000</v>
      </c>
      <c r="E534" s="278">
        <v>105000</v>
      </c>
      <c r="J534" s="215"/>
      <c r="K534" s="215"/>
      <c r="L534" s="215"/>
      <c r="M534" s="215"/>
    </row>
    <row r="535" spans="1:13" x14ac:dyDescent="0.3">
      <c r="A535" t="s">
        <v>152</v>
      </c>
      <c r="B535" s="278">
        <v>0</v>
      </c>
      <c r="C535" s="278">
        <v>0</v>
      </c>
      <c r="D535" s="278">
        <v>-170000</v>
      </c>
      <c r="E535" s="278">
        <v>-170000</v>
      </c>
      <c r="J535" s="215"/>
      <c r="K535" s="215"/>
      <c r="L535" s="215"/>
      <c r="M535" s="215"/>
    </row>
    <row r="536" spans="1:13" x14ac:dyDescent="0.3">
      <c r="A536" t="s">
        <v>153</v>
      </c>
      <c r="B536" s="278">
        <v>60000</v>
      </c>
      <c r="C536" s="278">
        <v>60000</v>
      </c>
      <c r="D536" s="278">
        <v>60000</v>
      </c>
      <c r="E536" s="278">
        <v>60000</v>
      </c>
      <c r="I536" t="s">
        <v>154</v>
      </c>
      <c r="J536" s="215">
        <v>251642</v>
      </c>
      <c r="K536" s="215">
        <v>283086</v>
      </c>
      <c r="L536" s="215">
        <v>307010</v>
      </c>
      <c r="M536" s="215">
        <v>332930</v>
      </c>
    </row>
    <row r="537" spans="1:13" x14ac:dyDescent="0.3">
      <c r="A537" t="s">
        <v>155</v>
      </c>
      <c r="B537" s="278">
        <v>500000</v>
      </c>
      <c r="C537" s="278">
        <v>500000</v>
      </c>
      <c r="D537" s="278">
        <v>0</v>
      </c>
      <c r="E537" s="278">
        <v>0</v>
      </c>
      <c r="J537" s="215">
        <v>186275</v>
      </c>
      <c r="K537" s="215">
        <v>209746</v>
      </c>
      <c r="L537" s="215">
        <v>227680</v>
      </c>
      <c r="M537" s="215">
        <v>247124</v>
      </c>
    </row>
    <row r="538" spans="1:13" x14ac:dyDescent="0.3">
      <c r="A538" t="s">
        <v>156</v>
      </c>
      <c r="B538" s="278">
        <v>15000</v>
      </c>
      <c r="C538" s="278">
        <v>15000</v>
      </c>
      <c r="D538" s="278">
        <v>15000</v>
      </c>
      <c r="E538" s="278">
        <v>15000</v>
      </c>
      <c r="J538" s="296">
        <f>SUM(J536:J537)</f>
        <v>437917</v>
      </c>
      <c r="K538" s="296">
        <f t="shared" ref="K538:M538" si="2">SUM(K536:K537)</f>
        <v>492832</v>
      </c>
      <c r="L538" s="296">
        <f t="shared" si="2"/>
        <v>534690</v>
      </c>
      <c r="M538" s="296">
        <f t="shared" si="2"/>
        <v>580054</v>
      </c>
    </row>
    <row r="539" spans="1:13" x14ac:dyDescent="0.3">
      <c r="A539" t="s">
        <v>157</v>
      </c>
      <c r="B539" s="278">
        <v>20000</v>
      </c>
      <c r="C539" s="278">
        <v>20000</v>
      </c>
      <c r="D539" s="278">
        <v>20000</v>
      </c>
      <c r="E539" s="278">
        <v>20000</v>
      </c>
      <c r="I539" t="s">
        <v>158</v>
      </c>
      <c r="J539" s="215">
        <v>370000</v>
      </c>
      <c r="K539" s="215">
        <v>370000</v>
      </c>
      <c r="L539" s="215">
        <v>370000</v>
      </c>
      <c r="M539" s="215">
        <v>370000</v>
      </c>
    </row>
    <row r="540" spans="1:13" ht="15" thickBot="1" x14ac:dyDescent="0.35">
      <c r="A540" t="s">
        <v>159</v>
      </c>
      <c r="B540" s="278">
        <v>15000</v>
      </c>
      <c r="C540" s="278">
        <v>15000</v>
      </c>
      <c r="D540" s="278">
        <v>15000</v>
      </c>
      <c r="E540" s="278">
        <v>15000</v>
      </c>
      <c r="J540" s="1783">
        <f>+J538-J539</f>
        <v>67917</v>
      </c>
      <c r="K540" s="1783">
        <f t="shared" ref="K540:M540" si="3">+K538-K539</f>
        <v>122832</v>
      </c>
      <c r="L540" s="1783">
        <f t="shared" si="3"/>
        <v>164690</v>
      </c>
      <c r="M540" s="1783">
        <f t="shared" si="3"/>
        <v>210054</v>
      </c>
    </row>
    <row r="541" spans="1:13" ht="15" thickTop="1" x14ac:dyDescent="0.3">
      <c r="A541" t="s">
        <v>160</v>
      </c>
      <c r="B541" s="278">
        <v>-120000</v>
      </c>
      <c r="C541" s="278">
        <v>120000</v>
      </c>
      <c r="D541" s="278">
        <v>0</v>
      </c>
      <c r="E541" s="278">
        <v>0</v>
      </c>
      <c r="J541" s="215"/>
      <c r="K541" s="215"/>
      <c r="L541" s="215"/>
      <c r="M541" s="215"/>
    </row>
    <row r="542" spans="1:13" x14ac:dyDescent="0.3">
      <c r="A542" t="s">
        <v>161</v>
      </c>
      <c r="B542" s="278">
        <v>15000</v>
      </c>
      <c r="C542" s="278">
        <v>15000</v>
      </c>
      <c r="D542" s="278">
        <v>15000</v>
      </c>
      <c r="E542" s="278">
        <v>15000</v>
      </c>
    </row>
    <row r="543" spans="1:13" x14ac:dyDescent="0.3">
      <c r="A543" t="s">
        <v>162</v>
      </c>
      <c r="B543" s="278">
        <v>45000</v>
      </c>
      <c r="C543" s="278">
        <v>0</v>
      </c>
      <c r="D543" s="278">
        <v>0</v>
      </c>
      <c r="E543" s="278">
        <v>0</v>
      </c>
    </row>
    <row r="544" spans="1:13" x14ac:dyDescent="0.3">
      <c r="A544" t="s">
        <v>163</v>
      </c>
      <c r="B544" s="293">
        <v>0</v>
      </c>
      <c r="C544" s="278">
        <v>5000</v>
      </c>
      <c r="D544" s="278">
        <v>5000</v>
      </c>
      <c r="E544" s="278">
        <v>5000</v>
      </c>
    </row>
    <row r="545" spans="1:13" x14ac:dyDescent="0.3">
      <c r="A545" t="s">
        <v>164</v>
      </c>
      <c r="B545" s="291">
        <v>40000</v>
      </c>
      <c r="C545" s="287">
        <v>100000</v>
      </c>
      <c r="D545" s="287">
        <v>-50000</v>
      </c>
      <c r="E545" s="287">
        <v>-50000</v>
      </c>
      <c r="I545" t="s">
        <v>165</v>
      </c>
      <c r="J545" s="215">
        <f>J531+J538</f>
        <v>287917</v>
      </c>
      <c r="K545" s="215">
        <f>K531+K538</f>
        <v>303832</v>
      </c>
      <c r="L545" s="215">
        <f>L531+L538</f>
        <v>333690</v>
      </c>
      <c r="M545" s="215">
        <f>M531+M538</f>
        <v>1384054</v>
      </c>
    </row>
    <row r="546" spans="1:13" x14ac:dyDescent="0.3">
      <c r="B546" s="278">
        <f>SUM(B526:B545)</f>
        <v>0</v>
      </c>
      <c r="C546" s="278">
        <f t="shared" ref="C546:E546" si="4">SUM(C526:C545)</f>
        <v>4.6566128730773926E-10</v>
      </c>
      <c r="D546" s="278">
        <f t="shared" si="4"/>
        <v>2.3283064365386963E-10</v>
      </c>
      <c r="E546" s="278">
        <f t="shared" si="4"/>
        <v>-2.3283064365386963E-10</v>
      </c>
      <c r="H546" s="100"/>
    </row>
    <row r="547" spans="1:13" x14ac:dyDescent="0.3">
      <c r="B547" s="278"/>
      <c r="C547" s="278"/>
      <c r="D547" s="278"/>
      <c r="E547" s="278"/>
    </row>
    <row r="548" spans="1:13" x14ac:dyDescent="0.3">
      <c r="A548" s="285"/>
      <c r="B548" s="285"/>
      <c r="C548" s="285"/>
      <c r="D548" s="285"/>
      <c r="E548" s="285"/>
    </row>
    <row r="549" spans="1:13" x14ac:dyDescent="0.3">
      <c r="A549" s="285"/>
      <c r="B549" s="285"/>
      <c r="C549" s="285"/>
      <c r="D549" s="285"/>
      <c r="E549" s="285"/>
    </row>
    <row r="550" spans="1:13" x14ac:dyDescent="0.3">
      <c r="A550" s="97" t="s">
        <v>166</v>
      </c>
      <c r="B550" s="101">
        <v>2026</v>
      </c>
      <c r="C550" s="101">
        <v>2027</v>
      </c>
    </row>
    <row r="552" spans="1:13" x14ac:dyDescent="0.3">
      <c r="A552" t="s">
        <v>167</v>
      </c>
      <c r="B552" s="288">
        <f>B521</f>
        <v>-980246.59748575091</v>
      </c>
      <c r="C552" s="288">
        <f>C521</f>
        <v>-946399.03616294265</v>
      </c>
    </row>
    <row r="553" spans="1:13" x14ac:dyDescent="0.3">
      <c r="B553" s="284"/>
      <c r="C553" s="284"/>
    </row>
    <row r="554" spans="1:13" x14ac:dyDescent="0.3">
      <c r="A554" t="s">
        <v>168</v>
      </c>
      <c r="B554" s="288">
        <f>'T01'!K495</f>
        <v>210000</v>
      </c>
      <c r="C554" s="288">
        <f>'T01'!L495</f>
        <v>0</v>
      </c>
    </row>
    <row r="555" spans="1:13" x14ac:dyDescent="0.3">
      <c r="A555" t="s">
        <v>169</v>
      </c>
      <c r="B555" s="288">
        <f>'T01'!K517</f>
        <v>120000</v>
      </c>
      <c r="C555" s="288">
        <f>'T01'!L517</f>
        <v>120000</v>
      </c>
    </row>
    <row r="556" spans="1:13" x14ac:dyDescent="0.3">
      <c r="A556" t="s">
        <v>170</v>
      </c>
      <c r="B556" s="288">
        <f>'T01'!K521</f>
        <v>500000</v>
      </c>
      <c r="C556" s="288">
        <f>'T01'!L521</f>
        <v>500000</v>
      </c>
    </row>
    <row r="557" spans="1:13" x14ac:dyDescent="0.3">
      <c r="A557" t="s">
        <v>171</v>
      </c>
      <c r="B557" s="288">
        <f>'T21'!K651</f>
        <v>230000</v>
      </c>
      <c r="C557" s="288">
        <f>'T21'!L651</f>
        <v>655000</v>
      </c>
    </row>
    <row r="558" spans="1:13" x14ac:dyDescent="0.3">
      <c r="A558" t="s">
        <v>172</v>
      </c>
      <c r="B558" s="288">
        <v>100000</v>
      </c>
      <c r="C558" s="288">
        <v>100000</v>
      </c>
    </row>
    <row r="559" spans="1:13" x14ac:dyDescent="0.3">
      <c r="A559" t="s">
        <v>173</v>
      </c>
      <c r="B559" s="288">
        <v>50000</v>
      </c>
      <c r="C559" s="288">
        <v>50000</v>
      </c>
    </row>
    <row r="560" spans="1:13" x14ac:dyDescent="0.3">
      <c r="A560" t="s">
        <v>174</v>
      </c>
      <c r="B560" s="289">
        <f>'T83'!K235</f>
        <v>250000</v>
      </c>
      <c r="C560" s="289">
        <f>'T83'!L235</f>
        <v>312500</v>
      </c>
    </row>
    <row r="561" spans="1:3" x14ac:dyDescent="0.3">
      <c r="B561" s="288">
        <f>SUM(B554:B560)</f>
        <v>1460000</v>
      </c>
      <c r="C561" s="288">
        <f>SUM(C554:C560)</f>
        <v>1737500</v>
      </c>
    </row>
    <row r="562" spans="1:3" x14ac:dyDescent="0.3">
      <c r="B562" s="284"/>
      <c r="C562" s="284"/>
    </row>
    <row r="563" spans="1:3" x14ac:dyDescent="0.3">
      <c r="A563" t="s">
        <v>175</v>
      </c>
      <c r="B563" s="288">
        <f>B552+B561</f>
        <v>479753.40251424909</v>
      </c>
      <c r="C563" s="288">
        <f>C552+C561</f>
        <v>791100.96383705735</v>
      </c>
    </row>
    <row r="564" spans="1:3" x14ac:dyDescent="0.3">
      <c r="B564" s="291">
        <f>B524</f>
        <v>364489.35097718053</v>
      </c>
      <c r="C564" s="291">
        <f>C524</f>
        <v>344581.87061746046</v>
      </c>
    </row>
    <row r="565" spans="1:3" x14ac:dyDescent="0.3">
      <c r="B565" s="284">
        <f>B563-B564</f>
        <v>115264.05153706856</v>
      </c>
      <c r="C565" s="284">
        <f>C563-C564</f>
        <v>446519.09321959689</v>
      </c>
    </row>
    <row r="566" spans="1:3" x14ac:dyDescent="0.3">
      <c r="B566" s="284"/>
      <c r="C566" s="284"/>
    </row>
    <row r="567" spans="1:3" x14ac:dyDescent="0.3">
      <c r="A567" t="s">
        <v>176</v>
      </c>
      <c r="B567" s="284"/>
      <c r="C567" s="284"/>
    </row>
    <row r="568" spans="1:3" x14ac:dyDescent="0.3">
      <c r="A568" t="s">
        <v>177</v>
      </c>
      <c r="B568" s="284"/>
      <c r="C568" s="284"/>
    </row>
    <row r="569" spans="1:3" x14ac:dyDescent="0.3">
      <c r="A569" t="s">
        <v>178</v>
      </c>
      <c r="B569" s="284"/>
      <c r="C569" s="284"/>
    </row>
    <row r="570" spans="1:3" x14ac:dyDescent="0.3">
      <c r="B570" s="284"/>
      <c r="C570" s="284"/>
    </row>
    <row r="571" spans="1:3" x14ac:dyDescent="0.3">
      <c r="B571" s="284"/>
      <c r="C571" s="2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0F68-ADBD-47F2-8A19-DF21218969A3}">
  <sheetPr codeName="Blad34"/>
  <dimension ref="A2:B129"/>
  <sheetViews>
    <sheetView topLeftCell="A43" workbookViewId="0">
      <selection activeCell="J111" sqref="J111"/>
    </sheetView>
  </sheetViews>
  <sheetFormatPr defaultRowHeight="14.4" x14ac:dyDescent="0.3"/>
  <cols>
    <col min="1" max="1" width="11.109375" bestFit="1" customWidth="1"/>
    <col min="2" max="2" width="15.109375" bestFit="1" customWidth="1"/>
    <col min="3" max="5" width="15.88671875" bestFit="1" customWidth="1"/>
    <col min="6" max="6" width="13.109375" bestFit="1" customWidth="1"/>
    <col min="7" max="7" width="10" bestFit="1" customWidth="1"/>
    <col min="8" max="11" width="15.88671875" bestFit="1" customWidth="1"/>
    <col min="13" max="13" width="13.33203125" bestFit="1" customWidth="1"/>
  </cols>
  <sheetData>
    <row r="2" spans="1:2" x14ac:dyDescent="0.3">
      <c r="A2" s="270" t="s">
        <v>63</v>
      </c>
      <c r="B2" s="159">
        <v>41100</v>
      </c>
    </row>
    <row r="4" spans="1:2" x14ac:dyDescent="0.3">
      <c r="A4" s="270" t="s">
        <v>131</v>
      </c>
      <c r="B4" t="s">
        <v>132</v>
      </c>
    </row>
    <row r="5" spans="1:2" x14ac:dyDescent="0.3">
      <c r="A5" s="159">
        <v>601901</v>
      </c>
      <c r="B5" s="278">
        <v>1503457.4800000002</v>
      </c>
    </row>
    <row r="6" spans="1:2" x14ac:dyDescent="0.3">
      <c r="A6" s="283" t="s">
        <v>68</v>
      </c>
      <c r="B6" s="278">
        <v>1503457.4800000002</v>
      </c>
    </row>
    <row r="7" spans="1:2" x14ac:dyDescent="0.3">
      <c r="A7" s="159">
        <v>601902</v>
      </c>
      <c r="B7" s="278">
        <v>172976.63</v>
      </c>
    </row>
    <row r="8" spans="1:2" x14ac:dyDescent="0.3">
      <c r="A8" s="283" t="s">
        <v>68</v>
      </c>
      <c r="B8" s="278">
        <v>172976.63</v>
      </c>
    </row>
    <row r="9" spans="1:2" x14ac:dyDescent="0.3">
      <c r="A9" s="159">
        <v>602901</v>
      </c>
      <c r="B9" s="278">
        <v>100258.11</v>
      </c>
    </row>
    <row r="10" spans="1:2" x14ac:dyDescent="0.3">
      <c r="A10" s="283" t="s">
        <v>69</v>
      </c>
      <c r="B10" s="278">
        <v>100258.11</v>
      </c>
    </row>
    <row r="11" spans="1:2" x14ac:dyDescent="0.3">
      <c r="A11" s="159">
        <v>602902</v>
      </c>
      <c r="B11" s="278">
        <v>118349.84</v>
      </c>
    </row>
    <row r="12" spans="1:2" x14ac:dyDescent="0.3">
      <c r="A12" s="283" t="s">
        <v>69</v>
      </c>
      <c r="B12" s="278">
        <v>118349.84</v>
      </c>
    </row>
    <row r="13" spans="1:2" x14ac:dyDescent="0.3">
      <c r="A13" s="159">
        <v>602903</v>
      </c>
      <c r="B13" s="278">
        <v>116735.24</v>
      </c>
    </row>
    <row r="14" spans="1:2" x14ac:dyDescent="0.3">
      <c r="A14" s="283" t="s">
        <v>69</v>
      </c>
      <c r="B14" s="278">
        <v>116735.24</v>
      </c>
    </row>
    <row r="15" spans="1:2" x14ac:dyDescent="0.3">
      <c r="A15" s="159">
        <v>602904</v>
      </c>
      <c r="B15" s="278">
        <v>119739.37</v>
      </c>
    </row>
    <row r="16" spans="1:2" x14ac:dyDescent="0.3">
      <c r="A16" s="283" t="s">
        <v>69</v>
      </c>
      <c r="B16" s="278">
        <v>119739.37</v>
      </c>
    </row>
    <row r="17" spans="1:2" x14ac:dyDescent="0.3">
      <c r="A17" s="159">
        <v>602905</v>
      </c>
      <c r="B17" s="278">
        <v>40461.449999999997</v>
      </c>
    </row>
    <row r="18" spans="1:2" x14ac:dyDescent="0.3">
      <c r="A18" s="283" t="s">
        <v>69</v>
      </c>
      <c r="B18" s="278">
        <v>40461.449999999997</v>
      </c>
    </row>
    <row r="19" spans="1:2" x14ac:dyDescent="0.3">
      <c r="A19" s="159">
        <v>602906</v>
      </c>
      <c r="B19" s="278">
        <v>169988.77</v>
      </c>
    </row>
    <row r="20" spans="1:2" x14ac:dyDescent="0.3">
      <c r="A20" s="283" t="s">
        <v>69</v>
      </c>
      <c r="B20" s="278">
        <v>169988.77</v>
      </c>
    </row>
    <row r="21" spans="1:2" x14ac:dyDescent="0.3">
      <c r="A21" s="159">
        <v>602907</v>
      </c>
      <c r="B21" s="278">
        <v>7848</v>
      </c>
    </row>
    <row r="22" spans="1:2" x14ac:dyDescent="0.3">
      <c r="A22" s="283" t="s">
        <v>69</v>
      </c>
      <c r="B22" s="278">
        <v>7848</v>
      </c>
    </row>
    <row r="23" spans="1:2" x14ac:dyDescent="0.3">
      <c r="A23" s="159">
        <v>603901</v>
      </c>
      <c r="B23" s="278">
        <v>158580.04999999999</v>
      </c>
    </row>
    <row r="24" spans="1:2" x14ac:dyDescent="0.3">
      <c r="A24" s="283" t="s">
        <v>70</v>
      </c>
      <c r="B24" s="278">
        <v>158580.04999999999</v>
      </c>
    </row>
    <row r="25" spans="1:2" x14ac:dyDescent="0.3">
      <c r="A25" s="159">
        <v>604002</v>
      </c>
      <c r="B25" s="278">
        <v>300000</v>
      </c>
    </row>
    <row r="26" spans="1:2" x14ac:dyDescent="0.3">
      <c r="A26" s="283" t="s">
        <v>72</v>
      </c>
      <c r="B26" s="278">
        <v>300000</v>
      </c>
    </row>
    <row r="27" spans="1:2" x14ac:dyDescent="0.3">
      <c r="A27" s="159">
        <v>604017</v>
      </c>
      <c r="B27" s="278">
        <v>31600</v>
      </c>
    </row>
    <row r="28" spans="1:2" x14ac:dyDescent="0.3">
      <c r="A28" s="283" t="s">
        <v>71</v>
      </c>
      <c r="B28" s="278">
        <v>31600</v>
      </c>
    </row>
    <row r="29" spans="1:2" x14ac:dyDescent="0.3">
      <c r="A29" s="159">
        <v>604901</v>
      </c>
      <c r="B29" s="278">
        <v>9058262.0099999979</v>
      </c>
    </row>
    <row r="30" spans="1:2" x14ac:dyDescent="0.3">
      <c r="A30" s="283" t="s">
        <v>72</v>
      </c>
      <c r="B30" s="278">
        <v>9058262.0099999979</v>
      </c>
    </row>
    <row r="31" spans="1:2" x14ac:dyDescent="0.3">
      <c r="A31" s="159">
        <v>605901</v>
      </c>
      <c r="B31" s="278">
        <v>0</v>
      </c>
    </row>
    <row r="32" spans="1:2" x14ac:dyDescent="0.3">
      <c r="A32" s="283" t="s">
        <v>74</v>
      </c>
      <c r="B32" s="278">
        <v>0</v>
      </c>
    </row>
    <row r="33" spans="1:2" x14ac:dyDescent="0.3">
      <c r="A33" s="159">
        <v>606901</v>
      </c>
      <c r="B33" s="278">
        <v>92269</v>
      </c>
    </row>
    <row r="34" spans="1:2" x14ac:dyDescent="0.3">
      <c r="A34" s="283" t="s">
        <v>75</v>
      </c>
      <c r="B34" s="278">
        <v>92269</v>
      </c>
    </row>
    <row r="35" spans="1:2" x14ac:dyDescent="0.3">
      <c r="A35" s="159">
        <v>607901</v>
      </c>
      <c r="B35" s="278">
        <v>77455</v>
      </c>
    </row>
    <row r="36" spans="1:2" x14ac:dyDescent="0.3">
      <c r="A36" s="283" t="s">
        <v>76</v>
      </c>
      <c r="B36" s="278">
        <v>77455</v>
      </c>
    </row>
    <row r="37" spans="1:2" x14ac:dyDescent="0.3">
      <c r="A37" s="159">
        <v>609901</v>
      </c>
      <c r="B37" s="278">
        <v>65986</v>
      </c>
    </row>
    <row r="38" spans="1:2" x14ac:dyDescent="0.3">
      <c r="A38" s="283" t="s">
        <v>77</v>
      </c>
      <c r="B38" s="278">
        <v>65986</v>
      </c>
    </row>
    <row r="39" spans="1:2" x14ac:dyDescent="0.3">
      <c r="A39" s="159">
        <v>611901</v>
      </c>
      <c r="B39" s="278">
        <v>0</v>
      </c>
    </row>
    <row r="40" spans="1:2" x14ac:dyDescent="0.3">
      <c r="A40" s="283" t="s">
        <v>79</v>
      </c>
      <c r="B40" s="278">
        <v>0</v>
      </c>
    </row>
    <row r="41" spans="1:2" x14ac:dyDescent="0.3">
      <c r="A41" s="159">
        <v>615901</v>
      </c>
      <c r="B41" s="278">
        <v>53449.78</v>
      </c>
    </row>
    <row r="42" spans="1:2" x14ac:dyDescent="0.3">
      <c r="A42" s="283" t="s">
        <v>83</v>
      </c>
      <c r="B42" s="278">
        <v>53449.78</v>
      </c>
    </row>
    <row r="43" spans="1:2" x14ac:dyDescent="0.3">
      <c r="A43" s="159">
        <v>616901</v>
      </c>
      <c r="B43" s="278">
        <v>113909.32</v>
      </c>
    </row>
    <row r="44" spans="1:2" x14ac:dyDescent="0.3">
      <c r="A44" s="283" t="s">
        <v>84</v>
      </c>
      <c r="B44" s="278">
        <v>113909.32</v>
      </c>
    </row>
    <row r="45" spans="1:2" x14ac:dyDescent="0.3">
      <c r="A45" s="159">
        <v>616902</v>
      </c>
      <c r="B45" s="278">
        <v>179523.23</v>
      </c>
    </row>
    <row r="46" spans="1:2" x14ac:dyDescent="0.3">
      <c r="A46" s="283" t="s">
        <v>84</v>
      </c>
      <c r="B46" s="278">
        <v>179523.23</v>
      </c>
    </row>
    <row r="47" spans="1:2" x14ac:dyDescent="0.3">
      <c r="A47" s="159">
        <v>616903</v>
      </c>
      <c r="B47" s="278">
        <v>1137843.78</v>
      </c>
    </row>
    <row r="48" spans="1:2" x14ac:dyDescent="0.3">
      <c r="A48" s="283" t="s">
        <v>84</v>
      </c>
      <c r="B48" s="278">
        <v>1137843.78</v>
      </c>
    </row>
    <row r="49" spans="1:2" x14ac:dyDescent="0.3">
      <c r="A49" s="159">
        <v>617901</v>
      </c>
      <c r="B49" s="278">
        <v>766253.83000000007</v>
      </c>
    </row>
    <row r="50" spans="1:2" x14ac:dyDescent="0.3">
      <c r="A50" s="283" t="s">
        <v>85</v>
      </c>
      <c r="B50" s="278">
        <v>766253.83000000007</v>
      </c>
    </row>
    <row r="51" spans="1:2" x14ac:dyDescent="0.3">
      <c r="A51" s="159">
        <v>617902</v>
      </c>
      <c r="B51" s="278">
        <v>0</v>
      </c>
    </row>
    <row r="52" spans="1:2" x14ac:dyDescent="0.3">
      <c r="A52" s="283" t="s">
        <v>85</v>
      </c>
      <c r="B52" s="278">
        <v>0</v>
      </c>
    </row>
    <row r="53" spans="1:2" x14ac:dyDescent="0.3">
      <c r="A53" s="159">
        <v>617903</v>
      </c>
      <c r="B53" s="278">
        <v>14736</v>
      </c>
    </row>
    <row r="54" spans="1:2" x14ac:dyDescent="0.3">
      <c r="A54" s="283" t="s">
        <v>85</v>
      </c>
      <c r="B54" s="278">
        <v>14736</v>
      </c>
    </row>
    <row r="55" spans="1:2" x14ac:dyDescent="0.3">
      <c r="A55" s="159">
        <v>618901</v>
      </c>
      <c r="B55" s="278">
        <v>0</v>
      </c>
    </row>
    <row r="56" spans="1:2" x14ac:dyDescent="0.3">
      <c r="A56" s="283" t="s">
        <v>86</v>
      </c>
      <c r="B56" s="278">
        <v>0</v>
      </c>
    </row>
    <row r="57" spans="1:2" x14ac:dyDescent="0.3">
      <c r="A57" s="159">
        <v>621901</v>
      </c>
      <c r="B57" s="278">
        <v>2452.5100000000002</v>
      </c>
    </row>
    <row r="58" spans="1:2" x14ac:dyDescent="0.3">
      <c r="A58" s="283" t="s">
        <v>87</v>
      </c>
      <c r="B58" s="278">
        <v>2452.5100000000002</v>
      </c>
    </row>
    <row r="59" spans="1:2" x14ac:dyDescent="0.3">
      <c r="A59" s="159">
        <v>622901</v>
      </c>
      <c r="B59" s="278">
        <v>196836.7</v>
      </c>
    </row>
    <row r="60" spans="1:2" x14ac:dyDescent="0.3">
      <c r="A60" s="283" t="s">
        <v>88</v>
      </c>
      <c r="B60" s="278">
        <v>196836.7</v>
      </c>
    </row>
    <row r="61" spans="1:2" x14ac:dyDescent="0.3">
      <c r="A61" s="159">
        <v>622902</v>
      </c>
      <c r="B61" s="278">
        <v>114331</v>
      </c>
    </row>
    <row r="62" spans="1:2" x14ac:dyDescent="0.3">
      <c r="A62" s="283" t="s">
        <v>88</v>
      </c>
      <c r="B62" s="278">
        <v>114331</v>
      </c>
    </row>
    <row r="63" spans="1:2" x14ac:dyDescent="0.3">
      <c r="A63" s="159">
        <v>624901</v>
      </c>
      <c r="B63" s="278">
        <v>32097</v>
      </c>
    </row>
    <row r="64" spans="1:2" x14ac:dyDescent="0.3">
      <c r="A64" s="283" t="s">
        <v>89</v>
      </c>
      <c r="B64" s="278">
        <v>32097</v>
      </c>
    </row>
    <row r="65" spans="1:2" x14ac:dyDescent="0.3">
      <c r="A65" s="159">
        <v>625901</v>
      </c>
      <c r="B65" s="278">
        <v>26011.08</v>
      </c>
    </row>
    <row r="66" spans="1:2" x14ac:dyDescent="0.3">
      <c r="A66" s="283" t="s">
        <v>90</v>
      </c>
      <c r="B66" s="278">
        <v>26011.08</v>
      </c>
    </row>
    <row r="67" spans="1:2" x14ac:dyDescent="0.3">
      <c r="A67" s="159">
        <v>625902</v>
      </c>
      <c r="B67" s="278">
        <v>154759</v>
      </c>
    </row>
    <row r="68" spans="1:2" x14ac:dyDescent="0.3">
      <c r="A68" s="283" t="s">
        <v>90</v>
      </c>
      <c r="B68" s="278">
        <v>154759</v>
      </c>
    </row>
    <row r="69" spans="1:2" x14ac:dyDescent="0.3">
      <c r="A69" s="159">
        <v>627901</v>
      </c>
      <c r="B69" s="278">
        <v>58898.64</v>
      </c>
    </row>
    <row r="70" spans="1:2" x14ac:dyDescent="0.3">
      <c r="A70" s="283" t="s">
        <v>91</v>
      </c>
      <c r="B70" s="278">
        <v>58898.64</v>
      </c>
    </row>
    <row r="71" spans="1:2" x14ac:dyDescent="0.3">
      <c r="A71" s="159">
        <v>628901</v>
      </c>
      <c r="B71" s="278">
        <v>303283.23</v>
      </c>
    </row>
    <row r="72" spans="1:2" x14ac:dyDescent="0.3">
      <c r="A72" s="283" t="s">
        <v>92</v>
      </c>
      <c r="B72" s="278">
        <v>303283.23</v>
      </c>
    </row>
    <row r="73" spans="1:2" x14ac:dyDescent="0.3">
      <c r="A73" s="159">
        <v>629901</v>
      </c>
      <c r="B73" s="278">
        <v>140596.75</v>
      </c>
    </row>
    <row r="74" spans="1:2" x14ac:dyDescent="0.3">
      <c r="A74" s="283" t="s">
        <v>93</v>
      </c>
      <c r="B74" s="278">
        <v>140596.75</v>
      </c>
    </row>
    <row r="75" spans="1:2" x14ac:dyDescent="0.3">
      <c r="A75" s="159">
        <v>630901</v>
      </c>
      <c r="B75" s="278">
        <v>683392.85000000009</v>
      </c>
    </row>
    <row r="76" spans="1:2" x14ac:dyDescent="0.3">
      <c r="A76" s="283" t="s">
        <v>94</v>
      </c>
      <c r="B76" s="278">
        <v>683392.85000000009</v>
      </c>
    </row>
    <row r="77" spans="1:2" x14ac:dyDescent="0.3">
      <c r="A77" s="159">
        <v>631901</v>
      </c>
      <c r="B77" s="278">
        <v>197752.58000000002</v>
      </c>
    </row>
    <row r="78" spans="1:2" x14ac:dyDescent="0.3">
      <c r="A78" s="283" t="s">
        <v>95</v>
      </c>
      <c r="B78" s="278">
        <v>197752.58000000002</v>
      </c>
    </row>
    <row r="79" spans="1:2" x14ac:dyDescent="0.3">
      <c r="A79" s="159">
        <v>633901</v>
      </c>
      <c r="B79" s="278">
        <v>62839.12</v>
      </c>
    </row>
    <row r="80" spans="1:2" x14ac:dyDescent="0.3">
      <c r="A80" s="283" t="s">
        <v>97</v>
      </c>
      <c r="B80" s="278">
        <v>62839.12</v>
      </c>
    </row>
    <row r="81" spans="1:2" x14ac:dyDescent="0.3">
      <c r="A81" s="159">
        <v>634901</v>
      </c>
      <c r="B81" s="278">
        <v>0</v>
      </c>
    </row>
    <row r="82" spans="1:2" x14ac:dyDescent="0.3">
      <c r="A82" s="283" t="s">
        <v>98</v>
      </c>
      <c r="B82" s="278">
        <v>0</v>
      </c>
    </row>
    <row r="83" spans="1:2" x14ac:dyDescent="0.3">
      <c r="A83" s="159">
        <v>635901</v>
      </c>
      <c r="B83" s="278">
        <v>863865.67</v>
      </c>
    </row>
    <row r="84" spans="1:2" x14ac:dyDescent="0.3">
      <c r="A84" s="283" t="s">
        <v>99</v>
      </c>
      <c r="B84" s="278">
        <v>863865.67</v>
      </c>
    </row>
    <row r="85" spans="1:2" x14ac:dyDescent="0.3">
      <c r="A85" s="159">
        <v>636901</v>
      </c>
      <c r="B85" s="278">
        <v>807384.23</v>
      </c>
    </row>
    <row r="86" spans="1:2" x14ac:dyDescent="0.3">
      <c r="A86" s="283" t="s">
        <v>101</v>
      </c>
      <c r="B86" s="278">
        <v>807384.23</v>
      </c>
    </row>
    <row r="87" spans="1:2" x14ac:dyDescent="0.3">
      <c r="A87" s="159">
        <v>638901</v>
      </c>
      <c r="B87" s="278">
        <v>1791856.9300000002</v>
      </c>
    </row>
    <row r="88" spans="1:2" x14ac:dyDescent="0.3">
      <c r="A88" s="283" t="s">
        <v>104</v>
      </c>
      <c r="B88" s="278">
        <v>1791856.9300000002</v>
      </c>
    </row>
    <row r="89" spans="1:2" x14ac:dyDescent="0.3">
      <c r="A89" s="159">
        <v>640901</v>
      </c>
      <c r="B89" s="278">
        <v>1242652.98</v>
      </c>
    </row>
    <row r="90" spans="1:2" x14ac:dyDescent="0.3">
      <c r="A90" s="283" t="s">
        <v>106</v>
      </c>
      <c r="B90" s="278">
        <v>1242652.98</v>
      </c>
    </row>
    <row r="91" spans="1:2" x14ac:dyDescent="0.3">
      <c r="A91" s="159">
        <v>646901</v>
      </c>
      <c r="B91" s="278">
        <v>37580.25</v>
      </c>
    </row>
    <row r="92" spans="1:2" x14ac:dyDescent="0.3">
      <c r="A92" s="283" t="s">
        <v>120</v>
      </c>
      <c r="B92" s="278">
        <v>37580.25</v>
      </c>
    </row>
    <row r="93" spans="1:2" x14ac:dyDescent="0.3">
      <c r="A93" s="159">
        <v>647901</v>
      </c>
      <c r="B93" s="278">
        <v>467723.04</v>
      </c>
    </row>
    <row r="94" spans="1:2" x14ac:dyDescent="0.3">
      <c r="A94" s="283" t="s">
        <v>121</v>
      </c>
      <c r="B94" s="278">
        <v>467723.04</v>
      </c>
    </row>
    <row r="95" spans="1:2" x14ac:dyDescent="0.3">
      <c r="A95" s="159">
        <v>648901</v>
      </c>
      <c r="B95" s="278">
        <v>239958.64</v>
      </c>
    </row>
    <row r="96" spans="1:2" x14ac:dyDescent="0.3">
      <c r="A96" s="283" t="s">
        <v>122</v>
      </c>
      <c r="B96" s="278">
        <v>239958.64</v>
      </c>
    </row>
    <row r="97" spans="1:2" x14ac:dyDescent="0.3">
      <c r="A97" s="159">
        <v>649018</v>
      </c>
      <c r="B97" s="278">
        <v>371992</v>
      </c>
    </row>
    <row r="98" spans="1:2" x14ac:dyDescent="0.3">
      <c r="A98" s="283" t="s">
        <v>123</v>
      </c>
      <c r="B98" s="278">
        <v>371992</v>
      </c>
    </row>
    <row r="99" spans="1:2" x14ac:dyDescent="0.3">
      <c r="A99" s="159">
        <v>649901</v>
      </c>
      <c r="B99" s="278">
        <v>0</v>
      </c>
    </row>
    <row r="100" spans="1:2" x14ac:dyDescent="0.3">
      <c r="A100" s="283" t="s">
        <v>123</v>
      </c>
      <c r="B100" s="278">
        <v>0</v>
      </c>
    </row>
    <row r="101" spans="1:2" x14ac:dyDescent="0.3">
      <c r="A101" s="159">
        <v>649902</v>
      </c>
      <c r="B101" s="278">
        <v>589800.71</v>
      </c>
    </row>
    <row r="102" spans="1:2" x14ac:dyDescent="0.3">
      <c r="A102" s="283" t="s">
        <v>123</v>
      </c>
      <c r="B102" s="278">
        <v>589800.71</v>
      </c>
    </row>
    <row r="103" spans="1:2" x14ac:dyDescent="0.3">
      <c r="A103" s="159">
        <v>650901</v>
      </c>
      <c r="B103" s="278">
        <v>2943</v>
      </c>
    </row>
    <row r="104" spans="1:2" x14ac:dyDescent="0.3">
      <c r="A104" s="283" t="s">
        <v>125</v>
      </c>
      <c r="B104" s="278">
        <v>2943</v>
      </c>
    </row>
    <row r="105" spans="1:2" x14ac:dyDescent="0.3">
      <c r="A105" s="159">
        <v>651008</v>
      </c>
      <c r="B105" s="278">
        <v>163200</v>
      </c>
    </row>
    <row r="106" spans="1:2" x14ac:dyDescent="0.3">
      <c r="A106" s="283" t="s">
        <v>126</v>
      </c>
      <c r="B106" s="278">
        <v>163200</v>
      </c>
    </row>
    <row r="107" spans="1:2" x14ac:dyDescent="0.3">
      <c r="A107" s="159">
        <v>651901</v>
      </c>
      <c r="B107" s="278">
        <v>1408186.71</v>
      </c>
    </row>
    <row r="108" spans="1:2" x14ac:dyDescent="0.3">
      <c r="A108" s="283" t="s">
        <v>126</v>
      </c>
      <c r="B108" s="278">
        <v>1408186.71</v>
      </c>
    </row>
    <row r="109" spans="1:2" x14ac:dyDescent="0.3">
      <c r="A109" s="159">
        <v>651902</v>
      </c>
      <c r="B109" s="278">
        <v>170945.85</v>
      </c>
    </row>
    <row r="110" spans="1:2" x14ac:dyDescent="0.3">
      <c r="A110" s="283" t="s">
        <v>126</v>
      </c>
      <c r="B110" s="278">
        <v>170945.85</v>
      </c>
    </row>
    <row r="111" spans="1:2" x14ac:dyDescent="0.3">
      <c r="A111" s="159">
        <v>651903</v>
      </c>
      <c r="B111" s="278">
        <v>407289.67</v>
      </c>
    </row>
    <row r="112" spans="1:2" x14ac:dyDescent="0.3">
      <c r="A112" s="283" t="s">
        <v>126</v>
      </c>
      <c r="B112" s="278">
        <v>407289.67</v>
      </c>
    </row>
    <row r="113" spans="1:2" x14ac:dyDescent="0.3">
      <c r="A113" s="159">
        <v>652901</v>
      </c>
      <c r="B113" s="278">
        <v>32996.433171800316</v>
      </c>
    </row>
    <row r="114" spans="1:2" x14ac:dyDescent="0.3">
      <c r="A114" s="283" t="s">
        <v>128</v>
      </c>
      <c r="B114" s="278">
        <v>32996.433171800316</v>
      </c>
    </row>
    <row r="115" spans="1:2" x14ac:dyDescent="0.3">
      <c r="A115" s="159">
        <v>652902</v>
      </c>
      <c r="B115" s="278">
        <v>204122.70587838878</v>
      </c>
    </row>
    <row r="116" spans="1:2" x14ac:dyDescent="0.3">
      <c r="A116" s="283" t="s">
        <v>128</v>
      </c>
      <c r="B116" s="278">
        <v>204122.70587838878</v>
      </c>
    </row>
    <row r="117" spans="1:2" x14ac:dyDescent="0.3">
      <c r="A117" s="159">
        <v>653901</v>
      </c>
      <c r="B117" s="278">
        <v>640300.9</v>
      </c>
    </row>
    <row r="118" spans="1:2" x14ac:dyDescent="0.3">
      <c r="A118" s="283" t="s">
        <v>129</v>
      </c>
      <c r="B118" s="278">
        <v>640300.9</v>
      </c>
    </row>
    <row r="119" spans="1:2" x14ac:dyDescent="0.3">
      <c r="A119" s="159">
        <v>653902</v>
      </c>
      <c r="B119" s="278">
        <v>149055.57999999999</v>
      </c>
    </row>
    <row r="120" spans="1:2" x14ac:dyDescent="0.3">
      <c r="A120" s="283" t="s">
        <v>129</v>
      </c>
      <c r="B120" s="278">
        <v>149055.57999999999</v>
      </c>
    </row>
    <row r="121" spans="1:2" x14ac:dyDescent="0.3">
      <c r="A121" s="159">
        <v>676901</v>
      </c>
      <c r="B121" s="278">
        <v>102000</v>
      </c>
    </row>
    <row r="122" spans="1:2" x14ac:dyDescent="0.3">
      <c r="A122" s="283" t="s">
        <v>102</v>
      </c>
      <c r="B122" s="278">
        <v>102000</v>
      </c>
    </row>
    <row r="123" spans="1:2" x14ac:dyDescent="0.3">
      <c r="A123" s="159">
        <v>677901</v>
      </c>
      <c r="B123" s="278">
        <v>99714</v>
      </c>
    </row>
    <row r="124" spans="1:2" x14ac:dyDescent="0.3">
      <c r="A124" s="283" t="s">
        <v>103</v>
      </c>
      <c r="B124" s="278">
        <v>99714</v>
      </c>
    </row>
    <row r="125" spans="1:2" x14ac:dyDescent="0.3">
      <c r="A125" s="159">
        <v>684901</v>
      </c>
      <c r="B125" s="278">
        <v>1051284.8700000001</v>
      </c>
    </row>
    <row r="126" spans="1:2" x14ac:dyDescent="0.3">
      <c r="A126" s="283" t="s">
        <v>118</v>
      </c>
      <c r="B126" s="278">
        <v>1051284.8700000001</v>
      </c>
    </row>
    <row r="127" spans="1:2" x14ac:dyDescent="0.3">
      <c r="A127" s="159">
        <v>694901</v>
      </c>
      <c r="B127" s="278">
        <v>1851945.81</v>
      </c>
    </row>
    <row r="128" spans="1:2" x14ac:dyDescent="0.3">
      <c r="A128" s="283" t="s">
        <v>119</v>
      </c>
      <c r="B128" s="278">
        <v>1851945.81</v>
      </c>
    </row>
    <row r="129" spans="1:2" x14ac:dyDescent="0.3">
      <c r="A129" s="159" t="s">
        <v>136</v>
      </c>
      <c r="B129" s="278">
        <v>29069733.329050191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43C4-D53A-4B86-9ABA-3744680CF50D}">
  <sheetPr codeName="Blad48"/>
  <dimension ref="A2:E54"/>
  <sheetViews>
    <sheetView topLeftCell="A25" workbookViewId="0">
      <selection activeCell="B51" sqref="B51"/>
    </sheetView>
  </sheetViews>
  <sheetFormatPr defaultRowHeight="14.4" x14ac:dyDescent="0.3"/>
  <cols>
    <col min="1" max="1" width="13.88671875" bestFit="1" customWidth="1"/>
    <col min="2" max="5" width="14.88671875" bestFit="1" customWidth="1"/>
  </cols>
  <sheetData>
    <row r="2" spans="1:5" x14ac:dyDescent="0.3">
      <c r="A2" t="s">
        <v>131</v>
      </c>
      <c r="B2" t="s">
        <v>132</v>
      </c>
      <c r="C2" t="s">
        <v>133</v>
      </c>
      <c r="D2" t="s">
        <v>134</v>
      </c>
      <c r="E2" t="s">
        <v>135</v>
      </c>
    </row>
    <row r="3" spans="1:5" x14ac:dyDescent="0.3">
      <c r="A3">
        <v>601901</v>
      </c>
      <c r="B3">
        <v>5000</v>
      </c>
      <c r="C3">
        <v>5000</v>
      </c>
      <c r="D3">
        <v>5000</v>
      </c>
      <c r="E3">
        <v>5000</v>
      </c>
    </row>
    <row r="4" spans="1:5" x14ac:dyDescent="0.3">
      <c r="A4">
        <v>603901</v>
      </c>
      <c r="B4">
        <v>39979</v>
      </c>
      <c r="C4">
        <v>28411</v>
      </c>
      <c r="D4">
        <v>28411</v>
      </c>
      <c r="E4">
        <v>28411</v>
      </c>
    </row>
    <row r="5" spans="1:5" x14ac:dyDescent="0.3">
      <c r="A5">
        <v>604045</v>
      </c>
      <c r="B5">
        <v>31559</v>
      </c>
      <c r="C5">
        <v>31559</v>
      </c>
      <c r="D5">
        <v>31559</v>
      </c>
      <c r="E5">
        <v>31559</v>
      </c>
    </row>
    <row r="6" spans="1:5" x14ac:dyDescent="0.3">
      <c r="A6">
        <v>604046</v>
      </c>
      <c r="B6">
        <v>0</v>
      </c>
      <c r="C6">
        <v>0</v>
      </c>
      <c r="D6">
        <v>0</v>
      </c>
      <c r="E6">
        <v>0</v>
      </c>
    </row>
    <row r="7" spans="1:5" x14ac:dyDescent="0.3">
      <c r="A7">
        <v>604048</v>
      </c>
      <c r="B7">
        <v>46895</v>
      </c>
      <c r="C7">
        <v>55121</v>
      </c>
      <c r="D7">
        <v>55121</v>
      </c>
      <c r="E7">
        <v>55121</v>
      </c>
    </row>
    <row r="8" spans="1:5" x14ac:dyDescent="0.3">
      <c r="A8">
        <v>604901</v>
      </c>
      <c r="B8">
        <v>443300</v>
      </c>
      <c r="C8">
        <v>684780</v>
      </c>
      <c r="D8">
        <v>657411</v>
      </c>
      <c r="E8">
        <v>628224</v>
      </c>
    </row>
    <row r="9" spans="1:5" x14ac:dyDescent="0.3">
      <c r="A9">
        <v>604902</v>
      </c>
      <c r="B9">
        <v>-78454</v>
      </c>
      <c r="C9">
        <v>-86680</v>
      </c>
      <c r="D9">
        <v>-86680</v>
      </c>
      <c r="E9">
        <v>-86680</v>
      </c>
    </row>
    <row r="10" spans="1:5" x14ac:dyDescent="0.3">
      <c r="A10">
        <v>605002</v>
      </c>
      <c r="B10">
        <v>0</v>
      </c>
      <c r="C10">
        <v>0</v>
      </c>
      <c r="D10">
        <v>0</v>
      </c>
      <c r="E10">
        <v>0</v>
      </c>
    </row>
    <row r="11" spans="1:5" x14ac:dyDescent="0.3">
      <c r="A11">
        <v>605901</v>
      </c>
    </row>
    <row r="12" spans="1:5" x14ac:dyDescent="0.3">
      <c r="A12">
        <v>615901</v>
      </c>
      <c r="B12">
        <v>11467</v>
      </c>
      <c r="C12">
        <v>29498</v>
      </c>
      <c r="D12">
        <v>29498</v>
      </c>
      <c r="E12">
        <v>29498</v>
      </c>
    </row>
    <row r="13" spans="1:5" x14ac:dyDescent="0.3">
      <c r="A13">
        <v>616903</v>
      </c>
      <c r="B13">
        <v>4519</v>
      </c>
      <c r="C13">
        <v>10000</v>
      </c>
      <c r="D13">
        <v>10000</v>
      </c>
      <c r="E13">
        <v>10000</v>
      </c>
    </row>
    <row r="14" spans="1:5" x14ac:dyDescent="0.3">
      <c r="A14">
        <v>617014</v>
      </c>
      <c r="B14">
        <v>0</v>
      </c>
      <c r="C14">
        <v>0</v>
      </c>
      <c r="D14">
        <v>0</v>
      </c>
      <c r="E14">
        <v>0</v>
      </c>
    </row>
    <row r="15" spans="1:5" x14ac:dyDescent="0.3">
      <c r="A15">
        <v>617016</v>
      </c>
    </row>
    <row r="16" spans="1:5" x14ac:dyDescent="0.3">
      <c r="A16">
        <v>617017</v>
      </c>
      <c r="B16">
        <v>0</v>
      </c>
      <c r="C16">
        <v>0</v>
      </c>
      <c r="D16">
        <v>0</v>
      </c>
      <c r="E16">
        <v>0</v>
      </c>
    </row>
    <row r="17" spans="1:5" x14ac:dyDescent="0.3">
      <c r="A17">
        <v>617018</v>
      </c>
      <c r="B17">
        <v>29812.42</v>
      </c>
      <c r="C17">
        <v>32938.42</v>
      </c>
      <c r="D17">
        <v>32938.42</v>
      </c>
      <c r="E17">
        <v>32938.42</v>
      </c>
    </row>
    <row r="18" spans="1:5" x14ac:dyDescent="0.3">
      <c r="A18">
        <v>617901</v>
      </c>
      <c r="B18">
        <v>813230</v>
      </c>
      <c r="C18">
        <v>1073107</v>
      </c>
      <c r="D18">
        <v>1364887</v>
      </c>
      <c r="E18">
        <v>1657064</v>
      </c>
    </row>
    <row r="19" spans="1:5" x14ac:dyDescent="0.3">
      <c r="A19">
        <v>617903</v>
      </c>
      <c r="B19">
        <v>0</v>
      </c>
      <c r="C19">
        <v>0</v>
      </c>
      <c r="D19">
        <v>0</v>
      </c>
      <c r="E19">
        <v>0</v>
      </c>
    </row>
    <row r="20" spans="1:5" x14ac:dyDescent="0.3">
      <c r="A20">
        <v>618901</v>
      </c>
      <c r="B20">
        <v>31806</v>
      </c>
      <c r="C20">
        <v>31806</v>
      </c>
      <c r="D20">
        <v>31806</v>
      </c>
      <c r="E20">
        <v>81806</v>
      </c>
    </row>
    <row r="21" spans="1:5" x14ac:dyDescent="0.3">
      <c r="A21">
        <v>621901</v>
      </c>
      <c r="B21">
        <v>5000</v>
      </c>
      <c r="C21">
        <v>5000</v>
      </c>
      <c r="D21">
        <v>5000</v>
      </c>
      <c r="E21">
        <v>5000</v>
      </c>
    </row>
    <row r="22" spans="1:5" x14ac:dyDescent="0.3">
      <c r="A22">
        <v>622901</v>
      </c>
      <c r="B22">
        <v>0</v>
      </c>
      <c r="C22">
        <v>0</v>
      </c>
      <c r="D22">
        <v>0</v>
      </c>
      <c r="E22">
        <v>0</v>
      </c>
    </row>
    <row r="23" spans="1:5" x14ac:dyDescent="0.3">
      <c r="A23">
        <v>627901</v>
      </c>
      <c r="B23">
        <v>1369938</v>
      </c>
      <c r="C23">
        <v>1366235</v>
      </c>
      <c r="D23">
        <v>2090360</v>
      </c>
      <c r="E23">
        <v>2203027</v>
      </c>
    </row>
    <row r="24" spans="1:5" x14ac:dyDescent="0.3">
      <c r="A24">
        <v>630022</v>
      </c>
      <c r="B24">
        <v>0</v>
      </c>
      <c r="C24">
        <v>0</v>
      </c>
      <c r="D24">
        <v>0</v>
      </c>
      <c r="E24">
        <v>0</v>
      </c>
    </row>
    <row r="25" spans="1:5" x14ac:dyDescent="0.3">
      <c r="A25">
        <v>630023</v>
      </c>
      <c r="B25">
        <v>22751.659999999996</v>
      </c>
      <c r="C25">
        <v>25137.199999999997</v>
      </c>
      <c r="D25">
        <v>25137.199999999997</v>
      </c>
      <c r="E25">
        <v>25137.199999999997</v>
      </c>
    </row>
    <row r="26" spans="1:5" x14ac:dyDescent="0.3">
      <c r="A26">
        <v>630901</v>
      </c>
      <c r="B26">
        <v>777187</v>
      </c>
      <c r="C26">
        <v>808687</v>
      </c>
      <c r="D26">
        <v>701859</v>
      </c>
      <c r="E26">
        <v>773169</v>
      </c>
    </row>
    <row r="27" spans="1:5" x14ac:dyDescent="0.3">
      <c r="A27">
        <v>634901</v>
      </c>
      <c r="B27">
        <v>98704</v>
      </c>
      <c r="C27">
        <v>98704</v>
      </c>
      <c r="D27">
        <v>98704</v>
      </c>
      <c r="E27">
        <v>98704</v>
      </c>
    </row>
    <row r="28" spans="1:5" x14ac:dyDescent="0.3">
      <c r="A28">
        <v>635013</v>
      </c>
      <c r="B28">
        <v>0</v>
      </c>
      <c r="C28">
        <v>0</v>
      </c>
      <c r="D28">
        <v>1</v>
      </c>
      <c r="E28">
        <v>1</v>
      </c>
    </row>
    <row r="29" spans="1:5" x14ac:dyDescent="0.3">
      <c r="A29">
        <v>635014</v>
      </c>
      <c r="B29">
        <v>25889.82</v>
      </c>
      <c r="C29">
        <v>28604.400000000001</v>
      </c>
      <c r="D29">
        <v>28604.400000000001</v>
      </c>
      <c r="E29">
        <v>28604.400000000001</v>
      </c>
    </row>
    <row r="30" spans="1:5" x14ac:dyDescent="0.3">
      <c r="A30">
        <v>635901</v>
      </c>
      <c r="B30">
        <v>81590</v>
      </c>
      <c r="C30">
        <v>93871</v>
      </c>
      <c r="D30">
        <v>93871</v>
      </c>
      <c r="E30">
        <v>86789</v>
      </c>
    </row>
    <row r="31" spans="1:5" x14ac:dyDescent="0.3">
      <c r="A31">
        <v>636901</v>
      </c>
      <c r="B31">
        <v>82879</v>
      </c>
      <c r="C31">
        <v>128546</v>
      </c>
      <c r="D31">
        <v>128546</v>
      </c>
      <c r="E31">
        <v>116046</v>
      </c>
    </row>
    <row r="32" spans="1:5" x14ac:dyDescent="0.3">
      <c r="A32">
        <v>647901</v>
      </c>
      <c r="B32">
        <v>23879</v>
      </c>
      <c r="C32">
        <v>23879</v>
      </c>
      <c r="D32">
        <v>23879</v>
      </c>
      <c r="E32">
        <v>23879</v>
      </c>
    </row>
    <row r="33" spans="1:5" x14ac:dyDescent="0.3">
      <c r="A33">
        <v>648001</v>
      </c>
      <c r="B33">
        <v>0</v>
      </c>
      <c r="C33">
        <v>0</v>
      </c>
      <c r="D33">
        <v>1</v>
      </c>
      <c r="E33">
        <v>1</v>
      </c>
    </row>
    <row r="34" spans="1:5" x14ac:dyDescent="0.3">
      <c r="A34">
        <v>648002</v>
      </c>
      <c r="B34">
        <v>0</v>
      </c>
      <c r="C34">
        <v>0</v>
      </c>
      <c r="D34">
        <v>1</v>
      </c>
      <c r="E34">
        <v>1</v>
      </c>
    </row>
    <row r="35" spans="1:5" x14ac:dyDescent="0.3">
      <c r="A35">
        <v>648901</v>
      </c>
      <c r="B35">
        <v>62543</v>
      </c>
      <c r="C35">
        <v>67877</v>
      </c>
      <c r="D35">
        <v>73210</v>
      </c>
      <c r="E35">
        <v>78544</v>
      </c>
    </row>
    <row r="36" spans="1:5" x14ac:dyDescent="0.3">
      <c r="A36">
        <v>649902</v>
      </c>
      <c r="B36">
        <v>46585</v>
      </c>
      <c r="C36">
        <v>342585</v>
      </c>
      <c r="D36">
        <v>425919</v>
      </c>
      <c r="E36">
        <v>459252</v>
      </c>
    </row>
    <row r="37" spans="1:5" x14ac:dyDescent="0.3">
      <c r="A37">
        <v>650901</v>
      </c>
      <c r="B37">
        <v>2069</v>
      </c>
      <c r="C37">
        <v>2069</v>
      </c>
      <c r="D37">
        <v>2069</v>
      </c>
      <c r="E37">
        <v>2069</v>
      </c>
    </row>
    <row r="38" spans="1:5" x14ac:dyDescent="0.3">
      <c r="A38">
        <v>651901</v>
      </c>
      <c r="B38">
        <v>0</v>
      </c>
      <c r="C38">
        <v>16667</v>
      </c>
      <c r="D38">
        <v>33334</v>
      </c>
      <c r="E38">
        <v>50001</v>
      </c>
    </row>
    <row r="39" spans="1:5" x14ac:dyDescent="0.3">
      <c r="A39">
        <v>677901</v>
      </c>
      <c r="B39">
        <v>28062</v>
      </c>
      <c r="C39">
        <v>33328</v>
      </c>
      <c r="D39">
        <v>8317</v>
      </c>
      <c r="E39">
        <v>5267</v>
      </c>
    </row>
    <row r="40" spans="1:5" x14ac:dyDescent="0.3">
      <c r="A40">
        <v>688901</v>
      </c>
      <c r="B40">
        <v>235</v>
      </c>
      <c r="C40">
        <v>0</v>
      </c>
      <c r="D40">
        <v>0</v>
      </c>
      <c r="E40">
        <v>0</v>
      </c>
    </row>
    <row r="41" spans="1:5" x14ac:dyDescent="0.3">
      <c r="A41" t="s">
        <v>136</v>
      </c>
      <c r="B41" s="279">
        <v>4006425.9</v>
      </c>
      <c r="C41" s="279">
        <v>4936730.0200000005</v>
      </c>
      <c r="D41" s="279">
        <v>5898764.0200000005</v>
      </c>
      <c r="E41" s="279">
        <v>6428433.0200000005</v>
      </c>
    </row>
    <row r="43" spans="1:5" x14ac:dyDescent="0.3">
      <c r="A43" t="s">
        <v>179</v>
      </c>
      <c r="B43" s="279">
        <v>4202810</v>
      </c>
      <c r="C43" s="279">
        <v>4879877</v>
      </c>
      <c r="D43" s="279">
        <v>4972334</v>
      </c>
      <c r="E43" s="279"/>
    </row>
    <row r="45" spans="1:5" x14ac:dyDescent="0.3">
      <c r="A45" t="s">
        <v>180</v>
      </c>
      <c r="B45" s="279">
        <f>GETPIVOTDATA("Som van 2026",'draaitabel inlees CODA'!$A$4)-B43</f>
        <v>-5903392.8673517201</v>
      </c>
      <c r="C45" s="279">
        <f>GETPIVOTDATA("Som van 2026",'draaitabel inlees CODA'!$A$4)-C43</f>
        <v>-6580459.8673517201</v>
      </c>
      <c r="D45" s="279">
        <f>GETPIVOTDATA("Som van 2026",'draaitabel inlees CODA'!$A$4)-D43</f>
        <v>-6672916.8673517201</v>
      </c>
      <c r="E45" s="279">
        <f>GETPIVOTDATA("Som van 2026",'draaitabel inlees CODA'!$A$4)-E43</f>
        <v>-1700582.8673517206</v>
      </c>
    </row>
    <row r="47" spans="1:5" x14ac:dyDescent="0.3">
      <c r="A47" t="s">
        <v>181</v>
      </c>
      <c r="B47" s="279">
        <v>0</v>
      </c>
      <c r="C47" s="279">
        <f>21334+13267+3533+28067+17600+5267+297334+16667+266667</f>
        <v>669736</v>
      </c>
      <c r="D47" s="279">
        <f>25000+21334+562400+13267+3533+5000+28067+17600+5267+297333+16667+16667+266667+83334</f>
        <v>1362136</v>
      </c>
      <c r="E47" s="279"/>
    </row>
    <row r="49" spans="1:5" x14ac:dyDescent="0.3">
      <c r="A49" t="s">
        <v>182</v>
      </c>
      <c r="B49" s="278">
        <v>235182</v>
      </c>
      <c r="C49" s="278">
        <v>714924</v>
      </c>
      <c r="D49" s="278">
        <v>384745</v>
      </c>
      <c r="E49" s="278"/>
    </row>
    <row r="51" spans="1:5" x14ac:dyDescent="0.3">
      <c r="A51" t="s">
        <v>183</v>
      </c>
      <c r="B51" s="282">
        <f>B43+B47-B41-B49</f>
        <v>-38797.899999999907</v>
      </c>
      <c r="C51" s="282">
        <f>C43+C47-C41-C49</f>
        <v>-102041.02000000048</v>
      </c>
      <c r="D51" s="282">
        <f>D43+D47-D41-D49</f>
        <v>50960.979999999516</v>
      </c>
      <c r="E51" s="278">
        <f>E43+E47-E41-E49</f>
        <v>-6428433.0200000005</v>
      </c>
    </row>
    <row r="54" spans="1:5" x14ac:dyDescent="0.3">
      <c r="B54" s="278">
        <f>B41-B43</f>
        <v>-196384.10000000009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8C61-0A76-470D-A123-1DE5EEEB96D8}">
  <sheetPr codeName="Blad50"/>
  <dimension ref="A1:F74"/>
  <sheetViews>
    <sheetView workbookViewId="0"/>
  </sheetViews>
  <sheetFormatPr defaultRowHeight="14.4" x14ac:dyDescent="0.3"/>
  <cols>
    <col min="2" max="5" width="15.88671875" bestFit="1" customWidth="1"/>
    <col min="6" max="6" width="13.33203125" bestFit="1" customWidth="1"/>
  </cols>
  <sheetData>
    <row r="1" spans="1:6" x14ac:dyDescent="0.3">
      <c r="A1" s="277" t="s">
        <v>131</v>
      </c>
      <c r="B1" s="277" t="s">
        <v>132</v>
      </c>
      <c r="C1" s="277" t="s">
        <v>133</v>
      </c>
      <c r="D1" s="277" t="s">
        <v>134</v>
      </c>
      <c r="E1" s="277" t="s">
        <v>135</v>
      </c>
      <c r="F1" s="281" t="s">
        <v>184</v>
      </c>
    </row>
    <row r="2" spans="1:6" x14ac:dyDescent="0.3">
      <c r="A2" s="159" t="s">
        <v>68</v>
      </c>
      <c r="B2" s="278">
        <v>2947171.5975600001</v>
      </c>
      <c r="C2" s="278">
        <v>2598568.6882863203</v>
      </c>
      <c r="D2" s="278">
        <v>2709143.157428619</v>
      </c>
      <c r="E2" s="278">
        <v>2830665.8936920487</v>
      </c>
      <c r="F2" s="278">
        <f>controle!D2-controle!C2</f>
        <v>110574.46914229868</v>
      </c>
    </row>
    <row r="3" spans="1:6" x14ac:dyDescent="0.3">
      <c r="A3" s="159" t="s">
        <v>81</v>
      </c>
      <c r="B3" s="278">
        <v>-4523443</v>
      </c>
      <c r="C3" s="278">
        <v>-2757998</v>
      </c>
      <c r="D3" s="278">
        <v>-2144788</v>
      </c>
      <c r="E3" s="278">
        <v>-2265651</v>
      </c>
      <c r="F3" s="282">
        <f>controle!D3-controle!C3</f>
        <v>613210</v>
      </c>
    </row>
    <row r="4" spans="1:6" x14ac:dyDescent="0.3">
      <c r="A4" s="159" t="s">
        <v>82</v>
      </c>
      <c r="B4" s="278">
        <v>0</v>
      </c>
      <c r="C4" s="278">
        <v>0</v>
      </c>
      <c r="D4" s="278">
        <v>0</v>
      </c>
      <c r="E4" s="278">
        <v>0</v>
      </c>
      <c r="F4" s="278">
        <f>controle!D4-controle!C4</f>
        <v>0</v>
      </c>
    </row>
    <row r="5" spans="1:6" x14ac:dyDescent="0.3">
      <c r="A5" s="159" t="s">
        <v>69</v>
      </c>
      <c r="B5" s="278">
        <v>509575.99999999977</v>
      </c>
      <c r="C5" s="278">
        <v>521878.63000000012</v>
      </c>
      <c r="D5" s="278">
        <v>551790.56166000012</v>
      </c>
      <c r="E5" s="278">
        <v>583844.86541652004</v>
      </c>
      <c r="F5" s="278">
        <f>controle!D5-controle!C5</f>
        <v>29911.931660000002</v>
      </c>
    </row>
    <row r="6" spans="1:6" x14ac:dyDescent="0.3">
      <c r="A6" s="159" t="s">
        <v>70</v>
      </c>
      <c r="B6" s="278">
        <v>-41339.484774925135</v>
      </c>
      <c r="C6" s="278">
        <v>-50662.046561597352</v>
      </c>
      <c r="D6" s="278">
        <v>-48132.26628437647</v>
      </c>
      <c r="E6" s="278">
        <v>-45405.3691368984</v>
      </c>
      <c r="F6" s="278">
        <f>controle!D6-controle!C6</f>
        <v>2529.7802772208815</v>
      </c>
    </row>
    <row r="7" spans="1:6" x14ac:dyDescent="0.3">
      <c r="A7" s="159" t="s">
        <v>71</v>
      </c>
      <c r="B7" s="278">
        <v>2813365.6793262996</v>
      </c>
      <c r="C7" s="278">
        <v>3097094.3374095159</v>
      </c>
      <c r="D7" s="278">
        <v>3132756.7678656676</v>
      </c>
      <c r="E7" s="278">
        <v>3169045.6860395814</v>
      </c>
      <c r="F7" s="278">
        <f>controle!D7-controle!C7</f>
        <v>35662.43045615172</v>
      </c>
    </row>
    <row r="8" spans="1:6" x14ac:dyDescent="0.3">
      <c r="A8" s="159" t="s">
        <v>72</v>
      </c>
      <c r="B8" s="278">
        <v>11319252.412826173</v>
      </c>
      <c r="C8" s="278">
        <v>11985724.01847475</v>
      </c>
      <c r="D8" s="278">
        <v>12471658.152509717</v>
      </c>
      <c r="E8" s="278">
        <v>13096449.34808524</v>
      </c>
      <c r="F8" s="278">
        <f>controle!D8-controle!C8</f>
        <v>485934.13403496705</v>
      </c>
    </row>
    <row r="9" spans="1:6" x14ac:dyDescent="0.3">
      <c r="A9" s="159" t="s">
        <v>73</v>
      </c>
      <c r="B9" s="278">
        <v>2.0008883439004421E-11</v>
      </c>
      <c r="C9" s="278">
        <v>0</v>
      </c>
      <c r="D9" s="278">
        <v>-5.0931703299283981E-11</v>
      </c>
      <c r="E9" s="278">
        <v>3.2741809263825417E-11</v>
      </c>
      <c r="F9" s="278">
        <f>controle!D9-controle!C9</f>
        <v>-5.0931703299283981E-11</v>
      </c>
    </row>
    <row r="10" spans="1:6" x14ac:dyDescent="0.3">
      <c r="A10" s="159" t="s">
        <v>74</v>
      </c>
      <c r="B10" s="278">
        <v>81449.853449999995</v>
      </c>
      <c r="C10" s="278">
        <v>220805.11791</v>
      </c>
      <c r="D10" s="278">
        <v>372027.54444500001</v>
      </c>
      <c r="E10" s="278">
        <v>367921.87</v>
      </c>
      <c r="F10" s="282">
        <f>controle!D10-controle!C10</f>
        <v>151222.42653500001</v>
      </c>
    </row>
    <row r="11" spans="1:6" x14ac:dyDescent="0.3">
      <c r="A11" s="159" t="s">
        <v>75</v>
      </c>
      <c r="B11" s="278">
        <v>-5487204.4835999999</v>
      </c>
      <c r="C11" s="278">
        <v>-6204408</v>
      </c>
      <c r="D11" s="278">
        <v>-6795381</v>
      </c>
      <c r="E11" s="278">
        <v>-7422117</v>
      </c>
      <c r="F11" s="282">
        <f>controle!D11-controle!C11</f>
        <v>-590973</v>
      </c>
    </row>
    <row r="12" spans="1:6" x14ac:dyDescent="0.3">
      <c r="A12" s="159" t="s">
        <v>76</v>
      </c>
      <c r="B12" s="278">
        <v>-3885527</v>
      </c>
      <c r="C12" s="278">
        <v>-4383929</v>
      </c>
      <c r="D12" s="278">
        <v>-4763146</v>
      </c>
      <c r="E12" s="278">
        <v>-5175167</v>
      </c>
      <c r="F12" s="282">
        <f>controle!D12-controle!C12</f>
        <v>-379217</v>
      </c>
    </row>
    <row r="13" spans="1:6" x14ac:dyDescent="0.3">
      <c r="A13" s="159" t="s">
        <v>77</v>
      </c>
      <c r="B13" s="278">
        <v>-20300.491999999998</v>
      </c>
      <c r="C13" s="278">
        <v>-20383.379220000003</v>
      </c>
      <c r="D13" s="278">
        <v>-20439.337492699997</v>
      </c>
      <c r="E13" s="278">
        <v>-20340.279304944488</v>
      </c>
      <c r="F13" s="278">
        <f>controle!D13-controle!C13</f>
        <v>-55.958272699994268</v>
      </c>
    </row>
    <row r="14" spans="1:6" x14ac:dyDescent="0.3">
      <c r="A14" s="159" t="s">
        <v>78</v>
      </c>
      <c r="B14" s="278">
        <v>-63258655</v>
      </c>
      <c r="C14" s="278">
        <v>-65434702</v>
      </c>
      <c r="D14" s="278">
        <v>-66127406</v>
      </c>
      <c r="E14" s="278">
        <v>-68972334</v>
      </c>
      <c r="F14" s="282">
        <f>controle!D14-controle!C14</f>
        <v>-692704</v>
      </c>
    </row>
    <row r="15" spans="1:6" x14ac:dyDescent="0.3">
      <c r="A15" s="159" t="s">
        <v>79</v>
      </c>
      <c r="B15" s="278">
        <v>3030</v>
      </c>
      <c r="C15" s="278">
        <v>505124</v>
      </c>
      <c r="D15" s="278">
        <v>339394</v>
      </c>
      <c r="E15" s="278">
        <v>342578</v>
      </c>
      <c r="F15" s="282">
        <f>controle!D15-controle!C15</f>
        <v>-165730</v>
      </c>
    </row>
    <row r="16" spans="1:6" x14ac:dyDescent="0.3">
      <c r="A16" s="159" t="s">
        <v>80</v>
      </c>
      <c r="B16" s="278">
        <v>11400</v>
      </c>
      <c r="C16" s="278">
        <v>11400</v>
      </c>
      <c r="D16" s="278">
        <v>11400</v>
      </c>
      <c r="E16" s="278">
        <v>11400</v>
      </c>
      <c r="F16" s="278">
        <f>controle!D16-controle!C16</f>
        <v>0</v>
      </c>
    </row>
    <row r="17" spans="1:6" x14ac:dyDescent="0.3">
      <c r="A17" s="159" t="s">
        <v>83</v>
      </c>
      <c r="B17" s="278">
        <v>1974238.53235</v>
      </c>
      <c r="C17" s="278">
        <v>2157856.7227469501</v>
      </c>
      <c r="D17" s="278">
        <v>2226774.4215232306</v>
      </c>
      <c r="E17" s="278">
        <v>2304980.3518821565</v>
      </c>
      <c r="F17" s="278">
        <f>controle!D17-controle!C17</f>
        <v>68917.698776280507</v>
      </c>
    </row>
    <row r="18" spans="1:6" x14ac:dyDescent="0.3">
      <c r="A18" s="159" t="s">
        <v>84</v>
      </c>
      <c r="B18" s="278">
        <v>1675054.1785600001</v>
      </c>
      <c r="C18" s="278">
        <v>1739982.1233280001</v>
      </c>
      <c r="D18" s="278">
        <v>1817531.1918053504</v>
      </c>
      <c r="E18" s="278">
        <v>1897414.0263689198</v>
      </c>
      <c r="F18" s="278">
        <f>controle!D18-controle!C18</f>
        <v>77549.068477350287</v>
      </c>
    </row>
    <row r="19" spans="1:6" x14ac:dyDescent="0.3">
      <c r="A19" s="159" t="s">
        <v>85</v>
      </c>
      <c r="B19" s="278">
        <v>3721523.8842720492</v>
      </c>
      <c r="C19" s="278">
        <v>3562745.2189856526</v>
      </c>
      <c r="D19" s="278">
        <v>3928285.7529349355</v>
      </c>
      <c r="E19" s="278">
        <v>4482089.9319816809</v>
      </c>
      <c r="F19" s="282">
        <f>controle!D19-controle!C19</f>
        <v>365540.53394928295</v>
      </c>
    </row>
    <row r="20" spans="1:6" x14ac:dyDescent="0.3">
      <c r="A20" s="159" t="s">
        <v>86</v>
      </c>
      <c r="B20" s="278">
        <v>77459.891072138882</v>
      </c>
      <c r="C20" s="278">
        <v>78535.392663345119</v>
      </c>
      <c r="D20" s="278">
        <v>79634.242129099846</v>
      </c>
      <c r="E20" s="278">
        <v>150761.89570841147</v>
      </c>
      <c r="F20" s="278">
        <f>controle!D20-controle!C20</f>
        <v>1098.8494657547271</v>
      </c>
    </row>
    <row r="21" spans="1:6" x14ac:dyDescent="0.3">
      <c r="A21" s="159" t="s">
        <v>87</v>
      </c>
      <c r="B21" s="278">
        <v>104105.81</v>
      </c>
      <c r="C21" s="278">
        <v>106349.4</v>
      </c>
      <c r="D21" s="278">
        <v>108648.48</v>
      </c>
      <c r="E21" s="278">
        <v>110997.54000000001</v>
      </c>
      <c r="F21" s="278">
        <f>controle!D21-controle!C21</f>
        <v>2299.0800000000017</v>
      </c>
    </row>
    <row r="22" spans="1:6" x14ac:dyDescent="0.3">
      <c r="A22" s="159" t="s">
        <v>88</v>
      </c>
      <c r="B22" s="278">
        <v>961844.56</v>
      </c>
      <c r="C22" s="278">
        <v>977571.91999999993</v>
      </c>
      <c r="D22" s="278">
        <v>1007384.11</v>
      </c>
      <c r="E22" s="278">
        <v>1038009.7368149646</v>
      </c>
      <c r="F22" s="278">
        <f>controle!D22-controle!C22</f>
        <v>29812.190000000061</v>
      </c>
    </row>
    <row r="23" spans="1:6" x14ac:dyDescent="0.3">
      <c r="A23" s="159" t="s">
        <v>89</v>
      </c>
      <c r="B23" s="278">
        <v>13316.024000000005</v>
      </c>
      <c r="C23" s="278">
        <v>14926.504384</v>
      </c>
      <c r="D23" s="278">
        <v>15646.464454143999</v>
      </c>
      <c r="E23" s="278">
        <v>17398.927885410303</v>
      </c>
      <c r="F23" s="278">
        <f>controle!D23-controle!C23</f>
        <v>719.96007014399947</v>
      </c>
    </row>
    <row r="24" spans="1:6" x14ac:dyDescent="0.3">
      <c r="A24" s="159" t="s">
        <v>90</v>
      </c>
      <c r="B24" s="278">
        <v>-357616.17300000001</v>
      </c>
      <c r="C24" s="278">
        <v>-360712.23581900005</v>
      </c>
      <c r="D24" s="278">
        <v>-363683.41324283695</v>
      </c>
      <c r="E24" s="278">
        <v>-366597.2377474223</v>
      </c>
      <c r="F24" s="278">
        <f>controle!D24-controle!C24</f>
        <v>-2971.1774238368962</v>
      </c>
    </row>
    <row r="25" spans="1:6" x14ac:dyDescent="0.3">
      <c r="A25" s="159" t="s">
        <v>91</v>
      </c>
      <c r="B25" s="278">
        <v>1665195.3553246784</v>
      </c>
      <c r="C25" s="278">
        <v>1669600.3107916915</v>
      </c>
      <c r="D25" s="278">
        <v>2402070.4692909839</v>
      </c>
      <c r="E25" s="278">
        <v>2523347.7296547503</v>
      </c>
      <c r="F25" s="282">
        <f>controle!D25-controle!C25</f>
        <v>732470.15849929233</v>
      </c>
    </row>
    <row r="26" spans="1:6" x14ac:dyDescent="0.3">
      <c r="A26" s="159" t="s">
        <v>92</v>
      </c>
      <c r="B26" s="278">
        <v>1410258.23</v>
      </c>
      <c r="C26" s="278">
        <v>1466746</v>
      </c>
      <c r="D26" s="278">
        <v>1503423</v>
      </c>
      <c r="E26" s="278">
        <v>1564213</v>
      </c>
      <c r="F26" s="278">
        <f>controle!D26-controle!C26</f>
        <v>36677</v>
      </c>
    </row>
    <row r="27" spans="1:6" x14ac:dyDescent="0.3">
      <c r="A27" s="159" t="s">
        <v>93</v>
      </c>
      <c r="B27" s="278">
        <v>421002.75</v>
      </c>
      <c r="C27" s="278">
        <v>432769</v>
      </c>
      <c r="D27" s="278">
        <v>445041</v>
      </c>
      <c r="E27" s="278">
        <v>457837</v>
      </c>
      <c r="F27" s="278">
        <f>controle!D27-controle!C27</f>
        <v>12272</v>
      </c>
    </row>
    <row r="28" spans="1:6" x14ac:dyDescent="0.3">
      <c r="A28" s="159" t="s">
        <v>94</v>
      </c>
      <c r="B28" s="278">
        <v>1643523.5763428477</v>
      </c>
      <c r="C28" s="278">
        <v>1773109.9447876096</v>
      </c>
      <c r="D28" s="278">
        <v>1734130.0546146114</v>
      </c>
      <c r="E28" s="278">
        <v>1875150.4432205674</v>
      </c>
      <c r="F28" s="278">
        <f>controle!D28-controle!C28</f>
        <v>-38979.890172998188</v>
      </c>
    </row>
    <row r="29" spans="1:6" x14ac:dyDescent="0.3">
      <c r="A29" s="159" t="s">
        <v>95</v>
      </c>
      <c r="B29" s="278">
        <v>854691.4923279041</v>
      </c>
      <c r="C29" s="278">
        <v>873069.84839911794</v>
      </c>
      <c r="D29" s="278">
        <v>908384.20346389851</v>
      </c>
      <c r="E29" s="278">
        <v>945171.32634010434</v>
      </c>
      <c r="F29" s="278">
        <f>controle!D29-controle!C29</f>
        <v>35314.355064780568</v>
      </c>
    </row>
    <row r="30" spans="1:6" x14ac:dyDescent="0.3">
      <c r="A30" s="159" t="s">
        <v>96</v>
      </c>
      <c r="B30" s="278">
        <v>134868</v>
      </c>
      <c r="C30" s="278">
        <v>141072</v>
      </c>
      <c r="D30" s="278">
        <v>147562</v>
      </c>
      <c r="E30" s="278">
        <v>154350</v>
      </c>
      <c r="F30" s="278">
        <f>controle!D30-controle!C30</f>
        <v>6490</v>
      </c>
    </row>
    <row r="31" spans="1:6" x14ac:dyDescent="0.3">
      <c r="A31" s="159" t="s">
        <v>97</v>
      </c>
      <c r="B31" s="278">
        <v>183726.12</v>
      </c>
      <c r="C31" s="278">
        <v>189277</v>
      </c>
      <c r="D31" s="278">
        <v>195020</v>
      </c>
      <c r="E31" s="278">
        <v>200962</v>
      </c>
      <c r="F31" s="278">
        <f>controle!D31-controle!C31</f>
        <v>5743</v>
      </c>
    </row>
    <row r="32" spans="1:6" x14ac:dyDescent="0.3">
      <c r="A32" s="159" t="s">
        <v>98</v>
      </c>
      <c r="B32" s="278">
        <v>793261.72939728969</v>
      </c>
      <c r="C32" s="278">
        <v>702803.34838498943</v>
      </c>
      <c r="D32" s="278">
        <v>712507.89427523408</v>
      </c>
      <c r="E32" s="278">
        <v>722368.17836341762</v>
      </c>
      <c r="F32" s="278">
        <f>controle!D32-controle!C32</f>
        <v>9704.5458902446553</v>
      </c>
    </row>
    <row r="33" spans="1:6" x14ac:dyDescent="0.3">
      <c r="A33" s="159" t="s">
        <v>99</v>
      </c>
      <c r="B33" s="278">
        <v>3467359.8171309917</v>
      </c>
      <c r="C33" s="278">
        <v>3263304.7873075409</v>
      </c>
      <c r="D33" s="278">
        <v>3421175.2122096373</v>
      </c>
      <c r="E33" s="278">
        <v>3609129.7720025294</v>
      </c>
      <c r="F33" s="278">
        <f>controle!D33-controle!C33</f>
        <v>157870.42490209639</v>
      </c>
    </row>
    <row r="34" spans="1:6" x14ac:dyDescent="0.3">
      <c r="A34" s="159" t="s">
        <v>101</v>
      </c>
      <c r="B34" s="278">
        <v>2507778.9559297743</v>
      </c>
      <c r="C34" s="278">
        <v>2670109.2490064576</v>
      </c>
      <c r="D34" s="278">
        <v>2792298.9172851415</v>
      </c>
      <c r="E34" s="278">
        <v>2907728.47994341</v>
      </c>
      <c r="F34" s="278">
        <f>controle!D34-controle!C34</f>
        <v>122189.66827868391</v>
      </c>
    </row>
    <row r="35" spans="1:6" x14ac:dyDescent="0.3">
      <c r="A35" s="159" t="s">
        <v>102</v>
      </c>
      <c r="B35" s="278">
        <v>2205080</v>
      </c>
      <c r="C35" s="278">
        <v>2399654</v>
      </c>
      <c r="D35" s="278">
        <v>2316517</v>
      </c>
      <c r="E35" s="278">
        <v>2413629</v>
      </c>
      <c r="F35" s="278">
        <f>controle!D35-controle!C35</f>
        <v>-83137</v>
      </c>
    </row>
    <row r="36" spans="1:6" x14ac:dyDescent="0.3">
      <c r="A36" s="159" t="s">
        <v>103</v>
      </c>
      <c r="B36" s="278">
        <v>515931.30035000003</v>
      </c>
      <c r="C36" s="278">
        <v>543746.51536750002</v>
      </c>
      <c r="D36" s="278">
        <v>542267.94113587495</v>
      </c>
      <c r="E36" s="278">
        <v>563841.33819266874</v>
      </c>
      <c r="F36" s="278">
        <f>controle!D36-controle!C36</f>
        <v>-1478.5742316250689</v>
      </c>
    </row>
    <row r="37" spans="1:6" x14ac:dyDescent="0.3">
      <c r="A37" s="159" t="s">
        <v>104</v>
      </c>
      <c r="B37" s="278">
        <v>3186906.9299999997</v>
      </c>
      <c r="C37" s="278">
        <v>3191846</v>
      </c>
      <c r="D37" s="278">
        <v>3302561</v>
      </c>
      <c r="E37" s="278">
        <v>3424805</v>
      </c>
      <c r="F37" s="278">
        <f>controle!D37-controle!C37</f>
        <v>110715</v>
      </c>
    </row>
    <row r="38" spans="1:6" x14ac:dyDescent="0.3">
      <c r="A38" s="159" t="s">
        <v>105</v>
      </c>
      <c r="B38" s="278">
        <v>3531104</v>
      </c>
      <c r="C38" s="278">
        <v>3364585</v>
      </c>
      <c r="D38" s="278">
        <v>3207254</v>
      </c>
      <c r="E38" s="278">
        <v>3205256</v>
      </c>
      <c r="F38" s="278">
        <f>controle!D38-controle!C38</f>
        <v>-157331</v>
      </c>
    </row>
    <row r="39" spans="1:6" x14ac:dyDescent="0.3">
      <c r="A39" s="159" t="s">
        <v>106</v>
      </c>
      <c r="B39" s="278">
        <v>2101346.98</v>
      </c>
      <c r="C39" s="278">
        <v>2210408</v>
      </c>
      <c r="D39" s="278">
        <v>2311458</v>
      </c>
      <c r="E39" s="278">
        <v>2421299</v>
      </c>
      <c r="F39" s="278">
        <f>controle!D39-controle!C39</f>
        <v>101050</v>
      </c>
    </row>
    <row r="40" spans="1:6" x14ac:dyDescent="0.3">
      <c r="A40" s="159" t="s">
        <v>107</v>
      </c>
      <c r="B40" s="278">
        <v>955490</v>
      </c>
      <c r="C40" s="278">
        <v>963410</v>
      </c>
      <c r="D40" s="278">
        <v>984840</v>
      </c>
      <c r="E40" s="278">
        <v>1006750</v>
      </c>
      <c r="F40" s="278">
        <f>controle!D40-controle!C40</f>
        <v>21430</v>
      </c>
    </row>
    <row r="41" spans="1:6" x14ac:dyDescent="0.3">
      <c r="A41" s="159" t="s">
        <v>108</v>
      </c>
      <c r="B41" s="278">
        <v>2574300</v>
      </c>
      <c r="C41" s="278">
        <v>2615700</v>
      </c>
      <c r="D41" s="278">
        <v>2736300</v>
      </c>
      <c r="E41" s="278">
        <v>2865900</v>
      </c>
      <c r="F41" s="278">
        <f>controle!D41-controle!C41</f>
        <v>120600</v>
      </c>
    </row>
    <row r="42" spans="1:6" x14ac:dyDescent="0.3">
      <c r="A42" s="159" t="s">
        <v>109</v>
      </c>
      <c r="B42" s="278">
        <v>1872275</v>
      </c>
      <c r="C42" s="278">
        <v>2014802</v>
      </c>
      <c r="D42" s="278">
        <v>2197952</v>
      </c>
      <c r="E42" s="278">
        <v>2273027</v>
      </c>
      <c r="F42" s="278">
        <f>controle!D42-controle!C42</f>
        <v>183150</v>
      </c>
    </row>
    <row r="43" spans="1:6" x14ac:dyDescent="0.3">
      <c r="A43" s="159" t="s">
        <v>110</v>
      </c>
      <c r="B43" s="278">
        <v>732700</v>
      </c>
      <c r="C43" s="278">
        <v>766600</v>
      </c>
      <c r="D43" s="278">
        <v>802000</v>
      </c>
      <c r="E43" s="278">
        <v>838900</v>
      </c>
      <c r="F43" s="278">
        <f>controle!D43-controle!C43</f>
        <v>35400</v>
      </c>
    </row>
    <row r="44" spans="1:6" x14ac:dyDescent="0.3">
      <c r="A44" s="159" t="s">
        <v>111</v>
      </c>
      <c r="B44" s="278">
        <v>63500</v>
      </c>
      <c r="C44" s="278">
        <v>66400</v>
      </c>
      <c r="D44" s="278">
        <v>69500</v>
      </c>
      <c r="E44" s="278">
        <v>72700</v>
      </c>
      <c r="F44" s="278">
        <f>controle!D44-controle!C44</f>
        <v>3100</v>
      </c>
    </row>
    <row r="45" spans="1:6" x14ac:dyDescent="0.3">
      <c r="A45" s="159" t="s">
        <v>112</v>
      </c>
      <c r="B45" s="278">
        <v>7706287</v>
      </c>
      <c r="C45" s="278">
        <v>8002136</v>
      </c>
      <c r="D45" s="278">
        <v>8334234</v>
      </c>
      <c r="E45" s="278">
        <v>8610896</v>
      </c>
      <c r="F45" s="278">
        <f>controle!D45-controle!C45</f>
        <v>332098</v>
      </c>
    </row>
    <row r="46" spans="1:6" x14ac:dyDescent="0.3">
      <c r="A46" s="159" t="s">
        <v>113</v>
      </c>
      <c r="B46" s="278">
        <v>1885000</v>
      </c>
      <c r="C46" s="278">
        <v>1971000</v>
      </c>
      <c r="D46" s="278">
        <v>2062000</v>
      </c>
      <c r="E46" s="278">
        <v>2155000</v>
      </c>
      <c r="F46" s="278">
        <f>controle!D46-controle!C46</f>
        <v>91000</v>
      </c>
    </row>
    <row r="47" spans="1:6" x14ac:dyDescent="0.3">
      <c r="A47" s="159" t="s">
        <v>114</v>
      </c>
      <c r="B47" s="278">
        <v>382000</v>
      </c>
      <c r="C47" s="278">
        <v>400000</v>
      </c>
      <c r="D47" s="278">
        <v>418000</v>
      </c>
      <c r="E47" s="278">
        <v>437000</v>
      </c>
      <c r="F47" s="278">
        <f>controle!D47-controle!C47</f>
        <v>18000</v>
      </c>
    </row>
    <row r="48" spans="1:6" x14ac:dyDescent="0.3">
      <c r="A48" s="159" t="s">
        <v>115</v>
      </c>
      <c r="B48" s="278">
        <v>554000</v>
      </c>
      <c r="C48" s="278">
        <v>579000</v>
      </c>
      <c r="D48" s="278">
        <v>606000</v>
      </c>
      <c r="E48" s="278">
        <v>634000</v>
      </c>
      <c r="F48" s="278">
        <f>controle!D48-controle!C48</f>
        <v>27000</v>
      </c>
    </row>
    <row r="49" spans="1:6" x14ac:dyDescent="0.3">
      <c r="A49" s="159" t="s">
        <v>116</v>
      </c>
      <c r="B49" s="278">
        <v>429000</v>
      </c>
      <c r="C49" s="278">
        <v>449000</v>
      </c>
      <c r="D49" s="278">
        <v>470000</v>
      </c>
      <c r="E49" s="278">
        <v>491000</v>
      </c>
      <c r="F49" s="278">
        <f>controle!D49-controle!C49</f>
        <v>21000</v>
      </c>
    </row>
    <row r="50" spans="1:6" x14ac:dyDescent="0.3">
      <c r="A50" s="159" t="s">
        <v>117</v>
      </c>
      <c r="B50" s="278">
        <v>85000</v>
      </c>
      <c r="C50" s="278">
        <v>89000</v>
      </c>
      <c r="D50" s="278">
        <v>93000</v>
      </c>
      <c r="E50" s="278">
        <v>97000</v>
      </c>
      <c r="F50" s="278">
        <f>controle!D50-controle!C50</f>
        <v>4000</v>
      </c>
    </row>
    <row r="51" spans="1:6" x14ac:dyDescent="0.3">
      <c r="A51" s="159" t="s">
        <v>118</v>
      </c>
      <c r="B51" s="278">
        <v>1051284.8700000001</v>
      </c>
      <c r="C51" s="278">
        <v>979772.62102000008</v>
      </c>
      <c r="D51" s="278">
        <v>1024841.4395869201</v>
      </c>
      <c r="E51" s="278">
        <v>1071984.1638079183</v>
      </c>
      <c r="F51" s="278">
        <f>controle!D51-controle!C51</f>
        <v>45068.818566920003</v>
      </c>
    </row>
    <row r="52" spans="1:6" x14ac:dyDescent="0.3">
      <c r="A52" s="159" t="s">
        <v>119</v>
      </c>
      <c r="B52" s="278">
        <v>1851945.81</v>
      </c>
      <c r="C52" s="278">
        <v>1937135</v>
      </c>
      <c r="D52" s="278">
        <v>2026244</v>
      </c>
      <c r="E52" s="278">
        <v>2119451</v>
      </c>
      <c r="F52" s="278">
        <f>controle!D52-controle!C52</f>
        <v>89109</v>
      </c>
    </row>
    <row r="53" spans="1:6" x14ac:dyDescent="0.3">
      <c r="A53" s="159" t="s">
        <v>120</v>
      </c>
      <c r="B53" s="278">
        <v>1560913.25</v>
      </c>
      <c r="C53" s="278">
        <v>1631214</v>
      </c>
      <c r="D53" s="278">
        <v>1704725</v>
      </c>
      <c r="E53" s="278">
        <v>1781578</v>
      </c>
      <c r="F53" s="278">
        <f>controle!D53-controle!C53</f>
        <v>73511</v>
      </c>
    </row>
    <row r="54" spans="1:6" x14ac:dyDescent="0.3">
      <c r="A54" s="159" t="s">
        <v>121</v>
      </c>
      <c r="B54" s="278">
        <v>-773207.06539691659</v>
      </c>
      <c r="C54" s="278">
        <v>-797301.8830634621</v>
      </c>
      <c r="D54" s="278">
        <v>-624744.77960576769</v>
      </c>
      <c r="E54" s="278">
        <v>-596731.47609357955</v>
      </c>
      <c r="F54" s="278">
        <f>controle!D54-controle!C54</f>
        <v>172557.10345769441</v>
      </c>
    </row>
    <row r="55" spans="1:6" x14ac:dyDescent="0.3">
      <c r="A55" s="159" t="s">
        <v>122</v>
      </c>
      <c r="B55" s="278">
        <v>-1225600.5088</v>
      </c>
      <c r="C55" s="278">
        <v>-1257487.5161839984</v>
      </c>
      <c r="D55" s="278">
        <v>-1288253.70658952</v>
      </c>
      <c r="E55" s="278">
        <v>-1322570.5227672057</v>
      </c>
      <c r="F55" s="278">
        <f>controle!D55-controle!C55</f>
        <v>-30766.190405521542</v>
      </c>
    </row>
    <row r="56" spans="1:6" x14ac:dyDescent="0.3">
      <c r="A56" s="159" t="s">
        <v>123</v>
      </c>
      <c r="B56" s="278">
        <v>1444978.71</v>
      </c>
      <c r="C56" s="278">
        <v>1128361</v>
      </c>
      <c r="D56" s="278">
        <v>1210201</v>
      </c>
      <c r="E56" s="278">
        <v>1280585</v>
      </c>
      <c r="F56" s="278">
        <f>controle!D56-controle!C56</f>
        <v>81840</v>
      </c>
    </row>
    <row r="57" spans="1:6" x14ac:dyDescent="0.3">
      <c r="A57" s="159" t="s">
        <v>125</v>
      </c>
      <c r="B57" s="278">
        <v>8754</v>
      </c>
      <c r="C57" s="278">
        <v>9192</v>
      </c>
      <c r="D57" s="278">
        <v>9664</v>
      </c>
      <c r="E57" s="278">
        <v>9862</v>
      </c>
      <c r="F57" s="278">
        <f>controle!D57-controle!C57</f>
        <v>472</v>
      </c>
    </row>
    <row r="58" spans="1:6" x14ac:dyDescent="0.3">
      <c r="A58" s="159" t="s">
        <v>126</v>
      </c>
      <c r="B58" s="278">
        <v>2696433.5600000005</v>
      </c>
      <c r="C58" s="278">
        <v>2694936</v>
      </c>
      <c r="D58" s="278">
        <v>2756434</v>
      </c>
      <c r="E58" s="278">
        <v>2773419</v>
      </c>
      <c r="F58" s="278">
        <f>controle!D58-controle!C58</f>
        <v>61498</v>
      </c>
    </row>
    <row r="59" spans="1:6" x14ac:dyDescent="0.3">
      <c r="A59" s="159" t="s">
        <v>128</v>
      </c>
      <c r="B59" s="278">
        <v>467199.99999999814</v>
      </c>
      <c r="C59" s="278">
        <v>313326.99999999814</v>
      </c>
      <c r="D59" s="278">
        <v>319593</v>
      </c>
      <c r="E59" s="278">
        <v>325985.0000000014</v>
      </c>
      <c r="F59" s="278">
        <f>controle!D59-controle!C59</f>
        <v>6266.0000000018626</v>
      </c>
    </row>
    <row r="60" spans="1:6" x14ac:dyDescent="0.3">
      <c r="A60" s="159" t="s">
        <v>129</v>
      </c>
      <c r="B60" s="278">
        <v>716424.48</v>
      </c>
      <c r="C60" s="278">
        <v>730021</v>
      </c>
      <c r="D60" s="278">
        <v>779681</v>
      </c>
      <c r="E60" s="278">
        <v>836333</v>
      </c>
      <c r="F60" s="278">
        <f>controle!D60-controle!C60</f>
        <v>49660</v>
      </c>
    </row>
    <row r="61" spans="1:6" x14ac:dyDescent="0.3">
      <c r="A61" s="280" t="s">
        <v>136</v>
      </c>
      <c r="B61" s="279">
        <v>-1700582.8673516954</v>
      </c>
      <c r="C61" s="279">
        <v>-1455914.3615946081</v>
      </c>
      <c r="D61" s="279">
        <v>1142980.4754028525</v>
      </c>
      <c r="E61" s="279">
        <v>887102.62035026914</v>
      </c>
    </row>
    <row r="70" spans="1:5" x14ac:dyDescent="0.3">
      <c r="A70" t="s">
        <v>185</v>
      </c>
      <c r="B70" s="279">
        <v>2813365.6793262996</v>
      </c>
      <c r="C70" s="279">
        <v>3097094.3374095159</v>
      </c>
      <c r="D70" s="279">
        <v>3132756.7678656676</v>
      </c>
      <c r="E70" s="279">
        <v>3169045.6860395814</v>
      </c>
    </row>
    <row r="71" spans="1:5" x14ac:dyDescent="0.3">
      <c r="A71" t="s">
        <v>186</v>
      </c>
      <c r="B71" s="279">
        <v>2966934</v>
      </c>
      <c r="C71" s="279">
        <v>2987781</v>
      </c>
      <c r="D71" s="279">
        <v>3038806</v>
      </c>
      <c r="E71" s="279"/>
    </row>
    <row r="72" spans="1:5" x14ac:dyDescent="0.3">
      <c r="B72" s="279">
        <f>B70-B71</f>
        <v>-153568.32067370042</v>
      </c>
      <c r="C72" s="279">
        <f>C70-C71</f>
        <v>109313.33740951587</v>
      </c>
      <c r="D72" s="279">
        <f>D70-D71</f>
        <v>93950.767865667585</v>
      </c>
      <c r="E72" s="279">
        <f>E70-E71</f>
        <v>3169045.6860395814</v>
      </c>
    </row>
    <row r="73" spans="1:5" x14ac:dyDescent="0.3">
      <c r="B73" s="279"/>
      <c r="C73" s="279"/>
      <c r="D73" s="279"/>
      <c r="E73" s="279"/>
    </row>
    <row r="74" spans="1:5" x14ac:dyDescent="0.3">
      <c r="B74" s="279"/>
      <c r="C74" s="279"/>
      <c r="D74" s="279"/>
      <c r="E74" s="27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E3B1-3877-4CE8-A48F-08C2E5D0F520}">
  <sheetPr codeName="Blad51"/>
  <dimension ref="A1:P23"/>
  <sheetViews>
    <sheetView workbookViewId="0">
      <selection activeCell="J30" sqref="J30"/>
    </sheetView>
  </sheetViews>
  <sheetFormatPr defaultRowHeight="14.4" x14ac:dyDescent="0.3"/>
  <cols>
    <col min="1" max="4" width="12.109375" customWidth="1"/>
    <col min="10" max="10" width="11" customWidth="1"/>
    <col min="14" max="14" width="15.33203125" bestFit="1" customWidth="1"/>
    <col min="16" max="16" width="12.44140625" bestFit="1" customWidth="1"/>
  </cols>
  <sheetData>
    <row r="1" spans="1:16" x14ac:dyDescent="0.3">
      <c r="A1" s="97" t="s">
        <v>187</v>
      </c>
    </row>
    <row r="3" spans="1:16" x14ac:dyDescent="0.3">
      <c r="A3" t="s">
        <v>62</v>
      </c>
      <c r="B3" t="s">
        <v>63</v>
      </c>
      <c r="C3" t="s">
        <v>64</v>
      </c>
      <c r="D3" t="s">
        <v>65</v>
      </c>
      <c r="E3" t="s">
        <v>188</v>
      </c>
      <c r="F3" t="s">
        <v>189</v>
      </c>
      <c r="G3" t="s">
        <v>190</v>
      </c>
      <c r="H3" t="s">
        <v>191</v>
      </c>
      <c r="I3" t="s">
        <v>192</v>
      </c>
      <c r="J3" t="s">
        <v>66</v>
      </c>
    </row>
    <row r="4" spans="1:16" x14ac:dyDescent="0.3">
      <c r="A4">
        <v>653001</v>
      </c>
      <c r="B4">
        <v>43812</v>
      </c>
      <c r="E4">
        <v>22113</v>
      </c>
      <c r="F4">
        <v>22622</v>
      </c>
      <c r="G4">
        <v>23211</v>
      </c>
      <c r="H4">
        <v>23722</v>
      </c>
      <c r="I4">
        <v>24243</v>
      </c>
      <c r="J4" t="s">
        <v>129</v>
      </c>
      <c r="N4" s="97">
        <v>2025</v>
      </c>
    </row>
    <row r="5" spans="1:16" x14ac:dyDescent="0.3">
      <c r="A5">
        <v>653002</v>
      </c>
      <c r="B5">
        <v>43812</v>
      </c>
      <c r="E5">
        <v>50733</v>
      </c>
      <c r="F5">
        <v>52754</v>
      </c>
      <c r="G5">
        <v>53845</v>
      </c>
      <c r="H5">
        <v>56176</v>
      </c>
      <c r="I5">
        <v>58610</v>
      </c>
      <c r="J5" t="s">
        <v>129</v>
      </c>
      <c r="N5" s="284">
        <f>28300000</f>
        <v>28300000</v>
      </c>
      <c r="O5" s="284"/>
      <c r="P5" s="284">
        <f>N5*2.2%</f>
        <v>622600.00000000012</v>
      </c>
    </row>
    <row r="6" spans="1:16" x14ac:dyDescent="0.3">
      <c r="A6">
        <v>653002</v>
      </c>
      <c r="B6">
        <v>43511</v>
      </c>
      <c r="E6">
        <v>31633</v>
      </c>
      <c r="F6">
        <v>32361</v>
      </c>
      <c r="G6">
        <v>33202</v>
      </c>
      <c r="H6">
        <v>33932</v>
      </c>
      <c r="I6">
        <v>34679</v>
      </c>
      <c r="J6" t="s">
        <v>129</v>
      </c>
      <c r="L6" s="99">
        <v>4.2000000000000003E-2</v>
      </c>
      <c r="M6">
        <v>2</v>
      </c>
      <c r="N6" s="284">
        <v>-600000</v>
      </c>
      <c r="O6" s="284"/>
      <c r="P6" s="284"/>
    </row>
    <row r="7" spans="1:16" x14ac:dyDescent="0.3">
      <c r="A7">
        <v>653003</v>
      </c>
      <c r="B7">
        <v>43511</v>
      </c>
      <c r="E7">
        <v>144626</v>
      </c>
      <c r="F7">
        <v>147952</v>
      </c>
      <c r="G7">
        <v>151799</v>
      </c>
      <c r="H7">
        <v>155139</v>
      </c>
      <c r="I7">
        <v>158552</v>
      </c>
      <c r="J7" t="s">
        <v>129</v>
      </c>
      <c r="N7" s="284">
        <v>700000</v>
      </c>
      <c r="O7" s="284"/>
      <c r="P7" s="284" t="s">
        <v>193</v>
      </c>
    </row>
    <row r="8" spans="1:16" x14ac:dyDescent="0.3">
      <c r="A8">
        <v>653004</v>
      </c>
      <c r="B8">
        <v>43511</v>
      </c>
      <c r="E8">
        <v>39206</v>
      </c>
      <c r="F8">
        <v>40108</v>
      </c>
      <c r="G8">
        <v>41151</v>
      </c>
      <c r="H8">
        <v>42056</v>
      </c>
      <c r="I8">
        <v>42981</v>
      </c>
      <c r="J8" t="s">
        <v>129</v>
      </c>
      <c r="N8" s="284">
        <v>-200000</v>
      </c>
      <c r="O8" s="284"/>
      <c r="P8" s="284" t="s">
        <v>194</v>
      </c>
    </row>
    <row r="9" spans="1:16" x14ac:dyDescent="0.3">
      <c r="A9">
        <v>653005</v>
      </c>
      <c r="B9">
        <v>83700</v>
      </c>
      <c r="E9">
        <v>-1140000</v>
      </c>
      <c r="F9">
        <v>-1140000</v>
      </c>
      <c r="G9">
        <v>-1140000</v>
      </c>
      <c r="H9">
        <v>-1140000</v>
      </c>
      <c r="I9">
        <v>-1140000</v>
      </c>
      <c r="J9" t="s">
        <v>129</v>
      </c>
      <c r="N9" s="284">
        <v>-100000</v>
      </c>
      <c r="O9" s="284"/>
      <c r="P9" s="284" t="s">
        <v>195</v>
      </c>
    </row>
    <row r="10" spans="1:16" x14ac:dyDescent="0.3">
      <c r="A10">
        <v>653006</v>
      </c>
      <c r="B10">
        <v>83700</v>
      </c>
      <c r="E10">
        <v>-11235</v>
      </c>
      <c r="F10">
        <v>-11493</v>
      </c>
      <c r="G10">
        <v>-11792</v>
      </c>
      <c r="H10">
        <v>-12051</v>
      </c>
      <c r="I10">
        <v>-12316</v>
      </c>
      <c r="J10" t="s">
        <v>129</v>
      </c>
      <c r="N10" s="284"/>
      <c r="O10" s="284"/>
      <c r="P10" s="284"/>
    </row>
    <row r="11" spans="1:16" x14ac:dyDescent="0.3">
      <c r="A11">
        <v>653006</v>
      </c>
      <c r="B11">
        <v>43813</v>
      </c>
      <c r="E11">
        <v>17762</v>
      </c>
      <c r="F11">
        <v>18171</v>
      </c>
      <c r="G11">
        <v>18643</v>
      </c>
      <c r="H11">
        <v>19053</v>
      </c>
      <c r="I11">
        <v>19472</v>
      </c>
      <c r="J11" t="s">
        <v>129</v>
      </c>
      <c r="N11" s="284">
        <v>-100000</v>
      </c>
      <c r="O11" s="284"/>
      <c r="P11" s="284" t="s">
        <v>196</v>
      </c>
    </row>
    <row r="12" spans="1:16" x14ac:dyDescent="0.3">
      <c r="A12">
        <v>653007</v>
      </c>
      <c r="B12">
        <v>43812</v>
      </c>
      <c r="E12">
        <v>18947</v>
      </c>
      <c r="F12">
        <v>19383</v>
      </c>
      <c r="G12">
        <v>19887</v>
      </c>
      <c r="H12">
        <v>20325</v>
      </c>
      <c r="I12">
        <v>20772</v>
      </c>
      <c r="J12" t="s">
        <v>129</v>
      </c>
      <c r="N12" s="284">
        <f>SUM(N5:N11)</f>
        <v>28000000</v>
      </c>
      <c r="O12" s="284"/>
      <c r="P12" s="284"/>
    </row>
    <row r="13" spans="1:16" x14ac:dyDescent="0.3">
      <c r="A13">
        <v>653008</v>
      </c>
      <c r="B13">
        <v>43812</v>
      </c>
      <c r="E13">
        <v>1184</v>
      </c>
      <c r="F13">
        <v>1211</v>
      </c>
      <c r="G13">
        <v>1242</v>
      </c>
      <c r="H13">
        <v>1269</v>
      </c>
      <c r="I13">
        <v>1297</v>
      </c>
      <c r="J13" t="s">
        <v>129</v>
      </c>
      <c r="N13" s="284"/>
      <c r="O13" s="284"/>
      <c r="P13" s="284"/>
    </row>
    <row r="14" spans="1:16" x14ac:dyDescent="0.3">
      <c r="A14">
        <v>653009</v>
      </c>
      <c r="B14">
        <v>43511</v>
      </c>
      <c r="E14">
        <v>185914</v>
      </c>
      <c r="F14">
        <v>190190</v>
      </c>
      <c r="G14">
        <v>195135</v>
      </c>
      <c r="H14">
        <v>199428</v>
      </c>
      <c r="I14">
        <v>203815</v>
      </c>
      <c r="J14" t="s">
        <v>129</v>
      </c>
      <c r="N14" s="284"/>
      <c r="O14" s="284"/>
      <c r="P14" s="284"/>
    </row>
    <row r="15" spans="1:16" x14ac:dyDescent="0.3">
      <c r="A15">
        <v>653010</v>
      </c>
      <c r="B15">
        <v>43511</v>
      </c>
      <c r="E15">
        <v>23683</v>
      </c>
      <c r="F15">
        <v>24228</v>
      </c>
      <c r="G15">
        <v>24858</v>
      </c>
      <c r="H15">
        <v>25405</v>
      </c>
      <c r="I15">
        <v>25964</v>
      </c>
      <c r="J15" t="s">
        <v>129</v>
      </c>
      <c r="N15" s="284"/>
      <c r="O15" s="284"/>
      <c r="P15" s="284"/>
    </row>
    <row r="16" spans="1:16" x14ac:dyDescent="0.3">
      <c r="A16">
        <v>653011</v>
      </c>
      <c r="B16">
        <v>43511</v>
      </c>
      <c r="E16">
        <v>22237</v>
      </c>
      <c r="F16">
        <v>22748</v>
      </c>
      <c r="G16">
        <v>23339</v>
      </c>
      <c r="H16">
        <v>23852</v>
      </c>
      <c r="I16">
        <v>24377</v>
      </c>
      <c r="J16" t="s">
        <v>129</v>
      </c>
      <c r="N16" s="284"/>
      <c r="O16" s="284"/>
      <c r="P16" s="284"/>
    </row>
    <row r="17" spans="1:16" x14ac:dyDescent="0.3">
      <c r="A17">
        <v>653012</v>
      </c>
      <c r="B17">
        <v>43812</v>
      </c>
      <c r="E17">
        <v>16340</v>
      </c>
      <c r="F17">
        <v>16716</v>
      </c>
      <c r="G17">
        <v>17151</v>
      </c>
      <c r="H17">
        <v>17528</v>
      </c>
      <c r="I17">
        <v>17914</v>
      </c>
      <c r="J17" t="s">
        <v>129</v>
      </c>
      <c r="N17" s="284"/>
      <c r="O17" s="284"/>
      <c r="P17" s="284"/>
    </row>
    <row r="18" spans="1:16" x14ac:dyDescent="0.3">
      <c r="A18">
        <v>653013</v>
      </c>
      <c r="B18">
        <v>43812</v>
      </c>
      <c r="E18">
        <v>208023</v>
      </c>
      <c r="F18">
        <v>153831</v>
      </c>
      <c r="G18">
        <v>117319</v>
      </c>
      <c r="H18">
        <v>114899</v>
      </c>
      <c r="I18">
        <v>115514</v>
      </c>
      <c r="J18" t="s">
        <v>129</v>
      </c>
      <c r="N18" s="284"/>
      <c r="O18" s="284"/>
      <c r="P18" s="284"/>
    </row>
    <row r="19" spans="1:16" x14ac:dyDescent="0.3">
      <c r="A19">
        <v>653014</v>
      </c>
      <c r="B19">
        <v>43511</v>
      </c>
      <c r="E19">
        <v>30700</v>
      </c>
      <c r="F19">
        <v>31400</v>
      </c>
      <c r="G19">
        <v>32200</v>
      </c>
      <c r="H19">
        <v>32200</v>
      </c>
      <c r="I19">
        <v>32200</v>
      </c>
      <c r="J19" t="s">
        <v>129</v>
      </c>
      <c r="N19" s="284"/>
      <c r="O19" s="284"/>
      <c r="P19" s="284"/>
    </row>
    <row r="20" spans="1:16" x14ac:dyDescent="0.3">
      <c r="A20">
        <v>653901</v>
      </c>
      <c r="B20">
        <v>83800</v>
      </c>
      <c r="E20">
        <v>-39323</v>
      </c>
      <c r="F20">
        <v>-40227</v>
      </c>
      <c r="G20">
        <v>-41273</v>
      </c>
      <c r="H20">
        <v>-42181</v>
      </c>
      <c r="I20">
        <v>-43109</v>
      </c>
      <c r="J20" t="s">
        <v>129</v>
      </c>
      <c r="N20" s="284"/>
      <c r="O20" s="284"/>
      <c r="P20" s="284"/>
    </row>
    <row r="21" spans="1:16" x14ac:dyDescent="0.3">
      <c r="A21">
        <v>653901</v>
      </c>
      <c r="B21">
        <v>41100</v>
      </c>
      <c r="E21">
        <v>906685.85</v>
      </c>
      <c r="F21">
        <v>640300.9</v>
      </c>
      <c r="G21">
        <v>653107</v>
      </c>
      <c r="H21">
        <v>683150</v>
      </c>
      <c r="I21">
        <v>714575</v>
      </c>
      <c r="J21" t="s">
        <v>129</v>
      </c>
      <c r="N21" s="284"/>
      <c r="O21" s="284"/>
      <c r="P21" s="284"/>
    </row>
    <row r="22" spans="1:16" x14ac:dyDescent="0.3">
      <c r="A22">
        <v>653902</v>
      </c>
      <c r="B22">
        <v>43812</v>
      </c>
      <c r="E22">
        <v>88426</v>
      </c>
      <c r="F22">
        <v>90515</v>
      </c>
      <c r="G22">
        <v>92867</v>
      </c>
      <c r="H22">
        <v>94887</v>
      </c>
      <c r="I22">
        <v>96944</v>
      </c>
      <c r="J22" t="s">
        <v>129</v>
      </c>
      <c r="N22" s="284"/>
      <c r="O22" s="284"/>
      <c r="P22" s="284"/>
    </row>
    <row r="23" spans="1:16" x14ac:dyDescent="0.3">
      <c r="A23">
        <v>653902</v>
      </c>
      <c r="B23">
        <v>41100</v>
      </c>
      <c r="E23">
        <v>355295.07999999996</v>
      </c>
      <c r="F23">
        <v>149055.57999999999</v>
      </c>
      <c r="G23">
        <v>152037</v>
      </c>
      <c r="H23">
        <v>159031</v>
      </c>
      <c r="I23">
        <v>166346</v>
      </c>
      <c r="J23" t="s">
        <v>129</v>
      </c>
      <c r="N23" s="284"/>
      <c r="O23" s="284"/>
      <c r="P23" s="28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06D7-0B04-4734-85E1-28CA9ADD56F6}">
  <sheetPr codeName="Blad321"/>
  <dimension ref="A1:B76"/>
  <sheetViews>
    <sheetView view="pageBreakPreview" topLeftCell="A19" zoomScale="110" zoomScaleNormal="100" zoomScaleSheetLayoutView="110" workbookViewId="0">
      <selection activeCell="A40" sqref="A40"/>
    </sheetView>
  </sheetViews>
  <sheetFormatPr defaultColWidth="9.109375" defaultRowHeight="18" x14ac:dyDescent="0.35"/>
  <cols>
    <col min="1" max="1" width="65.88671875" style="95" bestFit="1" customWidth="1"/>
    <col min="2" max="16384" width="9.109375" style="95"/>
  </cols>
  <sheetData>
    <row r="1" spans="1:2" x14ac:dyDescent="0.35">
      <c r="A1" s="94" t="s">
        <v>0</v>
      </c>
      <c r="B1" s="95" t="s">
        <v>1</v>
      </c>
    </row>
    <row r="2" spans="1:2" x14ac:dyDescent="0.35">
      <c r="A2" s="94"/>
    </row>
    <row r="4" spans="1:2" x14ac:dyDescent="0.35">
      <c r="A4" s="96" t="s">
        <v>2</v>
      </c>
      <c r="B4" s="95">
        <v>1</v>
      </c>
    </row>
    <row r="5" spans="1:2" x14ac:dyDescent="0.35">
      <c r="A5" s="94" t="s">
        <v>3</v>
      </c>
      <c r="B5" s="95">
        <v>8</v>
      </c>
    </row>
    <row r="6" spans="1:2" x14ac:dyDescent="0.35">
      <c r="A6" s="94" t="s">
        <v>4</v>
      </c>
      <c r="B6" s="95">
        <v>19</v>
      </c>
    </row>
    <row r="7" spans="1:2" x14ac:dyDescent="0.35">
      <c r="A7" s="94" t="s">
        <v>5</v>
      </c>
      <c r="B7" s="95">
        <v>24</v>
      </c>
    </row>
    <row r="8" spans="1:2" x14ac:dyDescent="0.35">
      <c r="A8" s="94" t="s">
        <v>6</v>
      </c>
      <c r="B8" s="95">
        <v>34</v>
      </c>
    </row>
    <row r="9" spans="1:2" x14ac:dyDescent="0.35">
      <c r="A9" s="94" t="s">
        <v>7</v>
      </c>
      <c r="B9" s="95">
        <v>48</v>
      </c>
    </row>
    <row r="10" spans="1:2" x14ac:dyDescent="0.35">
      <c r="A10" s="94" t="s">
        <v>8</v>
      </c>
      <c r="B10" s="95">
        <v>54</v>
      </c>
    </row>
    <row r="11" spans="1:2" x14ac:dyDescent="0.35">
      <c r="A11" s="94" t="s">
        <v>9</v>
      </c>
      <c r="B11" s="95">
        <v>56</v>
      </c>
    </row>
    <row r="12" spans="1:2" x14ac:dyDescent="0.35">
      <c r="A12" s="94" t="s">
        <v>10</v>
      </c>
      <c r="B12" s="95">
        <v>60</v>
      </c>
    </row>
    <row r="13" spans="1:2" x14ac:dyDescent="0.35">
      <c r="A13" s="94" t="s">
        <v>11</v>
      </c>
      <c r="B13" s="95">
        <v>63</v>
      </c>
    </row>
    <row r="14" spans="1:2" x14ac:dyDescent="0.35">
      <c r="A14" s="94" t="s">
        <v>12</v>
      </c>
      <c r="B14" s="95">
        <v>65</v>
      </c>
    </row>
    <row r="15" spans="1:2" x14ac:dyDescent="0.35">
      <c r="A15" s="94" t="s">
        <v>13</v>
      </c>
      <c r="B15" s="95">
        <v>68</v>
      </c>
    </row>
    <row r="16" spans="1:2" x14ac:dyDescent="0.35">
      <c r="A16" s="94" t="s">
        <v>14</v>
      </c>
      <c r="B16" s="95">
        <v>71</v>
      </c>
    </row>
    <row r="17" spans="1:2" x14ac:dyDescent="0.35">
      <c r="A17" s="94" t="s">
        <v>15</v>
      </c>
      <c r="B17" s="95">
        <v>72</v>
      </c>
    </row>
    <row r="18" spans="1:2" x14ac:dyDescent="0.35">
      <c r="A18" s="94" t="s">
        <v>16</v>
      </c>
      <c r="B18" s="95">
        <v>79</v>
      </c>
    </row>
    <row r="19" spans="1:2" x14ac:dyDescent="0.35">
      <c r="A19" s="94"/>
    </row>
    <row r="21" spans="1:2" x14ac:dyDescent="0.35">
      <c r="A21" s="94" t="s">
        <v>17</v>
      </c>
      <c r="B21" s="95">
        <v>80</v>
      </c>
    </row>
    <row r="22" spans="1:2" x14ac:dyDescent="0.35">
      <c r="A22" s="94" t="s">
        <v>18</v>
      </c>
      <c r="B22" s="95">
        <v>83</v>
      </c>
    </row>
    <row r="23" spans="1:2" x14ac:dyDescent="0.35">
      <c r="A23" s="94"/>
    </row>
    <row r="25" spans="1:2" x14ac:dyDescent="0.35">
      <c r="A25" s="94" t="s">
        <v>19</v>
      </c>
      <c r="B25" s="95">
        <v>90</v>
      </c>
    </row>
    <row r="26" spans="1:2" x14ac:dyDescent="0.35">
      <c r="A26" s="94" t="s">
        <v>20</v>
      </c>
      <c r="B26" s="95">
        <v>101</v>
      </c>
    </row>
    <row r="27" spans="1:2" x14ac:dyDescent="0.35">
      <c r="A27" s="94" t="s">
        <v>21</v>
      </c>
      <c r="B27" s="95">
        <v>104</v>
      </c>
    </row>
    <row r="28" spans="1:2" x14ac:dyDescent="0.35">
      <c r="A28" s="94"/>
    </row>
    <row r="30" spans="1:2" x14ac:dyDescent="0.35">
      <c r="A30" s="94" t="s">
        <v>22</v>
      </c>
      <c r="B30" s="95">
        <v>106</v>
      </c>
    </row>
    <row r="31" spans="1:2" x14ac:dyDescent="0.35">
      <c r="A31" s="94" t="s">
        <v>23</v>
      </c>
      <c r="B31" s="95">
        <v>111</v>
      </c>
    </row>
    <row r="32" spans="1:2" x14ac:dyDescent="0.35">
      <c r="A32" s="94" t="s">
        <v>24</v>
      </c>
      <c r="B32" s="95">
        <v>114</v>
      </c>
    </row>
    <row r="33" spans="1:2" x14ac:dyDescent="0.35">
      <c r="A33" s="94"/>
    </row>
    <row r="35" spans="1:2" x14ac:dyDescent="0.35">
      <c r="A35" s="94" t="s">
        <v>25</v>
      </c>
      <c r="B35" s="95">
        <v>119</v>
      </c>
    </row>
    <row r="36" spans="1:2" x14ac:dyDescent="0.35">
      <c r="A36" s="94" t="s">
        <v>26</v>
      </c>
      <c r="B36" s="95">
        <v>123</v>
      </c>
    </row>
    <row r="37" spans="1:2" x14ac:dyDescent="0.35">
      <c r="A37" s="94"/>
    </row>
    <row r="38" spans="1:2" x14ac:dyDescent="0.35">
      <c r="A38" s="94" t="s">
        <v>27</v>
      </c>
      <c r="B38" s="95">
        <v>126</v>
      </c>
    </row>
    <row r="39" spans="1:2" x14ac:dyDescent="0.35">
      <c r="A39" s="94" t="s">
        <v>28</v>
      </c>
      <c r="B39" s="95">
        <v>129</v>
      </c>
    </row>
    <row r="40" spans="1:2" x14ac:dyDescent="0.35">
      <c r="A40" s="94" t="s">
        <v>29</v>
      </c>
      <c r="B40" s="95">
        <v>148</v>
      </c>
    </row>
    <row r="41" spans="1:2" x14ac:dyDescent="0.35">
      <c r="A41" s="94" t="s">
        <v>30</v>
      </c>
      <c r="B41" s="95">
        <v>152</v>
      </c>
    </row>
    <row r="42" spans="1:2" x14ac:dyDescent="0.35">
      <c r="A42" s="94" t="s">
        <v>31</v>
      </c>
      <c r="B42" s="95">
        <v>153</v>
      </c>
    </row>
    <row r="43" spans="1:2" x14ac:dyDescent="0.35">
      <c r="A43" s="94" t="s">
        <v>32</v>
      </c>
      <c r="B43" s="95">
        <v>155</v>
      </c>
    </row>
    <row r="44" spans="1:2" x14ac:dyDescent="0.35">
      <c r="A44" s="94" t="s">
        <v>33</v>
      </c>
      <c r="B44" s="95">
        <v>157</v>
      </c>
    </row>
    <row r="45" spans="1:2" x14ac:dyDescent="0.35">
      <c r="A45" s="94"/>
    </row>
    <row r="47" spans="1:2" x14ac:dyDescent="0.35">
      <c r="A47" s="94" t="s">
        <v>34</v>
      </c>
      <c r="B47" s="95">
        <v>165</v>
      </c>
    </row>
    <row r="48" spans="1:2" x14ac:dyDescent="0.35">
      <c r="A48" s="94" t="s">
        <v>35</v>
      </c>
      <c r="B48" s="95">
        <v>174</v>
      </c>
    </row>
    <row r="49" spans="1:2" x14ac:dyDescent="0.35">
      <c r="A49" s="94" t="s">
        <v>36</v>
      </c>
      <c r="B49" s="95">
        <v>177</v>
      </c>
    </row>
    <row r="50" spans="1:2" x14ac:dyDescent="0.35">
      <c r="A50" s="94" t="s">
        <v>37</v>
      </c>
      <c r="B50" s="95">
        <v>180</v>
      </c>
    </row>
    <row r="51" spans="1:2" x14ac:dyDescent="0.35">
      <c r="A51" s="94" t="s">
        <v>38</v>
      </c>
      <c r="B51" s="95">
        <v>187</v>
      </c>
    </row>
    <row r="52" spans="1:2" x14ac:dyDescent="0.35">
      <c r="A52" s="94" t="s">
        <v>39</v>
      </c>
      <c r="B52" s="95">
        <v>188</v>
      </c>
    </row>
    <row r="53" spans="1:2" x14ac:dyDescent="0.35">
      <c r="A53" s="94" t="s">
        <v>40</v>
      </c>
      <c r="B53" s="95">
        <v>191</v>
      </c>
    </row>
    <row r="54" spans="1:2" x14ac:dyDescent="0.35">
      <c r="A54" s="94" t="s">
        <v>41</v>
      </c>
      <c r="B54" s="95">
        <v>195</v>
      </c>
    </row>
    <row r="55" spans="1:2" x14ac:dyDescent="0.35">
      <c r="A55" s="94" t="s">
        <v>42</v>
      </c>
      <c r="B55" s="95">
        <v>196</v>
      </c>
    </row>
    <row r="56" spans="1:2" x14ac:dyDescent="0.35">
      <c r="A56" s="94" t="s">
        <v>43</v>
      </c>
      <c r="B56" s="95">
        <v>198</v>
      </c>
    </row>
    <row r="57" spans="1:2" x14ac:dyDescent="0.35">
      <c r="A57" s="94" t="s">
        <v>44</v>
      </c>
      <c r="B57" s="95">
        <v>199</v>
      </c>
    </row>
    <row r="58" spans="1:2" x14ac:dyDescent="0.35">
      <c r="A58" s="94" t="s">
        <v>45</v>
      </c>
      <c r="B58" s="95">
        <v>200</v>
      </c>
    </row>
    <row r="59" spans="1:2" x14ac:dyDescent="0.35">
      <c r="A59" s="94" t="s">
        <v>46</v>
      </c>
      <c r="B59" s="95">
        <v>203</v>
      </c>
    </row>
    <row r="60" spans="1:2" x14ac:dyDescent="0.35">
      <c r="A60" s="94"/>
    </row>
    <row r="61" spans="1:2" x14ac:dyDescent="0.35">
      <c r="A61" s="94" t="s">
        <v>49</v>
      </c>
      <c r="B61" s="95">
        <v>219</v>
      </c>
    </row>
    <row r="62" spans="1:2" x14ac:dyDescent="0.35">
      <c r="A62" s="94" t="s">
        <v>50</v>
      </c>
      <c r="B62" s="95">
        <v>220</v>
      </c>
    </row>
    <row r="63" spans="1:2" x14ac:dyDescent="0.35">
      <c r="A63" s="94" t="s">
        <v>51</v>
      </c>
      <c r="B63" s="95">
        <v>221</v>
      </c>
    </row>
    <row r="64" spans="1:2" x14ac:dyDescent="0.35">
      <c r="A64" s="94" t="s">
        <v>52</v>
      </c>
      <c r="B64" s="95">
        <v>222</v>
      </c>
    </row>
    <row r="65" spans="1:2" x14ac:dyDescent="0.35">
      <c r="A65" s="94"/>
    </row>
    <row r="67" spans="1:2" x14ac:dyDescent="0.35">
      <c r="A67" s="94" t="s">
        <v>53</v>
      </c>
      <c r="B67" s="95">
        <v>223</v>
      </c>
    </row>
    <row r="68" spans="1:2" x14ac:dyDescent="0.35">
      <c r="A68" s="94" t="s">
        <v>54</v>
      </c>
      <c r="B68" s="95">
        <v>228</v>
      </c>
    </row>
    <row r="69" spans="1:2" x14ac:dyDescent="0.35">
      <c r="A69" s="94" t="s">
        <v>55</v>
      </c>
      <c r="B69" s="95">
        <v>235</v>
      </c>
    </row>
    <row r="70" spans="1:2" x14ac:dyDescent="0.35">
      <c r="A70" s="94" t="s">
        <v>56</v>
      </c>
      <c r="B70" s="95">
        <v>242</v>
      </c>
    </row>
    <row r="71" spans="1:2" x14ac:dyDescent="0.35">
      <c r="A71" s="94" t="s">
        <v>57</v>
      </c>
      <c r="B71" s="95">
        <v>248</v>
      </c>
    </row>
    <row r="72" spans="1:2" x14ac:dyDescent="0.35">
      <c r="A72" s="94"/>
    </row>
    <row r="74" spans="1:2" x14ac:dyDescent="0.35">
      <c r="A74" s="94" t="s">
        <v>58</v>
      </c>
      <c r="B74" s="95">
        <v>250</v>
      </c>
    </row>
    <row r="75" spans="1:2" x14ac:dyDescent="0.35">
      <c r="A75" s="94" t="s">
        <v>59</v>
      </c>
      <c r="B75" s="95">
        <v>255</v>
      </c>
    </row>
    <row r="76" spans="1:2" x14ac:dyDescent="0.35">
      <c r="A76" s="94" t="s">
        <v>60</v>
      </c>
      <c r="B76" s="95">
        <v>261</v>
      </c>
    </row>
  </sheetData>
  <sortState xmlns:xlrd2="http://schemas.microsoft.com/office/spreadsheetml/2017/richdata2" ref="A4:A76">
    <sortCondition ref="A4:A76"/>
  </sortState>
  <hyperlinks>
    <hyperlink ref="A4" location="'T01'!A1" display="T01 bestuur en ondersteuning.xlsx" xr:uid="{F15B6ABB-FBFE-484D-8475-B649756A9002}"/>
    <hyperlink ref="A5" location="'T02'!A1" display="T02 burgerzaken.xlsx" xr:uid="{EDFCD57E-608D-46D0-B810-BE555053BADD}"/>
    <hyperlink ref="A6" location="'T03'!A1" display="T03 beheer overige gebouwen en gronden.xlsx" xr:uid="{AD08B6F6-9C63-4EF0-A30A-3EA42FBA0950}"/>
    <hyperlink ref="A7" location="T04B!A1" display="T04 bedrijf.xlsx" xr:uid="{58AA6B42-30A9-4FB5-B0DA-ED9FF13A4C55}"/>
    <hyperlink ref="A8" location="T04L!A1" display="T04 loon.xlsx" xr:uid="{F39B290C-B479-4F15-93B8-5631B1B9D3AA}"/>
    <hyperlink ref="A9" location="T04W!A1" display="T04 werf.xlsx" xr:uid="{8614BBDA-7140-4945-B3C8-F53D3E5E9553}"/>
    <hyperlink ref="A10" location="'T05'!A1" display="T05 Treasury.xlsx" xr:uid="{1C2A1DDF-D9A5-45BD-8E52-F9FE98145E50}"/>
    <hyperlink ref="A11" location="'T061'!A1" display="T06 1 OZB Woningen.xlsx" xr:uid="{08B04BE2-F57C-465F-B115-61076EFE0D90}"/>
    <hyperlink ref="A12" location="'T062'!A1" display="T06 2 OZB Niet-Woningen.xlsx" xr:uid="{FD37327E-D2FA-4E97-9D9E-7C656B2680E9}"/>
    <hyperlink ref="A13" location="'T064'!A1" display="T06 4 Belastingen overig.xlsx" xr:uid="{8C21A32D-FA0F-4CF5-881E-7201A9A60E1F}"/>
    <hyperlink ref="A14" location="'T07'!A1" display="T07 Gemeentefonds en overige rijksuitkeringen.xlsx" xr:uid="{D4B82918-FB60-4A19-A31D-55D2D2A0B2B6}"/>
    <hyperlink ref="A15" location="'T08'!A1" display="T08 Overige baten en lasten.xlsx" xr:uid="{0183104C-56DB-4532-9F32-3C47EE055BAB}"/>
    <hyperlink ref="A16" location="'T09'!A1" display="T09 Vennootschapsbelasting.xlsx" xr:uid="{3637B6D1-8314-427A-91DD-014B70D5E196}"/>
    <hyperlink ref="A17" location="'T010'!A1" display="T010 Mutaties Reserve.xlsx" xr:uid="{338F496D-6B52-4FFB-99CD-CA7B14594FBA}"/>
    <hyperlink ref="A18" location="'T011'!A1" display="T011 Resultaat rekening baten en lasten.xlsx" xr:uid="{81AC630C-CFF7-4E6D-A5DB-BE2ACF8D53E0}"/>
    <hyperlink ref="A21" location="'T11'!A1" display="T11 crisisbeheersing en brandweer.xlsx" xr:uid="{44999331-7C6E-4241-B358-8A75868E495B}"/>
    <hyperlink ref="A22" location="'T12'!A1" display="T12 openbare orde en veiligheid.xlsx" xr:uid="{70D6630F-26B8-4598-93A5-537DBCC34286}"/>
    <hyperlink ref="A25" location="'T21'!A1" display="T21 Verkeer en vervoer.xlsx" xr:uid="{21258C09-B0A4-471C-8084-26BB9CA0F116}"/>
    <hyperlink ref="A1" location="Inhoudsopgave!A1" display="Inhoudsopgave" xr:uid="{E269CE86-79BC-481B-ACB1-D6A854FAA3F0}"/>
    <hyperlink ref="A26" location="'T22'!A1" display="T22 parkeren.xlsx" xr:uid="{E1D7DB21-7BE6-4A5C-AA41-38C88E953989}"/>
    <hyperlink ref="A27" location="'T25'!A1" display="T25 openbaar vervoer.xlsx" xr:uid="{E5753893-E466-4B7B-BFAA-62DD82FD1F2C}"/>
    <hyperlink ref="A30" location="'T31'!A1" display="T31 economische ontwikkeling.xlsx" xr:uid="{9CF452FA-414B-45C6-9B9F-706DA41403AE}"/>
    <hyperlink ref="A31" location="'T33'!A1" display="T33 bedrijfsloket en bedrijfsregelingen.xlsx" xr:uid="{A0C65CE1-40F0-4391-A5F2-78A9BB28F827}"/>
    <hyperlink ref="A32" location="'T33'!A1" display="T34 economische promotie.xlsx" xr:uid="{266C5824-A0DB-4267-806B-51C73378260F}"/>
    <hyperlink ref="A35" location="'T42'!A1" display="T42  onderwijshuisvesting.xlsx" xr:uid="{7B9A7596-487E-4393-9398-3E3737D9B0F2}"/>
    <hyperlink ref="A36" location="'T43'!A1" display="T43  onderwijsbeleid en leerlingenzaken.xlsx" xr:uid="{303CC9A7-6830-4EAA-9659-80766A3A30AE}"/>
    <hyperlink ref="A38" location="'T51'!A1" display="T51 Sportbeleid en activering.xlsx" xr:uid="{129F9768-2961-4081-A63A-75307A7E35C0}"/>
    <hyperlink ref="A39" location="'T52'!A1" display="T52 Sportaccommodaties.xlsx" xr:uid="{19F61832-8DC7-491A-9281-8F2258A712A6}"/>
    <hyperlink ref="A40" location="'T53'!A1" display="T53 cultuurpresentatie,product,particip.xlsx" xr:uid="{0370775B-4548-4FD9-BD98-6947E894AF90}"/>
    <hyperlink ref="A41" location="'T54'!A1" display="T54 Musea.xlsx" xr:uid="{2A1D8CF5-24A4-4933-8BE4-E9C1E58755E8}"/>
    <hyperlink ref="A42" location="'T55'!A1" display="T55 Cultureel erfgoed.xlsx" xr:uid="{59242D88-C8FE-4B88-8FB8-9ADC80BE9407}"/>
    <hyperlink ref="A43" location="'T56'!A1" display="T56 Media.xlsx" xr:uid="{DEE40DFA-959B-4569-9525-A3D90BC00D20}"/>
    <hyperlink ref="A44" location="'T57'!A1" display="T57 openbaar groen,(openlucht) recreatie.xlsx" xr:uid="{1390091F-19C8-487C-AE1E-0EE76099049B}"/>
    <hyperlink ref="A47" location="'T61'!A1" display="T61 samenkracht en burgerparticipatie.xlsx" xr:uid="{2A5153AB-CD27-47E8-856C-64392877FAB7}"/>
    <hyperlink ref="A48" location="'T622'!A1" display="T62 2 toegang en eerstelijnsvoorzieningen Jeugd.xlsx" xr:uid="{8D9154DB-21B0-47AC-965D-2BCB16695747}"/>
    <hyperlink ref="A49" location="'T623'!A1" display="T62 3 toegang en eerstelijnsvoorzieningen Integraal.xlsx" xr:uid="{B0880EB3-FD0C-44AA-99A1-01C103BB4E3F}"/>
    <hyperlink ref="A50" location="'T63'!A1" display="T63 inkomensregelingen.xlsx" xr:uid="{36DC2FBC-CFDD-447F-9460-E6A9C3C516AA}"/>
    <hyperlink ref="A51" location="'T64'!A1" display="T64 begeleide participatie.xlsx" xr:uid="{0DE12B1D-B603-4C17-9403-EA9AD5CBD2F7}"/>
    <hyperlink ref="A52" location="'T65'!A1" display="T65 arbeidsparticipatie.xlsx" xr:uid="{E12DBF73-3A5A-43FD-A795-5ABBC3A9CBA8}"/>
    <hyperlink ref="A53" location="'T660'!A1" display="T66 0 hulpmiddelen en diensten (Wmo).xlsx" xr:uid="{4F2FA6A0-834D-460C-AC7C-EC2B984BF10E}"/>
    <hyperlink ref="A54" location="'T6711'!A1" display="T67 11 Huishoudelijke hulp (Wmo).xlsx" xr:uid="{B31EF82F-106B-48F8-97B9-56A5D86CF379}"/>
    <hyperlink ref="A55" location="'T6712'!A1" display="T67 12 Begeleiding (Wmo).xlsx" xr:uid="{F94923E6-F337-40DA-A7F0-68945A95B76C}"/>
    <hyperlink ref="A56" location="'T6713'!A1" display="T67 13 dagbesteding (Wmo).xlsx" xr:uid="{FB11B0C4-205F-4104-963F-2834B666497A}"/>
    <hyperlink ref="A57" location="'T6714'!Afdrukbereik" display="T67 14 overige maatwerkarrangementen (Wmo).xlsx" xr:uid="{9007EDD6-AAC7-48D8-8D5F-9E6D6E411532}"/>
    <hyperlink ref="A58" location="'T6752'!A1" display="T67 52 jeugdhulp ambulant regionaal.xlsx" xr:uid="{5416454D-47F8-42EE-AD3D-B0888162D500}"/>
    <hyperlink ref="A59" location="'T6762'!A1" display="T67 62 jeugdhulp met verblijf regionaal.xlsx" xr:uid="{3A3B737D-E38A-4D6F-950F-4914CFBA2353}"/>
    <hyperlink ref="A61" location="'T6821'!A1" display="T68 21 jeugdbescherming.xlsx" xr:uid="{0A8F9852-DAAD-4937-98C1-B08561EE269D}"/>
    <hyperlink ref="A62" location="'T6822'!A1" display="T68 22 jeugdreclassering.xlsx" xr:uid="{5E2D3781-59B7-4B66-BA75-765365C2DFBA}"/>
    <hyperlink ref="A63" location="'T691'!A1" display="T69 1 Coördinatie en beleid Wmo.xlsx" xr:uid="{FA541194-68A8-49F7-9CC2-B2A30E4CF945}"/>
    <hyperlink ref="A64" location="'T692'!A1" display="T69 2 Coördinatie en beleid Jeugd.xlsx" xr:uid="{71C7010C-A282-46B3-A1FA-D5B6CF7A59CD}"/>
    <hyperlink ref="A67" location="'T71'!A1" display="T71 volksgezondheid.xlsx" xr:uid="{A50A862F-FACF-4B77-B317-6AC80148BE75}"/>
    <hyperlink ref="A68" location="'T72'!A1" display="T72 riolering met toevoeging toerekening belastingen.xlsx" xr:uid="{E21D8EE9-ACA9-4008-A733-646D2B0D1B78}"/>
    <hyperlink ref="A69" location="'T73'!A1" display="T73 afvalinzameling.xlsx" xr:uid="{0AB5C156-2325-44FC-BCF7-313050E50CAA}"/>
    <hyperlink ref="A70" location="'T74'!A1" display="T74 milieubeheer.xlsx" xr:uid="{4A926AEE-D6CB-4A76-A005-A420028C4386}"/>
    <hyperlink ref="A71" location="'T75'!A1" display="T75 begraafplaatsen en crematoria.xlsx" xr:uid="{53437559-47F7-4296-8333-49E74713E88C}"/>
    <hyperlink ref="A74" location="'T81'!A1" display="T81 ruimtelijke ordening.xlsx" xr:uid="{36B5A67D-BD32-415A-981D-02780948C330}"/>
    <hyperlink ref="A76" location="'T83'!A1" display="T83 wonen en bouwen.xlsx" xr:uid="{1BCC1A5A-E2EB-449A-9804-8121BBA5C674}"/>
    <hyperlink ref="A75" location="'T82'!Afdrukbereik" display="T82 grondexploitaties 2025 aangepast MPG.xlsx" xr:uid="{2DC9F434-2406-4EDC-86E2-FBEA404F687E}"/>
  </hyperlinks>
  <pageMargins left="0.7" right="0.7" top="0.75" bottom="0.75" header="0.3" footer="0.3"/>
  <pageSetup paperSize="9" orientation="portrait" r:id="rId1"/>
  <rowBreaks count="1" manualBreakCount="1">
    <brk id="37" max="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23A1-E754-40DC-AAE4-924A8F6C5CB7}">
  <sheetPr codeName="Blad41"/>
  <dimension ref="B1:M20"/>
  <sheetViews>
    <sheetView workbookViewId="0">
      <selection activeCell="C15" sqref="C15"/>
    </sheetView>
  </sheetViews>
  <sheetFormatPr defaultRowHeight="14.4" x14ac:dyDescent="0.3"/>
  <cols>
    <col min="2" max="2" width="9.44140625" bestFit="1" customWidth="1"/>
    <col min="4" max="11" width="17" customWidth="1"/>
    <col min="12" max="12" width="13.5546875" customWidth="1"/>
  </cols>
  <sheetData>
    <row r="1" spans="2:13" x14ac:dyDescent="0.3">
      <c r="D1" s="97">
        <v>2021</v>
      </c>
      <c r="E1" s="97">
        <v>2022</v>
      </c>
      <c r="F1" s="97">
        <v>2023</v>
      </c>
      <c r="G1" s="97">
        <v>2024</v>
      </c>
      <c r="H1" s="97">
        <v>2025</v>
      </c>
      <c r="I1" s="97">
        <v>2026</v>
      </c>
      <c r="J1" s="97">
        <v>2027</v>
      </c>
      <c r="K1" s="97">
        <v>2028</v>
      </c>
      <c r="L1" s="97">
        <v>2029</v>
      </c>
      <c r="M1" s="97">
        <v>2030</v>
      </c>
    </row>
    <row r="2" spans="2:13" x14ac:dyDescent="0.3">
      <c r="D2" s="97"/>
      <c r="E2" s="98"/>
      <c r="F2" s="98"/>
      <c r="G2" s="98"/>
      <c r="H2" s="98"/>
      <c r="I2" s="253"/>
      <c r="J2" s="253" t="s">
        <v>5281</v>
      </c>
      <c r="K2" s="253" t="s">
        <v>197</v>
      </c>
      <c r="L2" s="253" t="s">
        <v>198</v>
      </c>
      <c r="M2" s="253" t="s">
        <v>199</v>
      </c>
    </row>
    <row r="4" spans="2:13" x14ac:dyDescent="0.3">
      <c r="B4" s="97" t="s">
        <v>200</v>
      </c>
      <c r="D4" s="99">
        <v>1.0149999999999999</v>
      </c>
      <c r="E4" s="99">
        <v>1.014</v>
      </c>
      <c r="F4" s="99">
        <v>1.024</v>
      </c>
      <c r="G4" s="99">
        <v>1.0369999999999999</v>
      </c>
      <c r="H4" s="99">
        <v>1.028</v>
      </c>
      <c r="I4" s="99">
        <v>1.026</v>
      </c>
      <c r="J4" s="99">
        <v>1.0209999999999999</v>
      </c>
      <c r="K4" s="99">
        <v>1.0229999999999999</v>
      </c>
      <c r="L4" s="99">
        <v>1.0229999999999999</v>
      </c>
      <c r="M4" s="99">
        <v>1.0229999999999999</v>
      </c>
    </row>
    <row r="5" spans="2:13" x14ac:dyDescent="0.3">
      <c r="B5" s="97" t="s">
        <v>201</v>
      </c>
      <c r="D5" s="99">
        <v>1.0309999999999999</v>
      </c>
      <c r="E5" s="99">
        <v>1.0149999999999999</v>
      </c>
      <c r="F5" s="99">
        <v>1.046</v>
      </c>
      <c r="G5" s="99">
        <v>1.052</v>
      </c>
      <c r="H5" s="99">
        <v>1.0489999999999999</v>
      </c>
      <c r="I5" s="99">
        <v>1.02</v>
      </c>
      <c r="J5" s="99">
        <v>1.042</v>
      </c>
      <c r="K5" s="99">
        <v>1.0369999999999999</v>
      </c>
      <c r="L5" s="99">
        <v>1.0369999999999999</v>
      </c>
      <c r="M5" s="99">
        <v>1.0369999999999999</v>
      </c>
    </row>
    <row r="6" spans="2:13" x14ac:dyDescent="0.3">
      <c r="E6" s="99">
        <f>+(E4+E5)/2</f>
        <v>1.0145</v>
      </c>
      <c r="F6" s="99">
        <f t="shared" ref="F6" si="0">+(F4+F5)/2</f>
        <v>1.0350000000000001</v>
      </c>
      <c r="G6" s="99">
        <f>+(G4+G5)/2</f>
        <v>1.0445</v>
      </c>
      <c r="H6" s="99">
        <v>1.036</v>
      </c>
      <c r="I6" s="99">
        <f>+I13</f>
        <v>1.0228200000000001</v>
      </c>
      <c r="J6" s="99">
        <f t="shared" ref="J6:L6" si="1">+J13</f>
        <v>1.03213</v>
      </c>
      <c r="K6" s="99">
        <f t="shared" si="1"/>
        <v>1.0304199999999999</v>
      </c>
      <c r="L6" s="99">
        <f t="shared" si="1"/>
        <v>1.0304199999999999</v>
      </c>
      <c r="M6" s="99">
        <f t="shared" ref="M6" si="2">+M13</f>
        <v>1.0304199999999999</v>
      </c>
    </row>
    <row r="7" spans="2:13" x14ac:dyDescent="0.3">
      <c r="B7" s="97" t="s">
        <v>5405</v>
      </c>
      <c r="J7" s="99">
        <v>1.042</v>
      </c>
      <c r="K7" s="99">
        <v>1.042</v>
      </c>
      <c r="L7" s="99">
        <v>1.042</v>
      </c>
      <c r="M7" s="99">
        <v>1.042</v>
      </c>
    </row>
    <row r="8" spans="2:13" x14ac:dyDescent="0.3">
      <c r="I8" s="99">
        <f>+H6-I6</f>
        <v>1.317999999999997E-2</v>
      </c>
    </row>
    <row r="11" spans="2:13" x14ac:dyDescent="0.3">
      <c r="F11">
        <f>+H4*0.47</f>
        <v>0.48315999999999998</v>
      </c>
      <c r="I11" s="100">
        <f>+I4*0.47</f>
        <v>0.48221999999999998</v>
      </c>
      <c r="J11" s="100">
        <f t="shared" ref="J11:L11" si="3">+J4*0.47</f>
        <v>0.47986999999999991</v>
      </c>
      <c r="K11" s="100">
        <f t="shared" si="3"/>
        <v>0.4808099999999999</v>
      </c>
      <c r="L11" s="100">
        <f t="shared" si="3"/>
        <v>0.4808099999999999</v>
      </c>
      <c r="M11" s="100">
        <f t="shared" ref="M11" si="4">+M4*0.47</f>
        <v>0.4808099999999999</v>
      </c>
    </row>
    <row r="12" spans="2:13" x14ac:dyDescent="0.3">
      <c r="F12">
        <f>+H5*0.53</f>
        <v>0.55596999999999996</v>
      </c>
      <c r="I12" s="100">
        <f>+I5*0.53</f>
        <v>0.54060000000000008</v>
      </c>
      <c r="J12" s="100">
        <f t="shared" ref="J12:L12" si="5">+J5*0.53</f>
        <v>0.55226000000000008</v>
      </c>
      <c r="K12" s="100">
        <f t="shared" si="5"/>
        <v>0.54960999999999993</v>
      </c>
      <c r="L12" s="100">
        <f t="shared" si="5"/>
        <v>0.54960999999999993</v>
      </c>
      <c r="M12" s="100">
        <f t="shared" ref="M12" si="6">+M5*0.53</f>
        <v>0.54960999999999993</v>
      </c>
    </row>
    <row r="13" spans="2:13" x14ac:dyDescent="0.3">
      <c r="F13">
        <f>+F11+F12</f>
        <v>1.0391299999999999</v>
      </c>
      <c r="I13" s="100">
        <f>+I11+I12</f>
        <v>1.0228200000000001</v>
      </c>
      <c r="J13" s="100">
        <f t="shared" ref="J13:L13" si="7">+J11+J12</f>
        <v>1.03213</v>
      </c>
      <c r="K13" s="100">
        <f t="shared" si="7"/>
        <v>1.0304199999999999</v>
      </c>
      <c r="L13" s="100">
        <f t="shared" si="7"/>
        <v>1.0304199999999999</v>
      </c>
      <c r="M13" s="100">
        <f t="shared" ref="M13" si="8">+M11+M12</f>
        <v>1.0304199999999999</v>
      </c>
    </row>
    <row r="16" spans="2:13" x14ac:dyDescent="0.3">
      <c r="H16" s="97" t="s">
        <v>202</v>
      </c>
    </row>
    <row r="18" spans="8:11" x14ac:dyDescent="0.3">
      <c r="H18" s="100">
        <v>1.028</v>
      </c>
      <c r="I18" s="100">
        <v>1.0229999999999999</v>
      </c>
      <c r="J18" s="100">
        <v>1.0229999999999999</v>
      </c>
      <c r="K18" s="100">
        <v>1.0229999999999999</v>
      </c>
    </row>
    <row r="19" spans="8:11" x14ac:dyDescent="0.3">
      <c r="H19" s="100">
        <v>1.0489999999999999</v>
      </c>
      <c r="I19" s="100">
        <v>1.042</v>
      </c>
      <c r="J19" s="100">
        <v>1.042</v>
      </c>
      <c r="K19" s="100">
        <v>1.042</v>
      </c>
    </row>
    <row r="20" spans="8:11" x14ac:dyDescent="0.3">
      <c r="H20" s="100">
        <v>1.036</v>
      </c>
      <c r="I20" s="100">
        <v>1.0325</v>
      </c>
      <c r="J20" s="100">
        <v>1.0325</v>
      </c>
      <c r="K20" s="100">
        <v>1.0325</v>
      </c>
    </row>
  </sheetData>
  <phoneticPr fontId="52"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6ED2-8C40-4F9A-9F46-224E4D9EC9B9}">
  <sheetPr codeName="Blad53"/>
  <dimension ref="A1:Y136"/>
  <sheetViews>
    <sheetView topLeftCell="A16" workbookViewId="0">
      <selection activeCell="A25" sqref="A25:A33"/>
    </sheetView>
  </sheetViews>
  <sheetFormatPr defaultRowHeight="14.4" x14ac:dyDescent="0.3"/>
  <cols>
    <col min="1" max="1" width="52.109375" bestFit="1" customWidth="1"/>
    <col min="2" max="2" width="12" hidden="1" customWidth="1"/>
    <col min="3" max="3" width="44.88671875" hidden="1" customWidth="1"/>
    <col min="4" max="4" width="3.109375" customWidth="1"/>
    <col min="5" max="8" width="12.6640625" bestFit="1" customWidth="1"/>
    <col min="9" max="9" width="4.109375" customWidth="1"/>
    <col min="10" max="10" width="2.88671875" customWidth="1"/>
    <col min="11" max="14" width="12.109375" customWidth="1"/>
    <col min="16" max="19" width="11" customWidth="1"/>
    <col min="20" max="20" width="3.109375" customWidth="1"/>
    <col min="21" max="21" width="10" style="16" customWidth="1"/>
    <col min="22" max="25" width="11.109375" style="215" customWidth="1"/>
  </cols>
  <sheetData>
    <row r="1" spans="1:25" x14ac:dyDescent="0.3">
      <c r="F1" s="97" t="s">
        <v>203</v>
      </c>
      <c r="L1" s="97" t="s">
        <v>204</v>
      </c>
      <c r="P1" s="101" t="s">
        <v>205</v>
      </c>
      <c r="U1" s="101" t="s">
        <v>67</v>
      </c>
    </row>
    <row r="3" spans="1:25" x14ac:dyDescent="0.3">
      <c r="A3" s="97" t="s">
        <v>66</v>
      </c>
      <c r="C3" t="s">
        <v>206</v>
      </c>
      <c r="E3" s="214">
        <v>2025</v>
      </c>
      <c r="F3" s="214">
        <v>2026</v>
      </c>
      <c r="G3" s="214">
        <v>2027</v>
      </c>
      <c r="H3" s="214">
        <v>2028</v>
      </c>
      <c r="I3" s="214"/>
      <c r="K3" s="214">
        <v>2025</v>
      </c>
      <c r="L3" s="214">
        <v>2026</v>
      </c>
      <c r="M3" s="214">
        <v>2027</v>
      </c>
      <c r="N3" s="214">
        <v>2028</v>
      </c>
      <c r="P3" s="214">
        <v>2025</v>
      </c>
      <c r="Q3" s="214">
        <v>2026</v>
      </c>
      <c r="R3" s="214">
        <v>2027</v>
      </c>
      <c r="S3" s="214">
        <v>2028</v>
      </c>
      <c r="T3" s="214"/>
      <c r="V3" s="217">
        <v>2025</v>
      </c>
      <c r="W3" s="217">
        <v>2026</v>
      </c>
      <c r="X3" s="217">
        <v>2027</v>
      </c>
      <c r="Y3" s="217">
        <v>2028</v>
      </c>
    </row>
    <row r="4" spans="1:25" x14ac:dyDescent="0.3">
      <c r="A4" t="s">
        <v>207</v>
      </c>
      <c r="B4" t="s">
        <v>68</v>
      </c>
      <c r="C4" t="s">
        <v>208</v>
      </c>
      <c r="D4" t="s">
        <v>209</v>
      </c>
      <c r="E4" s="215">
        <v>2638500.7000000002</v>
      </c>
      <c r="F4" s="215">
        <v>2646582.2843800001</v>
      </c>
      <c r="G4" s="215">
        <v>2757419.4819207401</v>
      </c>
      <c r="H4" s="215">
        <v>2865885.4470049171</v>
      </c>
      <c r="I4" s="215"/>
      <c r="J4" t="s">
        <v>209</v>
      </c>
      <c r="K4" s="215" t="e">
        <f>Recap!#REF!</f>
        <v>#REF!</v>
      </c>
      <c r="L4" s="215">
        <f>Recap!E3</f>
        <v>4096256.5975600001</v>
      </c>
      <c r="M4" s="215">
        <f>Recap!F3</f>
        <v>3519006.0427987599</v>
      </c>
      <c r="N4" s="215">
        <f>Recap!G3</f>
        <v>3429319.8277831315</v>
      </c>
      <c r="P4" s="215" t="e">
        <f>K4-E4</f>
        <v>#REF!</v>
      </c>
      <c r="Q4" s="215">
        <f t="shared" ref="Q4:S4" si="0">L4-F4</f>
        <v>1449674.3131800001</v>
      </c>
      <c r="R4" s="215">
        <f t="shared" si="0"/>
        <v>761586.56087801978</v>
      </c>
      <c r="S4" s="215">
        <f t="shared" si="0"/>
        <v>563434.38077821443</v>
      </c>
      <c r="T4" s="215"/>
      <c r="U4" s="218" t="s">
        <v>210</v>
      </c>
      <c r="V4" s="216">
        <v>100000</v>
      </c>
    </row>
    <row r="5" spans="1:25" x14ac:dyDescent="0.3">
      <c r="E5" s="215"/>
      <c r="F5" s="215"/>
      <c r="G5" s="215"/>
      <c r="H5" s="215"/>
      <c r="I5" s="215"/>
      <c r="K5" s="215"/>
      <c r="L5" s="215"/>
      <c r="M5" s="215"/>
      <c r="N5" s="215"/>
      <c r="P5" s="215"/>
      <c r="Q5" s="215"/>
      <c r="R5" s="215"/>
      <c r="S5" s="215"/>
      <c r="T5" s="215"/>
      <c r="U5" s="218" t="s">
        <v>211</v>
      </c>
      <c r="V5" s="216">
        <v>10000</v>
      </c>
      <c r="W5" s="216">
        <v>10000</v>
      </c>
      <c r="X5" s="216">
        <v>10000</v>
      </c>
      <c r="Y5" s="216">
        <v>10000</v>
      </c>
    </row>
    <row r="6" spans="1:25" x14ac:dyDescent="0.3">
      <c r="E6" s="215"/>
      <c r="F6" s="215"/>
      <c r="G6" s="215"/>
      <c r="H6" s="215"/>
      <c r="I6" s="215"/>
      <c r="K6" s="215"/>
      <c r="L6" s="215"/>
      <c r="M6" s="215"/>
      <c r="N6" s="215"/>
      <c r="P6" s="215"/>
      <c r="Q6" s="215"/>
      <c r="R6" s="215"/>
      <c r="S6" s="215"/>
      <c r="T6" s="215"/>
      <c r="U6" s="218" t="s">
        <v>211</v>
      </c>
      <c r="V6" s="216">
        <v>4000</v>
      </c>
      <c r="W6" s="216">
        <v>14000</v>
      </c>
      <c r="X6" s="216">
        <v>4000</v>
      </c>
      <c r="Y6" s="216">
        <v>4000</v>
      </c>
    </row>
    <row r="7" spans="1:25" x14ac:dyDescent="0.3">
      <c r="A7" t="s">
        <v>212</v>
      </c>
      <c r="B7" t="s">
        <v>69</v>
      </c>
      <c r="C7" t="s">
        <v>213</v>
      </c>
      <c r="D7" t="s">
        <v>209</v>
      </c>
      <c r="E7" s="215">
        <v>1150625.5489920001</v>
      </c>
      <c r="F7" s="215">
        <v>1229061.516018816</v>
      </c>
      <c r="G7" s="215">
        <v>1290202.8688872489</v>
      </c>
      <c r="H7" s="215">
        <v>1332894.2285716555</v>
      </c>
      <c r="I7" s="215"/>
      <c r="J7" t="s">
        <v>209</v>
      </c>
      <c r="K7" s="215" t="e">
        <f>Recap!#REF!</f>
        <v>#REF!</v>
      </c>
      <c r="L7" s="215">
        <f>Recap!E4</f>
        <v>1279045.2799999998</v>
      </c>
      <c r="M7" s="215">
        <f>Recap!F4</f>
        <v>1306068.915</v>
      </c>
      <c r="N7" s="215">
        <f>Recap!G4</f>
        <v>1349138.755045</v>
      </c>
      <c r="P7" s="215" t="e">
        <f t="shared" ref="P7:P63" si="1">K7-E7</f>
        <v>#REF!</v>
      </c>
      <c r="Q7" s="215">
        <f t="shared" ref="Q7:Q63" si="2">L7-F7</f>
        <v>49983.763981183758</v>
      </c>
      <c r="R7" s="215">
        <f t="shared" ref="R7:R63" si="3">M7-G7</f>
        <v>15866.046112751123</v>
      </c>
      <c r="S7" s="215">
        <f t="shared" ref="S7:S63" si="4">N7-H7</f>
        <v>16244.526473344536</v>
      </c>
      <c r="T7" s="215"/>
      <c r="U7" s="218" t="s">
        <v>211</v>
      </c>
      <c r="V7" s="216">
        <v>10400</v>
      </c>
    </row>
    <row r="8" spans="1:25" x14ac:dyDescent="0.3">
      <c r="A8" t="s">
        <v>214</v>
      </c>
      <c r="B8" t="s">
        <v>70</v>
      </c>
      <c r="C8" t="s">
        <v>215</v>
      </c>
      <c r="D8" t="s">
        <v>209</v>
      </c>
      <c r="E8" s="215">
        <v>349018</v>
      </c>
      <c r="F8" s="215">
        <v>307885</v>
      </c>
      <c r="G8" s="215">
        <v>305512</v>
      </c>
      <c r="H8" s="215">
        <v>315036</v>
      </c>
      <c r="I8" s="215"/>
      <c r="J8" t="s">
        <v>209</v>
      </c>
      <c r="K8" s="215" t="e">
        <f>Recap!#REF!</f>
        <v>#REF!</v>
      </c>
      <c r="L8" s="215">
        <f>Recap!E5</f>
        <v>653245.51522507484</v>
      </c>
      <c r="M8" s="215">
        <f>Recap!F5</f>
        <v>339365.95343840262</v>
      </c>
      <c r="N8" s="215">
        <f>Recap!G5</f>
        <v>348755.73371562356</v>
      </c>
      <c r="P8" s="215" t="e">
        <f t="shared" si="1"/>
        <v>#REF!</v>
      </c>
      <c r="Q8" s="215">
        <f t="shared" si="2"/>
        <v>345360.51522507484</v>
      </c>
      <c r="R8" s="215">
        <f t="shared" si="3"/>
        <v>33853.953438402619</v>
      </c>
      <c r="S8" s="215">
        <f t="shared" si="4"/>
        <v>33719.733715623559</v>
      </c>
      <c r="T8" s="215"/>
    </row>
    <row r="9" spans="1:25" x14ac:dyDescent="0.3">
      <c r="A9" t="s">
        <v>216</v>
      </c>
      <c r="B9" t="s">
        <v>71</v>
      </c>
      <c r="C9" t="s">
        <v>217</v>
      </c>
      <c r="D9" t="s">
        <v>209</v>
      </c>
      <c r="E9" s="215">
        <v>3036473.7551169149</v>
      </c>
      <c r="F9" s="215">
        <v>2975494.8408837542</v>
      </c>
      <c r="G9" s="215">
        <v>2996539.1593736671</v>
      </c>
      <c r="H9" s="215">
        <v>3047765.0566321649</v>
      </c>
      <c r="I9" s="215"/>
      <c r="J9" t="s">
        <v>209</v>
      </c>
      <c r="K9" s="215" t="e">
        <f>Recap!#REF!</f>
        <v>#REF!</v>
      </c>
      <c r="L9" s="215">
        <f>Recap!E6</f>
        <v>3325272.5614285553</v>
      </c>
      <c r="M9" s="215">
        <f>Recap!F6</f>
        <v>3607658.3379719453</v>
      </c>
      <c r="N9" s="215">
        <f>Recap!G6</f>
        <v>3180175.7845445643</v>
      </c>
      <c r="P9" s="215" t="e">
        <f t="shared" si="1"/>
        <v>#REF!</v>
      </c>
      <c r="Q9" s="215">
        <f t="shared" si="2"/>
        <v>349777.72054480109</v>
      </c>
      <c r="R9" s="215">
        <f t="shared" si="3"/>
        <v>611119.1785982782</v>
      </c>
      <c r="S9" s="215">
        <f t="shared" si="4"/>
        <v>132410.72791239945</v>
      </c>
      <c r="T9" s="215"/>
    </row>
    <row r="10" spans="1:25" x14ac:dyDescent="0.3">
      <c r="A10" t="s">
        <v>218</v>
      </c>
      <c r="B10" t="s">
        <v>72</v>
      </c>
      <c r="C10" t="s">
        <v>219</v>
      </c>
      <c r="D10" t="s">
        <v>209</v>
      </c>
      <c r="E10" s="215">
        <v>11485862.549764447</v>
      </c>
      <c r="F10" s="215">
        <v>11835934.835190397</v>
      </c>
      <c r="G10" s="215">
        <v>12250279.960801432</v>
      </c>
      <c r="H10" s="215">
        <v>12855625.598133471</v>
      </c>
      <c r="I10" s="215"/>
      <c r="J10" t="s">
        <v>209</v>
      </c>
      <c r="K10" s="215" t="e">
        <f>Recap!#REF!</f>
        <v>#REF!</v>
      </c>
      <c r="L10" s="215">
        <f>Recap!E7</f>
        <v>11367750.557775777</v>
      </c>
      <c r="M10" s="215">
        <f>Recap!F7</f>
        <v>11709324.560554275</v>
      </c>
      <c r="N10" s="215">
        <f>Recap!G7</f>
        <v>12465644.016871301</v>
      </c>
      <c r="P10" s="215" t="e">
        <f t="shared" si="1"/>
        <v>#REF!</v>
      </c>
      <c r="Q10" s="215">
        <f t="shared" si="2"/>
        <v>-468184.27741461992</v>
      </c>
      <c r="R10" s="215">
        <f t="shared" si="3"/>
        <v>-540955.40024715662</v>
      </c>
      <c r="S10" s="215">
        <f t="shared" si="4"/>
        <v>-389981.58126216941</v>
      </c>
      <c r="T10" s="215"/>
    </row>
    <row r="11" spans="1:25" x14ac:dyDescent="0.3">
      <c r="A11" t="s">
        <v>220</v>
      </c>
      <c r="B11" t="s">
        <v>73</v>
      </c>
      <c r="C11" t="s">
        <v>221</v>
      </c>
      <c r="D11" t="s">
        <v>209</v>
      </c>
      <c r="E11" s="215">
        <v>0</v>
      </c>
      <c r="F11" s="215">
        <v>0</v>
      </c>
      <c r="G11" s="215">
        <v>0</v>
      </c>
      <c r="H11" s="215">
        <v>0</v>
      </c>
      <c r="I11" s="215"/>
      <c r="J11" t="s">
        <v>209</v>
      </c>
      <c r="K11" s="215" t="e">
        <f>Recap!#REF!</f>
        <v>#REF!</v>
      </c>
      <c r="L11" s="215">
        <f>Recap!E8</f>
        <v>0</v>
      </c>
      <c r="M11" s="215">
        <f>Recap!F8</f>
        <v>0</v>
      </c>
      <c r="N11" s="215">
        <f>Recap!G8</f>
        <v>0</v>
      </c>
      <c r="P11" s="215" t="e">
        <f t="shared" si="1"/>
        <v>#REF!</v>
      </c>
      <c r="Q11" s="215">
        <f t="shared" si="2"/>
        <v>0</v>
      </c>
      <c r="R11" s="215">
        <f t="shared" si="3"/>
        <v>0</v>
      </c>
      <c r="S11" s="215">
        <f t="shared" si="4"/>
        <v>0</v>
      </c>
      <c r="T11" s="215"/>
    </row>
    <row r="12" spans="1:25" x14ac:dyDescent="0.3">
      <c r="A12" t="s">
        <v>222</v>
      </c>
      <c r="B12" t="s">
        <v>74</v>
      </c>
      <c r="C12" t="s">
        <v>223</v>
      </c>
      <c r="D12" t="s">
        <v>209</v>
      </c>
      <c r="E12" s="215">
        <v>61245</v>
      </c>
      <c r="F12" s="215">
        <v>92483</v>
      </c>
      <c r="G12" s="215">
        <v>266627</v>
      </c>
      <c r="H12" s="215">
        <v>439206</v>
      </c>
      <c r="I12" s="215"/>
      <c r="J12" t="s">
        <v>209</v>
      </c>
      <c r="K12" s="215" t="e">
        <f>Recap!#REF!</f>
        <v>#REF!</v>
      </c>
      <c r="L12" s="215">
        <f>Recap!E9</f>
        <v>204771</v>
      </c>
      <c r="M12" s="215">
        <f>Recap!F9</f>
        <v>629078</v>
      </c>
      <c r="N12" s="215">
        <f>Recap!G9</f>
        <v>1083905</v>
      </c>
      <c r="P12" s="215" t="e">
        <f t="shared" si="1"/>
        <v>#REF!</v>
      </c>
      <c r="Q12" s="215">
        <f t="shared" si="2"/>
        <v>112288</v>
      </c>
      <c r="R12" s="215">
        <f t="shared" si="3"/>
        <v>362451</v>
      </c>
      <c r="S12" s="215">
        <f t="shared" si="4"/>
        <v>644699</v>
      </c>
      <c r="T12" s="215"/>
    </row>
    <row r="13" spans="1:25" x14ac:dyDescent="0.3">
      <c r="A13" t="s">
        <v>224</v>
      </c>
      <c r="B13" t="s">
        <v>75</v>
      </c>
      <c r="C13" t="s">
        <v>225</v>
      </c>
      <c r="D13" t="s">
        <v>209</v>
      </c>
      <c r="E13" s="215">
        <v>179046</v>
      </c>
      <c r="F13" s="215">
        <v>185090</v>
      </c>
      <c r="G13" s="215">
        <v>191357</v>
      </c>
      <c r="H13" s="215">
        <v>197851</v>
      </c>
      <c r="I13" s="215"/>
      <c r="J13" t="s">
        <v>209</v>
      </c>
      <c r="K13" s="215" t="e">
        <f>Recap!#REF!</f>
        <v>#REF!</v>
      </c>
      <c r="L13" s="215">
        <f>Recap!E10</f>
        <v>172088</v>
      </c>
      <c r="M13" s="215">
        <f>Recap!F10</f>
        <v>177644</v>
      </c>
      <c r="N13" s="215">
        <f>Recap!G10</f>
        <v>183043</v>
      </c>
      <c r="P13" s="215" t="e">
        <f t="shared" si="1"/>
        <v>#REF!</v>
      </c>
      <c r="Q13" s="215">
        <f t="shared" si="2"/>
        <v>-13002</v>
      </c>
      <c r="R13" s="215">
        <f t="shared" si="3"/>
        <v>-13713</v>
      </c>
      <c r="S13" s="215">
        <f t="shared" si="4"/>
        <v>-14808</v>
      </c>
      <c r="T13" s="215"/>
    </row>
    <row r="14" spans="1:25" x14ac:dyDescent="0.3">
      <c r="A14" t="s">
        <v>226</v>
      </c>
      <c r="B14" t="s">
        <v>76</v>
      </c>
      <c r="C14" t="s">
        <v>227</v>
      </c>
      <c r="D14" t="s">
        <v>209</v>
      </c>
      <c r="E14" s="215">
        <v>138814</v>
      </c>
      <c r="F14" s="215">
        <v>143662</v>
      </c>
      <c r="G14" s="215">
        <v>148690</v>
      </c>
      <c r="H14" s="215">
        <v>153907</v>
      </c>
      <c r="I14" s="215"/>
      <c r="J14" t="s">
        <v>209</v>
      </c>
      <c r="K14" s="215" t="e">
        <f>Recap!#REF!</f>
        <v>#REF!</v>
      </c>
      <c r="L14" s="215">
        <f>Recap!E11</f>
        <v>130667</v>
      </c>
      <c r="M14" s="215">
        <f>Recap!F11</f>
        <v>135042</v>
      </c>
      <c r="N14" s="215">
        <f>Recap!G11</f>
        <v>139255</v>
      </c>
      <c r="P14" s="215" t="e">
        <f t="shared" si="1"/>
        <v>#REF!</v>
      </c>
      <c r="Q14" s="215">
        <f t="shared" si="2"/>
        <v>-12995</v>
      </c>
      <c r="R14" s="215">
        <f t="shared" si="3"/>
        <v>-13648</v>
      </c>
      <c r="S14" s="215">
        <f t="shared" si="4"/>
        <v>-14652</v>
      </c>
      <c r="T14" s="215"/>
    </row>
    <row r="15" spans="1:25" x14ac:dyDescent="0.3">
      <c r="A15" t="s">
        <v>228</v>
      </c>
      <c r="B15" t="s">
        <v>77</v>
      </c>
      <c r="C15" t="s">
        <v>229</v>
      </c>
      <c r="D15" t="s">
        <v>209</v>
      </c>
      <c r="E15" s="215">
        <v>63955</v>
      </c>
      <c r="F15" s="215">
        <v>66641</v>
      </c>
      <c r="G15" s="215">
        <v>69440</v>
      </c>
      <c r="H15" s="215">
        <v>72356</v>
      </c>
      <c r="I15" s="215"/>
      <c r="J15" t="s">
        <v>209</v>
      </c>
      <c r="K15" s="215" t="e">
        <f>Recap!#REF!</f>
        <v>#REF!</v>
      </c>
      <c r="L15" s="215">
        <f>Recap!E12</f>
        <v>65986</v>
      </c>
      <c r="M15" s="215">
        <f>Recap!F12</f>
        <v>68757</v>
      </c>
      <c r="N15" s="215">
        <f>Recap!G12</f>
        <v>71301</v>
      </c>
      <c r="P15" s="215" t="e">
        <f t="shared" si="1"/>
        <v>#REF!</v>
      </c>
      <c r="Q15" s="215">
        <f t="shared" si="2"/>
        <v>-655</v>
      </c>
      <c r="R15" s="215">
        <f t="shared" si="3"/>
        <v>-683</v>
      </c>
      <c r="S15" s="215">
        <f t="shared" si="4"/>
        <v>-1055</v>
      </c>
      <c r="T15" s="215"/>
    </row>
    <row r="16" spans="1:25" x14ac:dyDescent="0.3">
      <c r="A16" t="s">
        <v>230</v>
      </c>
      <c r="B16" t="s">
        <v>78</v>
      </c>
      <c r="C16" t="s">
        <v>231</v>
      </c>
      <c r="D16" t="s">
        <v>209</v>
      </c>
      <c r="E16" s="215">
        <v>5645</v>
      </c>
      <c r="F16" s="215">
        <v>5775</v>
      </c>
      <c r="G16" s="215">
        <v>5908</v>
      </c>
      <c r="H16" s="215">
        <v>6044</v>
      </c>
      <c r="I16" s="215"/>
      <c r="J16" t="s">
        <v>209</v>
      </c>
      <c r="K16" s="215" t="e">
        <f>Recap!#REF!</f>
        <v>#REF!</v>
      </c>
      <c r="L16" s="215">
        <f>Recap!E13</f>
        <v>5780</v>
      </c>
      <c r="M16" s="215">
        <f>Recap!F13</f>
        <v>5901</v>
      </c>
      <c r="N16" s="215">
        <f>Recap!G13</f>
        <v>6037</v>
      </c>
      <c r="P16" s="215" t="e">
        <f t="shared" si="1"/>
        <v>#REF!</v>
      </c>
      <c r="Q16" s="215">
        <f t="shared" si="2"/>
        <v>5</v>
      </c>
      <c r="R16" s="215">
        <f t="shared" si="3"/>
        <v>-7</v>
      </c>
      <c r="S16" s="215">
        <f t="shared" si="4"/>
        <v>-7</v>
      </c>
      <c r="T16" s="215"/>
    </row>
    <row r="17" spans="1:25" x14ac:dyDescent="0.3">
      <c r="A17" t="s">
        <v>232</v>
      </c>
      <c r="B17" t="s">
        <v>79</v>
      </c>
      <c r="C17" t="s">
        <v>233</v>
      </c>
      <c r="D17" t="s">
        <v>209</v>
      </c>
      <c r="E17" s="108">
        <v>207972</v>
      </c>
      <c r="F17" s="108">
        <v>230693</v>
      </c>
      <c r="G17" s="108">
        <v>234994</v>
      </c>
      <c r="H17" s="108">
        <v>239394</v>
      </c>
      <c r="I17" s="108"/>
      <c r="J17" t="s">
        <v>209</v>
      </c>
      <c r="K17" s="104" t="e">
        <f>Recap!#REF!</f>
        <v>#REF!</v>
      </c>
      <c r="L17" s="104">
        <f>Recap!E14</f>
        <v>594431.35097718053</v>
      </c>
      <c r="M17" s="104">
        <f>Recap!F14</f>
        <v>233854</v>
      </c>
      <c r="N17" s="104">
        <f>Recap!G14</f>
        <v>238228</v>
      </c>
      <c r="P17" s="215" t="e">
        <f t="shared" si="1"/>
        <v>#REF!</v>
      </c>
      <c r="Q17" s="215">
        <f t="shared" si="2"/>
        <v>363738.35097718053</v>
      </c>
      <c r="R17" s="215">
        <f t="shared" si="3"/>
        <v>-1140</v>
      </c>
      <c r="S17" s="215">
        <f t="shared" si="4"/>
        <v>-1166</v>
      </c>
      <c r="T17" s="215"/>
      <c r="U17" s="218" t="s">
        <v>210</v>
      </c>
      <c r="V17" s="216">
        <v>120000</v>
      </c>
      <c r="W17" s="216">
        <v>123000</v>
      </c>
      <c r="X17" s="216">
        <v>127000</v>
      </c>
      <c r="Y17" s="216">
        <v>130000</v>
      </c>
    </row>
    <row r="18" spans="1:25" x14ac:dyDescent="0.3">
      <c r="A18" t="s">
        <v>234</v>
      </c>
      <c r="B18" t="s">
        <v>80</v>
      </c>
      <c r="C18" t="s">
        <v>235</v>
      </c>
      <c r="D18" t="s">
        <v>209</v>
      </c>
      <c r="E18" s="215">
        <v>0</v>
      </c>
      <c r="F18" s="215">
        <v>5000</v>
      </c>
      <c r="G18" s="215">
        <v>5000</v>
      </c>
      <c r="H18" s="215">
        <v>5000</v>
      </c>
      <c r="I18" s="215"/>
      <c r="J18" t="s">
        <v>209</v>
      </c>
      <c r="K18" s="215" t="e">
        <f>Recap!#REF!</f>
        <v>#REF!</v>
      </c>
      <c r="L18" s="215">
        <f>Recap!E15</f>
        <v>11400</v>
      </c>
      <c r="M18" s="215">
        <f>Recap!F15</f>
        <v>11400</v>
      </c>
      <c r="N18" s="215">
        <f>Recap!G15</f>
        <v>11400</v>
      </c>
      <c r="P18" s="215" t="e">
        <f t="shared" si="1"/>
        <v>#REF!</v>
      </c>
      <c r="Q18" s="215">
        <f t="shared" si="2"/>
        <v>6400</v>
      </c>
      <c r="R18" s="215">
        <f t="shared" si="3"/>
        <v>6400</v>
      </c>
      <c r="S18" s="215">
        <f t="shared" si="4"/>
        <v>6400</v>
      </c>
      <c r="T18" s="215"/>
    </row>
    <row r="19" spans="1:25" x14ac:dyDescent="0.3">
      <c r="A19" t="s">
        <v>236</v>
      </c>
      <c r="B19" t="s">
        <v>81</v>
      </c>
      <c r="C19" t="s">
        <v>237</v>
      </c>
      <c r="D19" t="s">
        <v>209</v>
      </c>
      <c r="E19" s="215">
        <v>423871</v>
      </c>
      <c r="F19" s="215">
        <v>336578</v>
      </c>
      <c r="G19" s="215">
        <v>336288</v>
      </c>
      <c r="H19" s="215">
        <v>335987</v>
      </c>
      <c r="I19" s="215"/>
      <c r="J19" t="s">
        <v>209</v>
      </c>
      <c r="K19" s="215" t="e">
        <f>Recap!#REF!</f>
        <v>#REF!</v>
      </c>
      <c r="L19" s="215">
        <f>Recap!E16</f>
        <v>905588</v>
      </c>
      <c r="M19" s="215">
        <f>Recap!F16</f>
        <v>471829</v>
      </c>
      <c r="N19" s="215">
        <f>Recap!G16</f>
        <v>438368</v>
      </c>
      <c r="P19" s="215" t="e">
        <f t="shared" si="1"/>
        <v>#REF!</v>
      </c>
      <c r="Q19" s="215">
        <f t="shared" si="2"/>
        <v>569010</v>
      </c>
      <c r="R19" s="215">
        <f t="shared" si="3"/>
        <v>135541</v>
      </c>
      <c r="S19" s="215">
        <f t="shared" si="4"/>
        <v>102381</v>
      </c>
      <c r="T19" s="215"/>
    </row>
    <row r="20" spans="1:25" x14ac:dyDescent="0.3">
      <c r="A20" t="s">
        <v>238</v>
      </c>
      <c r="B20" t="s">
        <v>82</v>
      </c>
      <c r="C20" t="s">
        <v>239</v>
      </c>
      <c r="D20" t="s">
        <v>209</v>
      </c>
      <c r="E20" s="215">
        <v>0</v>
      </c>
      <c r="F20" s="215">
        <v>0</v>
      </c>
      <c r="G20" s="215">
        <v>0</v>
      </c>
      <c r="H20" s="215">
        <v>2</v>
      </c>
      <c r="I20" s="215"/>
      <c r="J20" t="s">
        <v>209</v>
      </c>
      <c r="K20" s="215" t="e">
        <f>Recap!#REF!</f>
        <v>#REF!</v>
      </c>
      <c r="L20" s="215">
        <f>Recap!E17</f>
        <v>0</v>
      </c>
      <c r="M20" s="215">
        <f>Recap!F17</f>
        <v>0</v>
      </c>
      <c r="N20" s="215">
        <f>Recap!G17</f>
        <v>0</v>
      </c>
      <c r="P20" s="215" t="e">
        <f t="shared" si="1"/>
        <v>#REF!</v>
      </c>
      <c r="Q20" s="215">
        <f t="shared" si="2"/>
        <v>0</v>
      </c>
      <c r="R20" s="215">
        <f t="shared" si="3"/>
        <v>0</v>
      </c>
      <c r="S20" s="215">
        <f t="shared" si="4"/>
        <v>-2</v>
      </c>
      <c r="T20" s="215"/>
    </row>
    <row r="21" spans="1:25" x14ac:dyDescent="0.3">
      <c r="A21" t="s">
        <v>240</v>
      </c>
      <c r="B21" t="s">
        <v>83</v>
      </c>
      <c r="C21" t="s">
        <v>241</v>
      </c>
      <c r="D21" t="s">
        <v>209</v>
      </c>
      <c r="E21" s="215">
        <v>1964601.04</v>
      </c>
      <c r="F21" s="215">
        <v>2046117</v>
      </c>
      <c r="G21" s="215">
        <v>2134352</v>
      </c>
      <c r="H21" s="215">
        <v>2222835</v>
      </c>
      <c r="I21" s="215"/>
      <c r="J21" t="s">
        <v>209</v>
      </c>
      <c r="K21" s="215" t="e">
        <f>Recap!#REF!</f>
        <v>#REF!</v>
      </c>
      <c r="L21" s="215">
        <f>Recap!E18</f>
        <v>2088526.53235</v>
      </c>
      <c r="M21" s="215">
        <f>Recap!F18</f>
        <v>2264477.9396769498</v>
      </c>
      <c r="N21" s="215">
        <f>Recap!G18</f>
        <v>2326060.8507600324</v>
      </c>
      <c r="P21" s="215" t="e">
        <f t="shared" si="1"/>
        <v>#REF!</v>
      </c>
      <c r="Q21" s="215">
        <f t="shared" si="2"/>
        <v>42409.532349999994</v>
      </c>
      <c r="R21" s="215">
        <f t="shared" si="3"/>
        <v>130125.93967694975</v>
      </c>
      <c r="S21" s="215">
        <f t="shared" si="4"/>
        <v>103225.85076003242</v>
      </c>
      <c r="T21" s="215"/>
    </row>
    <row r="22" spans="1:25" x14ac:dyDescent="0.3">
      <c r="A22" t="s">
        <v>242</v>
      </c>
      <c r="B22" t="s">
        <v>84</v>
      </c>
      <c r="C22" t="s">
        <v>243</v>
      </c>
      <c r="D22" t="s">
        <v>209</v>
      </c>
      <c r="E22" s="215">
        <v>1679340.3211899202</v>
      </c>
      <c r="F22" s="215">
        <v>1746066.9125787106</v>
      </c>
      <c r="G22" s="215">
        <v>1797877.8720147882</v>
      </c>
      <c r="H22" s="215">
        <v>1868557.7522195331</v>
      </c>
      <c r="I22" s="215"/>
      <c r="J22" t="s">
        <v>209</v>
      </c>
      <c r="K22" s="215" t="e">
        <f>Recap!#REF!</f>
        <v>#REF!</v>
      </c>
      <c r="L22" s="215">
        <f>Recap!E19</f>
        <v>2005361.1785600001</v>
      </c>
      <c r="M22" s="215">
        <f>Recap!F19</f>
        <v>1932160.2371744001</v>
      </c>
      <c r="N22" s="215">
        <f>Recap!G19</f>
        <v>1999201.3830995702</v>
      </c>
      <c r="P22" s="215" t="e">
        <f t="shared" si="1"/>
        <v>#REF!</v>
      </c>
      <c r="Q22" s="215">
        <f t="shared" si="2"/>
        <v>259294.26598128956</v>
      </c>
      <c r="R22" s="215">
        <f t="shared" si="3"/>
        <v>134282.36515961192</v>
      </c>
      <c r="S22" s="215">
        <f t="shared" si="4"/>
        <v>130643.63088003709</v>
      </c>
      <c r="T22" s="215"/>
    </row>
    <row r="23" spans="1:25" x14ac:dyDescent="0.3">
      <c r="A23" t="s">
        <v>244</v>
      </c>
      <c r="B23" t="s">
        <v>85</v>
      </c>
      <c r="C23" t="s">
        <v>245</v>
      </c>
      <c r="D23" t="s">
        <v>209</v>
      </c>
      <c r="E23" s="215">
        <v>3624954.2600000002</v>
      </c>
      <c r="F23" s="215">
        <v>3837871.7</v>
      </c>
      <c r="G23" s="215">
        <v>4166670.46</v>
      </c>
      <c r="H23" s="215">
        <v>4361801.4000000004</v>
      </c>
      <c r="I23" s="215"/>
      <c r="J23" t="s">
        <v>209</v>
      </c>
      <c r="K23" s="215" t="e">
        <f>Recap!#REF!</f>
        <v>#REF!</v>
      </c>
      <c r="L23" s="215">
        <f>Recap!E20</f>
        <v>4152536.8842720501</v>
      </c>
      <c r="M23" s="215">
        <f>Recap!F20</f>
        <v>4859110.9189856518</v>
      </c>
      <c r="N23" s="215">
        <f>Recap!G20</f>
        <v>5275649.7529349346</v>
      </c>
      <c r="P23" s="215" t="e">
        <f t="shared" si="1"/>
        <v>#REF!</v>
      </c>
      <c r="Q23" s="215">
        <f t="shared" si="2"/>
        <v>314665.18427204993</v>
      </c>
      <c r="R23" s="215">
        <f t="shared" si="3"/>
        <v>692440.45898565184</v>
      </c>
      <c r="S23" s="215">
        <f t="shared" si="4"/>
        <v>913848.3529349342</v>
      </c>
      <c r="T23" s="215"/>
    </row>
    <row r="24" spans="1:25" x14ac:dyDescent="0.3">
      <c r="A24" t="s">
        <v>246</v>
      </c>
      <c r="B24" t="s">
        <v>86</v>
      </c>
      <c r="C24" t="s">
        <v>247</v>
      </c>
      <c r="D24" t="s">
        <v>209</v>
      </c>
      <c r="E24" s="215">
        <v>88269.931391999999</v>
      </c>
      <c r="F24" s="215">
        <v>89637.832530015992</v>
      </c>
      <c r="G24" s="215">
        <v>91040.352635112358</v>
      </c>
      <c r="H24" s="215">
        <v>92477.232745719957</v>
      </c>
      <c r="I24" s="215"/>
      <c r="J24" t="s">
        <v>209</v>
      </c>
      <c r="K24" s="215" t="e">
        <f>Recap!#REF!</f>
        <v>#REF!</v>
      </c>
      <c r="L24" s="215">
        <f>Recap!E21</f>
        <v>89294.891072138882</v>
      </c>
      <c r="M24" s="215">
        <f>Recap!F21</f>
        <v>90577.142104780942</v>
      </c>
      <c r="N24" s="215">
        <f>Recap!G21</f>
        <v>91996.266878541282</v>
      </c>
      <c r="P24" s="215" t="e">
        <f t="shared" si="1"/>
        <v>#REF!</v>
      </c>
      <c r="Q24" s="215">
        <f t="shared" si="2"/>
        <v>-342.94145787711022</v>
      </c>
      <c r="R24" s="215">
        <f t="shared" si="3"/>
        <v>-463.21053033141652</v>
      </c>
      <c r="S24" s="215">
        <f t="shared" si="4"/>
        <v>-480.96586717867467</v>
      </c>
      <c r="T24" s="215"/>
    </row>
    <row r="25" spans="1:25" x14ac:dyDescent="0.3">
      <c r="A25" t="s">
        <v>248</v>
      </c>
      <c r="B25" t="s">
        <v>87</v>
      </c>
      <c r="C25" t="s">
        <v>249</v>
      </c>
      <c r="D25" t="s">
        <v>209</v>
      </c>
      <c r="E25" s="215">
        <v>78581.490000000005</v>
      </c>
      <c r="F25" s="215">
        <v>80320</v>
      </c>
      <c r="G25" s="215">
        <v>82101</v>
      </c>
      <c r="H25" s="215">
        <v>83927</v>
      </c>
      <c r="I25" s="215"/>
      <c r="J25" t="s">
        <v>209</v>
      </c>
      <c r="K25" s="215" t="e">
        <f>Recap!#REF!</f>
        <v>#REF!</v>
      </c>
      <c r="L25" s="215">
        <f>Recap!E22</f>
        <v>99454.81</v>
      </c>
      <c r="M25" s="215">
        <f>Recap!F22</f>
        <v>101593.02</v>
      </c>
      <c r="N25" s="215">
        <f>Recap!G22</f>
        <v>103963.27</v>
      </c>
      <c r="P25" s="215" t="e">
        <f t="shared" si="1"/>
        <v>#REF!</v>
      </c>
      <c r="Q25" s="215">
        <f t="shared" si="2"/>
        <v>19134.809999999998</v>
      </c>
      <c r="R25" s="215">
        <f t="shared" si="3"/>
        <v>19492.020000000004</v>
      </c>
      <c r="S25" s="215">
        <f t="shared" si="4"/>
        <v>20036.270000000004</v>
      </c>
      <c r="T25" s="215"/>
    </row>
    <row r="26" spans="1:25" x14ac:dyDescent="0.3">
      <c r="A26" t="s">
        <v>250</v>
      </c>
      <c r="B26" t="s">
        <v>88</v>
      </c>
      <c r="C26" t="s">
        <v>251</v>
      </c>
      <c r="D26" t="s">
        <v>209</v>
      </c>
      <c r="E26" s="215">
        <v>869239.44</v>
      </c>
      <c r="F26" s="215">
        <v>895173.69</v>
      </c>
      <c r="G26" s="215">
        <v>910956.14</v>
      </c>
      <c r="H26" s="215">
        <v>939885.72</v>
      </c>
      <c r="I26" s="215"/>
      <c r="J26" t="s">
        <v>209</v>
      </c>
      <c r="K26" s="215" t="e">
        <f>Recap!#REF!</f>
        <v>#REF!</v>
      </c>
      <c r="L26" s="215">
        <f>Recap!E23</f>
        <v>1355577.56</v>
      </c>
      <c r="M26" s="215">
        <f>Recap!F23</f>
        <v>1122696.53</v>
      </c>
      <c r="N26" s="215">
        <f>Recap!G23</f>
        <v>1152490.1099999999</v>
      </c>
      <c r="P26" s="215" t="e">
        <f t="shared" si="1"/>
        <v>#REF!</v>
      </c>
      <c r="Q26" s="215">
        <f t="shared" si="2"/>
        <v>460403.87000000011</v>
      </c>
      <c r="R26" s="215">
        <f t="shared" si="3"/>
        <v>211740.39</v>
      </c>
      <c r="S26" s="215">
        <f t="shared" si="4"/>
        <v>212604.3899999999</v>
      </c>
      <c r="T26" s="215"/>
    </row>
    <row r="27" spans="1:25" x14ac:dyDescent="0.3">
      <c r="A27" t="s">
        <v>252</v>
      </c>
      <c r="B27" t="s">
        <v>89</v>
      </c>
      <c r="C27" t="s">
        <v>253</v>
      </c>
      <c r="D27" t="s">
        <v>209</v>
      </c>
      <c r="E27" s="215">
        <v>37083.619999999995</v>
      </c>
      <c r="F27" s="215">
        <v>38417.023999999998</v>
      </c>
      <c r="G27" s="215">
        <v>39801.504384</v>
      </c>
      <c r="H27" s="215">
        <v>41241.464454143999</v>
      </c>
      <c r="I27" s="215"/>
      <c r="J27" t="s">
        <v>209</v>
      </c>
      <c r="K27" s="215" t="e">
        <f>Recap!#REF!</f>
        <v>#REF!</v>
      </c>
      <c r="L27" s="215">
        <f>Recap!E24</f>
        <v>41976.023999999998</v>
      </c>
      <c r="M27" s="215">
        <f>Recap!F24</f>
        <v>43502.504384</v>
      </c>
      <c r="N27" s="215">
        <f>Recap!G24</f>
        <v>44931.464454143999</v>
      </c>
      <c r="P27" s="215" t="e">
        <f t="shared" si="1"/>
        <v>#REF!</v>
      </c>
      <c r="Q27" s="215">
        <f t="shared" si="2"/>
        <v>3559</v>
      </c>
      <c r="R27" s="215">
        <f t="shared" si="3"/>
        <v>3701</v>
      </c>
      <c r="S27" s="215">
        <f t="shared" si="4"/>
        <v>3690</v>
      </c>
      <c r="T27" s="215"/>
    </row>
    <row r="28" spans="1:25" x14ac:dyDescent="0.3">
      <c r="A28" t="s">
        <v>254</v>
      </c>
      <c r="B28" t="s">
        <v>90</v>
      </c>
      <c r="C28" t="s">
        <v>255</v>
      </c>
      <c r="D28" t="s">
        <v>209</v>
      </c>
      <c r="E28" s="215">
        <v>476690.77</v>
      </c>
      <c r="F28" s="215">
        <v>484795.74699999997</v>
      </c>
      <c r="G28" s="215">
        <v>493218.76418100001</v>
      </c>
      <c r="H28" s="215">
        <v>502008.58675716299</v>
      </c>
      <c r="I28" s="215"/>
      <c r="J28" t="s">
        <v>209</v>
      </c>
      <c r="K28" s="215" t="e">
        <f>Recap!#REF!</f>
        <v>#REF!</v>
      </c>
      <c r="L28" s="215">
        <f>Recap!E25</f>
        <v>517402.82699999999</v>
      </c>
      <c r="M28" s="215">
        <f>Recap!F25</f>
        <v>526952.76418099995</v>
      </c>
      <c r="N28" s="215">
        <f>Recap!G25</f>
        <v>536047.58675716305</v>
      </c>
      <c r="P28" s="215" t="e">
        <f t="shared" si="1"/>
        <v>#REF!</v>
      </c>
      <c r="Q28" s="215">
        <f t="shared" si="2"/>
        <v>32607.080000000016</v>
      </c>
      <c r="R28" s="215">
        <f t="shared" si="3"/>
        <v>33733.999999999942</v>
      </c>
      <c r="S28" s="215">
        <f t="shared" si="4"/>
        <v>34039.000000000058</v>
      </c>
      <c r="T28" s="215"/>
    </row>
    <row r="29" spans="1:25" x14ac:dyDescent="0.3">
      <c r="A29" t="s">
        <v>256</v>
      </c>
      <c r="B29" t="s">
        <v>91</v>
      </c>
      <c r="C29" t="s">
        <v>257</v>
      </c>
      <c r="D29" t="s">
        <v>209</v>
      </c>
      <c r="E29" s="215">
        <v>958258.61700000009</v>
      </c>
      <c r="F29" s="215">
        <v>1742768.550148</v>
      </c>
      <c r="G29" s="215">
        <v>2235701.1395034762</v>
      </c>
      <c r="H29" s="215">
        <v>2360346.2916651047</v>
      </c>
      <c r="I29" s="215"/>
      <c r="J29" t="s">
        <v>209</v>
      </c>
      <c r="K29" s="215" t="e">
        <f>Recap!#REF!</f>
        <v>#REF!</v>
      </c>
      <c r="L29" s="215">
        <f>Recap!E26</f>
        <v>1735325.3553246784</v>
      </c>
      <c r="M29" s="215">
        <f>Recap!F26</f>
        <v>1740867.3107916915</v>
      </c>
      <c r="N29" s="215">
        <f>Recap!G26</f>
        <v>3159300.4692909839</v>
      </c>
      <c r="P29" s="215" t="e">
        <f t="shared" si="1"/>
        <v>#REF!</v>
      </c>
      <c r="Q29" s="215">
        <f t="shared" si="2"/>
        <v>-7443.1948233216535</v>
      </c>
      <c r="R29" s="215">
        <f t="shared" si="3"/>
        <v>-494833.82871178468</v>
      </c>
      <c r="S29" s="215">
        <f t="shared" si="4"/>
        <v>798954.17762587918</v>
      </c>
      <c r="T29" s="215"/>
    </row>
    <row r="30" spans="1:25" x14ac:dyDescent="0.3">
      <c r="A30" t="s">
        <v>258</v>
      </c>
      <c r="B30" t="s">
        <v>92</v>
      </c>
      <c r="C30" t="s">
        <v>259</v>
      </c>
      <c r="D30" t="s">
        <v>209</v>
      </c>
      <c r="E30" s="215">
        <v>1779281.44</v>
      </c>
      <c r="F30" s="215">
        <v>1823915</v>
      </c>
      <c r="G30" s="215">
        <v>1870313</v>
      </c>
      <c r="H30" s="215">
        <v>1919495</v>
      </c>
      <c r="I30" s="215"/>
      <c r="J30" t="s">
        <v>209</v>
      </c>
      <c r="K30" s="215" t="e">
        <f>Recap!#REF!</f>
        <v>#REF!</v>
      </c>
      <c r="L30" s="215">
        <f>Recap!E27</f>
        <v>1829738.23</v>
      </c>
      <c r="M30" s="215">
        <f>Recap!F27</f>
        <v>1882242</v>
      </c>
      <c r="N30" s="215">
        <f>Recap!G27</f>
        <v>1908620</v>
      </c>
      <c r="P30" s="215" t="e">
        <f t="shared" si="1"/>
        <v>#REF!</v>
      </c>
      <c r="Q30" s="215">
        <f t="shared" si="2"/>
        <v>5823.2299999999814</v>
      </c>
      <c r="R30" s="215">
        <f t="shared" si="3"/>
        <v>11929</v>
      </c>
      <c r="S30" s="215">
        <f t="shared" si="4"/>
        <v>-10875</v>
      </c>
      <c r="T30" s="215"/>
      <c r="U30" s="218" t="s">
        <v>210</v>
      </c>
      <c r="V30" s="216">
        <v>8160</v>
      </c>
      <c r="W30" s="216">
        <v>8261</v>
      </c>
      <c r="X30" s="216">
        <v>8629</v>
      </c>
      <c r="Y30" s="216">
        <v>9021</v>
      </c>
    </row>
    <row r="31" spans="1:25" x14ac:dyDescent="0.3">
      <c r="A31" t="s">
        <v>260</v>
      </c>
      <c r="B31" t="s">
        <v>93</v>
      </c>
      <c r="C31" t="s">
        <v>261</v>
      </c>
      <c r="D31" t="s">
        <v>209</v>
      </c>
      <c r="E31" s="215">
        <v>548740.43999999994</v>
      </c>
      <c r="F31" s="215">
        <v>549642</v>
      </c>
      <c r="G31" s="215">
        <v>559951</v>
      </c>
      <c r="H31" s="215">
        <v>570664</v>
      </c>
      <c r="I31" s="215"/>
      <c r="J31" t="s">
        <v>209</v>
      </c>
      <c r="K31" s="215" t="e">
        <f>Recap!#REF!</f>
        <v>#REF!</v>
      </c>
      <c r="L31" s="215">
        <f>Recap!E28</f>
        <v>689486.75</v>
      </c>
      <c r="M31" s="215">
        <f>Recap!F28</f>
        <v>684695</v>
      </c>
      <c r="N31" s="215">
        <f>Recap!G28</f>
        <v>695336</v>
      </c>
      <c r="P31" s="215" t="e">
        <f t="shared" si="1"/>
        <v>#REF!</v>
      </c>
      <c r="Q31" s="215">
        <f t="shared" si="2"/>
        <v>139844.75</v>
      </c>
      <c r="R31" s="215">
        <f t="shared" si="3"/>
        <v>124744</v>
      </c>
      <c r="S31" s="215">
        <f t="shared" si="4"/>
        <v>124672</v>
      </c>
      <c r="T31" s="215"/>
    </row>
    <row r="32" spans="1:25" x14ac:dyDescent="0.3">
      <c r="A32" t="s">
        <v>262</v>
      </c>
      <c r="B32" t="s">
        <v>94</v>
      </c>
      <c r="C32" t="s">
        <v>263</v>
      </c>
      <c r="D32" t="s">
        <v>209</v>
      </c>
      <c r="E32" s="215">
        <v>2458176.2379413759</v>
      </c>
      <c r="F32" s="215">
        <v>2507208.6284250789</v>
      </c>
      <c r="G32" s="215">
        <v>2525720.8220040975</v>
      </c>
      <c r="H32" s="215">
        <v>2479547.572123894</v>
      </c>
      <c r="I32" s="215"/>
      <c r="J32" t="s">
        <v>209</v>
      </c>
      <c r="K32" s="215" t="e">
        <f>Recap!#REF!</f>
        <v>#REF!</v>
      </c>
      <c r="L32" s="215">
        <f>Recap!E29</f>
        <v>2533362.1950562866</v>
      </c>
      <c r="M32" s="215">
        <f>Recap!F29</f>
        <v>2615409.0200901665</v>
      </c>
      <c r="N32" s="215">
        <f>Recap!G29</f>
        <v>2576630.0207311884</v>
      </c>
      <c r="P32" s="215" t="e">
        <f t="shared" si="1"/>
        <v>#REF!</v>
      </c>
      <c r="Q32" s="215">
        <f t="shared" si="2"/>
        <v>26153.566631207708</v>
      </c>
      <c r="R32" s="215">
        <f t="shared" si="3"/>
        <v>89688.198086068965</v>
      </c>
      <c r="S32" s="215">
        <f t="shared" si="4"/>
        <v>97082.448607294355</v>
      </c>
      <c r="T32" s="215"/>
    </row>
    <row r="33" spans="1:25" x14ac:dyDescent="0.3">
      <c r="A33" t="s">
        <v>264</v>
      </c>
      <c r="B33" t="s">
        <v>95</v>
      </c>
      <c r="C33" t="s">
        <v>265</v>
      </c>
      <c r="D33" t="s">
        <v>209</v>
      </c>
      <c r="E33" s="215">
        <v>899113.43630399997</v>
      </c>
      <c r="F33" s="215">
        <v>932400.57047899207</v>
      </c>
      <c r="G33" s="215">
        <v>950482.02460000885</v>
      </c>
      <c r="H33" s="215">
        <v>985712.80796580901</v>
      </c>
      <c r="I33" s="215"/>
      <c r="J33" t="s">
        <v>209</v>
      </c>
      <c r="K33" s="215" t="e">
        <f>Recap!#REF!</f>
        <v>#REF!</v>
      </c>
      <c r="L33" s="215">
        <f>Recap!E30</f>
        <v>886151.4923279041</v>
      </c>
      <c r="M33" s="215">
        <f>Recap!F30</f>
        <v>840851.76948679006</v>
      </c>
      <c r="N33" s="215">
        <f>Recap!G30</f>
        <v>871065.50218498614</v>
      </c>
      <c r="P33" s="215" t="e">
        <f t="shared" si="1"/>
        <v>#REF!</v>
      </c>
      <c r="Q33" s="215">
        <f t="shared" si="2"/>
        <v>-46249.078151087975</v>
      </c>
      <c r="R33" s="215">
        <f t="shared" si="3"/>
        <v>-109630.25511321879</v>
      </c>
      <c r="S33" s="215">
        <f t="shared" si="4"/>
        <v>-114647.30578082288</v>
      </c>
      <c r="T33" s="215"/>
    </row>
    <row r="34" spans="1:25" x14ac:dyDescent="0.3">
      <c r="A34" t="s">
        <v>266</v>
      </c>
      <c r="B34" t="s">
        <v>96</v>
      </c>
      <c r="C34" t="s">
        <v>267</v>
      </c>
      <c r="D34" t="s">
        <v>209</v>
      </c>
      <c r="E34" s="215">
        <v>129097</v>
      </c>
      <c r="F34" s="215">
        <v>134519</v>
      </c>
      <c r="G34" s="215">
        <v>140169</v>
      </c>
      <c r="H34" s="215">
        <v>146056</v>
      </c>
      <c r="I34" s="215"/>
      <c r="J34" t="s">
        <v>209</v>
      </c>
      <c r="K34" s="215" t="e">
        <f>Recap!#REF!</f>
        <v>#REF!</v>
      </c>
      <c r="L34" s="215">
        <f>Recap!E31</f>
        <v>134868</v>
      </c>
      <c r="M34" s="215">
        <f>Recap!F31</f>
        <v>140533</v>
      </c>
      <c r="N34" s="215">
        <f>Recap!G31</f>
        <v>145733</v>
      </c>
      <c r="P34" s="215" t="e">
        <f t="shared" si="1"/>
        <v>#REF!</v>
      </c>
      <c r="Q34" s="215">
        <f t="shared" si="2"/>
        <v>349</v>
      </c>
      <c r="R34" s="215">
        <f t="shared" si="3"/>
        <v>364</v>
      </c>
      <c r="S34" s="215">
        <f t="shared" si="4"/>
        <v>-323</v>
      </c>
      <c r="T34" s="215"/>
    </row>
    <row r="35" spans="1:25" x14ac:dyDescent="0.3">
      <c r="A35" t="s">
        <v>268</v>
      </c>
      <c r="B35" t="s">
        <v>97</v>
      </c>
      <c r="C35" t="s">
        <v>269</v>
      </c>
      <c r="D35" t="s">
        <v>209</v>
      </c>
      <c r="E35" s="215">
        <v>164124.99800000002</v>
      </c>
      <c r="F35" s="215">
        <v>168781</v>
      </c>
      <c r="G35" s="215">
        <v>173579</v>
      </c>
      <c r="H35" s="215">
        <v>178525</v>
      </c>
      <c r="I35" s="215"/>
      <c r="J35" t="s">
        <v>209</v>
      </c>
      <c r="K35" s="215" t="e">
        <f>Recap!#REF!</f>
        <v>#REF!</v>
      </c>
      <c r="L35" s="215">
        <f>Recap!E32</f>
        <v>183726.12</v>
      </c>
      <c r="M35" s="215">
        <f>Recap!F32</f>
        <v>188904</v>
      </c>
      <c r="N35" s="215">
        <f>Recap!G32</f>
        <v>194166</v>
      </c>
      <c r="P35" s="215" t="e">
        <f t="shared" si="1"/>
        <v>#REF!</v>
      </c>
      <c r="Q35" s="215">
        <f t="shared" si="2"/>
        <v>14945.119999999995</v>
      </c>
      <c r="R35" s="215">
        <f t="shared" si="3"/>
        <v>15325</v>
      </c>
      <c r="S35" s="215">
        <f t="shared" si="4"/>
        <v>15641</v>
      </c>
      <c r="T35" s="215"/>
    </row>
    <row r="36" spans="1:25" x14ac:dyDescent="0.3">
      <c r="A36" t="s">
        <v>270</v>
      </c>
      <c r="B36" t="s">
        <v>98</v>
      </c>
      <c r="C36" t="s">
        <v>271</v>
      </c>
      <c r="D36" t="s">
        <v>209</v>
      </c>
      <c r="E36" s="215">
        <v>864942.47724499996</v>
      </c>
      <c r="F36" s="215">
        <v>895029.959903065</v>
      </c>
      <c r="G36" s="215">
        <v>926371.58741947846</v>
      </c>
      <c r="H36" s="215">
        <v>959024.14215399907</v>
      </c>
      <c r="I36" s="215"/>
      <c r="J36" t="s">
        <v>209</v>
      </c>
      <c r="K36" s="215" t="e">
        <f>Recap!#REF!</f>
        <v>#REF!</v>
      </c>
      <c r="L36" s="215">
        <f>Recap!E33</f>
        <v>1007683.7293972897</v>
      </c>
      <c r="M36" s="215">
        <f>Recap!F33</f>
        <v>949093.34838498943</v>
      </c>
      <c r="N36" s="215">
        <f>Recap!G33</f>
        <v>964852.89427523408</v>
      </c>
      <c r="P36" s="215" t="e">
        <f t="shared" si="1"/>
        <v>#REF!</v>
      </c>
      <c r="Q36" s="215">
        <f t="shared" si="2"/>
        <v>112653.76949422469</v>
      </c>
      <c r="R36" s="215">
        <f t="shared" si="3"/>
        <v>22721.76096551097</v>
      </c>
      <c r="S36" s="215">
        <f t="shared" si="4"/>
        <v>5828.7521212350111</v>
      </c>
      <c r="T36" s="215"/>
      <c r="U36" s="218" t="s">
        <v>210</v>
      </c>
      <c r="V36" s="216">
        <v>100000</v>
      </c>
      <c r="W36" s="216">
        <v>100000</v>
      </c>
    </row>
    <row r="37" spans="1:25" x14ac:dyDescent="0.3">
      <c r="A37" t="s">
        <v>272</v>
      </c>
      <c r="B37" t="s">
        <v>99</v>
      </c>
      <c r="C37" t="s">
        <v>273</v>
      </c>
      <c r="D37" t="s">
        <v>209</v>
      </c>
      <c r="E37" s="215">
        <v>3025219.58</v>
      </c>
      <c r="F37" s="215">
        <v>3198338.6562000001</v>
      </c>
      <c r="G37" s="215">
        <v>3351719.5492604002</v>
      </c>
      <c r="H37" s="215">
        <v>3393400.9931493369</v>
      </c>
      <c r="I37" s="215"/>
      <c r="J37" t="s">
        <v>209</v>
      </c>
      <c r="K37" s="215" t="e">
        <f>Recap!#REF!</f>
        <v>#REF!</v>
      </c>
      <c r="L37" s="215">
        <f>Recap!E34</f>
        <v>3759810.8171309908</v>
      </c>
      <c r="M37" s="215">
        <f>Recap!F34</f>
        <v>3514527.3246275405</v>
      </c>
      <c r="N37" s="215">
        <f>Recap!G34</f>
        <v>3617129.2199930972</v>
      </c>
      <c r="P37" s="215" t="e">
        <f t="shared" si="1"/>
        <v>#REF!</v>
      </c>
      <c r="Q37" s="215">
        <f t="shared" si="2"/>
        <v>561472.16093099071</v>
      </c>
      <c r="R37" s="215">
        <f t="shared" si="3"/>
        <v>162807.7753671403</v>
      </c>
      <c r="S37" s="215">
        <f t="shared" si="4"/>
        <v>223728.22684376035</v>
      </c>
      <c r="T37" s="215"/>
    </row>
    <row r="38" spans="1:25" x14ac:dyDescent="0.3">
      <c r="A38" t="s">
        <v>274</v>
      </c>
      <c r="B38" t="s">
        <v>101</v>
      </c>
      <c r="C38" t="s">
        <v>275</v>
      </c>
      <c r="D38" t="s">
        <v>209</v>
      </c>
      <c r="E38" s="215">
        <v>3173328.99</v>
      </c>
      <c r="F38" s="215">
        <v>3238292</v>
      </c>
      <c r="G38" s="215">
        <v>3354555</v>
      </c>
      <c r="H38" s="215">
        <v>3475577</v>
      </c>
      <c r="I38" s="215"/>
      <c r="J38" t="s">
        <v>209</v>
      </c>
      <c r="K38" s="215" t="e">
        <f>Recap!#REF!</f>
        <v>#REF!</v>
      </c>
      <c r="L38" s="215">
        <f>Recap!E35</f>
        <v>4909998.0579297747</v>
      </c>
      <c r="M38" s="215">
        <f>Recap!F35</f>
        <v>3579688.2490064576</v>
      </c>
      <c r="N38" s="215">
        <f>Recap!G35</f>
        <v>3705656.917285142</v>
      </c>
      <c r="P38" s="215" t="e">
        <f t="shared" si="1"/>
        <v>#REF!</v>
      </c>
      <c r="Q38" s="215">
        <f t="shared" si="2"/>
        <v>1671706.0579297747</v>
      </c>
      <c r="R38" s="215">
        <f t="shared" si="3"/>
        <v>225133.24900645763</v>
      </c>
      <c r="S38" s="215">
        <f t="shared" si="4"/>
        <v>230079.917285142</v>
      </c>
      <c r="T38" s="215"/>
    </row>
    <row r="39" spans="1:25" x14ac:dyDescent="0.3">
      <c r="A39" t="s">
        <v>276</v>
      </c>
      <c r="B39" t="s">
        <v>102</v>
      </c>
      <c r="C39" t="s">
        <v>277</v>
      </c>
      <c r="D39" t="s">
        <v>209</v>
      </c>
      <c r="E39" s="215">
        <v>1379590</v>
      </c>
      <c r="F39" s="215">
        <v>1435560</v>
      </c>
      <c r="G39" s="215">
        <v>1493810</v>
      </c>
      <c r="H39" s="215">
        <v>1554470</v>
      </c>
      <c r="I39" s="215"/>
      <c r="J39" t="s">
        <v>209</v>
      </c>
      <c r="K39" s="215" t="e">
        <f>Recap!#REF!</f>
        <v>#REF!</v>
      </c>
      <c r="L39" s="215" t="e">
        <f>Recap!E36</f>
        <v>#REF!</v>
      </c>
      <c r="M39" s="215" t="e">
        <f>Recap!F36</f>
        <v>#REF!</v>
      </c>
      <c r="N39" s="215" t="e">
        <f>Recap!G36</f>
        <v>#REF!</v>
      </c>
      <c r="P39" s="215" t="e">
        <f t="shared" si="1"/>
        <v>#REF!</v>
      </c>
      <c r="Q39" s="215" t="e">
        <f t="shared" si="2"/>
        <v>#REF!</v>
      </c>
      <c r="R39" s="215" t="e">
        <f t="shared" si="3"/>
        <v>#REF!</v>
      </c>
      <c r="S39" s="215" t="e">
        <f t="shared" si="4"/>
        <v>#REF!</v>
      </c>
      <c r="T39" s="215"/>
    </row>
    <row r="40" spans="1:25" x14ac:dyDescent="0.3">
      <c r="A40" t="s">
        <v>278</v>
      </c>
      <c r="B40" t="s">
        <v>103</v>
      </c>
      <c r="C40" t="s">
        <v>279</v>
      </c>
      <c r="D40" t="s">
        <v>209</v>
      </c>
      <c r="E40" s="215">
        <v>1992298</v>
      </c>
      <c r="F40" s="215">
        <v>2072186</v>
      </c>
      <c r="G40" s="215">
        <v>2155292</v>
      </c>
      <c r="H40" s="215">
        <v>2216718</v>
      </c>
      <c r="I40" s="215"/>
      <c r="J40" t="s">
        <v>209</v>
      </c>
      <c r="K40" s="215" t="e">
        <f>Recap!#REF!</f>
        <v>#REF!</v>
      </c>
      <c r="L40" s="215" t="e">
        <f>Recap!E37</f>
        <v>#REF!</v>
      </c>
      <c r="M40" s="215" t="e">
        <f>Recap!F37</f>
        <v>#REF!</v>
      </c>
      <c r="N40" s="215" t="e">
        <f>Recap!G37</f>
        <v>#REF!</v>
      </c>
      <c r="P40" s="215" t="e">
        <f t="shared" si="1"/>
        <v>#REF!</v>
      </c>
      <c r="Q40" s="215" t="e">
        <f t="shared" si="2"/>
        <v>#REF!</v>
      </c>
      <c r="R40" s="215" t="e">
        <f t="shared" si="3"/>
        <v>#REF!</v>
      </c>
      <c r="S40" s="215" t="e">
        <f t="shared" si="4"/>
        <v>#REF!</v>
      </c>
      <c r="T40" s="215"/>
    </row>
    <row r="41" spans="1:25" x14ac:dyDescent="0.3">
      <c r="A41" t="s">
        <v>280</v>
      </c>
      <c r="B41" t="s">
        <v>104</v>
      </c>
      <c r="C41" t="s">
        <v>281</v>
      </c>
      <c r="D41" t="s">
        <v>209</v>
      </c>
      <c r="E41" s="215">
        <v>9531583.8499999996</v>
      </c>
      <c r="F41" s="215">
        <v>9605131</v>
      </c>
      <c r="G41" s="215">
        <v>9595897</v>
      </c>
      <c r="H41" s="215">
        <v>9674473</v>
      </c>
      <c r="I41" s="215"/>
      <c r="J41" t="s">
        <v>209</v>
      </c>
      <c r="K41" s="215" t="e">
        <f>Recap!#REF!</f>
        <v>#REF!</v>
      </c>
      <c r="L41" s="215">
        <f>Recap!E38</f>
        <v>11332733.93</v>
      </c>
      <c r="M41" s="215">
        <f>Recap!F38</f>
        <v>10727447</v>
      </c>
      <c r="N41" s="215">
        <f>Recap!G38</f>
        <v>10709251</v>
      </c>
      <c r="P41" s="215" t="e">
        <f t="shared" si="1"/>
        <v>#REF!</v>
      </c>
      <c r="Q41" s="215">
        <f t="shared" si="2"/>
        <v>1727602.9299999997</v>
      </c>
      <c r="R41" s="215">
        <f t="shared" si="3"/>
        <v>1131550</v>
      </c>
      <c r="S41" s="215">
        <f t="shared" si="4"/>
        <v>1034778</v>
      </c>
      <c r="T41" s="215"/>
    </row>
    <row r="42" spans="1:25" x14ac:dyDescent="0.3">
      <c r="A42" t="s">
        <v>282</v>
      </c>
      <c r="B42" t="s">
        <v>105</v>
      </c>
      <c r="C42" t="s">
        <v>283</v>
      </c>
      <c r="D42" t="s">
        <v>209</v>
      </c>
      <c r="E42" s="215">
        <v>3335675</v>
      </c>
      <c r="F42" s="215">
        <v>3251506</v>
      </c>
      <c r="G42" s="215">
        <v>3095304</v>
      </c>
      <c r="H42" s="215">
        <v>2951231</v>
      </c>
      <c r="I42" s="215"/>
      <c r="J42" t="s">
        <v>209</v>
      </c>
      <c r="K42" s="215" t="e">
        <f>Recap!#REF!</f>
        <v>#REF!</v>
      </c>
      <c r="L42" s="215" t="e">
        <f>Recap!E39</f>
        <v>#REF!</v>
      </c>
      <c r="M42" s="215" t="e">
        <f>Recap!F39</f>
        <v>#REF!</v>
      </c>
      <c r="N42" s="215" t="e">
        <f>Recap!G39</f>
        <v>#REF!</v>
      </c>
      <c r="P42" s="215" t="e">
        <f t="shared" si="1"/>
        <v>#REF!</v>
      </c>
      <c r="Q42" s="215" t="e">
        <f t="shared" si="2"/>
        <v>#REF!</v>
      </c>
      <c r="R42" s="215" t="e">
        <f t="shared" si="3"/>
        <v>#REF!</v>
      </c>
      <c r="S42" s="215" t="e">
        <f t="shared" si="4"/>
        <v>#REF!</v>
      </c>
      <c r="T42" s="215"/>
      <c r="U42" s="218" t="s">
        <v>210</v>
      </c>
      <c r="V42" s="216">
        <v>24560</v>
      </c>
      <c r="W42" s="216">
        <v>23902</v>
      </c>
      <c r="X42" s="216">
        <v>22705</v>
      </c>
      <c r="Y42" s="216">
        <v>21593</v>
      </c>
    </row>
    <row r="43" spans="1:25" x14ac:dyDescent="0.3">
      <c r="A43" t="s">
        <v>284</v>
      </c>
      <c r="B43" t="s">
        <v>106</v>
      </c>
      <c r="C43" t="s">
        <v>285</v>
      </c>
      <c r="D43" t="s">
        <v>209</v>
      </c>
      <c r="E43" s="215">
        <v>1887054</v>
      </c>
      <c r="F43" s="215">
        <v>1956621</v>
      </c>
      <c r="G43" s="215">
        <v>2019999</v>
      </c>
      <c r="H43" s="215">
        <v>2088504</v>
      </c>
      <c r="I43" s="215"/>
      <c r="J43" t="s">
        <v>209</v>
      </c>
      <c r="K43" s="215" t="e">
        <f>Recap!#REF!</f>
        <v>#REF!</v>
      </c>
      <c r="L43" s="215">
        <f>Recap!E40</f>
        <v>2733682.98</v>
      </c>
      <c r="M43" s="215">
        <f>Recap!F40</f>
        <v>2265920</v>
      </c>
      <c r="N43" s="215">
        <f>Recap!G40</f>
        <v>2295116</v>
      </c>
      <c r="P43" s="215" t="e">
        <f t="shared" si="1"/>
        <v>#REF!</v>
      </c>
      <c r="Q43" s="215">
        <f t="shared" si="2"/>
        <v>777061.98</v>
      </c>
      <c r="R43" s="215">
        <f t="shared" si="3"/>
        <v>245921</v>
      </c>
      <c r="S43" s="215">
        <f t="shared" si="4"/>
        <v>206612</v>
      </c>
      <c r="T43" s="215"/>
      <c r="U43" s="218" t="s">
        <v>210</v>
      </c>
      <c r="V43" s="216">
        <v>9769</v>
      </c>
      <c r="W43" s="216">
        <v>10467</v>
      </c>
      <c r="X43" s="216">
        <v>11163</v>
      </c>
      <c r="Y43" s="216">
        <v>11859</v>
      </c>
    </row>
    <row r="44" spans="1:25" x14ac:dyDescent="0.3">
      <c r="A44" t="s">
        <v>286</v>
      </c>
      <c r="B44" t="s">
        <v>107</v>
      </c>
      <c r="C44" t="s">
        <v>287</v>
      </c>
      <c r="D44" t="s">
        <v>209</v>
      </c>
      <c r="E44" s="215">
        <v>1471559</v>
      </c>
      <c r="F44" s="215">
        <v>1505612</v>
      </c>
      <c r="G44" s="215">
        <v>1428082</v>
      </c>
      <c r="H44" s="215">
        <v>1468890</v>
      </c>
      <c r="I44" s="215"/>
      <c r="J44" t="s">
        <v>209</v>
      </c>
      <c r="K44" s="215" t="e">
        <f>Recap!#REF!</f>
        <v>#REF!</v>
      </c>
      <c r="L44" s="215" t="e">
        <f>Recap!E41</f>
        <v>#REF!</v>
      </c>
      <c r="M44" s="215" t="e">
        <f>Recap!F41</f>
        <v>#REF!</v>
      </c>
      <c r="N44" s="215" t="e">
        <f>Recap!G41</f>
        <v>#REF!</v>
      </c>
      <c r="P44" s="215" t="e">
        <f t="shared" si="1"/>
        <v>#REF!</v>
      </c>
      <c r="Q44" s="215" t="e">
        <f t="shared" si="2"/>
        <v>#REF!</v>
      </c>
      <c r="R44" s="215" t="e">
        <f t="shared" si="3"/>
        <v>#REF!</v>
      </c>
      <c r="S44" s="215" t="e">
        <f t="shared" si="4"/>
        <v>#REF!</v>
      </c>
      <c r="T44" s="215"/>
    </row>
    <row r="45" spans="1:25" x14ac:dyDescent="0.3">
      <c r="A45" t="s">
        <v>288</v>
      </c>
      <c r="B45" t="s">
        <v>108</v>
      </c>
      <c r="C45" t="s">
        <v>289</v>
      </c>
      <c r="D45" t="s">
        <v>209</v>
      </c>
      <c r="E45" s="215">
        <v>2337300</v>
      </c>
      <c r="F45" s="215">
        <v>2435500</v>
      </c>
      <c r="G45" s="215">
        <v>2537800</v>
      </c>
      <c r="H45" s="215">
        <v>2644400</v>
      </c>
      <c r="I45" s="215"/>
      <c r="J45" t="s">
        <v>209</v>
      </c>
      <c r="K45" s="215" t="e">
        <f>Recap!#REF!</f>
        <v>#REF!</v>
      </c>
      <c r="L45" s="215" t="e">
        <f>Recap!E42</f>
        <v>#REF!</v>
      </c>
      <c r="M45" s="215" t="e">
        <f>Recap!F42</f>
        <v>#REF!</v>
      </c>
      <c r="N45" s="215" t="e">
        <f>Recap!G42</f>
        <v>#REF!</v>
      </c>
      <c r="P45" s="215" t="e">
        <f t="shared" si="1"/>
        <v>#REF!</v>
      </c>
      <c r="Q45" s="215" t="e">
        <f t="shared" si="2"/>
        <v>#REF!</v>
      </c>
      <c r="R45" s="215" t="e">
        <f t="shared" si="3"/>
        <v>#REF!</v>
      </c>
      <c r="S45" s="215" t="e">
        <f t="shared" si="4"/>
        <v>#REF!</v>
      </c>
      <c r="T45" s="215"/>
    </row>
    <row r="46" spans="1:25" x14ac:dyDescent="0.3">
      <c r="A46" t="s">
        <v>290</v>
      </c>
      <c r="B46" t="s">
        <v>109</v>
      </c>
      <c r="C46" t="s">
        <v>291</v>
      </c>
      <c r="D46" t="s">
        <v>209</v>
      </c>
      <c r="E46" s="215">
        <v>2899734</v>
      </c>
      <c r="F46" s="215">
        <v>3009527</v>
      </c>
      <c r="G46" s="215">
        <v>3127109</v>
      </c>
      <c r="H46" s="215">
        <v>3248708</v>
      </c>
      <c r="I46" s="215"/>
      <c r="J46" t="s">
        <v>209</v>
      </c>
      <c r="K46" s="215" t="e">
        <f>Recap!#REF!</f>
        <v>#REF!</v>
      </c>
      <c r="L46" s="215" t="e">
        <f>Recap!E43</f>
        <v>#REF!</v>
      </c>
      <c r="M46" s="215" t="e">
        <f>Recap!F43</f>
        <v>#REF!</v>
      </c>
      <c r="N46" s="215" t="e">
        <f>Recap!G43</f>
        <v>#REF!</v>
      </c>
      <c r="P46" s="215" t="e">
        <f t="shared" si="1"/>
        <v>#REF!</v>
      </c>
      <c r="Q46" s="215" t="e">
        <f t="shared" si="2"/>
        <v>#REF!</v>
      </c>
      <c r="R46" s="215" t="e">
        <f t="shared" si="3"/>
        <v>#REF!</v>
      </c>
      <c r="S46" s="215" t="e">
        <f t="shared" si="4"/>
        <v>#REF!</v>
      </c>
      <c r="T46" s="215"/>
      <c r="U46" s="218" t="s">
        <v>210</v>
      </c>
      <c r="V46" s="216"/>
      <c r="W46" s="216">
        <v>100000</v>
      </c>
      <c r="X46" s="216">
        <v>205000</v>
      </c>
      <c r="Y46" s="216">
        <v>313000</v>
      </c>
    </row>
    <row r="47" spans="1:25" x14ac:dyDescent="0.3">
      <c r="A47" t="s">
        <v>292</v>
      </c>
      <c r="B47" t="s">
        <v>110</v>
      </c>
      <c r="C47" t="s">
        <v>293</v>
      </c>
      <c r="D47" t="s">
        <v>209</v>
      </c>
      <c r="E47" s="215">
        <v>662200</v>
      </c>
      <c r="F47" s="215">
        <v>690000</v>
      </c>
      <c r="G47" s="215">
        <v>719000</v>
      </c>
      <c r="H47" s="215">
        <v>749200</v>
      </c>
      <c r="I47" s="215"/>
      <c r="J47" t="s">
        <v>209</v>
      </c>
      <c r="K47" s="215" t="e">
        <f>Recap!#REF!</f>
        <v>#REF!</v>
      </c>
      <c r="L47" s="215" t="e">
        <f>Recap!E44</f>
        <v>#REF!</v>
      </c>
      <c r="M47" s="215" t="e">
        <f>Recap!F44</f>
        <v>#REF!</v>
      </c>
      <c r="N47" s="215" t="e">
        <f>Recap!G44</f>
        <v>#REF!</v>
      </c>
      <c r="P47" s="215" t="e">
        <f t="shared" si="1"/>
        <v>#REF!</v>
      </c>
      <c r="Q47" s="215" t="e">
        <f t="shared" si="2"/>
        <v>#REF!</v>
      </c>
      <c r="R47" s="215" t="e">
        <f t="shared" si="3"/>
        <v>#REF!</v>
      </c>
      <c r="S47" s="215" t="e">
        <f t="shared" si="4"/>
        <v>#REF!</v>
      </c>
      <c r="T47" s="215"/>
    </row>
    <row r="48" spans="1:25" x14ac:dyDescent="0.3">
      <c r="A48" t="s">
        <v>294</v>
      </c>
      <c r="B48" t="s">
        <v>111</v>
      </c>
      <c r="C48" t="s">
        <v>295</v>
      </c>
      <c r="D48" t="s">
        <v>209</v>
      </c>
      <c r="E48" s="215">
        <v>60700</v>
      </c>
      <c r="F48" s="215">
        <v>63200</v>
      </c>
      <c r="G48" s="215">
        <v>65900</v>
      </c>
      <c r="H48" s="215">
        <v>68700</v>
      </c>
      <c r="I48" s="215"/>
      <c r="J48" t="s">
        <v>209</v>
      </c>
      <c r="K48" s="215" t="e">
        <f>Recap!#REF!</f>
        <v>#REF!</v>
      </c>
      <c r="L48" s="215" t="e">
        <f>Recap!E45</f>
        <v>#REF!</v>
      </c>
      <c r="M48" s="215" t="e">
        <f>Recap!F45</f>
        <v>#REF!</v>
      </c>
      <c r="N48" s="215" t="e">
        <f>Recap!G45</f>
        <v>#REF!</v>
      </c>
      <c r="P48" s="215" t="e">
        <f t="shared" si="1"/>
        <v>#REF!</v>
      </c>
      <c r="Q48" s="215" t="e">
        <f t="shared" si="2"/>
        <v>#REF!</v>
      </c>
      <c r="R48" s="215" t="e">
        <f t="shared" si="3"/>
        <v>#REF!</v>
      </c>
      <c r="S48" s="215" t="e">
        <f t="shared" si="4"/>
        <v>#REF!</v>
      </c>
      <c r="T48" s="215"/>
    </row>
    <row r="49" spans="1:25" x14ac:dyDescent="0.3">
      <c r="A49" t="s">
        <v>296</v>
      </c>
      <c r="B49" t="s">
        <v>112</v>
      </c>
      <c r="C49" t="s">
        <v>297</v>
      </c>
      <c r="D49" t="s">
        <v>209</v>
      </c>
      <c r="E49" s="215">
        <v>5723634</v>
      </c>
      <c r="F49" s="215">
        <v>4492903</v>
      </c>
      <c r="G49" s="215">
        <v>4618779</v>
      </c>
      <c r="H49" s="215">
        <v>4671205</v>
      </c>
      <c r="I49" s="215"/>
      <c r="J49" t="s">
        <v>209</v>
      </c>
      <c r="K49" s="215" t="e">
        <f>Recap!#REF!</f>
        <v>#REF!</v>
      </c>
      <c r="L49" s="215" t="e">
        <f>Recap!E46</f>
        <v>#REF!</v>
      </c>
      <c r="M49" s="215" t="e">
        <f>Recap!F46</f>
        <v>#REF!</v>
      </c>
      <c r="N49" s="215" t="e">
        <f>Recap!G46</f>
        <v>#REF!</v>
      </c>
      <c r="P49" s="215" t="e">
        <f t="shared" si="1"/>
        <v>#REF!</v>
      </c>
      <c r="Q49" s="215" t="e">
        <f t="shared" si="2"/>
        <v>#REF!</v>
      </c>
      <c r="R49" s="215" t="e">
        <f t="shared" si="3"/>
        <v>#REF!</v>
      </c>
      <c r="S49" s="215" t="e">
        <f t="shared" si="4"/>
        <v>#REF!</v>
      </c>
      <c r="T49" s="215"/>
      <c r="U49" s="218" t="s">
        <v>210</v>
      </c>
      <c r="V49" s="216"/>
      <c r="W49" s="216">
        <v>694000</v>
      </c>
      <c r="X49" s="216">
        <v>721000</v>
      </c>
      <c r="Y49" s="216">
        <v>785000</v>
      </c>
    </row>
    <row r="50" spans="1:25" x14ac:dyDescent="0.3">
      <c r="A50" t="s">
        <v>298</v>
      </c>
      <c r="B50" t="s">
        <v>113</v>
      </c>
      <c r="C50" t="s">
        <v>299</v>
      </c>
      <c r="D50" t="s">
        <v>209</v>
      </c>
      <c r="E50" s="215">
        <v>1937000</v>
      </c>
      <c r="F50" s="215">
        <v>2019000</v>
      </c>
      <c r="G50" s="215">
        <v>2103000</v>
      </c>
      <c r="H50" s="215">
        <v>2191000</v>
      </c>
      <c r="I50" s="215"/>
      <c r="J50" t="s">
        <v>209</v>
      </c>
      <c r="K50" s="215" t="e">
        <f>Recap!#REF!</f>
        <v>#REF!</v>
      </c>
      <c r="L50" s="215" t="e">
        <f>Recap!E47</f>
        <v>#REF!</v>
      </c>
      <c r="M50" s="215" t="e">
        <f>Recap!F47</f>
        <v>#REF!</v>
      </c>
      <c r="N50" s="215" t="e">
        <f>Recap!G47</f>
        <v>#REF!</v>
      </c>
      <c r="P50" s="215" t="e">
        <f t="shared" si="1"/>
        <v>#REF!</v>
      </c>
      <c r="Q50" s="215" t="e">
        <f t="shared" si="2"/>
        <v>#REF!</v>
      </c>
      <c r="R50" s="215" t="e">
        <f t="shared" si="3"/>
        <v>#REF!</v>
      </c>
      <c r="S50" s="215" t="e">
        <f t="shared" si="4"/>
        <v>#REF!</v>
      </c>
      <c r="T50" s="215"/>
    </row>
    <row r="51" spans="1:25" x14ac:dyDescent="0.3">
      <c r="A51" t="s">
        <v>300</v>
      </c>
      <c r="B51" t="s">
        <v>116</v>
      </c>
      <c r="C51" t="s">
        <v>301</v>
      </c>
      <c r="D51" t="s">
        <v>209</v>
      </c>
      <c r="E51" s="215">
        <v>596000</v>
      </c>
      <c r="F51" s="215">
        <v>621000</v>
      </c>
      <c r="G51" s="215">
        <v>647000</v>
      </c>
      <c r="H51" s="215">
        <v>674000</v>
      </c>
      <c r="I51" s="215"/>
      <c r="J51" t="s">
        <v>209</v>
      </c>
      <c r="K51" s="215" t="e">
        <f>Recap!#REF!</f>
        <v>#REF!</v>
      </c>
      <c r="L51" s="215" t="e">
        <f>Recap!E50</f>
        <v>#REF!</v>
      </c>
      <c r="M51" s="215" t="e">
        <f>Recap!F50</f>
        <v>#REF!</v>
      </c>
      <c r="N51" s="215" t="e">
        <f>Recap!G50</f>
        <v>#REF!</v>
      </c>
      <c r="P51" s="215" t="e">
        <f t="shared" si="1"/>
        <v>#REF!</v>
      </c>
      <c r="Q51" s="215" t="e">
        <f t="shared" si="2"/>
        <v>#REF!</v>
      </c>
      <c r="R51" s="215" t="e">
        <f t="shared" si="3"/>
        <v>#REF!</v>
      </c>
      <c r="S51" s="215" t="e">
        <f t="shared" si="4"/>
        <v>#REF!</v>
      </c>
      <c r="T51" s="215"/>
    </row>
    <row r="52" spans="1:25" x14ac:dyDescent="0.3">
      <c r="A52" t="s">
        <v>302</v>
      </c>
      <c r="B52" t="s">
        <v>117</v>
      </c>
      <c r="C52" t="s">
        <v>303</v>
      </c>
      <c r="D52" t="s">
        <v>209</v>
      </c>
      <c r="E52" s="215">
        <v>56000</v>
      </c>
      <c r="F52" s="215">
        <v>58000</v>
      </c>
      <c r="G52" s="215">
        <v>60000</v>
      </c>
      <c r="H52" s="215">
        <v>63000</v>
      </c>
      <c r="I52" s="215"/>
      <c r="J52" t="s">
        <v>209</v>
      </c>
      <c r="K52" s="215" t="e">
        <f>Recap!#REF!</f>
        <v>#REF!</v>
      </c>
      <c r="L52" s="215" t="e">
        <f>Recap!E51</f>
        <v>#REF!</v>
      </c>
      <c r="M52" s="215" t="e">
        <f>Recap!F51</f>
        <v>#REF!</v>
      </c>
      <c r="N52" s="215" t="e">
        <f>Recap!G51</f>
        <v>#REF!</v>
      </c>
      <c r="P52" s="215" t="e">
        <f t="shared" si="1"/>
        <v>#REF!</v>
      </c>
      <c r="Q52" s="215" t="e">
        <f t="shared" si="2"/>
        <v>#REF!</v>
      </c>
      <c r="R52" s="215" t="e">
        <f t="shared" si="3"/>
        <v>#REF!</v>
      </c>
      <c r="S52" s="215" t="e">
        <f t="shared" si="4"/>
        <v>#REF!</v>
      </c>
      <c r="T52" s="215"/>
    </row>
    <row r="53" spans="1:25" x14ac:dyDescent="0.3">
      <c r="A53" t="s">
        <v>304</v>
      </c>
      <c r="B53" t="s">
        <v>118</v>
      </c>
      <c r="C53" t="s">
        <v>305</v>
      </c>
      <c r="D53" t="s">
        <v>209</v>
      </c>
      <c r="E53" s="215">
        <v>718676.59000000008</v>
      </c>
      <c r="F53" s="215">
        <v>748861.00678000005</v>
      </c>
      <c r="G53" s="215">
        <v>780313.16906475998</v>
      </c>
      <c r="H53" s="215">
        <v>813086.32216547988</v>
      </c>
      <c r="I53" s="215"/>
      <c r="J53" t="s">
        <v>209</v>
      </c>
      <c r="K53" s="215" t="e">
        <f>Recap!#REF!</f>
        <v>#REF!</v>
      </c>
      <c r="L53" s="215">
        <f>Recap!E52</f>
        <v>1051284.8700000001</v>
      </c>
      <c r="M53" s="215">
        <f>Recap!F52</f>
        <v>976024.90354000009</v>
      </c>
      <c r="N53" s="215">
        <f>Recap!G52</f>
        <v>1012137.4409709801</v>
      </c>
      <c r="P53" s="215" t="e">
        <f t="shared" si="1"/>
        <v>#REF!</v>
      </c>
      <c r="Q53" s="215">
        <f t="shared" si="2"/>
        <v>302423.86322000006</v>
      </c>
      <c r="R53" s="215">
        <f t="shared" si="3"/>
        <v>195711.73447524011</v>
      </c>
      <c r="S53" s="215">
        <f t="shared" si="4"/>
        <v>199051.11880550021</v>
      </c>
      <c r="T53" s="215"/>
    </row>
    <row r="54" spans="1:25" x14ac:dyDescent="0.3">
      <c r="A54" t="s">
        <v>306</v>
      </c>
      <c r="B54" t="s">
        <v>119</v>
      </c>
      <c r="C54" t="s">
        <v>307</v>
      </c>
      <c r="D54" t="s">
        <v>209</v>
      </c>
      <c r="E54" s="215">
        <v>543758.82999999996</v>
      </c>
      <c r="F54" s="215">
        <v>566596</v>
      </c>
      <c r="G54" s="215">
        <v>590393</v>
      </c>
      <c r="H54" s="215">
        <v>615189</v>
      </c>
      <c r="I54" s="215"/>
      <c r="J54" t="s">
        <v>209</v>
      </c>
      <c r="K54" s="215" t="e">
        <f>Recap!#REF!</f>
        <v>#REF!</v>
      </c>
      <c r="L54" s="215">
        <f>Recap!E53</f>
        <v>1851945.81</v>
      </c>
      <c r="M54" s="215">
        <f>Recap!F53</f>
        <v>1929728</v>
      </c>
      <c r="N54" s="215">
        <f>Recap!G53</f>
        <v>2001127</v>
      </c>
      <c r="P54" s="215" t="e">
        <f t="shared" si="1"/>
        <v>#REF!</v>
      </c>
      <c r="Q54" s="215">
        <f t="shared" si="2"/>
        <v>1285349.81</v>
      </c>
      <c r="R54" s="215">
        <f t="shared" si="3"/>
        <v>1339335</v>
      </c>
      <c r="S54" s="215">
        <f t="shared" si="4"/>
        <v>1385938</v>
      </c>
      <c r="T54" s="215"/>
    </row>
    <row r="55" spans="1:25" x14ac:dyDescent="0.3">
      <c r="A55" t="s">
        <v>308</v>
      </c>
      <c r="B55" t="s">
        <v>120</v>
      </c>
      <c r="C55" t="s">
        <v>309</v>
      </c>
      <c r="D55" t="s">
        <v>209</v>
      </c>
      <c r="E55" s="215">
        <v>1612047.93</v>
      </c>
      <c r="F55" s="215">
        <v>1612587</v>
      </c>
      <c r="G55" s="215">
        <v>1676626</v>
      </c>
      <c r="H55" s="215">
        <v>1743327</v>
      </c>
      <c r="I55" s="215"/>
      <c r="J55" t="s">
        <v>209</v>
      </c>
      <c r="K55" s="215" t="e">
        <f>Recap!#REF!</f>
        <v>#REF!</v>
      </c>
      <c r="L55" s="215">
        <f>Recap!E54</f>
        <v>1602422.25</v>
      </c>
      <c r="M55" s="215">
        <f>Recap!F54</f>
        <v>1665901</v>
      </c>
      <c r="N55" s="215">
        <f>Recap!G54</f>
        <v>1725279</v>
      </c>
      <c r="P55" s="215" t="e">
        <f t="shared" si="1"/>
        <v>#REF!</v>
      </c>
      <c r="Q55" s="215">
        <f t="shared" si="2"/>
        <v>-10164.75</v>
      </c>
      <c r="R55" s="215">
        <f t="shared" si="3"/>
        <v>-10725</v>
      </c>
      <c r="S55" s="215">
        <f t="shared" si="4"/>
        <v>-18048</v>
      </c>
      <c r="T55" s="215"/>
    </row>
    <row r="56" spans="1:25" x14ac:dyDescent="0.3">
      <c r="A56" t="s">
        <v>310</v>
      </c>
      <c r="B56" t="s">
        <v>121</v>
      </c>
      <c r="C56" t="s">
        <v>311</v>
      </c>
      <c r="D56" t="s">
        <v>209</v>
      </c>
      <c r="E56" s="215">
        <v>2148356.9884048705</v>
      </c>
      <c r="F56" s="215">
        <v>2253022.7853132859</v>
      </c>
      <c r="G56" s="215">
        <v>2357514.3488993994</v>
      </c>
      <c r="H56" s="215">
        <v>2651875.5164125832</v>
      </c>
      <c r="I56" s="215"/>
      <c r="J56" t="s">
        <v>209</v>
      </c>
      <c r="K56" s="215" t="e">
        <f>Recap!#REF!</f>
        <v>#REF!</v>
      </c>
      <c r="L56" s="215">
        <f>Recap!E55</f>
        <v>2273231.1748767141</v>
      </c>
      <c r="M56" s="215">
        <f>Recap!F55</f>
        <v>2352929.3958198531</v>
      </c>
      <c r="N56" s="215">
        <f>Recap!G55</f>
        <v>2641245.1766723488</v>
      </c>
      <c r="P56" s="215" t="e">
        <f t="shared" si="1"/>
        <v>#REF!</v>
      </c>
      <c r="Q56" s="215">
        <f t="shared" si="2"/>
        <v>20208.389563428238</v>
      </c>
      <c r="R56" s="215">
        <f t="shared" si="3"/>
        <v>-4584.9530795463361</v>
      </c>
      <c r="S56" s="215">
        <f t="shared" si="4"/>
        <v>-10630.339740234427</v>
      </c>
      <c r="T56" s="215"/>
    </row>
    <row r="57" spans="1:25" x14ac:dyDescent="0.3">
      <c r="A57" t="s">
        <v>312</v>
      </c>
      <c r="B57" t="s">
        <v>122</v>
      </c>
      <c r="C57" t="s">
        <v>313</v>
      </c>
      <c r="D57" t="s">
        <v>209</v>
      </c>
      <c r="E57" s="215">
        <v>4764881.477500001</v>
      </c>
      <c r="F57" s="215">
        <v>4929504.8512000004</v>
      </c>
      <c r="G57" s="215">
        <v>5100042.6838160008</v>
      </c>
      <c r="H57" s="215">
        <v>5276760.0934104798</v>
      </c>
      <c r="I57" s="215"/>
      <c r="J57" t="s">
        <v>209</v>
      </c>
      <c r="K57" s="215" t="e">
        <f>Recap!#REF!</f>
        <v>#REF!</v>
      </c>
      <c r="L57" s="215">
        <f>Recap!E56</f>
        <v>5037977.7286</v>
      </c>
      <c r="M57" s="215">
        <f>Recap!F56</f>
        <v>5146129.6838160008</v>
      </c>
      <c r="N57" s="215">
        <f>Recap!G56</f>
        <v>5277551.0934104798</v>
      </c>
      <c r="P57" s="215" t="e">
        <f t="shared" si="1"/>
        <v>#REF!</v>
      </c>
      <c r="Q57" s="215">
        <f t="shared" si="2"/>
        <v>108472.87739999965</v>
      </c>
      <c r="R57" s="215">
        <f t="shared" si="3"/>
        <v>46087</v>
      </c>
      <c r="S57" s="215">
        <f t="shared" si="4"/>
        <v>791</v>
      </c>
      <c r="T57" s="215"/>
    </row>
    <row r="58" spans="1:25" x14ac:dyDescent="0.3">
      <c r="A58" t="s">
        <v>314</v>
      </c>
      <c r="B58" t="s">
        <v>123</v>
      </c>
      <c r="C58" t="s">
        <v>315</v>
      </c>
      <c r="D58" t="s">
        <v>209</v>
      </c>
      <c r="E58" s="215">
        <v>2155758.91</v>
      </c>
      <c r="F58" s="215">
        <v>2297096</v>
      </c>
      <c r="G58" s="215">
        <v>1846752</v>
      </c>
      <c r="H58" s="215">
        <v>1807785</v>
      </c>
      <c r="I58" s="215"/>
      <c r="J58" t="s">
        <v>209</v>
      </c>
      <c r="K58" s="215" t="e">
        <f>Recap!#REF!</f>
        <v>#REF!</v>
      </c>
      <c r="L58" s="215">
        <f>Recap!E57</f>
        <v>3775750.71</v>
      </c>
      <c r="M58" s="215">
        <f>Recap!F57</f>
        <v>2544143</v>
      </c>
      <c r="N58" s="215">
        <f>Recap!G57</f>
        <v>2568597</v>
      </c>
      <c r="P58" s="215" t="e">
        <f t="shared" si="1"/>
        <v>#REF!</v>
      </c>
      <c r="Q58" s="215">
        <f t="shared" si="2"/>
        <v>1478654.71</v>
      </c>
      <c r="R58" s="215">
        <f t="shared" si="3"/>
        <v>697391</v>
      </c>
      <c r="S58" s="215">
        <f t="shared" si="4"/>
        <v>760812</v>
      </c>
      <c r="T58" s="215"/>
      <c r="U58" s="218" t="s">
        <v>210</v>
      </c>
      <c r="V58" s="216">
        <v>150000</v>
      </c>
      <c r="W58" s="216">
        <v>-150000</v>
      </c>
    </row>
    <row r="59" spans="1:25" x14ac:dyDescent="0.3">
      <c r="A59" t="s">
        <v>316</v>
      </c>
      <c r="B59" t="s">
        <v>125</v>
      </c>
      <c r="C59" t="s">
        <v>317</v>
      </c>
      <c r="D59" t="s">
        <v>209</v>
      </c>
      <c r="E59" s="215">
        <v>5731</v>
      </c>
      <c r="F59" s="215">
        <v>5845</v>
      </c>
      <c r="G59" s="215">
        <v>5962</v>
      </c>
      <c r="H59" s="215">
        <v>6083</v>
      </c>
      <c r="I59" s="215"/>
      <c r="J59" t="s">
        <v>209</v>
      </c>
      <c r="K59" s="215" t="e">
        <f>Recap!#REF!</f>
        <v>#REF!</v>
      </c>
      <c r="L59" s="215">
        <f>Recap!E58</f>
        <v>12821</v>
      </c>
      <c r="M59" s="215">
        <f>Recap!F58</f>
        <v>13247</v>
      </c>
      <c r="N59" s="215">
        <f>Recap!G58</f>
        <v>13687</v>
      </c>
      <c r="P59" s="215" t="e">
        <f t="shared" si="1"/>
        <v>#REF!</v>
      </c>
      <c r="Q59" s="215">
        <f t="shared" si="2"/>
        <v>6976</v>
      </c>
      <c r="R59" s="215">
        <f t="shared" si="3"/>
        <v>7285</v>
      </c>
      <c r="S59" s="215">
        <f t="shared" si="4"/>
        <v>7604</v>
      </c>
      <c r="T59" s="215"/>
      <c r="U59" s="218" t="s">
        <v>210</v>
      </c>
      <c r="V59" s="216"/>
      <c r="W59" s="216">
        <v>5647</v>
      </c>
      <c r="X59" s="216">
        <v>5903</v>
      </c>
      <c r="Y59" s="216">
        <v>6180</v>
      </c>
    </row>
    <row r="60" spans="1:25" x14ac:dyDescent="0.3">
      <c r="A60" t="s">
        <v>318</v>
      </c>
      <c r="B60" t="s">
        <v>126</v>
      </c>
      <c r="C60" t="s">
        <v>319</v>
      </c>
      <c r="D60" t="s">
        <v>209</v>
      </c>
      <c r="E60" s="215">
        <v>2396420.56</v>
      </c>
      <c r="F60" s="215">
        <v>2378798</v>
      </c>
      <c r="G60" s="215">
        <v>2360118</v>
      </c>
      <c r="H60" s="215">
        <v>2454701</v>
      </c>
      <c r="I60" s="215"/>
      <c r="J60" t="s">
        <v>209</v>
      </c>
      <c r="K60" s="215" t="e">
        <f>Recap!#REF!</f>
        <v>#REF!</v>
      </c>
      <c r="L60" s="215">
        <f>Recap!E59</f>
        <v>7112395.2299999995</v>
      </c>
      <c r="M60" s="215">
        <f>Recap!F59</f>
        <v>3187867</v>
      </c>
      <c r="N60" s="215">
        <f>Recap!G59</f>
        <v>3247665</v>
      </c>
      <c r="P60" s="215" t="e">
        <f t="shared" si="1"/>
        <v>#REF!</v>
      </c>
      <c r="Q60" s="215">
        <f t="shared" si="2"/>
        <v>4733597.2299999995</v>
      </c>
      <c r="R60" s="215">
        <f t="shared" si="3"/>
        <v>827749</v>
      </c>
      <c r="S60" s="215">
        <f t="shared" si="4"/>
        <v>792964</v>
      </c>
      <c r="T60" s="215"/>
      <c r="U60" s="218" t="s">
        <v>320</v>
      </c>
      <c r="V60" s="216">
        <v>1549575</v>
      </c>
      <c r="W60" s="216">
        <v>1474575</v>
      </c>
      <c r="X60" s="216">
        <v>58432</v>
      </c>
      <c r="Y60" s="216">
        <v>58432</v>
      </c>
    </row>
    <row r="61" spans="1:25" x14ac:dyDescent="0.3">
      <c r="E61" s="215"/>
      <c r="F61" s="215"/>
      <c r="G61" s="215"/>
      <c r="H61" s="215"/>
      <c r="I61" s="215"/>
      <c r="K61" s="215"/>
      <c r="L61" s="215"/>
      <c r="M61" s="215"/>
      <c r="N61" s="215"/>
      <c r="P61" s="215"/>
      <c r="Q61" s="215"/>
      <c r="R61" s="215"/>
      <c r="S61" s="215"/>
      <c r="T61" s="215"/>
      <c r="U61" s="218" t="s">
        <v>210</v>
      </c>
      <c r="V61" s="216">
        <v>129000</v>
      </c>
      <c r="W61" s="216">
        <v>92700</v>
      </c>
      <c r="X61" s="216">
        <v>96600</v>
      </c>
      <c r="Y61" s="216">
        <v>100700</v>
      </c>
    </row>
    <row r="62" spans="1:25" x14ac:dyDescent="0.3">
      <c r="A62" t="s">
        <v>59</v>
      </c>
      <c r="B62" t="s">
        <v>128</v>
      </c>
      <c r="C62" t="s">
        <v>321</v>
      </c>
      <c r="D62" t="s">
        <v>209</v>
      </c>
      <c r="E62" s="215">
        <v>14181290.999999998</v>
      </c>
      <c r="F62" s="215">
        <v>11973003</v>
      </c>
      <c r="G62" s="215">
        <v>12195422</v>
      </c>
      <c r="H62" s="215">
        <v>3107876</v>
      </c>
      <c r="I62" s="215"/>
      <c r="J62" t="s">
        <v>209</v>
      </c>
      <c r="K62" s="215" t="e">
        <f>Recap!#REF!</f>
        <v>#REF!</v>
      </c>
      <c r="L62" s="215">
        <f>Recap!E60</f>
        <v>13358021.000000002</v>
      </c>
      <c r="M62" s="215">
        <f>Recap!F60</f>
        <v>14982625</v>
      </c>
      <c r="N62" s="215">
        <f>Recap!G60</f>
        <v>9626857</v>
      </c>
      <c r="P62" s="215" t="e">
        <f t="shared" si="1"/>
        <v>#REF!</v>
      </c>
      <c r="Q62" s="215">
        <f t="shared" si="2"/>
        <v>1385018.0000000019</v>
      </c>
      <c r="R62" s="215">
        <f t="shared" si="3"/>
        <v>2787203</v>
      </c>
      <c r="S62" s="215">
        <f t="shared" si="4"/>
        <v>6518981</v>
      </c>
      <c r="T62" s="215"/>
    </row>
    <row r="63" spans="1:25" x14ac:dyDescent="0.3">
      <c r="A63" t="s">
        <v>322</v>
      </c>
      <c r="B63" t="s">
        <v>129</v>
      </c>
      <c r="C63" t="s">
        <v>323</v>
      </c>
      <c r="D63" t="s">
        <v>209</v>
      </c>
      <c r="E63" s="215">
        <v>2131573.9300000002</v>
      </c>
      <c r="F63" s="215">
        <v>2048093</v>
      </c>
      <c r="G63" s="215">
        <v>2092199</v>
      </c>
      <c r="H63" s="215">
        <v>2160583</v>
      </c>
      <c r="I63" s="215"/>
      <c r="J63" t="s">
        <v>209</v>
      </c>
      <c r="K63" s="215" t="e">
        <f>Recap!#REF!</f>
        <v>#REF!</v>
      </c>
      <c r="L63" s="215">
        <f>Recap!E61</f>
        <v>2177296.48</v>
      </c>
      <c r="M63" s="215">
        <f>Recap!F61</f>
        <v>1946685</v>
      </c>
      <c r="N63" s="215">
        <f>Recap!G61</f>
        <v>1990661</v>
      </c>
      <c r="P63" s="215" t="e">
        <f t="shared" si="1"/>
        <v>#REF!</v>
      </c>
      <c r="Q63" s="215">
        <f t="shared" si="2"/>
        <v>129203.47999999998</v>
      </c>
      <c r="R63" s="215">
        <f t="shared" si="3"/>
        <v>-145514</v>
      </c>
      <c r="S63" s="215">
        <f t="shared" si="4"/>
        <v>-169922</v>
      </c>
      <c r="T63" s="215"/>
      <c r="U63" s="218" t="s">
        <v>210</v>
      </c>
      <c r="V63" s="216">
        <v>31934</v>
      </c>
      <c r="W63" s="216">
        <v>27142</v>
      </c>
      <c r="X63" s="216">
        <v>14937</v>
      </c>
      <c r="Y63" s="216">
        <v>11914</v>
      </c>
    </row>
    <row r="64" spans="1:25" x14ac:dyDescent="0.3">
      <c r="E64" s="215"/>
      <c r="F64" s="215"/>
      <c r="G64" s="215"/>
      <c r="H64" s="215"/>
      <c r="I64" s="215"/>
    </row>
    <row r="65" spans="1:25" x14ac:dyDescent="0.3">
      <c r="B65" t="s">
        <v>324</v>
      </c>
      <c r="D65" s="97" t="s">
        <v>209</v>
      </c>
      <c r="E65" s="108">
        <v>107088897.70885056</v>
      </c>
      <c r="F65" s="108">
        <v>106499328.39103009</v>
      </c>
      <c r="G65" s="108">
        <v>109335151.8887656</v>
      </c>
      <c r="H65" s="108">
        <v>103349801.22556545</v>
      </c>
      <c r="I65" s="108"/>
      <c r="J65" s="97" t="s">
        <v>209</v>
      </c>
      <c r="K65" s="108" t="e">
        <f>SUM(K4:K64)</f>
        <v>#REF!</v>
      </c>
      <c r="L65" s="108" t="e">
        <f t="shared" ref="L65:N65" si="5">SUM(L4:L64)</f>
        <v>#REF!</v>
      </c>
      <c r="M65" s="108" t="e">
        <f t="shared" si="5"/>
        <v>#REF!</v>
      </c>
      <c r="N65" s="108" t="e">
        <f t="shared" si="5"/>
        <v>#REF!</v>
      </c>
      <c r="P65" s="108" t="e">
        <f t="shared" ref="P65" si="6">SUM(P4:P64)</f>
        <v>#REF!</v>
      </c>
      <c r="Q65" s="108" t="e">
        <f t="shared" ref="Q65" si="7">SUM(Q4:Q64)</f>
        <v>#REF!</v>
      </c>
      <c r="R65" s="108" t="e">
        <f t="shared" ref="R65" si="8">SUM(R4:R64)</f>
        <v>#REF!</v>
      </c>
      <c r="S65" s="108" t="e">
        <f t="shared" ref="S65" si="9">SUM(S4:S64)</f>
        <v>#REF!</v>
      </c>
      <c r="T65" s="108"/>
      <c r="V65" s="108">
        <f>SUM(V4:V64)</f>
        <v>2247398</v>
      </c>
      <c r="W65" s="108">
        <f t="shared" ref="W65:Y65" si="10">SUM(W4:W64)</f>
        <v>2533694</v>
      </c>
      <c r="X65" s="108">
        <f t="shared" si="10"/>
        <v>1285369</v>
      </c>
      <c r="Y65" s="108">
        <f t="shared" si="10"/>
        <v>1461699</v>
      </c>
    </row>
    <row r="67" spans="1:25" x14ac:dyDescent="0.3">
      <c r="A67" t="s">
        <v>66</v>
      </c>
      <c r="B67" t="s">
        <v>66</v>
      </c>
      <c r="C67" t="s">
        <v>206</v>
      </c>
    </row>
    <row r="68" spans="1:25" x14ac:dyDescent="0.3">
      <c r="A68" t="s">
        <v>207</v>
      </c>
      <c r="B68" t="s">
        <v>68</v>
      </c>
      <c r="C68" t="s">
        <v>208</v>
      </c>
      <c r="D68" t="s">
        <v>325</v>
      </c>
      <c r="E68" s="215">
        <v>-259919</v>
      </c>
      <c r="F68" s="215">
        <v>-178052</v>
      </c>
      <c r="G68" s="215">
        <v>-188494</v>
      </c>
      <c r="H68" s="215">
        <v>-194995</v>
      </c>
      <c r="I68" s="215"/>
      <c r="J68" t="s">
        <v>325</v>
      </c>
      <c r="K68" s="215" t="e">
        <f>Recap!#REF!</f>
        <v>#REF!</v>
      </c>
      <c r="L68" s="215">
        <f>Recap!E68</f>
        <v>-296085</v>
      </c>
      <c r="M68" s="215">
        <f>Recap!F68</f>
        <v>-309181</v>
      </c>
      <c r="N68" s="215">
        <f>Recap!G68</f>
        <v>-246510</v>
      </c>
      <c r="P68" s="215" t="e">
        <f t="shared" ref="P68:P124" si="11">K68-E68</f>
        <v>#REF!</v>
      </c>
      <c r="Q68" s="215">
        <f t="shared" ref="Q68:Q124" si="12">L68-F68</f>
        <v>-118033</v>
      </c>
      <c r="R68" s="215">
        <f t="shared" ref="R68:R124" si="13">M68-G68</f>
        <v>-120687</v>
      </c>
      <c r="S68" s="215">
        <f t="shared" ref="S68:S124" si="14">N68-H68</f>
        <v>-51515</v>
      </c>
      <c r="T68" s="215"/>
    </row>
    <row r="69" spans="1:25" x14ac:dyDescent="0.3">
      <c r="A69" t="s">
        <v>212</v>
      </c>
      <c r="B69" t="s">
        <v>69</v>
      </c>
      <c r="C69" t="s">
        <v>213</v>
      </c>
      <c r="D69" t="s">
        <v>325</v>
      </c>
      <c r="E69" s="215">
        <v>-615573.19999999995</v>
      </c>
      <c r="F69" s="215">
        <v>-725381.6</v>
      </c>
      <c r="G69" s="215">
        <v>-773732.9</v>
      </c>
      <c r="H69" s="215">
        <v>-792081.6</v>
      </c>
      <c r="I69" s="215"/>
      <c r="J69" t="s">
        <v>325</v>
      </c>
      <c r="K69" s="215" t="e">
        <f>Recap!#REF!</f>
        <v>#REF!</v>
      </c>
      <c r="L69" s="215">
        <f>Recap!E69</f>
        <v>-769469.28</v>
      </c>
      <c r="M69" s="215">
        <f>Recap!F69</f>
        <v>-787704.9</v>
      </c>
      <c r="N69" s="215">
        <f>Recap!G69</f>
        <v>-806996.9</v>
      </c>
      <c r="P69" s="215" t="e">
        <f t="shared" si="11"/>
        <v>#REF!</v>
      </c>
      <c r="Q69" s="215">
        <f t="shared" si="12"/>
        <v>-44087.680000000051</v>
      </c>
      <c r="R69" s="215">
        <f t="shared" si="13"/>
        <v>-13972</v>
      </c>
      <c r="S69" s="215">
        <f t="shared" si="14"/>
        <v>-14915.300000000047</v>
      </c>
      <c r="T69" s="215"/>
    </row>
    <row r="70" spans="1:25" x14ac:dyDescent="0.3">
      <c r="A70" t="s">
        <v>214</v>
      </c>
      <c r="B70" t="s">
        <v>70</v>
      </c>
      <c r="C70" t="s">
        <v>215</v>
      </c>
      <c r="D70" t="s">
        <v>325</v>
      </c>
      <c r="E70" s="215">
        <v>-356566.44999999995</v>
      </c>
      <c r="F70" s="215">
        <v>-364692</v>
      </c>
      <c r="G70" s="215">
        <v>-373056</v>
      </c>
      <c r="H70" s="215">
        <v>-381558</v>
      </c>
      <c r="I70" s="215"/>
      <c r="J70" t="s">
        <v>325</v>
      </c>
      <c r="K70" s="215" t="e">
        <f>Recap!#REF!</f>
        <v>#REF!</v>
      </c>
      <c r="L70" s="215">
        <f>Recap!E70</f>
        <v>-466575</v>
      </c>
      <c r="M70" s="215">
        <f>Recap!F70</f>
        <v>-374703.47000000015</v>
      </c>
      <c r="N70" s="215">
        <f>Recap!G70</f>
        <v>-383222.98</v>
      </c>
      <c r="P70" s="215" t="e">
        <f t="shared" si="11"/>
        <v>#REF!</v>
      </c>
      <c r="Q70" s="215">
        <f t="shared" si="12"/>
        <v>-101883</v>
      </c>
      <c r="R70" s="215">
        <f t="shared" si="13"/>
        <v>-1647.4700000001467</v>
      </c>
      <c r="S70" s="215">
        <f t="shared" si="14"/>
        <v>-1664.9799999999814</v>
      </c>
      <c r="T70" s="215"/>
    </row>
    <row r="71" spans="1:25" x14ac:dyDescent="0.3">
      <c r="A71" t="s">
        <v>216</v>
      </c>
      <c r="B71" t="s">
        <v>71</v>
      </c>
      <c r="C71" t="s">
        <v>217</v>
      </c>
      <c r="D71" t="s">
        <v>325</v>
      </c>
      <c r="E71" s="215">
        <v>-8369</v>
      </c>
      <c r="F71" s="215">
        <v>-8561</v>
      </c>
      <c r="G71" s="215">
        <v>-8758</v>
      </c>
      <c r="H71" s="215">
        <v>-8959</v>
      </c>
      <c r="I71" s="215"/>
      <c r="J71" t="s">
        <v>325</v>
      </c>
      <c r="K71" s="215" t="e">
        <f>Recap!#REF!</f>
        <v>#REF!</v>
      </c>
      <c r="L71" s="215">
        <f>Recap!E71</f>
        <v>-8586</v>
      </c>
      <c r="M71" s="215">
        <f>Recap!F71</f>
        <v>-8766</v>
      </c>
      <c r="N71" s="215">
        <f>Recap!G71</f>
        <v>-8968</v>
      </c>
      <c r="P71" s="215" t="e">
        <f t="shared" si="11"/>
        <v>#REF!</v>
      </c>
      <c r="Q71" s="215">
        <f t="shared" si="12"/>
        <v>-25</v>
      </c>
      <c r="R71" s="215">
        <f t="shared" si="13"/>
        <v>-8</v>
      </c>
      <c r="S71" s="215">
        <f t="shared" si="14"/>
        <v>-9</v>
      </c>
      <c r="T71" s="215"/>
    </row>
    <row r="72" spans="1:25" x14ac:dyDescent="0.3">
      <c r="A72" t="s">
        <v>218</v>
      </c>
      <c r="B72" t="s">
        <v>72</v>
      </c>
      <c r="C72" t="s">
        <v>219</v>
      </c>
      <c r="D72" t="s">
        <v>325</v>
      </c>
      <c r="E72" s="215">
        <v>-11404</v>
      </c>
      <c r="F72" s="215">
        <v>-11666</v>
      </c>
      <c r="G72" s="215">
        <v>-11934</v>
      </c>
      <c r="H72" s="215">
        <v>-12208</v>
      </c>
      <c r="I72" s="215"/>
      <c r="J72" t="s">
        <v>325</v>
      </c>
      <c r="K72" s="215" t="e">
        <f>Recap!#REF!</f>
        <v>#REF!</v>
      </c>
      <c r="L72" s="215">
        <f>Recap!E72</f>
        <v>-11701</v>
      </c>
      <c r="M72" s="215">
        <f>Recap!F72</f>
        <v>-11947</v>
      </c>
      <c r="N72" s="215">
        <f>Recap!G72</f>
        <v>-12222</v>
      </c>
      <c r="P72" s="215" t="e">
        <f t="shared" si="11"/>
        <v>#REF!</v>
      </c>
      <c r="Q72" s="215">
        <f t="shared" si="12"/>
        <v>-35</v>
      </c>
      <c r="R72" s="215">
        <f t="shared" si="13"/>
        <v>-13</v>
      </c>
      <c r="S72" s="215">
        <f t="shared" si="14"/>
        <v>-14</v>
      </c>
      <c r="T72" s="215"/>
    </row>
    <row r="73" spans="1:25" x14ac:dyDescent="0.3">
      <c r="A73" t="s">
        <v>220</v>
      </c>
      <c r="B73" t="s">
        <v>73</v>
      </c>
      <c r="C73" t="s">
        <v>221</v>
      </c>
      <c r="D73" t="s">
        <v>325</v>
      </c>
      <c r="E73" s="215">
        <v>0</v>
      </c>
      <c r="F73" s="215">
        <v>0</v>
      </c>
      <c r="G73" s="215">
        <v>0</v>
      </c>
      <c r="H73" s="215">
        <v>0</v>
      </c>
      <c r="I73" s="215"/>
      <c r="J73" t="s">
        <v>325</v>
      </c>
      <c r="K73" s="215" t="e">
        <f>Recap!#REF!</f>
        <v>#REF!</v>
      </c>
      <c r="L73" s="215">
        <f>Recap!E73</f>
        <v>0</v>
      </c>
      <c r="M73" s="215">
        <f>Recap!F73</f>
        <v>0</v>
      </c>
      <c r="N73" s="215">
        <f>Recap!G73</f>
        <v>0</v>
      </c>
      <c r="P73" s="215" t="e">
        <f t="shared" si="11"/>
        <v>#REF!</v>
      </c>
      <c r="Q73" s="215">
        <f t="shared" si="12"/>
        <v>0</v>
      </c>
      <c r="R73" s="215">
        <f t="shared" si="13"/>
        <v>0</v>
      </c>
      <c r="S73" s="215">
        <f t="shared" si="14"/>
        <v>0</v>
      </c>
      <c r="T73" s="215"/>
    </row>
    <row r="74" spans="1:25" x14ac:dyDescent="0.3">
      <c r="A74" t="s">
        <v>222</v>
      </c>
      <c r="B74" t="s">
        <v>74</v>
      </c>
      <c r="C74" t="s">
        <v>223</v>
      </c>
      <c r="D74" t="s">
        <v>325</v>
      </c>
      <c r="E74" s="215">
        <v>-385203.73802499997</v>
      </c>
      <c r="F74" s="215">
        <v>-146221.14655</v>
      </c>
      <c r="G74" s="215">
        <v>-132674.88209</v>
      </c>
      <c r="H74" s="215">
        <v>-131059.45555499999</v>
      </c>
      <c r="I74" s="215"/>
      <c r="J74" t="s">
        <v>325</v>
      </c>
      <c r="K74" s="215" t="e">
        <f>Recap!#REF!</f>
        <v>#REF!</v>
      </c>
      <c r="L74" s="215">
        <f>Recap!E74</f>
        <v>-187991.14655</v>
      </c>
      <c r="M74" s="215">
        <f>Recap!F74</f>
        <v>-107046.88209</v>
      </c>
      <c r="N74" s="215">
        <f>Recap!G74</f>
        <v>-106285.45555499999</v>
      </c>
      <c r="P74" s="215" t="e">
        <f t="shared" si="11"/>
        <v>#REF!</v>
      </c>
      <c r="Q74" s="215">
        <f t="shared" si="12"/>
        <v>-41770</v>
      </c>
      <c r="R74" s="215">
        <f t="shared" si="13"/>
        <v>25628</v>
      </c>
      <c r="S74" s="215">
        <f t="shared" si="14"/>
        <v>24774</v>
      </c>
      <c r="T74" s="215"/>
    </row>
    <row r="75" spans="1:25" x14ac:dyDescent="0.3">
      <c r="A75" t="s">
        <v>224</v>
      </c>
      <c r="B75" t="s">
        <v>75</v>
      </c>
      <c r="C75" t="s">
        <v>225</v>
      </c>
      <c r="D75" t="s">
        <v>325</v>
      </c>
      <c r="E75" s="215">
        <v>-5070056</v>
      </c>
      <c r="F75" s="215">
        <v>-5714264</v>
      </c>
      <c r="G75" s="215">
        <v>-6456477</v>
      </c>
      <c r="H75" s="215">
        <v>-7048696</v>
      </c>
      <c r="I75" s="215"/>
      <c r="J75" t="s">
        <v>325</v>
      </c>
      <c r="K75" s="215" t="e">
        <f>Recap!#REF!</f>
        <v>#REF!</v>
      </c>
      <c r="L75" s="215">
        <f>Recap!E75</f>
        <v>-5659292.4835999999</v>
      </c>
      <c r="M75" s="215">
        <f>Recap!F75</f>
        <v>-6382487</v>
      </c>
      <c r="N75" s="215">
        <f>Recap!G75</f>
        <v>-6979704</v>
      </c>
      <c r="P75" s="215" t="e">
        <f t="shared" si="11"/>
        <v>#REF!</v>
      </c>
      <c r="Q75" s="215">
        <f t="shared" si="12"/>
        <v>54971.51640000008</v>
      </c>
      <c r="R75" s="215">
        <f t="shared" si="13"/>
        <v>73990</v>
      </c>
      <c r="S75" s="215">
        <f t="shared" si="14"/>
        <v>68992</v>
      </c>
      <c r="T75" s="215"/>
    </row>
    <row r="76" spans="1:25" x14ac:dyDescent="0.3">
      <c r="A76" t="s">
        <v>226</v>
      </c>
      <c r="B76" t="s">
        <v>76</v>
      </c>
      <c r="C76" t="s">
        <v>227</v>
      </c>
      <c r="D76" t="s">
        <v>325</v>
      </c>
      <c r="E76" s="215">
        <v>-3258037</v>
      </c>
      <c r="F76" s="215">
        <v>-3674176</v>
      </c>
      <c r="G76" s="215">
        <v>-4142318</v>
      </c>
      <c r="H76" s="215">
        <v>-4501463</v>
      </c>
      <c r="I76" s="215"/>
      <c r="J76" t="s">
        <v>325</v>
      </c>
      <c r="K76" s="215" t="e">
        <f>Recap!#REF!</f>
        <v>#REF!</v>
      </c>
      <c r="L76" s="215">
        <f>Recap!E76</f>
        <v>-4016194</v>
      </c>
      <c r="M76" s="215">
        <f>Recap!F76</f>
        <v>-4519324</v>
      </c>
      <c r="N76" s="215">
        <f>Recap!G76</f>
        <v>-4903470</v>
      </c>
      <c r="P76" s="215" t="e">
        <f t="shared" si="11"/>
        <v>#REF!</v>
      </c>
      <c r="Q76" s="215">
        <f t="shared" si="12"/>
        <v>-342018</v>
      </c>
      <c r="R76" s="215">
        <f t="shared" si="13"/>
        <v>-377006</v>
      </c>
      <c r="S76" s="215">
        <f t="shared" si="14"/>
        <v>-402007</v>
      </c>
      <c r="T76" s="215"/>
    </row>
    <row r="77" spans="1:25" x14ac:dyDescent="0.3">
      <c r="A77" t="s">
        <v>228</v>
      </c>
      <c r="B77" t="s">
        <v>77</v>
      </c>
      <c r="C77" t="s">
        <v>229</v>
      </c>
      <c r="D77" t="s">
        <v>325</v>
      </c>
      <c r="E77" s="215">
        <v>-146351</v>
      </c>
      <c r="F77" s="215">
        <v>-150824</v>
      </c>
      <c r="G77" s="215">
        <v>-155436</v>
      </c>
      <c r="H77" s="215">
        <v>-160189</v>
      </c>
      <c r="I77" s="215"/>
      <c r="J77" t="s">
        <v>325</v>
      </c>
      <c r="K77" s="215" t="e">
        <f>Recap!#REF!</f>
        <v>#REF!</v>
      </c>
      <c r="L77" s="215">
        <f>Recap!E77</f>
        <v>-86286.491999999998</v>
      </c>
      <c r="M77" s="215">
        <f>Recap!F77</f>
        <v>-89404.379220000003</v>
      </c>
      <c r="N77" s="215">
        <f>Recap!G77</f>
        <v>-92635.337492699997</v>
      </c>
      <c r="P77" s="215" t="e">
        <f t="shared" si="11"/>
        <v>#REF!</v>
      </c>
      <c r="Q77" s="215">
        <f t="shared" si="12"/>
        <v>64537.508000000002</v>
      </c>
      <c r="R77" s="215">
        <f t="shared" si="13"/>
        <v>66031.620779999997</v>
      </c>
      <c r="S77" s="215">
        <f t="shared" si="14"/>
        <v>67553.662507300003</v>
      </c>
      <c r="T77" s="215"/>
    </row>
    <row r="78" spans="1:25" x14ac:dyDescent="0.3">
      <c r="A78" t="s">
        <v>230</v>
      </c>
      <c r="B78" t="s">
        <v>78</v>
      </c>
      <c r="C78" t="s">
        <v>231</v>
      </c>
      <c r="D78" t="s">
        <v>325</v>
      </c>
      <c r="E78" s="215">
        <v>-58780570</v>
      </c>
      <c r="F78" s="215">
        <v>-57219692</v>
      </c>
      <c r="G78" s="215">
        <v>-59297784</v>
      </c>
      <c r="H78" s="215">
        <v>-61427518</v>
      </c>
      <c r="I78" s="215"/>
      <c r="J78" t="s">
        <v>325</v>
      </c>
      <c r="K78" s="215" t="e">
        <f>Recap!#REF!</f>
        <v>#REF!</v>
      </c>
      <c r="L78" s="215">
        <f>Recap!E78</f>
        <v>-63264435</v>
      </c>
      <c r="M78" s="215">
        <f>Recap!F78</f>
        <v>-65532292</v>
      </c>
      <c r="N78" s="215">
        <f>Recap!G78</f>
        <v>-66117057</v>
      </c>
      <c r="P78" s="215" t="e">
        <f t="shared" si="11"/>
        <v>#REF!</v>
      </c>
      <c r="Q78" s="215">
        <f t="shared" si="12"/>
        <v>-6044743</v>
      </c>
      <c r="R78" s="215">
        <f t="shared" si="13"/>
        <v>-6234508</v>
      </c>
      <c r="S78" s="215">
        <f t="shared" si="14"/>
        <v>-4689539</v>
      </c>
      <c r="T78" s="215"/>
      <c r="U78" s="218" t="s">
        <v>326</v>
      </c>
      <c r="V78" s="216">
        <v>-487042</v>
      </c>
      <c r="W78" s="216">
        <v>-1346258</v>
      </c>
      <c r="X78" s="216">
        <v>-1396447</v>
      </c>
      <c r="Y78" s="216">
        <v>-1519329</v>
      </c>
    </row>
    <row r="79" spans="1:25" x14ac:dyDescent="0.3">
      <c r="A79" t="s">
        <v>232</v>
      </c>
      <c r="B79" t="s">
        <v>79</v>
      </c>
      <c r="C79" t="s">
        <v>233</v>
      </c>
      <c r="D79" t="s">
        <v>325</v>
      </c>
      <c r="E79" s="215">
        <v>-47274</v>
      </c>
      <c r="F79" s="215">
        <v>-48346</v>
      </c>
      <c r="G79" s="215">
        <v>-49442</v>
      </c>
      <c r="H79" s="215">
        <v>-50563</v>
      </c>
      <c r="I79" s="215"/>
      <c r="J79" t="s">
        <v>325</v>
      </c>
      <c r="K79" s="215" t="e">
        <f>Recap!#REF!</f>
        <v>#REF!</v>
      </c>
      <c r="L79" s="215">
        <f>Recap!E79</f>
        <v>-48485</v>
      </c>
      <c r="M79" s="215">
        <f>Recap!F79</f>
        <v>-49489</v>
      </c>
      <c r="N79" s="215">
        <f>Recap!G79</f>
        <v>-50611</v>
      </c>
      <c r="P79" s="215" t="e">
        <f t="shared" si="11"/>
        <v>#REF!</v>
      </c>
      <c r="Q79" s="215">
        <f t="shared" si="12"/>
        <v>-139</v>
      </c>
      <c r="R79" s="215">
        <f t="shared" si="13"/>
        <v>-47</v>
      </c>
      <c r="S79" s="215">
        <f t="shared" si="14"/>
        <v>-48</v>
      </c>
      <c r="T79" s="215"/>
    </row>
    <row r="80" spans="1:25" x14ac:dyDescent="0.3">
      <c r="A80" t="s">
        <v>234</v>
      </c>
      <c r="B80" t="s">
        <v>80</v>
      </c>
      <c r="C80" t="s">
        <v>235</v>
      </c>
      <c r="D80" t="s">
        <v>325</v>
      </c>
      <c r="E80" s="215">
        <v>0</v>
      </c>
      <c r="F80" s="215">
        <v>0</v>
      </c>
      <c r="G80" s="215">
        <v>0</v>
      </c>
      <c r="H80" s="215">
        <v>0</v>
      </c>
      <c r="I80" s="215"/>
      <c r="J80" t="s">
        <v>325</v>
      </c>
      <c r="K80" s="215" t="e">
        <f>Recap!#REF!</f>
        <v>#REF!</v>
      </c>
      <c r="L80" s="215">
        <f>Recap!E80</f>
        <v>0</v>
      </c>
      <c r="M80" s="215">
        <f>Recap!F80</f>
        <v>0</v>
      </c>
      <c r="N80" s="215">
        <f>Recap!G80</f>
        <v>0</v>
      </c>
      <c r="P80" s="215" t="e">
        <f t="shared" si="11"/>
        <v>#REF!</v>
      </c>
      <c r="Q80" s="215">
        <f t="shared" si="12"/>
        <v>0</v>
      </c>
      <c r="R80" s="215">
        <f t="shared" si="13"/>
        <v>0</v>
      </c>
      <c r="S80" s="215">
        <f t="shared" si="14"/>
        <v>0</v>
      </c>
      <c r="T80" s="215"/>
    </row>
    <row r="81" spans="1:25" x14ac:dyDescent="0.3">
      <c r="A81" t="s">
        <v>236</v>
      </c>
      <c r="B81" t="s">
        <v>81</v>
      </c>
      <c r="C81" t="s">
        <v>237</v>
      </c>
      <c r="D81" t="s">
        <v>325</v>
      </c>
      <c r="E81" s="215">
        <v>-3235448</v>
      </c>
      <c r="F81" s="215">
        <v>-3409332</v>
      </c>
      <c r="G81" s="215">
        <v>-2632923</v>
      </c>
      <c r="H81" s="215">
        <v>-2128204</v>
      </c>
      <c r="I81" s="215"/>
      <c r="J81" t="s">
        <v>325</v>
      </c>
      <c r="K81" s="215" t="e">
        <f>Recap!#REF!</f>
        <v>#REF!</v>
      </c>
      <c r="L81" s="215">
        <f>Recap!E81</f>
        <v>-9500031</v>
      </c>
      <c r="M81" s="215">
        <f>Recap!F81</f>
        <v>-4464327</v>
      </c>
      <c r="N81" s="215">
        <f>Recap!G81</f>
        <v>-2208156</v>
      </c>
      <c r="P81" s="215" t="e">
        <f t="shared" si="11"/>
        <v>#REF!</v>
      </c>
      <c r="Q81" s="215">
        <f t="shared" si="12"/>
        <v>-6090699</v>
      </c>
      <c r="R81" s="215">
        <f t="shared" si="13"/>
        <v>-1831404</v>
      </c>
      <c r="S81" s="215">
        <f t="shared" si="14"/>
        <v>-79952</v>
      </c>
      <c r="T81" s="215"/>
      <c r="U81" s="218" t="s">
        <v>326</v>
      </c>
      <c r="V81" s="216">
        <v>217400</v>
      </c>
      <c r="W81" s="216">
        <v>150000</v>
      </c>
      <c r="X81" s="216"/>
      <c r="Y81" s="216"/>
    </row>
    <row r="82" spans="1:25" x14ac:dyDescent="0.3">
      <c r="A82" t="s">
        <v>238</v>
      </c>
      <c r="B82" t="s">
        <v>82</v>
      </c>
      <c r="C82" t="s">
        <v>239</v>
      </c>
      <c r="D82" t="s">
        <v>325</v>
      </c>
      <c r="E82" s="215">
        <v>0</v>
      </c>
      <c r="F82" s="215">
        <v>0</v>
      </c>
      <c r="G82" s="215">
        <v>0</v>
      </c>
      <c r="H82" s="215">
        <v>0</v>
      </c>
      <c r="I82" s="215"/>
      <c r="J82" t="s">
        <v>325</v>
      </c>
      <c r="K82" s="215" t="e">
        <f>Recap!#REF!</f>
        <v>#REF!</v>
      </c>
      <c r="L82" s="215">
        <f>Recap!E82</f>
        <v>0</v>
      </c>
      <c r="M82" s="215">
        <f>Recap!F82</f>
        <v>0</v>
      </c>
      <c r="N82" s="215">
        <f>Recap!G82</f>
        <v>0</v>
      </c>
      <c r="P82" s="215" t="e">
        <f t="shared" si="11"/>
        <v>#REF!</v>
      </c>
      <c r="Q82" s="215">
        <f t="shared" si="12"/>
        <v>0</v>
      </c>
      <c r="R82" s="215">
        <f t="shared" si="13"/>
        <v>0</v>
      </c>
      <c r="S82" s="215">
        <f t="shared" si="14"/>
        <v>0</v>
      </c>
      <c r="T82" s="215"/>
    </row>
    <row r="83" spans="1:25" x14ac:dyDescent="0.3">
      <c r="A83" t="s">
        <v>240</v>
      </c>
      <c r="B83" t="s">
        <v>83</v>
      </c>
      <c r="C83" t="s">
        <v>241</v>
      </c>
      <c r="D83" t="s">
        <v>325</v>
      </c>
      <c r="E83" s="215">
        <v>-106263</v>
      </c>
      <c r="F83" s="215">
        <v>-108707</v>
      </c>
      <c r="G83" s="215">
        <v>-111207</v>
      </c>
      <c r="H83" s="215">
        <v>-113765</v>
      </c>
      <c r="I83" s="215"/>
      <c r="J83" t="s">
        <v>325</v>
      </c>
      <c r="K83" s="215" t="e">
        <f>Recap!#REF!</f>
        <v>#REF!</v>
      </c>
      <c r="L83" s="215">
        <f>Recap!E83</f>
        <v>-109768</v>
      </c>
      <c r="M83" s="215">
        <f>Recap!F83</f>
        <v>-112837.49</v>
      </c>
      <c r="N83" s="215">
        <f>Recap!G83</f>
        <v>-115433</v>
      </c>
      <c r="P83" s="215" t="e">
        <f t="shared" si="11"/>
        <v>#REF!</v>
      </c>
      <c r="Q83" s="215">
        <f t="shared" si="12"/>
        <v>-1061</v>
      </c>
      <c r="R83" s="215">
        <f t="shared" si="13"/>
        <v>-1630.4900000000052</v>
      </c>
      <c r="S83" s="215">
        <f t="shared" si="14"/>
        <v>-1668</v>
      </c>
      <c r="T83" s="215"/>
    </row>
    <row r="84" spans="1:25" x14ac:dyDescent="0.3">
      <c r="A84" t="s">
        <v>242</v>
      </c>
      <c r="B84" t="s">
        <v>84</v>
      </c>
      <c r="C84" t="s">
        <v>243</v>
      </c>
      <c r="D84" t="s">
        <v>325</v>
      </c>
      <c r="E84" s="215">
        <v>-190082</v>
      </c>
      <c r="F84" s="215">
        <v>-196217</v>
      </c>
      <c r="G84" s="215">
        <v>-202567</v>
      </c>
      <c r="H84" s="215">
        <v>-209140</v>
      </c>
      <c r="I84" s="215"/>
      <c r="J84" t="s">
        <v>325</v>
      </c>
      <c r="K84" s="215" t="e">
        <f>Recap!#REF!</f>
        <v>#REF!</v>
      </c>
      <c r="L84" s="215">
        <f>Recap!E84</f>
        <v>-177559</v>
      </c>
      <c r="M84" s="215">
        <f>Recap!F84</f>
        <v>-183276</v>
      </c>
      <c r="N84" s="215">
        <f>Recap!G84</f>
        <v>-188872</v>
      </c>
      <c r="P84" s="215" t="e">
        <f t="shared" si="11"/>
        <v>#REF!</v>
      </c>
      <c r="Q84" s="215">
        <f t="shared" si="12"/>
        <v>18658</v>
      </c>
      <c r="R84" s="215">
        <f t="shared" si="13"/>
        <v>19291</v>
      </c>
      <c r="S84" s="215">
        <f t="shared" si="14"/>
        <v>20268</v>
      </c>
      <c r="T84" s="215"/>
    </row>
    <row r="85" spans="1:25" x14ac:dyDescent="0.3">
      <c r="A85" t="s">
        <v>244</v>
      </c>
      <c r="B85" t="s">
        <v>85</v>
      </c>
      <c r="C85" t="s">
        <v>245</v>
      </c>
      <c r="D85" t="s">
        <v>325</v>
      </c>
      <c r="E85" s="215">
        <v>-488543</v>
      </c>
      <c r="F85" s="215">
        <v>-500903</v>
      </c>
      <c r="G85" s="215">
        <v>-467760</v>
      </c>
      <c r="H85" s="215">
        <v>-527191</v>
      </c>
      <c r="I85" s="215"/>
      <c r="J85" t="s">
        <v>325</v>
      </c>
      <c r="K85" s="215" t="e">
        <f>Recap!#REF!</f>
        <v>#REF!</v>
      </c>
      <c r="L85" s="215">
        <f>Recap!E85</f>
        <v>-544578</v>
      </c>
      <c r="M85" s="215">
        <f>Recap!F85</f>
        <v>-527968</v>
      </c>
      <c r="N85" s="215">
        <f>Recap!G85</f>
        <v>-556996</v>
      </c>
      <c r="P85" s="215" t="e">
        <f t="shared" si="11"/>
        <v>#REF!</v>
      </c>
      <c r="Q85" s="215">
        <f t="shared" si="12"/>
        <v>-43675</v>
      </c>
      <c r="R85" s="215">
        <f t="shared" si="13"/>
        <v>-60208</v>
      </c>
      <c r="S85" s="215">
        <f t="shared" si="14"/>
        <v>-29805</v>
      </c>
      <c r="T85" s="215"/>
    </row>
    <row r="86" spans="1:25" x14ac:dyDescent="0.3">
      <c r="A86" t="s">
        <v>246</v>
      </c>
      <c r="B86" t="s">
        <v>86</v>
      </c>
      <c r="C86" t="s">
        <v>247</v>
      </c>
      <c r="D86" t="s">
        <v>325</v>
      </c>
      <c r="E86" s="215">
        <v>-11507</v>
      </c>
      <c r="F86" s="215">
        <v>-12017</v>
      </c>
      <c r="G86" s="215">
        <v>-12293</v>
      </c>
      <c r="H86" s="215">
        <v>-12576</v>
      </c>
      <c r="I86" s="215"/>
      <c r="J86" t="s">
        <v>325</v>
      </c>
      <c r="K86" s="215" t="e">
        <f>Recap!#REF!</f>
        <v>#REF!</v>
      </c>
      <c r="L86" s="215">
        <f>Recap!E86</f>
        <v>-11835</v>
      </c>
      <c r="M86" s="215">
        <f>Recap!F86</f>
        <v>-9779.7900000000009</v>
      </c>
      <c r="N86" s="215">
        <f>Recap!G86</f>
        <v>-10005</v>
      </c>
      <c r="P86" s="215" t="e">
        <f t="shared" si="11"/>
        <v>#REF!</v>
      </c>
      <c r="Q86" s="215">
        <f t="shared" si="12"/>
        <v>182</v>
      </c>
      <c r="R86" s="215">
        <f t="shared" si="13"/>
        <v>2513.2099999999991</v>
      </c>
      <c r="S86" s="215">
        <f t="shared" si="14"/>
        <v>2571</v>
      </c>
      <c r="T86" s="215"/>
    </row>
    <row r="87" spans="1:25" x14ac:dyDescent="0.3">
      <c r="A87" t="s">
        <v>248</v>
      </c>
      <c r="B87" t="s">
        <v>87</v>
      </c>
      <c r="C87" t="s">
        <v>249</v>
      </c>
      <c r="D87" t="s">
        <v>325</v>
      </c>
      <c r="E87" s="215">
        <v>-350</v>
      </c>
      <c r="F87" s="215">
        <v>-349</v>
      </c>
      <c r="G87" s="215">
        <v>-349</v>
      </c>
      <c r="H87" s="215">
        <v>-348</v>
      </c>
      <c r="I87" s="215"/>
      <c r="J87" t="s">
        <v>325</v>
      </c>
      <c r="K87" s="215" t="e">
        <f>Recap!#REF!</f>
        <v>#REF!</v>
      </c>
      <c r="L87" s="215">
        <f>Recap!E87</f>
        <v>-349</v>
      </c>
      <c r="M87" s="215">
        <f>Recap!F87</f>
        <v>-349</v>
      </c>
      <c r="N87" s="215">
        <f>Recap!G87</f>
        <v>-348</v>
      </c>
      <c r="P87" s="215" t="e">
        <f t="shared" si="11"/>
        <v>#REF!</v>
      </c>
      <c r="Q87" s="215">
        <f t="shared" si="12"/>
        <v>0</v>
      </c>
      <c r="R87" s="215">
        <f t="shared" si="13"/>
        <v>0</v>
      </c>
      <c r="S87" s="215">
        <f t="shared" si="14"/>
        <v>0</v>
      </c>
      <c r="T87" s="215"/>
    </row>
    <row r="88" spans="1:25" x14ac:dyDescent="0.3">
      <c r="A88" t="s">
        <v>250</v>
      </c>
      <c r="B88" t="s">
        <v>88</v>
      </c>
      <c r="C88" t="s">
        <v>251</v>
      </c>
      <c r="D88" t="s">
        <v>325</v>
      </c>
      <c r="E88" s="215">
        <v>-140092</v>
      </c>
      <c r="F88" s="215">
        <v>-143314</v>
      </c>
      <c r="G88" s="215">
        <v>-146610</v>
      </c>
      <c r="H88" s="215">
        <v>-149982</v>
      </c>
      <c r="I88" s="215"/>
      <c r="J88" t="s">
        <v>325</v>
      </c>
      <c r="K88" s="215" t="e">
        <f>Recap!#REF!</f>
        <v>#REF!</v>
      </c>
      <c r="L88" s="215">
        <f>Recap!E88</f>
        <v>-143733</v>
      </c>
      <c r="M88" s="215">
        <f>Recap!F88</f>
        <v>-146751</v>
      </c>
      <c r="N88" s="215">
        <f>Recap!G88</f>
        <v>-150126</v>
      </c>
      <c r="P88" s="215" t="e">
        <f t="shared" si="11"/>
        <v>#REF!</v>
      </c>
      <c r="Q88" s="215">
        <f t="shared" si="12"/>
        <v>-419</v>
      </c>
      <c r="R88" s="215">
        <f t="shared" si="13"/>
        <v>-141</v>
      </c>
      <c r="S88" s="215">
        <f t="shared" si="14"/>
        <v>-144</v>
      </c>
      <c r="T88" s="215"/>
    </row>
    <row r="89" spans="1:25" x14ac:dyDescent="0.3">
      <c r="A89" t="s">
        <v>252</v>
      </c>
      <c r="B89" t="s">
        <v>89</v>
      </c>
      <c r="C89" t="s">
        <v>253</v>
      </c>
      <c r="D89" t="s">
        <v>325</v>
      </c>
      <c r="E89" s="215">
        <v>-28133</v>
      </c>
      <c r="F89" s="215">
        <v>-28655</v>
      </c>
      <c r="G89" s="215">
        <v>-28698</v>
      </c>
      <c r="H89" s="215">
        <v>-29702</v>
      </c>
      <c r="I89" s="215"/>
      <c r="J89" t="s">
        <v>325</v>
      </c>
      <c r="K89" s="215" t="e">
        <f>Recap!#REF!</f>
        <v>#REF!</v>
      </c>
      <c r="L89" s="215">
        <f>Recap!E89</f>
        <v>-28660</v>
      </c>
      <c r="M89" s="215">
        <f>Recap!F89</f>
        <v>-28708</v>
      </c>
      <c r="N89" s="215">
        <f>Recap!G89</f>
        <v>-29718</v>
      </c>
      <c r="P89" s="215" t="e">
        <f t="shared" si="11"/>
        <v>#REF!</v>
      </c>
      <c r="Q89" s="215">
        <f t="shared" si="12"/>
        <v>-5</v>
      </c>
      <c r="R89" s="215">
        <f t="shared" si="13"/>
        <v>-10</v>
      </c>
      <c r="S89" s="215">
        <f t="shared" si="14"/>
        <v>-16</v>
      </c>
      <c r="T89" s="215"/>
    </row>
    <row r="90" spans="1:25" x14ac:dyDescent="0.3">
      <c r="A90" t="s">
        <v>254</v>
      </c>
      <c r="B90" t="s">
        <v>90</v>
      </c>
      <c r="C90" t="s">
        <v>255</v>
      </c>
      <c r="D90" t="s">
        <v>325</v>
      </c>
      <c r="E90" s="215">
        <v>-661699</v>
      </c>
      <c r="F90" s="215">
        <v>-674930</v>
      </c>
      <c r="G90" s="215">
        <v>-688501</v>
      </c>
      <c r="H90" s="215">
        <v>-702422</v>
      </c>
      <c r="I90" s="215"/>
      <c r="J90" t="s">
        <v>325</v>
      </c>
      <c r="K90" s="215" t="e">
        <f>Recap!#REF!</f>
        <v>#REF!</v>
      </c>
      <c r="L90" s="215">
        <f>Recap!E90</f>
        <v>-875019</v>
      </c>
      <c r="M90" s="215">
        <f>Recap!F90</f>
        <v>-887697</v>
      </c>
      <c r="N90" s="215">
        <f>Recap!G90</f>
        <v>-901330</v>
      </c>
      <c r="P90" s="215" t="e">
        <f t="shared" si="11"/>
        <v>#REF!</v>
      </c>
      <c r="Q90" s="215">
        <f t="shared" si="12"/>
        <v>-200089</v>
      </c>
      <c r="R90" s="215">
        <f t="shared" si="13"/>
        <v>-199196</v>
      </c>
      <c r="S90" s="215">
        <f t="shared" si="14"/>
        <v>-198908</v>
      </c>
      <c r="T90" s="215"/>
    </row>
    <row r="91" spans="1:25" x14ac:dyDescent="0.3">
      <c r="A91" t="s">
        <v>256</v>
      </c>
      <c r="B91" t="s">
        <v>91</v>
      </c>
      <c r="C91" t="s">
        <v>257</v>
      </c>
      <c r="D91" t="s">
        <v>325</v>
      </c>
      <c r="E91" s="215">
        <v>-50113</v>
      </c>
      <c r="F91" s="215">
        <v>-51270</v>
      </c>
      <c r="G91" s="215">
        <v>-52450</v>
      </c>
      <c r="H91" s="215">
        <v>-53660</v>
      </c>
      <c r="I91" s="215"/>
      <c r="J91" t="s">
        <v>325</v>
      </c>
      <c r="K91" s="215" t="e">
        <f>Recap!#REF!</f>
        <v>#REF!</v>
      </c>
      <c r="L91" s="215" t="e">
        <f>Recap!E91</f>
        <v>#REF!</v>
      </c>
      <c r="M91" s="215" t="e">
        <f>Recap!F91</f>
        <v>#REF!</v>
      </c>
      <c r="N91" s="215" t="e">
        <f>Recap!G91</f>
        <v>#REF!</v>
      </c>
      <c r="P91" s="215" t="e">
        <f t="shared" si="11"/>
        <v>#REF!</v>
      </c>
      <c r="Q91" s="215" t="e">
        <f t="shared" si="12"/>
        <v>#REF!</v>
      </c>
      <c r="R91" s="215" t="e">
        <f t="shared" si="13"/>
        <v>#REF!</v>
      </c>
      <c r="S91" s="215" t="e">
        <f t="shared" si="14"/>
        <v>#REF!</v>
      </c>
      <c r="T91" s="215"/>
    </row>
    <row r="92" spans="1:25" x14ac:dyDescent="0.3">
      <c r="A92" t="s">
        <v>258</v>
      </c>
      <c r="B92" t="s">
        <v>92</v>
      </c>
      <c r="C92" t="s">
        <v>259</v>
      </c>
      <c r="D92" t="s">
        <v>325</v>
      </c>
      <c r="E92" s="215">
        <v>-419180</v>
      </c>
      <c r="F92" s="215">
        <v>-419450</v>
      </c>
      <c r="G92" s="215">
        <v>-419720</v>
      </c>
      <c r="H92" s="215">
        <v>-419999</v>
      </c>
      <c r="I92" s="215"/>
      <c r="J92" t="s">
        <v>325</v>
      </c>
      <c r="K92" s="215" t="e">
        <f>Recap!#REF!</f>
        <v>#REF!</v>
      </c>
      <c r="L92" s="215">
        <f>Recap!E92</f>
        <v>-444540</v>
      </c>
      <c r="M92" s="215">
        <f>Recap!F92</f>
        <v>-419730</v>
      </c>
      <c r="N92" s="215">
        <f>Recap!G92</f>
        <v>-420010</v>
      </c>
      <c r="P92" s="215" t="e">
        <f t="shared" si="11"/>
        <v>#REF!</v>
      </c>
      <c r="Q92" s="215">
        <f t="shared" si="12"/>
        <v>-25090</v>
      </c>
      <c r="R92" s="215">
        <f t="shared" si="13"/>
        <v>-10</v>
      </c>
      <c r="S92" s="215">
        <f t="shared" si="14"/>
        <v>-11</v>
      </c>
      <c r="T92" s="215"/>
    </row>
    <row r="93" spans="1:25" x14ac:dyDescent="0.3">
      <c r="A93" t="s">
        <v>260</v>
      </c>
      <c r="B93" t="s">
        <v>93</v>
      </c>
      <c r="C93" t="s">
        <v>261</v>
      </c>
      <c r="D93" t="s">
        <v>325</v>
      </c>
      <c r="E93" s="215">
        <v>-153025</v>
      </c>
      <c r="F93" s="215">
        <v>-144004</v>
      </c>
      <c r="G93" s="215">
        <v>-144004</v>
      </c>
      <c r="H93" s="215">
        <v>-144004</v>
      </c>
      <c r="I93" s="215"/>
      <c r="J93" t="s">
        <v>325</v>
      </c>
      <c r="K93" s="215" t="e">
        <f>Recap!#REF!</f>
        <v>#REF!</v>
      </c>
      <c r="L93" s="215">
        <f>Recap!E93</f>
        <v>-144004</v>
      </c>
      <c r="M93" s="215">
        <f>Recap!F93</f>
        <v>-144004</v>
      </c>
      <c r="N93" s="215">
        <f>Recap!G93</f>
        <v>-144004</v>
      </c>
      <c r="P93" s="215" t="e">
        <f t="shared" si="11"/>
        <v>#REF!</v>
      </c>
      <c r="Q93" s="215">
        <f t="shared" si="12"/>
        <v>0</v>
      </c>
      <c r="R93" s="215">
        <f t="shared" si="13"/>
        <v>0</v>
      </c>
      <c r="S93" s="215">
        <f t="shared" si="14"/>
        <v>0</v>
      </c>
      <c r="T93" s="215"/>
    </row>
    <row r="94" spans="1:25" x14ac:dyDescent="0.3">
      <c r="A94" t="s">
        <v>262</v>
      </c>
      <c r="B94" t="s">
        <v>94</v>
      </c>
      <c r="C94" t="s">
        <v>263</v>
      </c>
      <c r="D94" t="s">
        <v>325</v>
      </c>
      <c r="E94" s="215">
        <v>-845436.03489834827</v>
      </c>
      <c r="F94" s="215">
        <v>-860877.58297034353</v>
      </c>
      <c r="G94" s="215">
        <v>-826244.24810153618</v>
      </c>
      <c r="H94" s="215">
        <v>-833412.45436098659</v>
      </c>
      <c r="I94" s="215"/>
      <c r="J94" t="s">
        <v>325</v>
      </c>
      <c r="K94" s="215" t="e">
        <f>Recap!#REF!</f>
        <v>#REF!</v>
      </c>
      <c r="L94" s="215">
        <f>Recap!E94</f>
        <v>-878101.61871343863</v>
      </c>
      <c r="M94" s="215">
        <f>Recap!F94</f>
        <v>-862779.8922950452</v>
      </c>
      <c r="N94" s="215">
        <f>Recap!G94</f>
        <v>-871864.48512783134</v>
      </c>
      <c r="P94" s="215" t="e">
        <f t="shared" si="11"/>
        <v>#REF!</v>
      </c>
      <c r="Q94" s="215">
        <f t="shared" si="12"/>
        <v>-17224.035743095097</v>
      </c>
      <c r="R94" s="215">
        <f t="shared" si="13"/>
        <v>-36535.644193509012</v>
      </c>
      <c r="S94" s="215">
        <f t="shared" si="14"/>
        <v>-38452.030766844749</v>
      </c>
      <c r="T94" s="215"/>
    </row>
    <row r="95" spans="1:25" x14ac:dyDescent="0.3">
      <c r="A95" t="s">
        <v>264</v>
      </c>
      <c r="B95" t="s">
        <v>95</v>
      </c>
      <c r="C95" t="s">
        <v>265</v>
      </c>
      <c r="D95" t="s">
        <v>325</v>
      </c>
      <c r="E95" s="215">
        <v>-500</v>
      </c>
      <c r="F95" s="215">
        <v>-500</v>
      </c>
      <c r="G95" s="215">
        <v>-500</v>
      </c>
      <c r="H95" s="215">
        <v>-500</v>
      </c>
      <c r="I95" s="215"/>
      <c r="J95" t="s">
        <v>325</v>
      </c>
      <c r="K95" s="215" t="e">
        <f>Recap!#REF!</f>
        <v>#REF!</v>
      </c>
      <c r="L95" s="215">
        <f>Recap!E95</f>
        <v>-531</v>
      </c>
      <c r="M95" s="215">
        <f>Recap!F95</f>
        <v>-16701.010000000002</v>
      </c>
      <c r="N95" s="215">
        <f>Recap!G95</f>
        <v>-17310.8</v>
      </c>
      <c r="P95" s="215" t="e">
        <f t="shared" si="11"/>
        <v>#REF!</v>
      </c>
      <c r="Q95" s="215">
        <f t="shared" si="12"/>
        <v>-31</v>
      </c>
      <c r="R95" s="215">
        <f t="shared" si="13"/>
        <v>-16201.010000000002</v>
      </c>
      <c r="S95" s="215">
        <f t="shared" si="14"/>
        <v>-16810.8</v>
      </c>
      <c r="T95" s="215"/>
    </row>
    <row r="96" spans="1:25" x14ac:dyDescent="0.3">
      <c r="A96" t="s">
        <v>266</v>
      </c>
      <c r="B96" t="s">
        <v>96</v>
      </c>
      <c r="C96" t="s">
        <v>267</v>
      </c>
      <c r="D96" t="s">
        <v>325</v>
      </c>
      <c r="E96" s="215">
        <v>0</v>
      </c>
      <c r="F96" s="215">
        <v>0</v>
      </c>
      <c r="G96" s="215">
        <v>0</v>
      </c>
      <c r="H96" s="215">
        <v>0</v>
      </c>
      <c r="I96" s="215"/>
      <c r="J96" t="s">
        <v>325</v>
      </c>
      <c r="K96" s="215" t="e">
        <f>Recap!#REF!</f>
        <v>#REF!</v>
      </c>
      <c r="L96" s="215">
        <f>Recap!E96</f>
        <v>0</v>
      </c>
      <c r="M96" s="215">
        <f>Recap!F96</f>
        <v>0</v>
      </c>
      <c r="N96" s="215">
        <f>Recap!G96</f>
        <v>0</v>
      </c>
      <c r="P96" s="215" t="e">
        <f t="shared" si="11"/>
        <v>#REF!</v>
      </c>
      <c r="Q96" s="215">
        <f t="shared" si="12"/>
        <v>0</v>
      </c>
      <c r="R96" s="215">
        <f t="shared" si="13"/>
        <v>0</v>
      </c>
      <c r="S96" s="215">
        <f t="shared" si="14"/>
        <v>0</v>
      </c>
      <c r="T96" s="215"/>
    </row>
    <row r="97" spans="1:20" x14ac:dyDescent="0.3">
      <c r="A97" t="s">
        <v>268</v>
      </c>
      <c r="B97" t="s">
        <v>97</v>
      </c>
      <c r="C97" t="s">
        <v>269</v>
      </c>
      <c r="D97" t="s">
        <v>325</v>
      </c>
      <c r="E97" s="215">
        <v>0</v>
      </c>
      <c r="F97" s="215">
        <v>0</v>
      </c>
      <c r="G97" s="215">
        <v>0</v>
      </c>
      <c r="H97" s="215">
        <v>0</v>
      </c>
      <c r="I97" s="215"/>
      <c r="J97" t="s">
        <v>325</v>
      </c>
      <c r="K97" s="215" t="e">
        <f>Recap!#REF!</f>
        <v>#REF!</v>
      </c>
      <c r="L97" s="215">
        <f>Recap!E97</f>
        <v>0</v>
      </c>
      <c r="M97" s="215">
        <f>Recap!F97</f>
        <v>0</v>
      </c>
      <c r="N97" s="215">
        <f>Recap!G97</f>
        <v>0</v>
      </c>
      <c r="P97" s="215" t="e">
        <f t="shared" si="11"/>
        <v>#REF!</v>
      </c>
      <c r="Q97" s="215">
        <f t="shared" si="12"/>
        <v>0</v>
      </c>
      <c r="R97" s="215">
        <f t="shared" si="13"/>
        <v>0</v>
      </c>
      <c r="S97" s="215">
        <f t="shared" si="14"/>
        <v>0</v>
      </c>
      <c r="T97" s="215"/>
    </row>
    <row r="98" spans="1:20" x14ac:dyDescent="0.3">
      <c r="A98" t="s">
        <v>270</v>
      </c>
      <c r="B98" t="s">
        <v>98</v>
      </c>
      <c r="C98" t="s">
        <v>271</v>
      </c>
      <c r="D98" t="s">
        <v>325</v>
      </c>
      <c r="E98" s="215">
        <v>-226875</v>
      </c>
      <c r="F98" s="215">
        <v>-231100</v>
      </c>
      <c r="G98" s="215">
        <v>-235443</v>
      </c>
      <c r="H98" s="215">
        <v>-239907</v>
      </c>
      <c r="I98" s="215"/>
      <c r="J98" t="s">
        <v>325</v>
      </c>
      <c r="K98" s="215" t="e">
        <f>Recap!#REF!</f>
        <v>#REF!</v>
      </c>
      <c r="L98" s="215">
        <f>Recap!E98</f>
        <v>-199108</v>
      </c>
      <c r="M98" s="215">
        <f>Recap!F98</f>
        <v>-205871.35999999999</v>
      </c>
      <c r="N98" s="215">
        <f>Recap!G98</f>
        <v>-211833</v>
      </c>
      <c r="P98" s="215" t="e">
        <f t="shared" si="11"/>
        <v>#REF!</v>
      </c>
      <c r="Q98" s="215">
        <f t="shared" si="12"/>
        <v>31992</v>
      </c>
      <c r="R98" s="215">
        <f t="shared" si="13"/>
        <v>29571.640000000014</v>
      </c>
      <c r="S98" s="215">
        <f t="shared" si="14"/>
        <v>28074</v>
      </c>
      <c r="T98" s="215"/>
    </row>
    <row r="99" spans="1:20" x14ac:dyDescent="0.3">
      <c r="A99" t="s">
        <v>272</v>
      </c>
      <c r="B99" t="s">
        <v>99</v>
      </c>
      <c r="C99" t="s">
        <v>273</v>
      </c>
      <c r="D99" t="s">
        <v>325</v>
      </c>
      <c r="E99" s="215">
        <v>-146412</v>
      </c>
      <c r="F99" s="215">
        <v>-186487</v>
      </c>
      <c r="G99" s="215">
        <v>-197383</v>
      </c>
      <c r="H99" s="215">
        <v>-124824</v>
      </c>
      <c r="I99" s="215"/>
      <c r="J99" t="s">
        <v>325</v>
      </c>
      <c r="K99" s="215" t="e">
        <f>Recap!#REF!</f>
        <v>#REF!</v>
      </c>
      <c r="L99" s="215">
        <f>Recap!E99</f>
        <v>-189905</v>
      </c>
      <c r="M99" s="215">
        <f>Recap!F99</f>
        <v>-221828</v>
      </c>
      <c r="N99" s="215">
        <f>Recap!G99</f>
        <v>-190223</v>
      </c>
      <c r="P99" s="215" t="e">
        <f t="shared" si="11"/>
        <v>#REF!</v>
      </c>
      <c r="Q99" s="215">
        <f t="shared" si="12"/>
        <v>-3418</v>
      </c>
      <c r="R99" s="215">
        <f t="shared" si="13"/>
        <v>-24445</v>
      </c>
      <c r="S99" s="215">
        <f t="shared" si="14"/>
        <v>-65399</v>
      </c>
      <c r="T99" s="215"/>
    </row>
    <row r="100" spans="1:20" x14ac:dyDescent="0.3">
      <c r="A100" t="s">
        <v>274</v>
      </c>
      <c r="B100" t="s">
        <v>101</v>
      </c>
      <c r="C100" t="s">
        <v>275</v>
      </c>
      <c r="D100" t="s">
        <v>325</v>
      </c>
      <c r="E100" s="215">
        <v>-874869</v>
      </c>
      <c r="F100" s="215">
        <v>-869388</v>
      </c>
      <c r="G100" s="215">
        <v>-885991</v>
      </c>
      <c r="H100" s="215">
        <v>-902975</v>
      </c>
      <c r="I100" s="215"/>
      <c r="J100" t="s">
        <v>325</v>
      </c>
      <c r="K100" s="215" t="e">
        <f>Recap!#REF!</f>
        <v>#REF!</v>
      </c>
      <c r="L100" s="215">
        <f>Recap!E100</f>
        <v>-887609.10199999996</v>
      </c>
      <c r="M100" s="215">
        <f>Recap!F100</f>
        <v>-909554.77</v>
      </c>
      <c r="N100" s="215">
        <f>Recap!G100</f>
        <v>-926963</v>
      </c>
      <c r="P100" s="215" t="e">
        <f t="shared" si="11"/>
        <v>#REF!</v>
      </c>
      <c r="Q100" s="215">
        <f t="shared" si="12"/>
        <v>-18221.101999999955</v>
      </c>
      <c r="R100" s="215">
        <f t="shared" si="13"/>
        <v>-23563.770000000019</v>
      </c>
      <c r="S100" s="215">
        <f t="shared" si="14"/>
        <v>-23988</v>
      </c>
      <c r="T100" s="215"/>
    </row>
    <row r="101" spans="1:20" x14ac:dyDescent="0.3">
      <c r="A101" t="s">
        <v>276</v>
      </c>
      <c r="B101" t="s">
        <v>102</v>
      </c>
      <c r="C101" t="s">
        <v>277</v>
      </c>
      <c r="D101" t="s">
        <v>325</v>
      </c>
      <c r="E101" s="215">
        <v>0</v>
      </c>
      <c r="F101" s="215">
        <v>0</v>
      </c>
      <c r="G101" s="215">
        <v>0</v>
      </c>
      <c r="H101" s="215">
        <v>0</v>
      </c>
      <c r="I101" s="215"/>
      <c r="J101" t="s">
        <v>325</v>
      </c>
      <c r="K101" s="215" t="e">
        <f>Recap!#REF!</f>
        <v>#REF!</v>
      </c>
      <c r="L101" s="215" t="e">
        <f>Recap!E101</f>
        <v>#REF!</v>
      </c>
      <c r="M101" s="215" t="e">
        <f>Recap!F101</f>
        <v>#REF!</v>
      </c>
      <c r="N101" s="215" t="e">
        <f>Recap!G101</f>
        <v>#REF!</v>
      </c>
      <c r="P101" s="215" t="e">
        <f t="shared" si="11"/>
        <v>#REF!</v>
      </c>
      <c r="Q101" s="215" t="e">
        <f t="shared" si="12"/>
        <v>#REF!</v>
      </c>
      <c r="R101" s="215" t="e">
        <f t="shared" si="13"/>
        <v>#REF!</v>
      </c>
      <c r="S101" s="215" t="e">
        <f t="shared" si="14"/>
        <v>#REF!</v>
      </c>
      <c r="T101" s="215"/>
    </row>
    <row r="102" spans="1:20" x14ac:dyDescent="0.3">
      <c r="A102" t="s">
        <v>278</v>
      </c>
      <c r="B102" t="s">
        <v>103</v>
      </c>
      <c r="C102" t="s">
        <v>279</v>
      </c>
      <c r="D102" t="s">
        <v>325</v>
      </c>
      <c r="E102" s="215">
        <v>-170444</v>
      </c>
      <c r="F102" s="215">
        <v>-174364</v>
      </c>
      <c r="G102" s="215">
        <v>-178374</v>
      </c>
      <c r="H102" s="215">
        <v>-182476</v>
      </c>
      <c r="I102" s="215"/>
      <c r="J102" t="s">
        <v>325</v>
      </c>
      <c r="K102" s="215" t="e">
        <f>Recap!#REF!</f>
        <v>#REF!</v>
      </c>
      <c r="L102" s="215" t="e">
        <f>Recap!E102</f>
        <v>#REF!</v>
      </c>
      <c r="M102" s="215" t="e">
        <f>Recap!F102</f>
        <v>#REF!</v>
      </c>
      <c r="N102" s="215" t="e">
        <f>Recap!G102</f>
        <v>#REF!</v>
      </c>
      <c r="P102" s="215" t="e">
        <f t="shared" si="11"/>
        <v>#REF!</v>
      </c>
      <c r="Q102" s="215" t="e">
        <f t="shared" si="12"/>
        <v>#REF!</v>
      </c>
      <c r="R102" s="215" t="e">
        <f t="shared" si="13"/>
        <v>#REF!</v>
      </c>
      <c r="S102" s="215" t="e">
        <f t="shared" si="14"/>
        <v>#REF!</v>
      </c>
      <c r="T102" s="215"/>
    </row>
    <row r="103" spans="1:20" x14ac:dyDescent="0.3">
      <c r="A103" t="s">
        <v>280</v>
      </c>
      <c r="B103" t="s">
        <v>104</v>
      </c>
      <c r="C103" t="s">
        <v>281</v>
      </c>
      <c r="D103" t="s">
        <v>325</v>
      </c>
      <c r="E103" s="215">
        <v>-6695250</v>
      </c>
      <c r="F103" s="215">
        <v>-6695250</v>
      </c>
      <c r="G103" s="215">
        <v>-6695250</v>
      </c>
      <c r="H103" s="215">
        <v>-6695250</v>
      </c>
      <c r="I103" s="215"/>
      <c r="J103" t="s">
        <v>325</v>
      </c>
      <c r="K103" s="215" t="e">
        <f>Recap!#REF!</f>
        <v>#REF!</v>
      </c>
      <c r="L103" s="215">
        <f>Recap!E103</f>
        <v>-7983283</v>
      </c>
      <c r="M103" s="215">
        <f>Recap!F103</f>
        <v>-7473014</v>
      </c>
      <c r="N103" s="215">
        <f>Recap!G103</f>
        <v>-7474633</v>
      </c>
      <c r="P103" s="215" t="e">
        <f t="shared" si="11"/>
        <v>#REF!</v>
      </c>
      <c r="Q103" s="215">
        <f t="shared" si="12"/>
        <v>-1288033</v>
      </c>
      <c r="R103" s="215">
        <f t="shared" si="13"/>
        <v>-777764</v>
      </c>
      <c r="S103" s="215">
        <f t="shared" si="14"/>
        <v>-779383</v>
      </c>
      <c r="T103" s="215"/>
    </row>
    <row r="104" spans="1:20" x14ac:dyDescent="0.3">
      <c r="A104" t="s">
        <v>282</v>
      </c>
      <c r="B104" t="s">
        <v>105</v>
      </c>
      <c r="C104" t="s">
        <v>283</v>
      </c>
      <c r="D104" t="s">
        <v>325</v>
      </c>
      <c r="E104" s="215">
        <v>0</v>
      </c>
      <c r="F104" s="215">
        <v>0</v>
      </c>
      <c r="G104" s="215">
        <v>0</v>
      </c>
      <c r="H104" s="215">
        <v>0</v>
      </c>
      <c r="I104" s="215"/>
      <c r="J104" t="s">
        <v>325</v>
      </c>
      <c r="K104" s="215" t="e">
        <f>Recap!#REF!</f>
        <v>#REF!</v>
      </c>
      <c r="L104" s="215" t="e">
        <f>Recap!E104</f>
        <v>#REF!</v>
      </c>
      <c r="M104" s="215" t="e">
        <f>Recap!F104</f>
        <v>#REF!</v>
      </c>
      <c r="N104" s="215" t="e">
        <f>Recap!G104</f>
        <v>#REF!</v>
      </c>
      <c r="P104" s="215" t="e">
        <f t="shared" si="11"/>
        <v>#REF!</v>
      </c>
      <c r="Q104" s="215" t="e">
        <f t="shared" si="12"/>
        <v>#REF!</v>
      </c>
      <c r="R104" s="215" t="e">
        <f t="shared" si="13"/>
        <v>#REF!</v>
      </c>
      <c r="S104" s="215" t="e">
        <f t="shared" si="14"/>
        <v>#REF!</v>
      </c>
      <c r="T104" s="215"/>
    </row>
    <row r="105" spans="1:20" x14ac:dyDescent="0.3">
      <c r="A105" t="s">
        <v>284</v>
      </c>
      <c r="B105" t="s">
        <v>106</v>
      </c>
      <c r="C105" t="s">
        <v>285</v>
      </c>
      <c r="D105" t="s">
        <v>325</v>
      </c>
      <c r="E105" s="215">
        <v>-20000</v>
      </c>
      <c r="F105" s="215">
        <v>-20000</v>
      </c>
      <c r="G105" s="215">
        <v>-20000</v>
      </c>
      <c r="H105" s="215">
        <v>-20000</v>
      </c>
      <c r="I105" s="215"/>
      <c r="J105" t="s">
        <v>325</v>
      </c>
      <c r="K105" s="215" t="e">
        <f>Recap!#REF!</f>
        <v>#REF!</v>
      </c>
      <c r="L105" s="215">
        <f>Recap!E105</f>
        <v>-467147</v>
      </c>
      <c r="M105" s="215">
        <f>Recap!F105</f>
        <v>0</v>
      </c>
      <c r="N105" s="215">
        <f>Recap!G105</f>
        <v>0</v>
      </c>
      <c r="P105" s="215" t="e">
        <f t="shared" si="11"/>
        <v>#REF!</v>
      </c>
      <c r="Q105" s="215">
        <f t="shared" si="12"/>
        <v>-447147</v>
      </c>
      <c r="R105" s="215">
        <f t="shared" si="13"/>
        <v>20000</v>
      </c>
      <c r="S105" s="215">
        <f t="shared" si="14"/>
        <v>20000</v>
      </c>
      <c r="T105" s="215"/>
    </row>
    <row r="106" spans="1:20" x14ac:dyDescent="0.3">
      <c r="A106" t="s">
        <v>286</v>
      </c>
      <c r="B106" t="s">
        <v>107</v>
      </c>
      <c r="C106" t="s">
        <v>287</v>
      </c>
      <c r="D106" t="s">
        <v>325</v>
      </c>
      <c r="E106" s="215">
        <v>-20530</v>
      </c>
      <c r="F106" s="215">
        <v>-21000</v>
      </c>
      <c r="G106" s="215">
        <v>-21480</v>
      </c>
      <c r="H106" s="215">
        <v>-21970</v>
      </c>
      <c r="I106" s="215"/>
      <c r="J106" t="s">
        <v>325</v>
      </c>
      <c r="K106" s="215" t="e">
        <f>Recap!#REF!</f>
        <v>#REF!</v>
      </c>
      <c r="L106" s="215" t="e">
        <f>Recap!E106</f>
        <v>#REF!</v>
      </c>
      <c r="M106" s="215" t="e">
        <f>Recap!F106</f>
        <v>#REF!</v>
      </c>
      <c r="N106" s="215" t="e">
        <f>Recap!G106</f>
        <v>#REF!</v>
      </c>
      <c r="P106" s="215" t="e">
        <f t="shared" si="11"/>
        <v>#REF!</v>
      </c>
      <c r="Q106" s="215" t="e">
        <f t="shared" si="12"/>
        <v>#REF!</v>
      </c>
      <c r="R106" s="215" t="e">
        <f t="shared" si="13"/>
        <v>#REF!</v>
      </c>
      <c r="S106" s="215" t="e">
        <f t="shared" si="14"/>
        <v>#REF!</v>
      </c>
      <c r="T106" s="215"/>
    </row>
    <row r="107" spans="1:20" x14ac:dyDescent="0.3">
      <c r="A107" t="s">
        <v>288</v>
      </c>
      <c r="B107" t="s">
        <v>108</v>
      </c>
      <c r="C107" t="s">
        <v>289</v>
      </c>
      <c r="D107" t="s">
        <v>325</v>
      </c>
      <c r="E107" s="215">
        <v>-90000</v>
      </c>
      <c r="F107" s="215">
        <v>-165950</v>
      </c>
      <c r="G107" s="215">
        <v>-169800</v>
      </c>
      <c r="H107" s="215">
        <v>-173700</v>
      </c>
      <c r="I107" s="215"/>
      <c r="J107" t="s">
        <v>325</v>
      </c>
      <c r="K107" s="215" t="e">
        <f>Recap!#REF!</f>
        <v>#REF!</v>
      </c>
      <c r="L107" s="215" t="e">
        <f>Recap!E107</f>
        <v>#REF!</v>
      </c>
      <c r="M107" s="215" t="e">
        <f>Recap!F107</f>
        <v>#REF!</v>
      </c>
      <c r="N107" s="215" t="e">
        <f>Recap!G107</f>
        <v>#REF!</v>
      </c>
      <c r="P107" s="215" t="e">
        <f t="shared" si="11"/>
        <v>#REF!</v>
      </c>
      <c r="Q107" s="215" t="e">
        <f t="shared" si="12"/>
        <v>#REF!</v>
      </c>
      <c r="R107" s="215" t="e">
        <f t="shared" si="13"/>
        <v>#REF!</v>
      </c>
      <c r="S107" s="215" t="e">
        <f t="shared" si="14"/>
        <v>#REF!</v>
      </c>
      <c r="T107" s="215"/>
    </row>
    <row r="108" spans="1:20" x14ac:dyDescent="0.3">
      <c r="A108" t="s">
        <v>290</v>
      </c>
      <c r="B108" t="s">
        <v>109</v>
      </c>
      <c r="C108" t="s">
        <v>291</v>
      </c>
      <c r="D108" t="s">
        <v>325</v>
      </c>
      <c r="E108" s="215">
        <v>-60000</v>
      </c>
      <c r="F108" s="215">
        <v>-120000</v>
      </c>
      <c r="G108" s="215">
        <v>-122800</v>
      </c>
      <c r="H108" s="215">
        <v>-125600</v>
      </c>
      <c r="I108" s="215"/>
      <c r="J108" t="s">
        <v>325</v>
      </c>
      <c r="K108" s="215" t="e">
        <f>Recap!#REF!</f>
        <v>#REF!</v>
      </c>
      <c r="L108" s="215" t="e">
        <f>Recap!E108</f>
        <v>#REF!</v>
      </c>
      <c r="M108" s="215" t="e">
        <f>Recap!F108</f>
        <v>#REF!</v>
      </c>
      <c r="N108" s="215" t="e">
        <f>Recap!G108</f>
        <v>#REF!</v>
      </c>
      <c r="P108" s="215" t="e">
        <f t="shared" si="11"/>
        <v>#REF!</v>
      </c>
      <c r="Q108" s="215" t="e">
        <f t="shared" si="12"/>
        <v>#REF!</v>
      </c>
      <c r="R108" s="215" t="e">
        <f t="shared" si="13"/>
        <v>#REF!</v>
      </c>
      <c r="S108" s="215" t="e">
        <f t="shared" si="14"/>
        <v>#REF!</v>
      </c>
      <c r="T108" s="215"/>
    </row>
    <row r="109" spans="1:20" x14ac:dyDescent="0.3">
      <c r="A109" t="s">
        <v>292</v>
      </c>
      <c r="B109" t="s">
        <v>110</v>
      </c>
      <c r="C109" t="s">
        <v>293</v>
      </c>
      <c r="D109" t="s">
        <v>325</v>
      </c>
      <c r="E109" s="215">
        <v>0</v>
      </c>
      <c r="F109" s="215">
        <v>0</v>
      </c>
      <c r="G109" s="215">
        <v>0</v>
      </c>
      <c r="H109" s="215">
        <v>0</v>
      </c>
      <c r="I109" s="215"/>
      <c r="J109" t="s">
        <v>325</v>
      </c>
      <c r="K109" s="215" t="e">
        <f>Recap!#REF!</f>
        <v>#REF!</v>
      </c>
      <c r="L109" s="215" t="e">
        <f>Recap!E109</f>
        <v>#REF!</v>
      </c>
      <c r="M109" s="215" t="e">
        <f>Recap!F109</f>
        <v>#REF!</v>
      </c>
      <c r="N109" s="215" t="e">
        <f>Recap!G109</f>
        <v>#REF!</v>
      </c>
      <c r="P109" s="215" t="e">
        <f t="shared" si="11"/>
        <v>#REF!</v>
      </c>
      <c r="Q109" s="215" t="e">
        <f t="shared" si="12"/>
        <v>#REF!</v>
      </c>
      <c r="R109" s="215" t="e">
        <f t="shared" si="13"/>
        <v>#REF!</v>
      </c>
      <c r="S109" s="215" t="e">
        <f t="shared" si="14"/>
        <v>#REF!</v>
      </c>
      <c r="T109" s="215"/>
    </row>
    <row r="110" spans="1:20" x14ac:dyDescent="0.3">
      <c r="A110" t="s">
        <v>294</v>
      </c>
      <c r="B110" t="s">
        <v>111</v>
      </c>
      <c r="C110" t="s">
        <v>295</v>
      </c>
      <c r="D110" t="s">
        <v>325</v>
      </c>
      <c r="E110" s="215">
        <v>0</v>
      </c>
      <c r="F110" s="215">
        <v>0</v>
      </c>
      <c r="G110" s="215">
        <v>0</v>
      </c>
      <c r="H110" s="215">
        <v>0</v>
      </c>
      <c r="I110" s="215"/>
      <c r="J110" t="s">
        <v>325</v>
      </c>
      <c r="K110" s="215" t="e">
        <f>Recap!#REF!</f>
        <v>#REF!</v>
      </c>
      <c r="L110" s="215" t="e">
        <f>Recap!E110</f>
        <v>#REF!</v>
      </c>
      <c r="M110" s="215" t="e">
        <f>Recap!F110</f>
        <v>#REF!</v>
      </c>
      <c r="N110" s="215" t="e">
        <f>Recap!G110</f>
        <v>#REF!</v>
      </c>
      <c r="P110" s="215" t="e">
        <f t="shared" si="11"/>
        <v>#REF!</v>
      </c>
      <c r="Q110" s="215" t="e">
        <f t="shared" si="12"/>
        <v>#REF!</v>
      </c>
      <c r="R110" s="215" t="e">
        <f t="shared" si="13"/>
        <v>#REF!</v>
      </c>
      <c r="S110" s="215" t="e">
        <f t="shared" si="14"/>
        <v>#REF!</v>
      </c>
      <c r="T110" s="215"/>
    </row>
    <row r="111" spans="1:20" x14ac:dyDescent="0.3">
      <c r="A111" t="s">
        <v>296</v>
      </c>
      <c r="B111" t="s">
        <v>112</v>
      </c>
      <c r="C111" t="s">
        <v>297</v>
      </c>
      <c r="D111" t="s">
        <v>325</v>
      </c>
      <c r="E111" s="215">
        <v>0</v>
      </c>
      <c r="F111" s="215">
        <v>0</v>
      </c>
      <c r="G111" s="215">
        <v>0</v>
      </c>
      <c r="H111" s="215">
        <v>0</v>
      </c>
      <c r="I111" s="215"/>
      <c r="J111" t="s">
        <v>325</v>
      </c>
      <c r="K111" s="215" t="e">
        <f>Recap!#REF!</f>
        <v>#REF!</v>
      </c>
      <c r="L111" s="215" t="e">
        <f>Recap!E111</f>
        <v>#REF!</v>
      </c>
      <c r="M111" s="215" t="e">
        <f>Recap!F111</f>
        <v>#REF!</v>
      </c>
      <c r="N111" s="215" t="e">
        <f>Recap!G111</f>
        <v>#REF!</v>
      </c>
      <c r="P111" s="215" t="e">
        <f t="shared" si="11"/>
        <v>#REF!</v>
      </c>
      <c r="Q111" s="215" t="e">
        <f t="shared" si="12"/>
        <v>#REF!</v>
      </c>
      <c r="R111" s="215" t="e">
        <f t="shared" si="13"/>
        <v>#REF!</v>
      </c>
      <c r="S111" s="215" t="e">
        <f t="shared" si="14"/>
        <v>#REF!</v>
      </c>
      <c r="T111" s="215"/>
    </row>
    <row r="112" spans="1:20" x14ac:dyDescent="0.3">
      <c r="A112" t="s">
        <v>298</v>
      </c>
      <c r="B112" t="s">
        <v>113</v>
      </c>
      <c r="C112" t="s">
        <v>299</v>
      </c>
      <c r="D112" t="s">
        <v>325</v>
      </c>
      <c r="E112" s="215">
        <v>0</v>
      </c>
      <c r="F112" s="215">
        <v>0</v>
      </c>
      <c r="G112" s="215">
        <v>0</v>
      </c>
      <c r="H112" s="215">
        <v>0</v>
      </c>
      <c r="I112" s="215"/>
      <c r="J112" t="s">
        <v>325</v>
      </c>
      <c r="K112" s="215" t="e">
        <f>Recap!#REF!</f>
        <v>#REF!</v>
      </c>
      <c r="L112" s="215" t="e">
        <f>Recap!E112</f>
        <v>#REF!</v>
      </c>
      <c r="M112" s="215" t="e">
        <f>Recap!F112</f>
        <v>#REF!</v>
      </c>
      <c r="N112" s="215" t="e">
        <f>Recap!G112</f>
        <v>#REF!</v>
      </c>
      <c r="P112" s="215" t="e">
        <f t="shared" si="11"/>
        <v>#REF!</v>
      </c>
      <c r="Q112" s="215" t="e">
        <f t="shared" si="12"/>
        <v>#REF!</v>
      </c>
      <c r="R112" s="215" t="e">
        <f t="shared" si="13"/>
        <v>#REF!</v>
      </c>
      <c r="S112" s="215" t="e">
        <f t="shared" si="14"/>
        <v>#REF!</v>
      </c>
      <c r="T112" s="215"/>
    </row>
    <row r="113" spans="1:25" x14ac:dyDescent="0.3">
      <c r="A113" t="s">
        <v>300</v>
      </c>
      <c r="B113" t="s">
        <v>116</v>
      </c>
      <c r="C113" t="s">
        <v>301</v>
      </c>
      <c r="D113" t="s">
        <v>325</v>
      </c>
      <c r="E113" s="215">
        <v>0</v>
      </c>
      <c r="F113" s="215">
        <v>0</v>
      </c>
      <c r="G113" s="215">
        <v>0</v>
      </c>
      <c r="H113" s="215">
        <v>0</v>
      </c>
      <c r="I113" s="215"/>
      <c r="J113" t="s">
        <v>325</v>
      </c>
      <c r="K113" s="215" t="e">
        <f>Recap!#REF!</f>
        <v>#REF!</v>
      </c>
      <c r="L113" s="215" t="e">
        <f>Recap!E115</f>
        <v>#REF!</v>
      </c>
      <c r="M113" s="215" t="e">
        <f>Recap!F115</f>
        <v>#REF!</v>
      </c>
      <c r="N113" s="215" t="e">
        <f>Recap!G115</f>
        <v>#REF!</v>
      </c>
      <c r="P113" s="215" t="e">
        <f t="shared" si="11"/>
        <v>#REF!</v>
      </c>
      <c r="Q113" s="215" t="e">
        <f t="shared" si="12"/>
        <v>#REF!</v>
      </c>
      <c r="R113" s="215" t="e">
        <f t="shared" si="13"/>
        <v>#REF!</v>
      </c>
      <c r="S113" s="215" t="e">
        <f t="shared" si="14"/>
        <v>#REF!</v>
      </c>
      <c r="T113" s="215"/>
    </row>
    <row r="114" spans="1:25" x14ac:dyDescent="0.3">
      <c r="A114" t="s">
        <v>302</v>
      </c>
      <c r="B114" t="s">
        <v>117</v>
      </c>
      <c r="C114" t="s">
        <v>303</v>
      </c>
      <c r="D114" t="s">
        <v>325</v>
      </c>
      <c r="E114" s="215">
        <v>0</v>
      </c>
      <c r="F114" s="215">
        <v>0</v>
      </c>
      <c r="G114" s="215">
        <v>0</v>
      </c>
      <c r="H114" s="215">
        <v>0</v>
      </c>
      <c r="I114" s="215"/>
      <c r="J114" t="s">
        <v>325</v>
      </c>
      <c r="K114" s="215" t="e">
        <f>Recap!#REF!</f>
        <v>#REF!</v>
      </c>
      <c r="L114" s="215" t="e">
        <f>Recap!E116</f>
        <v>#REF!</v>
      </c>
      <c r="M114" s="215" t="e">
        <f>Recap!F116</f>
        <v>#REF!</v>
      </c>
      <c r="N114" s="215" t="e">
        <f>Recap!G116</f>
        <v>#REF!</v>
      </c>
      <c r="P114" s="215" t="e">
        <f t="shared" si="11"/>
        <v>#REF!</v>
      </c>
      <c r="Q114" s="215" t="e">
        <f t="shared" si="12"/>
        <v>#REF!</v>
      </c>
      <c r="R114" s="215" t="e">
        <f t="shared" si="13"/>
        <v>#REF!</v>
      </c>
      <c r="S114" s="215" t="e">
        <f t="shared" si="14"/>
        <v>#REF!</v>
      </c>
      <c r="T114" s="215"/>
    </row>
    <row r="115" spans="1:25" x14ac:dyDescent="0.3">
      <c r="A115" t="s">
        <v>304</v>
      </c>
      <c r="B115" t="s">
        <v>118</v>
      </c>
      <c r="C115" t="s">
        <v>305</v>
      </c>
      <c r="D115" t="s">
        <v>325</v>
      </c>
      <c r="E115" s="215">
        <v>0</v>
      </c>
      <c r="F115" s="215">
        <v>0</v>
      </c>
      <c r="G115" s="215">
        <v>0</v>
      </c>
      <c r="H115" s="215">
        <v>0</v>
      </c>
      <c r="I115" s="215"/>
      <c r="J115" t="s">
        <v>325</v>
      </c>
      <c r="K115" s="215" t="e">
        <f>Recap!#REF!</f>
        <v>#REF!</v>
      </c>
      <c r="L115" s="215">
        <f>Recap!E117</f>
        <v>0</v>
      </c>
      <c r="M115" s="215">
        <f>Recap!F117</f>
        <v>0</v>
      </c>
      <c r="N115" s="215">
        <f>Recap!G117</f>
        <v>0</v>
      </c>
      <c r="P115" s="215" t="e">
        <f t="shared" si="11"/>
        <v>#REF!</v>
      </c>
      <c r="Q115" s="215">
        <f t="shared" si="12"/>
        <v>0</v>
      </c>
      <c r="R115" s="215">
        <f t="shared" si="13"/>
        <v>0</v>
      </c>
      <c r="S115" s="215">
        <f t="shared" si="14"/>
        <v>0</v>
      </c>
      <c r="T115" s="215"/>
    </row>
    <row r="116" spans="1:25" x14ac:dyDescent="0.3">
      <c r="A116" t="s">
        <v>306</v>
      </c>
      <c r="B116" t="s">
        <v>119</v>
      </c>
      <c r="C116" t="s">
        <v>307</v>
      </c>
      <c r="D116" t="s">
        <v>325</v>
      </c>
      <c r="E116" s="215">
        <v>0</v>
      </c>
      <c r="F116" s="215">
        <v>0</v>
      </c>
      <c r="G116" s="215">
        <v>0</v>
      </c>
      <c r="H116" s="215">
        <v>0</v>
      </c>
      <c r="I116" s="215"/>
      <c r="J116" t="s">
        <v>325</v>
      </c>
      <c r="K116" s="215" t="e">
        <f>Recap!#REF!</f>
        <v>#REF!</v>
      </c>
      <c r="L116" s="215">
        <f>Recap!E118</f>
        <v>0</v>
      </c>
      <c r="M116" s="215">
        <f>Recap!F118</f>
        <v>0</v>
      </c>
      <c r="N116" s="215">
        <f>Recap!G118</f>
        <v>0</v>
      </c>
      <c r="P116" s="215" t="e">
        <f t="shared" si="11"/>
        <v>#REF!</v>
      </c>
      <c r="Q116" s="215">
        <f t="shared" si="12"/>
        <v>0</v>
      </c>
      <c r="R116" s="215">
        <f t="shared" si="13"/>
        <v>0</v>
      </c>
      <c r="S116" s="215">
        <f t="shared" si="14"/>
        <v>0</v>
      </c>
      <c r="T116" s="215"/>
    </row>
    <row r="117" spans="1:25" x14ac:dyDescent="0.3">
      <c r="A117" t="s">
        <v>308</v>
      </c>
      <c r="B117" t="s">
        <v>120</v>
      </c>
      <c r="C117" t="s">
        <v>309</v>
      </c>
      <c r="D117" t="s">
        <v>325</v>
      </c>
      <c r="E117" s="215">
        <v>-120627</v>
      </c>
      <c r="F117" s="215">
        <v>-59690</v>
      </c>
      <c r="G117" s="215">
        <v>-59690</v>
      </c>
      <c r="H117" s="215">
        <v>-59690</v>
      </c>
      <c r="I117" s="215"/>
      <c r="J117" t="s">
        <v>325</v>
      </c>
      <c r="K117" s="215" t="e">
        <f>Recap!#REF!</f>
        <v>#REF!</v>
      </c>
      <c r="L117" s="215">
        <f>Recap!E119</f>
        <v>-62180</v>
      </c>
      <c r="M117" s="215">
        <f>Recap!F119</f>
        <v>-62180</v>
      </c>
      <c r="N117" s="215">
        <f>Recap!G119</f>
        <v>-62180</v>
      </c>
      <c r="P117" s="215" t="e">
        <f t="shared" si="11"/>
        <v>#REF!</v>
      </c>
      <c r="Q117" s="215">
        <f t="shared" si="12"/>
        <v>-2490</v>
      </c>
      <c r="R117" s="215">
        <f t="shared" si="13"/>
        <v>-2490</v>
      </c>
      <c r="S117" s="215">
        <f t="shared" si="14"/>
        <v>-2490</v>
      </c>
      <c r="T117" s="215"/>
    </row>
    <row r="118" spans="1:25" x14ac:dyDescent="0.3">
      <c r="A118" t="s">
        <v>310</v>
      </c>
      <c r="B118" t="s">
        <v>121</v>
      </c>
      <c r="C118" t="s">
        <v>311</v>
      </c>
      <c r="D118" t="s">
        <v>325</v>
      </c>
      <c r="E118" s="215">
        <v>-2951320.5229999996</v>
      </c>
      <c r="F118" s="215">
        <v>-3048592.6453112992</v>
      </c>
      <c r="G118" s="215">
        <v>-3149075.5002711029</v>
      </c>
      <c r="H118" s="215">
        <v>-3252874.601830076</v>
      </c>
      <c r="I118" s="215"/>
      <c r="J118" t="s">
        <v>325</v>
      </c>
      <c r="K118" s="215" t="e">
        <f>Recap!#REF!</f>
        <v>#REF!</v>
      </c>
      <c r="L118" s="215">
        <f>Recap!E120</f>
        <v>-3063140.2934013894</v>
      </c>
      <c r="M118" s="215">
        <f>Recap!F120</f>
        <v>-3161192.1645783759</v>
      </c>
      <c r="N118" s="215">
        <f>Recap!G120</f>
        <v>-3262400.1838562791</v>
      </c>
      <c r="P118" s="215" t="e">
        <f t="shared" si="11"/>
        <v>#REF!</v>
      </c>
      <c r="Q118" s="215">
        <f t="shared" si="12"/>
        <v>-14547.648090090137</v>
      </c>
      <c r="R118" s="215">
        <f t="shared" si="13"/>
        <v>-12116.664307272993</v>
      </c>
      <c r="S118" s="215">
        <f t="shared" si="14"/>
        <v>-9525.582026203163</v>
      </c>
      <c r="T118" s="215"/>
    </row>
    <row r="119" spans="1:25" x14ac:dyDescent="0.3">
      <c r="A119" t="s">
        <v>312</v>
      </c>
      <c r="B119" t="s">
        <v>122</v>
      </c>
      <c r="C119" t="s">
        <v>313</v>
      </c>
      <c r="D119" t="s">
        <v>325</v>
      </c>
      <c r="E119" s="215">
        <v>-5909281</v>
      </c>
      <c r="F119" s="215">
        <v>-6101480.2000000002</v>
      </c>
      <c r="G119" s="215">
        <v>-6301386.1999999993</v>
      </c>
      <c r="H119" s="215">
        <v>-6510521.7999999998</v>
      </c>
      <c r="I119" s="215"/>
      <c r="J119" t="s">
        <v>325</v>
      </c>
      <c r="K119" s="215" t="e">
        <f>Recap!#REF!</f>
        <v>#REF!</v>
      </c>
      <c r="L119" s="215">
        <f>Recap!E121</f>
        <v>-6279202.75</v>
      </c>
      <c r="M119" s="215">
        <f>Recap!F121</f>
        <v>-6412730.4000000004</v>
      </c>
      <c r="N119" s="215">
        <f>Recap!G121</f>
        <v>-6567935.4000000004</v>
      </c>
      <c r="P119" s="215" t="e">
        <f t="shared" si="11"/>
        <v>#REF!</v>
      </c>
      <c r="Q119" s="215">
        <f t="shared" si="12"/>
        <v>-177722.54999999981</v>
      </c>
      <c r="R119" s="215">
        <f t="shared" si="13"/>
        <v>-111344.20000000112</v>
      </c>
      <c r="S119" s="215">
        <f t="shared" si="14"/>
        <v>-57413.600000000559</v>
      </c>
      <c r="T119" s="215"/>
    </row>
    <row r="120" spans="1:25" x14ac:dyDescent="0.3">
      <c r="A120" t="s">
        <v>314</v>
      </c>
      <c r="B120" t="s">
        <v>123</v>
      </c>
      <c r="C120" t="s">
        <v>315</v>
      </c>
      <c r="D120" t="s">
        <v>325</v>
      </c>
      <c r="E120" s="215">
        <v>-415205</v>
      </c>
      <c r="F120" s="215">
        <v>-416730</v>
      </c>
      <c r="G120" s="215">
        <v>-418362</v>
      </c>
      <c r="H120" s="215">
        <v>-365001</v>
      </c>
      <c r="I120" s="215"/>
      <c r="J120" t="s">
        <v>325</v>
      </c>
      <c r="K120" s="215" t="e">
        <f>Recap!#REF!</f>
        <v>#REF!</v>
      </c>
      <c r="L120" s="215">
        <f>Recap!E122</f>
        <v>-689772</v>
      </c>
      <c r="M120" s="215">
        <f>Recap!F122</f>
        <v>-1418376</v>
      </c>
      <c r="N120" s="215">
        <f>Recap!G122</f>
        <v>-1365016</v>
      </c>
      <c r="P120" s="215" t="e">
        <f t="shared" si="11"/>
        <v>#REF!</v>
      </c>
      <c r="Q120" s="215">
        <f t="shared" si="12"/>
        <v>-273042</v>
      </c>
      <c r="R120" s="215">
        <f t="shared" si="13"/>
        <v>-1000014</v>
      </c>
      <c r="S120" s="215">
        <f t="shared" si="14"/>
        <v>-1000015</v>
      </c>
      <c r="T120" s="215"/>
    </row>
    <row r="121" spans="1:25" x14ac:dyDescent="0.3">
      <c r="A121" t="s">
        <v>316</v>
      </c>
      <c r="B121" t="s">
        <v>125</v>
      </c>
      <c r="C121" t="s">
        <v>317</v>
      </c>
      <c r="D121" t="s">
        <v>325</v>
      </c>
      <c r="E121" s="215">
        <v>-4067</v>
      </c>
      <c r="F121" s="215">
        <v>-4067</v>
      </c>
      <c r="G121" s="215">
        <v>-4067</v>
      </c>
      <c r="H121" s="215">
        <v>-4063</v>
      </c>
      <c r="I121" s="215"/>
      <c r="J121" t="s">
        <v>325</v>
      </c>
      <c r="K121" s="215" t="e">
        <f>Recap!#REF!</f>
        <v>#REF!</v>
      </c>
      <c r="L121" s="215">
        <f>Recap!E123</f>
        <v>-4067</v>
      </c>
      <c r="M121" s="215">
        <f>Recap!F123</f>
        <v>-4067</v>
      </c>
      <c r="N121" s="215">
        <f>Recap!G123</f>
        <v>-4063</v>
      </c>
      <c r="P121" s="215" t="e">
        <f t="shared" si="11"/>
        <v>#REF!</v>
      </c>
      <c r="Q121" s="215">
        <f t="shared" si="12"/>
        <v>0</v>
      </c>
      <c r="R121" s="215">
        <f t="shared" si="13"/>
        <v>0</v>
      </c>
      <c r="S121" s="215">
        <f t="shared" si="14"/>
        <v>0</v>
      </c>
      <c r="T121" s="215"/>
    </row>
    <row r="122" spans="1:25" x14ac:dyDescent="0.3">
      <c r="A122" t="s">
        <v>318</v>
      </c>
      <c r="B122" t="s">
        <v>126</v>
      </c>
      <c r="C122" t="s">
        <v>319</v>
      </c>
      <c r="D122" t="s">
        <v>325</v>
      </c>
      <c r="E122" s="215">
        <v>-366506</v>
      </c>
      <c r="F122" s="215">
        <v>-381566</v>
      </c>
      <c r="G122" s="215">
        <v>-397252</v>
      </c>
      <c r="H122" s="215">
        <v>-413588</v>
      </c>
      <c r="I122" s="215"/>
      <c r="J122" t="s">
        <v>325</v>
      </c>
      <c r="K122" s="215" t="e">
        <f>Recap!#REF!</f>
        <v>#REF!</v>
      </c>
      <c r="L122" s="215">
        <f>Recap!E124</f>
        <v>-3315961.67</v>
      </c>
      <c r="M122" s="215">
        <f>Recap!F124</f>
        <v>-501159</v>
      </c>
      <c r="N122" s="215">
        <f>Recap!G124</f>
        <v>-517284</v>
      </c>
      <c r="P122" s="215" t="e">
        <f t="shared" si="11"/>
        <v>#REF!</v>
      </c>
      <c r="Q122" s="215">
        <f t="shared" si="12"/>
        <v>-2934395.67</v>
      </c>
      <c r="R122" s="215">
        <f t="shared" si="13"/>
        <v>-103907</v>
      </c>
      <c r="S122" s="215">
        <f t="shared" si="14"/>
        <v>-103696</v>
      </c>
      <c r="T122" s="215"/>
      <c r="U122" s="218" t="s">
        <v>327</v>
      </c>
      <c r="V122" s="216">
        <f>-133432-1416143</f>
        <v>-1549575</v>
      </c>
      <c r="W122" s="216">
        <f>-58432-1416143</f>
        <v>-1474575</v>
      </c>
      <c r="X122" s="216">
        <v>-58432</v>
      </c>
      <c r="Y122" s="216">
        <v>-58432</v>
      </c>
    </row>
    <row r="123" spans="1:25" x14ac:dyDescent="0.3">
      <c r="A123" s="93" t="s">
        <v>59</v>
      </c>
      <c r="B123" t="s">
        <v>128</v>
      </c>
      <c r="C123" t="s">
        <v>321</v>
      </c>
      <c r="D123" t="s">
        <v>325</v>
      </c>
      <c r="E123" s="215">
        <v>-13678800.999999998</v>
      </c>
      <c r="F123" s="215">
        <v>-11527784</v>
      </c>
      <c r="G123" s="215">
        <v>-11904190</v>
      </c>
      <c r="H123" s="215">
        <v>-2810819</v>
      </c>
      <c r="I123" s="215"/>
      <c r="J123" t="s">
        <v>325</v>
      </c>
      <c r="K123" s="215" t="e">
        <f>Recap!#REF!</f>
        <v>#REF!</v>
      </c>
      <c r="L123" s="215">
        <f>Recap!E125</f>
        <v>-12790821</v>
      </c>
      <c r="M123" s="215">
        <f>Recap!F125</f>
        <v>-14669298</v>
      </c>
      <c r="N123" s="215">
        <f>Recap!G125</f>
        <v>-9307264</v>
      </c>
      <c r="P123" s="215" t="e">
        <f t="shared" si="11"/>
        <v>#REF!</v>
      </c>
      <c r="Q123" s="215">
        <f t="shared" si="12"/>
        <v>-1263037</v>
      </c>
      <c r="R123" s="215">
        <f t="shared" si="13"/>
        <v>-2765108</v>
      </c>
      <c r="S123" s="215">
        <f t="shared" si="14"/>
        <v>-6496445</v>
      </c>
      <c r="T123" s="215"/>
    </row>
    <row r="124" spans="1:25" x14ac:dyDescent="0.3">
      <c r="A124" t="s">
        <v>322</v>
      </c>
      <c r="B124" t="s">
        <v>129</v>
      </c>
      <c r="C124" t="s">
        <v>323</v>
      </c>
      <c r="D124" t="s">
        <v>325</v>
      </c>
      <c r="E124" s="215">
        <v>-1190558</v>
      </c>
      <c r="F124" s="215">
        <v>-1191720</v>
      </c>
      <c r="G124" s="215">
        <v>-1192909</v>
      </c>
      <c r="H124" s="215">
        <v>-1194125</v>
      </c>
      <c r="I124" s="215"/>
      <c r="J124" t="s">
        <v>325</v>
      </c>
      <c r="K124" s="215" t="e">
        <f>Recap!#REF!</f>
        <v>#REF!</v>
      </c>
      <c r="L124" s="215">
        <f>Recap!E126</f>
        <v>-906872</v>
      </c>
      <c r="M124" s="215">
        <f>Recap!F126</f>
        <v>-907961</v>
      </c>
      <c r="N124" s="215">
        <f>Recap!G126</f>
        <v>-909179</v>
      </c>
      <c r="P124" s="215" t="e">
        <f t="shared" si="11"/>
        <v>#REF!</v>
      </c>
      <c r="Q124" s="215">
        <f t="shared" si="12"/>
        <v>284848</v>
      </c>
      <c r="R124" s="215">
        <f t="shared" si="13"/>
        <v>284948</v>
      </c>
      <c r="S124" s="215">
        <f t="shared" si="14"/>
        <v>284946</v>
      </c>
      <c r="T124" s="215"/>
    </row>
    <row r="126" spans="1:25" x14ac:dyDescent="0.3">
      <c r="B126" t="s">
        <v>328</v>
      </c>
      <c r="D126" s="97" t="s">
        <v>325</v>
      </c>
      <c r="E126" s="108">
        <v>-108210439.94592336</v>
      </c>
      <c r="F126" s="108">
        <v>-106007570.17483164</v>
      </c>
      <c r="G126" s="108">
        <v>-109277385.73046264</v>
      </c>
      <c r="H126" s="108">
        <v>-103131579.91174607</v>
      </c>
      <c r="I126" s="108"/>
      <c r="J126" s="97" t="s">
        <v>325</v>
      </c>
      <c r="K126" s="108" t="e">
        <f>SUM(K68:K125)</f>
        <v>#REF!</v>
      </c>
      <c r="L126" s="108" t="e">
        <f t="shared" ref="L126:N126" si="15">SUM(L68:L125)</f>
        <v>#REF!</v>
      </c>
      <c r="M126" s="108" t="e">
        <f t="shared" si="15"/>
        <v>#REF!</v>
      </c>
      <c r="N126" s="108" t="e">
        <f t="shared" si="15"/>
        <v>#REF!</v>
      </c>
      <c r="P126" s="108" t="e">
        <f t="shared" ref="P126" si="16">SUM(P68:P125)</f>
        <v>#REF!</v>
      </c>
      <c r="Q126" s="108" t="e">
        <f t="shared" ref="Q126" si="17">SUM(Q68:Q125)</f>
        <v>#REF!</v>
      </c>
      <c r="R126" s="108" t="e">
        <f t="shared" ref="R126" si="18">SUM(R68:R125)</f>
        <v>#REF!</v>
      </c>
      <c r="S126" s="108" t="e">
        <f t="shared" ref="S126" si="19">SUM(S68:S125)</f>
        <v>#REF!</v>
      </c>
      <c r="T126" s="108"/>
      <c r="V126" s="108">
        <f>SUM(V68:V125)</f>
        <v>-1819217</v>
      </c>
      <c r="W126" s="108">
        <f t="shared" ref="W126:Y126" si="20">SUM(W68:W125)</f>
        <v>-2670833</v>
      </c>
      <c r="X126" s="108">
        <f t="shared" si="20"/>
        <v>-1454879</v>
      </c>
      <c r="Y126" s="108">
        <f t="shared" si="20"/>
        <v>-1577761</v>
      </c>
    </row>
    <row r="128" spans="1:25" x14ac:dyDescent="0.3">
      <c r="A128" s="97" t="s">
        <v>329</v>
      </c>
      <c r="E128" s="215">
        <f>E65+E126</f>
        <v>-1121542.2370727956</v>
      </c>
      <c r="F128" s="215">
        <f t="shared" ref="F128:H128" si="21">F65+F126</f>
        <v>491758.21619844437</v>
      </c>
      <c r="G128" s="215">
        <f t="shared" si="21"/>
        <v>57766.15830296278</v>
      </c>
      <c r="H128" s="215">
        <f t="shared" si="21"/>
        <v>218221.31381937861</v>
      </c>
      <c r="I128" s="215"/>
      <c r="K128" s="215" t="e">
        <f t="shared" ref="K128:N128" si="22">K65+K126</f>
        <v>#REF!</v>
      </c>
      <c r="L128" s="215" t="e">
        <f t="shared" si="22"/>
        <v>#REF!</v>
      </c>
      <c r="M128" s="215" t="e">
        <f t="shared" si="22"/>
        <v>#REF!</v>
      </c>
      <c r="N128" s="215" t="e">
        <f t="shared" si="22"/>
        <v>#REF!</v>
      </c>
      <c r="T128" s="215"/>
    </row>
    <row r="130" spans="1:25" x14ac:dyDescent="0.3">
      <c r="L130" s="97" t="s">
        <v>330</v>
      </c>
      <c r="P130" s="108" t="e">
        <f>K128-E128</f>
        <v>#REF!</v>
      </c>
      <c r="Q130" s="108" t="e">
        <f>L128-F128</f>
        <v>#REF!</v>
      </c>
      <c r="R130" s="108" t="e">
        <f>M128-G128</f>
        <v>#REF!</v>
      </c>
      <c r="S130" s="108" t="e">
        <f>N128-H128</f>
        <v>#REF!</v>
      </c>
    </row>
    <row r="131" spans="1:25" x14ac:dyDescent="0.3">
      <c r="A131" s="97" t="s">
        <v>331</v>
      </c>
      <c r="L131" s="97" t="s">
        <v>332</v>
      </c>
      <c r="P131" s="108" t="e">
        <f>P65+P126</f>
        <v>#REF!</v>
      </c>
      <c r="Q131" s="108" t="e">
        <f>Q65+Q126</f>
        <v>#REF!</v>
      </c>
      <c r="R131" s="108" t="e">
        <f>R65+R126</f>
        <v>#REF!</v>
      </c>
      <c r="S131" s="108" t="e">
        <f>S65+S126</f>
        <v>#REF!</v>
      </c>
    </row>
    <row r="133" spans="1:25" x14ac:dyDescent="0.3">
      <c r="L133" s="97" t="s">
        <v>333</v>
      </c>
      <c r="M133" s="97"/>
      <c r="N133" s="97"/>
      <c r="V133" s="108">
        <f>V65+V126</f>
        <v>428181</v>
      </c>
      <c r="W133" s="108">
        <f>W65+W126</f>
        <v>-137139</v>
      </c>
      <c r="X133" s="108">
        <f>X65+X126</f>
        <v>-169510</v>
      </c>
      <c r="Y133" s="108">
        <f>Y65+Y126</f>
        <v>-116062</v>
      </c>
    </row>
    <row r="135" spans="1:25" ht="15" thickBot="1" x14ac:dyDescent="0.35"/>
    <row r="136" spans="1:25" ht="15" thickBot="1" x14ac:dyDescent="0.35">
      <c r="V136" s="222" t="e">
        <f>IF(P130-V133&lt;=25,"ok","fout")</f>
        <v>#REF!</v>
      </c>
      <c r="W136" s="223" t="e">
        <f>IF(Q130-W133&lt;=25,"ok")</f>
        <v>#REF!</v>
      </c>
      <c r="X136" s="223" t="e">
        <f>IF(R130-X133&lt;=25,"ok")</f>
        <v>#REF!</v>
      </c>
      <c r="Y136" s="224" t="e">
        <f>IF(S130-Y133&lt;=25,"ok")</f>
        <v>#REF!</v>
      </c>
    </row>
  </sheetData>
  <conditionalFormatting sqref="V136:Y136">
    <cfRule type="cellIs" dxfId="0" priority="1" operator="equal">
      <formula>"ok"</formula>
    </cfRule>
  </conditionalFormatting>
  <hyperlinks>
    <hyperlink ref="A123" location="'T82'!Afdrukbereik" display="T82 grondexploitaties 2025 aangepast MPG.xlsx" xr:uid="{05335FD9-0273-4C11-8307-4C8D04CEEA7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C0B1-7CEA-4F07-998C-51A03C358E03}">
  <sheetPr codeName="Blad42"/>
  <dimension ref="A1:AC612"/>
  <sheetViews>
    <sheetView zoomScaleNormal="100" workbookViewId="0">
      <pane ySplit="2" topLeftCell="A3" activePane="bottomLeft" state="frozen"/>
      <selection pane="bottomLeft" activeCell="A23" sqref="A23"/>
    </sheetView>
  </sheetViews>
  <sheetFormatPr defaultRowHeight="14.4" x14ac:dyDescent="0.3"/>
  <cols>
    <col min="1" max="1" width="52.109375" style="111" bestFit="1" customWidth="1"/>
    <col min="2" max="2" width="18.109375" hidden="1" customWidth="1"/>
    <col min="3" max="3" width="44.88671875" hidden="1" customWidth="1"/>
    <col min="4" max="4" width="9.109375" style="16"/>
    <col min="5" max="17" width="16.5546875" style="103" customWidth="1"/>
    <col min="18" max="18" width="48" style="107" customWidth="1"/>
    <col min="19" max="22" width="14.88671875" style="107" customWidth="1"/>
    <col min="23" max="23" width="4" customWidth="1"/>
    <col min="24" max="27" width="16" customWidth="1"/>
    <col min="29" max="29" width="10.5546875" bestFit="1" customWidth="1"/>
  </cols>
  <sheetData>
    <row r="1" spans="1:27" x14ac:dyDescent="0.3">
      <c r="A1" s="2499" t="s">
        <v>5303</v>
      </c>
      <c r="B1" s="2499"/>
      <c r="C1" s="2499"/>
      <c r="D1" s="2499"/>
      <c r="E1" s="2499"/>
      <c r="F1" s="2499"/>
      <c r="G1" s="2499"/>
      <c r="H1" s="2499"/>
      <c r="I1" s="2499"/>
      <c r="J1" s="2499" t="s">
        <v>5302</v>
      </c>
      <c r="K1" s="2499"/>
      <c r="L1" s="2499"/>
      <c r="M1" s="2499"/>
      <c r="N1" s="2499"/>
      <c r="O1" s="2499"/>
      <c r="P1" s="2499"/>
      <c r="Q1" s="101"/>
      <c r="R1" s="2500" t="s">
        <v>334</v>
      </c>
      <c r="S1" s="2500"/>
      <c r="T1" s="2500"/>
      <c r="U1" s="2500"/>
      <c r="V1" s="2500"/>
      <c r="X1" s="2499" t="s">
        <v>5300</v>
      </c>
      <c r="Y1" s="2499"/>
      <c r="Z1" s="2499"/>
      <c r="AA1" s="2499"/>
    </row>
    <row r="2" spans="1:27" x14ac:dyDescent="0.3">
      <c r="A2" s="97" t="s">
        <v>66</v>
      </c>
      <c r="C2" s="97" t="s">
        <v>206</v>
      </c>
      <c r="D2" s="101"/>
      <c r="E2" s="102">
        <v>2026</v>
      </c>
      <c r="F2" s="102">
        <v>2027</v>
      </c>
      <c r="G2" s="102">
        <v>2028</v>
      </c>
      <c r="H2" s="102">
        <v>2029</v>
      </c>
      <c r="I2" s="102">
        <v>2030</v>
      </c>
      <c r="J2" s="102">
        <v>2026</v>
      </c>
      <c r="K2" s="102" t="s">
        <v>5304</v>
      </c>
      <c r="L2" s="102">
        <v>2027</v>
      </c>
      <c r="M2" s="102" t="s">
        <v>5305</v>
      </c>
      <c r="N2" s="102">
        <v>2028</v>
      </c>
      <c r="O2" s="102" t="s">
        <v>184</v>
      </c>
      <c r="P2" s="102">
        <v>2029</v>
      </c>
      <c r="Q2" s="102" t="s">
        <v>5306</v>
      </c>
      <c r="R2" s="97" t="s">
        <v>66</v>
      </c>
      <c r="S2" s="2148" t="s">
        <v>336</v>
      </c>
      <c r="T2" s="2148" t="s">
        <v>337</v>
      </c>
      <c r="U2" s="2148" t="s">
        <v>5296</v>
      </c>
      <c r="V2" s="2148" t="s">
        <v>5297</v>
      </c>
      <c r="W2" s="2148"/>
      <c r="X2" s="2148" t="s">
        <v>336</v>
      </c>
      <c r="Y2" s="2148" t="s">
        <v>337</v>
      </c>
      <c r="Z2" s="2148" t="s">
        <v>5296</v>
      </c>
      <c r="AA2" s="2148" t="s">
        <v>5297</v>
      </c>
    </row>
    <row r="3" spans="1:27" x14ac:dyDescent="0.3">
      <c r="A3" s="110" t="s">
        <v>207</v>
      </c>
      <c r="B3" t="s">
        <v>68</v>
      </c>
      <c r="C3" t="s">
        <v>208</v>
      </c>
      <c r="D3" s="16" t="s">
        <v>209</v>
      </c>
      <c r="E3" s="23">
        <f>'T01'!K59</f>
        <v>4096256.5975600001</v>
      </c>
      <c r="F3" s="23">
        <f>'T01'!L59</f>
        <v>3519006.0427987599</v>
      </c>
      <c r="G3" s="23">
        <f>'T01'!M59</f>
        <v>3429319.8277831315</v>
      </c>
      <c r="H3" s="23">
        <f>'T01'!N59</f>
        <v>3483441.5603821436</v>
      </c>
      <c r="I3" s="23">
        <f>'T01'!O59</f>
        <v>3375675.1764169326</v>
      </c>
      <c r="J3" s="23">
        <v>3623256.5975600001</v>
      </c>
      <c r="K3" s="23">
        <f>J3-E3</f>
        <v>-473000</v>
      </c>
      <c r="L3" s="23">
        <v>3527749.6882863203</v>
      </c>
      <c r="M3" s="23">
        <f>L3-F3</f>
        <v>8743.645487560425</v>
      </c>
      <c r="N3" s="23">
        <v>3455653.157428619</v>
      </c>
      <c r="O3" s="23">
        <f>N3-G3</f>
        <v>26333.32964548748</v>
      </c>
      <c r="P3" s="23">
        <v>3530153.8936920487</v>
      </c>
      <c r="Q3" s="23">
        <f>P3-H3</f>
        <v>46712.333309905138</v>
      </c>
      <c r="R3" s="198" t="s">
        <v>339</v>
      </c>
      <c r="S3" s="198">
        <v>3773257</v>
      </c>
      <c r="T3" s="198">
        <v>3527750</v>
      </c>
      <c r="U3" s="198">
        <v>3455654</v>
      </c>
      <c r="V3" s="198">
        <v>3530154</v>
      </c>
      <c r="X3" s="2154">
        <f t="shared" ref="X3:X34" si="0">S3-E3</f>
        <v>-322999.59756000014</v>
      </c>
      <c r="Y3" s="2154">
        <f t="shared" ref="Y3:Y34" si="1">T3-F3</f>
        <v>8743.9572012401186</v>
      </c>
      <c r="Z3" s="2154">
        <f t="shared" ref="Z3:Z34" si="2">U3-G3</f>
        <v>26334.172216868494</v>
      </c>
      <c r="AA3" s="2154">
        <f t="shared" ref="AA3:AA34" si="3">V3-H3</f>
        <v>46712.439617856406</v>
      </c>
    </row>
    <row r="4" spans="1:27" x14ac:dyDescent="0.3">
      <c r="A4" s="109" t="s">
        <v>212</v>
      </c>
      <c r="B4" t="s">
        <v>69</v>
      </c>
      <c r="C4" t="s">
        <v>213</v>
      </c>
      <c r="D4" s="16" t="s">
        <v>209</v>
      </c>
      <c r="E4" s="23">
        <f>'T02'!K41</f>
        <v>1279045.2799999998</v>
      </c>
      <c r="F4" s="23">
        <f>'T02'!L41</f>
        <v>1306068.915</v>
      </c>
      <c r="G4" s="23">
        <f>'T02'!M41</f>
        <v>1349138.755045</v>
      </c>
      <c r="H4" s="23">
        <f>'T02'!N41</f>
        <v>1393851.167911035</v>
      </c>
      <c r="I4" s="23">
        <f>'T02'!O41</f>
        <v>1439152.7357729888</v>
      </c>
      <c r="J4" s="23">
        <v>1279045.2799999998</v>
      </c>
      <c r="K4" s="23">
        <f t="shared" ref="K4:K61" si="4">J4-E4</f>
        <v>0</v>
      </c>
      <c r="L4" s="23">
        <v>1310633.53</v>
      </c>
      <c r="M4" s="23">
        <f t="shared" ref="M4:M61" si="5">L4-F4</f>
        <v>4564.6149999999907</v>
      </c>
      <c r="N4" s="23">
        <v>1360649.2616600001</v>
      </c>
      <c r="O4" s="23">
        <f t="shared" ref="O4:O61" si="6">N4-G4</f>
        <v>11510.506615000078</v>
      </c>
      <c r="P4" s="23">
        <v>1413091.2654165199</v>
      </c>
      <c r="Q4" s="23">
        <f t="shared" ref="Q4:Q61" si="7">P4-H4</f>
        <v>19240.09750548494</v>
      </c>
      <c r="R4" s="107" t="s">
        <v>340</v>
      </c>
      <c r="S4" s="107">
        <v>1279045</v>
      </c>
      <c r="T4" s="107">
        <v>1310634</v>
      </c>
      <c r="U4" s="107">
        <v>1360649</v>
      </c>
      <c r="V4" s="107">
        <v>1413091</v>
      </c>
      <c r="X4" s="105">
        <f t="shared" si="0"/>
        <v>-0.27999999979510903</v>
      </c>
      <c r="Y4" s="105">
        <f t="shared" si="1"/>
        <v>4565.0849999999627</v>
      </c>
      <c r="Z4" s="105">
        <f t="shared" si="2"/>
        <v>11510.244955000002</v>
      </c>
      <c r="AA4" s="105">
        <f t="shared" si="3"/>
        <v>19239.832088964991</v>
      </c>
    </row>
    <row r="5" spans="1:27" x14ac:dyDescent="0.3">
      <c r="A5" s="109" t="s">
        <v>214</v>
      </c>
      <c r="B5" t="s">
        <v>70</v>
      </c>
      <c r="C5" t="s">
        <v>215</v>
      </c>
      <c r="D5" s="16" t="s">
        <v>209</v>
      </c>
      <c r="E5" s="23">
        <f>'T03'!K47</f>
        <v>653245.51522507484</v>
      </c>
      <c r="F5" s="23">
        <f>'T03'!L47</f>
        <v>339365.95343840262</v>
      </c>
      <c r="G5" s="23">
        <f>'T03'!M47</f>
        <v>348755.73371562356</v>
      </c>
      <c r="H5" s="23">
        <f>'T03'!N47</f>
        <v>358458.63086310163</v>
      </c>
      <c r="I5" s="23">
        <f>'T03'!O47</f>
        <v>349646</v>
      </c>
      <c r="J5" s="23">
        <v>341264.51522507484</v>
      </c>
      <c r="K5" s="23">
        <f t="shared" si="4"/>
        <v>-311981</v>
      </c>
      <c r="L5" s="23">
        <v>340102.95343840262</v>
      </c>
      <c r="M5" s="23">
        <f t="shared" si="5"/>
        <v>737</v>
      </c>
      <c r="N5" s="23">
        <v>350926.73371562356</v>
      </c>
      <c r="O5" s="23">
        <f t="shared" si="6"/>
        <v>2171</v>
      </c>
      <c r="P5" s="23">
        <v>362180.63086310163</v>
      </c>
      <c r="Q5" s="23">
        <f t="shared" si="7"/>
        <v>3722</v>
      </c>
      <c r="R5" s="107" t="s">
        <v>341</v>
      </c>
      <c r="S5" s="107">
        <v>516264</v>
      </c>
      <c r="T5" s="107">
        <v>340103</v>
      </c>
      <c r="U5" s="107">
        <v>350927</v>
      </c>
      <c r="V5" s="107">
        <v>362181</v>
      </c>
      <c r="X5" s="105">
        <f t="shared" si="0"/>
        <v>-136981.51522507484</v>
      </c>
      <c r="Y5" s="105">
        <f t="shared" si="1"/>
        <v>737.04656159738079</v>
      </c>
      <c r="Z5" s="105">
        <f t="shared" si="2"/>
        <v>2171.266284376441</v>
      </c>
      <c r="AA5" s="105">
        <f t="shared" si="3"/>
        <v>3722.3691368983709</v>
      </c>
    </row>
    <row r="6" spans="1:27" x14ac:dyDescent="0.3">
      <c r="A6" s="109" t="s">
        <v>216</v>
      </c>
      <c r="B6" t="s">
        <v>71</v>
      </c>
      <c r="C6" t="s">
        <v>217</v>
      </c>
      <c r="D6" s="16" t="s">
        <v>209</v>
      </c>
      <c r="E6" s="23">
        <f>T04B!K53</f>
        <v>3325272.5614285553</v>
      </c>
      <c r="F6" s="23">
        <f>T04B!L53</f>
        <v>3607658.3379719453</v>
      </c>
      <c r="G6" s="23">
        <f>T04B!M53</f>
        <v>3180175.7845445643</v>
      </c>
      <c r="H6" s="23">
        <f>T04B!N53</f>
        <v>3219679.7963751052</v>
      </c>
      <c r="I6" s="23">
        <f>T04B!O53</f>
        <v>2851594.3032239173</v>
      </c>
      <c r="J6" s="23">
        <v>3325272.5614285553</v>
      </c>
      <c r="K6" s="23">
        <f t="shared" si="4"/>
        <v>0</v>
      </c>
      <c r="L6" s="23">
        <v>3610113.1768601015</v>
      </c>
      <c r="M6" s="23">
        <f t="shared" si="5"/>
        <v>2454.8388881562278</v>
      </c>
      <c r="N6" s="23">
        <v>3180589.5295075555</v>
      </c>
      <c r="O6" s="23">
        <f t="shared" si="6"/>
        <v>413.74496299121529</v>
      </c>
      <c r="P6" s="23">
        <v>3217938.8803462107</v>
      </c>
      <c r="Q6" s="23">
        <f t="shared" si="7"/>
        <v>-1740.916028894484</v>
      </c>
      <c r="X6" s="105">
        <f t="shared" si="0"/>
        <v>-3325272.5614285553</v>
      </c>
      <c r="Y6" s="105">
        <f t="shared" si="1"/>
        <v>-3607658.3379719453</v>
      </c>
      <c r="Z6" s="105">
        <f t="shared" si="2"/>
        <v>-3180175.7845445643</v>
      </c>
      <c r="AA6" s="105">
        <f t="shared" si="3"/>
        <v>-3219679.7963751052</v>
      </c>
    </row>
    <row r="7" spans="1:27" x14ac:dyDescent="0.3">
      <c r="A7" s="109" t="s">
        <v>218</v>
      </c>
      <c r="B7" t="s">
        <v>72</v>
      </c>
      <c r="C7" t="s">
        <v>219</v>
      </c>
      <c r="D7" s="16" t="s">
        <v>209</v>
      </c>
      <c r="E7" s="23">
        <f>T04L!K52</f>
        <v>11367750.557775777</v>
      </c>
      <c r="F7" s="2301">
        <f>T04L!L52</f>
        <v>11709324.560554275</v>
      </c>
      <c r="G7" s="23">
        <f>T04L!M52</f>
        <v>12465644.016871301</v>
      </c>
      <c r="H7" s="23">
        <f>T04L!N52</f>
        <v>12994585.582896709</v>
      </c>
      <c r="I7" s="23">
        <f>T04L!O52</f>
        <v>13679958.688874062</v>
      </c>
      <c r="J7" s="23">
        <v>11509750.557775777</v>
      </c>
      <c r="K7" s="23">
        <f t="shared" si="4"/>
        <v>142000</v>
      </c>
      <c r="L7" s="23">
        <v>12108487.01847475</v>
      </c>
      <c r="M7" s="23">
        <f t="shared" si="5"/>
        <v>399162.45792047493</v>
      </c>
      <c r="N7" s="23">
        <v>12596822.152509715</v>
      </c>
      <c r="O7" s="23">
        <f t="shared" si="6"/>
        <v>131178.13563841395</v>
      </c>
      <c r="P7" s="23">
        <v>13225641.34808524</v>
      </c>
      <c r="Q7" s="23">
        <f t="shared" si="7"/>
        <v>231055.76518853009</v>
      </c>
      <c r="R7" s="107" t="s">
        <v>342</v>
      </c>
      <c r="S7">
        <v>14936461</v>
      </c>
      <c r="T7">
        <v>15479335</v>
      </c>
      <c r="U7">
        <v>15612493</v>
      </c>
      <c r="V7">
        <v>16278708</v>
      </c>
      <c r="X7" s="105">
        <f t="shared" si="0"/>
        <v>3568710.4422242232</v>
      </c>
      <c r="Y7" s="105">
        <f t="shared" si="1"/>
        <v>3770010.4394457247</v>
      </c>
      <c r="Z7" s="105">
        <f t="shared" si="2"/>
        <v>3146848.9831286985</v>
      </c>
      <c r="AA7" s="105">
        <f t="shared" si="3"/>
        <v>3284122.4171032906</v>
      </c>
    </row>
    <row r="8" spans="1:27" x14ac:dyDescent="0.3">
      <c r="A8" s="109" t="s">
        <v>220</v>
      </c>
      <c r="B8" t="s">
        <v>73</v>
      </c>
      <c r="C8" t="s">
        <v>221</v>
      </c>
      <c r="D8" s="16" t="s">
        <v>209</v>
      </c>
      <c r="E8" s="23">
        <f>T04W!K41</f>
        <v>0</v>
      </c>
      <c r="F8" s="23">
        <f>T04W!L41</f>
        <v>0</v>
      </c>
      <c r="G8" s="23">
        <f>T04W!M41</f>
        <v>0</v>
      </c>
      <c r="H8" s="23">
        <f>T04W!N41</f>
        <v>0</v>
      </c>
      <c r="I8" s="23">
        <f>T04W!O41</f>
        <v>0</v>
      </c>
      <c r="J8" s="23">
        <v>0</v>
      </c>
      <c r="K8" s="23">
        <f t="shared" si="4"/>
        <v>0</v>
      </c>
      <c r="L8" s="23">
        <v>0</v>
      </c>
      <c r="M8" s="23">
        <f t="shared" si="5"/>
        <v>0</v>
      </c>
      <c r="N8" s="23">
        <v>0</v>
      </c>
      <c r="O8" s="23">
        <f t="shared" si="6"/>
        <v>0</v>
      </c>
      <c r="P8" s="23">
        <v>0</v>
      </c>
      <c r="Q8" s="23">
        <f t="shared" si="7"/>
        <v>0</v>
      </c>
      <c r="X8" s="105">
        <f t="shared" si="0"/>
        <v>0</v>
      </c>
      <c r="Y8" s="105">
        <f t="shared" si="1"/>
        <v>0</v>
      </c>
      <c r="Z8" s="105">
        <f t="shared" si="2"/>
        <v>0</v>
      </c>
      <c r="AA8" s="105">
        <f t="shared" si="3"/>
        <v>0</v>
      </c>
    </row>
    <row r="9" spans="1:27" x14ac:dyDescent="0.3">
      <c r="A9" s="109" t="s">
        <v>222</v>
      </c>
      <c r="B9" t="s">
        <v>74</v>
      </c>
      <c r="C9" t="s">
        <v>223</v>
      </c>
      <c r="D9" s="16" t="s">
        <v>209</v>
      </c>
      <c r="E9" s="23">
        <f>'T05'!K29</f>
        <v>204771</v>
      </c>
      <c r="F9" s="23">
        <f>'T05'!L29</f>
        <v>629078</v>
      </c>
      <c r="G9" s="23">
        <f>'T05'!M29</f>
        <v>1083905</v>
      </c>
      <c r="H9" s="23">
        <f>'T05'!N29</f>
        <v>1780521.33</v>
      </c>
      <c r="I9" s="23">
        <f>'T05'!O29</f>
        <v>18000</v>
      </c>
      <c r="J9" s="23">
        <v>204771</v>
      </c>
      <c r="K9" s="23">
        <f t="shared" si="4"/>
        <v>0</v>
      </c>
      <c r="L9" s="23">
        <v>629078</v>
      </c>
      <c r="M9" s="23">
        <f t="shared" si="5"/>
        <v>0</v>
      </c>
      <c r="N9" s="23">
        <v>1083905</v>
      </c>
      <c r="O9" s="23">
        <f t="shared" si="6"/>
        <v>0</v>
      </c>
      <c r="P9" s="23">
        <v>1780521.33</v>
      </c>
      <c r="Q9" s="23">
        <f t="shared" si="7"/>
        <v>0</v>
      </c>
      <c r="R9" s="107" t="s">
        <v>343</v>
      </c>
      <c r="S9" s="107">
        <v>204771</v>
      </c>
      <c r="T9" s="107">
        <v>629078</v>
      </c>
      <c r="U9" s="107">
        <v>733905</v>
      </c>
      <c r="V9" s="107">
        <v>1430521</v>
      </c>
      <c r="X9" s="105">
        <f t="shared" si="0"/>
        <v>0</v>
      </c>
      <c r="Y9" s="105">
        <f t="shared" si="1"/>
        <v>0</v>
      </c>
      <c r="Z9" s="105">
        <f t="shared" si="2"/>
        <v>-350000</v>
      </c>
      <c r="AA9" s="105">
        <f t="shared" si="3"/>
        <v>-350000.33000000007</v>
      </c>
    </row>
    <row r="10" spans="1:27" x14ac:dyDescent="0.3">
      <c r="A10" s="109" t="s">
        <v>224</v>
      </c>
      <c r="B10" t="s">
        <v>75</v>
      </c>
      <c r="C10" t="s">
        <v>225</v>
      </c>
      <c r="D10" s="16" t="s">
        <v>209</v>
      </c>
      <c r="E10" s="23">
        <f>'T061'!K27</f>
        <v>172088</v>
      </c>
      <c r="F10" s="23">
        <f>'T061'!L27</f>
        <v>177644</v>
      </c>
      <c r="G10" s="23">
        <f>'T061'!M27</f>
        <v>183043</v>
      </c>
      <c r="H10" s="23">
        <f>'T061'!N27</f>
        <v>188616</v>
      </c>
      <c r="I10" s="23">
        <f>'T061'!O27</f>
        <v>188017</v>
      </c>
      <c r="J10" s="23">
        <v>172088</v>
      </c>
      <c r="K10" s="23">
        <f t="shared" si="4"/>
        <v>0</v>
      </c>
      <c r="L10" s="23">
        <v>178088</v>
      </c>
      <c r="M10" s="23">
        <f t="shared" si="5"/>
        <v>444</v>
      </c>
      <c r="N10" s="23">
        <v>184323</v>
      </c>
      <c r="O10" s="23">
        <f t="shared" si="6"/>
        <v>1280</v>
      </c>
      <c r="P10" s="23">
        <v>190801</v>
      </c>
      <c r="Q10" s="23">
        <f t="shared" si="7"/>
        <v>2185</v>
      </c>
      <c r="R10" s="107" t="s">
        <v>344</v>
      </c>
      <c r="S10" s="107">
        <v>172088</v>
      </c>
      <c r="T10" s="107">
        <v>178088</v>
      </c>
      <c r="U10" s="107">
        <v>184323</v>
      </c>
      <c r="V10" s="107">
        <v>190801</v>
      </c>
      <c r="X10" s="105">
        <f t="shared" si="0"/>
        <v>0</v>
      </c>
      <c r="Y10" s="105">
        <f t="shared" si="1"/>
        <v>444</v>
      </c>
      <c r="Z10" s="105">
        <f t="shared" si="2"/>
        <v>1280</v>
      </c>
      <c r="AA10" s="105">
        <f t="shared" si="3"/>
        <v>2185</v>
      </c>
    </row>
    <row r="11" spans="1:27" x14ac:dyDescent="0.3">
      <c r="A11" s="109" t="s">
        <v>226</v>
      </c>
      <c r="B11" t="s">
        <v>76</v>
      </c>
      <c r="C11" t="s">
        <v>227</v>
      </c>
      <c r="D11" s="16" t="s">
        <v>209</v>
      </c>
      <c r="E11" s="23">
        <f>'T062'!K29</f>
        <v>130667</v>
      </c>
      <c r="F11" s="23">
        <f>'T062'!L29</f>
        <v>135042</v>
      </c>
      <c r="G11" s="23">
        <f>'T062'!M29</f>
        <v>139255</v>
      </c>
      <c r="H11" s="23">
        <f>'T062'!N29</f>
        <v>143607</v>
      </c>
      <c r="I11" s="23">
        <f>'T062'!O29</f>
        <v>143871</v>
      </c>
      <c r="J11" s="23">
        <v>130667</v>
      </c>
      <c r="K11" s="23">
        <f t="shared" si="4"/>
        <v>0</v>
      </c>
      <c r="L11" s="23">
        <v>135401</v>
      </c>
      <c r="M11" s="23">
        <f t="shared" si="5"/>
        <v>359</v>
      </c>
      <c r="N11" s="23">
        <v>140324</v>
      </c>
      <c r="O11" s="23">
        <f t="shared" si="6"/>
        <v>1069</v>
      </c>
      <c r="P11" s="23">
        <v>145445</v>
      </c>
      <c r="Q11" s="23">
        <f t="shared" si="7"/>
        <v>1838</v>
      </c>
      <c r="R11" s="107" t="s">
        <v>345</v>
      </c>
      <c r="S11" s="107">
        <v>130667</v>
      </c>
      <c r="T11" s="107">
        <v>135401</v>
      </c>
      <c r="U11" s="107">
        <v>140324</v>
      </c>
      <c r="V11" s="107">
        <v>145445</v>
      </c>
      <c r="X11" s="105">
        <f t="shared" si="0"/>
        <v>0</v>
      </c>
      <c r="Y11" s="105">
        <f t="shared" si="1"/>
        <v>359</v>
      </c>
      <c r="Z11" s="105">
        <f t="shared" si="2"/>
        <v>1069</v>
      </c>
      <c r="AA11" s="105">
        <f t="shared" si="3"/>
        <v>1838</v>
      </c>
    </row>
    <row r="12" spans="1:27" x14ac:dyDescent="0.3">
      <c r="A12" s="109" t="s">
        <v>228</v>
      </c>
      <c r="B12" t="s">
        <v>77</v>
      </c>
      <c r="C12" t="s">
        <v>229</v>
      </c>
      <c r="D12" s="16" t="s">
        <v>209</v>
      </c>
      <c r="E12" s="23">
        <f>'T064'!K29</f>
        <v>65986</v>
      </c>
      <c r="F12" s="23">
        <f>'T064'!L29</f>
        <v>68757</v>
      </c>
      <c r="G12" s="23">
        <f>'T064'!M29</f>
        <v>71301</v>
      </c>
      <c r="H12" s="23">
        <f>'T064'!N29</f>
        <v>73939</v>
      </c>
      <c r="I12" s="23">
        <f>'T064'!O29</f>
        <v>76675</v>
      </c>
      <c r="J12" s="23">
        <v>65986</v>
      </c>
      <c r="K12" s="23">
        <f t="shared" si="4"/>
        <v>0</v>
      </c>
      <c r="L12" s="23">
        <v>69021</v>
      </c>
      <c r="M12" s="23">
        <f t="shared" si="5"/>
        <v>264</v>
      </c>
      <c r="N12" s="23">
        <v>72196</v>
      </c>
      <c r="O12" s="23">
        <f t="shared" si="6"/>
        <v>895</v>
      </c>
      <c r="P12" s="23">
        <v>75517</v>
      </c>
      <c r="Q12" s="23">
        <f t="shared" si="7"/>
        <v>1578</v>
      </c>
      <c r="R12" s="107" t="s">
        <v>346</v>
      </c>
      <c r="S12" s="107">
        <v>65986</v>
      </c>
      <c r="T12" s="107">
        <v>69021</v>
      </c>
      <c r="U12" s="107">
        <v>72196</v>
      </c>
      <c r="V12" s="107">
        <v>75517</v>
      </c>
      <c r="X12" s="105">
        <f t="shared" si="0"/>
        <v>0</v>
      </c>
      <c r="Y12" s="105">
        <f t="shared" si="1"/>
        <v>264</v>
      </c>
      <c r="Z12" s="105">
        <f t="shared" si="2"/>
        <v>895</v>
      </c>
      <c r="AA12" s="105">
        <f t="shared" si="3"/>
        <v>1578</v>
      </c>
    </row>
    <row r="13" spans="1:27" x14ac:dyDescent="0.3">
      <c r="A13" s="109" t="s">
        <v>230</v>
      </c>
      <c r="B13" t="s">
        <v>78</v>
      </c>
      <c r="C13" t="s">
        <v>231</v>
      </c>
      <c r="D13" s="16" t="s">
        <v>209</v>
      </c>
      <c r="E13" s="23">
        <f>'T07'!K34</f>
        <v>5780</v>
      </c>
      <c r="F13" s="23">
        <f>'T07'!L34</f>
        <v>5901</v>
      </c>
      <c r="G13" s="23">
        <f>'T07'!M34</f>
        <v>6037</v>
      </c>
      <c r="H13" s="23">
        <f>'T07'!N34</f>
        <v>6176</v>
      </c>
      <c r="I13" s="23">
        <f>'T07'!O34</f>
        <v>6318</v>
      </c>
      <c r="J13" s="23">
        <v>5780</v>
      </c>
      <c r="K13" s="23">
        <f t="shared" si="4"/>
        <v>0</v>
      </c>
      <c r="L13" s="23">
        <v>5907</v>
      </c>
      <c r="M13" s="23">
        <f t="shared" si="5"/>
        <v>6</v>
      </c>
      <c r="N13" s="23">
        <v>6037</v>
      </c>
      <c r="O13" s="23">
        <f t="shared" si="6"/>
        <v>0</v>
      </c>
      <c r="P13" s="23">
        <v>6170</v>
      </c>
      <c r="Q13" s="23">
        <f t="shared" si="7"/>
        <v>-6</v>
      </c>
      <c r="R13" s="107" t="s">
        <v>347</v>
      </c>
      <c r="S13" s="107">
        <v>5780</v>
      </c>
      <c r="T13" s="107">
        <v>5907</v>
      </c>
      <c r="U13" s="107">
        <v>6037</v>
      </c>
      <c r="V13" s="107">
        <v>6170</v>
      </c>
      <c r="X13" s="105">
        <f t="shared" si="0"/>
        <v>0</v>
      </c>
      <c r="Y13" s="105">
        <f t="shared" si="1"/>
        <v>6</v>
      </c>
      <c r="Z13" s="105">
        <f t="shared" si="2"/>
        <v>0</v>
      </c>
      <c r="AA13" s="105">
        <f t="shared" si="3"/>
        <v>-6</v>
      </c>
    </row>
    <row r="14" spans="1:27" x14ac:dyDescent="0.3">
      <c r="A14" s="109" t="s">
        <v>232</v>
      </c>
      <c r="B14" t="s">
        <v>79</v>
      </c>
      <c r="C14" t="s">
        <v>233</v>
      </c>
      <c r="D14" s="16" t="s">
        <v>209</v>
      </c>
      <c r="E14" s="23">
        <f>'T08'!K40</f>
        <v>594431.35097718053</v>
      </c>
      <c r="F14" s="2301">
        <f>'T08'!L40</f>
        <v>233854</v>
      </c>
      <c r="G14" s="23">
        <f>'T08'!M40</f>
        <v>238228</v>
      </c>
      <c r="H14" s="23">
        <f>'T08'!N40</f>
        <v>242703</v>
      </c>
      <c r="I14" s="23">
        <f>'T08'!O40</f>
        <v>247281</v>
      </c>
      <c r="J14" s="23">
        <v>594431.35097718053</v>
      </c>
      <c r="K14" s="23">
        <f t="shared" si="4"/>
        <v>0</v>
      </c>
      <c r="L14" s="23">
        <v>578621.87061746046</v>
      </c>
      <c r="M14" s="23">
        <f t="shared" si="5"/>
        <v>344767.87061746046</v>
      </c>
      <c r="N14" s="23">
        <v>-3634954.6658023167</v>
      </c>
      <c r="O14" s="23">
        <f t="shared" si="6"/>
        <v>-3873182.6658023167</v>
      </c>
      <c r="P14" s="23">
        <v>-3989678.2167886812</v>
      </c>
      <c r="Q14" s="23">
        <f t="shared" si="7"/>
        <v>-4232381.2167886812</v>
      </c>
      <c r="R14" s="107" t="s">
        <v>348</v>
      </c>
      <c r="S14" s="107">
        <v>703750</v>
      </c>
      <c r="T14" s="107">
        <v>740749</v>
      </c>
      <c r="U14" s="107">
        <v>1699388</v>
      </c>
      <c r="V14" s="107">
        <v>1776715</v>
      </c>
      <c r="X14" s="105">
        <f t="shared" si="0"/>
        <v>109318.64902281947</v>
      </c>
      <c r="Y14" s="105">
        <f t="shared" si="1"/>
        <v>506895</v>
      </c>
      <c r="Z14" s="105">
        <f t="shared" si="2"/>
        <v>1461160</v>
      </c>
      <c r="AA14" s="105">
        <f t="shared" si="3"/>
        <v>1534012</v>
      </c>
    </row>
    <row r="15" spans="1:27" x14ac:dyDescent="0.3">
      <c r="A15" s="109" t="s">
        <v>234</v>
      </c>
      <c r="B15" t="s">
        <v>80</v>
      </c>
      <c r="C15" t="s">
        <v>235</v>
      </c>
      <c r="D15" s="16" t="s">
        <v>209</v>
      </c>
      <c r="E15" s="23">
        <f>'T09'!K40</f>
        <v>11400</v>
      </c>
      <c r="F15" s="23">
        <f>'T09'!L40</f>
        <v>11400</v>
      </c>
      <c r="G15" s="23">
        <f>'T09'!M40</f>
        <v>11400</v>
      </c>
      <c r="H15" s="23">
        <f>'T09'!N40</f>
        <v>11400</v>
      </c>
      <c r="I15" s="23">
        <f>'T09'!O40</f>
        <v>11400</v>
      </c>
      <c r="J15" s="23">
        <v>11400</v>
      </c>
      <c r="K15" s="23">
        <f t="shared" si="4"/>
        <v>0</v>
      </c>
      <c r="L15" s="23">
        <v>11400</v>
      </c>
      <c r="M15" s="23">
        <f t="shared" si="5"/>
        <v>0</v>
      </c>
      <c r="N15" s="23">
        <v>11400</v>
      </c>
      <c r="O15" s="23">
        <f t="shared" si="6"/>
        <v>0</v>
      </c>
      <c r="P15" s="23">
        <v>11400</v>
      </c>
      <c r="Q15" s="23">
        <f t="shared" si="7"/>
        <v>0</v>
      </c>
      <c r="R15" s="107" t="s">
        <v>349</v>
      </c>
      <c r="S15" s="107">
        <v>11400</v>
      </c>
      <c r="T15" s="107">
        <v>11400</v>
      </c>
      <c r="U15" s="107">
        <v>11400</v>
      </c>
      <c r="V15" s="107">
        <v>11400</v>
      </c>
      <c r="X15" s="105">
        <f t="shared" si="0"/>
        <v>0</v>
      </c>
      <c r="Y15" s="105">
        <f t="shared" si="1"/>
        <v>0</v>
      </c>
      <c r="Z15" s="105">
        <f t="shared" si="2"/>
        <v>0</v>
      </c>
      <c r="AA15" s="105">
        <f t="shared" si="3"/>
        <v>0</v>
      </c>
    </row>
    <row r="16" spans="1:27" x14ac:dyDescent="0.3">
      <c r="A16" s="109" t="s">
        <v>236</v>
      </c>
      <c r="B16" t="s">
        <v>81</v>
      </c>
      <c r="C16" t="s">
        <v>237</v>
      </c>
      <c r="D16" s="16" t="s">
        <v>209</v>
      </c>
      <c r="E16" s="23">
        <f>'T010'!K22</f>
        <v>905588</v>
      </c>
      <c r="F16" s="23">
        <f>'T010'!L22</f>
        <v>471829</v>
      </c>
      <c r="G16" s="23">
        <f>'T010'!M22</f>
        <v>438368</v>
      </c>
      <c r="H16" s="23">
        <f>'T010'!N22</f>
        <v>373260</v>
      </c>
      <c r="I16" s="23">
        <f>'T010'!O22</f>
        <v>0</v>
      </c>
      <c r="J16" s="23">
        <v>590588</v>
      </c>
      <c r="K16" s="23">
        <f t="shared" si="4"/>
        <v>-315000</v>
      </c>
      <c r="L16" s="23">
        <v>471829</v>
      </c>
      <c r="M16" s="23">
        <f t="shared" si="5"/>
        <v>0</v>
      </c>
      <c r="N16" s="23">
        <v>438368</v>
      </c>
      <c r="O16" s="23">
        <f t="shared" si="6"/>
        <v>0</v>
      </c>
      <c r="P16" s="23">
        <v>373260</v>
      </c>
      <c r="Q16" s="23">
        <f t="shared" si="7"/>
        <v>0</v>
      </c>
      <c r="R16" s="107" t="s">
        <v>350</v>
      </c>
      <c r="S16" s="107">
        <v>590588</v>
      </c>
      <c r="T16" s="107">
        <v>471829</v>
      </c>
      <c r="U16" s="107">
        <v>438368</v>
      </c>
      <c r="V16" s="107">
        <v>373260</v>
      </c>
      <c r="X16" s="105">
        <f t="shared" si="0"/>
        <v>-315000</v>
      </c>
      <c r="Y16" s="105">
        <f t="shared" si="1"/>
        <v>0</v>
      </c>
      <c r="Z16" s="105">
        <f t="shared" si="2"/>
        <v>0</v>
      </c>
      <c r="AA16" s="105">
        <f t="shared" si="3"/>
        <v>0</v>
      </c>
    </row>
    <row r="17" spans="1:27" x14ac:dyDescent="0.3">
      <c r="A17" s="109" t="s">
        <v>238</v>
      </c>
      <c r="B17" t="s">
        <v>82</v>
      </c>
      <c r="C17" t="s">
        <v>239</v>
      </c>
      <c r="D17" s="16" t="s">
        <v>209</v>
      </c>
      <c r="E17" s="23">
        <f>'T011'!K37</f>
        <v>0</v>
      </c>
      <c r="F17" s="23">
        <f>'T011'!L37</f>
        <v>0</v>
      </c>
      <c r="G17" s="23">
        <f>'T011'!M37</f>
        <v>0</v>
      </c>
      <c r="H17" s="23">
        <f>'T011'!N37</f>
        <v>0</v>
      </c>
      <c r="I17" s="23">
        <f>'T011'!O37</f>
        <v>0</v>
      </c>
      <c r="J17" s="23">
        <v>0</v>
      </c>
      <c r="K17" s="23">
        <f t="shared" si="4"/>
        <v>0</v>
      </c>
      <c r="L17" s="23">
        <v>0</v>
      </c>
      <c r="M17" s="23">
        <f t="shared" si="5"/>
        <v>0</v>
      </c>
      <c r="N17" s="23">
        <v>0</v>
      </c>
      <c r="O17" s="23">
        <f t="shared" si="6"/>
        <v>0</v>
      </c>
      <c r="P17" s="23">
        <v>0</v>
      </c>
      <c r="Q17" s="23">
        <f t="shared" si="7"/>
        <v>0</v>
      </c>
      <c r="S17" s="107">
        <v>0</v>
      </c>
      <c r="T17" s="107">
        <v>0</v>
      </c>
      <c r="U17" s="107">
        <v>0</v>
      </c>
      <c r="V17" s="107">
        <v>0</v>
      </c>
      <c r="X17" s="105">
        <f t="shared" si="0"/>
        <v>0</v>
      </c>
      <c r="Y17" s="105">
        <f t="shared" si="1"/>
        <v>0</v>
      </c>
      <c r="Z17" s="105">
        <f t="shared" si="2"/>
        <v>0</v>
      </c>
      <c r="AA17" s="105">
        <f t="shared" si="3"/>
        <v>0</v>
      </c>
    </row>
    <row r="18" spans="1:27" x14ac:dyDescent="0.3">
      <c r="A18" s="109" t="s">
        <v>240</v>
      </c>
      <c r="B18" t="s">
        <v>83</v>
      </c>
      <c r="C18" t="s">
        <v>241</v>
      </c>
      <c r="D18" s="16" t="s">
        <v>209</v>
      </c>
      <c r="E18" s="23">
        <f>'T11'!K46</f>
        <v>2088526.53235</v>
      </c>
      <c r="F18" s="23">
        <f>'T11'!L46</f>
        <v>2264477.9396769498</v>
      </c>
      <c r="G18" s="23">
        <f>'T11'!M46</f>
        <v>2326060.8507600324</v>
      </c>
      <c r="H18" s="23">
        <f>'T11'!N46</f>
        <v>2396343.9844899527</v>
      </c>
      <c r="I18" s="23">
        <f>'T11'!O46</f>
        <v>2406801.2192348214</v>
      </c>
      <c r="J18" s="23">
        <v>2088526.53235</v>
      </c>
      <c r="K18" s="23">
        <f t="shared" si="4"/>
        <v>0</v>
      </c>
      <c r="L18" s="23">
        <v>2270039.7227469501</v>
      </c>
      <c r="M18" s="23">
        <f t="shared" si="5"/>
        <v>5561.7830700003542</v>
      </c>
      <c r="N18" s="23">
        <v>2341425.4215232306</v>
      </c>
      <c r="O18" s="23">
        <f t="shared" si="6"/>
        <v>15364.570763198193</v>
      </c>
      <c r="P18" s="23">
        <v>2422153.3518821565</v>
      </c>
      <c r="Q18" s="23">
        <f t="shared" si="7"/>
        <v>25809.367392203771</v>
      </c>
      <c r="R18" s="107" t="s">
        <v>351</v>
      </c>
      <c r="S18" s="107">
        <v>2088527</v>
      </c>
      <c r="T18" s="107">
        <v>2270040</v>
      </c>
      <c r="U18" s="107">
        <v>2341426</v>
      </c>
      <c r="V18" s="107">
        <v>2422153</v>
      </c>
      <c r="X18" s="105">
        <f t="shared" si="0"/>
        <v>0.46765000000596046</v>
      </c>
      <c r="Y18" s="105">
        <f t="shared" si="1"/>
        <v>5562.0603230502456</v>
      </c>
      <c r="Z18" s="105">
        <f t="shared" si="2"/>
        <v>15365.149239967577</v>
      </c>
      <c r="AA18" s="105">
        <f t="shared" si="3"/>
        <v>25809.01551004732</v>
      </c>
    </row>
    <row r="19" spans="1:27" x14ac:dyDescent="0.3">
      <c r="A19" s="109" t="s">
        <v>242</v>
      </c>
      <c r="B19" t="s">
        <v>84</v>
      </c>
      <c r="C19" t="s">
        <v>243</v>
      </c>
      <c r="D19" s="16" t="s">
        <v>209</v>
      </c>
      <c r="E19" s="23">
        <f>'T12'!K55</f>
        <v>2005361.1785600001</v>
      </c>
      <c r="F19" s="23">
        <f>'T12'!L55</f>
        <v>1932160.2371744001</v>
      </c>
      <c r="G19" s="23">
        <f>'T12'!M55</f>
        <v>1999201.3830995702</v>
      </c>
      <c r="H19" s="23">
        <f>'T12'!N55</f>
        <v>2061561.9107772321</v>
      </c>
      <c r="I19" s="23">
        <f>'T12'!O55</f>
        <v>2134460.0933530754</v>
      </c>
      <c r="J19" s="23">
        <v>1893861.1785600001</v>
      </c>
      <c r="K19" s="23">
        <f t="shared" si="4"/>
        <v>-111500</v>
      </c>
      <c r="L19" s="23">
        <v>1924507.1233280001</v>
      </c>
      <c r="M19" s="23">
        <f t="shared" si="5"/>
        <v>-7653.1138464000542</v>
      </c>
      <c r="N19" s="23">
        <v>2008492.1918053504</v>
      </c>
      <c r="O19" s="23">
        <f t="shared" si="6"/>
        <v>9290.8087057801895</v>
      </c>
      <c r="P19" s="23">
        <v>2095062.0263689198</v>
      </c>
      <c r="Q19" s="23">
        <f t="shared" si="7"/>
        <v>33500.115591687616</v>
      </c>
      <c r="R19" s="107" t="s">
        <v>352</v>
      </c>
      <c r="S19" s="107">
        <v>1903861</v>
      </c>
      <c r="T19" s="107">
        <v>1934507</v>
      </c>
      <c r="U19" s="107">
        <v>2016493</v>
      </c>
      <c r="V19" s="107">
        <v>2095063</v>
      </c>
      <c r="X19" s="2154">
        <f t="shared" si="0"/>
        <v>-101500.17856000015</v>
      </c>
      <c r="Y19" s="2154">
        <f t="shared" si="1"/>
        <v>2346.7628255998716</v>
      </c>
      <c r="Z19" s="2154">
        <f t="shared" si="2"/>
        <v>17291.616900429828</v>
      </c>
      <c r="AA19" s="2154">
        <f t="shared" si="3"/>
        <v>33501.089222767856</v>
      </c>
    </row>
    <row r="20" spans="1:27" x14ac:dyDescent="0.3">
      <c r="A20" s="109" t="s">
        <v>244</v>
      </c>
      <c r="B20" t="s">
        <v>85</v>
      </c>
      <c r="C20" t="s">
        <v>245</v>
      </c>
      <c r="D20" s="16" t="s">
        <v>209</v>
      </c>
      <c r="E20" s="23">
        <f>'T21'!K67</f>
        <v>4152536.8842720501</v>
      </c>
      <c r="F20" s="23">
        <f>'T21'!L67</f>
        <v>4859110.9189856518</v>
      </c>
      <c r="G20" s="23">
        <f>'T21'!M67</f>
        <v>5275649.7529349346</v>
      </c>
      <c r="H20" s="23">
        <f>'T21'!N67</f>
        <v>5910454.0119816819</v>
      </c>
      <c r="I20" s="23">
        <f>'T21'!O67</f>
        <v>4063920.3319816818</v>
      </c>
      <c r="J20" s="23">
        <v>4112749.8842720501</v>
      </c>
      <c r="K20" s="23">
        <f t="shared" si="4"/>
        <v>-39787</v>
      </c>
      <c r="L20" s="23">
        <v>4863397.2189856526</v>
      </c>
      <c r="M20" s="23">
        <f t="shared" si="5"/>
        <v>4286.3000000007451</v>
      </c>
      <c r="N20" s="23">
        <v>5284607.7529349346</v>
      </c>
      <c r="O20" s="23">
        <f t="shared" si="6"/>
        <v>8958</v>
      </c>
      <c r="P20" s="23">
        <v>5924632.9319816818</v>
      </c>
      <c r="Q20" s="23">
        <f t="shared" si="7"/>
        <v>14178.919999999925</v>
      </c>
      <c r="R20" s="107" t="s">
        <v>353</v>
      </c>
      <c r="S20" s="107">
        <v>4112752</v>
      </c>
      <c r="T20" s="107">
        <v>4863396</v>
      </c>
      <c r="U20" s="107">
        <v>5259611</v>
      </c>
      <c r="V20" s="107">
        <v>5714629</v>
      </c>
      <c r="X20" s="105">
        <f t="shared" si="0"/>
        <v>-39784.884272050112</v>
      </c>
      <c r="Y20" s="105">
        <f t="shared" si="1"/>
        <v>4285.081014348194</v>
      </c>
      <c r="Z20" s="105">
        <f t="shared" si="2"/>
        <v>-16038.752934934571</v>
      </c>
      <c r="AA20" s="105">
        <f t="shared" si="3"/>
        <v>-195825.01198168192</v>
      </c>
    </row>
    <row r="21" spans="1:27" x14ac:dyDescent="0.3">
      <c r="A21" s="109" t="s">
        <v>246</v>
      </c>
      <c r="B21" t="s">
        <v>86</v>
      </c>
      <c r="C21" t="s">
        <v>247</v>
      </c>
      <c r="D21" s="16" t="s">
        <v>209</v>
      </c>
      <c r="E21" s="23">
        <f>'T22'!K32</f>
        <v>89294.891072138882</v>
      </c>
      <c r="F21" s="23">
        <f>'T22'!L32</f>
        <v>90577.142104780942</v>
      </c>
      <c r="G21" s="23">
        <f>'T22'!M32</f>
        <v>91996.266878541282</v>
      </c>
      <c r="H21" s="23">
        <f>'T22'!N32</f>
        <v>163450.07063150144</v>
      </c>
      <c r="I21" s="23">
        <f>'T22'!O32</f>
        <v>89595.83725602596</v>
      </c>
      <c r="J21" s="23">
        <v>89294.891072138882</v>
      </c>
      <c r="K21" s="23">
        <f t="shared" si="4"/>
        <v>0</v>
      </c>
      <c r="L21" s="23">
        <v>90630.392663345119</v>
      </c>
      <c r="M21" s="23">
        <f t="shared" si="5"/>
        <v>53.250558564177481</v>
      </c>
      <c r="N21" s="23">
        <v>91995.242129099846</v>
      </c>
      <c r="O21" s="23">
        <f t="shared" si="6"/>
        <v>-1.0247494414361427</v>
      </c>
      <c r="P21" s="23">
        <v>163394.89570841147</v>
      </c>
      <c r="Q21" s="23">
        <f t="shared" si="7"/>
        <v>-55.174923089973163</v>
      </c>
      <c r="R21" s="107" t="s">
        <v>354</v>
      </c>
      <c r="S21" s="107">
        <v>89295</v>
      </c>
      <c r="T21" s="107">
        <v>90631</v>
      </c>
      <c r="U21" s="107">
        <v>91995</v>
      </c>
      <c r="V21" s="107">
        <v>163395</v>
      </c>
      <c r="X21" s="105">
        <f t="shared" si="0"/>
        <v>0.10892786111799069</v>
      </c>
      <c r="Y21" s="105">
        <f t="shared" si="1"/>
        <v>53.857895219058264</v>
      </c>
      <c r="Z21" s="105">
        <f t="shared" si="2"/>
        <v>-1.2668785412824946</v>
      </c>
      <c r="AA21" s="105">
        <f t="shared" si="3"/>
        <v>-55.070631501439493</v>
      </c>
    </row>
    <row r="22" spans="1:27" x14ac:dyDescent="0.3">
      <c r="A22" s="109" t="s">
        <v>248</v>
      </c>
      <c r="B22" t="s">
        <v>87</v>
      </c>
      <c r="C22" t="s">
        <v>249</v>
      </c>
      <c r="D22" s="16" t="s">
        <v>209</v>
      </c>
      <c r="E22" s="23">
        <f>'T25'!K34</f>
        <v>99454.81</v>
      </c>
      <c r="F22" s="23">
        <f>'T25'!L34</f>
        <v>101593.02</v>
      </c>
      <c r="G22" s="23">
        <f>'T25'!M34</f>
        <v>103963.27</v>
      </c>
      <c r="H22" s="23">
        <f>'T25'!N34</f>
        <v>106389.34</v>
      </c>
      <c r="I22" s="23">
        <f>'T25'!O34</f>
        <v>108873.65</v>
      </c>
      <c r="J22" s="23">
        <v>99454.81</v>
      </c>
      <c r="K22" s="23">
        <f t="shared" si="4"/>
        <v>0</v>
      </c>
      <c r="L22" s="23">
        <v>101698.4</v>
      </c>
      <c r="M22" s="23">
        <f t="shared" si="5"/>
        <v>105.3799999999901</v>
      </c>
      <c r="N22" s="23">
        <v>103996.48</v>
      </c>
      <c r="O22" s="23">
        <f t="shared" si="6"/>
        <v>33.209999999991851</v>
      </c>
      <c r="P22" s="23">
        <v>106345.54000000001</v>
      </c>
      <c r="Q22" s="23">
        <f t="shared" si="7"/>
        <v>-43.799999999988358</v>
      </c>
      <c r="R22" s="107" t="s">
        <v>355</v>
      </c>
      <c r="S22" s="107">
        <v>99455</v>
      </c>
      <c r="T22" s="107">
        <v>101698</v>
      </c>
      <c r="U22" s="107">
        <v>103996</v>
      </c>
      <c r="V22" s="107">
        <v>106346</v>
      </c>
      <c r="X22" s="105">
        <f t="shared" si="0"/>
        <v>0.19000000000232831</v>
      </c>
      <c r="Y22" s="105">
        <f t="shared" si="1"/>
        <v>104.97999999999593</v>
      </c>
      <c r="Z22" s="105">
        <f t="shared" si="2"/>
        <v>32.729999999995925</v>
      </c>
      <c r="AA22" s="105">
        <f t="shared" si="3"/>
        <v>-43.339999999996508</v>
      </c>
    </row>
    <row r="23" spans="1:27" x14ac:dyDescent="0.3">
      <c r="A23" s="109" t="s">
        <v>250</v>
      </c>
      <c r="B23" t="s">
        <v>88</v>
      </c>
      <c r="C23" t="s">
        <v>251</v>
      </c>
      <c r="D23" s="16" t="s">
        <v>209</v>
      </c>
      <c r="E23" s="23">
        <f>'T31'!K43</f>
        <v>1355577.56</v>
      </c>
      <c r="F23" s="2301">
        <f>'T31'!L43</f>
        <v>1122696.53</v>
      </c>
      <c r="G23" s="23">
        <f>'T31'!M43</f>
        <v>1152490.1099999999</v>
      </c>
      <c r="H23" s="23">
        <f>'T31'!N43</f>
        <v>1182934.1568149645</v>
      </c>
      <c r="I23" s="23">
        <f>'T31'!O43</f>
        <v>1216184.76</v>
      </c>
      <c r="J23" s="23">
        <v>1105577.56</v>
      </c>
      <c r="K23" s="23">
        <f t="shared" si="4"/>
        <v>-250000</v>
      </c>
      <c r="L23" s="23">
        <v>1124466.92</v>
      </c>
      <c r="M23" s="23">
        <f t="shared" si="5"/>
        <v>1770.3899999998976</v>
      </c>
      <c r="N23" s="23">
        <v>1157510.1099999999</v>
      </c>
      <c r="O23" s="23">
        <f t="shared" si="6"/>
        <v>5020</v>
      </c>
      <c r="P23" s="23">
        <v>1191437.7368149646</v>
      </c>
      <c r="Q23" s="23">
        <f t="shared" si="7"/>
        <v>8503.5800000000745</v>
      </c>
      <c r="R23" s="107" t="s">
        <v>356</v>
      </c>
      <c r="S23" s="107">
        <v>1355578</v>
      </c>
      <c r="T23" s="107">
        <v>1124467</v>
      </c>
      <c r="U23" s="107">
        <v>1157510</v>
      </c>
      <c r="V23" s="107">
        <v>1191438</v>
      </c>
      <c r="X23" s="105">
        <f t="shared" si="0"/>
        <v>0.43999999994412065</v>
      </c>
      <c r="Y23" s="105">
        <f t="shared" si="1"/>
        <v>1770.4699999999721</v>
      </c>
      <c r="Z23" s="105">
        <f t="shared" si="2"/>
        <v>5019.8900000001304</v>
      </c>
      <c r="AA23" s="105">
        <f t="shared" si="3"/>
        <v>8503.8431850355119</v>
      </c>
    </row>
    <row r="24" spans="1:27" x14ac:dyDescent="0.3">
      <c r="A24" s="109" t="s">
        <v>252</v>
      </c>
      <c r="B24" t="s">
        <v>89</v>
      </c>
      <c r="C24" t="s">
        <v>253</v>
      </c>
      <c r="D24" s="16" t="s">
        <v>209</v>
      </c>
      <c r="E24" s="23">
        <f>'T33'!K39</f>
        <v>41976.023999999998</v>
      </c>
      <c r="F24" s="23">
        <f>'T33'!L39</f>
        <v>43502.504384</v>
      </c>
      <c r="G24" s="23">
        <f>'T33'!M39</f>
        <v>44931.464454143999</v>
      </c>
      <c r="H24" s="23">
        <f>'T33'!N39</f>
        <v>46407.927885410303</v>
      </c>
      <c r="I24" s="23">
        <f>'T33'!O39</f>
        <v>47935.918731576872</v>
      </c>
      <c r="J24" s="23">
        <v>41976.023999999998</v>
      </c>
      <c r="K24" s="23">
        <f t="shared" si="4"/>
        <v>0</v>
      </c>
      <c r="L24" s="23">
        <v>43634.504384</v>
      </c>
      <c r="M24" s="23">
        <f t="shared" si="5"/>
        <v>132</v>
      </c>
      <c r="N24" s="23">
        <v>45364.464454143999</v>
      </c>
      <c r="O24" s="23">
        <f t="shared" si="6"/>
        <v>433</v>
      </c>
      <c r="P24" s="23">
        <v>47167.927885410303</v>
      </c>
      <c r="Q24" s="23">
        <f t="shared" si="7"/>
        <v>760</v>
      </c>
      <c r="R24" s="107" t="s">
        <v>357</v>
      </c>
      <c r="S24" s="107">
        <v>41976</v>
      </c>
      <c r="T24" s="107">
        <v>43635</v>
      </c>
      <c r="U24" s="107">
        <v>45364</v>
      </c>
      <c r="V24" s="107">
        <v>47168</v>
      </c>
      <c r="X24" s="105">
        <f t="shared" si="0"/>
        <v>-2.3999999997613486E-2</v>
      </c>
      <c r="Y24" s="105">
        <f t="shared" si="1"/>
        <v>132.49561600000015</v>
      </c>
      <c r="Z24" s="105">
        <f t="shared" si="2"/>
        <v>432.53554585600068</v>
      </c>
      <c r="AA24" s="105">
        <f t="shared" si="3"/>
        <v>760.07211458969687</v>
      </c>
    </row>
    <row r="25" spans="1:27" x14ac:dyDescent="0.3">
      <c r="A25" s="109" t="s">
        <v>254</v>
      </c>
      <c r="B25" t="s">
        <v>90</v>
      </c>
      <c r="C25" t="s">
        <v>255</v>
      </c>
      <c r="D25" s="16" t="s">
        <v>209</v>
      </c>
      <c r="E25" s="23">
        <f>'T34'!K55</f>
        <v>517402.82699999999</v>
      </c>
      <c r="F25" s="23">
        <f>'T34'!L55</f>
        <v>526952.76418099995</v>
      </c>
      <c r="G25" s="23">
        <f>'T34'!M55</f>
        <v>536047.58675716305</v>
      </c>
      <c r="H25" s="23">
        <f>'T34'!N55</f>
        <v>545414.7622525777</v>
      </c>
      <c r="I25" s="23">
        <f>'T34'!O55</f>
        <v>554987.85078438697</v>
      </c>
      <c r="J25" s="23">
        <v>517402.82699999999</v>
      </c>
      <c r="K25" s="23">
        <f t="shared" si="4"/>
        <v>0</v>
      </c>
      <c r="L25" s="23">
        <v>527714.76418099995</v>
      </c>
      <c r="M25" s="23">
        <f t="shared" si="5"/>
        <v>762</v>
      </c>
      <c r="N25" s="23">
        <v>538500.58675716305</v>
      </c>
      <c r="O25" s="23">
        <f t="shared" si="6"/>
        <v>2453</v>
      </c>
      <c r="P25" s="23">
        <v>549700.7622525777</v>
      </c>
      <c r="Q25" s="23">
        <f t="shared" si="7"/>
        <v>4286</v>
      </c>
      <c r="R25" s="107" t="s">
        <v>358</v>
      </c>
      <c r="S25" s="107">
        <v>517403</v>
      </c>
      <c r="T25" s="107">
        <v>527715</v>
      </c>
      <c r="U25" s="107">
        <v>538501</v>
      </c>
      <c r="V25" s="107">
        <v>549701</v>
      </c>
      <c r="X25" s="105">
        <f t="shared" si="0"/>
        <v>0.17300000000977889</v>
      </c>
      <c r="Y25" s="105">
        <f t="shared" si="1"/>
        <v>762.23581900005229</v>
      </c>
      <c r="Z25" s="105">
        <f t="shared" si="2"/>
        <v>2453.4132428369485</v>
      </c>
      <c r="AA25" s="105">
        <f t="shared" si="3"/>
        <v>4286.2377474223031</v>
      </c>
    </row>
    <row r="26" spans="1:27" x14ac:dyDescent="0.3">
      <c r="A26" s="109" t="s">
        <v>256</v>
      </c>
      <c r="B26" t="s">
        <v>91</v>
      </c>
      <c r="C26" t="s">
        <v>257</v>
      </c>
      <c r="D26" s="16" t="s">
        <v>209</v>
      </c>
      <c r="E26" s="23">
        <f>'T42'!K53</f>
        <v>1735325.3553246784</v>
      </c>
      <c r="F26" s="23">
        <f>'T42'!L53</f>
        <v>1740867.3107916915</v>
      </c>
      <c r="G26" s="23">
        <f>'T42'!M53</f>
        <v>3159300.4692909839</v>
      </c>
      <c r="H26" s="23">
        <f>'T42'!N53</f>
        <v>3420717.7296547503</v>
      </c>
      <c r="I26" s="23">
        <f>'T42'!O53</f>
        <v>403035</v>
      </c>
      <c r="J26" s="23">
        <v>1735325.3553246784</v>
      </c>
      <c r="K26" s="23">
        <f t="shared" si="4"/>
        <v>0</v>
      </c>
      <c r="L26" s="23">
        <v>1741492.3107916915</v>
      </c>
      <c r="M26" s="23">
        <f t="shared" si="5"/>
        <v>625</v>
      </c>
      <c r="N26" s="23">
        <v>2475764.4692909839</v>
      </c>
      <c r="O26" s="23">
        <f t="shared" si="6"/>
        <v>-683536</v>
      </c>
      <c r="P26" s="23">
        <v>2598887.7296547503</v>
      </c>
      <c r="Q26" s="23">
        <f t="shared" si="7"/>
        <v>-821830</v>
      </c>
      <c r="R26" s="107" t="s">
        <v>359</v>
      </c>
      <c r="S26" s="107">
        <v>1735326</v>
      </c>
      <c r="T26" s="107">
        <v>1741492</v>
      </c>
      <c r="U26" s="107">
        <v>3154117</v>
      </c>
      <c r="V26" s="107">
        <v>2977241</v>
      </c>
      <c r="X26" s="105">
        <f t="shared" si="0"/>
        <v>0.64467532164417207</v>
      </c>
      <c r="Y26" s="105">
        <f t="shared" si="1"/>
        <v>624.68920830846764</v>
      </c>
      <c r="Z26" s="105">
        <f t="shared" si="2"/>
        <v>-5183.4692909838632</v>
      </c>
      <c r="AA26" s="105">
        <f t="shared" si="3"/>
        <v>-443476.72965475032</v>
      </c>
    </row>
    <row r="27" spans="1:27" x14ac:dyDescent="0.3">
      <c r="A27" s="109" t="s">
        <v>258</v>
      </c>
      <c r="B27" t="s">
        <v>92</v>
      </c>
      <c r="C27" t="s">
        <v>259</v>
      </c>
      <c r="D27" s="16" t="s">
        <v>209</v>
      </c>
      <c r="E27" s="23">
        <f>'T43'!K43</f>
        <v>1829738.23</v>
      </c>
      <c r="F27" s="23">
        <f>'T43'!L43</f>
        <v>1882242</v>
      </c>
      <c r="G27" s="23">
        <f>'T43'!M43</f>
        <v>1908620</v>
      </c>
      <c r="H27" s="23">
        <f>'T43'!N43</f>
        <v>1931690</v>
      </c>
      <c r="I27" s="23">
        <f>'T43'!O43</f>
        <v>2008399</v>
      </c>
      <c r="J27" s="23">
        <v>1829738.23</v>
      </c>
      <c r="K27" s="23">
        <f t="shared" si="4"/>
        <v>0</v>
      </c>
      <c r="L27" s="23">
        <v>1886486</v>
      </c>
      <c r="M27" s="23">
        <f t="shared" si="5"/>
        <v>4244</v>
      </c>
      <c r="N27" s="23">
        <v>1923432</v>
      </c>
      <c r="O27" s="23">
        <f t="shared" si="6"/>
        <v>14812</v>
      </c>
      <c r="P27" s="23">
        <v>1984502</v>
      </c>
      <c r="Q27" s="23">
        <f t="shared" si="7"/>
        <v>52812</v>
      </c>
      <c r="R27" s="107" t="s">
        <v>360</v>
      </c>
      <c r="S27" s="107">
        <v>1829738</v>
      </c>
      <c r="T27" s="107">
        <v>1886486</v>
      </c>
      <c r="U27" s="107">
        <v>1923432</v>
      </c>
      <c r="V27" s="107">
        <v>1984502</v>
      </c>
      <c r="X27" s="105">
        <f t="shared" si="0"/>
        <v>-0.22999999998137355</v>
      </c>
      <c r="Y27" s="105">
        <f t="shared" si="1"/>
        <v>4244</v>
      </c>
      <c r="Z27" s="105">
        <f t="shared" si="2"/>
        <v>14812</v>
      </c>
      <c r="AA27" s="105">
        <f t="shared" si="3"/>
        <v>52812</v>
      </c>
    </row>
    <row r="28" spans="1:27" x14ac:dyDescent="0.3">
      <c r="A28" s="109" t="s">
        <v>260</v>
      </c>
      <c r="B28" t="s">
        <v>93</v>
      </c>
      <c r="C28" t="s">
        <v>261</v>
      </c>
      <c r="D28" s="16" t="s">
        <v>209</v>
      </c>
      <c r="E28" s="23">
        <f>'T51'!K39</f>
        <v>689486.75</v>
      </c>
      <c r="F28" s="23">
        <f>'T51'!L39</f>
        <v>684695</v>
      </c>
      <c r="G28" s="23">
        <f>'T51'!M39</f>
        <v>695336</v>
      </c>
      <c r="H28" s="23">
        <f>'T51'!N39</f>
        <v>706331</v>
      </c>
      <c r="I28" s="23">
        <f>'T51'!O39</f>
        <v>712997</v>
      </c>
      <c r="J28" s="23">
        <v>673486.75</v>
      </c>
      <c r="K28" s="23">
        <f t="shared" si="4"/>
        <v>-16000</v>
      </c>
      <c r="L28" s="23">
        <v>685654</v>
      </c>
      <c r="M28" s="23">
        <f t="shared" si="5"/>
        <v>959</v>
      </c>
      <c r="N28" s="23">
        <v>698347</v>
      </c>
      <c r="O28" s="23">
        <f t="shared" si="6"/>
        <v>3011</v>
      </c>
      <c r="P28" s="23">
        <v>711564</v>
      </c>
      <c r="Q28" s="23">
        <f t="shared" si="7"/>
        <v>5233</v>
      </c>
      <c r="R28" s="107" t="s">
        <v>361</v>
      </c>
      <c r="S28" s="107">
        <v>689487</v>
      </c>
      <c r="T28" s="107">
        <v>685654</v>
      </c>
      <c r="U28" s="107">
        <v>698347</v>
      </c>
      <c r="V28" s="107">
        <v>711564</v>
      </c>
      <c r="X28" s="105">
        <f t="shared" si="0"/>
        <v>0.25</v>
      </c>
      <c r="Y28" s="105">
        <f t="shared" si="1"/>
        <v>959</v>
      </c>
      <c r="Z28" s="105">
        <f t="shared" si="2"/>
        <v>3011</v>
      </c>
      <c r="AA28" s="105">
        <f t="shared" si="3"/>
        <v>5233</v>
      </c>
    </row>
    <row r="29" spans="1:27" x14ac:dyDescent="0.3">
      <c r="A29" s="109" t="s">
        <v>262</v>
      </c>
      <c r="B29" t="s">
        <v>94</v>
      </c>
      <c r="C29" t="s">
        <v>263</v>
      </c>
      <c r="D29" s="16" t="s">
        <v>209</v>
      </c>
      <c r="E29" s="23">
        <f>'T52'!K64</f>
        <v>2533362.1950562866</v>
      </c>
      <c r="F29" s="23">
        <f>'T52'!L64</f>
        <v>2615409.0200901665</v>
      </c>
      <c r="G29" s="23">
        <f>'T52'!M64</f>
        <v>2576630.0207311884</v>
      </c>
      <c r="H29" s="23">
        <f>'T52'!N64</f>
        <v>2851315.7315293602</v>
      </c>
      <c r="I29" s="23">
        <f>'T52'!O64</f>
        <v>1652621.4967897059</v>
      </c>
      <c r="J29" s="23">
        <v>2521625.1950562866</v>
      </c>
      <c r="K29" s="23">
        <f t="shared" si="4"/>
        <v>-11737</v>
      </c>
      <c r="L29" s="23">
        <v>2616704.3734801933</v>
      </c>
      <c r="M29" s="23">
        <f t="shared" si="5"/>
        <v>1295.3533900268376</v>
      </c>
      <c r="N29" s="23">
        <v>2587140.0466021704</v>
      </c>
      <c r="O29" s="23">
        <f t="shared" si="6"/>
        <v>10510.025870982092</v>
      </c>
      <c r="P29" s="23">
        <v>2737816.0294017754</v>
      </c>
      <c r="Q29" s="23">
        <f t="shared" si="7"/>
        <v>-113499.70212758472</v>
      </c>
      <c r="R29" s="107" t="s">
        <v>362</v>
      </c>
      <c r="S29" s="107">
        <v>2521626</v>
      </c>
      <c r="T29" s="107">
        <v>2616705</v>
      </c>
      <c r="U29" s="107">
        <v>2587138</v>
      </c>
      <c r="V29" s="107">
        <v>2636159</v>
      </c>
      <c r="X29" s="105">
        <f t="shared" si="0"/>
        <v>-11736.19505628664</v>
      </c>
      <c r="Y29" s="105">
        <f t="shared" si="1"/>
        <v>1295.9799098335207</v>
      </c>
      <c r="Z29" s="105">
        <f t="shared" si="2"/>
        <v>10507.979268811643</v>
      </c>
      <c r="AA29" s="105">
        <f t="shared" si="3"/>
        <v>-215156.73152936017</v>
      </c>
    </row>
    <row r="30" spans="1:27" x14ac:dyDescent="0.3">
      <c r="A30" s="109" t="s">
        <v>264</v>
      </c>
      <c r="B30" t="s">
        <v>95</v>
      </c>
      <c r="C30" t="s">
        <v>265</v>
      </c>
      <c r="D30" s="16" t="s">
        <v>209</v>
      </c>
      <c r="E30" s="23">
        <f>'T53'!K50</f>
        <v>886151.4923279041</v>
      </c>
      <c r="F30" s="23">
        <f>'T53'!L50</f>
        <v>840851.76948679006</v>
      </c>
      <c r="G30" s="23">
        <f>'T53'!M50</f>
        <v>871065.50218498614</v>
      </c>
      <c r="H30" s="23">
        <f>'T53'!N50</f>
        <v>902317.91473524086</v>
      </c>
      <c r="I30" s="23">
        <f>'T53'!O50</f>
        <v>934626.78077415144</v>
      </c>
      <c r="J30" s="23">
        <v>809151.4923279041</v>
      </c>
      <c r="K30" s="23">
        <f t="shared" si="4"/>
        <v>-77000</v>
      </c>
      <c r="L30" s="23">
        <v>843632.04839911789</v>
      </c>
      <c r="M30" s="23">
        <f t="shared" si="5"/>
        <v>2780.2789123278344</v>
      </c>
      <c r="N30" s="23">
        <v>879563.40346389846</v>
      </c>
      <c r="O30" s="23">
        <f t="shared" si="6"/>
        <v>8497.9012789123226</v>
      </c>
      <c r="P30" s="23">
        <v>917008.92634010431</v>
      </c>
      <c r="Q30" s="23">
        <f t="shared" si="7"/>
        <v>14691.011604863452</v>
      </c>
      <c r="R30" s="107" t="s">
        <v>363</v>
      </c>
      <c r="S30" s="107">
        <v>809152</v>
      </c>
      <c r="T30" s="107">
        <v>843632</v>
      </c>
      <c r="U30" s="107">
        <v>879563</v>
      </c>
      <c r="V30" s="107">
        <v>917009</v>
      </c>
      <c r="X30" s="105">
        <f t="shared" si="0"/>
        <v>-76999.492327904096</v>
      </c>
      <c r="Y30" s="105">
        <f t="shared" si="1"/>
        <v>2780.2305132099427</v>
      </c>
      <c r="Z30" s="105">
        <f t="shared" si="2"/>
        <v>8497.4978150138631</v>
      </c>
      <c r="AA30" s="105">
        <f t="shared" si="3"/>
        <v>14691.085264759138</v>
      </c>
    </row>
    <row r="31" spans="1:27" x14ac:dyDescent="0.3">
      <c r="A31" s="109" t="s">
        <v>266</v>
      </c>
      <c r="B31" t="s">
        <v>96</v>
      </c>
      <c r="C31" t="s">
        <v>267</v>
      </c>
      <c r="D31" s="16" t="s">
        <v>209</v>
      </c>
      <c r="E31" s="23">
        <f>'T54'!K34</f>
        <v>134868</v>
      </c>
      <c r="F31" s="23">
        <f>'T54'!L34</f>
        <v>140533</v>
      </c>
      <c r="G31" s="23">
        <f>'T54'!M34</f>
        <v>145733</v>
      </c>
      <c r="H31" s="23">
        <f>'T54'!N34</f>
        <v>151125</v>
      </c>
      <c r="I31" s="23">
        <f>'T54'!O34</f>
        <v>156717</v>
      </c>
      <c r="J31" s="23">
        <v>134868</v>
      </c>
      <c r="K31" s="23">
        <f t="shared" si="4"/>
        <v>0</v>
      </c>
      <c r="L31" s="23">
        <v>141072</v>
      </c>
      <c r="M31" s="23">
        <f t="shared" si="5"/>
        <v>539</v>
      </c>
      <c r="N31" s="23">
        <v>147562</v>
      </c>
      <c r="O31" s="23">
        <f t="shared" si="6"/>
        <v>1829</v>
      </c>
      <c r="P31" s="23">
        <v>154350</v>
      </c>
      <c r="Q31" s="23">
        <f t="shared" si="7"/>
        <v>3225</v>
      </c>
      <c r="R31" s="107" t="s">
        <v>364</v>
      </c>
      <c r="S31" s="107">
        <v>134868</v>
      </c>
      <c r="T31" s="107">
        <v>141072</v>
      </c>
      <c r="U31" s="107">
        <v>147562</v>
      </c>
      <c r="V31" s="107">
        <v>154350</v>
      </c>
      <c r="X31" s="105">
        <f t="shared" si="0"/>
        <v>0</v>
      </c>
      <c r="Y31" s="105">
        <f t="shared" si="1"/>
        <v>539</v>
      </c>
      <c r="Z31" s="105">
        <f t="shared" si="2"/>
        <v>1829</v>
      </c>
      <c r="AA31" s="105">
        <f t="shared" si="3"/>
        <v>3225</v>
      </c>
    </row>
    <row r="32" spans="1:27" x14ac:dyDescent="0.3">
      <c r="A32" s="109" t="s">
        <v>268</v>
      </c>
      <c r="B32" t="s">
        <v>97</v>
      </c>
      <c r="C32" t="s">
        <v>269</v>
      </c>
      <c r="D32" s="16" t="s">
        <v>209</v>
      </c>
      <c r="E32" s="23">
        <f>'T55'!K33</f>
        <v>183726.12</v>
      </c>
      <c r="F32" s="23">
        <f>'T55'!L33</f>
        <v>188904</v>
      </c>
      <c r="G32" s="23">
        <f>'T55'!M33</f>
        <v>194166</v>
      </c>
      <c r="H32" s="23">
        <f>'T55'!N33</f>
        <v>199583</v>
      </c>
      <c r="I32" s="23">
        <f>'T55'!O33</f>
        <v>205158</v>
      </c>
      <c r="J32" s="23">
        <v>183726.12</v>
      </c>
      <c r="K32" s="23">
        <f t="shared" si="4"/>
        <v>0</v>
      </c>
      <c r="L32" s="23">
        <v>189277</v>
      </c>
      <c r="M32" s="23">
        <f t="shared" si="5"/>
        <v>373</v>
      </c>
      <c r="N32" s="23">
        <v>195020</v>
      </c>
      <c r="O32" s="23">
        <f t="shared" si="6"/>
        <v>854</v>
      </c>
      <c r="P32" s="23">
        <v>200962</v>
      </c>
      <c r="Q32" s="23">
        <f t="shared" si="7"/>
        <v>1379</v>
      </c>
      <c r="R32" s="107" t="s">
        <v>365</v>
      </c>
      <c r="S32" s="107">
        <v>183726</v>
      </c>
      <c r="T32" s="107">
        <v>189277</v>
      </c>
      <c r="U32" s="107">
        <v>195020</v>
      </c>
      <c r="V32" s="107">
        <v>200962</v>
      </c>
      <c r="X32" s="105">
        <f t="shared" si="0"/>
        <v>-0.11999999999534339</v>
      </c>
      <c r="Y32" s="105">
        <f t="shared" si="1"/>
        <v>373</v>
      </c>
      <c r="Z32" s="105">
        <f t="shared" si="2"/>
        <v>854</v>
      </c>
      <c r="AA32" s="105">
        <f t="shared" si="3"/>
        <v>1379</v>
      </c>
    </row>
    <row r="33" spans="1:29" x14ac:dyDescent="0.3">
      <c r="A33" s="109" t="s">
        <v>270</v>
      </c>
      <c r="B33" t="s">
        <v>98</v>
      </c>
      <c r="C33" t="s">
        <v>271</v>
      </c>
      <c r="D33" s="16" t="s">
        <v>209</v>
      </c>
      <c r="E33" s="23">
        <f>'T56'!K33</f>
        <v>1007683.7293972897</v>
      </c>
      <c r="F33" s="23">
        <f>'T56'!L33</f>
        <v>949093.34838498943</v>
      </c>
      <c r="G33" s="23">
        <f>'T56'!M33</f>
        <v>964852.89427523408</v>
      </c>
      <c r="H33" s="23">
        <f>'T56'!N33</f>
        <v>980936.17836341762</v>
      </c>
      <c r="I33" s="23">
        <f>'T56'!O33</f>
        <v>996641.17836341762</v>
      </c>
      <c r="J33" s="23">
        <v>1007683.7293972897</v>
      </c>
      <c r="K33" s="23">
        <f t="shared" si="4"/>
        <v>0</v>
      </c>
      <c r="L33" s="23">
        <v>923106.34838498943</v>
      </c>
      <c r="M33" s="23">
        <f t="shared" si="5"/>
        <v>-25987</v>
      </c>
      <c r="N33" s="23">
        <v>938853.89427523408</v>
      </c>
      <c r="O33" s="23">
        <f t="shared" si="6"/>
        <v>-25999</v>
      </c>
      <c r="P33" s="23">
        <v>954925.17836341762</v>
      </c>
      <c r="Q33" s="23">
        <f t="shared" si="7"/>
        <v>-26011</v>
      </c>
      <c r="R33" s="107" t="s">
        <v>366</v>
      </c>
      <c r="S33" s="107">
        <v>1033684</v>
      </c>
      <c r="T33" s="107">
        <v>949106</v>
      </c>
      <c r="U33" s="107">
        <v>964854</v>
      </c>
      <c r="V33" s="107">
        <v>980925</v>
      </c>
      <c r="X33" s="2154">
        <f t="shared" si="0"/>
        <v>26000.270602710312</v>
      </c>
      <c r="Y33" s="2154">
        <f t="shared" si="1"/>
        <v>12.65161501057446</v>
      </c>
      <c r="Z33" s="2154">
        <f t="shared" si="2"/>
        <v>1.1057247659191489</v>
      </c>
      <c r="AA33" s="2154">
        <f t="shared" si="3"/>
        <v>-11.178363417624496</v>
      </c>
    </row>
    <row r="34" spans="1:29" x14ac:dyDescent="0.3">
      <c r="A34" s="109" t="s">
        <v>272</v>
      </c>
      <c r="B34" t="s">
        <v>99</v>
      </c>
      <c r="C34" t="s">
        <v>273</v>
      </c>
      <c r="D34" s="16" t="s">
        <v>209</v>
      </c>
      <c r="E34" s="23">
        <f>'T57'!K46</f>
        <v>3759810.8171309908</v>
      </c>
      <c r="F34" s="23">
        <f>'T57'!L46</f>
        <v>3514527.3246275405</v>
      </c>
      <c r="G34" s="23">
        <f>'T57'!M46</f>
        <v>3617129.2199930972</v>
      </c>
      <c r="H34" s="23">
        <f>'T57'!N46</f>
        <v>3718653.5879593967</v>
      </c>
      <c r="I34" s="23">
        <f>'T57'!O46</f>
        <v>3829327.4716578517</v>
      </c>
      <c r="J34" s="23">
        <v>3691899.8171309908</v>
      </c>
      <c r="K34" s="23">
        <f t="shared" si="4"/>
        <v>-67911</v>
      </c>
      <c r="L34" s="23">
        <v>3522446.7873075404</v>
      </c>
      <c r="M34" s="23">
        <f t="shared" si="5"/>
        <v>7919.4626799998805</v>
      </c>
      <c r="N34" s="23">
        <v>3650337.2122096373</v>
      </c>
      <c r="O34" s="23">
        <f t="shared" si="6"/>
        <v>33207.992216540035</v>
      </c>
      <c r="P34" s="23">
        <v>3776788.7720025284</v>
      </c>
      <c r="Q34" s="23">
        <f t="shared" si="7"/>
        <v>58135.184043131769</v>
      </c>
      <c r="R34" s="107" t="s">
        <v>367</v>
      </c>
      <c r="S34" s="107">
        <v>3691898</v>
      </c>
      <c r="T34" s="107">
        <v>3522446</v>
      </c>
      <c r="U34" s="107">
        <v>3645338</v>
      </c>
      <c r="V34" s="107">
        <v>3766788</v>
      </c>
      <c r="X34" s="105">
        <f t="shared" si="0"/>
        <v>-67912.817130990792</v>
      </c>
      <c r="Y34" s="105">
        <f t="shared" si="1"/>
        <v>7918.67537245946</v>
      </c>
      <c r="Z34" s="105">
        <f t="shared" si="2"/>
        <v>28208.780006902758</v>
      </c>
      <c r="AA34" s="105">
        <f t="shared" si="3"/>
        <v>48134.412040603347</v>
      </c>
    </row>
    <row r="35" spans="1:29" x14ac:dyDescent="0.3">
      <c r="A35" s="109" t="s">
        <v>274</v>
      </c>
      <c r="B35" t="s">
        <v>101</v>
      </c>
      <c r="C35" t="s">
        <v>275</v>
      </c>
      <c r="D35" s="16" t="s">
        <v>209</v>
      </c>
      <c r="E35" s="23">
        <f>'T61'!K61</f>
        <v>4909998.0579297747</v>
      </c>
      <c r="F35" s="23">
        <f>'T61'!L61</f>
        <v>3579688.2490064576</v>
      </c>
      <c r="G35" s="23">
        <f>'T61'!M61</f>
        <v>3705656.917285142</v>
      </c>
      <c r="H35" s="23">
        <f>'T61'!N61</f>
        <v>3824034.47994341</v>
      </c>
      <c r="I35" s="23">
        <f>'T61'!O61</f>
        <v>3868944.0641941293</v>
      </c>
      <c r="J35" s="23">
        <v>3409998.0579297743</v>
      </c>
      <c r="K35" s="23">
        <f t="shared" si="4"/>
        <v>-1500000.0000000005</v>
      </c>
      <c r="L35" s="23">
        <v>3590552.2490064576</v>
      </c>
      <c r="M35" s="23">
        <f t="shared" si="5"/>
        <v>10864</v>
      </c>
      <c r="N35" s="23">
        <v>3731387.917285142</v>
      </c>
      <c r="O35" s="23">
        <f t="shared" si="6"/>
        <v>25731</v>
      </c>
      <c r="P35" s="23">
        <v>3865906.47994341</v>
      </c>
      <c r="Q35" s="23">
        <f t="shared" si="7"/>
        <v>41872</v>
      </c>
      <c r="R35" s="107" t="s">
        <v>368</v>
      </c>
      <c r="S35" s="107">
        <v>4909998</v>
      </c>
      <c r="T35" s="107">
        <v>3590551</v>
      </c>
      <c r="U35" s="107">
        <v>3731387</v>
      </c>
      <c r="V35" s="107">
        <v>3865906</v>
      </c>
      <c r="X35" s="105">
        <f t="shared" ref="X35:X61" si="8">S35-E35</f>
        <v>-5.792977474629879E-2</v>
      </c>
      <c r="Y35" s="105">
        <f t="shared" ref="Y35:Y61" si="9">T35-F35</f>
        <v>10862.750993542373</v>
      </c>
      <c r="Z35" s="105">
        <f t="shared" ref="Z35:Z61" si="10">U35-G35</f>
        <v>25730.082714857999</v>
      </c>
      <c r="AA35" s="105">
        <f t="shared" ref="AA35:AA61" si="11">V35-H35</f>
        <v>41871.520056589972</v>
      </c>
    </row>
    <row r="36" spans="1:29" x14ac:dyDescent="0.3">
      <c r="A36" s="109" t="s">
        <v>276</v>
      </c>
      <c r="B36" t="s">
        <v>102</v>
      </c>
      <c r="C36" t="s">
        <v>277</v>
      </c>
      <c r="D36" s="16" t="s">
        <v>209</v>
      </c>
      <c r="E36" s="23" t="e">
        <f>#REF!</f>
        <v>#REF!</v>
      </c>
      <c r="F36" s="23" t="e">
        <f>#REF!</f>
        <v>#REF!</v>
      </c>
      <c r="G36" s="23" t="e">
        <f>#REF!</f>
        <v>#REF!</v>
      </c>
      <c r="H36" s="23" t="e">
        <f>#REF!</f>
        <v>#REF!</v>
      </c>
      <c r="I36" s="23" t="e">
        <f>#REF!</f>
        <v>#REF!</v>
      </c>
      <c r="J36" s="23">
        <v>2205080</v>
      </c>
      <c r="K36" s="23" t="e">
        <f t="shared" si="4"/>
        <v>#REF!</v>
      </c>
      <c r="L36" s="23">
        <v>2399654</v>
      </c>
      <c r="M36" s="23" t="e">
        <f t="shared" si="5"/>
        <v>#REF!</v>
      </c>
      <c r="N36" s="23">
        <v>2316517</v>
      </c>
      <c r="O36" s="23" t="e">
        <f t="shared" si="6"/>
        <v>#REF!</v>
      </c>
      <c r="P36" s="23">
        <v>2413629</v>
      </c>
      <c r="Q36" s="23" t="e">
        <f t="shared" si="7"/>
        <v>#REF!</v>
      </c>
      <c r="R36" s="107" t="s">
        <v>369</v>
      </c>
      <c r="S36" s="107">
        <v>2205080</v>
      </c>
      <c r="T36" s="107">
        <v>2399654</v>
      </c>
      <c r="U36" s="107">
        <v>2316517</v>
      </c>
      <c r="V36" s="107">
        <v>2413629</v>
      </c>
      <c r="X36" s="105" t="e">
        <f t="shared" si="8"/>
        <v>#REF!</v>
      </c>
      <c r="Y36" s="105" t="e">
        <f t="shared" si="9"/>
        <v>#REF!</v>
      </c>
      <c r="Z36" s="105" t="e">
        <f t="shared" si="10"/>
        <v>#REF!</v>
      </c>
      <c r="AA36" s="105" t="e">
        <f t="shared" si="11"/>
        <v>#REF!</v>
      </c>
    </row>
    <row r="37" spans="1:29" x14ac:dyDescent="0.3">
      <c r="A37" s="109" t="s">
        <v>278</v>
      </c>
      <c r="B37" t="s">
        <v>103</v>
      </c>
      <c r="C37" t="s">
        <v>279</v>
      </c>
      <c r="D37" s="16" t="s">
        <v>209</v>
      </c>
      <c r="E37" s="23" t="e">
        <f>#REF!</f>
        <v>#REF!</v>
      </c>
      <c r="F37" s="23" t="e">
        <f>#REF!</f>
        <v>#REF!</v>
      </c>
      <c r="G37" s="23" t="e">
        <f>#REF!</f>
        <v>#REF!</v>
      </c>
      <c r="H37" s="23" t="e">
        <f>#REF!</f>
        <v>#REF!</v>
      </c>
      <c r="I37" s="23" t="e">
        <f>#REF!</f>
        <v>#REF!</v>
      </c>
      <c r="J37" s="23">
        <v>667719.30035000003</v>
      </c>
      <c r="K37" s="23" t="e">
        <f t="shared" si="4"/>
        <v>#REF!</v>
      </c>
      <c r="L37" s="23">
        <v>707207.51536750002</v>
      </c>
      <c r="M37" s="23" t="e">
        <f t="shared" si="5"/>
        <v>#REF!</v>
      </c>
      <c r="N37" s="23">
        <v>709141.94113587495</v>
      </c>
      <c r="O37" s="23" t="e">
        <f t="shared" si="6"/>
        <v>#REF!</v>
      </c>
      <c r="P37" s="23">
        <v>734203.33819266874</v>
      </c>
      <c r="Q37" s="23" t="e">
        <f t="shared" si="7"/>
        <v>#REF!</v>
      </c>
      <c r="R37" s="107" t="s">
        <v>370</v>
      </c>
      <c r="S37" s="107">
        <v>667719</v>
      </c>
      <c r="T37" s="107">
        <v>707208</v>
      </c>
      <c r="U37" s="107">
        <v>709142</v>
      </c>
      <c r="V37" s="107">
        <v>734203</v>
      </c>
      <c r="X37" s="105" t="e">
        <f t="shared" si="8"/>
        <v>#REF!</v>
      </c>
      <c r="Y37" s="105" t="e">
        <f t="shared" si="9"/>
        <v>#REF!</v>
      </c>
      <c r="Z37" s="105" t="e">
        <f t="shared" si="10"/>
        <v>#REF!</v>
      </c>
      <c r="AA37" s="105" t="e">
        <f t="shared" si="11"/>
        <v>#REF!</v>
      </c>
    </row>
    <row r="38" spans="1:29" x14ac:dyDescent="0.3">
      <c r="A38" s="109" t="s">
        <v>280</v>
      </c>
      <c r="B38" t="s">
        <v>104</v>
      </c>
      <c r="C38" t="s">
        <v>281</v>
      </c>
      <c r="D38" s="16" t="s">
        <v>209</v>
      </c>
      <c r="E38" s="23">
        <f>'T63'!K58</f>
        <v>11332733.93</v>
      </c>
      <c r="F38" s="2301">
        <f>'T63'!L58</f>
        <v>10727447</v>
      </c>
      <c r="G38" s="23">
        <f>'T63'!M58</f>
        <v>10709251</v>
      </c>
      <c r="H38" s="23">
        <f>'T63'!N58</f>
        <v>10814879</v>
      </c>
      <c r="I38" s="23">
        <f>'T63'!O58</f>
        <v>10798998</v>
      </c>
      <c r="J38" s="23">
        <v>10616556.93</v>
      </c>
      <c r="K38" s="23">
        <f t="shared" si="4"/>
        <v>-716177</v>
      </c>
      <c r="L38" s="23">
        <v>10621796</v>
      </c>
      <c r="M38" s="23">
        <f t="shared" si="5"/>
        <v>-105651</v>
      </c>
      <c r="N38" s="23">
        <v>10732811</v>
      </c>
      <c r="O38" s="23">
        <f t="shared" si="6"/>
        <v>23560</v>
      </c>
      <c r="P38" s="23">
        <v>10855355</v>
      </c>
      <c r="Q38" s="23">
        <f t="shared" si="7"/>
        <v>40476</v>
      </c>
      <c r="R38" s="107" t="s">
        <v>371</v>
      </c>
      <c r="S38" s="107">
        <v>10616557</v>
      </c>
      <c r="T38" s="107">
        <v>10621796</v>
      </c>
      <c r="U38" s="107">
        <v>10732811</v>
      </c>
      <c r="V38" s="107">
        <v>10855355</v>
      </c>
      <c r="X38" s="105">
        <f t="shared" si="8"/>
        <v>-716176.9299999997</v>
      </c>
      <c r="Y38" s="105">
        <f t="shared" si="9"/>
        <v>-105651</v>
      </c>
      <c r="Z38" s="105">
        <f t="shared" si="10"/>
        <v>23560</v>
      </c>
      <c r="AA38" s="105">
        <f t="shared" si="11"/>
        <v>40476</v>
      </c>
    </row>
    <row r="39" spans="1:29" x14ac:dyDescent="0.3">
      <c r="A39" s="109" t="s">
        <v>282</v>
      </c>
      <c r="B39" t="s">
        <v>105</v>
      </c>
      <c r="C39" t="s">
        <v>283</v>
      </c>
      <c r="D39" s="16" t="s">
        <v>209</v>
      </c>
      <c r="E39" s="23" t="e">
        <f>#REF!</f>
        <v>#REF!</v>
      </c>
      <c r="F39" s="23" t="e">
        <f>#REF!</f>
        <v>#REF!</v>
      </c>
      <c r="G39" s="23" t="e">
        <f>#REF!</f>
        <v>#REF!</v>
      </c>
      <c r="H39" s="23" t="e">
        <f>#REF!</f>
        <v>#REF!</v>
      </c>
      <c r="I39" s="23" t="e">
        <f>#REF!</f>
        <v>#REF!</v>
      </c>
      <c r="J39" s="23">
        <v>3559883</v>
      </c>
      <c r="K39" s="23" t="e">
        <f t="shared" si="4"/>
        <v>#REF!</v>
      </c>
      <c r="L39" s="23">
        <v>3395552</v>
      </c>
      <c r="M39" s="23" t="e">
        <f t="shared" si="5"/>
        <v>#REF!</v>
      </c>
      <c r="N39" s="23">
        <v>3240412</v>
      </c>
      <c r="O39" s="23" t="e">
        <f t="shared" si="6"/>
        <v>#REF!</v>
      </c>
      <c r="P39" s="23">
        <v>3240609</v>
      </c>
      <c r="Q39" s="23" t="e">
        <f t="shared" si="7"/>
        <v>#REF!</v>
      </c>
      <c r="R39" s="107" t="s">
        <v>372</v>
      </c>
      <c r="S39" s="107">
        <v>3560789</v>
      </c>
      <c r="T39" s="107">
        <v>3396527</v>
      </c>
      <c r="U39" s="107">
        <v>3241456</v>
      </c>
      <c r="V39" s="107">
        <v>3241723</v>
      </c>
      <c r="X39" s="2154" t="e">
        <f t="shared" si="8"/>
        <v>#REF!</v>
      </c>
      <c r="Y39" s="2154" t="e">
        <f t="shared" si="9"/>
        <v>#REF!</v>
      </c>
      <c r="Z39" s="2154" t="e">
        <f t="shared" si="10"/>
        <v>#REF!</v>
      </c>
      <c r="AA39" s="2154" t="e">
        <f t="shared" si="11"/>
        <v>#REF!</v>
      </c>
    </row>
    <row r="40" spans="1:29" x14ac:dyDescent="0.3">
      <c r="A40" s="109" t="s">
        <v>284</v>
      </c>
      <c r="B40" t="s">
        <v>106</v>
      </c>
      <c r="C40" t="s">
        <v>285</v>
      </c>
      <c r="D40" s="16" t="s">
        <v>209</v>
      </c>
      <c r="E40" s="23">
        <f>'T65'!K45</f>
        <v>2733682.98</v>
      </c>
      <c r="F40" s="23">
        <f>'T65'!L45</f>
        <v>2265920</v>
      </c>
      <c r="G40" s="23">
        <f>'T65'!M45</f>
        <v>2295116</v>
      </c>
      <c r="H40" s="23">
        <f>'T65'!N45</f>
        <v>2392153</v>
      </c>
      <c r="I40" s="23">
        <f>'T65'!O45</f>
        <v>2449043</v>
      </c>
      <c r="J40" s="23">
        <v>2103367.98</v>
      </c>
      <c r="K40" s="23">
        <f t="shared" si="4"/>
        <v>-630315</v>
      </c>
      <c r="L40" s="23">
        <v>2210941</v>
      </c>
      <c r="M40" s="23">
        <f t="shared" si="5"/>
        <v>-54979</v>
      </c>
      <c r="N40" s="23">
        <v>2310500</v>
      </c>
      <c r="O40" s="23">
        <f t="shared" si="6"/>
        <v>15384</v>
      </c>
      <c r="P40" s="23">
        <v>2418846</v>
      </c>
      <c r="Q40" s="23">
        <f t="shared" si="7"/>
        <v>26693</v>
      </c>
      <c r="R40" s="107" t="s">
        <v>373</v>
      </c>
      <c r="S40" s="107">
        <v>2176536</v>
      </c>
      <c r="T40" s="107">
        <v>2270851</v>
      </c>
      <c r="U40" s="107">
        <v>2310500</v>
      </c>
      <c r="V40" s="107">
        <v>2418846</v>
      </c>
      <c r="X40" s="2154">
        <f t="shared" si="8"/>
        <v>-557146.98</v>
      </c>
      <c r="Y40" s="2154">
        <f t="shared" si="9"/>
        <v>4931</v>
      </c>
      <c r="Z40" s="2154">
        <f t="shared" si="10"/>
        <v>15384</v>
      </c>
      <c r="AA40" s="2154">
        <f t="shared" si="11"/>
        <v>26693</v>
      </c>
      <c r="AC40" s="105"/>
    </row>
    <row r="41" spans="1:29" x14ac:dyDescent="0.3">
      <c r="A41" s="109" t="s">
        <v>286</v>
      </c>
      <c r="B41" t="s">
        <v>107</v>
      </c>
      <c r="C41" t="s">
        <v>287</v>
      </c>
      <c r="D41" s="16" t="s">
        <v>209</v>
      </c>
      <c r="E41" s="23" t="e">
        <f>#REF!</f>
        <v>#REF!</v>
      </c>
      <c r="F41" s="23" t="e">
        <f>#REF!</f>
        <v>#REF!</v>
      </c>
      <c r="G41" s="23" t="e">
        <f>#REF!</f>
        <v>#REF!</v>
      </c>
      <c r="H41" s="23" t="e">
        <f>#REF!</f>
        <v>#REF!</v>
      </c>
      <c r="I41" s="23" t="e">
        <f>#REF!</f>
        <v>#REF!</v>
      </c>
      <c r="J41" s="23">
        <v>976550</v>
      </c>
      <c r="K41" s="23" t="e">
        <f t="shared" si="4"/>
        <v>#REF!</v>
      </c>
      <c r="L41" s="23">
        <v>984930</v>
      </c>
      <c r="M41" s="23" t="e">
        <f t="shared" si="5"/>
        <v>#REF!</v>
      </c>
      <c r="N41" s="23">
        <v>1006830</v>
      </c>
      <c r="O41" s="23" t="e">
        <f t="shared" si="6"/>
        <v>#REF!</v>
      </c>
      <c r="P41" s="23">
        <v>1029220</v>
      </c>
      <c r="Q41" s="23" t="e">
        <f t="shared" si="7"/>
        <v>#REF!</v>
      </c>
      <c r="R41" s="107" t="s">
        <v>374</v>
      </c>
      <c r="S41" s="107">
        <v>976550</v>
      </c>
      <c r="T41" s="107">
        <v>984930</v>
      </c>
      <c r="U41" s="107">
        <v>1006830</v>
      </c>
      <c r="V41" s="107">
        <v>1029220</v>
      </c>
      <c r="X41" s="105" t="e">
        <f t="shared" si="8"/>
        <v>#REF!</v>
      </c>
      <c r="Y41" s="105" t="e">
        <f t="shared" si="9"/>
        <v>#REF!</v>
      </c>
      <c r="Z41" s="105" t="e">
        <f t="shared" si="10"/>
        <v>#REF!</v>
      </c>
      <c r="AA41" s="105" t="e">
        <f t="shared" si="11"/>
        <v>#REF!</v>
      </c>
    </row>
    <row r="42" spans="1:29" x14ac:dyDescent="0.3">
      <c r="A42" s="109" t="s">
        <v>288</v>
      </c>
      <c r="B42" t="s">
        <v>108</v>
      </c>
      <c r="C42" t="s">
        <v>289</v>
      </c>
      <c r="D42" s="16" t="s">
        <v>209</v>
      </c>
      <c r="E42" s="23" t="e">
        <f>#REF!</f>
        <v>#REF!</v>
      </c>
      <c r="F42" s="23" t="e">
        <f>#REF!</f>
        <v>#REF!</v>
      </c>
      <c r="G42" s="23" t="e">
        <f>#REF!</f>
        <v>#REF!</v>
      </c>
      <c r="H42" s="23" t="e">
        <f>#REF!</f>
        <v>#REF!</v>
      </c>
      <c r="I42" s="23" t="e">
        <f>#REF!</f>
        <v>#REF!</v>
      </c>
      <c r="J42" s="23">
        <v>2666800</v>
      </c>
      <c r="K42" s="23" t="e">
        <f t="shared" si="4"/>
        <v>#REF!</v>
      </c>
      <c r="L42" s="23">
        <v>2789300</v>
      </c>
      <c r="M42" s="23" t="e">
        <f t="shared" si="5"/>
        <v>#REF!</v>
      </c>
      <c r="N42" s="23">
        <v>2917900</v>
      </c>
      <c r="O42" s="23" t="e">
        <f t="shared" si="6"/>
        <v>#REF!</v>
      </c>
      <c r="P42" s="23">
        <v>3051900</v>
      </c>
      <c r="Q42" s="23" t="e">
        <f t="shared" si="7"/>
        <v>#REF!</v>
      </c>
      <c r="R42" s="107" t="s">
        <v>375</v>
      </c>
      <c r="S42" s="107">
        <v>2666800</v>
      </c>
      <c r="T42" s="107">
        <v>2789300</v>
      </c>
      <c r="U42" s="107">
        <v>2917900</v>
      </c>
      <c r="V42" s="107">
        <v>3051900</v>
      </c>
      <c r="X42" s="105" t="e">
        <f t="shared" si="8"/>
        <v>#REF!</v>
      </c>
      <c r="Y42" s="105" t="e">
        <f t="shared" si="9"/>
        <v>#REF!</v>
      </c>
      <c r="Z42" s="105" t="e">
        <f t="shared" si="10"/>
        <v>#REF!</v>
      </c>
      <c r="AA42" s="105" t="e">
        <f t="shared" si="11"/>
        <v>#REF!</v>
      </c>
    </row>
    <row r="43" spans="1:29" x14ac:dyDescent="0.3">
      <c r="A43" s="109" t="s">
        <v>290</v>
      </c>
      <c r="B43" t="s">
        <v>109</v>
      </c>
      <c r="C43" t="s">
        <v>291</v>
      </c>
      <c r="D43" s="16" t="s">
        <v>209</v>
      </c>
      <c r="E43" s="23" t="e">
        <f>#REF!</f>
        <v>#REF!</v>
      </c>
      <c r="F43" s="23" t="e">
        <f>#REF!</f>
        <v>#REF!</v>
      </c>
      <c r="G43" s="23" t="e">
        <f>#REF!</f>
        <v>#REF!</v>
      </c>
      <c r="H43" s="23" t="e">
        <f>#REF!</f>
        <v>#REF!</v>
      </c>
      <c r="I43" s="23" t="e">
        <f>#REF!</f>
        <v>#REF!</v>
      </c>
      <c r="J43" s="23">
        <v>1933275</v>
      </c>
      <c r="K43" s="23" t="e">
        <f t="shared" si="4"/>
        <v>#REF!</v>
      </c>
      <c r="L43" s="23">
        <v>2140302</v>
      </c>
      <c r="M43" s="23" t="e">
        <f t="shared" si="5"/>
        <v>#REF!</v>
      </c>
      <c r="N43" s="23">
        <v>2329252</v>
      </c>
      <c r="O43" s="23" t="e">
        <f t="shared" si="6"/>
        <v>#REF!</v>
      </c>
      <c r="P43" s="23">
        <v>2410327</v>
      </c>
      <c r="Q43" s="23" t="e">
        <f t="shared" si="7"/>
        <v>#REF!</v>
      </c>
      <c r="R43" s="107" t="s">
        <v>376</v>
      </c>
      <c r="S43" s="107">
        <v>1933275</v>
      </c>
      <c r="T43" s="107">
        <v>2140302</v>
      </c>
      <c r="U43" s="107">
        <v>2329252</v>
      </c>
      <c r="V43" s="107">
        <v>2410327</v>
      </c>
      <c r="X43" s="105" t="e">
        <f t="shared" si="8"/>
        <v>#REF!</v>
      </c>
      <c r="Y43" s="105" t="e">
        <f t="shared" si="9"/>
        <v>#REF!</v>
      </c>
      <c r="Z43" s="105" t="e">
        <f t="shared" si="10"/>
        <v>#REF!</v>
      </c>
      <c r="AA43" s="105" t="e">
        <f t="shared" si="11"/>
        <v>#REF!</v>
      </c>
    </row>
    <row r="44" spans="1:29" x14ac:dyDescent="0.3">
      <c r="A44" s="109" t="s">
        <v>292</v>
      </c>
      <c r="B44" t="s">
        <v>110</v>
      </c>
      <c r="C44" t="s">
        <v>293</v>
      </c>
      <c r="D44" s="16" t="s">
        <v>209</v>
      </c>
      <c r="E44" s="23" t="e">
        <f>#REF!</f>
        <v>#REF!</v>
      </c>
      <c r="F44" s="23" t="e">
        <f>#REF!</f>
        <v>#REF!</v>
      </c>
      <c r="G44" s="23" t="e">
        <f>#REF!</f>
        <v>#REF!</v>
      </c>
      <c r="H44" s="23" t="e">
        <f>#REF!</f>
        <v>#REF!</v>
      </c>
      <c r="I44" s="23" t="e">
        <f>#REF!</f>
        <v>#REF!</v>
      </c>
      <c r="J44" s="23">
        <v>732700</v>
      </c>
      <c r="K44" s="23" t="e">
        <f t="shared" si="4"/>
        <v>#REF!</v>
      </c>
      <c r="L44" s="23">
        <v>766600</v>
      </c>
      <c r="M44" s="23" t="e">
        <f t="shared" si="5"/>
        <v>#REF!</v>
      </c>
      <c r="N44" s="23">
        <v>802000</v>
      </c>
      <c r="O44" s="23" t="e">
        <f t="shared" si="6"/>
        <v>#REF!</v>
      </c>
      <c r="P44" s="23">
        <v>838900</v>
      </c>
      <c r="Q44" s="23" t="e">
        <f t="shared" si="7"/>
        <v>#REF!</v>
      </c>
      <c r="R44" s="107" t="s">
        <v>377</v>
      </c>
      <c r="S44" s="107">
        <v>732700</v>
      </c>
      <c r="T44" s="107">
        <v>766600</v>
      </c>
      <c r="U44" s="107">
        <v>802000</v>
      </c>
      <c r="V44" s="107">
        <v>838900</v>
      </c>
      <c r="X44" s="105" t="e">
        <f t="shared" si="8"/>
        <v>#REF!</v>
      </c>
      <c r="Y44" s="105" t="e">
        <f t="shared" si="9"/>
        <v>#REF!</v>
      </c>
      <c r="Z44" s="105" t="e">
        <f t="shared" si="10"/>
        <v>#REF!</v>
      </c>
      <c r="AA44" s="105" t="e">
        <f t="shared" si="11"/>
        <v>#REF!</v>
      </c>
    </row>
    <row r="45" spans="1:29" x14ac:dyDescent="0.3">
      <c r="A45" s="109" t="s">
        <v>294</v>
      </c>
      <c r="B45" t="s">
        <v>111</v>
      </c>
      <c r="C45" t="s">
        <v>295</v>
      </c>
      <c r="D45" s="16" t="s">
        <v>209</v>
      </c>
      <c r="E45" s="23" t="e">
        <f>#REF!</f>
        <v>#REF!</v>
      </c>
      <c r="F45" s="23" t="e">
        <f>#REF!</f>
        <v>#REF!</v>
      </c>
      <c r="G45" s="23" t="e">
        <f>#REF!</f>
        <v>#REF!</v>
      </c>
      <c r="H45" s="23" t="e">
        <f>#REF!</f>
        <v>#REF!</v>
      </c>
      <c r="I45" s="23" t="e">
        <f>#REF!</f>
        <v>#REF!</v>
      </c>
      <c r="J45" s="23">
        <v>63500</v>
      </c>
      <c r="K45" s="23" t="e">
        <f t="shared" si="4"/>
        <v>#REF!</v>
      </c>
      <c r="L45" s="23">
        <v>66400</v>
      </c>
      <c r="M45" s="23" t="e">
        <f t="shared" si="5"/>
        <v>#REF!</v>
      </c>
      <c r="N45" s="23">
        <v>69500</v>
      </c>
      <c r="O45" s="23" t="e">
        <f t="shared" si="6"/>
        <v>#REF!</v>
      </c>
      <c r="P45" s="23">
        <v>72700</v>
      </c>
      <c r="Q45" s="23" t="e">
        <f t="shared" si="7"/>
        <v>#REF!</v>
      </c>
      <c r="R45" s="107" t="s">
        <v>378</v>
      </c>
      <c r="S45" s="107">
        <v>63500</v>
      </c>
      <c r="T45" s="107">
        <v>66400</v>
      </c>
      <c r="U45" s="107">
        <v>69500</v>
      </c>
      <c r="V45" s="107">
        <v>72700</v>
      </c>
      <c r="X45" s="105" t="e">
        <f t="shared" si="8"/>
        <v>#REF!</v>
      </c>
      <c r="Y45" s="105" t="e">
        <f t="shared" si="9"/>
        <v>#REF!</v>
      </c>
      <c r="Z45" s="105" t="e">
        <f t="shared" si="10"/>
        <v>#REF!</v>
      </c>
      <c r="AA45" s="105" t="e">
        <f t="shared" si="11"/>
        <v>#REF!</v>
      </c>
    </row>
    <row r="46" spans="1:29" x14ac:dyDescent="0.3">
      <c r="A46" s="109" t="s">
        <v>296</v>
      </c>
      <c r="B46" t="s">
        <v>112</v>
      </c>
      <c r="C46" t="s">
        <v>297</v>
      </c>
      <c r="D46" s="16" t="s">
        <v>209</v>
      </c>
      <c r="E46" s="23" t="e">
        <f>#REF!</f>
        <v>#REF!</v>
      </c>
      <c r="F46" s="23" t="e">
        <f>#REF!</f>
        <v>#REF!</v>
      </c>
      <c r="G46" s="23" t="e">
        <f>#REF!</f>
        <v>#REF!</v>
      </c>
      <c r="H46" s="23" t="e">
        <f>#REF!</f>
        <v>#REF!</v>
      </c>
      <c r="I46" s="23" t="e">
        <f>#REF!</f>
        <v>#REF!</v>
      </c>
      <c r="J46" s="23">
        <v>7706287</v>
      </c>
      <c r="K46" s="23" t="e">
        <f t="shared" si="4"/>
        <v>#REF!</v>
      </c>
      <c r="L46" s="23">
        <v>8002136</v>
      </c>
      <c r="M46" s="23" t="e">
        <f t="shared" si="5"/>
        <v>#REF!</v>
      </c>
      <c r="N46" s="23">
        <v>8334234</v>
      </c>
      <c r="O46" s="23" t="e">
        <f t="shared" si="6"/>
        <v>#REF!</v>
      </c>
      <c r="P46" s="23">
        <v>8610896</v>
      </c>
      <c r="Q46" s="23" t="e">
        <f t="shared" si="7"/>
        <v>#REF!</v>
      </c>
      <c r="R46" s="107" t="s">
        <v>379</v>
      </c>
      <c r="S46" s="107">
        <v>7706287</v>
      </c>
      <c r="T46" s="107">
        <v>8002136</v>
      </c>
      <c r="U46" s="107">
        <v>6834234</v>
      </c>
      <c r="V46" s="107">
        <v>7110896</v>
      </c>
      <c r="X46" s="105" t="e">
        <f t="shared" si="8"/>
        <v>#REF!</v>
      </c>
      <c r="Y46" s="105" t="e">
        <f t="shared" si="9"/>
        <v>#REF!</v>
      </c>
      <c r="Z46" s="2153" t="e">
        <f t="shared" si="10"/>
        <v>#REF!</v>
      </c>
      <c r="AA46" s="2153" t="e">
        <f t="shared" si="11"/>
        <v>#REF!</v>
      </c>
    </row>
    <row r="47" spans="1:29" x14ac:dyDescent="0.3">
      <c r="A47" s="109" t="s">
        <v>298</v>
      </c>
      <c r="B47" t="s">
        <v>113</v>
      </c>
      <c r="C47" t="s">
        <v>299</v>
      </c>
      <c r="D47" s="16" t="s">
        <v>209</v>
      </c>
      <c r="E47" s="23" t="e">
        <f>#REF!</f>
        <v>#REF!</v>
      </c>
      <c r="F47" s="23" t="e">
        <f>#REF!</f>
        <v>#REF!</v>
      </c>
      <c r="G47" s="23" t="e">
        <f>#REF!</f>
        <v>#REF!</v>
      </c>
      <c r="H47" s="23" t="e">
        <f>#REF!</f>
        <v>#REF!</v>
      </c>
      <c r="I47" s="23" t="e">
        <f>#REF!</f>
        <v>#REF!</v>
      </c>
      <c r="J47" s="23">
        <v>1885000</v>
      </c>
      <c r="K47" s="23" t="e">
        <f t="shared" si="4"/>
        <v>#REF!</v>
      </c>
      <c r="L47" s="23">
        <v>1971000</v>
      </c>
      <c r="M47" s="23" t="e">
        <f t="shared" si="5"/>
        <v>#REF!</v>
      </c>
      <c r="N47" s="23">
        <v>2062000</v>
      </c>
      <c r="O47" s="23" t="e">
        <f t="shared" si="6"/>
        <v>#REF!</v>
      </c>
      <c r="P47" s="23">
        <v>2155000</v>
      </c>
      <c r="Q47" s="23" t="e">
        <f t="shared" si="7"/>
        <v>#REF!</v>
      </c>
      <c r="R47" s="112" t="s">
        <v>380</v>
      </c>
      <c r="S47" s="112">
        <v>1885000</v>
      </c>
      <c r="T47" s="112">
        <v>1971000</v>
      </c>
      <c r="U47" s="112">
        <v>2062000</v>
      </c>
      <c r="V47" s="112">
        <v>2155000</v>
      </c>
      <c r="X47" s="105" t="e">
        <f t="shared" si="8"/>
        <v>#REF!</v>
      </c>
      <c r="Y47" s="105" t="e">
        <f t="shared" si="9"/>
        <v>#REF!</v>
      </c>
      <c r="Z47" s="105" t="e">
        <f t="shared" si="10"/>
        <v>#REF!</v>
      </c>
      <c r="AA47" s="105" t="e">
        <f t="shared" si="11"/>
        <v>#REF!</v>
      </c>
    </row>
    <row r="48" spans="1:29" x14ac:dyDescent="0.3">
      <c r="A48" s="109" t="s">
        <v>47</v>
      </c>
      <c r="E48" s="23" t="e">
        <f>#REF!</f>
        <v>#REF!</v>
      </c>
      <c r="F48" s="23" t="e">
        <f>#REF!</f>
        <v>#REF!</v>
      </c>
      <c r="G48" s="23" t="e">
        <f>#REF!</f>
        <v>#REF!</v>
      </c>
      <c r="H48" s="23" t="e">
        <f>#REF!</f>
        <v>#REF!</v>
      </c>
      <c r="I48" s="23" t="e">
        <f>#REF!</f>
        <v>#REF!</v>
      </c>
      <c r="J48" s="23">
        <v>382000</v>
      </c>
      <c r="K48" s="23" t="e">
        <f t="shared" si="4"/>
        <v>#REF!</v>
      </c>
      <c r="L48" s="23">
        <v>400000</v>
      </c>
      <c r="M48" s="23" t="e">
        <f t="shared" si="5"/>
        <v>#REF!</v>
      </c>
      <c r="N48" s="23">
        <v>418000</v>
      </c>
      <c r="O48" s="23" t="e">
        <f t="shared" si="6"/>
        <v>#REF!</v>
      </c>
      <c r="P48" s="23">
        <v>437000</v>
      </c>
      <c r="Q48" s="23" t="e">
        <f t="shared" si="7"/>
        <v>#REF!</v>
      </c>
      <c r="R48" s="112" t="s">
        <v>5298</v>
      </c>
      <c r="S48" s="112">
        <v>382000</v>
      </c>
      <c r="T48" s="112">
        <v>400000</v>
      </c>
      <c r="U48" s="112">
        <v>418000</v>
      </c>
      <c r="V48" s="112">
        <v>437000</v>
      </c>
      <c r="X48" s="105" t="e">
        <f t="shared" si="8"/>
        <v>#REF!</v>
      </c>
      <c r="Y48" s="105" t="e">
        <f t="shared" si="9"/>
        <v>#REF!</v>
      </c>
      <c r="Z48" s="105" t="e">
        <f t="shared" si="10"/>
        <v>#REF!</v>
      </c>
      <c r="AA48" s="105" t="e">
        <f t="shared" si="11"/>
        <v>#REF!</v>
      </c>
    </row>
    <row r="49" spans="1:27" x14ac:dyDescent="0.3">
      <c r="A49" s="109" t="s">
        <v>48</v>
      </c>
      <c r="E49" s="23" t="e">
        <f>#REF!</f>
        <v>#REF!</v>
      </c>
      <c r="F49" s="23" t="e">
        <f>#REF!</f>
        <v>#REF!</v>
      </c>
      <c r="G49" s="23" t="e">
        <f>#REF!</f>
        <v>#REF!</v>
      </c>
      <c r="H49" s="23" t="e">
        <f>#REF!</f>
        <v>#REF!</v>
      </c>
      <c r="I49" s="23" t="e">
        <f>#REF!</f>
        <v>#REF!</v>
      </c>
      <c r="J49" s="23">
        <v>554000</v>
      </c>
      <c r="K49" s="23" t="e">
        <f t="shared" si="4"/>
        <v>#REF!</v>
      </c>
      <c r="L49" s="23">
        <v>579000</v>
      </c>
      <c r="M49" s="23" t="e">
        <f t="shared" si="5"/>
        <v>#REF!</v>
      </c>
      <c r="N49" s="23">
        <v>606000</v>
      </c>
      <c r="O49" s="23" t="e">
        <f t="shared" si="6"/>
        <v>#REF!</v>
      </c>
      <c r="P49" s="23">
        <v>634000</v>
      </c>
      <c r="Q49" s="23" t="e">
        <f t="shared" si="7"/>
        <v>#REF!</v>
      </c>
      <c r="R49" s="112" t="s">
        <v>5299</v>
      </c>
      <c r="S49" s="112">
        <v>554000</v>
      </c>
      <c r="T49" s="112">
        <v>579000</v>
      </c>
      <c r="U49" s="112">
        <v>606000</v>
      </c>
      <c r="V49" s="112">
        <v>634000</v>
      </c>
      <c r="X49" s="105" t="e">
        <f t="shared" si="8"/>
        <v>#REF!</v>
      </c>
      <c r="Y49" s="105" t="e">
        <f t="shared" si="9"/>
        <v>#REF!</v>
      </c>
      <c r="Z49" s="105" t="e">
        <f t="shared" si="10"/>
        <v>#REF!</v>
      </c>
      <c r="AA49" s="105" t="e">
        <f t="shared" si="11"/>
        <v>#REF!</v>
      </c>
    </row>
    <row r="50" spans="1:27" x14ac:dyDescent="0.3">
      <c r="A50" s="109" t="s">
        <v>300</v>
      </c>
      <c r="B50" t="s">
        <v>116</v>
      </c>
      <c r="C50" t="s">
        <v>301</v>
      </c>
      <c r="D50" s="16" t="s">
        <v>209</v>
      </c>
      <c r="E50" s="23" t="e">
        <f>#REF!</f>
        <v>#REF!</v>
      </c>
      <c r="F50" s="23" t="e">
        <f>#REF!</f>
        <v>#REF!</v>
      </c>
      <c r="G50" s="23" t="e">
        <f>#REF!</f>
        <v>#REF!</v>
      </c>
      <c r="H50" s="23" t="e">
        <f>#REF!</f>
        <v>#REF!</v>
      </c>
      <c r="I50" s="23" t="e">
        <f>#REF!</f>
        <v>#REF!</v>
      </c>
      <c r="J50" s="23">
        <v>429000</v>
      </c>
      <c r="K50" s="23" t="e">
        <f t="shared" si="4"/>
        <v>#REF!</v>
      </c>
      <c r="L50" s="23">
        <v>449000</v>
      </c>
      <c r="M50" s="23" t="e">
        <f t="shared" si="5"/>
        <v>#REF!</v>
      </c>
      <c r="N50" s="23">
        <v>470000</v>
      </c>
      <c r="O50" s="23" t="e">
        <f t="shared" si="6"/>
        <v>#REF!</v>
      </c>
      <c r="P50" s="23">
        <v>491000</v>
      </c>
      <c r="Q50" s="23" t="e">
        <f t="shared" si="7"/>
        <v>#REF!</v>
      </c>
      <c r="R50" s="107" t="s">
        <v>381</v>
      </c>
      <c r="S50" s="107">
        <v>429000</v>
      </c>
      <c r="T50" s="107">
        <v>449000</v>
      </c>
      <c r="U50" s="107">
        <v>470000</v>
      </c>
      <c r="V50" s="107">
        <v>491000</v>
      </c>
      <c r="X50" s="105" t="e">
        <f t="shared" si="8"/>
        <v>#REF!</v>
      </c>
      <c r="Y50" s="105" t="e">
        <f t="shared" si="9"/>
        <v>#REF!</v>
      </c>
      <c r="Z50" s="105" t="e">
        <f t="shared" si="10"/>
        <v>#REF!</v>
      </c>
      <c r="AA50" s="105" t="e">
        <f t="shared" si="11"/>
        <v>#REF!</v>
      </c>
    </row>
    <row r="51" spans="1:27" x14ac:dyDescent="0.3">
      <c r="A51" s="109" t="s">
        <v>302</v>
      </c>
      <c r="B51" t="s">
        <v>117</v>
      </c>
      <c r="C51" t="s">
        <v>303</v>
      </c>
      <c r="D51" s="16" t="s">
        <v>209</v>
      </c>
      <c r="E51" s="23" t="e">
        <f>#REF!</f>
        <v>#REF!</v>
      </c>
      <c r="F51" s="23" t="e">
        <f>#REF!</f>
        <v>#REF!</v>
      </c>
      <c r="G51" s="23" t="e">
        <f>#REF!</f>
        <v>#REF!</v>
      </c>
      <c r="H51" s="23" t="e">
        <f>#REF!</f>
        <v>#REF!</v>
      </c>
      <c r="I51" s="23" t="e">
        <f>#REF!</f>
        <v>#REF!</v>
      </c>
      <c r="J51" s="23">
        <v>85000</v>
      </c>
      <c r="K51" s="23" t="e">
        <f t="shared" si="4"/>
        <v>#REF!</v>
      </c>
      <c r="L51" s="23">
        <v>89000</v>
      </c>
      <c r="M51" s="23" t="e">
        <f t="shared" si="5"/>
        <v>#REF!</v>
      </c>
      <c r="N51" s="23">
        <v>93000</v>
      </c>
      <c r="O51" s="23" t="e">
        <f t="shared" si="6"/>
        <v>#REF!</v>
      </c>
      <c r="P51" s="23">
        <v>97000</v>
      </c>
      <c r="Q51" s="23" t="e">
        <f t="shared" si="7"/>
        <v>#REF!</v>
      </c>
      <c r="R51" s="107" t="s">
        <v>382</v>
      </c>
      <c r="S51" s="107">
        <v>85000</v>
      </c>
      <c r="T51" s="107">
        <v>89000</v>
      </c>
      <c r="U51" s="107">
        <v>93000</v>
      </c>
      <c r="V51" s="107">
        <v>97000</v>
      </c>
      <c r="X51" s="105" t="e">
        <f t="shared" si="8"/>
        <v>#REF!</v>
      </c>
      <c r="Y51" s="105" t="e">
        <f t="shared" si="9"/>
        <v>#REF!</v>
      </c>
      <c r="Z51" s="105" t="e">
        <f t="shared" si="10"/>
        <v>#REF!</v>
      </c>
      <c r="AA51" s="105" t="e">
        <f t="shared" si="11"/>
        <v>#REF!</v>
      </c>
    </row>
    <row r="52" spans="1:27" x14ac:dyDescent="0.3">
      <c r="A52" s="109" t="s">
        <v>304</v>
      </c>
      <c r="B52" t="s">
        <v>118</v>
      </c>
      <c r="C52" t="s">
        <v>305</v>
      </c>
      <c r="D52" s="16" t="s">
        <v>209</v>
      </c>
      <c r="E52" s="23">
        <f>'T691'!K33</f>
        <v>1051284.8700000001</v>
      </c>
      <c r="F52" s="23">
        <f>'T691'!L33</f>
        <v>976024.90354000009</v>
      </c>
      <c r="G52" s="23">
        <f>'T691'!M33</f>
        <v>1012137.4409709801</v>
      </c>
      <c r="H52" s="23">
        <f>'T691'!N33</f>
        <v>1049587.1222869062</v>
      </c>
      <c r="I52" s="23">
        <f>'T691'!O33</f>
        <v>1088422.1728115217</v>
      </c>
      <c r="J52" s="23">
        <v>1051284.8700000001</v>
      </c>
      <c r="K52" s="23">
        <f t="shared" si="4"/>
        <v>0</v>
      </c>
      <c r="L52" s="23">
        <v>979772.62102000008</v>
      </c>
      <c r="M52" s="23">
        <f t="shared" si="5"/>
        <v>3747.7174799999921</v>
      </c>
      <c r="N52" s="23">
        <v>1024841.4395869201</v>
      </c>
      <c r="O52" s="23">
        <f t="shared" si="6"/>
        <v>12703.998615939985</v>
      </c>
      <c r="P52" s="23">
        <v>1071984.1638079183</v>
      </c>
      <c r="Q52" s="23">
        <f t="shared" si="7"/>
        <v>22397.041521012085</v>
      </c>
      <c r="R52" s="107" t="s">
        <v>383</v>
      </c>
      <c r="S52" s="107">
        <v>1051285</v>
      </c>
      <c r="T52" s="107">
        <v>979773</v>
      </c>
      <c r="U52" s="107">
        <v>1024841</v>
      </c>
      <c r="V52" s="107">
        <v>1071984</v>
      </c>
      <c r="X52" s="105">
        <f t="shared" si="8"/>
        <v>0.12999999988824129</v>
      </c>
      <c r="Y52" s="105">
        <f t="shared" si="9"/>
        <v>3748.0964599999133</v>
      </c>
      <c r="Z52" s="105">
        <f t="shared" si="10"/>
        <v>12703.559029019903</v>
      </c>
      <c r="AA52" s="105">
        <f t="shared" si="11"/>
        <v>22396.877713093767</v>
      </c>
    </row>
    <row r="53" spans="1:27" x14ac:dyDescent="0.3">
      <c r="A53" s="109" t="s">
        <v>306</v>
      </c>
      <c r="B53" t="s">
        <v>119</v>
      </c>
      <c r="C53" t="s">
        <v>307</v>
      </c>
      <c r="D53" s="16" t="s">
        <v>209</v>
      </c>
      <c r="E53" s="23">
        <f>'T692'!K40</f>
        <v>1851945.81</v>
      </c>
      <c r="F53" s="23">
        <f>'T692'!L40</f>
        <v>1929728</v>
      </c>
      <c r="G53" s="23">
        <f>'T692'!M40</f>
        <v>2001127</v>
      </c>
      <c r="H53" s="23">
        <f>'T692'!N40</f>
        <v>2075169</v>
      </c>
      <c r="I53" s="23">
        <f>'T692'!O40</f>
        <v>2151951</v>
      </c>
      <c r="J53" s="23">
        <v>1851945.81</v>
      </c>
      <c r="K53" s="23">
        <f t="shared" si="4"/>
        <v>0</v>
      </c>
      <c r="L53" s="23">
        <v>1937135</v>
      </c>
      <c r="M53" s="23">
        <f t="shared" si="5"/>
        <v>7407</v>
      </c>
      <c r="N53" s="23">
        <v>2026244</v>
      </c>
      <c r="O53" s="23">
        <f t="shared" si="6"/>
        <v>25117</v>
      </c>
      <c r="P53" s="23">
        <v>2119451</v>
      </c>
      <c r="Q53" s="23">
        <f t="shared" si="7"/>
        <v>44282</v>
      </c>
      <c r="R53" s="107" t="s">
        <v>384</v>
      </c>
      <c r="S53" s="107">
        <v>1851946</v>
      </c>
      <c r="T53" s="107">
        <v>1937135</v>
      </c>
      <c r="U53" s="107">
        <v>2026244</v>
      </c>
      <c r="V53" s="107">
        <v>2119451</v>
      </c>
      <c r="X53" s="105">
        <f t="shared" si="8"/>
        <v>0.18999999994412065</v>
      </c>
      <c r="Y53" s="105">
        <f t="shared" si="9"/>
        <v>7407</v>
      </c>
      <c r="Z53" s="105">
        <f t="shared" si="10"/>
        <v>25117</v>
      </c>
      <c r="AA53" s="105">
        <f t="shared" si="11"/>
        <v>44282</v>
      </c>
    </row>
    <row r="54" spans="1:27" x14ac:dyDescent="0.3">
      <c r="A54" s="109" t="s">
        <v>308</v>
      </c>
      <c r="B54" t="s">
        <v>120</v>
      </c>
      <c r="C54" t="s">
        <v>309</v>
      </c>
      <c r="D54" s="16" t="s">
        <v>209</v>
      </c>
      <c r="E54" s="23">
        <f>'T71'!K56</f>
        <v>1602422.25</v>
      </c>
      <c r="F54" s="23">
        <f>'T71'!L56</f>
        <v>1665901</v>
      </c>
      <c r="G54" s="23">
        <f>'T71'!M56</f>
        <v>1725279</v>
      </c>
      <c r="H54" s="23">
        <f>'T71'!N56</f>
        <v>1786802</v>
      </c>
      <c r="I54" s="23">
        <f>'T71'!O56</f>
        <v>1849566</v>
      </c>
      <c r="J54" s="23">
        <v>1586422.25</v>
      </c>
      <c r="K54" s="23">
        <f t="shared" si="4"/>
        <v>-16000</v>
      </c>
      <c r="L54" s="23">
        <v>1655916</v>
      </c>
      <c r="M54" s="23">
        <f t="shared" si="5"/>
        <v>-9985</v>
      </c>
      <c r="N54" s="23">
        <v>1728603</v>
      </c>
      <c r="O54" s="23">
        <f t="shared" si="6"/>
        <v>3324</v>
      </c>
      <c r="P54" s="23">
        <v>1804614</v>
      </c>
      <c r="Q54" s="23">
        <f t="shared" si="7"/>
        <v>17812</v>
      </c>
      <c r="R54" s="107" t="s">
        <v>385</v>
      </c>
      <c r="S54" s="107">
        <v>1602422</v>
      </c>
      <c r="T54" s="107">
        <v>1671916</v>
      </c>
      <c r="U54" s="107">
        <v>1745603</v>
      </c>
      <c r="V54" s="107">
        <v>1822614</v>
      </c>
      <c r="X54" s="2154">
        <f t="shared" si="8"/>
        <v>-0.25</v>
      </c>
      <c r="Y54" s="2154">
        <f t="shared" si="9"/>
        <v>6015</v>
      </c>
      <c r="Z54" s="2154">
        <f t="shared" si="10"/>
        <v>20324</v>
      </c>
      <c r="AA54" s="2154">
        <f t="shared" si="11"/>
        <v>35812</v>
      </c>
    </row>
    <row r="55" spans="1:27" x14ac:dyDescent="0.3">
      <c r="A55" s="109" t="s">
        <v>310</v>
      </c>
      <c r="B55" t="s">
        <v>121</v>
      </c>
      <c r="C55" t="s">
        <v>311</v>
      </c>
      <c r="D55" s="16" t="s">
        <v>209</v>
      </c>
      <c r="E55" s="23">
        <f>'T72'!K53</f>
        <v>2273231.1748767141</v>
      </c>
      <c r="F55" s="23">
        <f>'T72'!L53</f>
        <v>2352929.3958198531</v>
      </c>
      <c r="G55" s="23">
        <f>'T72'!M53</f>
        <v>2641245.1766723488</v>
      </c>
      <c r="H55" s="23">
        <f>'T72'!N53</f>
        <v>2726931.0782197132</v>
      </c>
      <c r="I55" s="23">
        <f>'T72'!O53</f>
        <v>2813636.0647143992</v>
      </c>
      <c r="J55" s="23">
        <v>2280810.6764994841</v>
      </c>
      <c r="K55" s="23">
        <f t="shared" si="4"/>
        <v>7579.5016227699816</v>
      </c>
      <c r="L55" s="23">
        <v>2366874.0259704851</v>
      </c>
      <c r="M55" s="23">
        <f t="shared" si="5"/>
        <v>13944.630150632001</v>
      </c>
      <c r="N55" s="23">
        <v>2660138.8237918485</v>
      </c>
      <c r="O55" s="23">
        <f t="shared" si="6"/>
        <v>18893.647119499743</v>
      </c>
      <c r="P55" s="23">
        <v>2751005.4093017546</v>
      </c>
      <c r="Q55" s="23">
        <f t="shared" si="7"/>
        <v>24074.331082041375</v>
      </c>
      <c r="R55" s="107" t="s">
        <v>386</v>
      </c>
      <c r="S55" s="107">
        <v>2280811</v>
      </c>
      <c r="T55" s="107">
        <v>2366874</v>
      </c>
      <c r="U55" s="107">
        <v>2660139</v>
      </c>
      <c r="V55" s="107">
        <v>2751005</v>
      </c>
      <c r="X55" s="105">
        <f t="shared" si="8"/>
        <v>7579.8251232858747</v>
      </c>
      <c r="Y55" s="105">
        <f t="shared" si="9"/>
        <v>13944.60418014694</v>
      </c>
      <c r="Z55" s="105">
        <f t="shared" si="10"/>
        <v>18893.823327651247</v>
      </c>
      <c r="AA55" s="105">
        <f t="shared" si="11"/>
        <v>24073.921780286822</v>
      </c>
    </row>
    <row r="56" spans="1:27" x14ac:dyDescent="0.3">
      <c r="A56" s="109" t="s">
        <v>312</v>
      </c>
      <c r="B56" t="s">
        <v>122</v>
      </c>
      <c r="C56" t="s">
        <v>313</v>
      </c>
      <c r="D56" s="16" t="s">
        <v>209</v>
      </c>
      <c r="E56" s="23">
        <f>'T73'!K51</f>
        <v>5037977.7286</v>
      </c>
      <c r="F56" s="23">
        <f>'T73'!L51</f>
        <v>5146129.6838160008</v>
      </c>
      <c r="G56" s="23">
        <f>'T73'!M51</f>
        <v>5277551.0934104798</v>
      </c>
      <c r="H56" s="23">
        <f>'T73'!N51</f>
        <v>5412461.0772327948</v>
      </c>
      <c r="I56" s="23">
        <f>'T73'!O51</f>
        <v>5590413.2505697785</v>
      </c>
      <c r="J56" s="23">
        <v>5017976.7286</v>
      </c>
      <c r="K56" s="23">
        <f t="shared" si="4"/>
        <v>-20001</v>
      </c>
      <c r="L56" s="23">
        <v>5150760.6838160008</v>
      </c>
      <c r="M56" s="23">
        <f t="shared" si="5"/>
        <v>4631</v>
      </c>
      <c r="N56" s="23">
        <v>5286616.0934104798</v>
      </c>
      <c r="O56" s="23">
        <f t="shared" si="6"/>
        <v>9065</v>
      </c>
      <c r="P56" s="23">
        <v>5426397.0772327948</v>
      </c>
      <c r="Q56" s="23">
        <f t="shared" si="7"/>
        <v>13936</v>
      </c>
      <c r="R56" s="107" t="s">
        <v>387</v>
      </c>
      <c r="S56" s="107">
        <v>5017977</v>
      </c>
      <c r="T56" s="107">
        <v>5150761</v>
      </c>
      <c r="U56" s="107">
        <v>5286616</v>
      </c>
      <c r="V56" s="107">
        <v>5426397</v>
      </c>
      <c r="X56" s="105">
        <f t="shared" si="8"/>
        <v>-20000.728600000031</v>
      </c>
      <c r="Y56" s="105">
        <f t="shared" si="9"/>
        <v>4631.3161839991808</v>
      </c>
      <c r="Z56" s="105">
        <f t="shared" si="10"/>
        <v>9064.9065895201638</v>
      </c>
      <c r="AA56" s="105">
        <f t="shared" si="11"/>
        <v>13935.922767205164</v>
      </c>
    </row>
    <row r="57" spans="1:27" x14ac:dyDescent="0.3">
      <c r="A57" s="109" t="s">
        <v>314</v>
      </c>
      <c r="B57" t="s">
        <v>123</v>
      </c>
      <c r="C57" t="s">
        <v>315</v>
      </c>
      <c r="D57" s="16" t="s">
        <v>209</v>
      </c>
      <c r="E57" s="23">
        <f>'T74'!K66</f>
        <v>3775750.71</v>
      </c>
      <c r="F57" s="2301">
        <f>'T74'!L66</f>
        <v>2544143</v>
      </c>
      <c r="G57" s="2301">
        <f>'T74'!M66</f>
        <v>2568597</v>
      </c>
      <c r="H57" s="23">
        <f>'T74'!N66</f>
        <v>2634849</v>
      </c>
      <c r="I57" s="23">
        <f>'T74'!O66</f>
        <v>2203787</v>
      </c>
      <c r="J57" s="23">
        <v>1861750.71</v>
      </c>
      <c r="K57" s="23">
        <f t="shared" si="4"/>
        <v>-1914000</v>
      </c>
      <c r="L57" s="23">
        <v>2546751</v>
      </c>
      <c r="M57" s="23">
        <f t="shared" si="5"/>
        <v>2608</v>
      </c>
      <c r="N57" s="23">
        <v>2575216</v>
      </c>
      <c r="O57" s="23">
        <f t="shared" si="6"/>
        <v>6619</v>
      </c>
      <c r="P57" s="23">
        <v>2645932</v>
      </c>
      <c r="Q57" s="23">
        <f t="shared" si="7"/>
        <v>11083</v>
      </c>
      <c r="R57" s="107" t="s">
        <v>388</v>
      </c>
      <c r="S57" s="107">
        <v>3791751</v>
      </c>
      <c r="T57" s="107">
        <v>2546751</v>
      </c>
      <c r="U57" s="107">
        <v>2491882</v>
      </c>
      <c r="V57" s="107">
        <v>2515931</v>
      </c>
      <c r="X57" s="105">
        <f t="shared" si="8"/>
        <v>16000.290000000037</v>
      </c>
      <c r="Y57" s="105">
        <f t="shared" si="9"/>
        <v>2608</v>
      </c>
      <c r="Z57" s="105">
        <f t="shared" si="10"/>
        <v>-76715</v>
      </c>
      <c r="AA57" s="105">
        <f t="shared" si="11"/>
        <v>-118918</v>
      </c>
    </row>
    <row r="58" spans="1:27" x14ac:dyDescent="0.3">
      <c r="A58" s="109" t="s">
        <v>316</v>
      </c>
      <c r="B58" t="s">
        <v>125</v>
      </c>
      <c r="C58" t="s">
        <v>317</v>
      </c>
      <c r="D58" s="16" t="s">
        <v>209</v>
      </c>
      <c r="E58" s="23">
        <f>'T75'!K32</f>
        <v>12821</v>
      </c>
      <c r="F58" s="23">
        <f>'T75'!L32</f>
        <v>13247</v>
      </c>
      <c r="G58" s="23">
        <f>'T75'!M32</f>
        <v>13687</v>
      </c>
      <c r="H58" s="23">
        <f>'T75'!N32</f>
        <v>13856</v>
      </c>
      <c r="I58" s="23">
        <f>'T75'!O32</f>
        <v>14032</v>
      </c>
      <c r="J58" s="23">
        <v>12821</v>
      </c>
      <c r="K58" s="23">
        <f t="shared" si="4"/>
        <v>0</v>
      </c>
      <c r="L58" s="23">
        <v>13259</v>
      </c>
      <c r="M58" s="23">
        <f t="shared" si="5"/>
        <v>12</v>
      </c>
      <c r="N58" s="23">
        <v>13727</v>
      </c>
      <c r="O58" s="23">
        <f t="shared" si="6"/>
        <v>40</v>
      </c>
      <c r="P58" s="23">
        <v>13925</v>
      </c>
      <c r="Q58" s="23">
        <f t="shared" si="7"/>
        <v>69</v>
      </c>
      <c r="R58" s="107" t="s">
        <v>389</v>
      </c>
      <c r="S58" s="107">
        <v>12821</v>
      </c>
      <c r="T58" s="107">
        <v>13259</v>
      </c>
      <c r="U58" s="107">
        <v>13727</v>
      </c>
      <c r="V58" s="107">
        <v>13925</v>
      </c>
      <c r="X58" s="105">
        <f t="shared" si="8"/>
        <v>0</v>
      </c>
      <c r="Y58" s="105">
        <f t="shared" si="9"/>
        <v>12</v>
      </c>
      <c r="Z58" s="105">
        <f t="shared" si="10"/>
        <v>40</v>
      </c>
      <c r="AA58" s="105">
        <f t="shared" si="11"/>
        <v>69</v>
      </c>
    </row>
    <row r="59" spans="1:27" x14ac:dyDescent="0.3">
      <c r="A59" s="109" t="s">
        <v>318</v>
      </c>
      <c r="B59" t="s">
        <v>126</v>
      </c>
      <c r="C59" t="s">
        <v>319</v>
      </c>
      <c r="D59" s="16" t="s">
        <v>209</v>
      </c>
      <c r="E59" s="23">
        <f>'T81'!K65</f>
        <v>7112395.2299999995</v>
      </c>
      <c r="F59" s="23">
        <f>'T81'!L65</f>
        <v>3187867</v>
      </c>
      <c r="G59" s="23">
        <f>'T81'!M65</f>
        <v>3247665</v>
      </c>
      <c r="H59" s="23">
        <f>'T81'!N65</f>
        <v>3261658</v>
      </c>
      <c r="I59" s="23">
        <f>'T81'!O65</f>
        <v>3375861</v>
      </c>
      <c r="J59" s="23">
        <v>4596252.2300000004</v>
      </c>
      <c r="K59" s="23">
        <f t="shared" si="4"/>
        <v>-2516142.9999999991</v>
      </c>
      <c r="L59" s="23">
        <v>3197742</v>
      </c>
      <c r="M59" s="23">
        <f t="shared" si="5"/>
        <v>9875</v>
      </c>
      <c r="N59" s="23">
        <v>3279241</v>
      </c>
      <c r="O59" s="23">
        <f t="shared" si="6"/>
        <v>31576</v>
      </c>
      <c r="P59" s="23">
        <v>3317138</v>
      </c>
      <c r="Q59" s="23">
        <f t="shared" si="7"/>
        <v>55480</v>
      </c>
      <c r="R59" s="107" t="s">
        <v>390</v>
      </c>
      <c r="S59" s="107">
        <v>6892396</v>
      </c>
      <c r="T59" s="107">
        <v>3181075</v>
      </c>
      <c r="U59" s="107">
        <v>3245907</v>
      </c>
      <c r="V59" s="107">
        <v>3267137</v>
      </c>
      <c r="X59" s="105">
        <f t="shared" si="8"/>
        <v>-219999.22999999952</v>
      </c>
      <c r="Y59" s="105">
        <f t="shared" si="9"/>
        <v>-6792</v>
      </c>
      <c r="Z59" s="105">
        <f t="shared" si="10"/>
        <v>-1758</v>
      </c>
      <c r="AA59" s="105">
        <f t="shared" si="11"/>
        <v>5479</v>
      </c>
    </row>
    <row r="60" spans="1:27" x14ac:dyDescent="0.3">
      <c r="A60" s="109" t="s">
        <v>59</v>
      </c>
      <c r="B60" t="s">
        <v>128</v>
      </c>
      <c r="C60" t="s">
        <v>321</v>
      </c>
      <c r="D60" s="16" t="s">
        <v>209</v>
      </c>
      <c r="E60" s="23">
        <f>'T82'!K44</f>
        <v>13358021.000000002</v>
      </c>
      <c r="F60" s="23">
        <f>'T82'!L44</f>
        <v>14982625</v>
      </c>
      <c r="G60" s="23">
        <f>'T82'!M44</f>
        <v>9626857</v>
      </c>
      <c r="H60" s="23">
        <f>'T82'!N44</f>
        <v>3633979.0000000009</v>
      </c>
      <c r="I60" s="23">
        <f>'T82'!O44</f>
        <v>3633979.0000000009</v>
      </c>
      <c r="J60" s="23">
        <v>13258021.000000002</v>
      </c>
      <c r="K60" s="23">
        <f t="shared" si="4"/>
        <v>-100000</v>
      </c>
      <c r="L60" s="23">
        <v>14982625</v>
      </c>
      <c r="M60" s="23">
        <f t="shared" si="5"/>
        <v>0</v>
      </c>
      <c r="N60" s="23">
        <v>9626857</v>
      </c>
      <c r="O60" s="23">
        <f t="shared" si="6"/>
        <v>0</v>
      </c>
      <c r="P60" s="23">
        <v>3633979.0000000009</v>
      </c>
      <c r="Q60" s="23">
        <f t="shared" si="7"/>
        <v>0</v>
      </c>
      <c r="R60" s="107" t="s">
        <v>391</v>
      </c>
      <c r="S60" s="107">
        <v>13258020</v>
      </c>
      <c r="T60" s="107">
        <v>14982625</v>
      </c>
      <c r="U60" s="107">
        <v>9626858</v>
      </c>
      <c r="V60" s="107">
        <v>3633981</v>
      </c>
      <c r="X60" s="105">
        <f t="shared" si="8"/>
        <v>-100001.00000000186</v>
      </c>
      <c r="Y60" s="105">
        <f t="shared" si="9"/>
        <v>0</v>
      </c>
      <c r="Z60" s="105">
        <f t="shared" si="10"/>
        <v>1</v>
      </c>
      <c r="AA60" s="105">
        <f t="shared" si="11"/>
        <v>1.9999999990686774</v>
      </c>
    </row>
    <row r="61" spans="1:27" x14ac:dyDescent="0.3">
      <c r="A61" s="109" t="s">
        <v>322</v>
      </c>
      <c r="B61" t="s">
        <v>129</v>
      </c>
      <c r="C61" t="s">
        <v>323</v>
      </c>
      <c r="D61" s="16" t="s">
        <v>209</v>
      </c>
      <c r="E61" s="23">
        <f>'T83'!K56</f>
        <v>2177296.48</v>
      </c>
      <c r="F61" s="23">
        <f>'T83'!L56</f>
        <v>1946685</v>
      </c>
      <c r="G61" s="23">
        <f>'T83'!M56</f>
        <v>1990661</v>
      </c>
      <c r="H61" s="23">
        <f>'T83'!N56</f>
        <v>2041148</v>
      </c>
      <c r="I61" s="23">
        <f>'T83'!O56</f>
        <v>2092790</v>
      </c>
      <c r="J61" s="23">
        <v>1873296.48</v>
      </c>
      <c r="K61" s="23">
        <f t="shared" si="4"/>
        <v>-304000</v>
      </c>
      <c r="L61" s="23">
        <v>1950535</v>
      </c>
      <c r="M61" s="23">
        <f t="shared" si="5"/>
        <v>3850</v>
      </c>
      <c r="N61" s="23">
        <v>2001361</v>
      </c>
      <c r="O61" s="23">
        <f t="shared" si="6"/>
        <v>10700</v>
      </c>
      <c r="P61" s="23">
        <v>2059205</v>
      </c>
      <c r="Q61" s="23">
        <f t="shared" si="7"/>
        <v>18057</v>
      </c>
      <c r="R61" s="107" t="s">
        <v>392</v>
      </c>
      <c r="S61" s="107">
        <v>2207297</v>
      </c>
      <c r="T61" s="107">
        <v>1950535</v>
      </c>
      <c r="U61" s="107">
        <v>2001361</v>
      </c>
      <c r="V61" s="107">
        <v>2059205</v>
      </c>
      <c r="X61" s="105">
        <f t="shared" si="8"/>
        <v>30000.520000000019</v>
      </c>
      <c r="Y61" s="105">
        <f t="shared" si="9"/>
        <v>3850</v>
      </c>
      <c r="Z61" s="105">
        <f t="shared" si="10"/>
        <v>10700</v>
      </c>
      <c r="AA61" s="105">
        <f t="shared" si="11"/>
        <v>18057</v>
      </c>
    </row>
    <row r="63" spans="1:27" s="97" customFormat="1" x14ac:dyDescent="0.3">
      <c r="A63" s="111"/>
      <c r="B63" s="97" t="s">
        <v>324</v>
      </c>
      <c r="D63" s="101" t="s">
        <v>209</v>
      </c>
      <c r="E63" s="2298" t="e">
        <f>SUM(E3:E61)</f>
        <v>#REF!</v>
      </c>
      <c r="F63" s="2298" t="e">
        <f t="shared" ref="F63:Q63" si="12">SUM(F3:F61)</f>
        <v>#REF!</v>
      </c>
      <c r="G63" s="2298" t="e">
        <f>SUM(G3:G61)</f>
        <v>#REF!</v>
      </c>
      <c r="H63" s="2298" t="e">
        <f t="shared" si="12"/>
        <v>#REF!</v>
      </c>
      <c r="I63" s="2298" t="e">
        <f t="shared" si="12"/>
        <v>#REF!</v>
      </c>
      <c r="J63" s="104">
        <f t="shared" si="12"/>
        <v>117757948.2828372</v>
      </c>
      <c r="K63" s="104"/>
      <c r="L63" s="104">
        <f t="shared" si="12"/>
        <v>122417133.24750997</v>
      </c>
      <c r="M63" s="104" t="e">
        <f t="shared" si="12"/>
        <v>#REF!</v>
      </c>
      <c r="N63" s="104">
        <f t="shared" si="12"/>
        <v>116686482.65967532</v>
      </c>
      <c r="O63" s="104" t="e">
        <f t="shared" si="12"/>
        <v>#REF!</v>
      </c>
      <c r="P63" s="104">
        <f t="shared" si="12"/>
        <v>115079264.40874968</v>
      </c>
      <c r="Q63" s="104" t="e">
        <f t="shared" si="12"/>
        <v>#REF!</v>
      </c>
      <c r="R63" s="107"/>
      <c r="S63" s="106">
        <f>SUM(S3:S61)</f>
        <v>124745926</v>
      </c>
      <c r="T63" s="106">
        <f t="shared" ref="T63:AA63" si="13">SUM(T3:T61)</f>
        <v>122436213</v>
      </c>
      <c r="U63" s="106">
        <f t="shared" si="13"/>
        <v>120589638</v>
      </c>
      <c r="V63" s="106">
        <f t="shared" si="13"/>
        <v>118752591</v>
      </c>
      <c r="X63" s="106" t="e">
        <f t="shared" si="13"/>
        <v>#REF!</v>
      </c>
      <c r="Y63" s="106" t="e">
        <f t="shared" si="13"/>
        <v>#REF!</v>
      </c>
      <c r="Z63" s="106" t="e">
        <f t="shared" si="13"/>
        <v>#REF!</v>
      </c>
      <c r="AA63" s="106" t="e">
        <f t="shared" si="13"/>
        <v>#REF!</v>
      </c>
    </row>
    <row r="64" spans="1:27" s="97" customFormat="1" x14ac:dyDescent="0.3">
      <c r="A64" s="254" t="s">
        <v>393</v>
      </c>
      <c r="B64" s="258"/>
      <c r="C64" s="258"/>
      <c r="D64" s="259"/>
      <c r="E64" s="257"/>
      <c r="F64" s="257"/>
      <c r="G64" s="257"/>
      <c r="H64" s="257"/>
      <c r="I64" s="257"/>
      <c r="J64" s="257"/>
      <c r="K64" s="257"/>
      <c r="L64" s="257"/>
      <c r="M64" s="257"/>
      <c r="N64" s="257"/>
      <c r="O64" s="257"/>
      <c r="P64" s="257"/>
      <c r="Q64" s="257"/>
      <c r="R64" s="107"/>
      <c r="S64" s="106"/>
      <c r="T64" s="106"/>
      <c r="U64" s="106"/>
      <c r="V64" s="106"/>
    </row>
    <row r="65" spans="1:27" s="97" customFormat="1" x14ac:dyDescent="0.3">
      <c r="A65" s="111"/>
      <c r="D65" s="101"/>
      <c r="E65" s="104"/>
      <c r="F65" s="104"/>
      <c r="G65" s="104"/>
      <c r="H65" s="104"/>
      <c r="I65" s="104"/>
      <c r="J65" s="104">
        <f t="shared" ref="J65:Q65" si="14">+J63-J60</f>
        <v>104499927.2828372</v>
      </c>
      <c r="K65" s="104">
        <f t="shared" si="14"/>
        <v>100000</v>
      </c>
      <c r="L65" s="104">
        <f t="shared" si="14"/>
        <v>107434508.24750997</v>
      </c>
      <c r="M65" s="104" t="e">
        <f t="shared" si="14"/>
        <v>#REF!</v>
      </c>
      <c r="N65" s="104">
        <f t="shared" si="14"/>
        <v>107059625.65967532</v>
      </c>
      <c r="O65" s="104" t="e">
        <f t="shared" si="14"/>
        <v>#REF!</v>
      </c>
      <c r="P65" s="104">
        <f t="shared" si="14"/>
        <v>111445285.40874968</v>
      </c>
      <c r="Q65" s="104" t="e">
        <f t="shared" si="14"/>
        <v>#REF!</v>
      </c>
      <c r="R65" s="107"/>
      <c r="S65" s="106"/>
      <c r="T65" s="106"/>
      <c r="U65" s="106"/>
      <c r="V65" s="106"/>
    </row>
    <row r="66" spans="1:27" x14ac:dyDescent="0.3">
      <c r="E66" s="250"/>
      <c r="G66" s="250"/>
      <c r="X66" s="105"/>
      <c r="Y66" s="105"/>
      <c r="Z66" s="105"/>
      <c r="AA66" s="105"/>
    </row>
    <row r="67" spans="1:27" x14ac:dyDescent="0.3">
      <c r="A67" s="97" t="s">
        <v>66</v>
      </c>
      <c r="B67" s="97" t="s">
        <v>66</v>
      </c>
      <c r="C67" s="97" t="s">
        <v>206</v>
      </c>
      <c r="D67" s="101"/>
      <c r="E67" s="250"/>
      <c r="F67" s="250"/>
      <c r="G67" s="250"/>
    </row>
    <row r="68" spans="1:27" x14ac:dyDescent="0.3">
      <c r="A68" s="110" t="s">
        <v>207</v>
      </c>
      <c r="B68" t="s">
        <v>68</v>
      </c>
      <c r="C68" t="s">
        <v>208</v>
      </c>
      <c r="D68" s="16" t="s">
        <v>325</v>
      </c>
      <c r="E68" s="23">
        <f>'T01'!K68</f>
        <v>-296085</v>
      </c>
      <c r="F68" s="23">
        <f>'T01'!L68</f>
        <v>-309181</v>
      </c>
      <c r="G68" s="23">
        <f>'T01'!M68</f>
        <v>-246510</v>
      </c>
      <c r="H68" s="23">
        <f>'T01'!N68</f>
        <v>-199488</v>
      </c>
      <c r="I68" s="23">
        <f>'T01'!O68</f>
        <v>0</v>
      </c>
      <c r="J68" s="23">
        <v>-296085</v>
      </c>
      <c r="K68" s="23">
        <f>J68-E68</f>
        <v>0</v>
      </c>
      <c r="L68" s="23">
        <v>-309181</v>
      </c>
      <c r="M68" s="23">
        <f>L68-F68</f>
        <v>0</v>
      </c>
      <c r="N68" s="23">
        <v>-246510</v>
      </c>
      <c r="O68" s="23">
        <f>N68-G68</f>
        <v>0</v>
      </c>
      <c r="P68" s="23">
        <v>-199488</v>
      </c>
      <c r="Q68" s="23">
        <f>P68-H68</f>
        <v>0</v>
      </c>
      <c r="R68" s="107" t="s">
        <v>339</v>
      </c>
      <c r="S68">
        <v>-296085</v>
      </c>
      <c r="T68">
        <v>-309181</v>
      </c>
      <c r="U68">
        <v>-246510</v>
      </c>
      <c r="V68">
        <v>-199488</v>
      </c>
      <c r="X68" s="105">
        <f t="shared" ref="X68:X126" si="15">S68-E68</f>
        <v>0</v>
      </c>
      <c r="Y68" s="105">
        <f t="shared" ref="Y68:Y126" si="16">T68-F68</f>
        <v>0</v>
      </c>
      <c r="Z68" s="105">
        <f t="shared" ref="Z68:Z126" si="17">U68-G68</f>
        <v>0</v>
      </c>
      <c r="AA68" s="105">
        <f t="shared" ref="AA68:AA126" si="18">V68-H68</f>
        <v>0</v>
      </c>
    </row>
    <row r="69" spans="1:27" x14ac:dyDescent="0.3">
      <c r="A69" s="109" t="s">
        <v>212</v>
      </c>
      <c r="B69" t="s">
        <v>69</v>
      </c>
      <c r="C69" t="s">
        <v>213</v>
      </c>
      <c r="D69" s="16" t="s">
        <v>325</v>
      </c>
      <c r="E69" s="23">
        <f>'T02'!K50</f>
        <v>-769469.28</v>
      </c>
      <c r="F69" s="23">
        <f>'T02'!L50</f>
        <v>-787704.9</v>
      </c>
      <c r="G69" s="23">
        <f>'T02'!M50</f>
        <v>-806996.9</v>
      </c>
      <c r="H69" s="23">
        <f>'T02'!N50</f>
        <v>-827205.4</v>
      </c>
      <c r="I69" s="23">
        <f>'T02'!O50</f>
        <v>-846821.8</v>
      </c>
      <c r="J69" s="23">
        <v>-769469.28</v>
      </c>
      <c r="K69" s="23">
        <f t="shared" ref="K69:K126" si="19">J69-E69</f>
        <v>0</v>
      </c>
      <c r="L69" s="23">
        <v>-788754.9</v>
      </c>
      <c r="M69" s="23">
        <f t="shared" ref="M69:M126" si="20">L69-F69</f>
        <v>-1050</v>
      </c>
      <c r="N69" s="23">
        <v>-808858.7</v>
      </c>
      <c r="O69" s="23">
        <f t="shared" ref="O69:O126" si="21">N69-G69</f>
        <v>-1861.7999999999302</v>
      </c>
      <c r="P69" s="23">
        <v>-829246.4</v>
      </c>
      <c r="Q69" s="23">
        <f t="shared" ref="Q69:Q126" si="22">P69-H69</f>
        <v>-2041</v>
      </c>
      <c r="R69" s="107" t="s">
        <v>340</v>
      </c>
      <c r="S69" s="107">
        <v>-769471</v>
      </c>
      <c r="T69" s="107">
        <v>-788756</v>
      </c>
      <c r="U69" s="107">
        <v>-808859</v>
      </c>
      <c r="V69" s="107">
        <v>-829247</v>
      </c>
      <c r="X69" s="105">
        <f t="shared" si="15"/>
        <v>-1.7199999999720603</v>
      </c>
      <c r="Y69" s="105">
        <f t="shared" si="16"/>
        <v>-1051.0999999999767</v>
      </c>
      <c r="Z69" s="105">
        <f t="shared" si="17"/>
        <v>-1862.0999999999767</v>
      </c>
      <c r="AA69" s="105">
        <f t="shared" si="18"/>
        <v>-2041.5999999999767</v>
      </c>
    </row>
    <row r="70" spans="1:27" x14ac:dyDescent="0.3">
      <c r="A70" s="109" t="s">
        <v>214</v>
      </c>
      <c r="B70" t="s">
        <v>70</v>
      </c>
      <c r="C70" t="s">
        <v>215</v>
      </c>
      <c r="D70" s="16" t="s">
        <v>325</v>
      </c>
      <c r="E70" s="23">
        <f>'T03'!K62</f>
        <v>-466575</v>
      </c>
      <c r="F70" s="23">
        <f>'T03'!L62</f>
        <v>-374703.47000000015</v>
      </c>
      <c r="G70" s="23">
        <f>'T03'!M62</f>
        <v>-383222.98</v>
      </c>
      <c r="H70" s="23">
        <f>'T03'!N62</f>
        <v>-391983.98</v>
      </c>
      <c r="I70" s="23">
        <f>'T03'!O62</f>
        <v>-400888.98</v>
      </c>
      <c r="J70" s="23">
        <v>-372411</v>
      </c>
      <c r="K70" s="23">
        <f t="shared" si="19"/>
        <v>94164</v>
      </c>
      <c r="L70" s="23">
        <v>-380572</v>
      </c>
      <c r="M70" s="23">
        <f t="shared" si="20"/>
        <v>-5868.5299999998533</v>
      </c>
      <c r="N70" s="23">
        <v>-388866</v>
      </c>
      <c r="O70" s="23">
        <f t="shared" si="21"/>
        <v>-5643.0200000000186</v>
      </c>
      <c r="P70" s="23">
        <v>-397393</v>
      </c>
      <c r="Q70" s="23">
        <f t="shared" si="22"/>
        <v>-5409.0200000000186</v>
      </c>
      <c r="R70" s="107" t="s">
        <v>341</v>
      </c>
      <c r="S70" s="107">
        <v>-372411</v>
      </c>
      <c r="T70" s="107">
        <v>-380572</v>
      </c>
      <c r="U70" s="107">
        <v>-388866</v>
      </c>
      <c r="V70" s="107">
        <v>-397393</v>
      </c>
      <c r="X70" s="105">
        <f t="shared" si="15"/>
        <v>94164</v>
      </c>
      <c r="Y70" s="105">
        <f t="shared" si="16"/>
        <v>-5868.5299999998533</v>
      </c>
      <c r="Z70" s="105">
        <f t="shared" si="17"/>
        <v>-5643.0200000000186</v>
      </c>
      <c r="AA70" s="105">
        <f t="shared" si="18"/>
        <v>-5409.0200000000186</v>
      </c>
    </row>
    <row r="71" spans="1:27" x14ac:dyDescent="0.3">
      <c r="A71" s="109" t="s">
        <v>216</v>
      </c>
      <c r="B71" t="s">
        <v>71</v>
      </c>
      <c r="C71" t="s">
        <v>217</v>
      </c>
      <c r="D71" s="16" t="s">
        <v>325</v>
      </c>
      <c r="E71" s="23">
        <f>T04B!K69</f>
        <v>-8586</v>
      </c>
      <c r="F71" s="23">
        <f>T04B!L69</f>
        <v>-8766</v>
      </c>
      <c r="G71" s="23">
        <f>T04B!M69</f>
        <v>-8968</v>
      </c>
      <c r="H71" s="23">
        <f>T04B!N69</f>
        <v>-9174</v>
      </c>
      <c r="I71" s="23">
        <f>T04B!O69</f>
        <v>-9385</v>
      </c>
      <c r="J71" s="23">
        <v>-8586</v>
      </c>
      <c r="K71" s="23">
        <f t="shared" si="19"/>
        <v>0</v>
      </c>
      <c r="L71" s="23">
        <v>-8774</v>
      </c>
      <c r="M71" s="23">
        <f t="shared" si="20"/>
        <v>-8</v>
      </c>
      <c r="N71" s="23">
        <v>-8967</v>
      </c>
      <c r="O71" s="23">
        <f t="shared" si="21"/>
        <v>1</v>
      </c>
      <c r="P71" s="23">
        <v>-9164</v>
      </c>
      <c r="Q71" s="23">
        <f t="shared" si="22"/>
        <v>10</v>
      </c>
      <c r="X71" s="105">
        <f t="shared" si="15"/>
        <v>8586</v>
      </c>
      <c r="Y71" s="105">
        <f t="shared" si="16"/>
        <v>8766</v>
      </c>
      <c r="Z71" s="105">
        <f t="shared" si="17"/>
        <v>8968</v>
      </c>
      <c r="AA71" s="105">
        <f t="shared" si="18"/>
        <v>9174</v>
      </c>
    </row>
    <row r="72" spans="1:27" x14ac:dyDescent="0.3">
      <c r="A72" s="109" t="s">
        <v>218</v>
      </c>
      <c r="B72" t="s">
        <v>72</v>
      </c>
      <c r="C72" t="s">
        <v>219</v>
      </c>
      <c r="D72" s="16" t="s">
        <v>325</v>
      </c>
      <c r="E72" s="23">
        <f>T04L!K67</f>
        <v>-11701</v>
      </c>
      <c r="F72" s="23">
        <f>T04L!L67</f>
        <v>-11947</v>
      </c>
      <c r="G72" s="23">
        <f>T04L!M67</f>
        <v>-12222</v>
      </c>
      <c r="H72" s="23">
        <f>T04L!N67</f>
        <v>-12503</v>
      </c>
      <c r="I72" s="23">
        <f>T04L!O67</f>
        <v>-12791</v>
      </c>
      <c r="J72" s="23">
        <v>-11701</v>
      </c>
      <c r="K72" s="23">
        <f t="shared" si="19"/>
        <v>0</v>
      </c>
      <c r="L72" s="23">
        <v>-11958</v>
      </c>
      <c r="M72" s="23">
        <f t="shared" si="20"/>
        <v>-11</v>
      </c>
      <c r="N72" s="23">
        <v>-12221</v>
      </c>
      <c r="O72" s="23">
        <f t="shared" si="21"/>
        <v>1</v>
      </c>
      <c r="P72" s="23">
        <v>-12490</v>
      </c>
      <c r="Q72" s="23">
        <f t="shared" si="22"/>
        <v>13</v>
      </c>
      <c r="R72" s="107" t="s">
        <v>342</v>
      </c>
      <c r="S72" s="107">
        <v>-20287</v>
      </c>
      <c r="T72" s="107">
        <v>-20732</v>
      </c>
      <c r="U72" s="107">
        <v>-21188</v>
      </c>
      <c r="V72" s="107">
        <v>-21654</v>
      </c>
      <c r="X72" s="105">
        <f t="shared" si="15"/>
        <v>-8586</v>
      </c>
      <c r="Y72" s="105">
        <f t="shared" si="16"/>
        <v>-8785</v>
      </c>
      <c r="Z72" s="105">
        <f t="shared" si="17"/>
        <v>-8966</v>
      </c>
      <c r="AA72" s="105">
        <f t="shared" si="18"/>
        <v>-9151</v>
      </c>
    </row>
    <row r="73" spans="1:27" x14ac:dyDescent="0.3">
      <c r="A73" s="109" t="s">
        <v>220</v>
      </c>
      <c r="B73" t="s">
        <v>73</v>
      </c>
      <c r="C73" t="s">
        <v>221</v>
      </c>
      <c r="D73" s="16" t="s">
        <v>325</v>
      </c>
      <c r="E73" s="23">
        <f>T04W!K54</f>
        <v>0</v>
      </c>
      <c r="F73" s="23">
        <f>T04W!L54</f>
        <v>0</v>
      </c>
      <c r="G73" s="23">
        <f>T04W!M54</f>
        <v>0</v>
      </c>
      <c r="H73" s="23">
        <f>T04W!N54</f>
        <v>0</v>
      </c>
      <c r="I73" s="23">
        <f>T04W!O54</f>
        <v>0</v>
      </c>
      <c r="J73" s="23">
        <v>0</v>
      </c>
      <c r="K73" s="23">
        <f t="shared" si="19"/>
        <v>0</v>
      </c>
      <c r="L73" s="23">
        <v>0</v>
      </c>
      <c r="M73" s="23">
        <f t="shared" si="20"/>
        <v>0</v>
      </c>
      <c r="N73" s="23">
        <v>0</v>
      </c>
      <c r="O73" s="23">
        <f t="shared" si="21"/>
        <v>0</v>
      </c>
      <c r="P73" s="23">
        <v>0</v>
      </c>
      <c r="Q73" s="23">
        <f t="shared" si="22"/>
        <v>0</v>
      </c>
      <c r="X73" s="105">
        <f t="shared" si="15"/>
        <v>0</v>
      </c>
      <c r="Y73" s="105">
        <f t="shared" si="16"/>
        <v>0</v>
      </c>
      <c r="Z73" s="105">
        <f t="shared" si="17"/>
        <v>0</v>
      </c>
      <c r="AA73" s="105">
        <f t="shared" si="18"/>
        <v>0</v>
      </c>
    </row>
    <row r="74" spans="1:27" x14ac:dyDescent="0.3">
      <c r="A74" s="109" t="s">
        <v>222</v>
      </c>
      <c r="B74" t="s">
        <v>74</v>
      </c>
      <c r="C74" t="s">
        <v>223</v>
      </c>
      <c r="D74" s="16" t="s">
        <v>325</v>
      </c>
      <c r="E74" s="23">
        <f>'T05'!K36</f>
        <v>-187991.14655</v>
      </c>
      <c r="F74" s="23">
        <f>'T05'!L36</f>
        <v>-107046.88209</v>
      </c>
      <c r="G74" s="23">
        <f>'T05'!M36</f>
        <v>-106285.45555499999</v>
      </c>
      <c r="H74" s="23">
        <f>'T05'!N36</f>
        <v>-105508.45999999999</v>
      </c>
      <c r="I74" s="23">
        <f>'T05'!O36</f>
        <v>-102171</v>
      </c>
      <c r="J74" s="23">
        <v>-191520.14655</v>
      </c>
      <c r="K74" s="23">
        <f t="shared" si="19"/>
        <v>-3529</v>
      </c>
      <c r="L74" s="23">
        <v>-109774.88209</v>
      </c>
      <c r="M74" s="23">
        <f t="shared" si="20"/>
        <v>-2728</v>
      </c>
      <c r="N74" s="23">
        <v>-108160.45555499999</v>
      </c>
      <c r="O74" s="23">
        <f t="shared" si="21"/>
        <v>-1875</v>
      </c>
      <c r="P74" s="23">
        <v>-106474.45999999999</v>
      </c>
      <c r="Q74" s="23">
        <f t="shared" si="22"/>
        <v>-966</v>
      </c>
      <c r="R74" s="107" t="s">
        <v>343</v>
      </c>
      <c r="S74" s="107">
        <v>-191520</v>
      </c>
      <c r="T74" s="107">
        <v>-109775</v>
      </c>
      <c r="U74" s="107">
        <v>-108160</v>
      </c>
      <c r="V74" s="107">
        <v>-106474</v>
      </c>
      <c r="X74" s="105">
        <f t="shared" si="15"/>
        <v>-3528.8534499999951</v>
      </c>
      <c r="Y74" s="105">
        <f t="shared" si="16"/>
        <v>-2728.1179100000008</v>
      </c>
      <c r="Z74" s="105">
        <f t="shared" si="17"/>
        <v>-1874.5444450000068</v>
      </c>
      <c r="AA74" s="105">
        <f t="shared" si="18"/>
        <v>-965.54000000000815</v>
      </c>
    </row>
    <row r="75" spans="1:27" x14ac:dyDescent="0.3">
      <c r="A75" s="109" t="s">
        <v>224</v>
      </c>
      <c r="B75" t="s">
        <v>75</v>
      </c>
      <c r="C75" t="s">
        <v>225</v>
      </c>
      <c r="D75" s="16" t="s">
        <v>325</v>
      </c>
      <c r="E75" s="23">
        <f>'T061'!K33</f>
        <v>-5659292.4835999999</v>
      </c>
      <c r="F75" s="23">
        <f>'T061'!L33</f>
        <v>-6382487</v>
      </c>
      <c r="G75" s="23">
        <f>'T061'!M33</f>
        <v>-6979704</v>
      </c>
      <c r="H75" s="23">
        <f>'T061'!N33</f>
        <v>-7612928</v>
      </c>
      <c r="I75" s="23">
        <f>'T061'!O33</f>
        <v>-10155</v>
      </c>
      <c r="J75" s="23">
        <v>-5659292.4835999999</v>
      </c>
      <c r="K75" s="23">
        <f t="shared" si="19"/>
        <v>0</v>
      </c>
      <c r="L75" s="23">
        <v>-6382496</v>
      </c>
      <c r="M75" s="23">
        <f t="shared" si="20"/>
        <v>-9</v>
      </c>
      <c r="N75" s="23">
        <v>-6979704</v>
      </c>
      <c r="O75" s="23">
        <f t="shared" si="21"/>
        <v>0</v>
      </c>
      <c r="P75" s="23">
        <v>-7612918</v>
      </c>
      <c r="Q75" s="23">
        <f t="shared" si="22"/>
        <v>10</v>
      </c>
      <c r="R75" s="107" t="s">
        <v>344</v>
      </c>
      <c r="S75" s="107">
        <v>-5659292</v>
      </c>
      <c r="T75" s="107">
        <v>-6382496</v>
      </c>
      <c r="U75" s="107">
        <v>-6979704</v>
      </c>
      <c r="V75" s="107">
        <v>-7612918</v>
      </c>
      <c r="X75" s="105">
        <f t="shared" si="15"/>
        <v>0.48359999991953373</v>
      </c>
      <c r="Y75" s="105">
        <f t="shared" si="16"/>
        <v>-9</v>
      </c>
      <c r="Z75" s="105">
        <f t="shared" si="17"/>
        <v>0</v>
      </c>
      <c r="AA75" s="105">
        <f t="shared" si="18"/>
        <v>10</v>
      </c>
    </row>
    <row r="76" spans="1:27" x14ac:dyDescent="0.3">
      <c r="A76" s="109" t="s">
        <v>226</v>
      </c>
      <c r="B76" t="s">
        <v>76</v>
      </c>
      <c r="C76" t="s">
        <v>227</v>
      </c>
      <c r="D76" s="16" t="s">
        <v>325</v>
      </c>
      <c r="E76" s="23">
        <f>'T062'!K42</f>
        <v>-4016194</v>
      </c>
      <c r="F76" s="23">
        <f>'T062'!L42</f>
        <v>-4519324</v>
      </c>
      <c r="G76" s="23">
        <f>'T062'!M42</f>
        <v>-4903470</v>
      </c>
      <c r="H76" s="23">
        <f>'T062'!N42</f>
        <v>-5320618</v>
      </c>
      <c r="I76" s="23">
        <f>'T062'!O42</f>
        <v>-6771</v>
      </c>
      <c r="J76" s="23">
        <v>-4016194</v>
      </c>
      <c r="K76" s="23">
        <f t="shared" si="19"/>
        <v>0</v>
      </c>
      <c r="L76" s="23">
        <v>-4519330</v>
      </c>
      <c r="M76" s="23">
        <f t="shared" si="20"/>
        <v>-6</v>
      </c>
      <c r="N76" s="23">
        <v>-4903470</v>
      </c>
      <c r="O76" s="23">
        <f t="shared" si="21"/>
        <v>0</v>
      </c>
      <c r="P76" s="23">
        <v>-5320612</v>
      </c>
      <c r="Q76" s="23">
        <f t="shared" si="22"/>
        <v>6</v>
      </c>
      <c r="R76" s="107" t="s">
        <v>345</v>
      </c>
      <c r="S76" s="107">
        <v>-4016194</v>
      </c>
      <c r="T76" s="107">
        <v>-4519330</v>
      </c>
      <c r="U76" s="107">
        <v>-4903470</v>
      </c>
      <c r="V76" s="107">
        <v>-5320612</v>
      </c>
      <c r="X76" s="105">
        <f t="shared" si="15"/>
        <v>0</v>
      </c>
      <c r="Y76" s="105">
        <f t="shared" si="16"/>
        <v>-6</v>
      </c>
      <c r="Z76" s="105">
        <f t="shared" si="17"/>
        <v>0</v>
      </c>
      <c r="AA76" s="105">
        <f t="shared" si="18"/>
        <v>6</v>
      </c>
    </row>
    <row r="77" spans="1:27" x14ac:dyDescent="0.3">
      <c r="A77" s="109" t="s">
        <v>228</v>
      </c>
      <c r="B77" t="s">
        <v>77</v>
      </c>
      <c r="C77" t="s">
        <v>229</v>
      </c>
      <c r="D77" s="16" t="s">
        <v>325</v>
      </c>
      <c r="E77" s="23">
        <f>'T064'!K40</f>
        <v>-86286.491999999998</v>
      </c>
      <c r="F77" s="23">
        <f>'T064'!L40</f>
        <v>-89404.379220000003</v>
      </c>
      <c r="G77" s="23">
        <f>'T064'!M40</f>
        <v>-92635.337492699997</v>
      </c>
      <c r="H77" s="23">
        <f>'T064'!N40</f>
        <v>-95557.279304944488</v>
      </c>
      <c r="I77" s="23">
        <f>'T064'!O40</f>
        <v>-98572.149080617542</v>
      </c>
      <c r="J77" s="23">
        <v>-86286.491999999998</v>
      </c>
      <c r="K77" s="23">
        <f t="shared" si="19"/>
        <v>0</v>
      </c>
      <c r="L77" s="23">
        <v>-89404.379220000003</v>
      </c>
      <c r="M77" s="23">
        <f t="shared" si="20"/>
        <v>0</v>
      </c>
      <c r="N77" s="23">
        <v>-92635.337492699997</v>
      </c>
      <c r="O77" s="23">
        <f t="shared" si="21"/>
        <v>0</v>
      </c>
      <c r="P77" s="23">
        <v>-95857.279304944488</v>
      </c>
      <c r="Q77" s="23">
        <f t="shared" si="22"/>
        <v>-300</v>
      </c>
      <c r="R77" s="107" t="s">
        <v>346</v>
      </c>
      <c r="S77" s="107">
        <v>-86286</v>
      </c>
      <c r="T77" s="107">
        <v>-89404</v>
      </c>
      <c r="U77" s="107">
        <v>-92635</v>
      </c>
      <c r="V77" s="107">
        <v>-95857</v>
      </c>
      <c r="X77" s="105">
        <f t="shared" si="15"/>
        <v>0.49199999999837019</v>
      </c>
      <c r="Y77" s="105">
        <f t="shared" si="16"/>
        <v>0.3792200000025332</v>
      </c>
      <c r="Z77" s="105">
        <f t="shared" si="17"/>
        <v>0.33749269999680109</v>
      </c>
      <c r="AA77" s="105">
        <f t="shared" si="18"/>
        <v>-299.7206950555119</v>
      </c>
    </row>
    <row r="78" spans="1:27" x14ac:dyDescent="0.3">
      <c r="A78" s="109" t="s">
        <v>230</v>
      </c>
      <c r="B78" t="s">
        <v>78</v>
      </c>
      <c r="C78" t="s">
        <v>231</v>
      </c>
      <c r="D78" s="16" t="s">
        <v>325</v>
      </c>
      <c r="E78" s="23">
        <f>'T07'!K54</f>
        <v>-63264435</v>
      </c>
      <c r="F78" s="23">
        <f>'T07'!L54</f>
        <v>-65532292</v>
      </c>
      <c r="G78" s="23">
        <f>'T07'!M54</f>
        <v>-66117057</v>
      </c>
      <c r="H78" s="23">
        <f>'T07'!N54</f>
        <v>-68912251</v>
      </c>
      <c r="I78" s="23">
        <f>'T07'!O54</f>
        <v>0</v>
      </c>
      <c r="J78" s="23">
        <v>-63264435</v>
      </c>
      <c r="K78" s="23">
        <f t="shared" si="19"/>
        <v>0</v>
      </c>
      <c r="L78" s="23">
        <v>-65440609</v>
      </c>
      <c r="M78" s="23">
        <f t="shared" si="20"/>
        <v>91683</v>
      </c>
      <c r="N78" s="23">
        <v>-66133443</v>
      </c>
      <c r="O78" s="23">
        <f t="shared" si="21"/>
        <v>-16386</v>
      </c>
      <c r="P78" s="23">
        <v>-68978504</v>
      </c>
      <c r="Q78" s="23">
        <f t="shared" si="22"/>
        <v>-66253</v>
      </c>
      <c r="R78" s="107" t="s">
        <v>347</v>
      </c>
      <c r="S78" s="107">
        <v>-64474830</v>
      </c>
      <c r="T78" s="107">
        <v>-65532292</v>
      </c>
      <c r="U78" s="107">
        <v>-66117057</v>
      </c>
      <c r="V78" s="107">
        <v>-68912250</v>
      </c>
      <c r="X78" s="2154">
        <f t="shared" si="15"/>
        <v>-1210395</v>
      </c>
      <c r="Y78" s="2154">
        <f t="shared" si="16"/>
        <v>0</v>
      </c>
      <c r="Z78" s="2154">
        <f t="shared" si="17"/>
        <v>0</v>
      </c>
      <c r="AA78" s="2154">
        <f t="shared" si="18"/>
        <v>1</v>
      </c>
    </row>
    <row r="79" spans="1:27" x14ac:dyDescent="0.3">
      <c r="A79" s="109" t="s">
        <v>232</v>
      </c>
      <c r="B79" t="s">
        <v>79</v>
      </c>
      <c r="C79" t="s">
        <v>233</v>
      </c>
      <c r="D79" s="16" t="s">
        <v>325</v>
      </c>
      <c r="E79" s="23">
        <f>'T08'!K61</f>
        <v>-48485</v>
      </c>
      <c r="F79" s="23">
        <f>'T08'!L61</f>
        <v>-49489</v>
      </c>
      <c r="G79" s="23">
        <f>'T08'!M61</f>
        <v>-50611</v>
      </c>
      <c r="H79" s="23">
        <f>'T08'!N61</f>
        <v>-51760</v>
      </c>
      <c r="I79" s="23">
        <f>'T08'!O61</f>
        <v>-52935</v>
      </c>
      <c r="J79" s="23">
        <v>-48485</v>
      </c>
      <c r="K79" s="23">
        <f t="shared" si="19"/>
        <v>0</v>
      </c>
      <c r="L79" s="23">
        <v>-49536</v>
      </c>
      <c r="M79" s="23">
        <f t="shared" si="20"/>
        <v>-47</v>
      </c>
      <c r="N79" s="23">
        <v>-50611</v>
      </c>
      <c r="O79" s="23">
        <f t="shared" si="21"/>
        <v>0</v>
      </c>
      <c r="P79" s="23">
        <v>-51709</v>
      </c>
      <c r="Q79" s="23">
        <f t="shared" si="22"/>
        <v>51</v>
      </c>
      <c r="R79" s="107" t="s">
        <v>348</v>
      </c>
      <c r="S79" s="107">
        <v>-48485</v>
      </c>
      <c r="T79" s="107">
        <v>-49536</v>
      </c>
      <c r="U79" s="107">
        <v>-50611</v>
      </c>
      <c r="V79" s="107">
        <v>-51709</v>
      </c>
      <c r="X79" s="105">
        <f t="shared" si="15"/>
        <v>0</v>
      </c>
      <c r="Y79" s="105">
        <f t="shared" si="16"/>
        <v>-47</v>
      </c>
      <c r="Z79" s="105">
        <f t="shared" si="17"/>
        <v>0</v>
      </c>
      <c r="AA79" s="105">
        <f t="shared" si="18"/>
        <v>51</v>
      </c>
    </row>
    <row r="80" spans="1:27" x14ac:dyDescent="0.3">
      <c r="A80" s="109" t="s">
        <v>234</v>
      </c>
      <c r="B80" t="s">
        <v>80</v>
      </c>
      <c r="C80" t="s">
        <v>235</v>
      </c>
      <c r="D80" s="16" t="s">
        <v>325</v>
      </c>
      <c r="E80" s="23">
        <f>'T09'!K52</f>
        <v>0</v>
      </c>
      <c r="F80" s="23">
        <f>'T09'!L52</f>
        <v>0</v>
      </c>
      <c r="G80" s="23">
        <f>'T09'!M52</f>
        <v>0</v>
      </c>
      <c r="H80" s="23">
        <f>'T09'!N52</f>
        <v>0</v>
      </c>
      <c r="I80" s="23">
        <f>'T09'!O52</f>
        <v>0</v>
      </c>
      <c r="J80" s="23">
        <v>0</v>
      </c>
      <c r="K80" s="23">
        <f t="shared" si="19"/>
        <v>0</v>
      </c>
      <c r="L80" s="23">
        <v>0</v>
      </c>
      <c r="M80" s="23">
        <f t="shared" si="20"/>
        <v>0</v>
      </c>
      <c r="N80" s="23">
        <v>0</v>
      </c>
      <c r="O80" s="23">
        <f t="shared" si="21"/>
        <v>0</v>
      </c>
      <c r="P80" s="23">
        <v>0</v>
      </c>
      <c r="Q80" s="23">
        <f t="shared" si="22"/>
        <v>0</v>
      </c>
      <c r="X80" s="105">
        <f t="shared" si="15"/>
        <v>0</v>
      </c>
      <c r="Y80" s="105">
        <f t="shared" si="16"/>
        <v>0</v>
      </c>
      <c r="Z80" s="105">
        <f t="shared" si="17"/>
        <v>0</v>
      </c>
      <c r="AA80" s="105">
        <f t="shared" si="18"/>
        <v>0</v>
      </c>
    </row>
    <row r="81" spans="1:27" x14ac:dyDescent="0.3">
      <c r="A81" s="109" t="s">
        <v>236</v>
      </c>
      <c r="B81" t="s">
        <v>81</v>
      </c>
      <c r="C81" t="s">
        <v>237</v>
      </c>
      <c r="D81" s="16" t="s">
        <v>325</v>
      </c>
      <c r="E81" s="23">
        <f>'T010'!K27</f>
        <v>-9500031</v>
      </c>
      <c r="F81" s="23">
        <f>'T010'!L27</f>
        <v>-4464327</v>
      </c>
      <c r="G81" s="23">
        <f>'T010'!M27</f>
        <v>-2208156</v>
      </c>
      <c r="H81" s="23">
        <f>'T010'!N27</f>
        <v>-2363911</v>
      </c>
      <c r="I81" s="23">
        <f>'T010'!O27</f>
        <v>0</v>
      </c>
      <c r="J81" s="23">
        <v>-5174031</v>
      </c>
      <c r="K81" s="23">
        <f t="shared" si="19"/>
        <v>4326000</v>
      </c>
      <c r="L81" s="23">
        <v>-4439327</v>
      </c>
      <c r="M81" s="23">
        <f t="shared" si="20"/>
        <v>25000</v>
      </c>
      <c r="N81" s="23">
        <v>-2183156</v>
      </c>
      <c r="O81" s="23">
        <f t="shared" si="21"/>
        <v>25000</v>
      </c>
      <c r="P81" s="23">
        <v>-2338911</v>
      </c>
      <c r="Q81" s="23">
        <f t="shared" si="22"/>
        <v>25000</v>
      </c>
      <c r="R81" s="107" t="s">
        <v>350</v>
      </c>
      <c r="S81" s="107">
        <v>-9325031</v>
      </c>
      <c r="T81" s="107">
        <v>-4439327</v>
      </c>
      <c r="U81" s="107">
        <v>-5550656</v>
      </c>
      <c r="V81" s="107">
        <v>-5631411</v>
      </c>
      <c r="X81" s="105">
        <f t="shared" si="15"/>
        <v>175000</v>
      </c>
      <c r="Y81" s="105">
        <f t="shared" si="16"/>
        <v>25000</v>
      </c>
      <c r="Z81" s="105">
        <f t="shared" si="17"/>
        <v>-3342500</v>
      </c>
      <c r="AA81" s="105">
        <f t="shared" si="18"/>
        <v>-3267500</v>
      </c>
    </row>
    <row r="82" spans="1:27" x14ac:dyDescent="0.3">
      <c r="A82" s="109" t="s">
        <v>238</v>
      </c>
      <c r="B82" t="s">
        <v>82</v>
      </c>
      <c r="C82" t="s">
        <v>239</v>
      </c>
      <c r="D82" s="16" t="s">
        <v>325</v>
      </c>
      <c r="E82" s="23">
        <f>'T011'!K49</f>
        <v>0</v>
      </c>
      <c r="F82" s="23">
        <f>'T011'!L49</f>
        <v>0</v>
      </c>
      <c r="G82" s="23">
        <f>'T011'!M49</f>
        <v>0</v>
      </c>
      <c r="H82" s="23">
        <f>'T011'!N49</f>
        <v>0</v>
      </c>
      <c r="I82" s="23">
        <f>'T011'!O49</f>
        <v>0</v>
      </c>
      <c r="J82" s="23">
        <v>0</v>
      </c>
      <c r="K82" s="23">
        <f t="shared" si="19"/>
        <v>0</v>
      </c>
      <c r="L82" s="23">
        <v>0</v>
      </c>
      <c r="M82" s="23">
        <f t="shared" si="20"/>
        <v>0</v>
      </c>
      <c r="N82" s="23">
        <v>0</v>
      </c>
      <c r="O82" s="23">
        <f t="shared" si="21"/>
        <v>0</v>
      </c>
      <c r="P82" s="23">
        <v>0</v>
      </c>
      <c r="Q82" s="23">
        <f t="shared" si="22"/>
        <v>0</v>
      </c>
      <c r="X82" s="105">
        <f t="shared" si="15"/>
        <v>0</v>
      </c>
      <c r="Y82" s="105">
        <f t="shared" si="16"/>
        <v>0</v>
      </c>
      <c r="Z82" s="105">
        <f t="shared" si="17"/>
        <v>0</v>
      </c>
      <c r="AA82" s="105">
        <f t="shared" si="18"/>
        <v>0</v>
      </c>
    </row>
    <row r="83" spans="1:27" x14ac:dyDescent="0.3">
      <c r="A83" s="109" t="s">
        <v>240</v>
      </c>
      <c r="B83" t="s">
        <v>83</v>
      </c>
      <c r="C83" t="s">
        <v>241</v>
      </c>
      <c r="D83" s="16" t="s">
        <v>325</v>
      </c>
      <c r="E83" s="23">
        <f>'T11'!K57</f>
        <v>-109768</v>
      </c>
      <c r="F83" s="23">
        <f>'T11'!L57</f>
        <v>-112837.49</v>
      </c>
      <c r="G83" s="23">
        <f>'T11'!M57</f>
        <v>-115433</v>
      </c>
      <c r="H83" s="23">
        <f>'T11'!N57</f>
        <v>-118088</v>
      </c>
      <c r="I83" s="23">
        <f>'T11'!O57</f>
        <v>-120804</v>
      </c>
      <c r="J83" s="23">
        <v>-109768</v>
      </c>
      <c r="K83" s="23">
        <f t="shared" si="19"/>
        <v>0</v>
      </c>
      <c r="L83" s="23">
        <v>-112183</v>
      </c>
      <c r="M83" s="23">
        <f t="shared" si="20"/>
        <v>654.49000000000524</v>
      </c>
      <c r="N83" s="23">
        <v>-114651</v>
      </c>
      <c r="O83" s="23">
        <f t="shared" si="21"/>
        <v>782</v>
      </c>
      <c r="P83" s="23">
        <v>-117173</v>
      </c>
      <c r="Q83" s="23">
        <f t="shared" si="22"/>
        <v>915</v>
      </c>
      <c r="R83" s="107" t="s">
        <v>351</v>
      </c>
      <c r="S83" s="107">
        <v>-109768</v>
      </c>
      <c r="T83" s="107">
        <v>-112183</v>
      </c>
      <c r="U83" s="107">
        <v>-114651</v>
      </c>
      <c r="V83" s="107">
        <v>-117173</v>
      </c>
      <c r="X83" s="105">
        <f t="shared" si="15"/>
        <v>0</v>
      </c>
      <c r="Y83" s="105">
        <f t="shared" si="16"/>
        <v>654.49000000000524</v>
      </c>
      <c r="Z83" s="105">
        <f t="shared" si="17"/>
        <v>782</v>
      </c>
      <c r="AA83" s="105">
        <f t="shared" si="18"/>
        <v>915</v>
      </c>
    </row>
    <row r="84" spans="1:27" x14ac:dyDescent="0.3">
      <c r="A84" s="109" t="s">
        <v>242</v>
      </c>
      <c r="B84" t="s">
        <v>84</v>
      </c>
      <c r="C84" t="s">
        <v>243</v>
      </c>
      <c r="D84" s="16" t="s">
        <v>325</v>
      </c>
      <c r="E84" s="23">
        <f>'T12'!K72</f>
        <v>-177559</v>
      </c>
      <c r="F84" s="23">
        <f>'T12'!L72</f>
        <v>-183276</v>
      </c>
      <c r="G84" s="23">
        <f>'T12'!M72</f>
        <v>-188872</v>
      </c>
      <c r="H84" s="23">
        <f>'T12'!N72</f>
        <v>-194649</v>
      </c>
      <c r="I84" s="23">
        <f>'T12'!O72</f>
        <v>-200611</v>
      </c>
      <c r="J84" s="23">
        <v>-177559</v>
      </c>
      <c r="K84" s="23">
        <f t="shared" si="19"/>
        <v>0</v>
      </c>
      <c r="L84" s="23">
        <v>-183738</v>
      </c>
      <c r="M84" s="23">
        <f t="shared" si="20"/>
        <v>-462</v>
      </c>
      <c r="N84" s="23">
        <v>-190157</v>
      </c>
      <c r="O84" s="23">
        <f t="shared" si="21"/>
        <v>-1285</v>
      </c>
      <c r="P84" s="23">
        <v>-196826</v>
      </c>
      <c r="Q84" s="23">
        <f t="shared" si="22"/>
        <v>-2177</v>
      </c>
      <c r="R84" s="107" t="s">
        <v>352</v>
      </c>
      <c r="S84" s="107">
        <v>-177559</v>
      </c>
      <c r="T84" s="107">
        <v>-183738</v>
      </c>
      <c r="U84" s="107">
        <v>-190157</v>
      </c>
      <c r="V84" s="107">
        <v>-196826</v>
      </c>
      <c r="X84" s="105">
        <f t="shared" si="15"/>
        <v>0</v>
      </c>
      <c r="Y84" s="105">
        <f t="shared" si="16"/>
        <v>-462</v>
      </c>
      <c r="Z84" s="105">
        <f t="shared" si="17"/>
        <v>-1285</v>
      </c>
      <c r="AA84" s="105">
        <f t="shared" si="18"/>
        <v>-2177</v>
      </c>
    </row>
    <row r="85" spans="1:27" x14ac:dyDescent="0.3">
      <c r="A85" s="109" t="s">
        <v>244</v>
      </c>
      <c r="B85" t="s">
        <v>85</v>
      </c>
      <c r="C85" t="s">
        <v>245</v>
      </c>
      <c r="D85" s="16" t="s">
        <v>325</v>
      </c>
      <c r="E85" s="23">
        <f>'T21'!K79</f>
        <v>-544578</v>
      </c>
      <c r="F85" s="23">
        <f>'T21'!L79</f>
        <v>-527968</v>
      </c>
      <c r="G85" s="23">
        <f>'T21'!M79</f>
        <v>-556996</v>
      </c>
      <c r="H85" s="23">
        <f>'T21'!N79</f>
        <v>-586680</v>
      </c>
      <c r="I85" s="23">
        <f>'T21'!O79</f>
        <v>-616801</v>
      </c>
      <c r="J85" s="23">
        <v>-544578</v>
      </c>
      <c r="K85" s="23">
        <f t="shared" si="19"/>
        <v>0</v>
      </c>
      <c r="L85" s="23">
        <v>-528920</v>
      </c>
      <c r="M85" s="23">
        <f t="shared" si="20"/>
        <v>-952</v>
      </c>
      <c r="N85" s="23">
        <v>-559360</v>
      </c>
      <c r="O85" s="23">
        <f t="shared" si="21"/>
        <v>-2364</v>
      </c>
      <c r="P85" s="23">
        <v>-590583</v>
      </c>
      <c r="Q85" s="23">
        <f t="shared" si="22"/>
        <v>-3903</v>
      </c>
      <c r="R85" s="107" t="s">
        <v>353</v>
      </c>
      <c r="S85" s="107">
        <v>-544578</v>
      </c>
      <c r="T85" s="107">
        <v>-528920</v>
      </c>
      <c r="U85" s="107">
        <v>-559360</v>
      </c>
      <c r="V85" s="107">
        <v>-590583</v>
      </c>
      <c r="X85" s="105">
        <f t="shared" si="15"/>
        <v>0</v>
      </c>
      <c r="Y85" s="105">
        <f t="shared" si="16"/>
        <v>-952</v>
      </c>
      <c r="Z85" s="105">
        <f t="shared" si="17"/>
        <v>-2364</v>
      </c>
      <c r="AA85" s="105">
        <f t="shared" si="18"/>
        <v>-3903</v>
      </c>
    </row>
    <row r="86" spans="1:27" x14ac:dyDescent="0.3">
      <c r="A86" s="109" t="s">
        <v>246</v>
      </c>
      <c r="B86" t="s">
        <v>86</v>
      </c>
      <c r="C86" t="s">
        <v>247</v>
      </c>
      <c r="D86" s="16" t="s">
        <v>325</v>
      </c>
      <c r="E86" s="23">
        <f>'T22'!K39</f>
        <v>-11835</v>
      </c>
      <c r="F86" s="23">
        <f>'T22'!L39</f>
        <v>-9779.7900000000009</v>
      </c>
      <c r="G86" s="23">
        <f>'T22'!M39</f>
        <v>-10005</v>
      </c>
      <c r="H86" s="23">
        <f>'T22'!N39</f>
        <v>-10235</v>
      </c>
      <c r="I86" s="23">
        <f>'T22'!O39</f>
        <v>-10470</v>
      </c>
      <c r="J86" s="23">
        <v>-11835</v>
      </c>
      <c r="K86" s="23">
        <f t="shared" si="19"/>
        <v>0</v>
      </c>
      <c r="L86" s="23">
        <v>-12095</v>
      </c>
      <c r="M86" s="23">
        <f t="shared" si="20"/>
        <v>-2315.2099999999991</v>
      </c>
      <c r="N86" s="23">
        <v>-12361</v>
      </c>
      <c r="O86" s="23">
        <f t="shared" si="21"/>
        <v>-2356</v>
      </c>
      <c r="P86" s="23">
        <v>-12633</v>
      </c>
      <c r="Q86" s="23">
        <f t="shared" si="22"/>
        <v>-2398</v>
      </c>
      <c r="R86" s="107" t="s">
        <v>354</v>
      </c>
      <c r="S86" s="107">
        <v>-11835</v>
      </c>
      <c r="T86" s="107">
        <v>-12095</v>
      </c>
      <c r="U86" s="107">
        <v>-12361</v>
      </c>
      <c r="V86" s="107">
        <v>-12633</v>
      </c>
      <c r="X86" s="105">
        <f t="shared" si="15"/>
        <v>0</v>
      </c>
      <c r="Y86" s="105">
        <f t="shared" si="16"/>
        <v>-2315.2099999999991</v>
      </c>
      <c r="Z86" s="105">
        <f t="shared" si="17"/>
        <v>-2356</v>
      </c>
      <c r="AA86" s="105">
        <f t="shared" si="18"/>
        <v>-2398</v>
      </c>
    </row>
    <row r="87" spans="1:27" x14ac:dyDescent="0.3">
      <c r="A87" s="109" t="s">
        <v>248</v>
      </c>
      <c r="B87" t="s">
        <v>87</v>
      </c>
      <c r="C87" t="s">
        <v>249</v>
      </c>
      <c r="D87" s="16" t="s">
        <v>325</v>
      </c>
      <c r="E87" s="23">
        <f>'T25'!K40</f>
        <v>-349</v>
      </c>
      <c r="F87" s="23">
        <f>'T25'!L40</f>
        <v>-349</v>
      </c>
      <c r="G87" s="23">
        <f>'T25'!M40</f>
        <v>-348</v>
      </c>
      <c r="H87" s="23">
        <f>'T25'!N40</f>
        <v>-348</v>
      </c>
      <c r="I87" s="23">
        <f>'T25'!O40</f>
        <v>-348</v>
      </c>
      <c r="J87" s="23">
        <v>-349</v>
      </c>
      <c r="K87" s="23">
        <f t="shared" si="19"/>
        <v>0</v>
      </c>
      <c r="L87" s="23">
        <v>-349</v>
      </c>
      <c r="M87" s="23">
        <f t="shared" si="20"/>
        <v>0</v>
      </c>
      <c r="N87" s="23">
        <v>-348</v>
      </c>
      <c r="O87" s="23">
        <f t="shared" si="21"/>
        <v>0</v>
      </c>
      <c r="P87" s="23">
        <v>-348</v>
      </c>
      <c r="Q87" s="23">
        <f t="shared" si="22"/>
        <v>0</v>
      </c>
      <c r="R87" s="107" t="s">
        <v>355</v>
      </c>
      <c r="S87" s="107">
        <v>-349</v>
      </c>
      <c r="T87" s="107">
        <v>-349</v>
      </c>
      <c r="U87" s="107">
        <v>-348</v>
      </c>
      <c r="V87" s="107">
        <v>-348</v>
      </c>
      <c r="X87" s="105">
        <f t="shared" si="15"/>
        <v>0</v>
      </c>
      <c r="Y87" s="105">
        <f t="shared" si="16"/>
        <v>0</v>
      </c>
      <c r="Z87" s="105">
        <f t="shared" si="17"/>
        <v>0</v>
      </c>
      <c r="AA87" s="105">
        <f t="shared" si="18"/>
        <v>0</v>
      </c>
    </row>
    <row r="88" spans="1:27" x14ac:dyDescent="0.3">
      <c r="A88" s="109" t="s">
        <v>250</v>
      </c>
      <c r="B88" t="s">
        <v>88</v>
      </c>
      <c r="C88" t="s">
        <v>251</v>
      </c>
      <c r="D88" s="16" t="s">
        <v>325</v>
      </c>
      <c r="E88" s="23">
        <f>'T31'!K51</f>
        <v>-143733</v>
      </c>
      <c r="F88" s="23">
        <f>'T31'!L51</f>
        <v>-146751</v>
      </c>
      <c r="G88" s="23">
        <f>'T31'!M51</f>
        <v>-150126</v>
      </c>
      <c r="H88" s="23">
        <f>'T31'!N51</f>
        <v>-153578</v>
      </c>
      <c r="I88" s="23">
        <f>'T31'!O51</f>
        <v>-157110</v>
      </c>
      <c r="J88" s="23">
        <v>-143733</v>
      </c>
      <c r="K88" s="23">
        <f t="shared" si="19"/>
        <v>0</v>
      </c>
      <c r="L88" s="23">
        <v>-146895</v>
      </c>
      <c r="M88" s="23">
        <f t="shared" si="20"/>
        <v>-144</v>
      </c>
      <c r="N88" s="23">
        <v>-150126</v>
      </c>
      <c r="O88" s="23">
        <f t="shared" si="21"/>
        <v>0</v>
      </c>
      <c r="P88" s="23">
        <v>-153428</v>
      </c>
      <c r="Q88" s="23">
        <f t="shared" si="22"/>
        <v>150</v>
      </c>
      <c r="R88" s="107" t="s">
        <v>356</v>
      </c>
      <c r="S88" s="107">
        <v>-143733</v>
      </c>
      <c r="T88" s="107">
        <v>-146895</v>
      </c>
      <c r="U88" s="107">
        <v>-150126</v>
      </c>
      <c r="V88" s="107">
        <v>-153428</v>
      </c>
      <c r="X88" s="105">
        <f t="shared" si="15"/>
        <v>0</v>
      </c>
      <c r="Y88" s="105">
        <f t="shared" si="16"/>
        <v>-144</v>
      </c>
      <c r="Z88" s="105">
        <f t="shared" si="17"/>
        <v>0</v>
      </c>
      <c r="AA88" s="105">
        <f t="shared" si="18"/>
        <v>150</v>
      </c>
    </row>
    <row r="89" spans="1:27" x14ac:dyDescent="0.3">
      <c r="A89" s="109" t="s">
        <v>252</v>
      </c>
      <c r="B89" t="s">
        <v>89</v>
      </c>
      <c r="C89" t="s">
        <v>253</v>
      </c>
      <c r="D89" s="16" t="s">
        <v>325</v>
      </c>
      <c r="E89" s="23">
        <f>'T33'!K46</f>
        <v>-28660</v>
      </c>
      <c r="F89" s="23">
        <f>'T33'!L46</f>
        <v>-28708</v>
      </c>
      <c r="G89" s="23">
        <f>'T33'!M46</f>
        <v>-29718</v>
      </c>
      <c r="H89" s="23">
        <f>'T33'!N46</f>
        <v>-29769</v>
      </c>
      <c r="I89" s="23">
        <f>'T33'!O46</f>
        <v>-29821</v>
      </c>
      <c r="J89" s="23">
        <v>-28660</v>
      </c>
      <c r="K89" s="23">
        <f t="shared" si="19"/>
        <v>0</v>
      </c>
      <c r="L89" s="23">
        <v>-28708</v>
      </c>
      <c r="M89" s="23">
        <f t="shared" si="20"/>
        <v>0</v>
      </c>
      <c r="N89" s="23">
        <v>-29718</v>
      </c>
      <c r="O89" s="23">
        <f t="shared" si="21"/>
        <v>0</v>
      </c>
      <c r="P89" s="23">
        <v>-29769</v>
      </c>
      <c r="Q89" s="23">
        <f t="shared" si="22"/>
        <v>0</v>
      </c>
      <c r="R89" s="107" t="s">
        <v>357</v>
      </c>
      <c r="S89" s="107">
        <v>-28660</v>
      </c>
      <c r="T89" s="107">
        <v>-28708</v>
      </c>
      <c r="U89" s="107">
        <v>-29718</v>
      </c>
      <c r="V89" s="107">
        <v>-29769</v>
      </c>
      <c r="X89" s="105">
        <f t="shared" si="15"/>
        <v>0</v>
      </c>
      <c r="Y89" s="105">
        <f t="shared" si="16"/>
        <v>0</v>
      </c>
      <c r="Z89" s="105">
        <f t="shared" si="17"/>
        <v>0</v>
      </c>
      <c r="AA89" s="105">
        <f t="shared" si="18"/>
        <v>0</v>
      </c>
    </row>
    <row r="90" spans="1:27" x14ac:dyDescent="0.3">
      <c r="A90" s="109" t="s">
        <v>254</v>
      </c>
      <c r="B90" t="s">
        <v>90</v>
      </c>
      <c r="C90" t="s">
        <v>255</v>
      </c>
      <c r="D90" s="16" t="s">
        <v>325</v>
      </c>
      <c r="E90" s="23">
        <f>'T34'!K73</f>
        <v>-875019</v>
      </c>
      <c r="F90" s="23">
        <f>'T34'!L73</f>
        <v>-887697</v>
      </c>
      <c r="G90" s="23">
        <f>'T34'!M73</f>
        <v>-901330</v>
      </c>
      <c r="H90" s="23">
        <f>'T34'!N73</f>
        <v>-915304</v>
      </c>
      <c r="I90" s="23">
        <f>'T34'!O73</f>
        <v>-929628</v>
      </c>
      <c r="J90" s="23">
        <v>-875019</v>
      </c>
      <c r="K90" s="23">
        <f t="shared" si="19"/>
        <v>0</v>
      </c>
      <c r="L90" s="23">
        <v>-888427</v>
      </c>
      <c r="M90" s="23">
        <f t="shared" si="20"/>
        <v>-730</v>
      </c>
      <c r="N90" s="23">
        <v>-902184</v>
      </c>
      <c r="O90" s="23">
        <f t="shared" si="21"/>
        <v>-854</v>
      </c>
      <c r="P90" s="23">
        <v>-916298</v>
      </c>
      <c r="Q90" s="23">
        <f t="shared" si="22"/>
        <v>-994</v>
      </c>
      <c r="R90" s="107" t="s">
        <v>358</v>
      </c>
      <c r="S90" s="107">
        <v>-875019</v>
      </c>
      <c r="T90" s="107">
        <v>-888427</v>
      </c>
      <c r="U90" s="107">
        <v>-902184</v>
      </c>
      <c r="V90" s="107">
        <v>-916298</v>
      </c>
      <c r="X90" s="105">
        <f t="shared" si="15"/>
        <v>0</v>
      </c>
      <c r="Y90" s="105">
        <f t="shared" si="16"/>
        <v>-730</v>
      </c>
      <c r="Z90" s="105">
        <f t="shared" si="17"/>
        <v>-854</v>
      </c>
      <c r="AA90" s="105">
        <f t="shared" si="18"/>
        <v>-994</v>
      </c>
    </row>
    <row r="91" spans="1:27" x14ac:dyDescent="0.3">
      <c r="A91" s="109" t="s">
        <v>256</v>
      </c>
      <c r="B91" t="s">
        <v>91</v>
      </c>
      <c r="C91" t="s">
        <v>257</v>
      </c>
      <c r="D91" s="16" t="s">
        <v>325</v>
      </c>
      <c r="E91" s="23" t="e">
        <f>'T42'!K62</f>
        <v>#REF!</v>
      </c>
      <c r="F91" s="23" t="e">
        <f>'T42'!L62</f>
        <v>#REF!</v>
      </c>
      <c r="G91" s="23" t="e">
        <f>'T42'!M62</f>
        <v>#REF!</v>
      </c>
      <c r="H91" s="23" t="e">
        <f>'T42'!N62</f>
        <v>#REF!</v>
      </c>
      <c r="I91" s="23" t="e">
        <f>'T42'!O62</f>
        <v>#REF!</v>
      </c>
      <c r="J91" s="23">
        <v>-80323</v>
      </c>
      <c r="K91" s="23" t="e">
        <f t="shared" si="19"/>
        <v>#REF!</v>
      </c>
      <c r="L91" s="23">
        <v>-82085</v>
      </c>
      <c r="M91" s="23" t="e">
        <f t="shared" si="20"/>
        <v>#REF!</v>
      </c>
      <c r="N91" s="23">
        <v>-83887</v>
      </c>
      <c r="O91" s="23" t="e">
        <f t="shared" si="21"/>
        <v>#REF!</v>
      </c>
      <c r="P91" s="23">
        <v>-85733</v>
      </c>
      <c r="Q91" s="23" t="e">
        <f t="shared" si="22"/>
        <v>#REF!</v>
      </c>
      <c r="R91" s="107" t="s">
        <v>359</v>
      </c>
      <c r="S91" s="107">
        <v>-80323</v>
      </c>
      <c r="T91" s="107">
        <v>-82085</v>
      </c>
      <c r="U91" s="107">
        <v>-634177</v>
      </c>
      <c r="V91" s="107">
        <v>-636023</v>
      </c>
      <c r="X91" s="2154" t="e">
        <f t="shared" si="15"/>
        <v>#REF!</v>
      </c>
      <c r="Y91" s="2154" t="e">
        <f t="shared" si="16"/>
        <v>#REF!</v>
      </c>
      <c r="Z91" s="2154" t="e">
        <f t="shared" si="17"/>
        <v>#REF!</v>
      </c>
      <c r="AA91" s="2154" t="e">
        <f t="shared" si="18"/>
        <v>#REF!</v>
      </c>
    </row>
    <row r="92" spans="1:27" x14ac:dyDescent="0.3">
      <c r="A92" s="109" t="s">
        <v>258</v>
      </c>
      <c r="B92" t="s">
        <v>92</v>
      </c>
      <c r="C92" t="s">
        <v>259</v>
      </c>
      <c r="D92" s="16" t="s">
        <v>325</v>
      </c>
      <c r="E92" s="23">
        <f>'T43'!K50</f>
        <v>-444540</v>
      </c>
      <c r="F92" s="23">
        <f>'T43'!L50</f>
        <v>-419730</v>
      </c>
      <c r="G92" s="23">
        <f>'T43'!M50</f>
        <v>-420010</v>
      </c>
      <c r="H92" s="23">
        <f>'T43'!N50</f>
        <v>-420300</v>
      </c>
      <c r="I92" s="23">
        <f>'T43'!O50</f>
        <v>-420590</v>
      </c>
      <c r="J92" s="23">
        <v>-419480</v>
      </c>
      <c r="K92" s="23">
        <f t="shared" si="19"/>
        <v>25060</v>
      </c>
      <c r="L92" s="23">
        <v>-419740</v>
      </c>
      <c r="M92" s="23">
        <f t="shared" si="20"/>
        <v>-10</v>
      </c>
      <c r="N92" s="23">
        <v>-420009</v>
      </c>
      <c r="O92" s="23">
        <f t="shared" si="21"/>
        <v>1</v>
      </c>
      <c r="P92" s="23">
        <v>-420289</v>
      </c>
      <c r="Q92" s="23">
        <f t="shared" si="22"/>
        <v>11</v>
      </c>
      <c r="R92" s="107" t="s">
        <v>360</v>
      </c>
      <c r="S92" s="107">
        <v>-419480</v>
      </c>
      <c r="T92" s="107">
        <v>-419740</v>
      </c>
      <c r="U92" s="107">
        <v>-420009</v>
      </c>
      <c r="V92" s="107">
        <v>-420289</v>
      </c>
      <c r="X92" s="105">
        <f t="shared" si="15"/>
        <v>25060</v>
      </c>
      <c r="Y92" s="105">
        <f t="shared" si="16"/>
        <v>-10</v>
      </c>
      <c r="Z92" s="105">
        <f t="shared" si="17"/>
        <v>1</v>
      </c>
      <c r="AA92" s="105">
        <f t="shared" si="18"/>
        <v>11</v>
      </c>
    </row>
    <row r="93" spans="1:27" x14ac:dyDescent="0.3">
      <c r="A93" s="109" t="s">
        <v>260</v>
      </c>
      <c r="B93" t="s">
        <v>93</v>
      </c>
      <c r="C93" t="s">
        <v>261</v>
      </c>
      <c r="D93" s="16" t="s">
        <v>325</v>
      </c>
      <c r="E93" s="23">
        <f>'T51'!K59</f>
        <v>-144004</v>
      </c>
      <c r="F93" s="23">
        <f>'T51'!L59</f>
        <v>-144004</v>
      </c>
      <c r="G93" s="23">
        <f>'T51'!M59</f>
        <v>-144004</v>
      </c>
      <c r="H93" s="23">
        <f>'T51'!N59</f>
        <v>-144004</v>
      </c>
      <c r="I93" s="23">
        <f>'T51'!O59</f>
        <v>-144004</v>
      </c>
      <c r="J93" s="23">
        <v>-144004</v>
      </c>
      <c r="K93" s="23">
        <f t="shared" si="19"/>
        <v>0</v>
      </c>
      <c r="L93" s="23">
        <v>-144004</v>
      </c>
      <c r="M93" s="23">
        <f t="shared" si="20"/>
        <v>0</v>
      </c>
      <c r="N93" s="23">
        <v>-144004</v>
      </c>
      <c r="O93" s="23">
        <f t="shared" si="21"/>
        <v>0</v>
      </c>
      <c r="P93" s="23">
        <v>-144004</v>
      </c>
      <c r="Q93" s="23">
        <f t="shared" si="22"/>
        <v>0</v>
      </c>
      <c r="R93" s="107" t="s">
        <v>361</v>
      </c>
      <c r="S93" s="107">
        <v>-144004</v>
      </c>
      <c r="T93" s="107">
        <v>-144004</v>
      </c>
      <c r="U93" s="107">
        <v>-144004</v>
      </c>
      <c r="V93" s="107">
        <v>-144004</v>
      </c>
      <c r="X93" s="105">
        <f t="shared" si="15"/>
        <v>0</v>
      </c>
      <c r="Y93" s="105">
        <f t="shared" si="16"/>
        <v>0</v>
      </c>
      <c r="Z93" s="105">
        <f t="shared" si="17"/>
        <v>0</v>
      </c>
      <c r="AA93" s="105">
        <f t="shared" si="18"/>
        <v>0</v>
      </c>
    </row>
    <row r="94" spans="1:27" x14ac:dyDescent="0.3">
      <c r="A94" s="109" t="s">
        <v>262</v>
      </c>
      <c r="B94" t="s">
        <v>94</v>
      </c>
      <c r="C94" t="s">
        <v>263</v>
      </c>
      <c r="D94" s="16" t="s">
        <v>325</v>
      </c>
      <c r="E94" s="23">
        <f>'T52'!K99</f>
        <v>-878101.61871343863</v>
      </c>
      <c r="F94" s="23">
        <f>'T52'!L99</f>
        <v>-862779.8922950452</v>
      </c>
      <c r="G94" s="23">
        <f>'T52'!M99</f>
        <v>-871864.48512783134</v>
      </c>
      <c r="H94" s="23">
        <f>'T52'!N99</f>
        <v>-880875.43014577148</v>
      </c>
      <c r="I94" s="23">
        <f>'T52'!O99</f>
        <v>-893583.99314912409</v>
      </c>
      <c r="J94" s="23">
        <v>-878101.61871343863</v>
      </c>
      <c r="K94" s="23">
        <f t="shared" si="19"/>
        <v>0</v>
      </c>
      <c r="L94" s="23">
        <v>-843594.42869258393</v>
      </c>
      <c r="M94" s="23">
        <f t="shared" si="20"/>
        <v>19185.46360246127</v>
      </c>
      <c r="N94" s="23">
        <v>-853009.9919875589</v>
      </c>
      <c r="O94" s="23">
        <f t="shared" si="21"/>
        <v>18854.493140272447</v>
      </c>
      <c r="P94" s="23">
        <v>-862665.58618120803</v>
      </c>
      <c r="Q94" s="23">
        <f t="shared" si="22"/>
        <v>18209.84396456345</v>
      </c>
      <c r="R94" s="107" t="s">
        <v>362</v>
      </c>
      <c r="S94" s="107">
        <v>-878103</v>
      </c>
      <c r="T94" s="107">
        <v>-843594</v>
      </c>
      <c r="U94" s="107">
        <v>-853011</v>
      </c>
      <c r="V94" s="107">
        <v>-862666</v>
      </c>
      <c r="X94" s="105">
        <f t="shared" si="15"/>
        <v>-1.3812865613726899</v>
      </c>
      <c r="Y94" s="105">
        <f t="shared" si="16"/>
        <v>19185.892295045196</v>
      </c>
      <c r="Z94" s="105">
        <f t="shared" si="17"/>
        <v>18853.485127831344</v>
      </c>
      <c r="AA94" s="105">
        <f t="shared" si="18"/>
        <v>18209.430145771476</v>
      </c>
    </row>
    <row r="95" spans="1:27" x14ac:dyDescent="0.3">
      <c r="A95" s="109" t="s">
        <v>264</v>
      </c>
      <c r="B95" t="s">
        <v>95</v>
      </c>
      <c r="C95" t="s">
        <v>265</v>
      </c>
      <c r="D95" s="16" t="s">
        <v>325</v>
      </c>
      <c r="E95" s="23">
        <f>'T53'!K57</f>
        <v>-531</v>
      </c>
      <c r="F95" s="23">
        <f>'T53'!L57</f>
        <v>-16701.010000000002</v>
      </c>
      <c r="G95" s="23">
        <f>'T53'!M57</f>
        <v>-17310.8</v>
      </c>
      <c r="H95" s="23">
        <f>'T53'!N57</f>
        <v>-17943.8</v>
      </c>
      <c r="I95" s="23">
        <f>'T53'!O57</f>
        <v>-18599.600000000002</v>
      </c>
      <c r="J95" s="23">
        <v>-531</v>
      </c>
      <c r="K95" s="23">
        <f t="shared" si="19"/>
        <v>0</v>
      </c>
      <c r="L95" s="23">
        <v>-16760.2</v>
      </c>
      <c r="M95" s="23">
        <f t="shared" si="20"/>
        <v>-59.18999999999869</v>
      </c>
      <c r="N95" s="23">
        <v>-17518.2</v>
      </c>
      <c r="O95" s="23">
        <f t="shared" si="21"/>
        <v>-207.40000000000146</v>
      </c>
      <c r="P95" s="23">
        <v>-18310.600000000002</v>
      </c>
      <c r="Q95" s="23">
        <f t="shared" si="22"/>
        <v>-366.80000000000291</v>
      </c>
      <c r="R95" s="107" t="s">
        <v>363</v>
      </c>
      <c r="S95" s="107">
        <v>-531</v>
      </c>
      <c r="T95" s="107">
        <v>-16760</v>
      </c>
      <c r="U95" s="107">
        <v>-17518</v>
      </c>
      <c r="V95" s="107">
        <v>-18311</v>
      </c>
      <c r="X95" s="105">
        <f t="shared" si="15"/>
        <v>0</v>
      </c>
      <c r="Y95" s="105">
        <f t="shared" si="16"/>
        <v>-58.989999999997963</v>
      </c>
      <c r="Z95" s="105">
        <f t="shared" si="17"/>
        <v>-207.20000000000073</v>
      </c>
      <c r="AA95" s="105">
        <f t="shared" si="18"/>
        <v>-367.20000000000073</v>
      </c>
    </row>
    <row r="96" spans="1:27" x14ac:dyDescent="0.3">
      <c r="A96" s="109" t="s">
        <v>266</v>
      </c>
      <c r="B96" t="s">
        <v>96</v>
      </c>
      <c r="C96" t="s">
        <v>267</v>
      </c>
      <c r="D96" s="16" t="s">
        <v>325</v>
      </c>
      <c r="E96" s="23">
        <f>'T54'!K40</f>
        <v>0</v>
      </c>
      <c r="F96" s="23">
        <f>'T54'!L40</f>
        <v>0</v>
      </c>
      <c r="G96" s="23">
        <f>'T54'!M40</f>
        <v>0</v>
      </c>
      <c r="H96" s="23">
        <f>'T54'!N40</f>
        <v>0</v>
      </c>
      <c r="I96" s="23">
        <f>'T54'!O40</f>
        <v>0</v>
      </c>
      <c r="J96" s="23">
        <v>0</v>
      </c>
      <c r="K96" s="23">
        <f t="shared" si="19"/>
        <v>0</v>
      </c>
      <c r="L96" s="23">
        <v>0</v>
      </c>
      <c r="M96" s="23">
        <f t="shared" si="20"/>
        <v>0</v>
      </c>
      <c r="N96" s="23">
        <v>0</v>
      </c>
      <c r="O96" s="23">
        <f t="shared" si="21"/>
        <v>0</v>
      </c>
      <c r="P96" s="23">
        <v>0</v>
      </c>
      <c r="Q96" s="23">
        <f t="shared" si="22"/>
        <v>0</v>
      </c>
      <c r="S96" s="107">
        <v>0</v>
      </c>
      <c r="T96" s="107">
        <v>0</v>
      </c>
      <c r="U96" s="107">
        <v>0</v>
      </c>
      <c r="V96" s="107">
        <v>0</v>
      </c>
      <c r="X96" s="105">
        <f t="shared" si="15"/>
        <v>0</v>
      </c>
      <c r="Y96" s="105">
        <f t="shared" si="16"/>
        <v>0</v>
      </c>
      <c r="Z96" s="105">
        <f t="shared" si="17"/>
        <v>0</v>
      </c>
      <c r="AA96" s="105">
        <f t="shared" si="18"/>
        <v>0</v>
      </c>
    </row>
    <row r="97" spans="1:27" x14ac:dyDescent="0.3">
      <c r="A97" s="109" t="s">
        <v>268</v>
      </c>
      <c r="B97" t="s">
        <v>97</v>
      </c>
      <c r="C97" t="s">
        <v>269</v>
      </c>
      <c r="D97" s="16" t="s">
        <v>325</v>
      </c>
      <c r="E97" s="23">
        <f>'T55'!K43</f>
        <v>0</v>
      </c>
      <c r="F97" s="23">
        <f>'T55'!L43</f>
        <v>0</v>
      </c>
      <c r="G97" s="23">
        <f>'T55'!M43</f>
        <v>0</v>
      </c>
      <c r="H97" s="23">
        <f>'T55'!N43</f>
        <v>0</v>
      </c>
      <c r="I97" s="23">
        <f>'T55'!O43</f>
        <v>0</v>
      </c>
      <c r="J97" s="23">
        <v>0</v>
      </c>
      <c r="K97" s="23">
        <f t="shared" si="19"/>
        <v>0</v>
      </c>
      <c r="L97" s="23">
        <v>0</v>
      </c>
      <c r="M97" s="23">
        <f t="shared" si="20"/>
        <v>0</v>
      </c>
      <c r="N97" s="23">
        <v>0</v>
      </c>
      <c r="O97" s="23">
        <f t="shared" si="21"/>
        <v>0</v>
      </c>
      <c r="P97" s="23">
        <v>0</v>
      </c>
      <c r="Q97" s="23">
        <f t="shared" si="22"/>
        <v>0</v>
      </c>
      <c r="X97" s="105">
        <f t="shared" si="15"/>
        <v>0</v>
      </c>
      <c r="Y97" s="105">
        <f t="shared" si="16"/>
        <v>0</v>
      </c>
      <c r="Z97" s="105">
        <f t="shared" si="17"/>
        <v>0</v>
      </c>
      <c r="AA97" s="105">
        <f t="shared" si="18"/>
        <v>0</v>
      </c>
    </row>
    <row r="98" spans="1:27" x14ac:dyDescent="0.3">
      <c r="A98" s="109" t="s">
        <v>270</v>
      </c>
      <c r="B98" t="s">
        <v>98</v>
      </c>
      <c r="C98" t="s">
        <v>271</v>
      </c>
      <c r="D98" s="16" t="s">
        <v>325</v>
      </c>
      <c r="E98" s="23">
        <f>'T56'!K43</f>
        <v>-199108</v>
      </c>
      <c r="F98" s="23">
        <f>'T56'!L43</f>
        <v>-205871.35999999999</v>
      </c>
      <c r="G98" s="23">
        <f>'T56'!M43</f>
        <v>-211833</v>
      </c>
      <c r="H98" s="23">
        <f>'T56'!N43</f>
        <v>-217966</v>
      </c>
      <c r="I98" s="23">
        <f>'T56'!O43</f>
        <v>-219127</v>
      </c>
      <c r="J98" s="23">
        <v>-199108</v>
      </c>
      <c r="K98" s="23">
        <f t="shared" si="19"/>
        <v>0</v>
      </c>
      <c r="L98" s="23">
        <v>-204683</v>
      </c>
      <c r="M98" s="23">
        <f t="shared" si="20"/>
        <v>1188.359999999986</v>
      </c>
      <c r="N98" s="23">
        <v>-210414</v>
      </c>
      <c r="O98" s="23">
        <f t="shared" si="21"/>
        <v>1419</v>
      </c>
      <c r="P98" s="23">
        <v>-216306</v>
      </c>
      <c r="Q98" s="23">
        <f t="shared" si="22"/>
        <v>1660</v>
      </c>
      <c r="R98" s="107" t="s">
        <v>366</v>
      </c>
      <c r="S98" s="107">
        <v>-199108</v>
      </c>
      <c r="T98" s="107">
        <v>-204683</v>
      </c>
      <c r="U98" s="107">
        <v>-210414</v>
      </c>
      <c r="V98" s="107">
        <v>-216306</v>
      </c>
      <c r="X98" s="105">
        <f t="shared" si="15"/>
        <v>0</v>
      </c>
      <c r="Y98" s="105">
        <f t="shared" si="16"/>
        <v>1188.359999999986</v>
      </c>
      <c r="Z98" s="105">
        <f t="shared" si="17"/>
        <v>1419</v>
      </c>
      <c r="AA98" s="105">
        <f t="shared" si="18"/>
        <v>1660</v>
      </c>
    </row>
    <row r="99" spans="1:27" x14ac:dyDescent="0.3">
      <c r="A99" s="109" t="s">
        <v>272</v>
      </c>
      <c r="B99" t="s">
        <v>99</v>
      </c>
      <c r="C99" t="s">
        <v>273</v>
      </c>
      <c r="D99" s="16" t="s">
        <v>325</v>
      </c>
      <c r="E99" s="23">
        <f>'T57'!K66</f>
        <v>-189905</v>
      </c>
      <c r="F99" s="23">
        <f>'T57'!L66</f>
        <v>-221828</v>
      </c>
      <c r="G99" s="23">
        <f>'T57'!M66</f>
        <v>-190223</v>
      </c>
      <c r="H99" s="23">
        <f>'T57'!N66</f>
        <v>-127019</v>
      </c>
      <c r="I99" s="23">
        <f>'T57'!O66</f>
        <v>-128647</v>
      </c>
      <c r="J99" s="23">
        <v>-189905</v>
      </c>
      <c r="K99" s="23">
        <f t="shared" si="19"/>
        <v>0</v>
      </c>
      <c r="L99" s="23">
        <v>-222914</v>
      </c>
      <c r="M99" s="23">
        <f t="shared" si="20"/>
        <v>-1086</v>
      </c>
      <c r="N99" s="23">
        <v>-191267</v>
      </c>
      <c r="O99" s="23">
        <f t="shared" si="21"/>
        <v>-1044</v>
      </c>
      <c r="P99" s="23">
        <v>-128021</v>
      </c>
      <c r="Q99" s="23">
        <f t="shared" si="22"/>
        <v>-1002</v>
      </c>
      <c r="R99" s="107" t="s">
        <v>367</v>
      </c>
      <c r="S99" s="107">
        <v>-189905</v>
      </c>
      <c r="T99" s="107">
        <v>-222914</v>
      </c>
      <c r="U99" s="107">
        <v>-191267</v>
      </c>
      <c r="V99" s="107">
        <v>-128021</v>
      </c>
      <c r="X99" s="105">
        <f t="shared" si="15"/>
        <v>0</v>
      </c>
      <c r="Y99" s="105">
        <f t="shared" si="16"/>
        <v>-1086</v>
      </c>
      <c r="Z99" s="105">
        <f t="shared" si="17"/>
        <v>-1044</v>
      </c>
      <c r="AA99" s="105">
        <f t="shared" si="18"/>
        <v>-1002</v>
      </c>
    </row>
    <row r="100" spans="1:27" x14ac:dyDescent="0.3">
      <c r="A100" s="109" t="s">
        <v>274</v>
      </c>
      <c r="B100" t="s">
        <v>101</v>
      </c>
      <c r="C100" t="s">
        <v>275</v>
      </c>
      <c r="D100" s="16" t="s">
        <v>325</v>
      </c>
      <c r="E100" s="23">
        <f>'T61'!K85</f>
        <v>-887609.10199999996</v>
      </c>
      <c r="F100" s="23">
        <f>'T61'!L85</f>
        <v>-909554.77</v>
      </c>
      <c r="G100" s="23">
        <f>'T61'!M85</f>
        <v>-926963</v>
      </c>
      <c r="H100" s="23">
        <f>'T61'!N85</f>
        <v>-944757</v>
      </c>
      <c r="I100" s="23">
        <f>'T61'!O85</f>
        <v>-962953</v>
      </c>
      <c r="J100" s="23">
        <v>-887609.10199999996</v>
      </c>
      <c r="K100" s="23">
        <f t="shared" si="19"/>
        <v>0</v>
      </c>
      <c r="L100" s="23">
        <v>-903763</v>
      </c>
      <c r="M100" s="23">
        <f t="shared" si="20"/>
        <v>5791.7700000000186</v>
      </c>
      <c r="N100" s="23">
        <v>-920269</v>
      </c>
      <c r="O100" s="23">
        <f t="shared" si="21"/>
        <v>6694</v>
      </c>
      <c r="P100" s="23">
        <v>-937138</v>
      </c>
      <c r="Q100" s="23">
        <f t="shared" si="22"/>
        <v>7619</v>
      </c>
      <c r="R100" s="107" t="s">
        <v>368</v>
      </c>
      <c r="S100" s="107">
        <v>-887608</v>
      </c>
      <c r="T100" s="107">
        <v>-903763</v>
      </c>
      <c r="U100" s="107">
        <v>-920269</v>
      </c>
      <c r="V100" s="107">
        <v>-937138</v>
      </c>
      <c r="X100" s="105">
        <f t="shared" si="15"/>
        <v>1.1019999999552965</v>
      </c>
      <c r="Y100" s="105">
        <f t="shared" si="16"/>
        <v>5791.7700000000186</v>
      </c>
      <c r="Z100" s="105">
        <f t="shared" si="17"/>
        <v>6694</v>
      </c>
      <c r="AA100" s="105">
        <f t="shared" si="18"/>
        <v>7619</v>
      </c>
    </row>
    <row r="101" spans="1:27" x14ac:dyDescent="0.3">
      <c r="A101" s="109" t="s">
        <v>276</v>
      </c>
      <c r="B101" t="s">
        <v>102</v>
      </c>
      <c r="C101" t="s">
        <v>277</v>
      </c>
      <c r="D101" s="16" t="s">
        <v>325</v>
      </c>
      <c r="E101" s="23" t="e">
        <f>#REF!</f>
        <v>#REF!</v>
      </c>
      <c r="F101" s="23" t="e">
        <f>#REF!</f>
        <v>#REF!</v>
      </c>
      <c r="G101" s="23" t="e">
        <f>#REF!</f>
        <v>#REF!</v>
      </c>
      <c r="H101" s="23" t="e">
        <f>#REF!</f>
        <v>#REF!</v>
      </c>
      <c r="I101" s="23" t="e">
        <f>#REF!</f>
        <v>#REF!</v>
      </c>
      <c r="J101" s="23">
        <v>0</v>
      </c>
      <c r="K101" s="23" t="e">
        <f t="shared" si="19"/>
        <v>#REF!</v>
      </c>
      <c r="L101" s="23">
        <v>0</v>
      </c>
      <c r="M101" s="23" t="e">
        <f t="shared" si="20"/>
        <v>#REF!</v>
      </c>
      <c r="N101" s="23">
        <v>0</v>
      </c>
      <c r="O101" s="23" t="e">
        <f t="shared" si="21"/>
        <v>#REF!</v>
      </c>
      <c r="P101" s="23">
        <v>0</v>
      </c>
      <c r="Q101" s="23" t="e">
        <f t="shared" si="22"/>
        <v>#REF!</v>
      </c>
      <c r="R101" s="107" t="s">
        <v>394</v>
      </c>
      <c r="X101" s="105" t="e">
        <f t="shared" si="15"/>
        <v>#REF!</v>
      </c>
      <c r="Y101" s="105" t="e">
        <f t="shared" si="16"/>
        <v>#REF!</v>
      </c>
      <c r="Z101" s="105" t="e">
        <f t="shared" si="17"/>
        <v>#REF!</v>
      </c>
      <c r="AA101" s="105" t="e">
        <f t="shared" si="18"/>
        <v>#REF!</v>
      </c>
    </row>
    <row r="102" spans="1:27" x14ac:dyDescent="0.3">
      <c r="A102" s="109" t="s">
        <v>278</v>
      </c>
      <c r="B102" t="s">
        <v>103</v>
      </c>
      <c r="C102" t="s">
        <v>279</v>
      </c>
      <c r="D102" s="16" t="s">
        <v>325</v>
      </c>
      <c r="E102" s="23" t="e">
        <f>#REF!</f>
        <v>#REF!</v>
      </c>
      <c r="F102" s="23" t="e">
        <f>#REF!</f>
        <v>#REF!</v>
      </c>
      <c r="G102" s="23" t="e">
        <f>#REF!</f>
        <v>#REF!</v>
      </c>
      <c r="H102" s="23" t="e">
        <f>#REF!</f>
        <v>#REF!</v>
      </c>
      <c r="I102" s="23" t="e">
        <f>#REF!</f>
        <v>#REF!</v>
      </c>
      <c r="J102" s="23">
        <v>-117736</v>
      </c>
      <c r="K102" s="23" t="e">
        <f t="shared" si="19"/>
        <v>#REF!</v>
      </c>
      <c r="L102" s="23">
        <v>-120326</v>
      </c>
      <c r="M102" s="23" t="e">
        <f t="shared" si="20"/>
        <v>#REF!</v>
      </c>
      <c r="N102" s="23">
        <v>-122973</v>
      </c>
      <c r="O102" s="23" t="e">
        <f t="shared" si="21"/>
        <v>#REF!</v>
      </c>
      <c r="P102" s="23">
        <v>-125679</v>
      </c>
      <c r="Q102" s="23" t="e">
        <f t="shared" si="22"/>
        <v>#REF!</v>
      </c>
      <c r="R102" s="107" t="s">
        <v>370</v>
      </c>
      <c r="S102" s="107">
        <v>-117736</v>
      </c>
      <c r="T102" s="107">
        <v>-120326</v>
      </c>
      <c r="U102" s="107">
        <v>-122973</v>
      </c>
      <c r="V102" s="107">
        <v>-125679</v>
      </c>
      <c r="X102" s="105" t="e">
        <f t="shared" si="15"/>
        <v>#REF!</v>
      </c>
      <c r="Y102" s="105" t="e">
        <f t="shared" si="16"/>
        <v>#REF!</v>
      </c>
      <c r="Z102" s="105" t="e">
        <f t="shared" si="17"/>
        <v>#REF!</v>
      </c>
      <c r="AA102" s="105" t="e">
        <f t="shared" si="18"/>
        <v>#REF!</v>
      </c>
    </row>
    <row r="103" spans="1:27" x14ac:dyDescent="0.3">
      <c r="A103" s="109" t="s">
        <v>280</v>
      </c>
      <c r="B103" t="s">
        <v>104</v>
      </c>
      <c r="C103" t="s">
        <v>281</v>
      </c>
      <c r="D103" s="16" t="s">
        <v>325</v>
      </c>
      <c r="E103" s="23">
        <f>'T63'!K73</f>
        <v>-7983283</v>
      </c>
      <c r="F103" s="23">
        <f>'T63'!L73</f>
        <v>-7473014</v>
      </c>
      <c r="G103" s="23">
        <f>'T63'!M73</f>
        <v>-7474633</v>
      </c>
      <c r="H103" s="23">
        <f>'T63'!N73</f>
        <v>-7476313</v>
      </c>
      <c r="I103" s="23">
        <f>'T63'!O73</f>
        <v>-7478054</v>
      </c>
      <c r="J103" s="23">
        <v>-7471250</v>
      </c>
      <c r="K103" s="23">
        <f t="shared" si="19"/>
        <v>512033</v>
      </c>
      <c r="L103" s="23">
        <v>-7473182</v>
      </c>
      <c r="M103" s="23">
        <f t="shared" si="20"/>
        <v>-168</v>
      </c>
      <c r="N103" s="23">
        <v>-7475203</v>
      </c>
      <c r="O103" s="23">
        <f t="shared" si="21"/>
        <v>-570</v>
      </c>
      <c r="P103" s="23">
        <v>-7477317</v>
      </c>
      <c r="Q103" s="23">
        <f t="shared" si="22"/>
        <v>-1004</v>
      </c>
      <c r="R103" s="107" t="s">
        <v>371</v>
      </c>
      <c r="S103" s="107">
        <v>-7471250</v>
      </c>
      <c r="T103" s="107">
        <v>-7473182</v>
      </c>
      <c r="U103" s="107">
        <v>-7475203</v>
      </c>
      <c r="V103" s="107">
        <v>-7477317</v>
      </c>
      <c r="X103" s="105">
        <f t="shared" si="15"/>
        <v>512033</v>
      </c>
      <c r="Y103" s="105">
        <f t="shared" si="16"/>
        <v>-168</v>
      </c>
      <c r="Z103" s="105">
        <f t="shared" si="17"/>
        <v>-570</v>
      </c>
      <c r="AA103" s="105">
        <f t="shared" si="18"/>
        <v>-1004</v>
      </c>
    </row>
    <row r="104" spans="1:27" x14ac:dyDescent="0.3">
      <c r="A104" s="109" t="s">
        <v>282</v>
      </c>
      <c r="B104" t="s">
        <v>105</v>
      </c>
      <c r="C104" t="s">
        <v>283</v>
      </c>
      <c r="D104" s="16" t="s">
        <v>325</v>
      </c>
      <c r="E104" s="23" t="e">
        <f>#REF!</f>
        <v>#REF!</v>
      </c>
      <c r="F104" s="23" t="e">
        <f>#REF!</f>
        <v>#REF!</v>
      </c>
      <c r="G104" s="23" t="e">
        <f>#REF!</f>
        <v>#REF!</v>
      </c>
      <c r="H104" s="23" t="e">
        <f>#REF!</f>
        <v>#REF!</v>
      </c>
      <c r="I104" s="23" t="e">
        <f>#REF!</f>
        <v>#REF!</v>
      </c>
      <c r="J104" s="23">
        <v>0</v>
      </c>
      <c r="K104" s="23" t="e">
        <f t="shared" si="19"/>
        <v>#REF!</v>
      </c>
      <c r="L104" s="23">
        <v>0</v>
      </c>
      <c r="M104" s="23" t="e">
        <f t="shared" si="20"/>
        <v>#REF!</v>
      </c>
      <c r="N104" s="23">
        <v>0</v>
      </c>
      <c r="O104" s="23" t="e">
        <f t="shared" si="21"/>
        <v>#REF!</v>
      </c>
      <c r="P104" s="23">
        <v>0</v>
      </c>
      <c r="Q104" s="23" t="e">
        <f t="shared" si="22"/>
        <v>#REF!</v>
      </c>
      <c r="S104" s="107">
        <v>0</v>
      </c>
      <c r="T104" s="107">
        <v>0</v>
      </c>
      <c r="U104" s="107">
        <v>0</v>
      </c>
      <c r="V104" s="107">
        <v>0</v>
      </c>
      <c r="X104" s="105" t="e">
        <f t="shared" si="15"/>
        <v>#REF!</v>
      </c>
      <c r="Y104" s="105" t="e">
        <f t="shared" si="16"/>
        <v>#REF!</v>
      </c>
      <c r="Z104" s="105" t="e">
        <f t="shared" si="17"/>
        <v>#REF!</v>
      </c>
      <c r="AA104" s="105" t="e">
        <f t="shared" si="18"/>
        <v>#REF!</v>
      </c>
    </row>
    <row r="105" spans="1:27" x14ac:dyDescent="0.3">
      <c r="A105" s="109" t="s">
        <v>284</v>
      </c>
      <c r="B105" t="s">
        <v>106</v>
      </c>
      <c r="C105" t="s">
        <v>285</v>
      </c>
      <c r="D105" s="16" t="s">
        <v>325</v>
      </c>
      <c r="E105" s="23">
        <f>'T65'!K51</f>
        <v>-467147</v>
      </c>
      <c r="F105" s="23">
        <f>'T65'!L51</f>
        <v>0</v>
      </c>
      <c r="G105" s="23">
        <f>'T65'!M51</f>
        <v>0</v>
      </c>
      <c r="H105" s="23">
        <f>'T65'!N51</f>
        <v>0</v>
      </c>
      <c r="I105" s="23">
        <f>'T65'!O51</f>
        <v>0</v>
      </c>
      <c r="J105" s="23">
        <v>0</v>
      </c>
      <c r="K105" s="23">
        <f t="shared" si="19"/>
        <v>467147</v>
      </c>
      <c r="L105" s="23">
        <v>0</v>
      </c>
      <c r="M105" s="23">
        <f t="shared" si="20"/>
        <v>0</v>
      </c>
      <c r="N105" s="23">
        <v>0</v>
      </c>
      <c r="O105" s="23">
        <f t="shared" si="21"/>
        <v>0</v>
      </c>
      <c r="P105" s="23">
        <v>0</v>
      </c>
      <c r="Q105" s="23">
        <f t="shared" si="22"/>
        <v>0</v>
      </c>
      <c r="R105" s="107" t="s">
        <v>373</v>
      </c>
      <c r="X105" s="105">
        <f t="shared" si="15"/>
        <v>467147</v>
      </c>
      <c r="Y105" s="105">
        <f t="shared" si="16"/>
        <v>0</v>
      </c>
      <c r="Z105" s="105">
        <f t="shared" si="17"/>
        <v>0</v>
      </c>
      <c r="AA105" s="105">
        <f t="shared" si="18"/>
        <v>0</v>
      </c>
    </row>
    <row r="106" spans="1:27" x14ac:dyDescent="0.3">
      <c r="A106" s="109" t="s">
        <v>286</v>
      </c>
      <c r="B106" t="s">
        <v>107</v>
      </c>
      <c r="C106" t="s">
        <v>287</v>
      </c>
      <c r="D106" s="16" t="s">
        <v>325</v>
      </c>
      <c r="E106" s="23" t="e">
        <f>#REF!</f>
        <v>#REF!</v>
      </c>
      <c r="F106" s="23" t="e">
        <f>#REF!</f>
        <v>#REF!</v>
      </c>
      <c r="G106" s="23" t="e">
        <f>#REF!</f>
        <v>#REF!</v>
      </c>
      <c r="H106" s="23" t="e">
        <f>#REF!</f>
        <v>#REF!</v>
      </c>
      <c r="I106" s="23" t="e">
        <f>#REF!</f>
        <v>#REF!</v>
      </c>
      <c r="J106" s="23">
        <v>-21060</v>
      </c>
      <c r="K106" s="23" t="e">
        <f t="shared" si="19"/>
        <v>#REF!</v>
      </c>
      <c r="L106" s="23">
        <v>-21520</v>
      </c>
      <c r="M106" s="23" t="e">
        <f t="shared" si="20"/>
        <v>#REF!</v>
      </c>
      <c r="N106" s="23">
        <v>-21990</v>
      </c>
      <c r="O106" s="23" t="e">
        <f t="shared" si="21"/>
        <v>#REF!</v>
      </c>
      <c r="P106" s="23">
        <v>-22470</v>
      </c>
      <c r="Q106" s="23" t="e">
        <f t="shared" si="22"/>
        <v>#REF!</v>
      </c>
      <c r="R106" s="107" t="s">
        <v>374</v>
      </c>
      <c r="S106" s="107">
        <v>-21060</v>
      </c>
      <c r="T106" s="107">
        <v>-21520</v>
      </c>
      <c r="U106" s="107">
        <v>-21990</v>
      </c>
      <c r="V106" s="107">
        <v>-22470</v>
      </c>
      <c r="X106" s="105" t="e">
        <f t="shared" si="15"/>
        <v>#REF!</v>
      </c>
      <c r="Y106" s="105" t="e">
        <f t="shared" si="16"/>
        <v>#REF!</v>
      </c>
      <c r="Z106" s="105" t="e">
        <f t="shared" si="17"/>
        <v>#REF!</v>
      </c>
      <c r="AA106" s="105" t="e">
        <f t="shared" si="18"/>
        <v>#REF!</v>
      </c>
    </row>
    <row r="107" spans="1:27" x14ac:dyDescent="0.3">
      <c r="A107" s="109" t="s">
        <v>288</v>
      </c>
      <c r="B107" t="s">
        <v>108</v>
      </c>
      <c r="C107" t="s">
        <v>289</v>
      </c>
      <c r="D107" s="16" t="s">
        <v>325</v>
      </c>
      <c r="E107" s="23" t="e">
        <f>#REF!</f>
        <v>#REF!</v>
      </c>
      <c r="F107" s="23" t="e">
        <f>#REF!</f>
        <v>#REF!</v>
      </c>
      <c r="G107" s="23" t="e">
        <f>#REF!</f>
        <v>#REF!</v>
      </c>
      <c r="H107" s="23" t="e">
        <f>#REF!</f>
        <v>#REF!</v>
      </c>
      <c r="I107" s="23" t="e">
        <f>#REF!</f>
        <v>#REF!</v>
      </c>
      <c r="J107" s="23">
        <v>-92500</v>
      </c>
      <c r="K107" s="23" t="e">
        <f t="shared" si="19"/>
        <v>#REF!</v>
      </c>
      <c r="L107" s="23">
        <v>-173600</v>
      </c>
      <c r="M107" s="23" t="e">
        <f t="shared" si="20"/>
        <v>#REF!</v>
      </c>
      <c r="N107" s="23">
        <v>-181600</v>
      </c>
      <c r="O107" s="23" t="e">
        <f t="shared" si="21"/>
        <v>#REF!</v>
      </c>
      <c r="P107" s="23">
        <v>-186000</v>
      </c>
      <c r="Q107" s="23" t="e">
        <f t="shared" si="22"/>
        <v>#REF!</v>
      </c>
      <c r="R107" s="107" t="s">
        <v>375</v>
      </c>
      <c r="S107" s="107">
        <v>-92500</v>
      </c>
      <c r="T107" s="107">
        <v>-173600</v>
      </c>
      <c r="U107" s="107">
        <v>-181600</v>
      </c>
      <c r="V107" s="107">
        <v>-186000</v>
      </c>
      <c r="X107" s="105" t="e">
        <f t="shared" si="15"/>
        <v>#REF!</v>
      </c>
      <c r="Y107" s="105" t="e">
        <f t="shared" si="16"/>
        <v>#REF!</v>
      </c>
      <c r="Z107" s="105" t="e">
        <f t="shared" si="17"/>
        <v>#REF!</v>
      </c>
      <c r="AA107" s="105" t="e">
        <f t="shared" si="18"/>
        <v>#REF!</v>
      </c>
    </row>
    <row r="108" spans="1:27" x14ac:dyDescent="0.3">
      <c r="A108" s="109" t="s">
        <v>290</v>
      </c>
      <c r="B108" t="s">
        <v>109</v>
      </c>
      <c r="C108" t="s">
        <v>291</v>
      </c>
      <c r="D108" s="16" t="s">
        <v>325</v>
      </c>
      <c r="E108" s="23" t="e">
        <f>#REF!</f>
        <v>#REF!</v>
      </c>
      <c r="F108" s="23" t="e">
        <f>#REF!</f>
        <v>#REF!</v>
      </c>
      <c r="G108" s="23" t="e">
        <f>#REF!</f>
        <v>#REF!</v>
      </c>
      <c r="H108" s="23" t="e">
        <f>#REF!</f>
        <v>#REF!</v>
      </c>
      <c r="I108" s="23" t="e">
        <f>#REF!</f>
        <v>#REF!</v>
      </c>
      <c r="J108" s="23">
        <v>-61000</v>
      </c>
      <c r="K108" s="23" t="e">
        <f t="shared" si="19"/>
        <v>#REF!</v>
      </c>
      <c r="L108" s="23">
        <v>-125500</v>
      </c>
      <c r="M108" s="23" t="e">
        <f t="shared" si="20"/>
        <v>#REF!</v>
      </c>
      <c r="N108" s="23">
        <v>-131300</v>
      </c>
      <c r="O108" s="23" t="e">
        <f t="shared" si="21"/>
        <v>#REF!</v>
      </c>
      <c r="P108" s="23">
        <v>-137300</v>
      </c>
      <c r="Q108" s="23" t="e">
        <f t="shared" si="22"/>
        <v>#REF!</v>
      </c>
      <c r="R108" s="107" t="s">
        <v>376</v>
      </c>
      <c r="S108" s="107">
        <v>-61000</v>
      </c>
      <c r="T108" s="107">
        <v>-125500</v>
      </c>
      <c r="U108" s="107">
        <v>-131300</v>
      </c>
      <c r="V108" s="107">
        <v>-137300</v>
      </c>
      <c r="X108" s="105" t="e">
        <f t="shared" si="15"/>
        <v>#REF!</v>
      </c>
      <c r="Y108" s="105" t="e">
        <f t="shared" si="16"/>
        <v>#REF!</v>
      </c>
      <c r="Z108" s="105" t="e">
        <f t="shared" si="17"/>
        <v>#REF!</v>
      </c>
      <c r="AA108" s="105" t="e">
        <f t="shared" si="18"/>
        <v>#REF!</v>
      </c>
    </row>
    <row r="109" spans="1:27" x14ac:dyDescent="0.3">
      <c r="A109" s="109" t="s">
        <v>292</v>
      </c>
      <c r="B109" t="s">
        <v>110</v>
      </c>
      <c r="C109" t="s">
        <v>293</v>
      </c>
      <c r="D109" s="16" t="s">
        <v>325</v>
      </c>
      <c r="E109" s="23" t="e">
        <f>#REF!</f>
        <v>#REF!</v>
      </c>
      <c r="F109" s="23" t="e">
        <f>#REF!</f>
        <v>#REF!</v>
      </c>
      <c r="G109" s="23" t="e">
        <f>#REF!</f>
        <v>#REF!</v>
      </c>
      <c r="H109" s="23" t="e">
        <f>#REF!</f>
        <v>#REF!</v>
      </c>
      <c r="I109" s="23" t="e">
        <f>#REF!</f>
        <v>#REF!</v>
      </c>
      <c r="J109" s="23">
        <v>0</v>
      </c>
      <c r="K109" s="23" t="e">
        <f t="shared" si="19"/>
        <v>#REF!</v>
      </c>
      <c r="L109" s="23">
        <v>0</v>
      </c>
      <c r="M109" s="23" t="e">
        <f t="shared" si="20"/>
        <v>#REF!</v>
      </c>
      <c r="N109" s="23">
        <v>0</v>
      </c>
      <c r="O109" s="23" t="e">
        <f t="shared" si="21"/>
        <v>#REF!</v>
      </c>
      <c r="P109" s="23">
        <v>0</v>
      </c>
      <c r="Q109" s="23" t="e">
        <f t="shared" si="22"/>
        <v>#REF!</v>
      </c>
      <c r="S109" s="107">
        <v>0</v>
      </c>
      <c r="T109" s="107">
        <v>0</v>
      </c>
      <c r="U109" s="107">
        <v>0</v>
      </c>
      <c r="V109" s="107">
        <v>0</v>
      </c>
      <c r="X109" s="105" t="e">
        <f t="shared" si="15"/>
        <v>#REF!</v>
      </c>
      <c r="Y109" s="105" t="e">
        <f t="shared" si="16"/>
        <v>#REF!</v>
      </c>
      <c r="Z109" s="105" t="e">
        <f t="shared" si="17"/>
        <v>#REF!</v>
      </c>
      <c r="AA109" s="105" t="e">
        <f t="shared" si="18"/>
        <v>#REF!</v>
      </c>
    </row>
    <row r="110" spans="1:27" x14ac:dyDescent="0.3">
      <c r="A110" s="109" t="s">
        <v>294</v>
      </c>
      <c r="B110" t="s">
        <v>111</v>
      </c>
      <c r="C110" t="s">
        <v>295</v>
      </c>
      <c r="D110" s="16" t="s">
        <v>325</v>
      </c>
      <c r="E110" s="23" t="e">
        <f>#REF!</f>
        <v>#REF!</v>
      </c>
      <c r="F110" s="23" t="e">
        <f>#REF!</f>
        <v>#REF!</v>
      </c>
      <c r="G110" s="23" t="e">
        <f>#REF!</f>
        <v>#REF!</v>
      </c>
      <c r="H110" s="23" t="e">
        <f>#REF!</f>
        <v>#REF!</v>
      </c>
      <c r="I110" s="23" t="e">
        <f>#REF!</f>
        <v>#REF!</v>
      </c>
      <c r="J110" s="23">
        <v>0</v>
      </c>
      <c r="K110" s="23" t="e">
        <f t="shared" si="19"/>
        <v>#REF!</v>
      </c>
      <c r="L110" s="23">
        <v>0</v>
      </c>
      <c r="M110" s="23" t="e">
        <f t="shared" si="20"/>
        <v>#REF!</v>
      </c>
      <c r="N110" s="23">
        <v>0</v>
      </c>
      <c r="O110" s="23" t="e">
        <f t="shared" si="21"/>
        <v>#REF!</v>
      </c>
      <c r="P110" s="23">
        <v>0</v>
      </c>
      <c r="Q110" s="23" t="e">
        <f t="shared" si="22"/>
        <v>#REF!</v>
      </c>
      <c r="X110" s="105" t="e">
        <f t="shared" si="15"/>
        <v>#REF!</v>
      </c>
      <c r="Y110" s="105" t="e">
        <f t="shared" si="16"/>
        <v>#REF!</v>
      </c>
      <c r="Z110" s="105" t="e">
        <f t="shared" si="17"/>
        <v>#REF!</v>
      </c>
      <c r="AA110" s="105" t="e">
        <f t="shared" si="18"/>
        <v>#REF!</v>
      </c>
    </row>
    <row r="111" spans="1:27" x14ac:dyDescent="0.3">
      <c r="A111" s="109" t="s">
        <v>296</v>
      </c>
      <c r="B111" t="s">
        <v>112</v>
      </c>
      <c r="C111" t="s">
        <v>297</v>
      </c>
      <c r="D111" s="16" t="s">
        <v>325</v>
      </c>
      <c r="E111" s="23" t="e">
        <f>#REF!</f>
        <v>#REF!</v>
      </c>
      <c r="F111" s="23" t="e">
        <f>#REF!</f>
        <v>#REF!</v>
      </c>
      <c r="G111" s="23" t="e">
        <f>#REF!</f>
        <v>#REF!</v>
      </c>
      <c r="H111" s="23" t="e">
        <f>#REF!</f>
        <v>#REF!</v>
      </c>
      <c r="I111" s="23" t="e">
        <f>#REF!</f>
        <v>#REF!</v>
      </c>
      <c r="J111" s="23">
        <v>0</v>
      </c>
      <c r="K111" s="23" t="e">
        <f t="shared" si="19"/>
        <v>#REF!</v>
      </c>
      <c r="L111" s="23">
        <v>0</v>
      </c>
      <c r="M111" s="23" t="e">
        <f t="shared" si="20"/>
        <v>#REF!</v>
      </c>
      <c r="N111" s="23">
        <v>0</v>
      </c>
      <c r="O111" s="23" t="e">
        <f t="shared" si="21"/>
        <v>#REF!</v>
      </c>
      <c r="P111" s="23">
        <v>0</v>
      </c>
      <c r="Q111" s="23" t="e">
        <f t="shared" si="22"/>
        <v>#REF!</v>
      </c>
      <c r="X111" s="105" t="e">
        <f t="shared" si="15"/>
        <v>#REF!</v>
      </c>
      <c r="Y111" s="105" t="e">
        <f t="shared" si="16"/>
        <v>#REF!</v>
      </c>
      <c r="Z111" s="105" t="e">
        <f t="shared" si="17"/>
        <v>#REF!</v>
      </c>
      <c r="AA111" s="105" t="e">
        <f t="shared" si="18"/>
        <v>#REF!</v>
      </c>
    </row>
    <row r="112" spans="1:27" x14ac:dyDescent="0.3">
      <c r="A112" s="109" t="s">
        <v>298</v>
      </c>
      <c r="B112" t="s">
        <v>113</v>
      </c>
      <c r="C112" t="s">
        <v>299</v>
      </c>
      <c r="D112" s="16" t="s">
        <v>325</v>
      </c>
      <c r="E112" s="23" t="e">
        <f>#REF!</f>
        <v>#REF!</v>
      </c>
      <c r="F112" s="23" t="e">
        <f>#REF!</f>
        <v>#REF!</v>
      </c>
      <c r="G112" s="23" t="e">
        <f>#REF!</f>
        <v>#REF!</v>
      </c>
      <c r="H112" s="23" t="e">
        <f>#REF!</f>
        <v>#REF!</v>
      </c>
      <c r="I112" s="23" t="e">
        <f>#REF!</f>
        <v>#REF!</v>
      </c>
      <c r="J112" s="23">
        <v>0</v>
      </c>
      <c r="K112" s="23" t="e">
        <f t="shared" si="19"/>
        <v>#REF!</v>
      </c>
      <c r="L112" s="23">
        <v>0</v>
      </c>
      <c r="M112" s="23" t="e">
        <f t="shared" si="20"/>
        <v>#REF!</v>
      </c>
      <c r="N112" s="23">
        <v>0</v>
      </c>
      <c r="O112" s="23" t="e">
        <f t="shared" si="21"/>
        <v>#REF!</v>
      </c>
      <c r="P112" s="23">
        <v>0</v>
      </c>
      <c r="Q112" s="23" t="e">
        <f t="shared" si="22"/>
        <v>#REF!</v>
      </c>
      <c r="X112" s="105" t="e">
        <f t="shared" si="15"/>
        <v>#REF!</v>
      </c>
      <c r="Y112" s="105" t="e">
        <f t="shared" si="16"/>
        <v>#REF!</v>
      </c>
      <c r="Z112" s="105" t="e">
        <f t="shared" si="17"/>
        <v>#REF!</v>
      </c>
      <c r="AA112" s="105" t="e">
        <f t="shared" si="18"/>
        <v>#REF!</v>
      </c>
    </row>
    <row r="113" spans="1:27" x14ac:dyDescent="0.3">
      <c r="A113" s="93" t="s">
        <v>47</v>
      </c>
      <c r="E113" s="23" t="e">
        <f>#REF!</f>
        <v>#REF!</v>
      </c>
      <c r="F113" s="23" t="e">
        <f>#REF!</f>
        <v>#REF!</v>
      </c>
      <c r="G113" s="23" t="e">
        <f>#REF!</f>
        <v>#REF!</v>
      </c>
      <c r="H113" s="23" t="e">
        <f>#REF!</f>
        <v>#REF!</v>
      </c>
      <c r="I113" s="23" t="e">
        <f>#REF!</f>
        <v>#REF!</v>
      </c>
      <c r="J113" s="23">
        <v>0</v>
      </c>
      <c r="K113" s="23" t="e">
        <f t="shared" si="19"/>
        <v>#REF!</v>
      </c>
      <c r="L113" s="23">
        <v>0</v>
      </c>
      <c r="M113" s="23" t="e">
        <f t="shared" si="20"/>
        <v>#REF!</v>
      </c>
      <c r="N113" s="23">
        <v>0</v>
      </c>
      <c r="O113" s="23" t="e">
        <f t="shared" si="21"/>
        <v>#REF!</v>
      </c>
      <c r="P113" s="23">
        <v>0</v>
      </c>
      <c r="Q113" s="23" t="e">
        <f t="shared" si="22"/>
        <v>#REF!</v>
      </c>
      <c r="X113" s="105" t="e">
        <f t="shared" si="15"/>
        <v>#REF!</v>
      </c>
      <c r="Y113" s="105" t="e">
        <f t="shared" si="16"/>
        <v>#REF!</v>
      </c>
      <c r="Z113" s="105" t="e">
        <f t="shared" si="17"/>
        <v>#REF!</v>
      </c>
      <c r="AA113" s="105" t="e">
        <f t="shared" si="18"/>
        <v>#REF!</v>
      </c>
    </row>
    <row r="114" spans="1:27" x14ac:dyDescent="0.3">
      <c r="A114" s="93" t="s">
        <v>48</v>
      </c>
      <c r="E114" s="23" t="e">
        <f>#REF!</f>
        <v>#REF!</v>
      </c>
      <c r="F114" s="23" t="e">
        <f>#REF!</f>
        <v>#REF!</v>
      </c>
      <c r="G114" s="23" t="e">
        <f>#REF!</f>
        <v>#REF!</v>
      </c>
      <c r="H114" s="23" t="e">
        <f>#REF!</f>
        <v>#REF!</v>
      </c>
      <c r="I114" s="23" t="e">
        <f>#REF!</f>
        <v>#REF!</v>
      </c>
      <c r="J114" s="23">
        <v>0</v>
      </c>
      <c r="K114" s="23" t="e">
        <f t="shared" si="19"/>
        <v>#REF!</v>
      </c>
      <c r="L114" s="23">
        <v>0</v>
      </c>
      <c r="M114" s="23" t="e">
        <f t="shared" si="20"/>
        <v>#REF!</v>
      </c>
      <c r="N114" s="23">
        <v>0</v>
      </c>
      <c r="O114" s="23" t="e">
        <f t="shared" si="21"/>
        <v>#REF!</v>
      </c>
      <c r="P114" s="23">
        <v>0</v>
      </c>
      <c r="Q114" s="23" t="e">
        <f t="shared" si="22"/>
        <v>#REF!</v>
      </c>
      <c r="X114" s="105" t="e">
        <f t="shared" si="15"/>
        <v>#REF!</v>
      </c>
      <c r="Y114" s="105" t="e">
        <f t="shared" si="16"/>
        <v>#REF!</v>
      </c>
      <c r="Z114" s="105" t="e">
        <f t="shared" si="17"/>
        <v>#REF!</v>
      </c>
      <c r="AA114" s="105" t="e">
        <f t="shared" si="18"/>
        <v>#REF!</v>
      </c>
    </row>
    <row r="115" spans="1:27" x14ac:dyDescent="0.3">
      <c r="A115" s="109" t="s">
        <v>300</v>
      </c>
      <c r="B115" t="s">
        <v>116</v>
      </c>
      <c r="C115" t="s">
        <v>301</v>
      </c>
      <c r="D115" s="16" t="s">
        <v>325</v>
      </c>
      <c r="E115" s="23" t="e">
        <f>#REF!</f>
        <v>#REF!</v>
      </c>
      <c r="F115" s="23" t="e">
        <f>#REF!</f>
        <v>#REF!</v>
      </c>
      <c r="G115" s="23" t="e">
        <f>#REF!</f>
        <v>#REF!</v>
      </c>
      <c r="H115" s="23" t="e">
        <f>#REF!</f>
        <v>#REF!</v>
      </c>
      <c r="I115" s="23" t="e">
        <f>#REF!</f>
        <v>#REF!</v>
      </c>
      <c r="J115" s="23">
        <v>0</v>
      </c>
      <c r="K115" s="23" t="e">
        <f t="shared" si="19"/>
        <v>#REF!</v>
      </c>
      <c r="L115" s="23">
        <v>0</v>
      </c>
      <c r="M115" s="23" t="e">
        <f t="shared" si="20"/>
        <v>#REF!</v>
      </c>
      <c r="N115" s="23">
        <v>0</v>
      </c>
      <c r="O115" s="23" t="e">
        <f t="shared" si="21"/>
        <v>#REF!</v>
      </c>
      <c r="P115" s="23">
        <v>0</v>
      </c>
      <c r="Q115" s="23" t="e">
        <f t="shared" si="22"/>
        <v>#REF!</v>
      </c>
      <c r="X115" s="105" t="e">
        <f t="shared" si="15"/>
        <v>#REF!</v>
      </c>
      <c r="Y115" s="105" t="e">
        <f t="shared" si="16"/>
        <v>#REF!</v>
      </c>
      <c r="Z115" s="105" t="e">
        <f t="shared" si="17"/>
        <v>#REF!</v>
      </c>
      <c r="AA115" s="105" t="e">
        <f t="shared" si="18"/>
        <v>#REF!</v>
      </c>
    </row>
    <row r="116" spans="1:27" x14ac:dyDescent="0.3">
      <c r="A116" s="109" t="s">
        <v>302</v>
      </c>
      <c r="B116" t="s">
        <v>117</v>
      </c>
      <c r="C116" t="s">
        <v>303</v>
      </c>
      <c r="D116" s="16" t="s">
        <v>325</v>
      </c>
      <c r="E116" s="23" t="e">
        <f>#REF!</f>
        <v>#REF!</v>
      </c>
      <c r="F116" s="23" t="e">
        <f>#REF!</f>
        <v>#REF!</v>
      </c>
      <c r="G116" s="23" t="e">
        <f>#REF!</f>
        <v>#REF!</v>
      </c>
      <c r="H116" s="23" t="e">
        <f>#REF!</f>
        <v>#REF!</v>
      </c>
      <c r="I116" s="23" t="e">
        <f>#REF!</f>
        <v>#REF!</v>
      </c>
      <c r="J116" s="23">
        <v>0</v>
      </c>
      <c r="K116" s="23" t="e">
        <f t="shared" si="19"/>
        <v>#REF!</v>
      </c>
      <c r="L116" s="23">
        <v>0</v>
      </c>
      <c r="M116" s="23" t="e">
        <f t="shared" si="20"/>
        <v>#REF!</v>
      </c>
      <c r="N116" s="23">
        <v>0</v>
      </c>
      <c r="O116" s="23" t="e">
        <f t="shared" si="21"/>
        <v>#REF!</v>
      </c>
      <c r="P116" s="23">
        <v>0</v>
      </c>
      <c r="Q116" s="23" t="e">
        <f t="shared" si="22"/>
        <v>#REF!</v>
      </c>
      <c r="X116" s="105" t="e">
        <f t="shared" si="15"/>
        <v>#REF!</v>
      </c>
      <c r="Y116" s="105" t="e">
        <f t="shared" si="16"/>
        <v>#REF!</v>
      </c>
      <c r="Z116" s="105" t="e">
        <f t="shared" si="17"/>
        <v>#REF!</v>
      </c>
      <c r="AA116" s="105" t="e">
        <f t="shared" si="18"/>
        <v>#REF!</v>
      </c>
    </row>
    <row r="117" spans="1:27" x14ac:dyDescent="0.3">
      <c r="A117" s="109" t="s">
        <v>304</v>
      </c>
      <c r="B117" t="s">
        <v>118</v>
      </c>
      <c r="C117" t="s">
        <v>305</v>
      </c>
      <c r="D117" s="16" t="s">
        <v>325</v>
      </c>
      <c r="E117" s="23">
        <f>'T691'!K40</f>
        <v>0</v>
      </c>
      <c r="F117" s="23">
        <f>'T691'!L40</f>
        <v>0</v>
      </c>
      <c r="G117" s="23">
        <f>'T691'!M40</f>
        <v>0</v>
      </c>
      <c r="H117" s="23">
        <f>'T691'!N40</f>
        <v>0</v>
      </c>
      <c r="I117" s="23">
        <f>'T691'!O40</f>
        <v>0</v>
      </c>
      <c r="J117" s="23">
        <v>0</v>
      </c>
      <c r="K117" s="23">
        <f t="shared" si="19"/>
        <v>0</v>
      </c>
      <c r="L117" s="23">
        <v>0</v>
      </c>
      <c r="M117" s="23">
        <f t="shared" si="20"/>
        <v>0</v>
      </c>
      <c r="N117" s="23">
        <v>0</v>
      </c>
      <c r="O117" s="23">
        <f t="shared" si="21"/>
        <v>0</v>
      </c>
      <c r="P117" s="23">
        <v>0</v>
      </c>
      <c r="Q117" s="23">
        <f t="shared" si="22"/>
        <v>0</v>
      </c>
      <c r="X117" s="105">
        <f t="shared" si="15"/>
        <v>0</v>
      </c>
      <c r="Y117" s="105">
        <f t="shared" si="16"/>
        <v>0</v>
      </c>
      <c r="Z117" s="105">
        <f t="shared" si="17"/>
        <v>0</v>
      </c>
      <c r="AA117" s="105">
        <f t="shared" si="18"/>
        <v>0</v>
      </c>
    </row>
    <row r="118" spans="1:27" x14ac:dyDescent="0.3">
      <c r="A118" s="109" t="s">
        <v>306</v>
      </c>
      <c r="B118" t="s">
        <v>119</v>
      </c>
      <c r="C118" t="s">
        <v>307</v>
      </c>
      <c r="D118" s="16" t="s">
        <v>325</v>
      </c>
      <c r="E118" s="23">
        <f>'T692'!K47</f>
        <v>0</v>
      </c>
      <c r="F118" s="23">
        <f>'T692'!L47</f>
        <v>0</v>
      </c>
      <c r="G118" s="23">
        <f>'T692'!M47</f>
        <v>0</v>
      </c>
      <c r="H118" s="23">
        <f>'T692'!N47</f>
        <v>0</v>
      </c>
      <c r="I118" s="23">
        <f>'T692'!O47</f>
        <v>0</v>
      </c>
      <c r="J118" s="23">
        <v>0</v>
      </c>
      <c r="K118" s="23">
        <f t="shared" si="19"/>
        <v>0</v>
      </c>
      <c r="L118" s="23">
        <v>0</v>
      </c>
      <c r="M118" s="23">
        <f t="shared" si="20"/>
        <v>0</v>
      </c>
      <c r="N118" s="23">
        <v>0</v>
      </c>
      <c r="O118" s="23">
        <f t="shared" si="21"/>
        <v>0</v>
      </c>
      <c r="P118" s="23">
        <v>0</v>
      </c>
      <c r="Q118" s="23">
        <f t="shared" si="22"/>
        <v>0</v>
      </c>
      <c r="X118" s="105">
        <f t="shared" si="15"/>
        <v>0</v>
      </c>
      <c r="Y118" s="105">
        <f t="shared" si="16"/>
        <v>0</v>
      </c>
      <c r="Z118" s="105">
        <f t="shared" si="17"/>
        <v>0</v>
      </c>
      <c r="AA118" s="105">
        <f t="shared" si="18"/>
        <v>0</v>
      </c>
    </row>
    <row r="119" spans="1:27" x14ac:dyDescent="0.3">
      <c r="A119" s="109" t="s">
        <v>308</v>
      </c>
      <c r="B119" t="s">
        <v>120</v>
      </c>
      <c r="C119" t="s">
        <v>309</v>
      </c>
      <c r="D119" s="16" t="s">
        <v>325</v>
      </c>
      <c r="E119" s="23">
        <f>'T71'!K70</f>
        <v>-62180</v>
      </c>
      <c r="F119" s="23">
        <f>'T71'!L70</f>
        <v>-62180</v>
      </c>
      <c r="G119" s="23">
        <f>'T71'!M70</f>
        <v>-62180</v>
      </c>
      <c r="H119" s="23">
        <f>'T71'!N70</f>
        <v>-62180</v>
      </c>
      <c r="I119" s="23">
        <f>'T71'!O70</f>
        <v>-62180</v>
      </c>
      <c r="J119" s="23">
        <v>-62180</v>
      </c>
      <c r="K119" s="23">
        <f t="shared" si="19"/>
        <v>0</v>
      </c>
      <c r="L119" s="23">
        <v>-62180</v>
      </c>
      <c r="M119" s="23">
        <f t="shared" si="20"/>
        <v>0</v>
      </c>
      <c r="N119" s="23">
        <v>-62180</v>
      </c>
      <c r="O119" s="23">
        <f t="shared" si="21"/>
        <v>0</v>
      </c>
      <c r="P119" s="23">
        <v>-62180</v>
      </c>
      <c r="Q119" s="23">
        <f t="shared" si="22"/>
        <v>0</v>
      </c>
      <c r="R119" s="107" t="s">
        <v>385</v>
      </c>
      <c r="S119" s="107">
        <v>-62180</v>
      </c>
      <c r="T119" s="107">
        <v>-62180</v>
      </c>
      <c r="U119" s="107">
        <v>-62180</v>
      </c>
      <c r="V119" s="107">
        <v>-62180</v>
      </c>
      <c r="X119" s="105">
        <f t="shared" si="15"/>
        <v>0</v>
      </c>
      <c r="Y119" s="105">
        <f t="shared" si="16"/>
        <v>0</v>
      </c>
      <c r="Z119" s="105">
        <f t="shared" si="17"/>
        <v>0</v>
      </c>
      <c r="AA119" s="105">
        <f t="shared" si="18"/>
        <v>0</v>
      </c>
    </row>
    <row r="120" spans="1:27" x14ac:dyDescent="0.3">
      <c r="A120" s="109" t="s">
        <v>310</v>
      </c>
      <c r="B120" t="s">
        <v>121</v>
      </c>
      <c r="C120" t="s">
        <v>311</v>
      </c>
      <c r="D120" s="16" t="s">
        <v>325</v>
      </c>
      <c r="E120" s="23">
        <f>'T72'!K68</f>
        <v>-3063140.2934013894</v>
      </c>
      <c r="F120" s="23">
        <f>'T72'!L68</f>
        <v>-3161192.1645783759</v>
      </c>
      <c r="G120" s="23">
        <f>'T72'!M68</f>
        <v>-3262400.1838562791</v>
      </c>
      <c r="H120" s="23">
        <f>'T72'!N68</f>
        <v>-3366813.5373335811</v>
      </c>
      <c r="I120" s="23">
        <f>'T72'!O68</f>
        <v>-3474571.6300881091</v>
      </c>
      <c r="J120" s="23">
        <v>-3070719.7950241598</v>
      </c>
      <c r="K120" s="23">
        <f t="shared" si="19"/>
        <v>-7579.5016227704473</v>
      </c>
      <c r="L120" s="23">
        <v>-3176863.8575073988</v>
      </c>
      <c r="M120" s="23">
        <f t="shared" si="20"/>
        <v>-15671.692929022945</v>
      </c>
      <c r="N120" s="23">
        <v>-3286684.1746400557</v>
      </c>
      <c r="O120" s="23">
        <f t="shared" si="21"/>
        <v>-24283.990783776622</v>
      </c>
      <c r="P120" s="23">
        <v>-3400228.4832635587</v>
      </c>
      <c r="Q120" s="23">
        <f t="shared" si="22"/>
        <v>-33414.945929977577</v>
      </c>
      <c r="R120" s="107" t="s">
        <v>386</v>
      </c>
      <c r="S120" s="107">
        <v>-3070720</v>
      </c>
      <c r="T120" s="107">
        <v>-3176864</v>
      </c>
      <c r="U120" s="107">
        <v>-3286685</v>
      </c>
      <c r="V120" s="107">
        <v>-3400229</v>
      </c>
      <c r="X120" s="105">
        <f t="shared" si="15"/>
        <v>-7579.7065986106172</v>
      </c>
      <c r="Y120" s="105">
        <f t="shared" si="16"/>
        <v>-15671.835421624128</v>
      </c>
      <c r="Z120" s="105">
        <f t="shared" si="17"/>
        <v>-24284.816143720876</v>
      </c>
      <c r="AA120" s="105">
        <f t="shared" si="18"/>
        <v>-33415.462666418869</v>
      </c>
    </row>
    <row r="121" spans="1:27" x14ac:dyDescent="0.3">
      <c r="A121" s="109" t="s">
        <v>312</v>
      </c>
      <c r="B121" t="s">
        <v>122</v>
      </c>
      <c r="C121" t="s">
        <v>313</v>
      </c>
      <c r="D121" s="16" t="s">
        <v>325</v>
      </c>
      <c r="E121" s="23">
        <f>'T73'!K67</f>
        <v>-6279202.75</v>
      </c>
      <c r="F121" s="23">
        <f>'T73'!L67</f>
        <v>-6412730.4000000004</v>
      </c>
      <c r="G121" s="23">
        <f>'T73'!M67</f>
        <v>-6567935.4000000004</v>
      </c>
      <c r="H121" s="23">
        <f>'T73'!N67</f>
        <v>-6735458</v>
      </c>
      <c r="I121" s="23">
        <f>'T73'!O67</f>
        <v>-6954590.8000000007</v>
      </c>
      <c r="J121" s="23">
        <v>-6255531.5499999998</v>
      </c>
      <c r="K121" s="23">
        <f t="shared" si="19"/>
        <v>23671.200000000186</v>
      </c>
      <c r="L121" s="23">
        <v>-6420206.5999999996</v>
      </c>
      <c r="M121" s="23">
        <f t="shared" si="20"/>
        <v>-7476.1999999992549</v>
      </c>
      <c r="N121" s="23">
        <v>-6582087.7999999998</v>
      </c>
      <c r="O121" s="23">
        <f t="shared" si="21"/>
        <v>-14152.399999999441</v>
      </c>
      <c r="P121" s="23">
        <v>-6756091.6000000006</v>
      </c>
      <c r="Q121" s="23">
        <f t="shared" si="22"/>
        <v>-20633.600000000559</v>
      </c>
      <c r="R121" s="107" t="s">
        <v>387</v>
      </c>
      <c r="S121" s="107">
        <v>-6255531</v>
      </c>
      <c r="T121" s="107">
        <v>-6420207</v>
      </c>
      <c r="U121" s="107">
        <v>-6582088</v>
      </c>
      <c r="V121" s="107">
        <v>-6756092</v>
      </c>
      <c r="X121" s="105">
        <f t="shared" si="15"/>
        <v>23671.75</v>
      </c>
      <c r="Y121" s="105">
        <f t="shared" si="16"/>
        <v>-7476.5999999996275</v>
      </c>
      <c r="Z121" s="105">
        <f t="shared" si="17"/>
        <v>-14152.599999999627</v>
      </c>
      <c r="AA121" s="105">
        <f t="shared" si="18"/>
        <v>-20634</v>
      </c>
    </row>
    <row r="122" spans="1:27" x14ac:dyDescent="0.3">
      <c r="A122" s="109" t="s">
        <v>314</v>
      </c>
      <c r="B122" t="s">
        <v>123</v>
      </c>
      <c r="C122" t="s">
        <v>315</v>
      </c>
      <c r="D122" s="16" t="s">
        <v>325</v>
      </c>
      <c r="E122" s="23">
        <f>'T74'!K84</f>
        <v>-689772</v>
      </c>
      <c r="F122" s="23">
        <f>'T74'!L84</f>
        <v>-1418376</v>
      </c>
      <c r="G122" s="23">
        <f>'T74'!M84</f>
        <v>-1365016</v>
      </c>
      <c r="H122" s="23">
        <f>'T74'!N84</f>
        <v>-1365363</v>
      </c>
      <c r="I122" s="23">
        <f>'T74'!O84</f>
        <v>-1365719</v>
      </c>
      <c r="J122" s="23">
        <v>-416772</v>
      </c>
      <c r="K122" s="23">
        <f t="shared" si="19"/>
        <v>273000</v>
      </c>
      <c r="L122" s="23">
        <v>-1418390</v>
      </c>
      <c r="M122" s="23">
        <f t="shared" si="20"/>
        <v>-14</v>
      </c>
      <c r="N122" s="23">
        <v>-1365015</v>
      </c>
      <c r="O122" s="23">
        <f t="shared" si="21"/>
        <v>1</v>
      </c>
      <c r="P122" s="23">
        <v>-1365347</v>
      </c>
      <c r="Q122" s="23">
        <f t="shared" si="22"/>
        <v>16</v>
      </c>
      <c r="R122" s="107" t="s">
        <v>388</v>
      </c>
      <c r="S122" s="107">
        <v>-625772</v>
      </c>
      <c r="T122" s="107">
        <v>-1418390</v>
      </c>
      <c r="U122" s="107">
        <v>-1365015</v>
      </c>
      <c r="V122" s="107">
        <v>-1365347</v>
      </c>
      <c r="X122" s="105">
        <f t="shared" si="15"/>
        <v>64000</v>
      </c>
      <c r="Y122" s="105">
        <f t="shared" si="16"/>
        <v>-14</v>
      </c>
      <c r="Z122" s="105">
        <f t="shared" si="17"/>
        <v>1</v>
      </c>
      <c r="AA122" s="105">
        <f t="shared" si="18"/>
        <v>16</v>
      </c>
    </row>
    <row r="123" spans="1:27" x14ac:dyDescent="0.3">
      <c r="A123" s="109" t="s">
        <v>316</v>
      </c>
      <c r="B123" t="s">
        <v>125</v>
      </c>
      <c r="C123" t="s">
        <v>317</v>
      </c>
      <c r="D123" s="16" t="s">
        <v>325</v>
      </c>
      <c r="E123" s="23">
        <f>'T75'!K42</f>
        <v>-4067</v>
      </c>
      <c r="F123" s="23">
        <f>'T75'!L42</f>
        <v>-4067</v>
      </c>
      <c r="G123" s="23">
        <f>'T75'!M42</f>
        <v>-4063</v>
      </c>
      <c r="H123" s="23">
        <f>'T75'!N42</f>
        <v>-4063</v>
      </c>
      <c r="I123" s="23">
        <f>'T75'!O42</f>
        <v>-4063</v>
      </c>
      <c r="J123" s="23">
        <v>-4067</v>
      </c>
      <c r="K123" s="23">
        <f t="shared" si="19"/>
        <v>0</v>
      </c>
      <c r="L123" s="23">
        <v>-4067</v>
      </c>
      <c r="M123" s="23">
        <f t="shared" si="20"/>
        <v>0</v>
      </c>
      <c r="N123" s="23">
        <v>-4063</v>
      </c>
      <c r="O123" s="23">
        <f t="shared" si="21"/>
        <v>0</v>
      </c>
      <c r="P123" s="23">
        <v>-4063</v>
      </c>
      <c r="Q123" s="23">
        <f t="shared" si="22"/>
        <v>0</v>
      </c>
      <c r="R123" s="107" t="s">
        <v>389</v>
      </c>
      <c r="S123" s="107">
        <v>-4067</v>
      </c>
      <c r="T123" s="107">
        <v>-4067</v>
      </c>
      <c r="U123" s="107">
        <v>-4063</v>
      </c>
      <c r="V123" s="107">
        <v>-4063</v>
      </c>
      <c r="X123" s="105">
        <f t="shared" si="15"/>
        <v>0</v>
      </c>
      <c r="Y123" s="105">
        <f t="shared" si="16"/>
        <v>0</v>
      </c>
      <c r="Z123" s="105">
        <f t="shared" si="17"/>
        <v>0</v>
      </c>
      <c r="AA123" s="105">
        <f t="shared" si="18"/>
        <v>0</v>
      </c>
    </row>
    <row r="124" spans="1:27" x14ac:dyDescent="0.3">
      <c r="A124" s="109" t="s">
        <v>318</v>
      </c>
      <c r="B124" t="s">
        <v>126</v>
      </c>
      <c r="C124" t="s">
        <v>319</v>
      </c>
      <c r="D124" s="16" t="s">
        <v>325</v>
      </c>
      <c r="E124" s="23">
        <f>'T81'!K79</f>
        <v>-3315961.67</v>
      </c>
      <c r="F124" s="23">
        <f>'T81'!L79</f>
        <v>-501159</v>
      </c>
      <c r="G124" s="23">
        <f>'T81'!M79</f>
        <v>-517284</v>
      </c>
      <c r="H124" s="23">
        <f>'T81'!N79</f>
        <v>-533999</v>
      </c>
      <c r="I124" s="23">
        <f>'T81'!O79</f>
        <v>-551326</v>
      </c>
      <c r="J124" s="23">
        <v>-1899818.67</v>
      </c>
      <c r="K124" s="23">
        <f t="shared" si="19"/>
        <v>1416143</v>
      </c>
      <c r="L124" s="23">
        <v>-502806</v>
      </c>
      <c r="M124" s="23">
        <f t="shared" si="20"/>
        <v>-1647</v>
      </c>
      <c r="N124" s="23">
        <v>-522807</v>
      </c>
      <c r="O124" s="23">
        <f t="shared" si="21"/>
        <v>-5523</v>
      </c>
      <c r="P124" s="23">
        <v>-543719</v>
      </c>
      <c r="Q124" s="23">
        <f t="shared" si="22"/>
        <v>-9720</v>
      </c>
      <c r="R124" s="107" t="s">
        <v>390</v>
      </c>
      <c r="S124" s="107">
        <v>-3315962</v>
      </c>
      <c r="T124" s="107">
        <v>-502806</v>
      </c>
      <c r="U124" s="107">
        <v>-522807</v>
      </c>
      <c r="V124" s="107">
        <v>-543719</v>
      </c>
      <c r="X124" s="2154">
        <f t="shared" si="15"/>
        <v>-0.33000000007450581</v>
      </c>
      <c r="Y124" s="2154">
        <f t="shared" si="16"/>
        <v>-1647</v>
      </c>
      <c r="Z124" s="2154">
        <f t="shared" si="17"/>
        <v>-5523</v>
      </c>
      <c r="AA124" s="2154">
        <f t="shared" si="18"/>
        <v>-9720</v>
      </c>
    </row>
    <row r="125" spans="1:27" x14ac:dyDescent="0.3">
      <c r="A125" s="93" t="s">
        <v>59</v>
      </c>
      <c r="B125" t="s">
        <v>128</v>
      </c>
      <c r="C125" t="s">
        <v>321</v>
      </c>
      <c r="D125" s="16" t="s">
        <v>325</v>
      </c>
      <c r="E125" s="23">
        <f>'T82'!K53</f>
        <v>-12790821</v>
      </c>
      <c r="F125" s="23">
        <f>'T82'!L53</f>
        <v>-14669298</v>
      </c>
      <c r="G125" s="23">
        <f>'T82'!M53</f>
        <v>-9307264</v>
      </c>
      <c r="H125" s="23">
        <f>'T82'!N53</f>
        <v>-3307994</v>
      </c>
      <c r="I125" s="23">
        <f>'T82'!O53</f>
        <v>-3307994</v>
      </c>
      <c r="J125" s="23">
        <v>-12790821</v>
      </c>
      <c r="K125" s="23">
        <f t="shared" si="19"/>
        <v>0</v>
      </c>
      <c r="L125" s="23">
        <v>-14669298</v>
      </c>
      <c r="M125" s="23">
        <f t="shared" si="20"/>
        <v>0</v>
      </c>
      <c r="N125" s="23">
        <v>-9307264</v>
      </c>
      <c r="O125" s="23">
        <f t="shared" si="21"/>
        <v>0</v>
      </c>
      <c r="P125" s="23">
        <v>-3307994</v>
      </c>
      <c r="Q125" s="23">
        <f t="shared" si="22"/>
        <v>0</v>
      </c>
      <c r="R125" s="107" t="s">
        <v>391</v>
      </c>
      <c r="S125" s="107">
        <v>-12790821</v>
      </c>
      <c r="T125" s="107">
        <v>-14669298</v>
      </c>
      <c r="U125" s="107">
        <v>-9307264</v>
      </c>
      <c r="V125" s="107">
        <v>-3307994</v>
      </c>
      <c r="X125" s="105">
        <f t="shared" si="15"/>
        <v>0</v>
      </c>
      <c r="Y125" s="105">
        <f t="shared" si="16"/>
        <v>0</v>
      </c>
      <c r="Z125" s="105">
        <f t="shared" si="17"/>
        <v>0</v>
      </c>
      <c r="AA125" s="105">
        <f t="shared" si="18"/>
        <v>0</v>
      </c>
    </row>
    <row r="126" spans="1:27" x14ac:dyDescent="0.3">
      <c r="A126" s="109" t="s">
        <v>322</v>
      </c>
      <c r="B126" t="s">
        <v>129</v>
      </c>
      <c r="C126" t="s">
        <v>323</v>
      </c>
      <c r="D126" s="16" t="s">
        <v>325</v>
      </c>
      <c r="E126" s="23">
        <f>'T83'!K70</f>
        <v>-906872</v>
      </c>
      <c r="F126" s="23">
        <f>'T83'!L70</f>
        <v>-907961</v>
      </c>
      <c r="G126" s="23">
        <f>'T83'!M70</f>
        <v>-909179</v>
      </c>
      <c r="H126" s="23">
        <f>'T83'!N70</f>
        <v>-910425</v>
      </c>
      <c r="I126" s="23">
        <f>'T83'!O70</f>
        <v>-911699</v>
      </c>
      <c r="J126" s="23">
        <v>-906872</v>
      </c>
      <c r="K126" s="23">
        <f t="shared" si="19"/>
        <v>0</v>
      </c>
      <c r="L126" s="23">
        <v>-908014</v>
      </c>
      <c r="M126" s="23">
        <f t="shared" si="20"/>
        <v>-53</v>
      </c>
      <c r="N126" s="23">
        <v>-909180</v>
      </c>
      <c r="O126" s="23">
        <f t="shared" si="21"/>
        <v>-1</v>
      </c>
      <c r="P126" s="23">
        <v>-910372</v>
      </c>
      <c r="Q126" s="23">
        <f t="shared" si="22"/>
        <v>53</v>
      </c>
      <c r="R126" s="107" t="s">
        <v>392</v>
      </c>
      <c r="S126" s="107">
        <v>-906872</v>
      </c>
      <c r="T126" s="107">
        <v>-908014</v>
      </c>
      <c r="U126" s="107">
        <v>-909180</v>
      </c>
      <c r="V126" s="107">
        <v>-910372</v>
      </c>
      <c r="X126" s="105">
        <f t="shared" si="15"/>
        <v>0</v>
      </c>
      <c r="Y126" s="105">
        <f t="shared" si="16"/>
        <v>-53</v>
      </c>
      <c r="Z126" s="105">
        <f t="shared" si="17"/>
        <v>-1</v>
      </c>
      <c r="AA126" s="105">
        <f t="shared" si="18"/>
        <v>53</v>
      </c>
    </row>
    <row r="128" spans="1:27" s="97" customFormat="1" x14ac:dyDescent="0.3">
      <c r="A128" s="111"/>
      <c r="B128" s="97" t="s">
        <v>328</v>
      </c>
      <c r="D128" s="101" t="s">
        <v>325</v>
      </c>
      <c r="E128" s="2298" t="e">
        <f>SUM(E68:E127)</f>
        <v>#REF!</v>
      </c>
      <c r="F128" s="2298" t="e">
        <f>SUM(F68:F127)</f>
        <v>#REF!</v>
      </c>
      <c r="G128" s="2298" t="e">
        <f>SUM(G68:G127)</f>
        <v>#REF!</v>
      </c>
      <c r="H128" s="2298" t="e">
        <f>SUM(H68:H127)</f>
        <v>#REF!</v>
      </c>
      <c r="I128" s="2298" t="e">
        <f>SUM(I68:I127)</f>
        <v>#REF!</v>
      </c>
      <c r="J128" s="104">
        <f t="shared" ref="J128:K128" si="23">SUM(J68:J127)</f>
        <v>-117759387.1378876</v>
      </c>
      <c r="K128" s="104" t="e">
        <f t="shared" si="23"/>
        <v>#REF!</v>
      </c>
      <c r="L128" s="104">
        <f t="shared" ref="L128" si="24">SUM(L68:L127)</f>
        <v>-122344529.24750997</v>
      </c>
      <c r="M128" s="104" t="e">
        <f t="shared" ref="M128" si="25">SUM(M68:M127)</f>
        <v>#REF!</v>
      </c>
      <c r="N128" s="104">
        <f t="shared" ref="N128" si="26">SUM(N68:N127)</f>
        <v>-116688232.65967532</v>
      </c>
      <c r="O128" s="104" t="e">
        <f t="shared" ref="O128" si="27">SUM(O68:O127)</f>
        <v>#REF!</v>
      </c>
      <c r="P128" s="104">
        <f t="shared" ref="P128" si="28">SUM(P68:P127)</f>
        <v>-115081053.40874968</v>
      </c>
      <c r="Q128" s="104" t="e">
        <f t="shared" ref="Q128" si="29">SUM(Q68:Q127)</f>
        <v>#REF!</v>
      </c>
      <c r="S128" s="180">
        <f>SUM(S68:S127)</f>
        <v>-124745926</v>
      </c>
      <c r="T128" s="180">
        <f t="shared" ref="T128:AA128" si="30">SUM(T68:T127)</f>
        <v>-122436213</v>
      </c>
      <c r="U128" s="180">
        <f t="shared" si="30"/>
        <v>-120589638</v>
      </c>
      <c r="V128" s="180">
        <f t="shared" si="30"/>
        <v>-118857591</v>
      </c>
      <c r="X128" s="180" t="e">
        <f t="shared" si="30"/>
        <v>#REF!</v>
      </c>
      <c r="Y128" s="180" t="e">
        <f t="shared" si="30"/>
        <v>#REF!</v>
      </c>
      <c r="Z128" s="180" t="e">
        <f t="shared" si="30"/>
        <v>#REF!</v>
      </c>
      <c r="AA128" s="180" t="e">
        <f t="shared" si="30"/>
        <v>#REF!</v>
      </c>
    </row>
    <row r="129" spans="1:27" x14ac:dyDescent="0.3">
      <c r="A129" s="254" t="s">
        <v>393</v>
      </c>
      <c r="B129" s="255"/>
      <c r="C129" s="255"/>
      <c r="D129" s="256"/>
      <c r="E129" s="257"/>
      <c r="F129" s="257"/>
      <c r="G129" s="257"/>
      <c r="H129" s="257"/>
      <c r="I129" s="257"/>
      <c r="J129" s="257"/>
      <c r="K129" s="257"/>
      <c r="L129" s="257"/>
      <c r="M129" s="257"/>
      <c r="N129" s="257"/>
      <c r="O129" s="257"/>
      <c r="P129" s="257"/>
      <c r="Q129" s="257"/>
    </row>
    <row r="130" spans="1:27" hidden="1" x14ac:dyDescent="0.3"/>
    <row r="131" spans="1:27" hidden="1" x14ac:dyDescent="0.3"/>
    <row r="132" spans="1:27" hidden="1" x14ac:dyDescent="0.3"/>
    <row r="133" spans="1:27" s="97" customFormat="1" hidden="1" x14ac:dyDescent="0.3">
      <c r="A133" t="s">
        <v>395</v>
      </c>
      <c r="B133" s="97" t="s">
        <v>396</v>
      </c>
      <c r="D133" s="101"/>
      <c r="E133" s="104" t="e">
        <f>E128+E63</f>
        <v>#REF!</v>
      </c>
      <c r="F133" s="104" t="e">
        <f>F128+F63</f>
        <v>#REF!</v>
      </c>
      <c r="G133" s="104" t="e">
        <f>G128+G63</f>
        <v>#REF!</v>
      </c>
      <c r="H133" s="104" t="e">
        <f>H128+H63</f>
        <v>#REF!</v>
      </c>
      <c r="I133" s="104"/>
      <c r="J133" s="104"/>
      <c r="K133" s="104"/>
      <c r="L133" s="104"/>
      <c r="M133" s="104"/>
      <c r="N133" s="104"/>
      <c r="O133" s="104"/>
      <c r="P133" s="104"/>
      <c r="Q133" s="104"/>
      <c r="R133" s="104"/>
      <c r="S133" s="104">
        <f>S128+S63</f>
        <v>0</v>
      </c>
      <c r="T133" s="104">
        <f>T128+T63</f>
        <v>0</v>
      </c>
      <c r="U133" s="104">
        <f>U128+U63</f>
        <v>0</v>
      </c>
      <c r="V133" s="104">
        <f>V128+V63</f>
        <v>-105000</v>
      </c>
      <c r="X133" s="108" t="e">
        <f>SUM(X3:X129)</f>
        <v>#REF!</v>
      </c>
      <c r="Y133" s="108" t="e">
        <f>SUM(Y3:Y129)</f>
        <v>#REF!</v>
      </c>
      <c r="Z133" s="108" t="e">
        <f>SUM(Z3:Z129)</f>
        <v>#REF!</v>
      </c>
      <c r="AA133" s="108" t="e">
        <f>SUM(AA3:AA129)</f>
        <v>#REF!</v>
      </c>
    </row>
    <row r="134" spans="1:27" hidden="1" x14ac:dyDescent="0.3"/>
    <row r="135" spans="1:27" x14ac:dyDescent="0.3">
      <c r="E135" s="23"/>
      <c r="F135" s="23"/>
      <c r="G135" s="23"/>
      <c r="H135" s="23"/>
      <c r="I135" s="23"/>
      <c r="J135" s="23"/>
      <c r="K135" s="23"/>
      <c r="L135" s="23"/>
      <c r="M135" s="23"/>
      <c r="N135" s="23"/>
      <c r="O135" s="23"/>
      <c r="P135" s="23"/>
      <c r="Q135" s="23"/>
    </row>
    <row r="136" spans="1:27" hidden="1" x14ac:dyDescent="0.3">
      <c r="A136" s="97" t="s">
        <v>397</v>
      </c>
      <c r="B136" t="s">
        <v>398</v>
      </c>
      <c r="E136" s="150"/>
      <c r="F136" s="150"/>
      <c r="G136" s="150"/>
      <c r="H136" s="150"/>
      <c r="I136" s="150"/>
      <c r="J136" s="150"/>
      <c r="K136" s="150"/>
      <c r="L136" s="150"/>
      <c r="M136" s="150"/>
      <c r="N136" s="150"/>
      <c r="O136" s="150"/>
      <c r="P136" s="150"/>
      <c r="Q136" s="150"/>
    </row>
    <row r="137" spans="1:27" hidden="1" x14ac:dyDescent="0.3"/>
    <row r="138" spans="1:27" hidden="1" x14ac:dyDescent="0.3">
      <c r="A138" s="97"/>
      <c r="E138" s="172"/>
      <c r="F138" s="172"/>
      <c r="G138" s="172"/>
      <c r="H138" s="172"/>
      <c r="I138" s="172"/>
      <c r="J138" s="172"/>
      <c r="K138" s="172"/>
      <c r="L138" s="172"/>
      <c r="M138" s="172"/>
      <c r="N138" s="172"/>
      <c r="O138" s="172"/>
      <c r="P138" s="172"/>
      <c r="Q138" s="172"/>
      <c r="X138" s="113"/>
      <c r="Y138" s="113"/>
      <c r="Z138" s="113"/>
      <c r="AA138" s="113"/>
    </row>
    <row r="139" spans="1:27" hidden="1" x14ac:dyDescent="0.3">
      <c r="X139" s="113"/>
      <c r="Y139" s="113"/>
      <c r="Z139" s="113"/>
      <c r="AA139" s="113"/>
    </row>
    <row r="140" spans="1:27" hidden="1" x14ac:dyDescent="0.3">
      <c r="A140" s="97" t="s">
        <v>399</v>
      </c>
      <c r="E140" s="171"/>
      <c r="F140" s="171"/>
      <c r="G140" s="171"/>
      <c r="H140" s="171"/>
      <c r="I140" s="171"/>
      <c r="J140" s="171"/>
      <c r="K140" s="171"/>
      <c r="L140" s="171"/>
      <c r="M140" s="171"/>
      <c r="N140" s="171"/>
      <c r="O140" s="171"/>
      <c r="P140" s="171"/>
      <c r="Q140" s="171"/>
      <c r="X140" s="113"/>
      <c r="Y140" s="113"/>
      <c r="Z140" s="113"/>
      <c r="AA140" s="113"/>
    </row>
    <row r="141" spans="1:27" hidden="1" x14ac:dyDescent="0.3">
      <c r="X141" s="113"/>
      <c r="Y141" s="113"/>
      <c r="Z141" s="113"/>
      <c r="AA141" s="113"/>
    </row>
    <row r="142" spans="1:27" hidden="1" x14ac:dyDescent="0.3">
      <c r="X142" s="113"/>
      <c r="Y142" s="113"/>
      <c r="Z142" s="113"/>
      <c r="AA142" s="113"/>
    </row>
    <row r="143" spans="1:27" hidden="1" x14ac:dyDescent="0.3">
      <c r="X143" s="113"/>
      <c r="Y143" s="113"/>
      <c r="Z143" s="113"/>
      <c r="AA143" s="113"/>
    </row>
    <row r="144" spans="1:27" hidden="1" x14ac:dyDescent="0.3">
      <c r="X144" s="113"/>
      <c r="Y144" s="113"/>
      <c r="Z144" s="113"/>
      <c r="AA144" s="113"/>
    </row>
    <row r="145" spans="1:17" hidden="1" x14ac:dyDescent="0.3">
      <c r="E145" s="173"/>
      <c r="F145" s="173"/>
      <c r="G145" s="173"/>
      <c r="H145" s="173"/>
      <c r="I145" s="173"/>
      <c r="J145" s="173"/>
      <c r="K145" s="173"/>
      <c r="L145" s="173"/>
      <c r="M145" s="173"/>
      <c r="N145" s="173"/>
      <c r="O145" s="173"/>
      <c r="P145" s="173"/>
      <c r="Q145" s="173"/>
    </row>
    <row r="146" spans="1:17" x14ac:dyDescent="0.3">
      <c r="E146" s="2297" t="e">
        <f>-(E63+E128)</f>
        <v>#REF!</v>
      </c>
      <c r="F146" s="2297" t="e">
        <f>-(F63+F128)</f>
        <v>#REF!</v>
      </c>
      <c r="G146" s="2297" t="e">
        <f t="shared" ref="G146:I146" si="31">-(G63+G128)</f>
        <v>#REF!</v>
      </c>
      <c r="H146" s="2297" t="e">
        <f t="shared" si="31"/>
        <v>#REF!</v>
      </c>
      <c r="I146" s="2297" t="e">
        <f t="shared" si="31"/>
        <v>#REF!</v>
      </c>
      <c r="J146" s="173"/>
      <c r="K146" s="173"/>
      <c r="L146" s="173"/>
      <c r="M146" s="173"/>
      <c r="N146" s="173"/>
      <c r="O146" s="173"/>
      <c r="P146" s="173"/>
      <c r="Q146" s="173"/>
    </row>
    <row r="147" spans="1:17" x14ac:dyDescent="0.3">
      <c r="A147" t="s">
        <v>5403</v>
      </c>
      <c r="E147" s="173"/>
      <c r="F147" s="173">
        <v>183000</v>
      </c>
      <c r="G147" s="173">
        <f>1868000+1043000+1500000</f>
        <v>4411000</v>
      </c>
      <c r="H147" s="173">
        <f>1793000+1293000+105000+1500000</f>
        <v>4691000</v>
      </c>
      <c r="I147" s="173"/>
      <c r="J147" s="173"/>
      <c r="K147" s="173"/>
      <c r="L147" s="173"/>
      <c r="M147" s="173"/>
      <c r="N147" s="173"/>
      <c r="O147" s="173"/>
      <c r="P147" s="173"/>
      <c r="Q147" s="173"/>
    </row>
    <row r="148" spans="1:17" x14ac:dyDescent="0.3">
      <c r="A148" s="111" t="s">
        <v>400</v>
      </c>
      <c r="E148" s="173">
        <v>334000</v>
      </c>
      <c r="F148" s="173">
        <v>507000</v>
      </c>
      <c r="G148" s="173">
        <v>402000</v>
      </c>
      <c r="H148" s="173">
        <v>35000</v>
      </c>
      <c r="I148" s="267"/>
      <c r="J148" s="267"/>
      <c r="K148" s="267"/>
      <c r="L148" s="267"/>
      <c r="M148" s="267"/>
      <c r="N148" s="267"/>
      <c r="O148" s="267"/>
      <c r="P148" s="267"/>
      <c r="Q148" s="267"/>
    </row>
    <row r="149" spans="1:17" x14ac:dyDescent="0.3">
      <c r="E149" s="173"/>
      <c r="F149" s="173"/>
      <c r="G149" s="173"/>
      <c r="H149" s="173"/>
      <c r="I149" s="267"/>
      <c r="J149" s="267"/>
      <c r="K149" s="267"/>
      <c r="L149" s="267"/>
      <c r="M149" s="267"/>
      <c r="N149" s="267"/>
      <c r="O149" s="267"/>
      <c r="P149" s="267"/>
      <c r="Q149" s="267"/>
    </row>
    <row r="150" spans="1:17" x14ac:dyDescent="0.3">
      <c r="A150" t="s">
        <v>1956</v>
      </c>
      <c r="E150" s="173" t="e">
        <f>E148-E146</f>
        <v>#REF!</v>
      </c>
      <c r="F150" s="173" t="e">
        <f>+F146+F147</f>
        <v>#REF!</v>
      </c>
      <c r="G150" s="173" t="e">
        <f t="shared" ref="G150:H150" si="32">+G146+G147</f>
        <v>#REF!</v>
      </c>
      <c r="H150" s="173" t="e">
        <f t="shared" si="32"/>
        <v>#REF!</v>
      </c>
      <c r="I150" s="267"/>
      <c r="J150" s="267"/>
      <c r="K150" s="267"/>
      <c r="L150" s="267"/>
      <c r="M150" s="267"/>
      <c r="N150" s="267"/>
      <c r="O150" s="267"/>
      <c r="P150" s="267"/>
      <c r="Q150" s="267"/>
    </row>
    <row r="151" spans="1:17" x14ac:dyDescent="0.3">
      <c r="A151" t="s">
        <v>141</v>
      </c>
      <c r="E151" s="173"/>
      <c r="F151" s="173" t="e">
        <f>+F150-F148</f>
        <v>#REF!</v>
      </c>
      <c r="G151" s="173" t="e">
        <f t="shared" ref="G151:H151" si="33">+G150-G148</f>
        <v>#REF!</v>
      </c>
      <c r="H151" s="173" t="e">
        <f t="shared" si="33"/>
        <v>#REF!</v>
      </c>
      <c r="I151" s="173"/>
      <c r="J151" s="173"/>
      <c r="K151" s="173"/>
      <c r="L151" s="173"/>
      <c r="M151" s="173"/>
      <c r="N151" s="173"/>
      <c r="O151" s="173"/>
      <c r="P151" s="173"/>
      <c r="Q151" s="173"/>
    </row>
    <row r="152" spans="1:17" x14ac:dyDescent="0.3">
      <c r="E152" s="173"/>
      <c r="F152" s="173"/>
      <c r="G152" s="173"/>
      <c r="H152" s="173"/>
      <c r="I152" s="173"/>
      <c r="J152" s="173"/>
      <c r="K152" s="173"/>
      <c r="L152" s="173"/>
      <c r="M152" s="173"/>
      <c r="N152" s="173"/>
      <c r="O152" s="173"/>
      <c r="P152" s="173"/>
      <c r="Q152" s="173"/>
    </row>
    <row r="153" spans="1:17" ht="21" x14ac:dyDescent="0.4">
      <c r="A153" s="181" t="s">
        <v>401</v>
      </c>
      <c r="B153" s="175"/>
      <c r="C153" s="175"/>
      <c r="D153" s="176"/>
      <c r="E153" s="177"/>
      <c r="F153" s="177"/>
      <c r="G153" s="177"/>
      <c r="H153" s="177"/>
      <c r="I153" s="177"/>
      <c r="J153" s="177"/>
      <c r="K153" s="177"/>
      <c r="L153" s="177"/>
      <c r="M153" s="177"/>
      <c r="N153" s="177"/>
      <c r="O153" s="177"/>
      <c r="P153" s="177"/>
      <c r="Q153" s="177"/>
    </row>
    <row r="154" spans="1:17" x14ac:dyDescent="0.3">
      <c r="A154" s="178"/>
      <c r="B154" s="175"/>
      <c r="C154" s="175"/>
      <c r="D154" s="176"/>
      <c r="E154" s="177"/>
      <c r="F154" s="177"/>
      <c r="G154" s="177"/>
      <c r="H154" s="177"/>
      <c r="I154" s="177"/>
      <c r="J154" s="177"/>
      <c r="K154" s="177"/>
      <c r="L154" s="177"/>
      <c r="M154" s="177"/>
      <c r="N154" s="177"/>
      <c r="O154" s="177"/>
      <c r="P154" s="177"/>
      <c r="Q154" s="177"/>
    </row>
    <row r="155" spans="1:17" x14ac:dyDescent="0.3">
      <c r="A155" s="175" t="s">
        <v>402</v>
      </c>
      <c r="B155" s="175"/>
      <c r="C155" s="175"/>
      <c r="D155" s="176"/>
      <c r="E155" s="179">
        <v>-491647</v>
      </c>
      <c r="F155" s="179">
        <v>-57421</v>
      </c>
      <c r="G155" s="179">
        <v>-217718</v>
      </c>
      <c r="H155" s="179"/>
      <c r="I155" s="179"/>
      <c r="J155" s="179"/>
      <c r="K155" s="179"/>
      <c r="L155" s="179"/>
      <c r="M155" s="179"/>
      <c r="N155" s="179"/>
      <c r="O155" s="179"/>
      <c r="P155" s="179"/>
      <c r="Q155" s="179"/>
    </row>
    <row r="156" spans="1:17" x14ac:dyDescent="0.3">
      <c r="A156" s="175"/>
      <c r="B156" s="175"/>
      <c r="C156" s="175"/>
      <c r="D156" s="176"/>
      <c r="E156" s="179"/>
      <c r="F156" s="179"/>
      <c r="G156" s="179"/>
      <c r="H156" s="179"/>
      <c r="I156" s="179"/>
      <c r="J156" s="179"/>
      <c r="K156" s="179"/>
      <c r="L156" s="179"/>
      <c r="M156" s="179"/>
      <c r="N156" s="179"/>
      <c r="O156" s="179"/>
      <c r="P156" s="179"/>
      <c r="Q156" s="179"/>
    </row>
    <row r="157" spans="1:17" x14ac:dyDescent="0.3">
      <c r="A157" s="182" t="s">
        <v>403</v>
      </c>
      <c r="B157" s="183"/>
      <c r="C157" s="183"/>
      <c r="D157" s="184"/>
      <c r="E157" s="185">
        <v>-491645</v>
      </c>
      <c r="F157" s="185">
        <v>-57419</v>
      </c>
      <c r="G157" s="185">
        <v>-217716</v>
      </c>
      <c r="H157" s="185">
        <f>-W128-W63</f>
        <v>0</v>
      </c>
      <c r="I157" s="185"/>
      <c r="J157" s="185"/>
      <c r="K157" s="185"/>
      <c r="L157" s="185"/>
      <c r="M157" s="185"/>
      <c r="N157" s="185"/>
      <c r="O157" s="185"/>
      <c r="P157" s="185"/>
      <c r="Q157" s="185"/>
    </row>
    <row r="158" spans="1:17" x14ac:dyDescent="0.3">
      <c r="A158" s="178"/>
      <c r="B158" s="175"/>
      <c r="C158" s="175"/>
      <c r="D158" s="176"/>
      <c r="E158" s="177"/>
      <c r="F158" s="177"/>
      <c r="G158" s="177"/>
      <c r="H158" s="177"/>
      <c r="I158" s="177"/>
      <c r="J158" s="177"/>
      <c r="K158" s="177"/>
      <c r="L158" s="177"/>
      <c r="M158" s="177"/>
      <c r="N158" s="177"/>
      <c r="O158" s="177"/>
      <c r="P158" s="177"/>
      <c r="Q158" s="177"/>
    </row>
    <row r="159" spans="1:17" x14ac:dyDescent="0.3">
      <c r="A159"/>
    </row>
    <row r="160" spans="1:17" x14ac:dyDescent="0.3">
      <c r="A160"/>
      <c r="E160" s="201">
        <v>2026</v>
      </c>
      <c r="F160" s="201">
        <v>2027</v>
      </c>
      <c r="G160" s="201">
        <v>2028</v>
      </c>
      <c r="H160" s="201">
        <v>2029</v>
      </c>
      <c r="I160" s="201"/>
      <c r="J160" s="201"/>
      <c r="K160" s="201"/>
      <c r="L160" s="201"/>
      <c r="M160" s="201"/>
      <c r="N160" s="201"/>
      <c r="O160" s="201"/>
      <c r="P160" s="201"/>
      <c r="Q160" s="201"/>
    </row>
    <row r="161" spans="1:22" x14ac:dyDescent="0.3">
      <c r="A161" s="196" t="s">
        <v>404</v>
      </c>
    </row>
    <row r="162" spans="1:22" x14ac:dyDescent="0.3">
      <c r="A162" t="s">
        <v>405</v>
      </c>
      <c r="B162" s="97"/>
      <c r="C162" s="97"/>
      <c r="D162" s="101"/>
      <c r="E162" s="200">
        <v>-491645</v>
      </c>
      <c r="F162" s="200">
        <v>-57419</v>
      </c>
      <c r="G162" s="200">
        <v>-217716</v>
      </c>
      <c r="H162" s="200">
        <v>-217716</v>
      </c>
      <c r="I162" s="200"/>
      <c r="J162" s="200"/>
      <c r="K162" s="200"/>
      <c r="L162" s="200"/>
      <c r="M162" s="200"/>
      <c r="N162" s="200"/>
      <c r="O162" s="200"/>
      <c r="P162" s="200"/>
      <c r="Q162" s="200"/>
    </row>
    <row r="163" spans="1:22" x14ac:dyDescent="0.3">
      <c r="A163" s="174" t="s">
        <v>406</v>
      </c>
      <c r="E163" s="199">
        <f>SUM(E172:E201)</f>
        <v>313220</v>
      </c>
      <c r="F163" s="199">
        <f>SUM(F172:F201)</f>
        <v>378041</v>
      </c>
      <c r="G163" s="199">
        <f>SUM(G172:G201)</f>
        <v>369495</v>
      </c>
      <c r="H163" s="199">
        <f>SUM(H172:H201)</f>
        <v>369496</v>
      </c>
      <c r="I163" s="199"/>
      <c r="J163" s="199"/>
      <c r="K163" s="199"/>
      <c r="L163" s="199"/>
      <c r="M163" s="199"/>
      <c r="N163" s="199"/>
      <c r="O163" s="199"/>
      <c r="P163" s="199"/>
      <c r="Q163" s="199"/>
    </row>
    <row r="164" spans="1:22" x14ac:dyDescent="0.3">
      <c r="A164" s="208" t="s">
        <v>407</v>
      </c>
      <c r="B164" s="208">
        <f t="shared" ref="B164:H164" si="34">B207</f>
        <v>0</v>
      </c>
      <c r="C164" s="208">
        <f t="shared" si="34"/>
        <v>0</v>
      </c>
      <c r="D164" s="208"/>
      <c r="E164" s="209">
        <f t="shared" si="34"/>
        <v>-178427</v>
      </c>
      <c r="F164" s="209">
        <f t="shared" si="34"/>
        <v>320620</v>
      </c>
      <c r="G164" s="209">
        <f t="shared" si="34"/>
        <v>151777</v>
      </c>
      <c r="H164" s="209">
        <f t="shared" si="34"/>
        <v>151778</v>
      </c>
      <c r="I164" s="209"/>
      <c r="J164" s="209"/>
      <c r="K164" s="209"/>
      <c r="L164" s="209"/>
      <c r="M164" s="209"/>
      <c r="N164" s="209"/>
      <c r="O164" s="209"/>
      <c r="P164" s="209"/>
      <c r="Q164" s="209"/>
    </row>
    <row r="165" spans="1:22" x14ac:dyDescent="0.3">
      <c r="A165" s="174"/>
      <c r="E165" s="173"/>
      <c r="F165" s="173"/>
      <c r="G165" s="173"/>
      <c r="H165" s="173"/>
      <c r="I165" s="173"/>
      <c r="J165" s="173"/>
      <c r="K165" s="173"/>
      <c r="L165" s="173"/>
      <c r="M165" s="173"/>
      <c r="N165" s="173"/>
      <c r="O165" s="173"/>
      <c r="P165" s="173"/>
      <c r="Q165" s="173"/>
    </row>
    <row r="166" spans="1:22" x14ac:dyDescent="0.3">
      <c r="A166" s="104"/>
      <c r="B166" s="104"/>
      <c r="C166" s="104"/>
      <c r="D166" s="104"/>
      <c r="E166" s="173"/>
      <c r="F166" s="173"/>
      <c r="G166" s="173"/>
      <c r="H166" s="173"/>
      <c r="I166" s="173"/>
      <c r="J166" s="173"/>
      <c r="K166" s="173"/>
      <c r="L166" s="173"/>
      <c r="M166" s="173"/>
      <c r="N166" s="173"/>
      <c r="O166" s="173"/>
      <c r="P166" s="173"/>
      <c r="Q166" s="173"/>
    </row>
    <row r="167" spans="1:22" x14ac:dyDescent="0.3">
      <c r="A167" s="191" t="s">
        <v>408</v>
      </c>
      <c r="B167" s="192"/>
      <c r="C167" s="192"/>
      <c r="D167" s="193"/>
      <c r="E167" s="190"/>
      <c r="F167" s="190"/>
      <c r="G167" s="190"/>
      <c r="H167" s="190"/>
      <c r="I167" s="190"/>
      <c r="J167" s="190"/>
      <c r="K167" s="190"/>
      <c r="L167" s="190"/>
      <c r="M167" s="190"/>
      <c r="N167" s="190"/>
      <c r="O167" s="190"/>
      <c r="P167" s="190"/>
      <c r="Q167" s="190"/>
    </row>
    <row r="168" spans="1:22" x14ac:dyDescent="0.3">
      <c r="A168" s="194"/>
      <c r="E168" s="190"/>
      <c r="F168" s="190"/>
      <c r="G168" s="190"/>
      <c r="H168" s="190"/>
      <c r="I168" s="190"/>
      <c r="J168" s="190"/>
      <c r="K168" s="190"/>
      <c r="L168" s="190"/>
      <c r="M168" s="190"/>
      <c r="N168" s="190"/>
      <c r="O168" s="190"/>
      <c r="P168" s="190"/>
      <c r="Q168" s="190"/>
      <c r="R168" s="198"/>
      <c r="S168" s="198"/>
      <c r="T168" s="198"/>
      <c r="U168" s="198"/>
      <c r="V168" s="198"/>
    </row>
    <row r="169" spans="1:22" x14ac:dyDescent="0.3">
      <c r="A169" s="194" t="str">
        <f>A162</f>
        <v>Saldo begrotingsruimte primitieve begroting 2025</v>
      </c>
      <c r="E169" s="190">
        <f t="shared" ref="E169:G169" si="35">E155</f>
        <v>-491647</v>
      </c>
      <c r="F169" s="190">
        <f t="shared" si="35"/>
        <v>-57421</v>
      </c>
      <c r="G169" s="190">
        <f t="shared" si="35"/>
        <v>-217718</v>
      </c>
      <c r="H169" s="190">
        <v>-217718</v>
      </c>
      <c r="I169" s="190"/>
      <c r="J169" s="190"/>
      <c r="K169" s="190"/>
      <c r="L169" s="190"/>
      <c r="M169" s="190"/>
      <c r="N169" s="190"/>
      <c r="O169" s="190"/>
      <c r="P169" s="190"/>
      <c r="Q169" s="190"/>
      <c r="R169" s="198"/>
      <c r="S169" s="198"/>
      <c r="T169" s="198"/>
      <c r="U169" s="198"/>
      <c r="V169" s="198"/>
    </row>
    <row r="170" spans="1:22" x14ac:dyDescent="0.3">
      <c r="A170" s="194"/>
      <c r="E170" s="173"/>
      <c r="F170" s="173"/>
      <c r="G170" s="173"/>
      <c r="H170" s="173"/>
      <c r="I170" s="173"/>
      <c r="J170" s="173"/>
      <c r="K170" s="173"/>
      <c r="L170" s="173"/>
      <c r="M170" s="173"/>
      <c r="N170" s="173"/>
      <c r="O170" s="173"/>
      <c r="P170" s="173"/>
      <c r="Q170" s="173"/>
    </row>
    <row r="171" spans="1:22" x14ac:dyDescent="0.3">
      <c r="A171" s="194" t="s">
        <v>409</v>
      </c>
      <c r="E171" s="173"/>
      <c r="F171" s="173"/>
      <c r="G171" s="173"/>
      <c r="H171" s="173"/>
      <c r="I171" s="173"/>
      <c r="J171" s="173"/>
      <c r="K171" s="173"/>
      <c r="L171" s="173"/>
      <c r="M171" s="173"/>
      <c r="N171" s="173"/>
      <c r="O171" s="173"/>
      <c r="P171" s="173"/>
      <c r="Q171" s="173"/>
    </row>
    <row r="172" spans="1:22" x14ac:dyDescent="0.3">
      <c r="A172" s="221" t="s">
        <v>410</v>
      </c>
      <c r="E172" s="190">
        <v>0</v>
      </c>
      <c r="F172" s="190">
        <v>0</v>
      </c>
      <c r="G172" s="190">
        <v>0</v>
      </c>
      <c r="H172" s="190">
        <v>0</v>
      </c>
      <c r="I172" s="190"/>
      <c r="J172" s="190"/>
      <c r="K172" s="190"/>
      <c r="L172" s="190"/>
      <c r="M172" s="190"/>
      <c r="N172" s="190"/>
      <c r="O172" s="190"/>
      <c r="P172" s="190"/>
      <c r="Q172" s="190"/>
    </row>
    <row r="173" spans="1:22" x14ac:dyDescent="0.3">
      <c r="A173" s="221" t="s">
        <v>411</v>
      </c>
      <c r="E173" s="190">
        <v>0</v>
      </c>
      <c r="F173" s="190">
        <v>0</v>
      </c>
      <c r="G173" s="190">
        <v>0</v>
      </c>
      <c r="H173" s="190">
        <v>0</v>
      </c>
      <c r="I173" s="190"/>
      <c r="J173" s="190"/>
      <c r="K173" s="190"/>
      <c r="L173" s="190"/>
      <c r="M173" s="190"/>
      <c r="N173" s="190"/>
      <c r="O173" s="190"/>
      <c r="P173" s="190"/>
      <c r="Q173" s="190"/>
    </row>
    <row r="174" spans="1:22" x14ac:dyDescent="0.3">
      <c r="A174" s="174"/>
      <c r="E174" s="190"/>
      <c r="F174" s="190"/>
      <c r="G174" s="190"/>
      <c r="H174" s="190"/>
      <c r="I174" s="190"/>
      <c r="J174" s="190"/>
      <c r="K174" s="190"/>
      <c r="L174" s="190"/>
      <c r="M174" s="190"/>
      <c r="N174" s="190"/>
      <c r="O174" s="190"/>
      <c r="P174" s="190"/>
      <c r="Q174" s="190"/>
    </row>
    <row r="175" spans="1:22" x14ac:dyDescent="0.3">
      <c r="A175" s="194" t="s">
        <v>412</v>
      </c>
      <c r="E175" s="190"/>
      <c r="F175" s="190"/>
      <c r="G175" s="190"/>
      <c r="H175" s="190"/>
      <c r="I175" s="190"/>
      <c r="J175" s="190"/>
      <c r="K175" s="190"/>
      <c r="L175" s="190"/>
      <c r="M175" s="190"/>
      <c r="N175" s="190"/>
      <c r="O175" s="190"/>
      <c r="P175" s="190"/>
      <c r="Q175" s="190"/>
    </row>
    <row r="176" spans="1:22" x14ac:dyDescent="0.3">
      <c r="A176" s="174" t="s">
        <v>413</v>
      </c>
      <c r="E176" s="190">
        <v>0</v>
      </c>
      <c r="F176" s="190">
        <v>0</v>
      </c>
      <c r="G176" s="190">
        <v>0</v>
      </c>
      <c r="H176" s="190">
        <v>0</v>
      </c>
      <c r="I176" s="190"/>
      <c r="J176" s="190"/>
      <c r="K176" s="190"/>
      <c r="L176" s="190"/>
      <c r="M176" s="190"/>
      <c r="N176" s="190"/>
      <c r="O176" s="190"/>
      <c r="P176" s="190"/>
      <c r="Q176" s="190"/>
      <c r="R176" s="107" t="s">
        <v>414</v>
      </c>
    </row>
    <row r="177" spans="1:18" x14ac:dyDescent="0.3">
      <c r="A177" s="174" t="s">
        <v>415</v>
      </c>
      <c r="E177" s="190">
        <v>0</v>
      </c>
      <c r="F177" s="190">
        <v>0</v>
      </c>
      <c r="G177" s="190">
        <v>0</v>
      </c>
      <c r="H177" s="190">
        <v>0</v>
      </c>
      <c r="I177" s="190"/>
      <c r="J177" s="190"/>
      <c r="K177" s="190"/>
      <c r="L177" s="190"/>
      <c r="M177" s="190"/>
      <c r="N177" s="190"/>
      <c r="O177" s="190"/>
      <c r="P177" s="190"/>
      <c r="Q177" s="190"/>
      <c r="R177" s="107" t="s">
        <v>414</v>
      </c>
    </row>
    <row r="178" spans="1:18" x14ac:dyDescent="0.3">
      <c r="A178" s="174" t="s">
        <v>416</v>
      </c>
      <c r="E178" s="190">
        <v>0</v>
      </c>
      <c r="F178" s="190">
        <v>0</v>
      </c>
      <c r="G178" s="190">
        <v>0</v>
      </c>
      <c r="H178" s="190">
        <v>0</v>
      </c>
      <c r="I178" s="190"/>
      <c r="J178" s="190"/>
      <c r="K178" s="190"/>
      <c r="L178" s="190"/>
      <c r="M178" s="190"/>
      <c r="N178" s="190"/>
      <c r="O178" s="190"/>
      <c r="P178" s="190"/>
      <c r="Q178" s="190"/>
      <c r="R178" s="107" t="s">
        <v>414</v>
      </c>
    </row>
    <row r="179" spans="1:18" x14ac:dyDescent="0.3">
      <c r="A179" s="174" t="s">
        <v>417</v>
      </c>
      <c r="E179" s="190">
        <v>0</v>
      </c>
      <c r="F179" s="190">
        <v>0</v>
      </c>
      <c r="G179" s="190">
        <v>0</v>
      </c>
      <c r="H179" s="190">
        <v>0</v>
      </c>
      <c r="I179" s="190"/>
      <c r="J179" s="190"/>
      <c r="K179" s="190"/>
      <c r="L179" s="190"/>
      <c r="M179" s="190"/>
      <c r="N179" s="190"/>
      <c r="O179" s="190"/>
      <c r="P179" s="190"/>
      <c r="Q179" s="190"/>
      <c r="R179" s="107" t="s">
        <v>414</v>
      </c>
    </row>
    <row r="180" spans="1:18" x14ac:dyDescent="0.3">
      <c r="A180" s="174" t="s">
        <v>418</v>
      </c>
      <c r="E180" s="190">
        <v>0</v>
      </c>
      <c r="F180" s="190">
        <v>0</v>
      </c>
      <c r="G180" s="190">
        <v>0</v>
      </c>
      <c r="H180" s="190">
        <v>0</v>
      </c>
      <c r="I180" s="190"/>
      <c r="J180" s="190"/>
      <c r="K180" s="190"/>
      <c r="L180" s="190"/>
      <c r="M180" s="190"/>
      <c r="N180" s="190"/>
      <c r="O180" s="190"/>
      <c r="P180" s="190"/>
      <c r="Q180" s="190"/>
      <c r="R180" s="107" t="s">
        <v>414</v>
      </c>
    </row>
    <row r="181" spans="1:18" x14ac:dyDescent="0.3">
      <c r="A181" s="174" t="s">
        <v>419</v>
      </c>
      <c r="E181" s="190">
        <v>0</v>
      </c>
      <c r="F181" s="190">
        <v>0</v>
      </c>
      <c r="G181" s="190">
        <v>0</v>
      </c>
      <c r="H181" s="190">
        <v>0</v>
      </c>
      <c r="I181" s="190"/>
      <c r="J181" s="190"/>
      <c r="K181" s="190"/>
      <c r="L181" s="190"/>
      <c r="M181" s="190"/>
      <c r="N181" s="190"/>
      <c r="O181" s="190"/>
      <c r="P181" s="190"/>
      <c r="Q181" s="190"/>
      <c r="R181" s="107" t="s">
        <v>414</v>
      </c>
    </row>
    <row r="182" spans="1:18" x14ac:dyDescent="0.3">
      <c r="A182" s="174"/>
      <c r="E182" s="190"/>
      <c r="F182" s="190"/>
      <c r="G182" s="190"/>
      <c r="H182" s="190"/>
      <c r="I182" s="190"/>
      <c r="J182" s="190"/>
      <c r="K182" s="190"/>
      <c r="L182" s="190"/>
      <c r="M182" s="190"/>
      <c r="N182" s="190"/>
      <c r="O182" s="190"/>
      <c r="P182" s="190"/>
      <c r="Q182" s="190"/>
    </row>
    <row r="183" spans="1:18" x14ac:dyDescent="0.3">
      <c r="A183" s="194" t="s">
        <v>420</v>
      </c>
      <c r="E183" s="190"/>
      <c r="F183" s="190"/>
      <c r="G183" s="190"/>
      <c r="H183" s="190"/>
      <c r="I183" s="190"/>
      <c r="J183" s="190"/>
      <c r="K183" s="190"/>
      <c r="L183" s="190"/>
      <c r="M183" s="190"/>
      <c r="N183" s="190"/>
      <c r="O183" s="190"/>
      <c r="P183" s="190"/>
      <c r="Q183" s="190"/>
    </row>
    <row r="184" spans="1:18" x14ac:dyDescent="0.3">
      <c r="A184" s="220" t="s">
        <v>421</v>
      </c>
      <c r="B184" s="187"/>
      <c r="C184" s="187"/>
      <c r="D184" s="188"/>
      <c r="E184" s="190">
        <f>253839-92700</f>
        <v>161139</v>
      </c>
      <c r="F184" s="190">
        <f>280110-96600</f>
        <v>183510</v>
      </c>
      <c r="G184" s="190">
        <f>230762-100700</f>
        <v>130062</v>
      </c>
      <c r="H184" s="190">
        <f>230762-100700</f>
        <v>130062</v>
      </c>
      <c r="I184" s="190"/>
      <c r="J184" s="190"/>
      <c r="K184" s="190"/>
      <c r="L184" s="190"/>
      <c r="M184" s="190"/>
      <c r="N184" s="190"/>
      <c r="O184" s="190"/>
      <c r="P184" s="190"/>
      <c r="Q184" s="190"/>
      <c r="R184" s="107" t="s">
        <v>422</v>
      </c>
    </row>
    <row r="185" spans="1:18" x14ac:dyDescent="0.3">
      <c r="A185" s="187" t="s">
        <v>423</v>
      </c>
      <c r="B185" s="187"/>
      <c r="C185" s="187"/>
      <c r="D185" s="188"/>
      <c r="E185" s="190">
        <v>145590</v>
      </c>
      <c r="F185" s="190">
        <v>187811</v>
      </c>
      <c r="G185" s="190">
        <v>232478</v>
      </c>
      <c r="H185" s="190">
        <v>232478</v>
      </c>
      <c r="I185" s="190"/>
      <c r="J185" s="190"/>
      <c r="K185" s="190"/>
      <c r="L185" s="190"/>
      <c r="M185" s="190"/>
      <c r="N185" s="190"/>
      <c r="O185" s="190"/>
      <c r="P185" s="190"/>
      <c r="Q185" s="190"/>
      <c r="R185" s="107" t="s">
        <v>424</v>
      </c>
    </row>
    <row r="186" spans="1:18" x14ac:dyDescent="0.3">
      <c r="A186" s="197" t="s">
        <v>425</v>
      </c>
      <c r="B186" s="187"/>
      <c r="C186" s="187"/>
      <c r="D186" s="188"/>
      <c r="E186" s="190"/>
      <c r="F186" s="190"/>
      <c r="G186" s="190"/>
      <c r="H186" s="190"/>
      <c r="I186" s="190"/>
      <c r="J186" s="190"/>
      <c r="K186" s="190"/>
      <c r="L186" s="190"/>
      <c r="M186" s="190"/>
      <c r="N186" s="190"/>
      <c r="O186" s="190"/>
      <c r="P186" s="190"/>
      <c r="Q186" s="190"/>
      <c r="R186" s="107" t="s">
        <v>426</v>
      </c>
    </row>
    <row r="187" spans="1:18" x14ac:dyDescent="0.3">
      <c r="A187" s="197" t="s">
        <v>427</v>
      </c>
      <c r="B187" s="187"/>
      <c r="C187" s="187"/>
      <c r="D187" s="188"/>
      <c r="E187" s="190"/>
      <c r="F187" s="190"/>
      <c r="G187" s="190"/>
      <c r="H187" s="190"/>
      <c r="I187" s="190"/>
      <c r="J187" s="190"/>
      <c r="K187" s="190"/>
      <c r="L187" s="190"/>
      <c r="M187" s="190"/>
      <c r="N187" s="190"/>
      <c r="O187" s="190"/>
      <c r="P187" s="190"/>
      <c r="Q187" s="190"/>
      <c r="R187" s="107" t="s">
        <v>428</v>
      </c>
    </row>
    <row r="188" spans="1:18" x14ac:dyDescent="0.3">
      <c r="A188" s="197" t="s">
        <v>429</v>
      </c>
      <c r="B188" s="187"/>
      <c r="C188" s="187"/>
      <c r="D188" s="188"/>
      <c r="E188" s="190"/>
      <c r="F188" s="190"/>
      <c r="G188" s="190"/>
      <c r="H188" s="190"/>
      <c r="I188" s="190"/>
      <c r="J188" s="190"/>
      <c r="K188" s="190"/>
      <c r="L188" s="190"/>
      <c r="M188" s="190"/>
      <c r="N188" s="190"/>
      <c r="O188" s="190"/>
      <c r="P188" s="190"/>
      <c r="Q188" s="190"/>
      <c r="R188" s="107" t="s">
        <v>430</v>
      </c>
    </row>
    <row r="189" spans="1:18" x14ac:dyDescent="0.3">
      <c r="A189" s="197" t="s">
        <v>431</v>
      </c>
      <c r="B189" s="187"/>
      <c r="C189" s="187"/>
      <c r="D189" s="188"/>
      <c r="E189" s="190"/>
      <c r="F189" s="190"/>
      <c r="G189" s="190"/>
      <c r="H189" s="190"/>
      <c r="I189" s="190"/>
      <c r="J189" s="190"/>
      <c r="K189" s="190"/>
      <c r="L189" s="190"/>
      <c r="M189" s="190"/>
      <c r="N189" s="190"/>
      <c r="O189" s="190"/>
      <c r="P189" s="190"/>
      <c r="Q189" s="190"/>
      <c r="R189" s="107" t="s">
        <v>432</v>
      </c>
    </row>
    <row r="190" spans="1:18" x14ac:dyDescent="0.3">
      <c r="A190" s="197" t="s">
        <v>433</v>
      </c>
      <c r="B190" s="187"/>
      <c r="C190" s="187"/>
      <c r="D190" s="188"/>
      <c r="E190" s="190"/>
      <c r="F190" s="190"/>
      <c r="G190" s="190"/>
      <c r="H190" s="190"/>
      <c r="I190" s="190"/>
      <c r="J190" s="190"/>
      <c r="K190" s="190"/>
      <c r="L190" s="190"/>
      <c r="M190" s="190"/>
      <c r="N190" s="190"/>
      <c r="O190" s="190"/>
      <c r="P190" s="190"/>
      <c r="Q190" s="190"/>
      <c r="R190" s="107" t="s">
        <v>434</v>
      </c>
    </row>
    <row r="191" spans="1:18" x14ac:dyDescent="0.3">
      <c r="A191" s="197" t="s">
        <v>435</v>
      </c>
      <c r="B191" s="187"/>
      <c r="C191" s="187"/>
      <c r="D191" s="188"/>
      <c r="E191" s="190"/>
      <c r="F191" s="190"/>
      <c r="G191" s="190"/>
      <c r="H191" s="190"/>
      <c r="I191" s="190"/>
      <c r="J191" s="190"/>
      <c r="K191" s="190"/>
      <c r="L191" s="190"/>
      <c r="M191" s="190"/>
      <c r="N191" s="190"/>
      <c r="O191" s="190"/>
      <c r="P191" s="190"/>
      <c r="Q191" s="190"/>
      <c r="R191" s="107" t="s">
        <v>436</v>
      </c>
    </row>
    <row r="192" spans="1:18" x14ac:dyDescent="0.3">
      <c r="A192" s="197" t="s">
        <v>437</v>
      </c>
      <c r="B192" s="187"/>
      <c r="C192" s="187"/>
      <c r="D192" s="188"/>
      <c r="E192" s="190"/>
      <c r="F192" s="190"/>
      <c r="G192" s="190"/>
      <c r="H192" s="190"/>
      <c r="I192" s="190"/>
      <c r="J192" s="190"/>
      <c r="K192" s="190"/>
      <c r="L192" s="190"/>
      <c r="M192" s="190"/>
      <c r="N192" s="190"/>
      <c r="O192" s="190"/>
      <c r="P192" s="190"/>
      <c r="Q192" s="190"/>
      <c r="R192" s="107" t="s">
        <v>438</v>
      </c>
    </row>
    <row r="193" spans="1:23" x14ac:dyDescent="0.3">
      <c r="A193" s="197" t="s">
        <v>439</v>
      </c>
      <c r="B193" s="187"/>
      <c r="C193" s="187"/>
      <c r="D193" s="188"/>
      <c r="E193" s="190"/>
      <c r="F193" s="190"/>
      <c r="G193" s="190"/>
      <c r="H193" s="190"/>
      <c r="I193" s="190"/>
      <c r="J193" s="190"/>
      <c r="K193" s="190"/>
      <c r="L193" s="190"/>
      <c r="M193" s="190"/>
      <c r="N193" s="190"/>
      <c r="O193" s="190"/>
      <c r="P193" s="190"/>
      <c r="Q193" s="190"/>
      <c r="R193" s="107" t="s">
        <v>440</v>
      </c>
    </row>
    <row r="194" spans="1:23" x14ac:dyDescent="0.3">
      <c r="A194" s="187"/>
      <c r="B194" s="187"/>
      <c r="C194" s="187"/>
      <c r="D194" s="188"/>
      <c r="E194" s="190"/>
      <c r="F194" s="190"/>
      <c r="G194" s="190"/>
      <c r="H194" s="190"/>
      <c r="I194" s="190"/>
      <c r="J194" s="190"/>
      <c r="K194" s="190"/>
      <c r="L194" s="190"/>
      <c r="M194" s="190"/>
      <c r="N194" s="190"/>
      <c r="O194" s="190"/>
      <c r="P194" s="190"/>
      <c r="Q194" s="190"/>
    </row>
    <row r="195" spans="1:23" x14ac:dyDescent="0.3">
      <c r="A195" s="187" t="s">
        <v>441</v>
      </c>
      <c r="B195" s="187"/>
      <c r="C195" s="187"/>
      <c r="D195" s="188"/>
      <c r="E195" s="190">
        <v>6491</v>
      </c>
      <c r="F195" s="190">
        <v>6720</v>
      </c>
      <c r="G195" s="190">
        <v>6955</v>
      </c>
      <c r="H195" s="190">
        <v>6956</v>
      </c>
      <c r="I195" s="190"/>
      <c r="J195" s="190"/>
      <c r="K195" s="190"/>
      <c r="L195" s="190"/>
      <c r="M195" s="190"/>
      <c r="N195" s="190"/>
      <c r="O195" s="190"/>
      <c r="P195" s="190"/>
      <c r="Q195" s="190"/>
      <c r="R195" s="107" t="s">
        <v>442</v>
      </c>
    </row>
    <row r="196" spans="1:23" x14ac:dyDescent="0.3">
      <c r="A196" s="187" t="s">
        <v>443</v>
      </c>
      <c r="B196" s="187"/>
      <c r="C196" s="187"/>
      <c r="D196" s="188"/>
      <c r="E196" s="190">
        <v>0</v>
      </c>
      <c r="F196" s="190">
        <v>0</v>
      </c>
      <c r="G196" s="190">
        <v>0</v>
      </c>
      <c r="H196" s="190">
        <v>0</v>
      </c>
      <c r="I196" s="190"/>
      <c r="J196" s="190"/>
      <c r="K196" s="190"/>
      <c r="L196" s="190"/>
      <c r="M196" s="190"/>
      <c r="N196" s="190"/>
      <c r="O196" s="190"/>
      <c r="P196" s="190"/>
      <c r="Q196" s="190"/>
      <c r="R196" s="107" t="s">
        <v>444</v>
      </c>
    </row>
    <row r="197" spans="1:23" x14ac:dyDescent="0.3">
      <c r="A197" s="187" t="s">
        <v>445</v>
      </c>
      <c r="B197" s="187"/>
      <c r="C197" s="187"/>
      <c r="D197" s="188"/>
      <c r="E197" s="190"/>
      <c r="F197" s="190"/>
      <c r="G197" s="190"/>
      <c r="H197" s="190"/>
      <c r="I197" s="190"/>
      <c r="J197" s="190"/>
      <c r="K197" s="190"/>
      <c r="L197" s="190"/>
      <c r="M197" s="190"/>
      <c r="N197" s="190"/>
      <c r="O197" s="190"/>
      <c r="P197" s="190"/>
      <c r="Q197" s="190"/>
    </row>
    <row r="198" spans="1:23" x14ac:dyDescent="0.3">
      <c r="A198" s="187"/>
      <c r="B198" s="187"/>
      <c r="C198" s="187"/>
      <c r="D198" s="188"/>
      <c r="E198" s="190"/>
      <c r="F198" s="190"/>
      <c r="G198" s="190"/>
      <c r="H198" s="190"/>
      <c r="I198" s="190"/>
      <c r="J198" s="190"/>
      <c r="K198" s="190"/>
      <c r="L198" s="190"/>
      <c r="M198" s="190"/>
      <c r="N198" s="190"/>
      <c r="O198" s="190"/>
      <c r="P198" s="190"/>
      <c r="Q198" s="190"/>
    </row>
    <row r="199" spans="1:23" x14ac:dyDescent="0.3">
      <c r="A199" s="194" t="s">
        <v>446</v>
      </c>
      <c r="B199" s="187"/>
      <c r="C199" s="187"/>
      <c r="D199" s="188"/>
      <c r="E199" s="190"/>
      <c r="F199" s="190"/>
      <c r="G199" s="190"/>
      <c r="H199" s="190"/>
      <c r="I199" s="190"/>
      <c r="J199" s="190"/>
      <c r="K199" s="190"/>
      <c r="L199" s="190"/>
      <c r="M199" s="190"/>
      <c r="N199" s="190"/>
      <c r="O199" s="190"/>
      <c r="P199" s="190"/>
      <c r="Q199" s="190"/>
    </row>
    <row r="200" spans="1:23" x14ac:dyDescent="0.3">
      <c r="A200" s="187" t="s">
        <v>447</v>
      </c>
      <c r="B200" s="187"/>
      <c r="C200" s="187"/>
      <c r="D200" s="188"/>
      <c r="E200" s="190">
        <v>0</v>
      </c>
      <c r="F200" s="190">
        <v>0</v>
      </c>
      <c r="G200" s="190">
        <v>0</v>
      </c>
      <c r="H200" s="190">
        <v>0</v>
      </c>
      <c r="I200" s="190"/>
      <c r="J200" s="190"/>
      <c r="K200" s="190"/>
      <c r="L200" s="190"/>
      <c r="M200" s="190"/>
      <c r="N200" s="190"/>
      <c r="O200" s="190"/>
      <c r="P200" s="190"/>
      <c r="Q200" s="190"/>
      <c r="T200" s="107" t="s">
        <v>448</v>
      </c>
    </row>
    <row r="201" spans="1:23" x14ac:dyDescent="0.3">
      <c r="A201" s="187" t="s">
        <v>449</v>
      </c>
      <c r="B201" s="187"/>
      <c r="C201" s="187"/>
      <c r="D201" s="188"/>
      <c r="E201" s="190">
        <v>0</v>
      </c>
      <c r="F201" s="190">
        <v>0</v>
      </c>
      <c r="G201" s="190">
        <v>0</v>
      </c>
      <c r="H201" s="190">
        <v>0</v>
      </c>
      <c r="I201" s="190"/>
      <c r="J201" s="190"/>
      <c r="K201" s="190"/>
      <c r="L201" s="190"/>
      <c r="M201" s="190"/>
      <c r="N201" s="190"/>
      <c r="O201" s="190"/>
      <c r="P201" s="190"/>
      <c r="Q201" s="190"/>
      <c r="T201" s="107">
        <v>-311000</v>
      </c>
      <c r="V201" s="107">
        <f>+T201+T209</f>
        <v>-209601</v>
      </c>
      <c r="W201" s="251">
        <f>+E207-V201</f>
        <v>31174</v>
      </c>
    </row>
    <row r="202" spans="1:23" x14ac:dyDescent="0.3">
      <c r="A202" s="187" t="s">
        <v>450</v>
      </c>
      <c r="B202" s="187"/>
      <c r="C202" s="187"/>
      <c r="D202" s="188"/>
      <c r="E202" s="190">
        <v>0</v>
      </c>
      <c r="F202" s="190">
        <v>0</v>
      </c>
      <c r="G202" s="190">
        <v>0</v>
      </c>
      <c r="H202" s="190">
        <v>0</v>
      </c>
      <c r="I202" s="190"/>
      <c r="J202" s="190"/>
      <c r="K202" s="190"/>
      <c r="L202" s="190"/>
      <c r="M202" s="190"/>
      <c r="N202" s="190"/>
      <c r="O202" s="190"/>
      <c r="P202" s="190"/>
      <c r="Q202" s="190"/>
      <c r="T202" s="107">
        <v>141000</v>
      </c>
      <c r="V202" s="107">
        <f t="shared" ref="V202:V207" si="36">+T202+T210</f>
        <v>293849</v>
      </c>
      <c r="W202" s="251">
        <f>+F207-V202</f>
        <v>26771</v>
      </c>
    </row>
    <row r="203" spans="1:23" x14ac:dyDescent="0.3">
      <c r="A203" s="187" t="s">
        <v>451</v>
      </c>
      <c r="B203" s="187"/>
      <c r="C203" s="187"/>
      <c r="D203" s="188"/>
      <c r="E203" s="190">
        <v>0</v>
      </c>
      <c r="F203" s="190">
        <v>0</v>
      </c>
      <c r="G203" s="190">
        <v>0</v>
      </c>
      <c r="H203" s="190">
        <v>0</v>
      </c>
      <c r="I203" s="190"/>
      <c r="J203" s="190"/>
      <c r="K203" s="190"/>
      <c r="L203" s="190"/>
      <c r="M203" s="190"/>
      <c r="N203" s="190"/>
      <c r="O203" s="190"/>
      <c r="P203" s="190"/>
      <c r="Q203" s="190"/>
      <c r="T203" s="107">
        <v>-73000</v>
      </c>
      <c r="V203" s="107">
        <f t="shared" si="36"/>
        <v>123751</v>
      </c>
      <c r="W203" s="251">
        <f>+G207-V203</f>
        <v>28026</v>
      </c>
    </row>
    <row r="204" spans="1:23" x14ac:dyDescent="0.3">
      <c r="A204" s="186"/>
      <c r="B204" s="187"/>
      <c r="C204" s="187"/>
      <c r="D204" s="188"/>
      <c r="E204" s="190"/>
      <c r="F204" s="190"/>
      <c r="G204" s="190"/>
      <c r="H204" s="190"/>
      <c r="I204" s="190"/>
      <c r="J204" s="190"/>
      <c r="K204" s="190"/>
      <c r="L204" s="190"/>
      <c r="M204" s="190"/>
      <c r="N204" s="190"/>
      <c r="O204" s="190"/>
      <c r="P204" s="190"/>
      <c r="Q204" s="190"/>
      <c r="T204" s="107">
        <v>-73000</v>
      </c>
      <c r="V204" s="107">
        <f t="shared" si="36"/>
        <v>123751</v>
      </c>
      <c r="W204" s="251">
        <f>+H207-V204</f>
        <v>28027</v>
      </c>
    </row>
    <row r="205" spans="1:23" x14ac:dyDescent="0.3">
      <c r="A205" s="195" t="s">
        <v>452</v>
      </c>
      <c r="B205" s="187"/>
      <c r="C205" s="187"/>
      <c r="D205" s="188"/>
      <c r="E205" s="190"/>
      <c r="F205" s="190"/>
      <c r="G205" s="190"/>
      <c r="H205" s="190"/>
      <c r="I205" s="190"/>
      <c r="J205" s="190"/>
      <c r="K205" s="190"/>
      <c r="L205" s="190"/>
      <c r="M205" s="190"/>
      <c r="N205" s="190"/>
      <c r="O205" s="190"/>
      <c r="P205" s="190"/>
      <c r="Q205" s="190"/>
      <c r="T205" s="107">
        <v>-72999</v>
      </c>
      <c r="V205" s="107">
        <f t="shared" si="36"/>
        <v>123752</v>
      </c>
      <c r="W205" s="251">
        <f>+E211-V205</f>
        <v>-666668.35097718053</v>
      </c>
    </row>
    <row r="206" spans="1:23" x14ac:dyDescent="0.3">
      <c r="A206" s="187"/>
      <c r="B206" s="187"/>
      <c r="C206" s="187"/>
      <c r="D206" s="188"/>
      <c r="E206" s="190"/>
      <c r="F206" s="190"/>
      <c r="G206" s="190"/>
      <c r="H206" s="190"/>
      <c r="I206" s="190"/>
      <c r="J206" s="190"/>
      <c r="K206" s="190"/>
      <c r="L206" s="190"/>
      <c r="M206" s="190"/>
      <c r="N206" s="190"/>
      <c r="O206" s="190"/>
      <c r="P206" s="190"/>
      <c r="Q206" s="190"/>
      <c r="T206" s="107">
        <v>-72998</v>
      </c>
      <c r="V206" s="107">
        <f t="shared" si="36"/>
        <v>123753</v>
      </c>
      <c r="W206" s="251">
        <f>+E212-V206</f>
        <v>-123753</v>
      </c>
    </row>
    <row r="207" spans="1:23" x14ac:dyDescent="0.3">
      <c r="A207" s="205" t="s">
        <v>453</v>
      </c>
      <c r="B207" s="205"/>
      <c r="C207" s="205"/>
      <c r="D207" s="206"/>
      <c r="E207" s="207">
        <f>SUM(E169:E206)</f>
        <v>-178427</v>
      </c>
      <c r="F207" s="207">
        <f>SUM(F169:F206)</f>
        <v>320620</v>
      </c>
      <c r="G207" s="207">
        <f>SUM(G169:G206)</f>
        <v>151777</v>
      </c>
      <c r="H207" s="207">
        <f>SUM(H169:H206)</f>
        <v>151778</v>
      </c>
      <c r="I207" s="207"/>
      <c r="J207" s="207"/>
      <c r="K207" s="207"/>
      <c r="L207" s="207"/>
      <c r="M207" s="207"/>
      <c r="N207" s="207"/>
      <c r="O207" s="207"/>
      <c r="P207" s="207"/>
      <c r="Q207" s="207"/>
      <c r="R207" s="112"/>
      <c r="S207" s="112"/>
      <c r="T207" s="112">
        <v>-72997</v>
      </c>
      <c r="U207" s="112"/>
      <c r="V207" s="107">
        <f t="shared" si="36"/>
        <v>123754</v>
      </c>
    </row>
    <row r="208" spans="1:23" x14ac:dyDescent="0.3">
      <c r="A208" s="187"/>
      <c r="B208" s="187"/>
      <c r="C208" s="187"/>
      <c r="D208" s="188"/>
      <c r="E208" s="190"/>
      <c r="F208" s="190"/>
      <c r="G208" s="190"/>
      <c r="H208" s="190"/>
      <c r="I208" s="190"/>
      <c r="J208" s="190"/>
      <c r="K208" s="190"/>
      <c r="L208" s="190"/>
      <c r="M208" s="190"/>
      <c r="N208" s="190"/>
      <c r="O208" s="190"/>
      <c r="P208" s="190"/>
      <c r="Q208" s="190"/>
      <c r="R208" s="112"/>
      <c r="S208" s="112"/>
      <c r="T208" s="112" t="s">
        <v>454</v>
      </c>
      <c r="U208" s="112"/>
      <c r="V208" s="112"/>
    </row>
    <row r="209" spans="1:22" x14ac:dyDescent="0.3">
      <c r="A209" s="205" t="s">
        <v>455</v>
      </c>
      <c r="B209" s="205"/>
      <c r="C209" s="205"/>
      <c r="D209" s="206"/>
      <c r="E209" s="207">
        <f>'T08'!K145</f>
        <v>364489.35097718053</v>
      </c>
      <c r="F209" s="207">
        <f>'T08'!L145</f>
        <v>344581.87061746046</v>
      </c>
      <c r="G209" s="207">
        <f>'T08'!M145</f>
        <v>-3873182.6658023167</v>
      </c>
      <c r="H209" s="207">
        <f>'T08'!N145</f>
        <v>-4232187.2167886812</v>
      </c>
      <c r="I209" s="207"/>
      <c r="J209" s="207"/>
      <c r="K209" s="207"/>
      <c r="L209" s="207"/>
      <c r="M209" s="207"/>
      <c r="N209" s="207"/>
      <c r="O209" s="207"/>
      <c r="P209" s="207"/>
      <c r="Q209" s="207"/>
      <c r="R209" s="112"/>
      <c r="S209" s="112"/>
      <c r="T209" s="112">
        <v>101399</v>
      </c>
      <c r="U209" s="112"/>
      <c r="V209" s="112"/>
    </row>
    <row r="210" spans="1:22" x14ac:dyDescent="0.3">
      <c r="A210" s="186"/>
      <c r="B210" s="187"/>
      <c r="C210" s="187"/>
      <c r="D210" s="188"/>
      <c r="E210" s="190"/>
      <c r="F210" s="190"/>
      <c r="G210" s="190"/>
      <c r="H210" s="190"/>
      <c r="I210" s="190"/>
      <c r="J210" s="190"/>
      <c r="K210" s="190"/>
      <c r="L210" s="190"/>
      <c r="M210" s="190"/>
      <c r="N210" s="190"/>
      <c r="O210" s="190"/>
      <c r="P210" s="190"/>
      <c r="Q210" s="190"/>
      <c r="T210" s="107">
        <v>152849</v>
      </c>
    </row>
    <row r="211" spans="1:22" x14ac:dyDescent="0.3">
      <c r="A211" s="202" t="s">
        <v>456</v>
      </c>
      <c r="B211" s="202"/>
      <c r="C211" s="202"/>
      <c r="D211" s="203"/>
      <c r="E211" s="204">
        <f t="shared" ref="E211:H211" si="37">E207-E209</f>
        <v>-542916.35097718053</v>
      </c>
      <c r="F211" s="204">
        <f t="shared" si="37"/>
        <v>-23961.870617460459</v>
      </c>
      <c r="G211" s="204">
        <f t="shared" si="37"/>
        <v>4024959.6658023167</v>
      </c>
      <c r="H211" s="204">
        <f t="shared" si="37"/>
        <v>4383965.2167886812</v>
      </c>
      <c r="I211" s="204"/>
      <c r="J211" s="204"/>
      <c r="K211" s="204"/>
      <c r="L211" s="204"/>
      <c r="M211" s="204"/>
      <c r="N211" s="204"/>
      <c r="O211" s="204"/>
      <c r="P211" s="204"/>
      <c r="Q211" s="204"/>
      <c r="T211" s="107">
        <v>196751</v>
      </c>
    </row>
    <row r="212" spans="1:22" x14ac:dyDescent="0.3">
      <c r="A212" s="186"/>
      <c r="B212" s="187"/>
      <c r="C212" s="187"/>
      <c r="D212" s="188"/>
      <c r="E212" s="190"/>
      <c r="F212" s="190"/>
      <c r="G212" s="190"/>
      <c r="H212" s="190"/>
      <c r="I212" s="190"/>
      <c r="J212" s="190"/>
      <c r="K212" s="190"/>
      <c r="L212" s="190"/>
      <c r="M212" s="190"/>
      <c r="N212" s="190"/>
      <c r="O212" s="190"/>
      <c r="P212" s="190"/>
      <c r="Q212" s="190"/>
      <c r="T212" s="107">
        <v>196751</v>
      </c>
    </row>
    <row r="213" spans="1:22" x14ac:dyDescent="0.3">
      <c r="A213" s="186"/>
      <c r="B213" s="187"/>
      <c r="C213" s="187"/>
      <c r="D213" s="188"/>
      <c r="E213" s="190"/>
      <c r="F213" s="190"/>
      <c r="G213" s="190"/>
      <c r="H213" s="190"/>
      <c r="I213" s="190"/>
      <c r="J213" s="190"/>
      <c r="K213" s="190"/>
      <c r="L213" s="190"/>
      <c r="M213" s="190"/>
      <c r="N213" s="190"/>
      <c r="O213" s="190"/>
      <c r="P213" s="190"/>
      <c r="Q213" s="190"/>
      <c r="T213" s="107">
        <v>196751</v>
      </c>
    </row>
    <row r="214" spans="1:22" x14ac:dyDescent="0.3">
      <c r="A214" s="211" t="s">
        <v>457</v>
      </c>
      <c r="B214" s="212"/>
      <c r="C214" s="212"/>
      <c r="D214" s="213"/>
      <c r="E214" s="210" t="e">
        <f>+E63+E128</f>
        <v>#REF!</v>
      </c>
      <c r="F214" s="210" t="e">
        <f>+F63+F128</f>
        <v>#REF!</v>
      </c>
      <c r="G214" s="210" t="e">
        <f>+G63+G128</f>
        <v>#REF!</v>
      </c>
      <c r="H214" s="210" t="e">
        <f>+H63+H128</f>
        <v>#REF!</v>
      </c>
      <c r="I214" s="210"/>
      <c r="J214" s="210"/>
      <c r="K214" s="210"/>
      <c r="L214" s="210"/>
      <c r="M214" s="210"/>
      <c r="N214" s="210"/>
      <c r="O214" s="210"/>
      <c r="P214" s="210"/>
      <c r="Q214" s="210"/>
      <c r="T214" s="107">
        <v>196751</v>
      </c>
    </row>
    <row r="215" spans="1:22" x14ac:dyDescent="0.3">
      <c r="A215" s="186"/>
      <c r="B215" s="187"/>
      <c r="C215" s="187"/>
      <c r="D215" s="188"/>
      <c r="E215" s="190"/>
      <c r="F215" s="190"/>
      <c r="G215" s="190"/>
      <c r="H215" s="190"/>
      <c r="I215" s="190"/>
      <c r="J215" s="190"/>
      <c r="K215" s="190"/>
      <c r="L215" s="190"/>
      <c r="M215" s="190"/>
      <c r="N215" s="190"/>
      <c r="O215" s="190"/>
      <c r="P215" s="190"/>
      <c r="Q215" s="190"/>
      <c r="T215" s="107">
        <v>196751</v>
      </c>
    </row>
    <row r="216" spans="1:22" x14ac:dyDescent="0.3">
      <c r="A216" s="186"/>
      <c r="B216" s="187"/>
      <c r="C216" s="187"/>
      <c r="D216" s="188"/>
      <c r="E216" s="190" t="e">
        <f>+E64+E128</f>
        <v>#REF!</v>
      </c>
      <c r="F216" s="190" t="e">
        <f>+F64+F128</f>
        <v>#REF!</v>
      </c>
      <c r="G216" s="190" t="e">
        <f>+G64+G128</f>
        <v>#REF!</v>
      </c>
      <c r="H216" s="190" t="e">
        <f>+H64+H128</f>
        <v>#REF!</v>
      </c>
      <c r="I216" s="190"/>
      <c r="J216" s="190"/>
      <c r="K216" s="190"/>
      <c r="L216" s="190"/>
      <c r="M216" s="190"/>
      <c r="N216" s="190"/>
      <c r="O216" s="190"/>
      <c r="P216" s="190"/>
      <c r="Q216" s="190"/>
    </row>
    <row r="217" spans="1:22" x14ac:dyDescent="0.3">
      <c r="A217" s="186"/>
      <c r="B217" s="187"/>
      <c r="C217" s="187"/>
      <c r="D217" s="188"/>
      <c r="E217" s="190"/>
      <c r="F217" s="190"/>
      <c r="G217" s="190"/>
      <c r="H217" s="190"/>
      <c r="I217" s="190"/>
      <c r="J217" s="190"/>
      <c r="K217" s="190"/>
      <c r="L217" s="190"/>
      <c r="M217" s="190"/>
      <c r="N217" s="190"/>
      <c r="O217" s="190"/>
      <c r="P217" s="190"/>
      <c r="Q217" s="190"/>
    </row>
    <row r="218" spans="1:22" x14ac:dyDescent="0.3">
      <c r="A218" s="187" t="s">
        <v>458</v>
      </c>
      <c r="B218" s="187"/>
      <c r="C218" s="187"/>
      <c r="D218" s="188"/>
      <c r="E218" s="190">
        <v>-1029811</v>
      </c>
      <c r="F218" s="190">
        <v>-927351</v>
      </c>
      <c r="G218" s="190">
        <v>-759904</v>
      </c>
      <c r="H218" s="190">
        <v>1919047</v>
      </c>
      <c r="I218" s="190"/>
      <c r="J218" s="190"/>
      <c r="K218" s="190"/>
      <c r="L218" s="190"/>
      <c r="M218" s="190"/>
      <c r="N218" s="190"/>
      <c r="O218" s="190"/>
      <c r="P218" s="190"/>
      <c r="Q218" s="190"/>
    </row>
    <row r="219" spans="1:22" x14ac:dyDescent="0.3">
      <c r="A219" s="187" t="s">
        <v>459</v>
      </c>
      <c r="B219" s="187"/>
      <c r="C219" s="187"/>
      <c r="D219" s="188"/>
      <c r="E219" s="190">
        <v>-1020130</v>
      </c>
      <c r="F219" s="190">
        <v>-914696</v>
      </c>
      <c r="G219" s="190">
        <v>-746467</v>
      </c>
      <c r="H219" s="190">
        <v>1960337</v>
      </c>
      <c r="I219" s="190"/>
      <c r="J219" s="190"/>
      <c r="K219" s="190"/>
      <c r="L219" s="190"/>
      <c r="M219" s="190"/>
      <c r="N219" s="190"/>
      <c r="O219" s="190"/>
      <c r="P219" s="190"/>
      <c r="Q219" s="190"/>
    </row>
    <row r="220" spans="1:22" x14ac:dyDescent="0.3">
      <c r="A220" s="187" t="s">
        <v>460</v>
      </c>
      <c r="B220" s="187"/>
      <c r="C220" s="187"/>
      <c r="D220" s="188"/>
      <c r="E220" s="190">
        <f>+E218-E219</f>
        <v>-9681</v>
      </c>
      <c r="F220" s="190">
        <f t="shared" ref="F220:H220" si="38">+F218-F219</f>
        <v>-12655</v>
      </c>
      <c r="G220" s="190">
        <f t="shared" si="38"/>
        <v>-13437</v>
      </c>
      <c r="H220" s="190">
        <f t="shared" si="38"/>
        <v>-41290</v>
      </c>
      <c r="I220" s="190"/>
      <c r="J220" s="190"/>
      <c r="K220" s="190"/>
      <c r="L220" s="190"/>
      <c r="M220" s="190"/>
      <c r="N220" s="190"/>
      <c r="O220" s="190"/>
      <c r="P220" s="190"/>
      <c r="Q220" s="190"/>
    </row>
    <row r="221" spans="1:22" x14ac:dyDescent="0.3">
      <c r="A221" s="186"/>
      <c r="B221" s="187"/>
      <c r="C221" s="187"/>
      <c r="D221" s="188"/>
      <c r="E221" s="190"/>
      <c r="F221" s="190"/>
      <c r="G221" s="190"/>
      <c r="H221" s="190"/>
      <c r="I221" s="190"/>
      <c r="J221" s="190"/>
      <c r="K221" s="190"/>
      <c r="L221" s="190"/>
      <c r="M221" s="190"/>
      <c r="N221" s="190"/>
      <c r="O221" s="190"/>
      <c r="P221" s="190"/>
      <c r="Q221" s="190"/>
    </row>
    <row r="222" spans="1:22" x14ac:dyDescent="0.3">
      <c r="A222" s="187" t="s">
        <v>461</v>
      </c>
      <c r="B222" s="187"/>
      <c r="C222" s="187"/>
      <c r="D222" s="188"/>
      <c r="E222" s="190">
        <v>-1020130</v>
      </c>
      <c r="F222" s="190">
        <v>-914696</v>
      </c>
      <c r="G222" s="190">
        <v>-746467</v>
      </c>
      <c r="H222" s="190">
        <v>1960337</v>
      </c>
      <c r="I222" s="190"/>
      <c r="J222" s="190"/>
      <c r="K222" s="190"/>
      <c r="L222" s="190"/>
      <c r="M222" s="190"/>
      <c r="N222" s="190"/>
      <c r="O222" s="190"/>
      <c r="P222" s="190"/>
      <c r="Q222" s="190"/>
    </row>
    <row r="223" spans="1:22" x14ac:dyDescent="0.3">
      <c r="A223" s="187" t="s">
        <v>462</v>
      </c>
      <c r="B223" s="187"/>
      <c r="C223" s="187"/>
      <c r="D223" s="188"/>
      <c r="E223" s="190">
        <v>-1063592</v>
      </c>
      <c r="F223" s="190">
        <v>-921720</v>
      </c>
      <c r="G223" s="190">
        <v>-702665</v>
      </c>
      <c r="H223" s="190">
        <v>2058018</v>
      </c>
      <c r="I223" s="190"/>
      <c r="J223" s="190"/>
      <c r="K223" s="190"/>
      <c r="L223" s="190"/>
      <c r="M223" s="190"/>
      <c r="N223" s="190"/>
      <c r="O223" s="190"/>
      <c r="P223" s="190"/>
      <c r="Q223" s="190"/>
    </row>
    <row r="224" spans="1:22" x14ac:dyDescent="0.3">
      <c r="A224" s="187" t="s">
        <v>463</v>
      </c>
      <c r="B224" s="187"/>
      <c r="C224" s="187"/>
      <c r="D224" s="188"/>
      <c r="E224" s="190">
        <f>+E222-E223</f>
        <v>43462</v>
      </c>
      <c r="F224" s="190">
        <f t="shared" ref="F224:H224" si="39">+F222-F223</f>
        <v>7024</v>
      </c>
      <c r="G224" s="190">
        <f t="shared" si="39"/>
        <v>-43802</v>
      </c>
      <c r="H224" s="190">
        <f t="shared" si="39"/>
        <v>-97681</v>
      </c>
      <c r="I224" s="190"/>
      <c r="J224" s="190"/>
      <c r="K224" s="190"/>
      <c r="L224" s="190"/>
      <c r="M224" s="190"/>
      <c r="N224" s="190"/>
      <c r="O224" s="190"/>
      <c r="P224" s="190"/>
      <c r="Q224" s="190"/>
    </row>
    <row r="225" spans="1:17" x14ac:dyDescent="0.3">
      <c r="A225" s="186"/>
      <c r="B225" s="187"/>
      <c r="C225" s="187"/>
      <c r="D225" s="188"/>
      <c r="E225" s="190"/>
      <c r="F225" s="190"/>
      <c r="G225" s="190"/>
      <c r="H225" s="190"/>
      <c r="I225" s="190"/>
      <c r="J225" s="190"/>
      <c r="K225" s="190"/>
      <c r="L225" s="190"/>
      <c r="M225" s="190"/>
      <c r="N225" s="190"/>
      <c r="O225" s="190"/>
      <c r="P225" s="190"/>
      <c r="Q225" s="190"/>
    </row>
    <row r="226" spans="1:17" x14ac:dyDescent="0.3">
      <c r="A226" s="187" t="s">
        <v>464</v>
      </c>
      <c r="B226" s="187"/>
      <c r="C226" s="187"/>
      <c r="D226" s="188"/>
      <c r="E226" s="190">
        <f>+E223</f>
        <v>-1063592</v>
      </c>
      <c r="F226" s="190">
        <f>+F223</f>
        <v>-921720</v>
      </c>
      <c r="G226" s="190">
        <f>+G223</f>
        <v>-702665</v>
      </c>
      <c r="H226" s="190">
        <f>+H223</f>
        <v>2058018</v>
      </c>
      <c r="I226" s="190"/>
      <c r="J226" s="190"/>
      <c r="K226" s="190"/>
      <c r="L226" s="190"/>
      <c r="M226" s="190"/>
      <c r="N226" s="190"/>
      <c r="O226" s="190"/>
      <c r="P226" s="190"/>
      <c r="Q226" s="190"/>
    </row>
    <row r="227" spans="1:17" x14ac:dyDescent="0.3">
      <c r="A227" s="187" t="s">
        <v>465</v>
      </c>
      <c r="B227" s="187"/>
      <c r="C227" s="187"/>
      <c r="D227" s="188"/>
      <c r="E227" s="190">
        <v>-1166724</v>
      </c>
      <c r="F227" s="190">
        <v>-1048161</v>
      </c>
      <c r="G227" s="190">
        <v>-832862</v>
      </c>
      <c r="H227" s="190">
        <v>2049010</v>
      </c>
      <c r="I227" s="190"/>
      <c r="J227" s="190"/>
      <c r="K227" s="190"/>
      <c r="L227" s="190"/>
      <c r="M227" s="190"/>
      <c r="N227" s="190"/>
      <c r="O227" s="190"/>
      <c r="P227" s="190"/>
      <c r="Q227" s="190"/>
    </row>
    <row r="228" spans="1:17" x14ac:dyDescent="0.3">
      <c r="A228" s="187" t="s">
        <v>466</v>
      </c>
      <c r="B228" s="187"/>
      <c r="C228" s="187"/>
      <c r="D228" s="188"/>
      <c r="E228" s="190">
        <f>+E226-E227</f>
        <v>103132</v>
      </c>
      <c r="F228" s="190">
        <f t="shared" ref="F228:H228" si="40">+F226-F227</f>
        <v>126441</v>
      </c>
      <c r="G228" s="190">
        <f t="shared" si="40"/>
        <v>130197</v>
      </c>
      <c r="H228" s="190">
        <f t="shared" si="40"/>
        <v>9008</v>
      </c>
      <c r="I228" s="190"/>
      <c r="J228" s="190"/>
      <c r="K228" s="190"/>
      <c r="L228" s="190"/>
      <c r="M228" s="190"/>
      <c r="N228" s="190"/>
      <c r="O228" s="190"/>
      <c r="P228" s="190"/>
      <c r="Q228" s="190"/>
    </row>
    <row r="229" spans="1:17" x14ac:dyDescent="0.3">
      <c r="A229" s="186"/>
      <c r="B229" s="187"/>
      <c r="C229" s="187"/>
      <c r="D229" s="188"/>
      <c r="E229" s="190"/>
      <c r="F229" s="190"/>
      <c r="G229" s="190"/>
      <c r="H229" s="190"/>
      <c r="I229" s="190"/>
      <c r="J229" s="190"/>
      <c r="K229" s="190"/>
      <c r="L229" s="190"/>
      <c r="M229" s="190"/>
      <c r="N229" s="190"/>
      <c r="O229" s="190"/>
      <c r="P229" s="190"/>
      <c r="Q229" s="190"/>
    </row>
    <row r="230" spans="1:17" x14ac:dyDescent="0.3">
      <c r="A230" s="187" t="s">
        <v>467</v>
      </c>
      <c r="B230" s="187"/>
      <c r="C230" s="187"/>
      <c r="D230" s="188"/>
      <c r="E230" s="190">
        <v>-1166724</v>
      </c>
      <c r="F230" s="190">
        <v>-1048161</v>
      </c>
      <c r="G230" s="190">
        <v>-832862</v>
      </c>
      <c r="H230" s="190">
        <v>2049010</v>
      </c>
      <c r="I230" s="190"/>
      <c r="J230" s="190"/>
      <c r="K230" s="190"/>
      <c r="L230" s="190"/>
      <c r="M230" s="190"/>
      <c r="N230" s="190"/>
      <c r="O230" s="190"/>
      <c r="P230" s="190"/>
      <c r="Q230" s="190"/>
    </row>
    <row r="231" spans="1:17" x14ac:dyDescent="0.3">
      <c r="A231" s="187" t="s">
        <v>468</v>
      </c>
      <c r="B231" s="187"/>
      <c r="C231" s="187"/>
      <c r="D231" s="188"/>
      <c r="E231" s="190">
        <v>-1155571</v>
      </c>
      <c r="F231" s="190">
        <v>-1036759</v>
      </c>
      <c r="G231" s="190">
        <v>-821207</v>
      </c>
      <c r="H231" s="190">
        <v>2060924</v>
      </c>
      <c r="I231" s="190"/>
      <c r="J231" s="190"/>
      <c r="K231" s="190"/>
      <c r="L231" s="190"/>
      <c r="M231" s="190"/>
      <c r="N231" s="190"/>
      <c r="O231" s="190"/>
      <c r="P231" s="190"/>
      <c r="Q231" s="190"/>
    </row>
    <row r="232" spans="1:17" x14ac:dyDescent="0.3">
      <c r="A232" s="187" t="s">
        <v>469</v>
      </c>
      <c r="B232" s="187"/>
      <c r="C232" s="187"/>
      <c r="D232" s="188"/>
      <c r="E232" s="190">
        <v>-11153</v>
      </c>
      <c r="F232" s="190">
        <v>-11402</v>
      </c>
      <c r="G232" s="190">
        <v>-11665</v>
      </c>
      <c r="H232" s="190">
        <v>11914</v>
      </c>
      <c r="I232" s="190"/>
      <c r="J232" s="190"/>
      <c r="K232" s="190"/>
      <c r="L232" s="190"/>
      <c r="M232" s="190"/>
      <c r="N232" s="190"/>
      <c r="O232" s="190"/>
      <c r="P232" s="190"/>
      <c r="Q232" s="190"/>
    </row>
    <row r="233" spans="1:17" x14ac:dyDescent="0.3">
      <c r="A233" s="186"/>
      <c r="B233" s="187"/>
      <c r="C233" s="187"/>
      <c r="D233" s="188"/>
      <c r="E233" s="190">
        <v>-1153057</v>
      </c>
      <c r="F233" s="190">
        <v>-1033649</v>
      </c>
      <c r="G233" s="190">
        <v>-817017</v>
      </c>
      <c r="H233" s="190">
        <v>2047485</v>
      </c>
      <c r="I233" s="190"/>
      <c r="J233" s="190"/>
      <c r="K233" s="190"/>
      <c r="L233" s="190"/>
      <c r="M233" s="190"/>
      <c r="N233" s="190"/>
      <c r="O233" s="190"/>
      <c r="P233" s="190"/>
      <c r="Q233" s="190"/>
    </row>
    <row r="234" spans="1:17" x14ac:dyDescent="0.3">
      <c r="A234" s="187" t="s">
        <v>470</v>
      </c>
      <c r="B234" s="187"/>
      <c r="C234" s="187"/>
      <c r="D234" s="188"/>
      <c r="E234" s="190">
        <f>+E231-E233</f>
        <v>-2514</v>
      </c>
      <c r="F234" s="190">
        <f t="shared" ref="F234:H234" si="41">+F231-F233</f>
        <v>-3110</v>
      </c>
      <c r="G234" s="190">
        <f t="shared" si="41"/>
        <v>-4190</v>
      </c>
      <c r="H234" s="190">
        <f t="shared" si="41"/>
        <v>13439</v>
      </c>
      <c r="I234" s="190"/>
      <c r="J234" s="190"/>
      <c r="K234" s="190"/>
      <c r="L234" s="190"/>
      <c r="M234" s="190"/>
      <c r="N234" s="190"/>
      <c r="O234" s="190"/>
      <c r="P234" s="190"/>
      <c r="Q234" s="190"/>
    </row>
    <row r="235" spans="1:17" x14ac:dyDescent="0.3">
      <c r="A235" s="186"/>
      <c r="B235" s="187"/>
      <c r="C235" s="187"/>
      <c r="D235" s="188"/>
      <c r="E235" s="190"/>
      <c r="F235" s="190"/>
      <c r="G235" s="190"/>
      <c r="H235" s="190"/>
      <c r="I235" s="190"/>
      <c r="J235" s="190"/>
      <c r="K235" s="190"/>
      <c r="L235" s="190"/>
      <c r="M235" s="190"/>
      <c r="N235" s="190"/>
      <c r="O235" s="190"/>
      <c r="P235" s="190"/>
      <c r="Q235" s="190"/>
    </row>
    <row r="236" spans="1:17" x14ac:dyDescent="0.3">
      <c r="A236" s="186"/>
      <c r="B236" s="187"/>
      <c r="C236" s="187"/>
      <c r="D236" s="188"/>
      <c r="E236" s="190"/>
      <c r="F236" s="190"/>
      <c r="G236" s="190"/>
      <c r="H236" s="190"/>
      <c r="I236" s="190"/>
      <c r="J236" s="190"/>
      <c r="K236" s="190"/>
      <c r="L236" s="190"/>
      <c r="M236" s="190"/>
      <c r="N236" s="190"/>
      <c r="O236" s="190"/>
      <c r="P236" s="190"/>
      <c r="Q236" s="190"/>
    </row>
    <row r="237" spans="1:17" x14ac:dyDescent="0.3">
      <c r="A237" s="186" t="s">
        <v>471</v>
      </c>
      <c r="B237" s="187"/>
      <c r="C237" s="187"/>
      <c r="D237" s="188"/>
      <c r="E237" s="190">
        <v>-1153057</v>
      </c>
      <c r="F237" s="190">
        <v>-1033649</v>
      </c>
      <c r="G237" s="190">
        <v>-817017</v>
      </c>
      <c r="H237" s="190">
        <v>2047485</v>
      </c>
      <c r="I237" s="190"/>
      <c r="J237" s="190"/>
      <c r="K237" s="190"/>
      <c r="L237" s="190"/>
      <c r="M237" s="190"/>
      <c r="N237" s="190"/>
      <c r="O237" s="190"/>
      <c r="P237" s="190"/>
      <c r="Q237" s="190"/>
    </row>
    <row r="238" spans="1:17" x14ac:dyDescent="0.3">
      <c r="A238" s="186" t="s">
        <v>472</v>
      </c>
      <c r="B238" s="187"/>
      <c r="C238" s="187"/>
      <c r="D238" s="188"/>
      <c r="E238" s="190">
        <v>-1124703</v>
      </c>
      <c r="F238" s="190">
        <v>-1004673</v>
      </c>
      <c r="G238" s="190">
        <v>-787409</v>
      </c>
      <c r="H238" s="190">
        <v>2077740</v>
      </c>
      <c r="I238" s="190"/>
      <c r="J238" s="190"/>
      <c r="K238" s="190"/>
      <c r="L238" s="190"/>
      <c r="M238" s="190"/>
      <c r="N238" s="190"/>
      <c r="O238" s="190"/>
      <c r="P238" s="190"/>
      <c r="Q238" s="190"/>
    </row>
    <row r="239" spans="1:17" x14ac:dyDescent="0.3">
      <c r="A239" s="186" t="s">
        <v>473</v>
      </c>
      <c r="B239" s="187"/>
      <c r="C239" s="187"/>
      <c r="D239" s="188"/>
      <c r="E239" s="190">
        <f>+E237-E238</f>
        <v>-28354</v>
      </c>
      <c r="F239" s="190">
        <f>+F237-F238</f>
        <v>-28976</v>
      </c>
      <c r="G239" s="190">
        <f>+G237-G238</f>
        <v>-29608</v>
      </c>
      <c r="H239" s="190">
        <f>+H237-H238</f>
        <v>-30255</v>
      </c>
      <c r="I239" s="190"/>
      <c r="J239" s="190"/>
      <c r="K239" s="190"/>
      <c r="L239" s="190"/>
      <c r="M239" s="190"/>
      <c r="N239" s="190"/>
      <c r="O239" s="190"/>
      <c r="P239" s="190"/>
      <c r="Q239" s="190"/>
    </row>
    <row r="240" spans="1:17" x14ac:dyDescent="0.3">
      <c r="A240" s="186"/>
      <c r="B240" s="187"/>
      <c r="C240" s="187"/>
      <c r="D240" s="188"/>
      <c r="E240" s="190"/>
      <c r="F240" s="190"/>
      <c r="G240" s="190"/>
      <c r="H240" s="190"/>
      <c r="I240" s="190"/>
      <c r="J240" s="190"/>
      <c r="K240" s="190"/>
      <c r="L240" s="190"/>
      <c r="M240" s="190"/>
      <c r="N240" s="190"/>
      <c r="O240" s="190"/>
      <c r="P240" s="190"/>
      <c r="Q240" s="190"/>
    </row>
    <row r="241" spans="1:17" hidden="1" x14ac:dyDescent="0.3">
      <c r="A241" s="186" t="s">
        <v>474</v>
      </c>
      <c r="B241" s="187"/>
      <c r="C241" s="187"/>
      <c r="D241" s="188"/>
      <c r="E241" s="190">
        <v>-3259332</v>
      </c>
      <c r="F241" s="190">
        <v>-2632923</v>
      </c>
      <c r="G241" s="190">
        <v>-2128204</v>
      </c>
      <c r="H241" s="190">
        <v>-2128204</v>
      </c>
      <c r="I241" s="190"/>
      <c r="J241" s="190"/>
      <c r="K241" s="190"/>
      <c r="L241" s="190"/>
      <c r="M241" s="190"/>
      <c r="N241" s="190"/>
      <c r="O241" s="190"/>
      <c r="P241" s="190"/>
      <c r="Q241" s="190"/>
    </row>
    <row r="242" spans="1:17" hidden="1" x14ac:dyDescent="0.3">
      <c r="A242" s="186" t="s">
        <v>475</v>
      </c>
      <c r="B242" s="187"/>
      <c r="C242" s="187"/>
      <c r="D242" s="188"/>
      <c r="E242" s="190">
        <v>-4671249</v>
      </c>
      <c r="F242" s="190">
        <v>-3207732</v>
      </c>
      <c r="G242" s="190">
        <v>-2560618</v>
      </c>
      <c r="H242" s="190">
        <v>-2312924</v>
      </c>
      <c r="I242" s="190"/>
      <c r="J242" s="190"/>
      <c r="K242" s="190"/>
      <c r="L242" s="190"/>
      <c r="M242" s="190"/>
      <c r="N242" s="190"/>
      <c r="O242" s="190"/>
      <c r="P242" s="190"/>
      <c r="Q242" s="190"/>
    </row>
    <row r="243" spans="1:17" hidden="1" x14ac:dyDescent="0.3">
      <c r="A243" s="187" t="s">
        <v>476</v>
      </c>
      <c r="B243" s="187"/>
      <c r="C243" s="187"/>
      <c r="D243" s="188"/>
      <c r="E243" s="190">
        <v>336578</v>
      </c>
      <c r="F243" s="190">
        <v>336288</v>
      </c>
      <c r="G243" s="190">
        <v>335987</v>
      </c>
      <c r="H243" s="190">
        <v>335987</v>
      </c>
      <c r="I243" s="190"/>
      <c r="J243" s="190"/>
      <c r="K243" s="190"/>
      <c r="L243" s="190"/>
      <c r="M243" s="190"/>
      <c r="N243" s="190"/>
      <c r="O243" s="190"/>
      <c r="P243" s="190"/>
      <c r="Q243" s="190"/>
    </row>
    <row r="244" spans="1:17" hidden="1" x14ac:dyDescent="0.3">
      <c r="A244" s="186" t="s">
        <v>477</v>
      </c>
      <c r="B244" s="187"/>
      <c r="C244" s="187"/>
      <c r="D244" s="188"/>
      <c r="E244" s="190">
        <v>336578</v>
      </c>
      <c r="F244" s="190">
        <v>336288</v>
      </c>
      <c r="G244" s="190">
        <v>335987</v>
      </c>
      <c r="H244" s="190">
        <v>335987</v>
      </c>
      <c r="I244" s="190"/>
      <c r="J244" s="190"/>
      <c r="K244" s="190"/>
      <c r="L244" s="190"/>
      <c r="M244" s="190"/>
      <c r="N244" s="190"/>
      <c r="O244" s="190"/>
      <c r="P244" s="190"/>
      <c r="Q244" s="190"/>
    </row>
    <row r="245" spans="1:17" hidden="1" x14ac:dyDescent="0.3">
      <c r="A245" s="186" t="s">
        <v>478</v>
      </c>
      <c r="B245" s="187"/>
      <c r="C245" s="187"/>
      <c r="D245" s="188"/>
      <c r="E245" s="190">
        <f>+E242-E241</f>
        <v>-1411917</v>
      </c>
      <c r="F245" s="190">
        <f>+F242-F241</f>
        <v>-574809</v>
      </c>
      <c r="G245" s="190">
        <f>+G242-G241</f>
        <v>-432414</v>
      </c>
      <c r="H245" s="190">
        <f>+H242-H241</f>
        <v>-184720</v>
      </c>
      <c r="I245" s="190"/>
      <c r="J245" s="190"/>
      <c r="K245" s="190"/>
      <c r="L245" s="190"/>
      <c r="M245" s="190"/>
      <c r="N245" s="190"/>
      <c r="O245" s="190"/>
      <c r="P245" s="190"/>
      <c r="Q245" s="190"/>
    </row>
    <row r="246" spans="1:17" x14ac:dyDescent="0.3">
      <c r="A246" s="186"/>
      <c r="B246" s="187"/>
      <c r="C246" s="187"/>
      <c r="D246" s="188"/>
      <c r="E246" s="190"/>
      <c r="F246" s="190"/>
      <c r="G246" s="190"/>
      <c r="H246" s="190"/>
      <c r="I246" s="190"/>
      <c r="J246" s="190"/>
      <c r="K246" s="190"/>
      <c r="L246" s="190"/>
      <c r="M246" s="190"/>
      <c r="N246" s="190"/>
      <c r="O246" s="190"/>
      <c r="P246" s="190"/>
      <c r="Q246" s="190"/>
    </row>
    <row r="247" spans="1:17" x14ac:dyDescent="0.3">
      <c r="A247" s="187" t="s">
        <v>479</v>
      </c>
      <c r="B247" s="187"/>
      <c r="C247" s="187"/>
      <c r="D247" s="188"/>
      <c r="E247" s="190">
        <v>-1124662.8475124389</v>
      </c>
      <c r="F247" s="190">
        <v>-1004671.9966211319</v>
      </c>
      <c r="G247" s="190">
        <v>-787445.65152622759</v>
      </c>
      <c r="H247" s="190">
        <v>2077665.1230576932</v>
      </c>
      <c r="I247" s="190"/>
      <c r="J247" s="190"/>
      <c r="K247" s="190"/>
      <c r="L247" s="190"/>
      <c r="M247" s="190"/>
      <c r="N247" s="190"/>
      <c r="O247" s="190"/>
      <c r="P247" s="190"/>
      <c r="Q247" s="190"/>
    </row>
    <row r="248" spans="1:17" x14ac:dyDescent="0.3">
      <c r="A248" s="187" t="s">
        <v>480</v>
      </c>
      <c r="B248" s="187"/>
      <c r="C248" s="187"/>
      <c r="D248" s="188"/>
      <c r="E248" s="190">
        <v>-2385650</v>
      </c>
      <c r="F248" s="190">
        <v>-1334386</v>
      </c>
      <c r="G248" s="190">
        <v>-974679</v>
      </c>
      <c r="H248" s="190">
        <v>2137882</v>
      </c>
      <c r="I248" s="190"/>
      <c r="J248" s="190"/>
      <c r="K248" s="190"/>
      <c r="L248" s="190"/>
      <c r="M248" s="190"/>
      <c r="N248" s="190"/>
      <c r="O248" s="190"/>
      <c r="P248" s="190"/>
      <c r="Q248" s="190"/>
    </row>
    <row r="249" spans="1:17" x14ac:dyDescent="0.3">
      <c r="A249" s="187" t="s">
        <v>481</v>
      </c>
      <c r="B249" s="187"/>
      <c r="C249" s="187"/>
      <c r="D249" s="188"/>
      <c r="E249" s="190">
        <f>+E247-E248</f>
        <v>1260987.1524875611</v>
      </c>
      <c r="F249" s="190">
        <f>+F247-F248</f>
        <v>329714.0033788681</v>
      </c>
      <c r="G249" s="190">
        <f t="shared" ref="G249:H249" si="42">+G247-G248</f>
        <v>187233.34847377241</v>
      </c>
      <c r="H249" s="190">
        <f t="shared" si="42"/>
        <v>-60216.876942306757</v>
      </c>
      <c r="I249" s="190"/>
      <c r="J249" s="190"/>
      <c r="K249" s="190"/>
      <c r="L249" s="190"/>
      <c r="M249" s="190"/>
      <c r="N249" s="190"/>
      <c r="O249" s="190"/>
      <c r="P249" s="190"/>
      <c r="Q249" s="190"/>
    </row>
    <row r="250" spans="1:17" x14ac:dyDescent="0.3">
      <c r="A250" s="187"/>
      <c r="B250" s="187"/>
      <c r="C250" s="187"/>
      <c r="D250" s="188"/>
      <c r="E250" s="190"/>
      <c r="F250" s="190"/>
      <c r="G250" s="190"/>
      <c r="H250" s="190"/>
      <c r="I250" s="190"/>
      <c r="J250" s="190"/>
      <c r="K250" s="190"/>
      <c r="L250" s="190"/>
      <c r="M250" s="190"/>
      <c r="N250" s="190"/>
      <c r="O250" s="190"/>
      <c r="P250" s="190"/>
      <c r="Q250" s="190"/>
    </row>
    <row r="251" spans="1:17" x14ac:dyDescent="0.3">
      <c r="A251" s="187"/>
      <c r="B251" s="187"/>
      <c r="C251" s="187"/>
      <c r="D251" s="188"/>
      <c r="E251" s="190"/>
      <c r="F251" s="190"/>
      <c r="G251" s="190"/>
      <c r="H251" s="190"/>
      <c r="I251" s="190"/>
      <c r="J251" s="190"/>
      <c r="K251" s="190"/>
      <c r="L251" s="190"/>
      <c r="M251" s="190"/>
      <c r="N251" s="190"/>
      <c r="O251" s="190"/>
      <c r="P251" s="190"/>
      <c r="Q251" s="190"/>
    </row>
    <row r="252" spans="1:17" x14ac:dyDescent="0.3">
      <c r="A252" s="186"/>
      <c r="B252" s="187"/>
      <c r="C252" s="187"/>
      <c r="D252" s="188"/>
      <c r="E252" s="190"/>
      <c r="F252" s="190"/>
      <c r="G252" s="190"/>
      <c r="H252" s="190"/>
      <c r="I252" s="190"/>
      <c r="J252" s="190"/>
      <c r="K252" s="190"/>
      <c r="L252" s="190"/>
      <c r="M252" s="190"/>
      <c r="N252" s="190"/>
      <c r="O252" s="190"/>
      <c r="P252" s="190"/>
      <c r="Q252" s="190"/>
    </row>
    <row r="253" spans="1:17" x14ac:dyDescent="0.3">
      <c r="A253" s="187" t="s">
        <v>482</v>
      </c>
      <c r="B253" s="187"/>
      <c r="C253" s="187"/>
      <c r="D253" s="188"/>
      <c r="E253" s="190">
        <v>-2387231</v>
      </c>
      <c r="F253" s="190">
        <v>-1334368</v>
      </c>
      <c r="G253" s="190">
        <v>-974679</v>
      </c>
      <c r="H253" s="190">
        <v>2137882</v>
      </c>
      <c r="I253" s="190"/>
      <c r="J253" s="190"/>
      <c r="K253" s="190"/>
      <c r="L253" s="190"/>
      <c r="M253" s="190"/>
      <c r="N253" s="190"/>
      <c r="O253" s="190"/>
      <c r="P253" s="190"/>
      <c r="Q253" s="190"/>
    </row>
    <row r="254" spans="1:17" x14ac:dyDescent="0.3">
      <c r="A254" s="187" t="s">
        <v>483</v>
      </c>
      <c r="B254" s="187"/>
      <c r="C254" s="187"/>
      <c r="D254" s="188"/>
      <c r="E254" s="190">
        <v>-2749094</v>
      </c>
      <c r="F254" s="190">
        <v>-1696271</v>
      </c>
      <c r="G254" s="190">
        <v>-1336621</v>
      </c>
      <c r="H254" s="190">
        <v>1775900</v>
      </c>
      <c r="I254" s="190"/>
      <c r="J254" s="190"/>
      <c r="K254" s="190"/>
      <c r="L254" s="190"/>
      <c r="M254" s="190"/>
      <c r="N254" s="190"/>
      <c r="O254" s="190"/>
      <c r="P254" s="190"/>
      <c r="Q254" s="190"/>
    </row>
    <row r="255" spans="1:17" x14ac:dyDescent="0.3">
      <c r="A255" s="187" t="s">
        <v>484</v>
      </c>
      <c r="B255" s="187"/>
      <c r="C255" s="187"/>
      <c r="D255" s="188"/>
      <c r="E255" s="190">
        <f>+E253-E254</f>
        <v>361863</v>
      </c>
      <c r="F255" s="190">
        <f t="shared" ref="F255:H255" si="43">+F253-F254</f>
        <v>361903</v>
      </c>
      <c r="G255" s="190">
        <f t="shared" si="43"/>
        <v>361942</v>
      </c>
      <c r="H255" s="190">
        <f t="shared" si="43"/>
        <v>361982</v>
      </c>
      <c r="I255" s="190"/>
      <c r="J255" s="190"/>
      <c r="K255" s="190"/>
      <c r="L255" s="190"/>
      <c r="M255" s="190"/>
      <c r="N255" s="190"/>
      <c r="O255" s="190"/>
      <c r="P255" s="190"/>
      <c r="Q255" s="190"/>
    </row>
    <row r="256" spans="1:17" x14ac:dyDescent="0.3">
      <c r="A256" s="186"/>
      <c r="B256" s="187"/>
      <c r="C256" s="187"/>
      <c r="D256" s="188"/>
      <c r="E256" s="190"/>
      <c r="F256" s="190"/>
      <c r="G256" s="190"/>
      <c r="H256" s="190"/>
      <c r="I256" s="190"/>
      <c r="J256" s="190"/>
      <c r="K256" s="190"/>
      <c r="L256" s="190"/>
      <c r="M256" s="190"/>
      <c r="N256" s="190"/>
      <c r="O256" s="190"/>
      <c r="P256" s="190"/>
      <c r="Q256" s="190"/>
    </row>
    <row r="257" spans="1:21" x14ac:dyDescent="0.3">
      <c r="A257" s="187" t="s">
        <v>485</v>
      </c>
      <c r="B257" s="187"/>
      <c r="C257" s="187"/>
      <c r="D257" s="188"/>
      <c r="E257" s="190">
        <v>-2749094</v>
      </c>
      <c r="F257" s="190">
        <v>-1696271</v>
      </c>
      <c r="G257" s="190">
        <v>-1336621</v>
      </c>
      <c r="H257" s="190">
        <v>1775900</v>
      </c>
      <c r="I257" s="190"/>
      <c r="J257" s="190"/>
      <c r="K257" s="190"/>
      <c r="L257" s="190"/>
      <c r="M257" s="190"/>
      <c r="N257" s="190"/>
      <c r="O257" s="190"/>
      <c r="P257" s="190"/>
      <c r="Q257" s="190"/>
    </row>
    <row r="258" spans="1:21" x14ac:dyDescent="0.3">
      <c r="A258" s="187" t="s">
        <v>486</v>
      </c>
      <c r="B258" s="187"/>
      <c r="C258" s="187"/>
      <c r="D258" s="188"/>
      <c r="E258" s="190">
        <v>-2679166</v>
      </c>
      <c r="F258" s="190">
        <v>-1587790</v>
      </c>
      <c r="G258" s="190">
        <v>-1203197</v>
      </c>
      <c r="H258" s="190">
        <v>1968000</v>
      </c>
      <c r="I258" s="190"/>
      <c r="J258" s="190"/>
      <c r="K258" s="190"/>
      <c r="L258" s="190"/>
      <c r="M258" s="190"/>
      <c r="N258" s="190"/>
      <c r="O258" s="190"/>
      <c r="P258" s="190"/>
      <c r="Q258" s="190"/>
    </row>
    <row r="259" spans="1:21" x14ac:dyDescent="0.3">
      <c r="A259" s="187" t="s">
        <v>141</v>
      </c>
      <c r="B259" s="187"/>
      <c r="C259" s="187"/>
      <c r="D259" s="188"/>
      <c r="E259" s="190">
        <f>+E257-E258</f>
        <v>-69928</v>
      </c>
      <c r="F259" s="190">
        <f t="shared" ref="F259:H259" si="44">+F257-F258</f>
        <v>-108481</v>
      </c>
      <c r="G259" s="190">
        <f t="shared" si="44"/>
        <v>-133424</v>
      </c>
      <c r="H259" s="190">
        <f t="shared" si="44"/>
        <v>-192100</v>
      </c>
      <c r="I259" s="190"/>
      <c r="J259" s="190"/>
      <c r="K259" s="190"/>
      <c r="L259" s="190"/>
      <c r="M259" s="190"/>
      <c r="N259" s="190"/>
      <c r="O259" s="190"/>
      <c r="P259" s="190"/>
      <c r="Q259" s="190"/>
    </row>
    <row r="260" spans="1:21" x14ac:dyDescent="0.3">
      <c r="A260" s="186"/>
      <c r="B260" s="187"/>
      <c r="C260" s="187"/>
      <c r="D260" s="188"/>
      <c r="E260" s="190"/>
      <c r="F260" s="190"/>
      <c r="G260" s="190"/>
      <c r="H260" s="190"/>
      <c r="I260" s="190"/>
      <c r="J260" s="190"/>
      <c r="K260" s="190"/>
      <c r="L260" s="190"/>
      <c r="M260" s="190"/>
      <c r="N260" s="190"/>
      <c r="O260" s="190"/>
      <c r="P260" s="190"/>
      <c r="Q260" s="190"/>
    </row>
    <row r="261" spans="1:21" x14ac:dyDescent="0.3">
      <c r="A261" s="187" t="s">
        <v>487</v>
      </c>
      <c r="B261" s="187"/>
      <c r="C261" s="187"/>
      <c r="D261" s="188"/>
      <c r="E261" s="190">
        <v>-2679166</v>
      </c>
      <c r="F261" s="190">
        <v>-1587790</v>
      </c>
      <c r="G261" s="190">
        <v>-1203197</v>
      </c>
      <c r="H261" s="190">
        <v>1968000</v>
      </c>
      <c r="I261" s="190"/>
      <c r="J261" s="190"/>
      <c r="K261" s="190"/>
      <c r="L261" s="190"/>
      <c r="M261" s="190"/>
      <c r="N261" s="190"/>
      <c r="O261" s="190"/>
      <c r="P261" s="190"/>
      <c r="Q261" s="190"/>
    </row>
    <row r="262" spans="1:21" x14ac:dyDescent="0.3">
      <c r="A262" s="187" t="s">
        <v>488</v>
      </c>
      <c r="B262" s="187"/>
      <c r="C262" s="187"/>
      <c r="D262" s="188"/>
      <c r="E262" s="190">
        <v>-2674791</v>
      </c>
      <c r="F262" s="190">
        <v>-1583228</v>
      </c>
      <c r="G262" s="190">
        <v>-1198444</v>
      </c>
      <c r="H262" s="190">
        <v>1973684</v>
      </c>
      <c r="I262" s="190"/>
      <c r="J262" s="190"/>
      <c r="K262" s="190"/>
      <c r="L262" s="190"/>
      <c r="M262" s="190"/>
      <c r="N262" s="190"/>
      <c r="O262" s="190"/>
      <c r="P262" s="190"/>
      <c r="Q262" s="190"/>
    </row>
    <row r="263" spans="1:21" x14ac:dyDescent="0.3">
      <c r="A263" s="187" t="s">
        <v>141</v>
      </c>
      <c r="B263" s="187"/>
      <c r="C263" s="187"/>
      <c r="D263" s="188"/>
      <c r="E263" s="190">
        <f>+E261-E262</f>
        <v>-4375</v>
      </c>
      <c r="F263" s="190">
        <f t="shared" ref="F263:H263" si="45">+F261-F262</f>
        <v>-4562</v>
      </c>
      <c r="G263" s="190">
        <f t="shared" si="45"/>
        <v>-4753</v>
      </c>
      <c r="H263" s="190">
        <f t="shared" si="45"/>
        <v>-5684</v>
      </c>
      <c r="I263" s="190"/>
      <c r="J263" s="190"/>
      <c r="K263" s="190"/>
      <c r="L263" s="190"/>
      <c r="M263" s="190"/>
      <c r="N263" s="190"/>
      <c r="O263" s="190"/>
      <c r="P263" s="190"/>
      <c r="Q263" s="190"/>
    </row>
    <row r="264" spans="1:21" x14ac:dyDescent="0.3">
      <c r="A264" s="186"/>
      <c r="B264" s="187"/>
      <c r="C264" s="187"/>
      <c r="D264" s="188"/>
      <c r="E264" s="190"/>
      <c r="F264" s="190"/>
      <c r="G264" s="190"/>
      <c r="H264" s="190"/>
      <c r="I264" s="190"/>
      <c r="J264" s="190"/>
      <c r="K264" s="190"/>
      <c r="L264" s="190"/>
      <c r="M264" s="190"/>
      <c r="N264" s="190"/>
      <c r="O264" s="190"/>
      <c r="P264" s="190"/>
      <c r="Q264" s="190"/>
    </row>
    <row r="265" spans="1:21" x14ac:dyDescent="0.3">
      <c r="A265" s="186"/>
      <c r="B265" s="187"/>
      <c r="C265" s="187"/>
      <c r="D265" s="188"/>
      <c r="E265" s="190"/>
      <c r="F265" s="190"/>
      <c r="G265" s="190"/>
      <c r="H265" s="190"/>
      <c r="I265" s="190"/>
      <c r="J265" s="190"/>
      <c r="K265" s="190"/>
      <c r="L265" s="190"/>
      <c r="M265" s="190"/>
      <c r="N265" s="190"/>
      <c r="O265" s="190"/>
      <c r="P265" s="190"/>
      <c r="Q265" s="190"/>
    </row>
    <row r="266" spans="1:21" x14ac:dyDescent="0.3">
      <c r="A266" s="186" t="s">
        <v>489</v>
      </c>
      <c r="B266" s="187"/>
      <c r="C266" s="187"/>
      <c r="D266" s="188"/>
      <c r="E266" s="190">
        <v>-2674791</v>
      </c>
      <c r="F266" s="190">
        <v>-1583228</v>
      </c>
      <c r="G266" s="190">
        <v>-1198444</v>
      </c>
      <c r="H266" s="190">
        <v>1973684</v>
      </c>
      <c r="I266" s="190"/>
      <c r="J266" s="190"/>
      <c r="K266" s="190"/>
      <c r="L266" s="190"/>
      <c r="M266" s="190"/>
      <c r="N266" s="190"/>
      <c r="O266" s="190"/>
      <c r="P266" s="190"/>
      <c r="Q266" s="190"/>
    </row>
    <row r="267" spans="1:21" x14ac:dyDescent="0.3">
      <c r="A267" s="186" t="s">
        <v>490</v>
      </c>
      <c r="B267" s="187"/>
      <c r="C267" s="187"/>
      <c r="D267" s="188"/>
      <c r="E267" s="190">
        <v>336925</v>
      </c>
      <c r="F267" s="190">
        <v>1268985</v>
      </c>
      <c r="G267" s="190">
        <v>228831</v>
      </c>
      <c r="H267" s="190">
        <v>3437454</v>
      </c>
      <c r="I267" s="190"/>
      <c r="J267" s="190"/>
      <c r="K267" s="190"/>
      <c r="L267" s="190"/>
      <c r="M267" s="190"/>
      <c r="N267" s="190"/>
      <c r="O267" s="190"/>
      <c r="P267" s="190"/>
      <c r="Q267" s="190"/>
    </row>
    <row r="268" spans="1:21" x14ac:dyDescent="0.3">
      <c r="A268" s="186" t="s">
        <v>141</v>
      </c>
      <c r="B268" s="187"/>
      <c r="C268" s="187"/>
      <c r="D268" s="188"/>
      <c r="E268" s="190">
        <f>+E266-E267</f>
        <v>-3011716</v>
      </c>
      <c r="F268" s="190">
        <f>+F266-F267</f>
        <v>-2852213</v>
      </c>
      <c r="G268" s="190">
        <f>+G266-G267</f>
        <v>-1427275</v>
      </c>
      <c r="H268" s="190">
        <f>+H266-H267</f>
        <v>-1463770</v>
      </c>
      <c r="I268" s="190"/>
      <c r="J268" s="190"/>
      <c r="K268" s="190"/>
      <c r="L268" s="190"/>
      <c r="M268" s="190"/>
      <c r="N268" s="190"/>
      <c r="O268" s="190"/>
      <c r="P268" s="190"/>
      <c r="Q268" s="190"/>
    </row>
    <row r="269" spans="1:21" x14ac:dyDescent="0.3">
      <c r="A269" s="186"/>
      <c r="B269" s="187"/>
      <c r="C269" s="187"/>
      <c r="D269" s="188"/>
      <c r="E269" s="190"/>
      <c r="F269" s="190"/>
      <c r="G269" s="190"/>
      <c r="H269" s="190"/>
      <c r="I269" s="190"/>
      <c r="J269" s="190"/>
      <c r="K269" s="190"/>
      <c r="L269" s="190"/>
      <c r="M269" s="190"/>
      <c r="N269" s="190"/>
      <c r="O269" s="190"/>
      <c r="P269" s="190"/>
      <c r="Q269" s="190"/>
    </row>
    <row r="270" spans="1:21" x14ac:dyDescent="0.3">
      <c r="A270" s="187" t="s">
        <v>491</v>
      </c>
      <c r="B270" s="187"/>
      <c r="C270" s="187"/>
      <c r="D270" s="188"/>
      <c r="E270" s="190">
        <v>336925</v>
      </c>
      <c r="F270" s="190">
        <v>1268985</v>
      </c>
      <c r="G270" s="190">
        <v>228831</v>
      </c>
      <c r="H270" s="190">
        <v>3437454</v>
      </c>
      <c r="I270" s="190"/>
      <c r="J270" s="190"/>
      <c r="K270" s="190"/>
      <c r="L270" s="190"/>
      <c r="M270" s="190"/>
      <c r="N270" s="190"/>
      <c r="O270" s="190"/>
      <c r="P270" s="190"/>
      <c r="Q270" s="190"/>
      <c r="R270" s="260" t="s">
        <v>492</v>
      </c>
      <c r="S270" s="261"/>
      <c r="T270" s="261"/>
      <c r="U270" s="262"/>
    </row>
    <row r="271" spans="1:21" x14ac:dyDescent="0.3">
      <c r="A271" s="187" t="s">
        <v>493</v>
      </c>
      <c r="B271" s="187"/>
      <c r="C271" s="187"/>
      <c r="D271" s="188"/>
      <c r="E271" s="190">
        <v>486924</v>
      </c>
      <c r="F271" s="190">
        <v>1479319</v>
      </c>
      <c r="G271" s="190">
        <v>451165</v>
      </c>
      <c r="H271" s="190">
        <v>2654788</v>
      </c>
      <c r="I271" s="190"/>
      <c r="J271" s="190"/>
      <c r="K271" s="190"/>
      <c r="L271" s="190"/>
      <c r="M271" s="190"/>
      <c r="N271" s="190"/>
      <c r="O271" s="190"/>
      <c r="P271" s="190"/>
      <c r="Q271" s="190"/>
      <c r="R271" s="261" t="s">
        <v>494</v>
      </c>
      <c r="S271" s="261"/>
      <c r="T271" s="261"/>
      <c r="U271" s="262">
        <v>-90000</v>
      </c>
    </row>
    <row r="272" spans="1:21" x14ac:dyDescent="0.3">
      <c r="A272" s="186" t="s">
        <v>495</v>
      </c>
      <c r="B272" s="187"/>
      <c r="C272" s="187"/>
      <c r="D272" s="188"/>
      <c r="E272" s="190">
        <f>+E270-E271</f>
        <v>-149999</v>
      </c>
      <c r="F272" s="190">
        <f>+F270-F271</f>
        <v>-210334</v>
      </c>
      <c r="G272" s="190">
        <f>+G270-G271</f>
        <v>-222334</v>
      </c>
      <c r="H272" s="190">
        <f>+H270-H271</f>
        <v>782666</v>
      </c>
      <c r="I272" s="190"/>
      <c r="J272" s="190"/>
      <c r="K272" s="190"/>
      <c r="L272" s="190"/>
      <c r="M272" s="190"/>
      <c r="N272" s="190"/>
      <c r="O272" s="190"/>
      <c r="P272" s="190"/>
      <c r="Q272" s="190"/>
      <c r="R272" s="261" t="s">
        <v>496</v>
      </c>
      <c r="S272" s="261"/>
      <c r="T272" s="261"/>
      <c r="U272" s="262">
        <v>-60000</v>
      </c>
    </row>
    <row r="273" spans="1:21" x14ac:dyDescent="0.3">
      <c r="A273" s="186"/>
      <c r="B273" s="187"/>
      <c r="C273" s="187"/>
      <c r="D273" s="188"/>
      <c r="E273" s="190"/>
      <c r="F273" s="190"/>
      <c r="G273" s="190"/>
      <c r="H273" s="190"/>
      <c r="I273" s="190"/>
      <c r="J273" s="190"/>
      <c r="K273" s="190"/>
      <c r="L273" s="190"/>
      <c r="M273" s="190"/>
      <c r="N273" s="190"/>
      <c r="O273" s="190"/>
      <c r="P273" s="190"/>
      <c r="Q273" s="190"/>
      <c r="R273" s="261"/>
      <c r="S273" s="261"/>
      <c r="T273" s="261"/>
      <c r="U273" s="262">
        <f>SUM(U271:U272)</f>
        <v>-150000</v>
      </c>
    </row>
    <row r="274" spans="1:21" x14ac:dyDescent="0.3">
      <c r="A274" s="187" t="s">
        <v>497</v>
      </c>
      <c r="B274" s="187"/>
      <c r="C274" s="187"/>
      <c r="D274" s="188"/>
      <c r="E274" s="190">
        <v>486924</v>
      </c>
      <c r="F274" s="190">
        <v>1479319</v>
      </c>
      <c r="G274" s="190">
        <v>451165</v>
      </c>
      <c r="H274" s="190">
        <v>2654788</v>
      </c>
      <c r="I274" s="190"/>
      <c r="J274" s="190"/>
      <c r="K274" s="190"/>
      <c r="L274" s="190"/>
      <c r="M274" s="190"/>
      <c r="N274" s="190"/>
      <c r="O274" s="190"/>
      <c r="P274" s="190"/>
      <c r="Q274" s="190"/>
    </row>
    <row r="275" spans="1:21" x14ac:dyDescent="0.3">
      <c r="A275" s="187" t="s">
        <v>498</v>
      </c>
      <c r="B275" s="187"/>
      <c r="C275" s="187"/>
      <c r="D275" s="188"/>
      <c r="E275" s="190"/>
      <c r="F275" s="190"/>
      <c r="G275" s="190"/>
      <c r="H275" s="190"/>
      <c r="I275" s="190"/>
      <c r="J275" s="190"/>
      <c r="K275" s="190"/>
      <c r="L275" s="190"/>
      <c r="M275" s="190"/>
      <c r="N275" s="190"/>
      <c r="O275" s="190"/>
      <c r="P275" s="190"/>
      <c r="Q275" s="190"/>
    </row>
    <row r="276" spans="1:21" x14ac:dyDescent="0.3">
      <c r="A276" s="186" t="s">
        <v>141</v>
      </c>
      <c r="B276" s="187"/>
      <c r="C276" s="187"/>
      <c r="D276" s="188"/>
      <c r="E276" s="190"/>
      <c r="F276" s="190"/>
      <c r="G276" s="190"/>
      <c r="H276" s="190"/>
      <c r="I276" s="190"/>
      <c r="J276" s="190"/>
      <c r="K276" s="190"/>
      <c r="L276" s="190"/>
      <c r="M276" s="190"/>
      <c r="N276" s="190"/>
      <c r="O276" s="190"/>
      <c r="P276" s="190"/>
      <c r="Q276" s="190"/>
    </row>
    <row r="277" spans="1:21" x14ac:dyDescent="0.3">
      <c r="A277" s="186"/>
      <c r="B277" s="187"/>
      <c r="C277" s="187"/>
      <c r="D277" s="188"/>
      <c r="E277" s="190"/>
      <c r="F277" s="190"/>
      <c r="G277" s="190"/>
      <c r="H277" s="190"/>
      <c r="I277" s="190"/>
      <c r="J277" s="190"/>
      <c r="K277" s="190"/>
      <c r="L277" s="190"/>
      <c r="M277" s="190"/>
      <c r="N277" s="190"/>
      <c r="O277" s="190"/>
      <c r="P277" s="190"/>
      <c r="Q277" s="190"/>
    </row>
    <row r="278" spans="1:21" x14ac:dyDescent="0.3">
      <c r="A278" s="187" t="s">
        <v>499</v>
      </c>
      <c r="B278" s="187"/>
      <c r="C278" s="187"/>
      <c r="D278" s="188"/>
      <c r="E278" s="190">
        <v>486924</v>
      </c>
      <c r="F278" s="190">
        <v>1479319</v>
      </c>
      <c r="G278" s="190">
        <v>451165</v>
      </c>
      <c r="H278" s="190">
        <v>2654788</v>
      </c>
      <c r="I278" s="190"/>
      <c r="J278" s="190"/>
      <c r="K278" s="190"/>
      <c r="L278" s="190"/>
      <c r="M278" s="190"/>
      <c r="N278" s="190"/>
      <c r="O278" s="190"/>
      <c r="P278" s="190"/>
      <c r="Q278" s="190"/>
    </row>
    <row r="279" spans="1:21" x14ac:dyDescent="0.3">
      <c r="A279" s="187" t="s">
        <v>500</v>
      </c>
      <c r="B279" s="187"/>
      <c r="C279" s="187"/>
      <c r="D279" s="188"/>
      <c r="E279" s="190"/>
      <c r="F279" s="190"/>
      <c r="G279" s="190"/>
      <c r="H279" s="190"/>
      <c r="I279" s="190"/>
      <c r="J279" s="190"/>
      <c r="K279" s="190"/>
      <c r="L279" s="190"/>
      <c r="M279" s="190"/>
      <c r="N279" s="190"/>
      <c r="O279" s="190"/>
      <c r="P279" s="190"/>
      <c r="Q279" s="190"/>
    </row>
    <row r="280" spans="1:21" x14ac:dyDescent="0.3">
      <c r="A280" s="186" t="s">
        <v>141</v>
      </c>
      <c r="B280" s="187"/>
      <c r="C280" s="187"/>
      <c r="D280" s="188"/>
      <c r="E280" s="190"/>
      <c r="F280" s="190"/>
      <c r="G280" s="190"/>
      <c r="H280" s="190"/>
      <c r="I280" s="190"/>
      <c r="J280" s="190"/>
      <c r="K280" s="190"/>
      <c r="L280" s="190"/>
      <c r="M280" s="190"/>
      <c r="N280" s="190"/>
      <c r="O280" s="190"/>
      <c r="P280" s="190"/>
      <c r="Q280" s="190"/>
    </row>
    <row r="281" spans="1:21" x14ac:dyDescent="0.3">
      <c r="A281" s="186"/>
      <c r="B281" s="187"/>
      <c r="C281" s="187"/>
      <c r="D281" s="188"/>
      <c r="E281" s="190"/>
      <c r="F281" s="190"/>
      <c r="G281" s="190"/>
      <c r="H281" s="190"/>
      <c r="I281" s="190"/>
      <c r="J281" s="190"/>
      <c r="K281" s="190"/>
      <c r="L281" s="190"/>
      <c r="M281" s="190"/>
      <c r="N281" s="190"/>
      <c r="O281" s="190"/>
      <c r="P281" s="190"/>
      <c r="Q281" s="190"/>
    </row>
    <row r="282" spans="1:21" x14ac:dyDescent="0.3">
      <c r="A282" s="187" t="s">
        <v>501</v>
      </c>
      <c r="B282" s="187"/>
      <c r="C282" s="187"/>
      <c r="D282" s="188"/>
      <c r="E282" s="190">
        <v>486924</v>
      </c>
      <c r="F282" s="190">
        <v>1479319</v>
      </c>
      <c r="G282" s="190">
        <v>451165</v>
      </c>
      <c r="H282" s="190">
        <v>2654788</v>
      </c>
      <c r="I282" s="190"/>
      <c r="J282" s="190"/>
      <c r="K282" s="190"/>
      <c r="L282" s="190"/>
      <c r="M282" s="190"/>
      <c r="N282" s="190"/>
      <c r="O282" s="190"/>
      <c r="P282" s="190"/>
      <c r="Q282" s="190"/>
    </row>
    <row r="283" spans="1:21" x14ac:dyDescent="0.3">
      <c r="A283" s="187" t="s">
        <v>502</v>
      </c>
      <c r="B283" s="187"/>
      <c r="C283" s="187"/>
      <c r="D283" s="188"/>
      <c r="E283" s="190"/>
      <c r="F283" s="190"/>
      <c r="G283" s="190"/>
      <c r="H283" s="190"/>
      <c r="I283" s="190"/>
      <c r="J283" s="190"/>
      <c r="K283" s="190"/>
      <c r="L283" s="190"/>
      <c r="M283" s="190"/>
      <c r="N283" s="190"/>
      <c r="O283" s="190"/>
      <c r="P283" s="190"/>
      <c r="Q283" s="190"/>
    </row>
    <row r="284" spans="1:21" x14ac:dyDescent="0.3">
      <c r="A284" s="186" t="s">
        <v>141</v>
      </c>
      <c r="B284" s="187"/>
      <c r="C284" s="187"/>
      <c r="D284" s="188"/>
      <c r="E284" s="190"/>
      <c r="F284" s="190"/>
      <c r="G284" s="190"/>
      <c r="H284" s="190"/>
      <c r="I284" s="190"/>
      <c r="J284" s="190"/>
      <c r="K284" s="190"/>
      <c r="L284" s="190"/>
      <c r="M284" s="190"/>
      <c r="N284" s="190"/>
      <c r="O284" s="190"/>
      <c r="P284" s="190"/>
      <c r="Q284" s="190"/>
    </row>
    <row r="285" spans="1:21" x14ac:dyDescent="0.3">
      <c r="A285" s="186"/>
      <c r="B285" s="187"/>
      <c r="C285" s="187"/>
      <c r="D285" s="188"/>
      <c r="E285" s="190"/>
      <c r="F285" s="190"/>
      <c r="G285" s="190"/>
      <c r="H285" s="190"/>
      <c r="I285" s="190"/>
      <c r="J285" s="190"/>
      <c r="K285" s="190"/>
      <c r="L285" s="190"/>
      <c r="M285" s="190"/>
      <c r="N285" s="190"/>
      <c r="O285" s="190"/>
      <c r="P285" s="190"/>
      <c r="Q285" s="190"/>
    </row>
    <row r="286" spans="1:21" x14ac:dyDescent="0.3">
      <c r="A286" s="186"/>
      <c r="B286" s="187"/>
      <c r="C286" s="187"/>
      <c r="D286" s="188"/>
      <c r="E286" s="190"/>
      <c r="F286" s="190"/>
      <c r="G286" s="190"/>
      <c r="H286" s="190"/>
      <c r="I286" s="190"/>
      <c r="J286" s="190"/>
      <c r="K286" s="190"/>
      <c r="L286" s="190"/>
      <c r="M286" s="190"/>
      <c r="N286" s="190"/>
      <c r="O286" s="190"/>
      <c r="P286" s="190"/>
      <c r="Q286" s="190"/>
    </row>
    <row r="287" spans="1:21" x14ac:dyDescent="0.3">
      <c r="A287" s="186"/>
      <c r="B287" s="187"/>
      <c r="C287" s="187"/>
      <c r="D287" s="188"/>
      <c r="E287" s="190"/>
      <c r="F287" s="190"/>
      <c r="G287" s="190"/>
      <c r="H287" s="190"/>
      <c r="I287" s="190"/>
      <c r="J287" s="190"/>
      <c r="K287" s="190"/>
      <c r="L287" s="190"/>
      <c r="M287" s="190"/>
      <c r="N287" s="190"/>
      <c r="O287" s="190"/>
      <c r="P287" s="190"/>
      <c r="Q287" s="190"/>
    </row>
    <row r="288" spans="1:21" x14ac:dyDescent="0.3">
      <c r="A288" s="186"/>
      <c r="B288" s="187"/>
      <c r="C288" s="187"/>
      <c r="D288" s="188"/>
      <c r="E288" s="190"/>
      <c r="F288" s="190"/>
      <c r="G288" s="190"/>
      <c r="H288" s="190"/>
      <c r="I288" s="190"/>
      <c r="J288" s="190"/>
      <c r="K288" s="190"/>
      <c r="L288" s="190"/>
      <c r="M288" s="190"/>
      <c r="N288" s="190"/>
      <c r="O288" s="190"/>
      <c r="P288" s="190"/>
      <c r="Q288" s="190"/>
    </row>
    <row r="289" spans="1:17" x14ac:dyDescent="0.3">
      <c r="A289" s="186"/>
      <c r="B289" s="187"/>
      <c r="C289" s="187"/>
      <c r="D289" s="188"/>
      <c r="E289" s="190"/>
      <c r="F289" s="190"/>
      <c r="G289" s="190"/>
      <c r="H289" s="190"/>
      <c r="I289" s="190"/>
      <c r="J289" s="190"/>
      <c r="K289" s="190"/>
      <c r="L289" s="190"/>
      <c r="M289" s="190"/>
      <c r="N289" s="190"/>
      <c r="O289" s="190"/>
      <c r="P289" s="190"/>
      <c r="Q289" s="190"/>
    </row>
    <row r="290" spans="1:17" x14ac:dyDescent="0.3">
      <c r="A290" s="186" t="s">
        <v>503</v>
      </c>
      <c r="B290" s="187"/>
      <c r="C290" s="187"/>
      <c r="D290" s="188"/>
      <c r="E290" s="190"/>
      <c r="F290" s="190"/>
      <c r="G290" s="190"/>
      <c r="H290" s="190"/>
      <c r="I290" s="190"/>
      <c r="J290" s="190"/>
      <c r="K290" s="190"/>
      <c r="L290" s="190"/>
      <c r="M290" s="190"/>
      <c r="N290" s="190"/>
      <c r="O290" s="190"/>
      <c r="P290" s="190"/>
      <c r="Q290" s="190"/>
    </row>
    <row r="291" spans="1:17" x14ac:dyDescent="0.3">
      <c r="A291" s="186"/>
      <c r="B291" s="187"/>
      <c r="C291" s="187"/>
      <c r="D291" s="188"/>
      <c r="E291" s="190"/>
      <c r="F291" s="190"/>
      <c r="G291" s="190"/>
      <c r="H291" s="190"/>
      <c r="I291" s="190"/>
      <c r="J291" s="190"/>
      <c r="K291" s="190"/>
      <c r="L291" s="190"/>
      <c r="M291" s="190"/>
      <c r="N291" s="190"/>
      <c r="O291" s="190"/>
      <c r="P291" s="190"/>
      <c r="Q291" s="190"/>
    </row>
    <row r="292" spans="1:17" x14ac:dyDescent="0.3">
      <c r="A292" s="186"/>
      <c r="B292" s="187"/>
      <c r="C292" s="187"/>
      <c r="D292" s="188"/>
      <c r="E292" s="190"/>
      <c r="F292" s="190"/>
      <c r="G292" s="190"/>
      <c r="H292" s="190"/>
      <c r="I292" s="190"/>
      <c r="J292" s="190"/>
      <c r="K292" s="190"/>
      <c r="L292" s="190"/>
      <c r="M292" s="190"/>
      <c r="N292" s="190"/>
      <c r="O292" s="190"/>
      <c r="P292" s="190"/>
      <c r="Q292" s="190"/>
    </row>
    <row r="293" spans="1:17" x14ac:dyDescent="0.3">
      <c r="A293" s="186"/>
      <c r="B293" s="187"/>
      <c r="C293" s="187"/>
      <c r="D293" s="188"/>
      <c r="E293" s="190"/>
      <c r="F293" s="190"/>
      <c r="G293" s="190"/>
      <c r="H293" s="190"/>
      <c r="I293" s="190"/>
      <c r="J293" s="190"/>
      <c r="K293" s="190"/>
      <c r="L293" s="190"/>
      <c r="M293" s="190"/>
      <c r="N293" s="190"/>
      <c r="O293" s="190"/>
      <c r="P293" s="190"/>
      <c r="Q293" s="190"/>
    </row>
    <row r="294" spans="1:17" x14ac:dyDescent="0.3">
      <c r="A294" s="186"/>
      <c r="B294" s="187"/>
      <c r="C294" s="187"/>
      <c r="D294" s="188"/>
      <c r="E294" s="190"/>
      <c r="F294" s="190"/>
      <c r="G294" s="190"/>
      <c r="H294" s="190"/>
      <c r="I294" s="190"/>
      <c r="J294" s="190"/>
      <c r="K294" s="190"/>
      <c r="L294" s="190"/>
      <c r="M294" s="190"/>
      <c r="N294" s="190"/>
      <c r="O294" s="190"/>
      <c r="P294" s="190"/>
      <c r="Q294" s="190"/>
    </row>
    <row r="295" spans="1:17" x14ac:dyDescent="0.3">
      <c r="A295" s="186"/>
      <c r="B295" s="187"/>
      <c r="C295" s="187"/>
      <c r="D295" s="188"/>
      <c r="E295" s="190"/>
      <c r="F295" s="190"/>
      <c r="G295" s="190"/>
      <c r="H295" s="190"/>
      <c r="I295" s="190"/>
      <c r="J295" s="190"/>
      <c r="K295" s="190"/>
      <c r="L295" s="190"/>
      <c r="M295" s="190"/>
      <c r="N295" s="190"/>
      <c r="O295" s="190"/>
      <c r="P295" s="190"/>
      <c r="Q295" s="190"/>
    </row>
    <row r="296" spans="1:17" x14ac:dyDescent="0.3">
      <c r="A296" s="186"/>
      <c r="B296" s="187"/>
      <c r="C296" s="187"/>
      <c r="D296" s="188"/>
      <c r="E296" s="190"/>
      <c r="F296" s="190"/>
      <c r="G296" s="190"/>
      <c r="H296" s="190"/>
      <c r="I296" s="190"/>
      <c r="J296" s="190"/>
      <c r="K296" s="190"/>
      <c r="L296" s="190"/>
      <c r="M296" s="190"/>
      <c r="N296" s="190"/>
      <c r="O296" s="190"/>
      <c r="P296" s="190"/>
      <c r="Q296" s="190"/>
    </row>
    <row r="297" spans="1:17" x14ac:dyDescent="0.3">
      <c r="A297" s="186"/>
      <c r="B297" s="187"/>
      <c r="C297" s="187"/>
      <c r="D297" s="188"/>
      <c r="E297" s="190"/>
      <c r="F297" s="190"/>
      <c r="G297" s="190"/>
      <c r="H297" s="190"/>
      <c r="I297" s="190"/>
      <c r="J297" s="190"/>
      <c r="K297" s="190"/>
      <c r="L297" s="190"/>
      <c r="M297" s="190"/>
      <c r="N297" s="190"/>
      <c r="O297" s="190"/>
      <c r="P297" s="190"/>
      <c r="Q297" s="190"/>
    </row>
    <row r="298" spans="1:17" x14ac:dyDescent="0.3">
      <c r="A298" s="186"/>
      <c r="B298" s="187"/>
      <c r="C298" s="187"/>
      <c r="D298" s="188"/>
      <c r="E298" s="190"/>
      <c r="F298" s="190"/>
      <c r="G298" s="190"/>
      <c r="H298" s="190"/>
      <c r="I298" s="190"/>
      <c r="J298" s="190"/>
      <c r="K298" s="190"/>
      <c r="L298" s="190"/>
      <c r="M298" s="190"/>
      <c r="N298" s="190"/>
      <c r="O298" s="190"/>
      <c r="P298" s="190"/>
      <c r="Q298" s="190"/>
    </row>
    <row r="299" spans="1:17" x14ac:dyDescent="0.3">
      <c r="A299" s="186"/>
      <c r="B299" s="187"/>
      <c r="C299" s="187"/>
      <c r="D299" s="188"/>
      <c r="E299" s="190"/>
      <c r="F299" s="190"/>
      <c r="G299" s="190"/>
      <c r="H299" s="190"/>
      <c r="I299" s="190"/>
      <c r="J299" s="190"/>
      <c r="K299" s="190"/>
      <c r="L299" s="190"/>
      <c r="M299" s="190"/>
      <c r="N299" s="190"/>
      <c r="O299" s="190"/>
      <c r="P299" s="190"/>
      <c r="Q299" s="190"/>
    </row>
    <row r="300" spans="1:17" x14ac:dyDescent="0.3">
      <c r="A300" s="186"/>
      <c r="B300" s="187"/>
      <c r="C300" s="187"/>
      <c r="D300" s="188"/>
      <c r="E300" s="190"/>
      <c r="F300" s="190"/>
      <c r="G300" s="190"/>
      <c r="H300" s="190"/>
      <c r="I300" s="190"/>
      <c r="J300" s="190"/>
      <c r="K300" s="190"/>
      <c r="L300" s="190"/>
      <c r="M300" s="190"/>
      <c r="N300" s="190"/>
      <c r="O300" s="190"/>
      <c r="P300" s="190"/>
      <c r="Q300" s="190"/>
    </row>
    <row r="301" spans="1:17" x14ac:dyDescent="0.3">
      <c r="A301" s="186"/>
      <c r="B301" s="187"/>
      <c r="C301" s="187"/>
      <c r="D301" s="188"/>
      <c r="E301" s="190"/>
      <c r="F301" s="190"/>
      <c r="G301" s="190"/>
      <c r="H301" s="190"/>
      <c r="I301" s="190"/>
      <c r="J301" s="190"/>
      <c r="K301" s="190"/>
      <c r="L301" s="190"/>
      <c r="M301" s="190"/>
      <c r="N301" s="190"/>
      <c r="O301" s="190"/>
      <c r="P301" s="190"/>
      <c r="Q301" s="190"/>
    </row>
    <row r="302" spans="1:17" x14ac:dyDescent="0.3">
      <c r="A302" s="186"/>
      <c r="B302" s="187"/>
      <c r="C302" s="187"/>
      <c r="D302" s="188"/>
      <c r="E302" s="190"/>
      <c r="F302" s="190"/>
      <c r="G302" s="190"/>
      <c r="H302" s="190"/>
      <c r="I302" s="190"/>
      <c r="J302" s="190"/>
      <c r="K302" s="190"/>
      <c r="L302" s="190"/>
      <c r="M302" s="190"/>
      <c r="N302" s="190"/>
      <c r="O302" s="190"/>
      <c r="P302" s="190"/>
      <c r="Q302" s="190"/>
    </row>
    <row r="303" spans="1:17" x14ac:dyDescent="0.3">
      <c r="A303" s="186"/>
      <c r="B303" s="187"/>
      <c r="C303" s="187"/>
      <c r="D303" s="188"/>
      <c r="E303" s="190"/>
      <c r="F303" s="190"/>
      <c r="G303" s="190"/>
      <c r="H303" s="190"/>
      <c r="I303" s="190"/>
      <c r="J303" s="190"/>
      <c r="K303" s="190"/>
      <c r="L303" s="190"/>
      <c r="M303" s="190"/>
      <c r="N303" s="190"/>
      <c r="O303" s="190"/>
      <c r="P303" s="190"/>
      <c r="Q303" s="190"/>
    </row>
    <row r="304" spans="1:17" x14ac:dyDescent="0.3">
      <c r="A304" s="186"/>
      <c r="B304" s="187"/>
      <c r="C304" s="187"/>
      <c r="D304" s="188"/>
      <c r="E304" s="190"/>
      <c r="F304" s="190"/>
      <c r="G304" s="190"/>
      <c r="H304" s="190"/>
      <c r="I304" s="190"/>
      <c r="J304" s="190"/>
      <c r="K304" s="190"/>
      <c r="L304" s="190"/>
      <c r="M304" s="190"/>
      <c r="N304" s="190"/>
      <c r="O304" s="190"/>
      <c r="P304" s="190"/>
      <c r="Q304" s="190"/>
    </row>
    <row r="305" spans="1:17" x14ac:dyDescent="0.3">
      <c r="A305" s="186"/>
      <c r="B305" s="187"/>
      <c r="C305" s="187"/>
      <c r="D305" s="188"/>
      <c r="E305" s="190"/>
      <c r="F305" s="190"/>
      <c r="G305" s="190"/>
      <c r="H305" s="190"/>
      <c r="I305" s="190"/>
      <c r="J305" s="190"/>
      <c r="K305" s="190"/>
      <c r="L305" s="190"/>
      <c r="M305" s="190"/>
      <c r="N305" s="190"/>
      <c r="O305" s="190"/>
      <c r="P305" s="190"/>
      <c r="Q305" s="190"/>
    </row>
    <row r="306" spans="1:17" x14ac:dyDescent="0.3">
      <c r="A306" s="186"/>
      <c r="B306" s="187"/>
      <c r="C306" s="187"/>
      <c r="D306" s="188"/>
      <c r="E306" s="190"/>
      <c r="F306" s="190"/>
      <c r="G306" s="190"/>
      <c r="H306" s="190"/>
      <c r="I306" s="190"/>
      <c r="J306" s="190"/>
      <c r="K306" s="190"/>
      <c r="L306" s="190"/>
      <c r="M306" s="190"/>
      <c r="N306" s="190"/>
      <c r="O306" s="190"/>
      <c r="P306" s="190"/>
      <c r="Q306" s="190"/>
    </row>
    <row r="307" spans="1:17" x14ac:dyDescent="0.3">
      <c r="A307" s="186"/>
      <c r="B307" s="187"/>
      <c r="C307" s="187"/>
      <c r="D307" s="188"/>
      <c r="E307" s="190"/>
      <c r="F307" s="190"/>
      <c r="G307" s="190"/>
      <c r="H307" s="190"/>
      <c r="I307" s="190"/>
      <c r="J307" s="190"/>
      <c r="K307" s="190"/>
      <c r="L307" s="190"/>
      <c r="M307" s="190"/>
      <c r="N307" s="190"/>
      <c r="O307" s="190"/>
      <c r="P307" s="190"/>
      <c r="Q307" s="190"/>
    </row>
    <row r="308" spans="1:17" x14ac:dyDescent="0.3">
      <c r="A308" s="186"/>
      <c r="B308" s="187"/>
      <c r="C308" s="187"/>
      <c r="D308" s="188"/>
      <c r="E308" s="190"/>
      <c r="F308" s="190"/>
      <c r="G308" s="190"/>
      <c r="H308" s="190"/>
      <c r="I308" s="190"/>
      <c r="J308" s="190"/>
      <c r="K308" s="190"/>
      <c r="L308" s="190"/>
      <c r="M308" s="190"/>
      <c r="N308" s="190"/>
      <c r="O308" s="190"/>
      <c r="P308" s="190"/>
      <c r="Q308" s="190"/>
    </row>
    <row r="309" spans="1:17" x14ac:dyDescent="0.3">
      <c r="A309" s="186"/>
      <c r="B309" s="187"/>
      <c r="C309" s="187"/>
      <c r="D309" s="188"/>
      <c r="E309" s="190"/>
      <c r="F309" s="190"/>
      <c r="G309" s="190"/>
      <c r="H309" s="190"/>
      <c r="I309" s="190"/>
      <c r="J309" s="190"/>
      <c r="K309" s="190"/>
      <c r="L309" s="190"/>
      <c r="M309" s="190"/>
      <c r="N309" s="190"/>
      <c r="O309" s="190"/>
      <c r="P309" s="190"/>
      <c r="Q309" s="190"/>
    </row>
    <row r="310" spans="1:17" x14ac:dyDescent="0.3">
      <c r="A310" s="186"/>
      <c r="B310" s="187"/>
      <c r="C310" s="187"/>
      <c r="D310" s="188"/>
      <c r="E310" s="190"/>
      <c r="F310" s="190"/>
      <c r="G310" s="190"/>
      <c r="H310" s="190"/>
      <c r="I310" s="190"/>
      <c r="J310" s="190"/>
      <c r="K310" s="190"/>
      <c r="L310" s="190"/>
      <c r="M310" s="190"/>
      <c r="N310" s="190"/>
      <c r="O310" s="190"/>
      <c r="P310" s="190"/>
      <c r="Q310" s="190"/>
    </row>
    <row r="311" spans="1:17" x14ac:dyDescent="0.3">
      <c r="A311" s="186"/>
      <c r="B311" s="187"/>
      <c r="C311" s="187"/>
      <c r="D311" s="188"/>
      <c r="E311" s="190"/>
      <c r="F311" s="190"/>
      <c r="G311" s="190"/>
      <c r="H311" s="190"/>
      <c r="I311" s="190"/>
      <c r="J311" s="190"/>
      <c r="K311" s="190"/>
      <c r="L311" s="190"/>
      <c r="M311" s="190"/>
      <c r="N311" s="190"/>
      <c r="O311" s="190"/>
      <c r="P311" s="190"/>
      <c r="Q311" s="190"/>
    </row>
    <row r="312" spans="1:17" x14ac:dyDescent="0.3">
      <c r="A312" s="186"/>
      <c r="B312" s="187"/>
      <c r="C312" s="187"/>
      <c r="D312" s="188"/>
      <c r="E312" s="190"/>
      <c r="F312" s="190"/>
      <c r="G312" s="190"/>
      <c r="H312" s="190"/>
      <c r="I312" s="190"/>
      <c r="J312" s="190"/>
      <c r="K312" s="190"/>
      <c r="L312" s="190"/>
      <c r="M312" s="190"/>
      <c r="N312" s="190"/>
      <c r="O312" s="190"/>
      <c r="P312" s="190"/>
      <c r="Q312" s="190"/>
    </row>
    <row r="313" spans="1:17" x14ac:dyDescent="0.3">
      <c r="A313" s="186"/>
      <c r="B313" s="187"/>
      <c r="C313" s="187"/>
      <c r="D313" s="188"/>
      <c r="E313" s="190"/>
      <c r="F313" s="190"/>
      <c r="G313" s="190"/>
      <c r="H313" s="190"/>
      <c r="I313" s="190"/>
      <c r="J313" s="190"/>
      <c r="K313" s="190"/>
      <c r="L313" s="190"/>
      <c r="M313" s="190"/>
      <c r="N313" s="190"/>
      <c r="O313" s="190"/>
      <c r="P313" s="190"/>
      <c r="Q313" s="190"/>
    </row>
    <row r="314" spans="1:17" x14ac:dyDescent="0.3">
      <c r="A314" s="186"/>
      <c r="B314" s="187"/>
      <c r="C314" s="187"/>
      <c r="D314" s="188"/>
      <c r="E314" s="190"/>
      <c r="F314" s="190"/>
      <c r="G314" s="190"/>
      <c r="H314" s="190"/>
      <c r="I314" s="190"/>
      <c r="J314" s="190"/>
      <c r="K314" s="190"/>
      <c r="L314" s="190"/>
      <c r="M314" s="190"/>
      <c r="N314" s="190"/>
      <c r="O314" s="190"/>
      <c r="P314" s="190"/>
      <c r="Q314" s="190"/>
    </row>
    <row r="315" spans="1:17" x14ac:dyDescent="0.3">
      <c r="A315" s="186"/>
      <c r="B315" s="187"/>
      <c r="C315" s="187"/>
      <c r="D315" s="188"/>
      <c r="E315" s="190"/>
      <c r="F315" s="190"/>
      <c r="G315" s="190"/>
      <c r="H315" s="190"/>
      <c r="I315" s="190"/>
      <c r="J315" s="190"/>
      <c r="K315" s="190"/>
      <c r="L315" s="190"/>
      <c r="M315" s="190"/>
      <c r="N315" s="190"/>
      <c r="O315" s="190"/>
      <c r="P315" s="190"/>
      <c r="Q315" s="190"/>
    </row>
    <row r="316" spans="1:17" x14ac:dyDescent="0.3">
      <c r="A316" s="186"/>
      <c r="B316" s="187"/>
      <c r="C316" s="187"/>
      <c r="D316" s="188"/>
      <c r="E316" s="190"/>
      <c r="F316" s="190"/>
      <c r="G316" s="190"/>
      <c r="H316" s="190"/>
      <c r="I316" s="190"/>
      <c r="J316" s="190"/>
      <c r="K316" s="190"/>
      <c r="L316" s="190"/>
      <c r="M316" s="190"/>
      <c r="N316" s="190"/>
      <c r="O316" s="190"/>
      <c r="P316" s="190"/>
      <c r="Q316" s="190"/>
    </row>
    <row r="317" spans="1:17" x14ac:dyDescent="0.3">
      <c r="A317" s="186"/>
      <c r="B317" s="187"/>
      <c r="C317" s="187"/>
      <c r="D317" s="188"/>
      <c r="E317" s="190"/>
      <c r="F317" s="190"/>
      <c r="G317" s="190"/>
      <c r="H317" s="190"/>
      <c r="I317" s="190"/>
      <c r="J317" s="190"/>
      <c r="K317" s="190"/>
      <c r="L317" s="190"/>
      <c r="M317" s="190"/>
      <c r="N317" s="190"/>
      <c r="O317" s="190"/>
      <c r="P317" s="190"/>
      <c r="Q317" s="190"/>
    </row>
    <row r="318" spans="1:17" x14ac:dyDescent="0.3">
      <c r="A318" s="186"/>
      <c r="B318" s="187"/>
      <c r="C318" s="187"/>
      <c r="D318" s="188"/>
      <c r="E318" s="190"/>
      <c r="F318" s="190"/>
      <c r="G318" s="190"/>
      <c r="H318" s="190"/>
      <c r="I318" s="190"/>
      <c r="J318" s="190"/>
      <c r="K318" s="190"/>
      <c r="L318" s="190"/>
      <c r="M318" s="190"/>
      <c r="N318" s="190"/>
      <c r="O318" s="190"/>
      <c r="P318" s="190"/>
      <c r="Q318" s="190"/>
    </row>
    <row r="319" spans="1:17" x14ac:dyDescent="0.3">
      <c r="A319" s="186"/>
      <c r="B319" s="187"/>
      <c r="C319" s="187"/>
      <c r="D319" s="188"/>
      <c r="E319" s="190"/>
      <c r="F319" s="190"/>
      <c r="G319" s="190"/>
      <c r="H319" s="190"/>
      <c r="I319" s="190"/>
      <c r="J319" s="190"/>
      <c r="K319" s="190"/>
      <c r="L319" s="190"/>
      <c r="M319" s="190"/>
      <c r="N319" s="190"/>
      <c r="O319" s="190"/>
      <c r="P319" s="190"/>
      <c r="Q319" s="190"/>
    </row>
    <row r="320" spans="1:17" x14ac:dyDescent="0.3">
      <c r="A320" s="186"/>
      <c r="B320" s="187"/>
      <c r="C320" s="187"/>
      <c r="D320" s="188"/>
      <c r="E320" s="190"/>
      <c r="F320" s="190"/>
      <c r="G320" s="190"/>
      <c r="H320" s="190"/>
      <c r="I320" s="190"/>
      <c r="J320" s="190"/>
      <c r="K320" s="190"/>
      <c r="L320" s="190"/>
      <c r="M320" s="190"/>
      <c r="N320" s="190"/>
      <c r="O320" s="190"/>
      <c r="P320" s="190"/>
      <c r="Q320" s="190"/>
    </row>
    <row r="321" spans="1:17" x14ac:dyDescent="0.3">
      <c r="A321" s="186"/>
      <c r="B321" s="187"/>
      <c r="C321" s="187"/>
      <c r="D321" s="188"/>
      <c r="E321" s="190"/>
      <c r="F321" s="190"/>
      <c r="G321" s="190"/>
      <c r="H321" s="190"/>
      <c r="I321" s="190"/>
      <c r="J321" s="190"/>
      <c r="K321" s="190"/>
      <c r="L321" s="190"/>
      <c r="M321" s="190"/>
      <c r="N321" s="190"/>
      <c r="O321" s="190"/>
      <c r="P321" s="190"/>
      <c r="Q321" s="190"/>
    </row>
    <row r="322" spans="1:17" x14ac:dyDescent="0.3">
      <c r="A322" s="186"/>
      <c r="B322" s="187"/>
      <c r="C322" s="187"/>
      <c r="D322" s="188"/>
      <c r="E322" s="190"/>
      <c r="F322" s="190"/>
      <c r="G322" s="190"/>
      <c r="H322" s="190"/>
      <c r="I322" s="190"/>
      <c r="J322" s="190"/>
      <c r="K322" s="190"/>
      <c r="L322" s="190"/>
      <c r="M322" s="190"/>
      <c r="N322" s="190"/>
      <c r="O322" s="190"/>
      <c r="P322" s="190"/>
      <c r="Q322" s="190"/>
    </row>
    <row r="323" spans="1:17" x14ac:dyDescent="0.3">
      <c r="A323" s="186"/>
      <c r="B323" s="187"/>
      <c r="C323" s="187"/>
      <c r="D323" s="188"/>
      <c r="E323" s="190"/>
      <c r="F323" s="190"/>
      <c r="G323" s="190"/>
      <c r="H323" s="190"/>
      <c r="I323" s="190"/>
      <c r="J323" s="190"/>
      <c r="K323" s="190"/>
      <c r="L323" s="190"/>
      <c r="M323" s="190"/>
      <c r="N323" s="190"/>
      <c r="O323" s="190"/>
      <c r="P323" s="190"/>
      <c r="Q323" s="190"/>
    </row>
    <row r="324" spans="1:17" x14ac:dyDescent="0.3">
      <c r="A324" s="186"/>
      <c r="B324" s="187"/>
      <c r="C324" s="187"/>
      <c r="D324" s="188"/>
      <c r="E324" s="190"/>
      <c r="F324" s="190"/>
      <c r="G324" s="190"/>
      <c r="H324" s="190"/>
      <c r="I324" s="190"/>
      <c r="J324" s="190"/>
      <c r="K324" s="190"/>
      <c r="L324" s="190"/>
      <c r="M324" s="190"/>
      <c r="N324" s="190"/>
      <c r="O324" s="190"/>
      <c r="P324" s="190"/>
      <c r="Q324" s="190"/>
    </row>
    <row r="325" spans="1:17" x14ac:dyDescent="0.3">
      <c r="A325" s="186"/>
      <c r="B325" s="187"/>
      <c r="C325" s="187"/>
      <c r="D325" s="188"/>
      <c r="E325" s="190"/>
      <c r="F325" s="190"/>
      <c r="G325" s="190"/>
      <c r="H325" s="190"/>
      <c r="I325" s="190"/>
      <c r="J325" s="190"/>
      <c r="K325" s="190"/>
      <c r="L325" s="190"/>
      <c r="M325" s="190"/>
      <c r="N325" s="190"/>
      <c r="O325" s="190"/>
      <c r="P325" s="190"/>
      <c r="Q325" s="190"/>
    </row>
    <row r="326" spans="1:17" x14ac:dyDescent="0.3">
      <c r="A326" s="186"/>
      <c r="B326" s="187"/>
      <c r="C326" s="187"/>
      <c r="D326" s="188"/>
      <c r="E326" s="190"/>
      <c r="F326" s="190"/>
      <c r="G326" s="190"/>
      <c r="H326" s="190"/>
      <c r="I326" s="190"/>
      <c r="J326" s="190"/>
      <c r="K326" s="190"/>
      <c r="L326" s="190"/>
      <c r="M326" s="190"/>
      <c r="N326" s="190"/>
      <c r="O326" s="190"/>
      <c r="P326" s="190"/>
      <c r="Q326" s="190"/>
    </row>
    <row r="327" spans="1:17" x14ac:dyDescent="0.3">
      <c r="A327" s="186"/>
      <c r="B327" s="187"/>
      <c r="C327" s="187"/>
      <c r="D327" s="188"/>
      <c r="E327" s="190"/>
      <c r="F327" s="190"/>
      <c r="G327" s="190"/>
      <c r="H327" s="190"/>
      <c r="I327" s="190"/>
      <c r="J327" s="190"/>
      <c r="K327" s="190"/>
      <c r="L327" s="190"/>
      <c r="M327" s="190"/>
      <c r="N327" s="190"/>
      <c r="O327" s="190"/>
      <c r="P327" s="190"/>
      <c r="Q327" s="190"/>
    </row>
    <row r="328" spans="1:17" x14ac:dyDescent="0.3">
      <c r="A328" s="186"/>
      <c r="B328" s="187"/>
      <c r="C328" s="187"/>
      <c r="D328" s="188"/>
      <c r="E328" s="190"/>
      <c r="F328" s="190"/>
      <c r="G328" s="190"/>
      <c r="H328" s="190"/>
      <c r="I328" s="190"/>
      <c r="J328" s="190"/>
      <c r="K328" s="190"/>
      <c r="L328" s="190"/>
      <c r="M328" s="190"/>
      <c r="N328" s="190"/>
      <c r="O328" s="190"/>
      <c r="P328" s="190"/>
      <c r="Q328" s="190"/>
    </row>
    <row r="329" spans="1:17" x14ac:dyDescent="0.3">
      <c r="A329" s="186"/>
      <c r="B329" s="187"/>
      <c r="C329" s="187"/>
      <c r="D329" s="188"/>
      <c r="E329" s="190"/>
      <c r="F329" s="190"/>
      <c r="G329" s="190"/>
      <c r="H329" s="190"/>
      <c r="I329" s="190"/>
      <c r="J329" s="190"/>
      <c r="K329" s="190"/>
      <c r="L329" s="190"/>
      <c r="M329" s="190"/>
      <c r="N329" s="190"/>
      <c r="O329" s="190"/>
      <c r="P329" s="190"/>
      <c r="Q329" s="190"/>
    </row>
    <row r="330" spans="1:17" x14ac:dyDescent="0.3">
      <c r="A330" s="186"/>
      <c r="B330" s="187"/>
      <c r="C330" s="187"/>
      <c r="D330" s="188"/>
      <c r="E330" s="190"/>
      <c r="F330" s="190"/>
      <c r="G330" s="190"/>
      <c r="H330" s="190"/>
      <c r="I330" s="190"/>
      <c r="J330" s="190"/>
      <c r="K330" s="190"/>
      <c r="L330" s="190"/>
      <c r="M330" s="190"/>
      <c r="N330" s="190"/>
      <c r="O330" s="190"/>
      <c r="P330" s="190"/>
      <c r="Q330" s="190"/>
    </row>
    <row r="331" spans="1:17" x14ac:dyDescent="0.3">
      <c r="A331" s="186"/>
      <c r="B331" s="187"/>
      <c r="C331" s="187"/>
      <c r="D331" s="188"/>
      <c r="E331" s="190"/>
      <c r="F331" s="190"/>
      <c r="G331" s="190"/>
      <c r="H331" s="190"/>
      <c r="I331" s="190"/>
      <c r="J331" s="190"/>
      <c r="K331" s="190"/>
      <c r="L331" s="190"/>
      <c r="M331" s="190"/>
      <c r="N331" s="190"/>
      <c r="O331" s="190"/>
      <c r="P331" s="190"/>
      <c r="Q331" s="190"/>
    </row>
    <row r="332" spans="1:17" x14ac:dyDescent="0.3">
      <c r="A332" s="186"/>
      <c r="B332" s="187"/>
      <c r="C332" s="187"/>
      <c r="D332" s="188"/>
      <c r="E332" s="190"/>
      <c r="F332" s="190"/>
      <c r="G332" s="190"/>
      <c r="H332" s="190"/>
      <c r="I332" s="190"/>
      <c r="J332" s="190"/>
      <c r="K332" s="190"/>
      <c r="L332" s="190"/>
      <c r="M332" s="190"/>
      <c r="N332" s="190"/>
      <c r="O332" s="190"/>
      <c r="P332" s="190"/>
      <c r="Q332" s="190"/>
    </row>
    <row r="333" spans="1:17" x14ac:dyDescent="0.3">
      <c r="A333" s="186"/>
      <c r="B333" s="187"/>
      <c r="C333" s="187"/>
      <c r="D333" s="188"/>
      <c r="E333" s="190"/>
      <c r="F333" s="190"/>
      <c r="G333" s="190"/>
      <c r="H333" s="190"/>
      <c r="I333" s="190"/>
      <c r="J333" s="190"/>
      <c r="K333" s="190"/>
      <c r="L333" s="190"/>
      <c r="M333" s="190"/>
      <c r="N333" s="190"/>
      <c r="O333" s="190"/>
      <c r="P333" s="190"/>
      <c r="Q333" s="190"/>
    </row>
    <row r="334" spans="1:17" x14ac:dyDescent="0.3">
      <c r="A334" s="186"/>
      <c r="B334" s="187"/>
      <c r="C334" s="187"/>
      <c r="D334" s="188"/>
      <c r="E334" s="190"/>
      <c r="F334" s="190"/>
      <c r="G334" s="190"/>
      <c r="H334" s="190"/>
      <c r="I334" s="190"/>
      <c r="J334" s="190"/>
      <c r="K334" s="190"/>
      <c r="L334" s="190"/>
      <c r="M334" s="190"/>
      <c r="N334" s="190"/>
      <c r="O334" s="190"/>
      <c r="P334" s="190"/>
      <c r="Q334" s="190"/>
    </row>
    <row r="335" spans="1:17" x14ac:dyDescent="0.3">
      <c r="A335" s="186"/>
      <c r="B335" s="187"/>
      <c r="C335" s="187"/>
      <c r="D335" s="188"/>
      <c r="E335" s="190"/>
      <c r="F335" s="190"/>
      <c r="G335" s="190"/>
      <c r="H335" s="190"/>
      <c r="I335" s="190"/>
      <c r="J335" s="190"/>
      <c r="K335" s="190"/>
      <c r="L335" s="190"/>
      <c r="M335" s="190"/>
      <c r="N335" s="190"/>
      <c r="O335" s="190"/>
      <c r="P335" s="190"/>
      <c r="Q335" s="190"/>
    </row>
    <row r="336" spans="1:17" x14ac:dyDescent="0.3">
      <c r="A336" s="186"/>
      <c r="B336" s="187"/>
      <c r="C336" s="187"/>
      <c r="D336" s="188"/>
      <c r="E336" s="190"/>
      <c r="F336" s="190"/>
      <c r="G336" s="190"/>
      <c r="H336" s="190"/>
      <c r="I336" s="190"/>
      <c r="J336" s="190"/>
      <c r="K336" s="190"/>
      <c r="L336" s="190"/>
      <c r="M336" s="190"/>
      <c r="N336" s="190"/>
      <c r="O336" s="190"/>
      <c r="P336" s="190"/>
      <c r="Q336" s="190"/>
    </row>
    <row r="337" spans="1:17" x14ac:dyDescent="0.3">
      <c r="A337" s="186"/>
      <c r="B337" s="187"/>
      <c r="C337" s="187"/>
      <c r="D337" s="188"/>
      <c r="E337" s="190"/>
      <c r="F337" s="190"/>
      <c r="G337" s="190"/>
      <c r="H337" s="190"/>
      <c r="I337" s="190"/>
      <c r="J337" s="190"/>
      <c r="K337" s="190"/>
      <c r="L337" s="190"/>
      <c r="M337" s="190"/>
      <c r="N337" s="190"/>
      <c r="O337" s="190"/>
      <c r="P337" s="190"/>
      <c r="Q337" s="190"/>
    </row>
    <row r="338" spans="1:17" x14ac:dyDescent="0.3">
      <c r="A338" s="186"/>
      <c r="B338" s="187"/>
      <c r="C338" s="187"/>
      <c r="D338" s="188"/>
      <c r="E338" s="190"/>
      <c r="F338" s="190"/>
      <c r="G338" s="190"/>
      <c r="H338" s="190"/>
      <c r="I338" s="190"/>
      <c r="J338" s="190"/>
      <c r="K338" s="190"/>
      <c r="L338" s="190"/>
      <c r="M338" s="190"/>
      <c r="N338" s="190"/>
      <c r="O338" s="190"/>
      <c r="P338" s="190"/>
      <c r="Q338" s="190"/>
    </row>
    <row r="339" spans="1:17" x14ac:dyDescent="0.3">
      <c r="A339" s="186"/>
      <c r="B339" s="187"/>
      <c r="C339" s="187"/>
      <c r="D339" s="188"/>
      <c r="E339" s="190"/>
      <c r="F339" s="190"/>
      <c r="G339" s="190"/>
      <c r="H339" s="190"/>
      <c r="I339" s="190"/>
      <c r="J339" s="190"/>
      <c r="K339" s="190"/>
      <c r="L339" s="190"/>
      <c r="M339" s="190"/>
      <c r="N339" s="190"/>
      <c r="O339" s="190"/>
      <c r="P339" s="190"/>
      <c r="Q339" s="190"/>
    </row>
    <row r="340" spans="1:17" x14ac:dyDescent="0.3">
      <c r="A340" s="186"/>
      <c r="B340" s="187"/>
      <c r="C340" s="187"/>
      <c r="D340" s="188"/>
      <c r="E340" s="190"/>
      <c r="F340" s="190"/>
      <c r="G340" s="190"/>
      <c r="H340" s="190"/>
      <c r="I340" s="190"/>
      <c r="J340" s="190"/>
      <c r="K340" s="190"/>
      <c r="L340" s="190"/>
      <c r="M340" s="190"/>
      <c r="N340" s="190"/>
      <c r="O340" s="190"/>
      <c r="P340" s="190"/>
      <c r="Q340" s="190"/>
    </row>
    <row r="341" spans="1:17" x14ac:dyDescent="0.3">
      <c r="A341" s="186"/>
      <c r="B341" s="187"/>
      <c r="C341" s="187"/>
      <c r="D341" s="188"/>
      <c r="E341" s="190"/>
      <c r="F341" s="190"/>
      <c r="G341" s="190"/>
      <c r="H341" s="190"/>
      <c r="I341" s="190"/>
      <c r="J341" s="190"/>
      <c r="K341" s="190"/>
      <c r="L341" s="190"/>
      <c r="M341" s="190"/>
      <c r="N341" s="190"/>
      <c r="O341" s="190"/>
      <c r="P341" s="190"/>
      <c r="Q341" s="190"/>
    </row>
    <row r="342" spans="1:17" x14ac:dyDescent="0.3">
      <c r="A342" s="186"/>
      <c r="B342" s="187"/>
      <c r="C342" s="187"/>
      <c r="D342" s="188"/>
      <c r="E342" s="190"/>
      <c r="F342" s="190"/>
      <c r="G342" s="190"/>
      <c r="H342" s="190"/>
      <c r="I342" s="190"/>
      <c r="J342" s="190"/>
      <c r="K342" s="190"/>
      <c r="L342" s="190"/>
      <c r="M342" s="190"/>
      <c r="N342" s="190"/>
      <c r="O342" s="190"/>
      <c r="P342" s="190"/>
      <c r="Q342" s="190"/>
    </row>
    <row r="343" spans="1:17" x14ac:dyDescent="0.3">
      <c r="A343" s="186"/>
      <c r="B343" s="187"/>
      <c r="C343" s="187"/>
      <c r="D343" s="188"/>
      <c r="E343" s="190"/>
      <c r="F343" s="190"/>
      <c r="G343" s="190"/>
      <c r="H343" s="190"/>
      <c r="I343" s="190"/>
      <c r="J343" s="190"/>
      <c r="K343" s="190"/>
      <c r="L343" s="190"/>
      <c r="M343" s="190"/>
      <c r="N343" s="190"/>
      <c r="O343" s="190"/>
      <c r="P343" s="190"/>
      <c r="Q343" s="190"/>
    </row>
    <row r="344" spans="1:17" x14ac:dyDescent="0.3">
      <c r="A344" s="186"/>
      <c r="B344" s="187"/>
      <c r="C344" s="187"/>
      <c r="D344" s="188"/>
      <c r="E344" s="190"/>
      <c r="F344" s="190"/>
      <c r="G344" s="190"/>
      <c r="H344" s="190"/>
      <c r="I344" s="190"/>
      <c r="J344" s="190"/>
      <c r="K344" s="190"/>
      <c r="L344" s="190"/>
      <c r="M344" s="190"/>
      <c r="N344" s="190"/>
      <c r="O344" s="190"/>
      <c r="P344" s="190"/>
      <c r="Q344" s="190"/>
    </row>
    <row r="345" spans="1:17" x14ac:dyDescent="0.3">
      <c r="A345" s="186"/>
      <c r="B345" s="187"/>
      <c r="C345" s="187"/>
      <c r="D345" s="188"/>
      <c r="E345" s="190"/>
      <c r="F345" s="190"/>
      <c r="G345" s="190"/>
      <c r="H345" s="190"/>
      <c r="I345" s="190"/>
      <c r="J345" s="190"/>
      <c r="K345" s="190"/>
      <c r="L345" s="190"/>
      <c r="M345" s="190"/>
      <c r="N345" s="190"/>
      <c r="O345" s="190"/>
      <c r="P345" s="190"/>
      <c r="Q345" s="190"/>
    </row>
    <row r="346" spans="1:17" x14ac:dyDescent="0.3">
      <c r="A346" s="186"/>
      <c r="B346" s="187"/>
      <c r="C346" s="187"/>
      <c r="D346" s="188"/>
      <c r="E346" s="190"/>
      <c r="F346" s="190"/>
      <c r="G346" s="190"/>
      <c r="H346" s="190"/>
      <c r="I346" s="190"/>
      <c r="J346" s="190"/>
      <c r="K346" s="190"/>
      <c r="L346" s="190"/>
      <c r="M346" s="190"/>
      <c r="N346" s="190"/>
      <c r="O346" s="190"/>
      <c r="P346" s="190"/>
      <c r="Q346" s="190"/>
    </row>
    <row r="347" spans="1:17" x14ac:dyDescent="0.3">
      <c r="A347" s="186"/>
      <c r="B347" s="187"/>
      <c r="C347" s="187"/>
      <c r="D347" s="188"/>
      <c r="E347" s="190"/>
      <c r="F347" s="190"/>
      <c r="G347" s="190"/>
      <c r="H347" s="190"/>
      <c r="I347" s="190"/>
      <c r="J347" s="190"/>
      <c r="K347" s="190"/>
      <c r="L347" s="190"/>
      <c r="M347" s="190"/>
      <c r="N347" s="190"/>
      <c r="O347" s="190"/>
      <c r="P347" s="190"/>
      <c r="Q347" s="190"/>
    </row>
    <row r="348" spans="1:17" x14ac:dyDescent="0.3">
      <c r="A348" s="186"/>
      <c r="B348" s="187"/>
      <c r="C348" s="187"/>
      <c r="D348" s="188"/>
      <c r="E348" s="190"/>
      <c r="F348" s="190"/>
      <c r="G348" s="190"/>
      <c r="H348" s="190"/>
      <c r="I348" s="190"/>
      <c r="J348" s="190"/>
      <c r="K348" s="190"/>
      <c r="L348" s="190"/>
      <c r="M348" s="190"/>
      <c r="N348" s="190"/>
      <c r="O348" s="190"/>
      <c r="P348" s="190"/>
      <c r="Q348" s="190"/>
    </row>
    <row r="349" spans="1:17" x14ac:dyDescent="0.3">
      <c r="A349" s="186"/>
      <c r="B349" s="187"/>
      <c r="C349" s="187"/>
      <c r="D349" s="188"/>
      <c r="E349" s="190"/>
      <c r="F349" s="190"/>
      <c r="G349" s="190"/>
      <c r="H349" s="190"/>
      <c r="I349" s="190"/>
      <c r="J349" s="190"/>
      <c r="K349" s="190"/>
      <c r="L349" s="190"/>
      <c r="M349" s="190"/>
      <c r="N349" s="190"/>
      <c r="O349" s="190"/>
      <c r="P349" s="190"/>
      <c r="Q349" s="190"/>
    </row>
    <row r="350" spans="1:17" x14ac:dyDescent="0.3">
      <c r="A350" s="186"/>
      <c r="B350" s="187"/>
      <c r="C350" s="187"/>
      <c r="D350" s="188"/>
      <c r="E350" s="190"/>
      <c r="F350" s="190"/>
      <c r="G350" s="190"/>
      <c r="H350" s="190"/>
      <c r="I350" s="190"/>
      <c r="J350" s="190"/>
      <c r="K350" s="190"/>
      <c r="L350" s="190"/>
      <c r="M350" s="190"/>
      <c r="N350" s="190"/>
      <c r="O350" s="190"/>
      <c r="P350" s="190"/>
      <c r="Q350" s="190"/>
    </row>
    <row r="351" spans="1:17" x14ac:dyDescent="0.3">
      <c r="A351" s="186"/>
      <c r="B351" s="187"/>
      <c r="C351" s="187"/>
      <c r="D351" s="188"/>
      <c r="E351" s="190"/>
      <c r="F351" s="190"/>
      <c r="G351" s="190"/>
      <c r="H351" s="190"/>
      <c r="I351" s="190"/>
      <c r="J351" s="190"/>
      <c r="K351" s="190"/>
      <c r="L351" s="190"/>
      <c r="M351" s="190"/>
      <c r="N351" s="190"/>
      <c r="O351" s="190"/>
      <c r="P351" s="190"/>
      <c r="Q351" s="190"/>
    </row>
    <row r="352" spans="1:17" x14ac:dyDescent="0.3">
      <c r="A352" s="186"/>
      <c r="B352" s="187"/>
      <c r="C352" s="187"/>
      <c r="D352" s="188"/>
      <c r="E352" s="190"/>
      <c r="F352" s="190"/>
      <c r="G352" s="190"/>
      <c r="H352" s="190"/>
      <c r="I352" s="190"/>
      <c r="J352" s="190"/>
      <c r="K352" s="190"/>
      <c r="L352" s="190"/>
      <c r="M352" s="190"/>
      <c r="N352" s="190"/>
      <c r="O352" s="190"/>
      <c r="P352" s="190"/>
      <c r="Q352" s="190"/>
    </row>
    <row r="353" spans="1:17" x14ac:dyDescent="0.3">
      <c r="A353" s="186"/>
      <c r="B353" s="187"/>
      <c r="C353" s="187"/>
      <c r="D353" s="188"/>
      <c r="E353" s="190"/>
      <c r="F353" s="190"/>
      <c r="G353" s="190"/>
      <c r="H353" s="190"/>
      <c r="I353" s="190"/>
      <c r="J353" s="190"/>
      <c r="K353" s="190"/>
      <c r="L353" s="190"/>
      <c r="M353" s="190"/>
      <c r="N353" s="190"/>
      <c r="O353" s="190"/>
      <c r="P353" s="190"/>
      <c r="Q353" s="190"/>
    </row>
    <row r="354" spans="1:17" x14ac:dyDescent="0.3">
      <c r="A354" s="186"/>
      <c r="B354" s="187"/>
      <c r="C354" s="187"/>
      <c r="D354" s="188"/>
      <c r="E354" s="190"/>
      <c r="F354" s="190"/>
      <c r="G354" s="190"/>
      <c r="H354" s="190"/>
      <c r="I354" s="190"/>
      <c r="J354" s="190"/>
      <c r="K354" s="190"/>
      <c r="L354" s="190"/>
      <c r="M354" s="190"/>
      <c r="N354" s="190"/>
      <c r="O354" s="190"/>
      <c r="P354" s="190"/>
      <c r="Q354" s="190"/>
    </row>
    <row r="355" spans="1:17" x14ac:dyDescent="0.3">
      <c r="A355" s="186"/>
      <c r="B355" s="187"/>
      <c r="C355" s="187"/>
      <c r="D355" s="188"/>
      <c r="E355" s="190"/>
      <c r="F355" s="190"/>
      <c r="G355" s="190"/>
      <c r="H355" s="190"/>
      <c r="I355" s="190"/>
      <c r="J355" s="190"/>
      <c r="K355" s="190"/>
      <c r="L355" s="190"/>
      <c r="M355" s="190"/>
      <c r="N355" s="190"/>
      <c r="O355" s="190"/>
      <c r="P355" s="190"/>
      <c r="Q355" s="190"/>
    </row>
    <row r="356" spans="1:17" x14ac:dyDescent="0.3">
      <c r="A356" s="186"/>
      <c r="B356" s="187"/>
      <c r="C356" s="187"/>
      <c r="D356" s="188"/>
      <c r="E356" s="190"/>
      <c r="F356" s="190"/>
      <c r="G356" s="190"/>
      <c r="H356" s="190"/>
      <c r="I356" s="190"/>
      <c r="J356" s="190"/>
      <c r="K356" s="190"/>
      <c r="L356" s="190"/>
      <c r="M356" s="190"/>
      <c r="N356" s="190"/>
      <c r="O356" s="190"/>
      <c r="P356" s="190"/>
      <c r="Q356" s="190"/>
    </row>
    <row r="357" spans="1:17" x14ac:dyDescent="0.3">
      <c r="A357" s="186"/>
      <c r="B357" s="187"/>
      <c r="C357" s="187"/>
      <c r="D357" s="188"/>
      <c r="E357" s="190"/>
      <c r="F357" s="190"/>
      <c r="G357" s="190"/>
      <c r="H357" s="190"/>
      <c r="I357" s="190"/>
      <c r="J357" s="190"/>
      <c r="K357" s="190"/>
      <c r="L357" s="190"/>
      <c r="M357" s="190"/>
      <c r="N357" s="190"/>
      <c r="O357" s="190"/>
      <c r="P357" s="190"/>
      <c r="Q357" s="190"/>
    </row>
    <row r="358" spans="1:17" x14ac:dyDescent="0.3">
      <c r="A358" s="186"/>
      <c r="B358" s="187"/>
      <c r="C358" s="187"/>
      <c r="D358" s="188"/>
      <c r="E358" s="190"/>
      <c r="F358" s="190"/>
      <c r="G358" s="190"/>
      <c r="H358" s="190"/>
      <c r="I358" s="190"/>
      <c r="J358" s="190"/>
      <c r="K358" s="190"/>
      <c r="L358" s="190"/>
      <c r="M358" s="190"/>
      <c r="N358" s="190"/>
      <c r="O358" s="190"/>
      <c r="P358" s="190"/>
      <c r="Q358" s="190"/>
    </row>
    <row r="359" spans="1:17" x14ac:dyDescent="0.3">
      <c r="A359" s="186"/>
      <c r="B359" s="187"/>
      <c r="C359" s="187"/>
      <c r="D359" s="188"/>
      <c r="E359" s="190"/>
      <c r="F359" s="190"/>
      <c r="G359" s="190"/>
      <c r="H359" s="190"/>
      <c r="I359" s="190"/>
      <c r="J359" s="190"/>
      <c r="K359" s="190"/>
      <c r="L359" s="190"/>
      <c r="M359" s="190"/>
      <c r="N359" s="190"/>
      <c r="O359" s="190"/>
      <c r="P359" s="190"/>
      <c r="Q359" s="190"/>
    </row>
    <row r="360" spans="1:17" x14ac:dyDescent="0.3">
      <c r="A360" s="186"/>
      <c r="B360" s="187"/>
      <c r="C360" s="187"/>
      <c r="D360" s="188"/>
      <c r="E360" s="190"/>
      <c r="F360" s="190"/>
      <c r="G360" s="190"/>
      <c r="H360" s="190"/>
      <c r="I360" s="190"/>
      <c r="J360" s="190"/>
      <c r="K360" s="190"/>
      <c r="L360" s="190"/>
      <c r="M360" s="190"/>
      <c r="N360" s="190"/>
      <c r="O360" s="190"/>
      <c r="P360" s="190"/>
      <c r="Q360" s="190"/>
    </row>
    <row r="361" spans="1:17" x14ac:dyDescent="0.3">
      <c r="A361" s="186"/>
      <c r="B361" s="187"/>
      <c r="C361" s="187"/>
      <c r="D361" s="188"/>
      <c r="E361" s="190"/>
      <c r="F361" s="190"/>
      <c r="G361" s="190"/>
      <c r="H361" s="190"/>
      <c r="I361" s="190"/>
      <c r="J361" s="190"/>
      <c r="K361" s="190"/>
      <c r="L361" s="190"/>
      <c r="M361" s="190"/>
      <c r="N361" s="190"/>
      <c r="O361" s="190"/>
      <c r="P361" s="190"/>
      <c r="Q361" s="190"/>
    </row>
    <row r="362" spans="1:17" x14ac:dyDescent="0.3">
      <c r="A362" s="186"/>
      <c r="B362" s="187"/>
      <c r="C362" s="187"/>
      <c r="D362" s="188"/>
      <c r="E362" s="190"/>
      <c r="F362" s="190"/>
      <c r="G362" s="190"/>
      <c r="H362" s="190"/>
      <c r="I362" s="190"/>
      <c r="J362" s="190"/>
      <c r="K362" s="190"/>
      <c r="L362" s="190"/>
      <c r="M362" s="190"/>
      <c r="N362" s="190"/>
      <c r="O362" s="190"/>
      <c r="P362" s="190"/>
      <c r="Q362" s="190"/>
    </row>
    <row r="363" spans="1:17" x14ac:dyDescent="0.3">
      <c r="A363" s="186"/>
      <c r="B363" s="187"/>
      <c r="C363" s="187"/>
      <c r="D363" s="188"/>
      <c r="E363" s="190"/>
      <c r="F363" s="190"/>
      <c r="G363" s="190"/>
      <c r="H363" s="190"/>
      <c r="I363" s="190"/>
      <c r="J363" s="190"/>
      <c r="K363" s="190"/>
      <c r="L363" s="190"/>
      <c r="M363" s="190"/>
      <c r="N363" s="190"/>
      <c r="O363" s="190"/>
      <c r="P363" s="190"/>
      <c r="Q363" s="190"/>
    </row>
    <row r="364" spans="1:17" x14ac:dyDescent="0.3">
      <c r="A364" s="186"/>
      <c r="B364" s="187"/>
      <c r="C364" s="187"/>
      <c r="D364" s="188"/>
      <c r="E364" s="190"/>
      <c r="F364" s="190"/>
      <c r="G364" s="190"/>
      <c r="H364" s="190"/>
      <c r="I364" s="190"/>
      <c r="J364" s="190"/>
      <c r="K364" s="190"/>
      <c r="L364" s="190"/>
      <c r="M364" s="190"/>
      <c r="N364" s="190"/>
      <c r="O364" s="190"/>
      <c r="P364" s="190"/>
      <c r="Q364" s="190"/>
    </row>
    <row r="365" spans="1:17" x14ac:dyDescent="0.3">
      <c r="A365" s="186"/>
      <c r="B365" s="187"/>
      <c r="C365" s="187"/>
      <c r="D365" s="188"/>
      <c r="E365" s="190"/>
      <c r="F365" s="190"/>
      <c r="G365" s="190"/>
      <c r="H365" s="190"/>
      <c r="I365" s="190"/>
      <c r="J365" s="190"/>
      <c r="K365" s="190"/>
      <c r="L365" s="190"/>
      <c r="M365" s="190"/>
      <c r="N365" s="190"/>
      <c r="O365" s="190"/>
      <c r="P365" s="190"/>
      <c r="Q365" s="190"/>
    </row>
    <row r="366" spans="1:17" x14ac:dyDescent="0.3">
      <c r="A366" s="186"/>
      <c r="B366" s="187"/>
      <c r="C366" s="187"/>
      <c r="D366" s="188"/>
      <c r="E366" s="190"/>
      <c r="F366" s="190"/>
      <c r="G366" s="190"/>
      <c r="H366" s="190"/>
      <c r="I366" s="190"/>
      <c r="J366" s="190"/>
      <c r="K366" s="190"/>
      <c r="L366" s="190"/>
      <c r="M366" s="190"/>
      <c r="N366" s="190"/>
      <c r="O366" s="190"/>
      <c r="P366" s="190"/>
      <c r="Q366" s="190"/>
    </row>
    <row r="367" spans="1:17" x14ac:dyDescent="0.3">
      <c r="A367" s="186"/>
      <c r="B367" s="187"/>
      <c r="C367" s="187"/>
      <c r="D367" s="188"/>
      <c r="E367" s="190"/>
      <c r="F367" s="190"/>
      <c r="G367" s="190"/>
      <c r="H367" s="190"/>
      <c r="I367" s="190"/>
      <c r="J367" s="190"/>
      <c r="K367" s="190"/>
      <c r="L367" s="190"/>
      <c r="M367" s="190"/>
      <c r="N367" s="190"/>
      <c r="O367" s="190"/>
      <c r="P367" s="190"/>
      <c r="Q367" s="190"/>
    </row>
    <row r="368" spans="1:17" x14ac:dyDescent="0.3">
      <c r="A368" s="186"/>
      <c r="B368" s="187"/>
      <c r="C368" s="187"/>
      <c r="D368" s="188"/>
      <c r="E368" s="190"/>
      <c r="F368" s="190"/>
      <c r="G368" s="190"/>
      <c r="H368" s="190"/>
      <c r="I368" s="190"/>
      <c r="J368" s="190"/>
      <c r="K368" s="190"/>
      <c r="L368" s="190"/>
      <c r="M368" s="190"/>
      <c r="N368" s="190"/>
      <c r="O368" s="190"/>
      <c r="P368" s="190"/>
      <c r="Q368" s="190"/>
    </row>
    <row r="369" spans="1:17" x14ac:dyDescent="0.3">
      <c r="A369" s="186"/>
      <c r="B369" s="187"/>
      <c r="C369" s="187"/>
      <c r="D369" s="188"/>
      <c r="E369" s="190"/>
      <c r="F369" s="190"/>
      <c r="G369" s="190"/>
      <c r="H369" s="190"/>
      <c r="I369" s="190"/>
      <c r="J369" s="190"/>
      <c r="K369" s="190"/>
      <c r="L369" s="190"/>
      <c r="M369" s="190"/>
      <c r="N369" s="190"/>
      <c r="O369" s="190"/>
      <c r="P369" s="190"/>
      <c r="Q369" s="190"/>
    </row>
    <row r="370" spans="1:17" x14ac:dyDescent="0.3">
      <c r="A370" s="186"/>
      <c r="B370" s="187"/>
      <c r="C370" s="187"/>
      <c r="D370" s="188"/>
      <c r="E370" s="190"/>
      <c r="F370" s="190"/>
      <c r="G370" s="190"/>
      <c r="H370" s="190"/>
      <c r="I370" s="190"/>
      <c r="J370" s="190"/>
      <c r="K370" s="190"/>
      <c r="L370" s="190"/>
      <c r="M370" s="190"/>
      <c r="N370" s="190"/>
      <c r="O370" s="190"/>
      <c r="P370" s="190"/>
      <c r="Q370" s="190"/>
    </row>
    <row r="371" spans="1:17" x14ac:dyDescent="0.3">
      <c r="A371" s="186"/>
      <c r="B371" s="187"/>
      <c r="C371" s="187"/>
      <c r="D371" s="188"/>
      <c r="E371" s="190"/>
      <c r="F371" s="190"/>
      <c r="G371" s="190"/>
      <c r="H371" s="190"/>
      <c r="I371" s="190"/>
      <c r="J371" s="190"/>
      <c r="K371" s="190"/>
      <c r="L371" s="190"/>
      <c r="M371" s="190"/>
      <c r="N371" s="190"/>
      <c r="O371" s="190"/>
      <c r="P371" s="190"/>
      <c r="Q371" s="190"/>
    </row>
    <row r="372" spans="1:17" x14ac:dyDescent="0.3">
      <c r="A372" s="186"/>
      <c r="B372" s="187"/>
      <c r="C372" s="187"/>
      <c r="D372" s="188"/>
      <c r="E372" s="190"/>
      <c r="F372" s="190"/>
      <c r="G372" s="190"/>
      <c r="H372" s="190"/>
      <c r="I372" s="190"/>
      <c r="J372" s="190"/>
      <c r="K372" s="190"/>
      <c r="L372" s="190"/>
      <c r="M372" s="190"/>
      <c r="N372" s="190"/>
      <c r="O372" s="190"/>
      <c r="P372" s="190"/>
      <c r="Q372" s="190"/>
    </row>
    <row r="373" spans="1:17" x14ac:dyDescent="0.3">
      <c r="A373" s="186"/>
      <c r="B373" s="187"/>
      <c r="C373" s="187"/>
      <c r="D373" s="188"/>
      <c r="E373" s="190"/>
      <c r="F373" s="190"/>
      <c r="G373" s="190"/>
      <c r="H373" s="190"/>
      <c r="I373" s="190"/>
      <c r="J373" s="190"/>
      <c r="K373" s="190"/>
      <c r="L373" s="190"/>
      <c r="M373" s="190"/>
      <c r="N373" s="190"/>
      <c r="O373" s="190"/>
      <c r="P373" s="190"/>
      <c r="Q373" s="190"/>
    </row>
    <row r="374" spans="1:17" x14ac:dyDescent="0.3">
      <c r="A374" s="186"/>
      <c r="B374" s="187"/>
      <c r="C374" s="187"/>
      <c r="D374" s="188"/>
      <c r="E374" s="190"/>
      <c r="F374" s="190"/>
      <c r="G374" s="190"/>
      <c r="H374" s="190"/>
      <c r="I374" s="190"/>
      <c r="J374" s="190"/>
      <c r="K374" s="190"/>
      <c r="L374" s="190"/>
      <c r="M374" s="190"/>
      <c r="N374" s="190"/>
      <c r="O374" s="190"/>
      <c r="P374" s="190"/>
      <c r="Q374" s="190"/>
    </row>
    <row r="375" spans="1:17" x14ac:dyDescent="0.3">
      <c r="A375" s="186"/>
      <c r="B375" s="187"/>
      <c r="C375" s="187"/>
      <c r="D375" s="188"/>
      <c r="E375" s="190"/>
      <c r="F375" s="190"/>
      <c r="G375" s="190"/>
      <c r="H375" s="190"/>
      <c r="I375" s="190"/>
      <c r="J375" s="190"/>
      <c r="K375" s="190"/>
      <c r="L375" s="190"/>
      <c r="M375" s="190"/>
      <c r="N375" s="190"/>
      <c r="O375" s="190"/>
      <c r="P375" s="190"/>
      <c r="Q375" s="190"/>
    </row>
    <row r="376" spans="1:17" x14ac:dyDescent="0.3">
      <c r="A376" s="186"/>
      <c r="B376" s="187"/>
      <c r="C376" s="187"/>
      <c r="D376" s="188"/>
      <c r="E376" s="190"/>
      <c r="F376" s="190"/>
      <c r="G376" s="190"/>
      <c r="H376" s="190"/>
      <c r="I376" s="190"/>
      <c r="J376" s="190"/>
      <c r="K376" s="190"/>
      <c r="L376" s="190"/>
      <c r="M376" s="190"/>
      <c r="N376" s="190"/>
      <c r="O376" s="190"/>
      <c r="P376" s="190"/>
      <c r="Q376" s="190"/>
    </row>
    <row r="377" spans="1:17" x14ac:dyDescent="0.3">
      <c r="A377" s="186"/>
      <c r="B377" s="187"/>
      <c r="C377" s="187"/>
      <c r="D377" s="188"/>
      <c r="E377" s="190"/>
      <c r="F377" s="190"/>
      <c r="G377" s="190"/>
      <c r="H377" s="190"/>
      <c r="I377" s="190"/>
      <c r="J377" s="190"/>
      <c r="K377" s="190"/>
      <c r="L377" s="190"/>
      <c r="M377" s="190"/>
      <c r="N377" s="190"/>
      <c r="O377" s="190"/>
      <c r="P377" s="190"/>
      <c r="Q377" s="190"/>
    </row>
    <row r="378" spans="1:17" x14ac:dyDescent="0.3">
      <c r="A378" s="186"/>
      <c r="B378" s="187"/>
      <c r="C378" s="187"/>
      <c r="D378" s="188"/>
      <c r="E378" s="190"/>
      <c r="F378" s="190"/>
      <c r="G378" s="190"/>
      <c r="H378" s="190"/>
      <c r="I378" s="190"/>
      <c r="J378" s="190"/>
      <c r="K378" s="190"/>
      <c r="L378" s="190"/>
      <c r="M378" s="190"/>
      <c r="N378" s="190"/>
      <c r="O378" s="190"/>
      <c r="P378" s="190"/>
      <c r="Q378" s="190"/>
    </row>
    <row r="379" spans="1:17" x14ac:dyDescent="0.3">
      <c r="A379" s="186"/>
      <c r="B379" s="187"/>
      <c r="C379" s="187"/>
      <c r="D379" s="188"/>
      <c r="E379" s="190"/>
      <c r="F379" s="190"/>
      <c r="G379" s="190"/>
      <c r="H379" s="190"/>
      <c r="I379" s="190"/>
      <c r="J379" s="190"/>
      <c r="K379" s="190"/>
      <c r="L379" s="190"/>
      <c r="M379" s="190"/>
      <c r="N379" s="190"/>
      <c r="O379" s="190"/>
      <c r="P379" s="190"/>
      <c r="Q379" s="190"/>
    </row>
    <row r="380" spans="1:17" x14ac:dyDescent="0.3">
      <c r="A380" s="186"/>
      <c r="B380" s="187"/>
      <c r="C380" s="187"/>
      <c r="D380" s="188"/>
      <c r="E380" s="190"/>
      <c r="F380" s="190"/>
      <c r="G380" s="190"/>
      <c r="H380" s="190"/>
      <c r="I380" s="190"/>
      <c r="J380" s="190"/>
      <c r="K380" s="190"/>
      <c r="L380" s="190"/>
      <c r="M380" s="190"/>
      <c r="N380" s="190"/>
      <c r="O380" s="190"/>
      <c r="P380" s="190"/>
      <c r="Q380" s="190"/>
    </row>
    <row r="381" spans="1:17" x14ac:dyDescent="0.3">
      <c r="A381" s="186"/>
      <c r="B381" s="187"/>
      <c r="C381" s="187"/>
      <c r="D381" s="188"/>
      <c r="E381" s="190"/>
      <c r="F381" s="190"/>
      <c r="G381" s="190"/>
      <c r="H381" s="190"/>
      <c r="I381" s="190"/>
      <c r="J381" s="190"/>
      <c r="K381" s="190"/>
      <c r="L381" s="190"/>
      <c r="M381" s="190"/>
      <c r="N381" s="190"/>
      <c r="O381" s="190"/>
      <c r="P381" s="190"/>
      <c r="Q381" s="190"/>
    </row>
    <row r="382" spans="1:17" x14ac:dyDescent="0.3">
      <c r="A382" s="186"/>
      <c r="B382" s="187"/>
      <c r="C382" s="187"/>
      <c r="D382" s="188"/>
      <c r="E382" s="190"/>
      <c r="F382" s="190"/>
      <c r="G382" s="190"/>
      <c r="H382" s="190"/>
      <c r="I382" s="190"/>
      <c r="J382" s="190"/>
      <c r="K382" s="190"/>
      <c r="L382" s="190"/>
      <c r="M382" s="190"/>
      <c r="N382" s="190"/>
      <c r="O382" s="190"/>
      <c r="P382" s="190"/>
      <c r="Q382" s="190"/>
    </row>
    <row r="383" spans="1:17" x14ac:dyDescent="0.3">
      <c r="A383" s="186"/>
      <c r="B383" s="187"/>
      <c r="C383" s="187"/>
      <c r="D383" s="188"/>
      <c r="E383" s="190"/>
      <c r="F383" s="190"/>
      <c r="G383" s="190"/>
      <c r="H383" s="190"/>
      <c r="I383" s="190"/>
      <c r="J383" s="190"/>
      <c r="K383" s="190"/>
      <c r="L383" s="190"/>
      <c r="M383" s="190"/>
      <c r="N383" s="190"/>
      <c r="O383" s="190"/>
      <c r="P383" s="190"/>
      <c r="Q383" s="190"/>
    </row>
    <row r="384" spans="1:17" x14ac:dyDescent="0.3">
      <c r="A384" s="186"/>
      <c r="B384" s="187"/>
      <c r="C384" s="187"/>
      <c r="D384" s="188"/>
      <c r="E384" s="190"/>
      <c r="F384" s="190"/>
      <c r="G384" s="190"/>
      <c r="H384" s="190"/>
      <c r="I384" s="190"/>
      <c r="J384" s="190"/>
      <c r="K384" s="190"/>
      <c r="L384" s="190"/>
      <c r="M384" s="190"/>
      <c r="N384" s="190"/>
      <c r="O384" s="190"/>
      <c r="P384" s="190"/>
      <c r="Q384" s="190"/>
    </row>
    <row r="385" spans="1:17" x14ac:dyDescent="0.3">
      <c r="A385" s="186"/>
      <c r="B385" s="187"/>
      <c r="C385" s="187"/>
      <c r="D385" s="188"/>
      <c r="E385" s="190"/>
      <c r="F385" s="190"/>
      <c r="G385" s="190"/>
      <c r="H385" s="190"/>
      <c r="I385" s="190"/>
      <c r="J385" s="190"/>
      <c r="K385" s="190"/>
      <c r="L385" s="190"/>
      <c r="M385" s="190"/>
      <c r="N385" s="190"/>
      <c r="O385" s="190"/>
      <c r="P385" s="190"/>
      <c r="Q385" s="190"/>
    </row>
    <row r="386" spans="1:17" x14ac:dyDescent="0.3">
      <c r="A386" s="186"/>
      <c r="B386" s="187"/>
      <c r="C386" s="187"/>
      <c r="D386" s="188"/>
      <c r="E386" s="190"/>
      <c r="F386" s="190"/>
      <c r="G386" s="190"/>
      <c r="H386" s="190"/>
      <c r="I386" s="190"/>
      <c r="J386" s="190"/>
      <c r="K386" s="190"/>
      <c r="L386" s="190"/>
      <c r="M386" s="190"/>
      <c r="N386" s="190"/>
      <c r="O386" s="190"/>
      <c r="P386" s="190"/>
      <c r="Q386" s="190"/>
    </row>
    <row r="387" spans="1:17" x14ac:dyDescent="0.3">
      <c r="A387" s="186"/>
      <c r="B387" s="187"/>
      <c r="C387" s="187"/>
      <c r="D387" s="188"/>
      <c r="E387" s="190"/>
      <c r="F387" s="190"/>
      <c r="G387" s="190"/>
      <c r="H387" s="190"/>
      <c r="I387" s="190"/>
      <c r="J387" s="190"/>
      <c r="K387" s="190"/>
      <c r="L387" s="190"/>
      <c r="M387" s="190"/>
      <c r="N387" s="190"/>
      <c r="O387" s="190"/>
      <c r="P387" s="190"/>
      <c r="Q387" s="190"/>
    </row>
    <row r="388" spans="1:17" x14ac:dyDescent="0.3">
      <c r="A388" s="186"/>
      <c r="B388" s="187"/>
      <c r="C388" s="187"/>
      <c r="D388" s="188"/>
      <c r="E388" s="190"/>
      <c r="F388" s="190"/>
      <c r="G388" s="190"/>
      <c r="H388" s="190"/>
      <c r="I388" s="190"/>
      <c r="J388" s="190"/>
      <c r="K388" s="190"/>
      <c r="L388" s="190"/>
      <c r="M388" s="190"/>
      <c r="N388" s="190"/>
      <c r="O388" s="190"/>
      <c r="P388" s="190"/>
      <c r="Q388" s="190"/>
    </row>
    <row r="389" spans="1:17" x14ac:dyDescent="0.3">
      <c r="A389" s="186"/>
      <c r="B389" s="187"/>
      <c r="C389" s="187"/>
      <c r="D389" s="188"/>
      <c r="E389" s="190"/>
      <c r="F389" s="190"/>
      <c r="G389" s="190"/>
      <c r="H389" s="190"/>
      <c r="I389" s="190"/>
      <c r="J389" s="190"/>
      <c r="K389" s="190"/>
      <c r="L389" s="190"/>
      <c r="M389" s="190"/>
      <c r="N389" s="190"/>
      <c r="O389" s="190"/>
      <c r="P389" s="190"/>
      <c r="Q389" s="190"/>
    </row>
    <row r="390" spans="1:17" x14ac:dyDescent="0.3">
      <c r="A390" s="186"/>
      <c r="B390" s="187"/>
      <c r="C390" s="187"/>
      <c r="D390" s="188"/>
      <c r="E390" s="190"/>
      <c r="F390" s="190"/>
      <c r="G390" s="190"/>
      <c r="H390" s="190"/>
      <c r="I390" s="190"/>
      <c r="J390" s="190"/>
      <c r="K390" s="190"/>
      <c r="L390" s="190"/>
      <c r="M390" s="190"/>
      <c r="N390" s="190"/>
      <c r="O390" s="190"/>
      <c r="P390" s="190"/>
      <c r="Q390" s="190"/>
    </row>
    <row r="391" spans="1:17" x14ac:dyDescent="0.3">
      <c r="A391" s="186"/>
      <c r="B391" s="187"/>
      <c r="C391" s="187"/>
      <c r="D391" s="188"/>
      <c r="E391" s="190"/>
      <c r="F391" s="190"/>
      <c r="G391" s="190"/>
      <c r="H391" s="190"/>
      <c r="I391" s="190"/>
      <c r="J391" s="190"/>
      <c r="K391" s="190"/>
      <c r="L391" s="190"/>
      <c r="M391" s="190"/>
      <c r="N391" s="190"/>
      <c r="O391" s="190"/>
      <c r="P391" s="190"/>
      <c r="Q391" s="190"/>
    </row>
    <row r="392" spans="1:17" x14ac:dyDescent="0.3">
      <c r="A392" s="186"/>
      <c r="B392" s="187"/>
      <c r="C392" s="187"/>
      <c r="D392" s="188"/>
      <c r="E392" s="190"/>
      <c r="F392" s="190"/>
      <c r="G392" s="190"/>
      <c r="H392" s="190"/>
      <c r="I392" s="190"/>
      <c r="J392" s="190"/>
      <c r="K392" s="190"/>
      <c r="L392" s="190"/>
      <c r="M392" s="190"/>
      <c r="N392" s="190"/>
      <c r="O392" s="190"/>
      <c r="P392" s="190"/>
      <c r="Q392" s="190"/>
    </row>
    <row r="393" spans="1:17" x14ac:dyDescent="0.3">
      <c r="A393" s="186"/>
      <c r="B393" s="187"/>
      <c r="C393" s="187"/>
      <c r="D393" s="188"/>
      <c r="E393" s="190"/>
      <c r="F393" s="190"/>
      <c r="G393" s="190"/>
      <c r="H393" s="190"/>
      <c r="I393" s="190"/>
      <c r="J393" s="190"/>
      <c r="K393" s="190"/>
      <c r="L393" s="190"/>
      <c r="M393" s="190"/>
      <c r="N393" s="190"/>
      <c r="O393" s="190"/>
      <c r="P393" s="190"/>
      <c r="Q393" s="190"/>
    </row>
    <row r="394" spans="1:17" x14ac:dyDescent="0.3">
      <c r="A394" s="186"/>
      <c r="B394" s="187"/>
      <c r="C394" s="187"/>
      <c r="D394" s="188"/>
      <c r="E394" s="190"/>
      <c r="F394" s="190"/>
      <c r="G394" s="190"/>
      <c r="H394" s="190"/>
      <c r="I394" s="190"/>
      <c r="J394" s="190"/>
      <c r="K394" s="190"/>
      <c r="L394" s="190"/>
      <c r="M394" s="190"/>
      <c r="N394" s="190"/>
      <c r="O394" s="190"/>
      <c r="P394" s="190"/>
      <c r="Q394" s="190"/>
    </row>
    <row r="395" spans="1:17" x14ac:dyDescent="0.3">
      <c r="A395" s="186"/>
      <c r="B395" s="187"/>
      <c r="C395" s="187"/>
      <c r="D395" s="188"/>
      <c r="E395" s="190"/>
      <c r="F395" s="190"/>
      <c r="G395" s="190"/>
      <c r="H395" s="190"/>
      <c r="I395" s="190"/>
      <c r="J395" s="190"/>
      <c r="K395" s="190"/>
      <c r="L395" s="190"/>
      <c r="M395" s="190"/>
      <c r="N395" s="190"/>
      <c r="O395" s="190"/>
      <c r="P395" s="190"/>
      <c r="Q395" s="190"/>
    </row>
    <row r="396" spans="1:17" x14ac:dyDescent="0.3">
      <c r="A396" s="186"/>
      <c r="B396" s="187"/>
      <c r="C396" s="187"/>
      <c r="D396" s="188"/>
      <c r="E396" s="190"/>
      <c r="F396" s="190"/>
      <c r="G396" s="190"/>
      <c r="H396" s="190"/>
      <c r="I396" s="190"/>
      <c r="J396" s="190"/>
      <c r="K396" s="190"/>
      <c r="L396" s="190"/>
      <c r="M396" s="190"/>
      <c r="N396" s="190"/>
      <c r="O396" s="190"/>
      <c r="P396" s="190"/>
      <c r="Q396" s="190"/>
    </row>
    <row r="397" spans="1:17" x14ac:dyDescent="0.3">
      <c r="A397" s="186"/>
      <c r="B397" s="187"/>
      <c r="C397" s="187"/>
      <c r="D397" s="188"/>
      <c r="E397" s="190"/>
      <c r="F397" s="190"/>
      <c r="G397" s="190"/>
      <c r="H397" s="190"/>
      <c r="I397" s="190"/>
      <c r="J397" s="190"/>
      <c r="K397" s="190"/>
      <c r="L397" s="190"/>
      <c r="M397" s="190"/>
      <c r="N397" s="190"/>
      <c r="O397" s="190"/>
      <c r="P397" s="190"/>
      <c r="Q397" s="190"/>
    </row>
    <row r="398" spans="1:17" x14ac:dyDescent="0.3">
      <c r="A398" s="186"/>
      <c r="B398" s="187"/>
      <c r="C398" s="187"/>
      <c r="D398" s="188"/>
      <c r="E398" s="190"/>
      <c r="F398" s="190"/>
      <c r="G398" s="190"/>
      <c r="H398" s="190"/>
      <c r="I398" s="190"/>
      <c r="J398" s="190"/>
      <c r="K398" s="190"/>
      <c r="L398" s="190"/>
      <c r="M398" s="190"/>
      <c r="N398" s="190"/>
      <c r="O398" s="190"/>
      <c r="P398" s="190"/>
      <c r="Q398" s="190"/>
    </row>
    <row r="399" spans="1:17" x14ac:dyDescent="0.3">
      <c r="A399" s="186"/>
      <c r="B399" s="187"/>
      <c r="C399" s="187"/>
      <c r="D399" s="188"/>
      <c r="E399" s="190"/>
      <c r="F399" s="190"/>
      <c r="G399" s="190"/>
      <c r="H399" s="190"/>
      <c r="I399" s="190"/>
      <c r="J399" s="190"/>
      <c r="K399" s="190"/>
      <c r="L399" s="190"/>
      <c r="M399" s="190"/>
      <c r="N399" s="190"/>
      <c r="O399" s="190"/>
      <c r="P399" s="190"/>
      <c r="Q399" s="190"/>
    </row>
    <row r="400" spans="1:17" x14ac:dyDescent="0.3">
      <c r="A400" s="186"/>
      <c r="B400" s="187"/>
      <c r="C400" s="187"/>
      <c r="D400" s="188"/>
      <c r="E400" s="190"/>
      <c r="F400" s="190"/>
      <c r="G400" s="190"/>
      <c r="H400" s="190"/>
      <c r="I400" s="190"/>
      <c r="J400" s="190"/>
      <c r="K400" s="190"/>
      <c r="L400" s="190"/>
      <c r="M400" s="190"/>
      <c r="N400" s="190"/>
      <c r="O400" s="190"/>
      <c r="P400" s="190"/>
      <c r="Q400" s="190"/>
    </row>
    <row r="401" spans="1:17" x14ac:dyDescent="0.3">
      <c r="A401" s="186"/>
      <c r="B401" s="187"/>
      <c r="C401" s="187"/>
      <c r="D401" s="188"/>
      <c r="E401" s="190"/>
      <c r="F401" s="190"/>
      <c r="G401" s="190"/>
      <c r="H401" s="190"/>
      <c r="I401" s="190"/>
      <c r="J401" s="190"/>
      <c r="K401" s="190"/>
      <c r="L401" s="190"/>
      <c r="M401" s="190"/>
      <c r="N401" s="190"/>
      <c r="O401" s="190"/>
      <c r="P401" s="190"/>
      <c r="Q401" s="190"/>
    </row>
    <row r="402" spans="1:17" x14ac:dyDescent="0.3">
      <c r="A402" s="186"/>
      <c r="B402" s="187"/>
      <c r="C402" s="187"/>
      <c r="D402" s="188"/>
      <c r="E402" s="190"/>
      <c r="F402" s="190"/>
      <c r="G402" s="190"/>
      <c r="H402" s="190"/>
      <c r="I402" s="190"/>
      <c r="J402" s="190"/>
      <c r="K402" s="190"/>
      <c r="L402" s="190"/>
      <c r="M402" s="190"/>
      <c r="N402" s="190"/>
      <c r="O402" s="190"/>
      <c r="P402" s="190"/>
      <c r="Q402" s="190"/>
    </row>
    <row r="403" spans="1:17" x14ac:dyDescent="0.3">
      <c r="A403" s="186"/>
      <c r="B403" s="187"/>
      <c r="C403" s="187"/>
      <c r="D403" s="188"/>
      <c r="E403" s="190"/>
      <c r="F403" s="190"/>
      <c r="G403" s="190"/>
      <c r="H403" s="190"/>
      <c r="I403" s="190"/>
      <c r="J403" s="190"/>
      <c r="K403" s="190"/>
      <c r="L403" s="190"/>
      <c r="M403" s="190"/>
      <c r="N403" s="190"/>
      <c r="O403" s="190"/>
      <c r="P403" s="190"/>
      <c r="Q403" s="190"/>
    </row>
    <row r="404" spans="1:17" x14ac:dyDescent="0.3">
      <c r="A404" s="186"/>
      <c r="B404" s="187"/>
      <c r="C404" s="187"/>
      <c r="D404" s="188"/>
      <c r="E404" s="190"/>
      <c r="F404" s="190"/>
      <c r="G404" s="190"/>
      <c r="H404" s="190"/>
      <c r="I404" s="190"/>
      <c r="J404" s="190"/>
      <c r="K404" s="190"/>
      <c r="L404" s="190"/>
      <c r="M404" s="190"/>
      <c r="N404" s="190"/>
      <c r="O404" s="190"/>
      <c r="P404" s="190"/>
      <c r="Q404" s="190"/>
    </row>
    <row r="405" spans="1:17" x14ac:dyDescent="0.3">
      <c r="A405" s="186"/>
      <c r="B405" s="187"/>
      <c r="C405" s="187"/>
      <c r="D405" s="188"/>
      <c r="E405" s="190"/>
      <c r="F405" s="190"/>
      <c r="G405" s="190"/>
      <c r="H405" s="190"/>
      <c r="I405" s="190"/>
      <c r="J405" s="190"/>
      <c r="K405" s="190"/>
      <c r="L405" s="190"/>
      <c r="M405" s="190"/>
      <c r="N405" s="190"/>
      <c r="O405" s="190"/>
      <c r="P405" s="190"/>
      <c r="Q405" s="190"/>
    </row>
    <row r="406" spans="1:17" x14ac:dyDescent="0.3">
      <c r="A406" s="186"/>
      <c r="B406" s="187"/>
      <c r="C406" s="187"/>
      <c r="D406" s="188"/>
      <c r="E406" s="190"/>
      <c r="F406" s="190"/>
      <c r="G406" s="190"/>
      <c r="H406" s="190"/>
      <c r="I406" s="190"/>
      <c r="J406" s="190"/>
      <c r="K406" s="190"/>
      <c r="L406" s="190"/>
      <c r="M406" s="190"/>
      <c r="N406" s="190"/>
      <c r="O406" s="190"/>
      <c r="P406" s="190"/>
      <c r="Q406" s="190"/>
    </row>
    <row r="407" spans="1:17" x14ac:dyDescent="0.3">
      <c r="A407" s="186"/>
      <c r="B407" s="187"/>
      <c r="C407" s="187"/>
      <c r="D407" s="188"/>
      <c r="E407" s="190"/>
      <c r="F407" s="190"/>
      <c r="G407" s="190"/>
      <c r="H407" s="190"/>
      <c r="I407" s="190"/>
      <c r="J407" s="190"/>
      <c r="K407" s="190"/>
      <c r="L407" s="190"/>
      <c r="M407" s="190"/>
      <c r="N407" s="190"/>
      <c r="O407" s="190"/>
      <c r="P407" s="190"/>
      <c r="Q407" s="190"/>
    </row>
    <row r="408" spans="1:17" x14ac:dyDescent="0.3">
      <c r="A408" s="186"/>
      <c r="B408" s="187"/>
      <c r="C408" s="187"/>
      <c r="D408" s="188"/>
      <c r="E408" s="190"/>
      <c r="F408" s="190"/>
      <c r="G408" s="190"/>
      <c r="H408" s="190"/>
      <c r="I408" s="190"/>
      <c r="J408" s="190"/>
      <c r="K408" s="190"/>
      <c r="L408" s="190"/>
      <c r="M408" s="190"/>
      <c r="N408" s="190"/>
      <c r="O408" s="190"/>
      <c r="P408" s="190"/>
      <c r="Q408" s="190"/>
    </row>
    <row r="409" spans="1:17" x14ac:dyDescent="0.3">
      <c r="A409" s="186"/>
      <c r="B409" s="187"/>
      <c r="C409" s="187"/>
      <c r="D409" s="188"/>
      <c r="E409" s="190"/>
      <c r="F409" s="190"/>
      <c r="G409" s="190"/>
      <c r="H409" s="190"/>
      <c r="I409" s="190"/>
      <c r="J409" s="190"/>
      <c r="K409" s="190"/>
      <c r="L409" s="190"/>
      <c r="M409" s="190"/>
      <c r="N409" s="190"/>
      <c r="O409" s="190"/>
      <c r="P409" s="190"/>
      <c r="Q409" s="190"/>
    </row>
    <row r="410" spans="1:17" x14ac:dyDescent="0.3">
      <c r="A410" s="186"/>
      <c r="B410" s="187"/>
      <c r="C410" s="187"/>
      <c r="D410" s="188"/>
      <c r="E410" s="190"/>
      <c r="F410" s="190"/>
      <c r="G410" s="190"/>
      <c r="H410" s="190"/>
      <c r="I410" s="190"/>
      <c r="J410" s="190"/>
      <c r="K410" s="190"/>
      <c r="L410" s="190"/>
      <c r="M410" s="190"/>
      <c r="N410" s="190"/>
      <c r="O410" s="190"/>
      <c r="P410" s="190"/>
      <c r="Q410" s="190"/>
    </row>
    <row r="411" spans="1:17" x14ac:dyDescent="0.3">
      <c r="A411" s="186"/>
      <c r="B411" s="187"/>
      <c r="C411" s="187"/>
      <c r="D411" s="188"/>
      <c r="E411" s="190"/>
      <c r="F411" s="190"/>
      <c r="G411" s="190"/>
      <c r="H411" s="190"/>
      <c r="I411" s="190"/>
      <c r="J411" s="190"/>
      <c r="K411" s="190"/>
      <c r="L411" s="190"/>
      <c r="M411" s="190"/>
      <c r="N411" s="190"/>
      <c r="O411" s="190"/>
      <c r="P411" s="190"/>
      <c r="Q411" s="190"/>
    </row>
    <row r="412" spans="1:17" x14ac:dyDescent="0.3">
      <c r="A412" s="186"/>
      <c r="B412" s="187"/>
      <c r="C412" s="187"/>
      <c r="D412" s="188"/>
      <c r="E412" s="190"/>
      <c r="F412" s="190"/>
      <c r="G412" s="190"/>
      <c r="H412" s="190"/>
      <c r="I412" s="190"/>
      <c r="J412" s="190"/>
      <c r="K412" s="190"/>
      <c r="L412" s="190"/>
      <c r="M412" s="190"/>
      <c r="N412" s="190"/>
      <c r="O412" s="190"/>
      <c r="P412" s="190"/>
      <c r="Q412" s="190"/>
    </row>
    <row r="413" spans="1:17" x14ac:dyDescent="0.3">
      <c r="A413" s="186"/>
      <c r="B413" s="187"/>
      <c r="C413" s="187"/>
      <c r="D413" s="188"/>
      <c r="E413" s="190"/>
      <c r="F413" s="190"/>
      <c r="G413" s="190"/>
      <c r="H413" s="190"/>
      <c r="I413" s="190"/>
      <c r="J413" s="190"/>
      <c r="K413" s="190"/>
      <c r="L413" s="190"/>
      <c r="M413" s="190"/>
      <c r="N413" s="190"/>
      <c r="O413" s="190"/>
      <c r="P413" s="190"/>
      <c r="Q413" s="190"/>
    </row>
    <row r="414" spans="1:17" x14ac:dyDescent="0.3">
      <c r="A414" s="186"/>
      <c r="B414" s="187"/>
      <c r="C414" s="187"/>
      <c r="D414" s="188"/>
      <c r="E414" s="190"/>
      <c r="F414" s="190"/>
      <c r="G414" s="190"/>
      <c r="H414" s="190"/>
      <c r="I414" s="190"/>
      <c r="J414" s="190"/>
      <c r="K414" s="190"/>
      <c r="L414" s="190"/>
      <c r="M414" s="190"/>
      <c r="N414" s="190"/>
      <c r="O414" s="190"/>
      <c r="P414" s="190"/>
      <c r="Q414" s="190"/>
    </row>
    <row r="415" spans="1:17" x14ac:dyDescent="0.3">
      <c r="A415" s="186"/>
      <c r="B415" s="187"/>
      <c r="C415" s="187"/>
      <c r="D415" s="188"/>
      <c r="E415" s="190"/>
      <c r="F415" s="190"/>
      <c r="G415" s="190"/>
      <c r="H415" s="190"/>
      <c r="I415" s="190"/>
      <c r="J415" s="190"/>
      <c r="K415" s="190"/>
      <c r="L415" s="190"/>
      <c r="M415" s="190"/>
      <c r="N415" s="190"/>
      <c r="O415" s="190"/>
      <c r="P415" s="190"/>
      <c r="Q415" s="190"/>
    </row>
    <row r="416" spans="1:17" x14ac:dyDescent="0.3">
      <c r="A416" s="186"/>
      <c r="B416" s="187"/>
      <c r="C416" s="187"/>
      <c r="D416" s="188"/>
      <c r="E416" s="190"/>
      <c r="F416" s="190"/>
      <c r="G416" s="190"/>
      <c r="H416" s="190"/>
      <c r="I416" s="190"/>
      <c r="J416" s="190"/>
      <c r="K416" s="190"/>
      <c r="L416" s="190"/>
      <c r="M416" s="190"/>
      <c r="N416" s="190"/>
      <c r="O416" s="190"/>
      <c r="P416" s="190"/>
      <c r="Q416" s="190"/>
    </row>
    <row r="417" spans="1:17" x14ac:dyDescent="0.3">
      <c r="A417" s="186"/>
      <c r="B417" s="187"/>
      <c r="C417" s="187"/>
      <c r="D417" s="188"/>
      <c r="E417" s="190"/>
      <c r="F417" s="190"/>
      <c r="G417" s="190"/>
      <c r="H417" s="190"/>
      <c r="I417" s="190"/>
      <c r="J417" s="190"/>
      <c r="K417" s="190"/>
      <c r="L417" s="190"/>
      <c r="M417" s="190"/>
      <c r="N417" s="190"/>
      <c r="O417" s="190"/>
      <c r="P417" s="190"/>
      <c r="Q417" s="190"/>
    </row>
    <row r="418" spans="1:17" x14ac:dyDescent="0.3">
      <c r="A418" s="186"/>
      <c r="B418" s="187"/>
      <c r="C418" s="187"/>
      <c r="D418" s="188"/>
      <c r="E418" s="190"/>
      <c r="F418" s="190"/>
      <c r="G418" s="190"/>
      <c r="H418" s="190"/>
      <c r="I418" s="190"/>
      <c r="J418" s="190"/>
      <c r="K418" s="190"/>
      <c r="L418" s="190"/>
      <c r="M418" s="190"/>
      <c r="N418" s="190"/>
      <c r="O418" s="190"/>
      <c r="P418" s="190"/>
      <c r="Q418" s="190"/>
    </row>
    <row r="419" spans="1:17" x14ac:dyDescent="0.3">
      <c r="A419" s="186"/>
      <c r="B419" s="187"/>
      <c r="C419" s="187"/>
      <c r="D419" s="188"/>
      <c r="E419" s="190"/>
      <c r="F419" s="190"/>
      <c r="G419" s="190"/>
      <c r="H419" s="190"/>
      <c r="I419" s="190"/>
      <c r="J419" s="190"/>
      <c r="K419" s="190"/>
      <c r="L419" s="190"/>
      <c r="M419" s="190"/>
      <c r="N419" s="190"/>
      <c r="O419" s="190"/>
      <c r="P419" s="190"/>
      <c r="Q419" s="190"/>
    </row>
    <row r="420" spans="1:17" x14ac:dyDescent="0.3">
      <c r="A420" s="186"/>
      <c r="B420" s="187"/>
      <c r="C420" s="187"/>
      <c r="D420" s="188"/>
      <c r="E420" s="190"/>
      <c r="F420" s="190"/>
      <c r="G420" s="190"/>
      <c r="H420" s="190"/>
      <c r="I420" s="190"/>
      <c r="J420" s="190"/>
      <c r="K420" s="190"/>
      <c r="L420" s="190"/>
      <c r="M420" s="190"/>
      <c r="N420" s="190"/>
      <c r="O420" s="190"/>
      <c r="P420" s="190"/>
      <c r="Q420" s="190"/>
    </row>
    <row r="421" spans="1:17" x14ac:dyDescent="0.3">
      <c r="A421" s="186"/>
      <c r="B421" s="187"/>
      <c r="C421" s="187"/>
      <c r="D421" s="188"/>
      <c r="E421" s="190"/>
      <c r="F421" s="190"/>
      <c r="G421" s="190"/>
      <c r="H421" s="190"/>
      <c r="I421" s="190"/>
      <c r="J421" s="190"/>
      <c r="K421" s="190"/>
      <c r="L421" s="190"/>
      <c r="M421" s="190"/>
      <c r="N421" s="190"/>
      <c r="O421" s="190"/>
      <c r="P421" s="190"/>
      <c r="Q421" s="190"/>
    </row>
    <row r="422" spans="1:17" x14ac:dyDescent="0.3">
      <c r="A422" s="186"/>
      <c r="B422" s="187"/>
      <c r="C422" s="187"/>
      <c r="D422" s="188"/>
      <c r="E422" s="190"/>
      <c r="F422" s="190"/>
      <c r="G422" s="190"/>
      <c r="H422" s="190"/>
      <c r="I422" s="190"/>
      <c r="J422" s="190"/>
      <c r="K422" s="190"/>
      <c r="L422" s="190"/>
      <c r="M422" s="190"/>
      <c r="N422" s="190"/>
      <c r="O422" s="190"/>
      <c r="P422" s="190"/>
      <c r="Q422" s="190"/>
    </row>
    <row r="423" spans="1:17" x14ac:dyDescent="0.3">
      <c r="A423" s="186"/>
      <c r="B423" s="187"/>
      <c r="C423" s="187"/>
      <c r="D423" s="188"/>
      <c r="E423" s="190"/>
      <c r="F423" s="190"/>
      <c r="G423" s="190"/>
      <c r="H423" s="190"/>
      <c r="I423" s="190"/>
      <c r="J423" s="190"/>
      <c r="K423" s="190"/>
      <c r="L423" s="190"/>
      <c r="M423" s="190"/>
      <c r="N423" s="190"/>
      <c r="O423" s="190"/>
      <c r="P423" s="190"/>
      <c r="Q423" s="190"/>
    </row>
    <row r="424" spans="1:17" x14ac:dyDescent="0.3">
      <c r="A424" s="186"/>
      <c r="B424" s="187"/>
      <c r="C424" s="187"/>
      <c r="D424" s="188"/>
      <c r="E424" s="190"/>
      <c r="F424" s="190"/>
      <c r="G424" s="190"/>
      <c r="H424" s="190"/>
      <c r="I424" s="190"/>
      <c r="J424" s="190"/>
      <c r="K424" s="190"/>
      <c r="L424" s="190"/>
      <c r="M424" s="190"/>
      <c r="N424" s="190"/>
      <c r="O424" s="190"/>
      <c r="P424" s="190"/>
      <c r="Q424" s="190"/>
    </row>
    <row r="425" spans="1:17" x14ac:dyDescent="0.3">
      <c r="A425" s="186"/>
      <c r="B425" s="187"/>
      <c r="C425" s="187"/>
      <c r="D425" s="188"/>
      <c r="E425" s="190"/>
      <c r="F425" s="190"/>
      <c r="G425" s="190"/>
      <c r="H425" s="190"/>
      <c r="I425" s="190"/>
      <c r="J425" s="190"/>
      <c r="K425" s="190"/>
      <c r="L425" s="190"/>
      <c r="M425" s="190"/>
      <c r="N425" s="190"/>
      <c r="O425" s="190"/>
      <c r="P425" s="190"/>
      <c r="Q425" s="190"/>
    </row>
    <row r="426" spans="1:17" x14ac:dyDescent="0.3">
      <c r="A426" s="186"/>
      <c r="B426" s="187"/>
      <c r="C426" s="187"/>
      <c r="D426" s="188"/>
      <c r="E426" s="190"/>
      <c r="F426" s="190"/>
      <c r="G426" s="190"/>
      <c r="H426" s="190"/>
      <c r="I426" s="190"/>
      <c r="J426" s="190"/>
      <c r="K426" s="190"/>
      <c r="L426" s="190"/>
      <c r="M426" s="190"/>
      <c r="N426" s="190"/>
      <c r="O426" s="190"/>
      <c r="P426" s="190"/>
      <c r="Q426" s="190"/>
    </row>
    <row r="427" spans="1:17" x14ac:dyDescent="0.3">
      <c r="A427" s="186"/>
      <c r="B427" s="187"/>
      <c r="C427" s="187"/>
      <c r="D427" s="188"/>
      <c r="E427" s="190"/>
      <c r="F427" s="190"/>
      <c r="G427" s="190"/>
      <c r="H427" s="190"/>
      <c r="I427" s="190"/>
      <c r="J427" s="190"/>
      <c r="K427" s="190"/>
      <c r="L427" s="190"/>
      <c r="M427" s="190"/>
      <c r="N427" s="190"/>
      <c r="O427" s="190"/>
      <c r="P427" s="190"/>
      <c r="Q427" s="190"/>
    </row>
    <row r="428" spans="1:17" x14ac:dyDescent="0.3">
      <c r="A428" s="186"/>
      <c r="B428" s="187"/>
      <c r="C428" s="187"/>
      <c r="D428" s="188"/>
      <c r="E428" s="190"/>
      <c r="F428" s="190"/>
      <c r="G428" s="190"/>
      <c r="H428" s="190"/>
      <c r="I428" s="190"/>
      <c r="J428" s="190"/>
      <c r="K428" s="190"/>
      <c r="L428" s="190"/>
      <c r="M428" s="190"/>
      <c r="N428" s="190"/>
      <c r="O428" s="190"/>
      <c r="P428" s="190"/>
      <c r="Q428" s="190"/>
    </row>
    <row r="429" spans="1:17" x14ac:dyDescent="0.3">
      <c r="A429" s="186"/>
      <c r="B429" s="187"/>
      <c r="C429" s="187"/>
      <c r="D429" s="188"/>
      <c r="E429" s="190"/>
      <c r="F429" s="190"/>
      <c r="G429" s="190"/>
      <c r="H429" s="190"/>
      <c r="I429" s="190"/>
      <c r="J429" s="190"/>
      <c r="K429" s="190"/>
      <c r="L429" s="190"/>
      <c r="M429" s="190"/>
      <c r="N429" s="190"/>
      <c r="O429" s="190"/>
      <c r="P429" s="190"/>
      <c r="Q429" s="190"/>
    </row>
    <row r="430" spans="1:17" x14ac:dyDescent="0.3">
      <c r="A430" s="186"/>
      <c r="B430" s="187"/>
      <c r="C430" s="187"/>
      <c r="D430" s="188"/>
      <c r="E430" s="190"/>
      <c r="F430" s="190"/>
      <c r="G430" s="190"/>
      <c r="H430" s="190"/>
      <c r="I430" s="190"/>
      <c r="J430" s="190"/>
      <c r="K430" s="190"/>
      <c r="L430" s="190"/>
      <c r="M430" s="190"/>
      <c r="N430" s="190"/>
      <c r="O430" s="190"/>
      <c r="P430" s="190"/>
      <c r="Q430" s="190"/>
    </row>
    <row r="431" spans="1:17" x14ac:dyDescent="0.3">
      <c r="A431" s="186"/>
      <c r="B431" s="187"/>
      <c r="C431" s="187"/>
      <c r="D431" s="188"/>
      <c r="E431" s="190"/>
      <c r="F431" s="190"/>
      <c r="G431" s="190"/>
      <c r="H431" s="190"/>
      <c r="I431" s="190"/>
      <c r="J431" s="190"/>
      <c r="K431" s="190"/>
      <c r="L431" s="190"/>
      <c r="M431" s="190"/>
      <c r="N431" s="190"/>
      <c r="O431" s="190"/>
      <c r="P431" s="190"/>
      <c r="Q431" s="190"/>
    </row>
    <row r="432" spans="1:17" x14ac:dyDescent="0.3">
      <c r="A432" s="186"/>
      <c r="B432" s="187"/>
      <c r="C432" s="187"/>
      <c r="D432" s="188"/>
      <c r="E432" s="190"/>
      <c r="F432" s="190"/>
      <c r="G432" s="190"/>
      <c r="H432" s="190"/>
      <c r="I432" s="190"/>
      <c r="J432" s="190"/>
      <c r="K432" s="190"/>
      <c r="L432" s="190"/>
      <c r="M432" s="190"/>
      <c r="N432" s="190"/>
      <c r="O432" s="190"/>
      <c r="P432" s="190"/>
      <c r="Q432" s="190"/>
    </row>
    <row r="433" spans="1:17" x14ac:dyDescent="0.3">
      <c r="A433" s="186"/>
      <c r="B433" s="187"/>
      <c r="C433" s="187"/>
      <c r="D433" s="188"/>
      <c r="E433" s="190"/>
      <c r="F433" s="190"/>
      <c r="G433" s="190"/>
      <c r="H433" s="190"/>
      <c r="I433" s="190"/>
      <c r="J433" s="190"/>
      <c r="K433" s="190"/>
      <c r="L433" s="190"/>
      <c r="M433" s="190"/>
      <c r="N433" s="190"/>
      <c r="O433" s="190"/>
      <c r="P433" s="190"/>
      <c r="Q433" s="190"/>
    </row>
    <row r="434" spans="1:17" x14ac:dyDescent="0.3">
      <c r="A434" s="186"/>
      <c r="B434" s="187"/>
      <c r="C434" s="187"/>
      <c r="D434" s="188"/>
      <c r="E434" s="190"/>
      <c r="F434" s="190"/>
      <c r="G434" s="190"/>
      <c r="H434" s="190"/>
      <c r="I434" s="190"/>
      <c r="J434" s="190"/>
      <c r="K434" s="190"/>
      <c r="L434" s="190"/>
      <c r="M434" s="190"/>
      <c r="N434" s="190"/>
      <c r="O434" s="190"/>
      <c r="P434" s="190"/>
      <c r="Q434" s="190"/>
    </row>
    <row r="435" spans="1:17" x14ac:dyDescent="0.3">
      <c r="A435" s="186"/>
      <c r="B435" s="187"/>
      <c r="C435" s="187"/>
      <c r="D435" s="188"/>
      <c r="E435" s="190"/>
      <c r="F435" s="190"/>
      <c r="G435" s="190"/>
      <c r="H435" s="190"/>
      <c r="I435" s="190"/>
      <c r="J435" s="190"/>
      <c r="K435" s="190"/>
      <c r="L435" s="190"/>
      <c r="M435" s="190"/>
      <c r="N435" s="190"/>
      <c r="O435" s="190"/>
      <c r="P435" s="190"/>
      <c r="Q435" s="190"/>
    </row>
    <row r="436" spans="1:17" x14ac:dyDescent="0.3">
      <c r="A436" s="186"/>
      <c r="B436" s="187"/>
      <c r="C436" s="187"/>
      <c r="D436" s="188"/>
      <c r="E436" s="190"/>
      <c r="F436" s="190"/>
      <c r="G436" s="190"/>
      <c r="H436" s="190"/>
      <c r="I436" s="190"/>
      <c r="J436" s="190"/>
      <c r="K436" s="190"/>
      <c r="L436" s="190"/>
      <c r="M436" s="190"/>
      <c r="N436" s="190"/>
      <c r="O436" s="190"/>
      <c r="P436" s="190"/>
      <c r="Q436" s="190"/>
    </row>
    <row r="437" spans="1:17" x14ac:dyDescent="0.3">
      <c r="A437" s="186"/>
      <c r="B437" s="187"/>
      <c r="C437" s="187"/>
      <c r="D437" s="188"/>
      <c r="E437" s="190"/>
      <c r="F437" s="190"/>
      <c r="G437" s="190"/>
      <c r="H437" s="190"/>
      <c r="I437" s="190"/>
      <c r="J437" s="190"/>
      <c r="K437" s="190"/>
      <c r="L437" s="190"/>
      <c r="M437" s="190"/>
      <c r="N437" s="190"/>
      <c r="O437" s="190"/>
      <c r="P437" s="190"/>
      <c r="Q437" s="190"/>
    </row>
    <row r="438" spans="1:17" x14ac:dyDescent="0.3">
      <c r="A438" s="186"/>
      <c r="B438" s="187"/>
      <c r="C438" s="187"/>
      <c r="D438" s="188"/>
      <c r="E438" s="190"/>
      <c r="F438" s="190"/>
      <c r="G438" s="190"/>
      <c r="H438" s="190"/>
      <c r="I438" s="190"/>
      <c r="J438" s="190"/>
      <c r="K438" s="190"/>
      <c r="L438" s="190"/>
      <c r="M438" s="190"/>
      <c r="N438" s="190"/>
      <c r="O438" s="190"/>
      <c r="P438" s="190"/>
      <c r="Q438" s="190"/>
    </row>
    <row r="439" spans="1:17" x14ac:dyDescent="0.3">
      <c r="A439" s="186"/>
      <c r="B439" s="187"/>
      <c r="C439" s="187"/>
      <c r="D439" s="188"/>
      <c r="E439" s="190"/>
      <c r="F439" s="190"/>
      <c r="G439" s="190"/>
      <c r="H439" s="190"/>
      <c r="I439" s="190"/>
      <c r="J439" s="190"/>
      <c r="K439" s="190"/>
      <c r="L439" s="190"/>
      <c r="M439" s="190"/>
      <c r="N439" s="190"/>
      <c r="O439" s="190"/>
      <c r="P439" s="190"/>
      <c r="Q439" s="190"/>
    </row>
    <row r="440" spans="1:17" x14ac:dyDescent="0.3">
      <c r="A440" s="186"/>
      <c r="B440" s="187"/>
      <c r="C440" s="187"/>
      <c r="D440" s="188"/>
      <c r="E440" s="190"/>
      <c r="F440" s="190"/>
      <c r="G440" s="190"/>
      <c r="H440" s="190"/>
      <c r="I440" s="190"/>
      <c r="J440" s="190"/>
      <c r="K440" s="190"/>
      <c r="L440" s="190"/>
      <c r="M440" s="190"/>
      <c r="N440" s="190"/>
      <c r="O440" s="190"/>
      <c r="P440" s="190"/>
      <c r="Q440" s="190"/>
    </row>
    <row r="441" spans="1:17" x14ac:dyDescent="0.3">
      <c r="A441" s="186"/>
      <c r="B441" s="187"/>
      <c r="C441" s="187"/>
      <c r="D441" s="188"/>
      <c r="E441" s="190"/>
      <c r="F441" s="190"/>
      <c r="G441" s="190"/>
      <c r="H441" s="190"/>
      <c r="I441" s="190"/>
      <c r="J441" s="190"/>
      <c r="K441" s="190"/>
      <c r="L441" s="190"/>
      <c r="M441" s="190"/>
      <c r="N441" s="190"/>
      <c r="O441" s="190"/>
      <c r="P441" s="190"/>
      <c r="Q441" s="190"/>
    </row>
    <row r="442" spans="1:17" x14ac:dyDescent="0.3">
      <c r="A442" s="186"/>
      <c r="B442" s="187"/>
      <c r="C442" s="187"/>
      <c r="D442" s="188"/>
      <c r="E442" s="190"/>
      <c r="F442" s="190"/>
      <c r="G442" s="190"/>
      <c r="H442" s="190"/>
      <c r="I442" s="190"/>
      <c r="J442" s="190"/>
      <c r="K442" s="190"/>
      <c r="L442" s="190"/>
      <c r="M442" s="190"/>
      <c r="N442" s="190"/>
      <c r="O442" s="190"/>
      <c r="P442" s="190"/>
      <c r="Q442" s="190"/>
    </row>
    <row r="443" spans="1:17" x14ac:dyDescent="0.3">
      <c r="A443" s="186"/>
      <c r="B443" s="187"/>
      <c r="C443" s="187"/>
      <c r="D443" s="188"/>
      <c r="E443" s="190"/>
      <c r="F443" s="190"/>
      <c r="G443" s="190"/>
      <c r="H443" s="190"/>
      <c r="I443" s="190"/>
      <c r="J443" s="190"/>
      <c r="K443" s="190"/>
      <c r="L443" s="190"/>
      <c r="M443" s="190"/>
      <c r="N443" s="190"/>
      <c r="O443" s="190"/>
      <c r="P443" s="190"/>
      <c r="Q443" s="190"/>
    </row>
    <row r="444" spans="1:17" x14ac:dyDescent="0.3">
      <c r="A444" s="186"/>
      <c r="B444" s="187"/>
      <c r="C444" s="187"/>
      <c r="D444" s="188"/>
      <c r="E444" s="190"/>
      <c r="F444" s="190"/>
      <c r="G444" s="190"/>
      <c r="H444" s="190"/>
      <c r="I444" s="190"/>
      <c r="J444" s="190"/>
      <c r="K444" s="190"/>
      <c r="L444" s="190"/>
      <c r="M444" s="190"/>
      <c r="N444" s="190"/>
      <c r="O444" s="190"/>
      <c r="P444" s="190"/>
      <c r="Q444" s="190"/>
    </row>
    <row r="445" spans="1:17" x14ac:dyDescent="0.3">
      <c r="A445" s="186"/>
      <c r="B445" s="187"/>
      <c r="C445" s="187"/>
      <c r="D445" s="188"/>
      <c r="E445" s="190"/>
      <c r="F445" s="190"/>
      <c r="G445" s="190"/>
      <c r="H445" s="190"/>
      <c r="I445" s="190"/>
      <c r="J445" s="190"/>
      <c r="K445" s="190"/>
      <c r="L445" s="190"/>
      <c r="M445" s="190"/>
      <c r="N445" s="190"/>
      <c r="O445" s="190"/>
      <c r="P445" s="190"/>
      <c r="Q445" s="190"/>
    </row>
    <row r="446" spans="1:17" x14ac:dyDescent="0.3">
      <c r="A446" s="186"/>
      <c r="B446" s="187"/>
      <c r="C446" s="187"/>
      <c r="D446" s="188"/>
      <c r="E446" s="190"/>
      <c r="F446" s="190"/>
      <c r="G446" s="190"/>
      <c r="H446" s="190"/>
      <c r="I446" s="190"/>
      <c r="J446" s="190"/>
      <c r="K446" s="190"/>
      <c r="L446" s="190"/>
      <c r="M446" s="190"/>
      <c r="N446" s="190"/>
      <c r="O446" s="190"/>
      <c r="P446" s="190"/>
      <c r="Q446" s="190"/>
    </row>
    <row r="447" spans="1:17" x14ac:dyDescent="0.3">
      <c r="A447" s="186"/>
      <c r="B447" s="187"/>
      <c r="C447" s="187"/>
      <c r="D447" s="188"/>
      <c r="E447" s="190"/>
      <c r="F447" s="190"/>
      <c r="G447" s="190"/>
      <c r="H447" s="190"/>
      <c r="I447" s="190"/>
      <c r="J447" s="190"/>
      <c r="K447" s="190"/>
      <c r="L447" s="190"/>
      <c r="M447" s="190"/>
      <c r="N447" s="190"/>
      <c r="O447" s="190"/>
      <c r="P447" s="190"/>
      <c r="Q447" s="190"/>
    </row>
    <row r="448" spans="1:17" x14ac:dyDescent="0.3">
      <c r="A448" s="186"/>
      <c r="B448" s="187"/>
      <c r="C448" s="187"/>
      <c r="D448" s="188"/>
      <c r="E448" s="190"/>
      <c r="F448" s="190"/>
      <c r="G448" s="190"/>
      <c r="H448" s="190"/>
      <c r="I448" s="190"/>
      <c r="J448" s="190"/>
      <c r="K448" s="190"/>
      <c r="L448" s="190"/>
      <c r="M448" s="190"/>
      <c r="N448" s="190"/>
      <c r="O448" s="190"/>
      <c r="P448" s="190"/>
      <c r="Q448" s="190"/>
    </row>
    <row r="449" spans="1:17" x14ac:dyDescent="0.3">
      <c r="A449" s="186"/>
      <c r="B449" s="187"/>
      <c r="C449" s="187"/>
      <c r="D449" s="188"/>
      <c r="E449" s="190"/>
      <c r="F449" s="190"/>
      <c r="G449" s="190"/>
      <c r="H449" s="190"/>
      <c r="I449" s="190"/>
      <c r="J449" s="190"/>
      <c r="K449" s="190"/>
      <c r="L449" s="190"/>
      <c r="M449" s="190"/>
      <c r="N449" s="190"/>
      <c r="O449" s="190"/>
      <c r="P449" s="190"/>
      <c r="Q449" s="190"/>
    </row>
    <row r="450" spans="1:17" x14ac:dyDescent="0.3">
      <c r="A450" s="186"/>
      <c r="B450" s="187"/>
      <c r="C450" s="187"/>
      <c r="D450" s="188"/>
      <c r="E450" s="190"/>
      <c r="F450" s="190"/>
      <c r="G450" s="190"/>
      <c r="H450" s="190"/>
      <c r="I450" s="190"/>
      <c r="J450" s="190"/>
      <c r="K450" s="190"/>
      <c r="L450" s="190"/>
      <c r="M450" s="190"/>
      <c r="N450" s="190"/>
      <c r="O450" s="190"/>
      <c r="P450" s="190"/>
      <c r="Q450" s="190"/>
    </row>
    <row r="451" spans="1:17" x14ac:dyDescent="0.3">
      <c r="A451" s="186"/>
      <c r="B451" s="187"/>
      <c r="C451" s="187"/>
      <c r="D451" s="188"/>
      <c r="E451" s="190"/>
      <c r="F451" s="190"/>
      <c r="G451" s="190"/>
      <c r="H451" s="190"/>
      <c r="I451" s="190"/>
      <c r="J451" s="190"/>
      <c r="K451" s="190"/>
      <c r="L451" s="190"/>
      <c r="M451" s="190"/>
      <c r="N451" s="190"/>
      <c r="O451" s="190"/>
      <c r="P451" s="190"/>
      <c r="Q451" s="190"/>
    </row>
    <row r="452" spans="1:17" x14ac:dyDescent="0.3">
      <c r="A452" s="186"/>
      <c r="B452" s="187"/>
      <c r="C452" s="187"/>
      <c r="D452" s="188"/>
      <c r="E452" s="190"/>
      <c r="F452" s="190"/>
      <c r="G452" s="190"/>
      <c r="H452" s="190"/>
      <c r="I452" s="190"/>
      <c r="J452" s="190"/>
      <c r="K452" s="190"/>
      <c r="L452" s="190"/>
      <c r="M452" s="190"/>
      <c r="N452" s="190"/>
      <c r="O452" s="190"/>
      <c r="P452" s="190"/>
      <c r="Q452" s="190"/>
    </row>
    <row r="453" spans="1:17" x14ac:dyDescent="0.3">
      <c r="A453" s="186"/>
      <c r="B453" s="187"/>
      <c r="C453" s="187"/>
      <c r="D453" s="188"/>
      <c r="E453" s="190"/>
      <c r="F453" s="190"/>
      <c r="G453" s="190"/>
      <c r="H453" s="190"/>
      <c r="I453" s="190"/>
      <c r="J453" s="190"/>
      <c r="K453" s="190"/>
      <c r="L453" s="190"/>
      <c r="M453" s="190"/>
      <c r="N453" s="190"/>
      <c r="O453" s="190"/>
      <c r="P453" s="190"/>
      <c r="Q453" s="190"/>
    </row>
    <row r="454" spans="1:17" x14ac:dyDescent="0.3">
      <c r="A454" s="186"/>
      <c r="B454" s="187"/>
      <c r="C454" s="187"/>
      <c r="D454" s="188"/>
      <c r="E454" s="190"/>
      <c r="F454" s="190"/>
      <c r="G454" s="190"/>
      <c r="H454" s="190"/>
      <c r="I454" s="190"/>
      <c r="J454" s="190"/>
      <c r="K454" s="190"/>
      <c r="L454" s="190"/>
      <c r="M454" s="190"/>
      <c r="N454" s="190"/>
      <c r="O454" s="190"/>
      <c r="P454" s="190"/>
      <c r="Q454" s="190"/>
    </row>
    <row r="455" spans="1:17" x14ac:dyDescent="0.3">
      <c r="A455" s="186"/>
      <c r="B455" s="187"/>
      <c r="C455" s="187"/>
      <c r="D455" s="188"/>
      <c r="E455" s="190"/>
      <c r="F455" s="190"/>
      <c r="G455" s="190"/>
      <c r="H455" s="190"/>
      <c r="I455" s="190"/>
      <c r="J455" s="190"/>
      <c r="K455" s="190"/>
      <c r="L455" s="190"/>
      <c r="M455" s="190"/>
      <c r="N455" s="190"/>
      <c r="O455" s="190"/>
      <c r="P455" s="190"/>
      <c r="Q455" s="190"/>
    </row>
    <row r="456" spans="1:17" x14ac:dyDescent="0.3">
      <c r="A456" s="186"/>
      <c r="B456" s="187"/>
      <c r="C456" s="187"/>
      <c r="D456" s="188"/>
      <c r="E456" s="190"/>
      <c r="F456" s="190"/>
      <c r="G456" s="190"/>
      <c r="H456" s="190"/>
      <c r="I456" s="190"/>
      <c r="J456" s="190"/>
      <c r="K456" s="190"/>
      <c r="L456" s="190"/>
      <c r="M456" s="190"/>
      <c r="N456" s="190"/>
      <c r="O456" s="190"/>
      <c r="P456" s="190"/>
      <c r="Q456" s="190"/>
    </row>
    <row r="457" spans="1:17" x14ac:dyDescent="0.3">
      <c r="A457" s="186"/>
      <c r="B457" s="187"/>
      <c r="C457" s="187"/>
      <c r="D457" s="188"/>
      <c r="E457" s="190"/>
      <c r="F457" s="190"/>
      <c r="G457" s="190"/>
      <c r="H457" s="190"/>
      <c r="I457" s="190"/>
      <c r="J457" s="190"/>
      <c r="K457" s="190"/>
      <c r="L457" s="190"/>
      <c r="M457" s="190"/>
      <c r="N457" s="190"/>
      <c r="O457" s="190"/>
      <c r="P457" s="190"/>
      <c r="Q457" s="190"/>
    </row>
    <row r="458" spans="1:17" x14ac:dyDescent="0.3">
      <c r="A458" s="186"/>
      <c r="B458" s="187"/>
      <c r="C458" s="187"/>
      <c r="D458" s="188"/>
      <c r="E458" s="190"/>
      <c r="F458" s="190"/>
      <c r="G458" s="190"/>
      <c r="H458" s="190"/>
      <c r="I458" s="190"/>
      <c r="J458" s="190"/>
      <c r="K458" s="190"/>
      <c r="L458" s="190"/>
      <c r="M458" s="190"/>
      <c r="N458" s="190"/>
      <c r="O458" s="190"/>
      <c r="P458" s="190"/>
      <c r="Q458" s="190"/>
    </row>
    <row r="459" spans="1:17" x14ac:dyDescent="0.3">
      <c r="A459" s="186"/>
      <c r="B459" s="187"/>
      <c r="C459" s="187"/>
      <c r="D459" s="188"/>
      <c r="E459" s="190"/>
      <c r="F459" s="190"/>
      <c r="G459" s="190"/>
      <c r="H459" s="190"/>
      <c r="I459" s="190"/>
      <c r="J459" s="190"/>
      <c r="K459" s="190"/>
      <c r="L459" s="190"/>
      <c r="M459" s="190"/>
      <c r="N459" s="190"/>
      <c r="O459" s="190"/>
      <c r="P459" s="190"/>
      <c r="Q459" s="190"/>
    </row>
    <row r="460" spans="1:17" x14ac:dyDescent="0.3">
      <c r="A460" s="186"/>
      <c r="B460" s="187"/>
      <c r="C460" s="187"/>
      <c r="D460" s="188"/>
      <c r="E460" s="190"/>
      <c r="F460" s="190"/>
      <c r="G460" s="190"/>
      <c r="H460" s="190"/>
      <c r="I460" s="190"/>
      <c r="J460" s="190"/>
      <c r="K460" s="190"/>
      <c r="L460" s="190"/>
      <c r="M460" s="190"/>
      <c r="N460" s="190"/>
      <c r="O460" s="190"/>
      <c r="P460" s="190"/>
      <c r="Q460" s="190"/>
    </row>
    <row r="461" spans="1:17" x14ac:dyDescent="0.3">
      <c r="A461" s="186"/>
      <c r="B461" s="187"/>
      <c r="C461" s="187"/>
      <c r="D461" s="188"/>
      <c r="E461" s="190"/>
      <c r="F461" s="190"/>
      <c r="G461" s="190"/>
      <c r="H461" s="190"/>
      <c r="I461" s="190"/>
      <c r="J461" s="190"/>
      <c r="K461" s="190"/>
      <c r="L461" s="190"/>
      <c r="M461" s="190"/>
      <c r="N461" s="190"/>
      <c r="O461" s="190"/>
      <c r="P461" s="190"/>
      <c r="Q461" s="190"/>
    </row>
    <row r="462" spans="1:17" x14ac:dyDescent="0.3">
      <c r="A462" s="186"/>
      <c r="B462" s="187"/>
      <c r="C462" s="187"/>
      <c r="D462" s="188"/>
      <c r="E462" s="190"/>
      <c r="F462" s="190"/>
      <c r="G462" s="190"/>
      <c r="H462" s="190"/>
      <c r="I462" s="190"/>
      <c r="J462" s="190"/>
      <c r="K462" s="190"/>
      <c r="L462" s="190"/>
      <c r="M462" s="190"/>
      <c r="N462" s="190"/>
      <c r="O462" s="190"/>
      <c r="P462" s="190"/>
      <c r="Q462" s="190"/>
    </row>
    <row r="463" spans="1:17" x14ac:dyDescent="0.3">
      <c r="A463" s="186"/>
      <c r="B463" s="187"/>
      <c r="C463" s="187"/>
      <c r="D463" s="188"/>
      <c r="E463" s="190"/>
      <c r="F463" s="190"/>
      <c r="G463" s="190"/>
      <c r="H463" s="190"/>
      <c r="I463" s="190"/>
      <c r="J463" s="190"/>
      <c r="K463" s="190"/>
      <c r="L463" s="190"/>
      <c r="M463" s="190"/>
      <c r="N463" s="190"/>
      <c r="O463" s="190"/>
      <c r="P463" s="190"/>
      <c r="Q463" s="190"/>
    </row>
    <row r="464" spans="1:17" x14ac:dyDescent="0.3">
      <c r="A464" s="186"/>
      <c r="B464" s="187"/>
      <c r="C464" s="187"/>
      <c r="D464" s="188"/>
      <c r="E464" s="190"/>
      <c r="F464" s="190"/>
      <c r="G464" s="190"/>
      <c r="H464" s="190"/>
      <c r="I464" s="190"/>
      <c r="J464" s="190"/>
      <c r="K464" s="190"/>
      <c r="L464" s="190"/>
      <c r="M464" s="190"/>
      <c r="N464" s="190"/>
      <c r="O464" s="190"/>
      <c r="P464" s="190"/>
      <c r="Q464" s="190"/>
    </row>
    <row r="465" spans="1:17" x14ac:dyDescent="0.3">
      <c r="A465" s="186"/>
      <c r="B465" s="187"/>
      <c r="C465" s="187"/>
      <c r="D465" s="188"/>
      <c r="E465" s="190"/>
      <c r="F465" s="190"/>
      <c r="G465" s="190"/>
      <c r="H465" s="190"/>
      <c r="I465" s="190"/>
      <c r="J465" s="190"/>
      <c r="K465" s="190"/>
      <c r="L465" s="190"/>
      <c r="M465" s="190"/>
      <c r="N465" s="190"/>
      <c r="O465" s="190"/>
      <c r="P465" s="190"/>
      <c r="Q465" s="190"/>
    </row>
    <row r="466" spans="1:17" x14ac:dyDescent="0.3">
      <c r="A466" s="186"/>
      <c r="B466" s="187"/>
      <c r="C466" s="187"/>
      <c r="D466" s="188"/>
      <c r="E466" s="190"/>
      <c r="F466" s="190"/>
      <c r="G466" s="190"/>
      <c r="H466" s="190"/>
      <c r="I466" s="190"/>
      <c r="J466" s="190"/>
      <c r="K466" s="190"/>
      <c r="L466" s="190"/>
      <c r="M466" s="190"/>
      <c r="N466" s="190"/>
      <c r="O466" s="190"/>
      <c r="P466" s="190"/>
      <c r="Q466" s="190"/>
    </row>
    <row r="467" spans="1:17" x14ac:dyDescent="0.3">
      <c r="A467" s="186"/>
      <c r="B467" s="187"/>
      <c r="C467" s="187"/>
      <c r="D467" s="188"/>
      <c r="E467" s="190"/>
      <c r="F467" s="190"/>
      <c r="G467" s="190"/>
      <c r="H467" s="190"/>
      <c r="I467" s="190"/>
      <c r="J467" s="190"/>
      <c r="K467" s="190"/>
      <c r="L467" s="190"/>
      <c r="M467" s="190"/>
      <c r="N467" s="190"/>
      <c r="O467" s="190"/>
      <c r="P467" s="190"/>
      <c r="Q467" s="190"/>
    </row>
    <row r="468" spans="1:17" x14ac:dyDescent="0.3">
      <c r="A468" s="186"/>
      <c r="B468" s="187"/>
      <c r="C468" s="187"/>
      <c r="D468" s="188"/>
      <c r="E468" s="190"/>
      <c r="F468" s="190"/>
      <c r="G468" s="190"/>
      <c r="H468" s="190"/>
      <c r="I468" s="190"/>
      <c r="J468" s="190"/>
      <c r="K468" s="190"/>
      <c r="L468" s="190"/>
      <c r="M468" s="190"/>
      <c r="N468" s="190"/>
      <c r="O468" s="190"/>
      <c r="P468" s="190"/>
      <c r="Q468" s="190"/>
    </row>
    <row r="469" spans="1:17" x14ac:dyDescent="0.3">
      <c r="A469" s="186"/>
      <c r="B469" s="187"/>
      <c r="C469" s="187"/>
      <c r="D469" s="188"/>
      <c r="E469" s="190"/>
      <c r="F469" s="190"/>
      <c r="G469" s="190"/>
      <c r="H469" s="190"/>
      <c r="I469" s="190"/>
      <c r="J469" s="190"/>
      <c r="K469" s="190"/>
      <c r="L469" s="190"/>
      <c r="M469" s="190"/>
      <c r="N469" s="190"/>
      <c r="O469" s="190"/>
      <c r="P469" s="190"/>
      <c r="Q469" s="190"/>
    </row>
    <row r="470" spans="1:17" x14ac:dyDescent="0.3">
      <c r="A470" s="186"/>
      <c r="B470" s="187"/>
      <c r="C470" s="187"/>
      <c r="D470" s="188"/>
      <c r="E470" s="190"/>
      <c r="F470" s="190"/>
      <c r="G470" s="190"/>
      <c r="H470" s="190"/>
      <c r="I470" s="190"/>
      <c r="J470" s="190"/>
      <c r="K470" s="190"/>
      <c r="L470" s="190"/>
      <c r="M470" s="190"/>
      <c r="N470" s="190"/>
      <c r="O470" s="190"/>
      <c r="P470" s="190"/>
      <c r="Q470" s="190"/>
    </row>
    <row r="471" spans="1:17" x14ac:dyDescent="0.3">
      <c r="A471" s="186"/>
      <c r="B471" s="187"/>
      <c r="C471" s="187"/>
      <c r="D471" s="188"/>
      <c r="E471" s="190"/>
      <c r="F471" s="190"/>
      <c r="G471" s="190"/>
      <c r="H471" s="190"/>
      <c r="I471" s="190"/>
      <c r="J471" s="190"/>
      <c r="K471" s="190"/>
      <c r="L471" s="190"/>
      <c r="M471" s="190"/>
      <c r="N471" s="190"/>
      <c r="O471" s="190"/>
      <c r="P471" s="190"/>
      <c r="Q471" s="190"/>
    </row>
    <row r="472" spans="1:17" x14ac:dyDescent="0.3">
      <c r="A472" s="186"/>
      <c r="B472" s="187"/>
      <c r="C472" s="187"/>
      <c r="D472" s="188"/>
      <c r="E472" s="190"/>
      <c r="F472" s="190"/>
      <c r="G472" s="190"/>
      <c r="H472" s="190"/>
      <c r="I472" s="190"/>
      <c r="J472" s="190"/>
      <c r="K472" s="190"/>
      <c r="L472" s="190"/>
      <c r="M472" s="190"/>
      <c r="N472" s="190"/>
      <c r="O472" s="190"/>
      <c r="P472" s="190"/>
      <c r="Q472" s="190"/>
    </row>
    <row r="473" spans="1:17" x14ac:dyDescent="0.3">
      <c r="A473" s="186"/>
      <c r="B473" s="187"/>
      <c r="C473" s="187"/>
      <c r="D473" s="188"/>
      <c r="E473" s="190"/>
      <c r="F473" s="190"/>
      <c r="G473" s="190"/>
      <c r="H473" s="190"/>
      <c r="I473" s="190"/>
      <c r="J473" s="190"/>
      <c r="K473" s="190"/>
      <c r="L473" s="190"/>
      <c r="M473" s="190"/>
      <c r="N473" s="190"/>
      <c r="O473" s="190"/>
      <c r="P473" s="190"/>
      <c r="Q473" s="190"/>
    </row>
    <row r="474" spans="1:17" x14ac:dyDescent="0.3">
      <c r="A474" s="186"/>
      <c r="B474" s="187"/>
      <c r="C474" s="187"/>
      <c r="D474" s="188"/>
      <c r="E474" s="190"/>
      <c r="F474" s="190"/>
      <c r="G474" s="190"/>
      <c r="H474" s="190"/>
      <c r="I474" s="190"/>
      <c r="J474" s="190"/>
      <c r="K474" s="190"/>
      <c r="L474" s="190"/>
      <c r="M474" s="190"/>
      <c r="N474" s="190"/>
      <c r="O474" s="190"/>
      <c r="P474" s="190"/>
      <c r="Q474" s="190"/>
    </row>
    <row r="475" spans="1:17" x14ac:dyDescent="0.3">
      <c r="A475" s="186"/>
      <c r="B475" s="187"/>
      <c r="C475" s="187"/>
      <c r="D475" s="188"/>
      <c r="E475" s="190"/>
      <c r="F475" s="190"/>
      <c r="G475" s="190"/>
      <c r="H475" s="190"/>
      <c r="I475" s="190"/>
      <c r="J475" s="190"/>
      <c r="K475" s="190"/>
      <c r="L475" s="190"/>
      <c r="M475" s="190"/>
      <c r="N475" s="190"/>
      <c r="O475" s="190"/>
      <c r="P475" s="190"/>
      <c r="Q475" s="190"/>
    </row>
    <row r="476" spans="1:17" x14ac:dyDescent="0.3">
      <c r="A476" s="186"/>
      <c r="B476" s="187"/>
      <c r="C476" s="187"/>
      <c r="D476" s="188"/>
      <c r="E476" s="190"/>
      <c r="F476" s="190"/>
      <c r="G476" s="190"/>
      <c r="H476" s="190"/>
      <c r="I476" s="190"/>
      <c r="J476" s="190"/>
      <c r="K476" s="190"/>
      <c r="L476" s="190"/>
      <c r="M476" s="190"/>
      <c r="N476" s="190"/>
      <c r="O476" s="190"/>
      <c r="P476" s="190"/>
      <c r="Q476" s="190"/>
    </row>
    <row r="477" spans="1:17" x14ac:dyDescent="0.3">
      <c r="A477" s="186"/>
      <c r="B477" s="187"/>
      <c r="C477" s="187"/>
      <c r="D477" s="188"/>
      <c r="E477" s="190"/>
      <c r="F477" s="190"/>
      <c r="G477" s="190"/>
      <c r="H477" s="190"/>
      <c r="I477" s="190"/>
      <c r="J477" s="190"/>
      <c r="K477" s="190"/>
      <c r="L477" s="190"/>
      <c r="M477" s="190"/>
      <c r="N477" s="190"/>
      <c r="O477" s="190"/>
      <c r="P477" s="190"/>
      <c r="Q477" s="190"/>
    </row>
    <row r="478" spans="1:17" x14ac:dyDescent="0.3">
      <c r="A478" s="186"/>
      <c r="B478" s="187"/>
      <c r="C478" s="187"/>
      <c r="D478" s="188"/>
      <c r="E478" s="190"/>
      <c r="F478" s="190"/>
      <c r="G478" s="190"/>
      <c r="H478" s="190"/>
      <c r="I478" s="190"/>
      <c r="J478" s="190"/>
      <c r="K478" s="190"/>
      <c r="L478" s="190"/>
      <c r="M478" s="190"/>
      <c r="N478" s="190"/>
      <c r="O478" s="190"/>
      <c r="P478" s="190"/>
      <c r="Q478" s="190"/>
    </row>
    <row r="479" spans="1:17" x14ac:dyDescent="0.3">
      <c r="A479" s="186"/>
      <c r="B479" s="187"/>
      <c r="C479" s="187"/>
      <c r="D479" s="188"/>
      <c r="E479" s="190"/>
      <c r="F479" s="190"/>
      <c r="G479" s="190"/>
      <c r="H479" s="190"/>
      <c r="I479" s="190"/>
      <c r="J479" s="190"/>
      <c r="K479" s="190"/>
      <c r="L479" s="190"/>
      <c r="M479" s="190"/>
      <c r="N479" s="190"/>
      <c r="O479" s="190"/>
      <c r="P479" s="190"/>
      <c r="Q479" s="190"/>
    </row>
    <row r="480" spans="1:17" x14ac:dyDescent="0.3">
      <c r="A480" s="186"/>
      <c r="B480" s="187"/>
      <c r="C480" s="187"/>
      <c r="D480" s="188"/>
      <c r="E480" s="190"/>
      <c r="F480" s="190"/>
      <c r="G480" s="190"/>
      <c r="H480" s="190"/>
      <c r="I480" s="190"/>
      <c r="J480" s="190"/>
      <c r="K480" s="190"/>
      <c r="L480" s="190"/>
      <c r="M480" s="190"/>
      <c r="N480" s="190"/>
      <c r="O480" s="190"/>
      <c r="P480" s="190"/>
      <c r="Q480" s="190"/>
    </row>
    <row r="481" spans="1:17" x14ac:dyDescent="0.3">
      <c r="A481" s="186"/>
      <c r="B481" s="187"/>
      <c r="C481" s="187"/>
      <c r="D481" s="188"/>
      <c r="E481" s="190"/>
      <c r="F481" s="190"/>
      <c r="G481" s="190"/>
      <c r="H481" s="190"/>
      <c r="I481" s="190"/>
      <c r="J481" s="190"/>
      <c r="K481" s="190"/>
      <c r="L481" s="190"/>
      <c r="M481" s="190"/>
      <c r="N481" s="190"/>
      <c r="O481" s="190"/>
      <c r="P481" s="190"/>
      <c r="Q481" s="190"/>
    </row>
    <row r="482" spans="1:17" x14ac:dyDescent="0.3">
      <c r="A482" s="186"/>
      <c r="B482" s="187"/>
      <c r="C482" s="187"/>
      <c r="D482" s="188"/>
      <c r="E482" s="190"/>
      <c r="F482" s="190"/>
      <c r="G482" s="190"/>
      <c r="H482" s="190"/>
      <c r="I482" s="190"/>
      <c r="J482" s="190"/>
      <c r="K482" s="190"/>
      <c r="L482" s="190"/>
      <c r="M482" s="190"/>
      <c r="N482" s="190"/>
      <c r="O482" s="190"/>
      <c r="P482" s="190"/>
      <c r="Q482" s="190"/>
    </row>
    <row r="483" spans="1:17" x14ac:dyDescent="0.3">
      <c r="A483" s="186"/>
      <c r="B483" s="187"/>
      <c r="C483" s="187"/>
      <c r="D483" s="188"/>
      <c r="E483" s="190"/>
      <c r="F483" s="190"/>
      <c r="G483" s="190"/>
      <c r="H483" s="190"/>
      <c r="I483" s="190"/>
      <c r="J483" s="190"/>
      <c r="K483" s="190"/>
      <c r="L483" s="190"/>
      <c r="M483" s="190"/>
      <c r="N483" s="190"/>
      <c r="O483" s="190"/>
      <c r="P483" s="190"/>
      <c r="Q483" s="190"/>
    </row>
    <row r="484" spans="1:17" x14ac:dyDescent="0.3">
      <c r="A484" s="186"/>
      <c r="B484" s="187"/>
      <c r="C484" s="187"/>
      <c r="D484" s="188"/>
      <c r="E484" s="190"/>
      <c r="F484" s="190"/>
      <c r="G484" s="190"/>
      <c r="H484" s="190"/>
      <c r="I484" s="190"/>
      <c r="J484" s="190"/>
      <c r="K484" s="190"/>
      <c r="L484" s="190"/>
      <c r="M484" s="190"/>
      <c r="N484" s="190"/>
      <c r="O484" s="190"/>
      <c r="P484" s="190"/>
      <c r="Q484" s="190"/>
    </row>
    <row r="485" spans="1:17" x14ac:dyDescent="0.3">
      <c r="A485" s="186"/>
      <c r="B485" s="187"/>
      <c r="C485" s="187"/>
      <c r="D485" s="188"/>
      <c r="E485" s="190"/>
      <c r="F485" s="190"/>
      <c r="G485" s="190"/>
      <c r="H485" s="190"/>
      <c r="I485" s="190"/>
      <c r="J485" s="190"/>
      <c r="K485" s="190"/>
      <c r="L485" s="190"/>
      <c r="M485" s="190"/>
      <c r="N485" s="190"/>
      <c r="O485" s="190"/>
      <c r="P485" s="190"/>
      <c r="Q485" s="190"/>
    </row>
    <row r="486" spans="1:17" x14ac:dyDescent="0.3">
      <c r="A486" s="186"/>
      <c r="B486" s="187"/>
      <c r="C486" s="187"/>
      <c r="D486" s="188"/>
      <c r="E486" s="190"/>
      <c r="F486" s="190"/>
      <c r="G486" s="190"/>
      <c r="H486" s="190"/>
      <c r="I486" s="190"/>
      <c r="J486" s="190"/>
      <c r="K486" s="190"/>
      <c r="L486" s="190"/>
      <c r="M486" s="190"/>
      <c r="N486" s="190"/>
      <c r="O486" s="190"/>
      <c r="P486" s="190"/>
      <c r="Q486" s="190"/>
    </row>
    <row r="487" spans="1:17" x14ac:dyDescent="0.3">
      <c r="A487" s="186"/>
      <c r="B487" s="187"/>
      <c r="C487" s="187"/>
      <c r="D487" s="188"/>
      <c r="E487" s="190"/>
      <c r="F487" s="190"/>
      <c r="G487" s="190"/>
      <c r="H487" s="190"/>
      <c r="I487" s="190"/>
      <c r="J487" s="190"/>
      <c r="K487" s="190"/>
      <c r="L487" s="190"/>
      <c r="M487" s="190"/>
      <c r="N487" s="190"/>
      <c r="O487" s="190"/>
      <c r="P487" s="190"/>
      <c r="Q487" s="190"/>
    </row>
    <row r="488" spans="1:17" x14ac:dyDescent="0.3">
      <c r="A488" s="186"/>
      <c r="B488" s="187"/>
      <c r="C488" s="187"/>
      <c r="D488" s="188"/>
      <c r="E488" s="190"/>
      <c r="F488" s="190"/>
      <c r="G488" s="190"/>
      <c r="H488" s="190"/>
      <c r="I488" s="190"/>
      <c r="J488" s="190"/>
      <c r="K488" s="190"/>
      <c r="L488" s="190"/>
      <c r="M488" s="190"/>
      <c r="N488" s="190"/>
      <c r="O488" s="190"/>
      <c r="P488" s="190"/>
      <c r="Q488" s="190"/>
    </row>
    <row r="489" spans="1:17" x14ac:dyDescent="0.3">
      <c r="A489" s="186"/>
      <c r="B489" s="187"/>
      <c r="C489" s="187"/>
      <c r="D489" s="188"/>
      <c r="E489" s="190"/>
      <c r="F489" s="190"/>
      <c r="G489" s="190"/>
      <c r="H489" s="190"/>
      <c r="I489" s="190"/>
      <c r="J489" s="190"/>
      <c r="K489" s="190"/>
      <c r="L489" s="190"/>
      <c r="M489" s="190"/>
      <c r="N489" s="190"/>
      <c r="O489" s="190"/>
      <c r="P489" s="190"/>
      <c r="Q489" s="190"/>
    </row>
    <row r="490" spans="1:17" x14ac:dyDescent="0.3">
      <c r="A490" s="186"/>
      <c r="B490" s="187"/>
      <c r="C490" s="187"/>
      <c r="D490" s="188"/>
      <c r="E490" s="190"/>
      <c r="F490" s="190"/>
      <c r="G490" s="190"/>
      <c r="H490" s="190"/>
      <c r="I490" s="190"/>
      <c r="J490" s="190"/>
      <c r="K490" s="190"/>
      <c r="L490" s="190"/>
      <c r="M490" s="190"/>
      <c r="N490" s="190"/>
      <c r="O490" s="190"/>
      <c r="P490" s="190"/>
      <c r="Q490" s="190"/>
    </row>
    <row r="491" spans="1:17" x14ac:dyDescent="0.3">
      <c r="A491" s="186"/>
      <c r="B491" s="187"/>
      <c r="C491" s="187"/>
      <c r="D491" s="188"/>
      <c r="E491" s="190"/>
      <c r="F491" s="190"/>
      <c r="G491" s="190"/>
      <c r="H491" s="190"/>
      <c r="I491" s="190"/>
      <c r="J491" s="190"/>
      <c r="K491" s="190"/>
      <c r="L491" s="190"/>
      <c r="M491" s="190"/>
      <c r="N491" s="190"/>
      <c r="O491" s="190"/>
      <c r="P491" s="190"/>
      <c r="Q491" s="190"/>
    </row>
    <row r="492" spans="1:17" x14ac:dyDescent="0.3">
      <c r="A492" s="186"/>
      <c r="B492" s="187"/>
      <c r="C492" s="187"/>
      <c r="D492" s="188"/>
      <c r="E492" s="190"/>
      <c r="F492" s="190"/>
      <c r="G492" s="190"/>
      <c r="H492" s="190"/>
      <c r="I492" s="190"/>
      <c r="J492" s="190"/>
      <c r="K492" s="190"/>
      <c r="L492" s="190"/>
      <c r="M492" s="190"/>
      <c r="N492" s="190"/>
      <c r="O492" s="190"/>
      <c r="P492" s="190"/>
      <c r="Q492" s="190"/>
    </row>
    <row r="493" spans="1:17" x14ac:dyDescent="0.3">
      <c r="A493" s="186"/>
      <c r="B493" s="187"/>
      <c r="C493" s="187"/>
      <c r="D493" s="188"/>
      <c r="E493" s="190"/>
      <c r="F493" s="190"/>
      <c r="G493" s="190"/>
      <c r="H493" s="190"/>
      <c r="I493" s="190"/>
      <c r="J493" s="190"/>
      <c r="K493" s="190"/>
      <c r="L493" s="190"/>
      <c r="M493" s="190"/>
      <c r="N493" s="190"/>
      <c r="O493" s="190"/>
      <c r="P493" s="190"/>
      <c r="Q493" s="190"/>
    </row>
    <row r="494" spans="1:17" x14ac:dyDescent="0.3">
      <c r="A494" s="186"/>
      <c r="B494" s="187"/>
      <c r="C494" s="187"/>
      <c r="D494" s="188"/>
      <c r="E494" s="190"/>
      <c r="F494" s="190"/>
      <c r="G494" s="190"/>
      <c r="H494" s="190"/>
      <c r="I494" s="190"/>
      <c r="J494" s="190"/>
      <c r="K494" s="190"/>
      <c r="L494" s="190"/>
      <c r="M494" s="190"/>
      <c r="N494" s="190"/>
      <c r="O494" s="190"/>
      <c r="P494" s="190"/>
      <c r="Q494" s="190"/>
    </row>
    <row r="495" spans="1:17" x14ac:dyDescent="0.3">
      <c r="A495" s="186"/>
      <c r="B495" s="187"/>
      <c r="C495" s="187"/>
      <c r="D495" s="188"/>
      <c r="E495" s="190"/>
      <c r="F495" s="190"/>
      <c r="G495" s="190"/>
      <c r="H495" s="190"/>
      <c r="I495" s="190"/>
      <c r="J495" s="190"/>
      <c r="K495" s="190"/>
      <c r="L495" s="190"/>
      <c r="M495" s="190"/>
      <c r="N495" s="190"/>
      <c r="O495" s="190"/>
      <c r="P495" s="190"/>
      <c r="Q495" s="190"/>
    </row>
    <row r="496" spans="1:17" x14ac:dyDescent="0.3">
      <c r="A496" s="186"/>
      <c r="B496" s="187"/>
      <c r="C496" s="187"/>
      <c r="D496" s="188"/>
      <c r="E496" s="190"/>
      <c r="F496" s="190"/>
      <c r="G496" s="190"/>
      <c r="H496" s="190"/>
      <c r="I496" s="190"/>
      <c r="J496" s="190"/>
      <c r="K496" s="190"/>
      <c r="L496" s="190"/>
      <c r="M496" s="190"/>
      <c r="N496" s="190"/>
      <c r="O496" s="190"/>
      <c r="P496" s="190"/>
      <c r="Q496" s="190"/>
    </row>
    <row r="497" spans="1:17" x14ac:dyDescent="0.3">
      <c r="A497" s="186"/>
      <c r="B497" s="187"/>
      <c r="C497" s="187"/>
      <c r="D497" s="188"/>
      <c r="E497" s="190"/>
      <c r="F497" s="190"/>
      <c r="G497" s="190"/>
      <c r="H497" s="190"/>
      <c r="I497" s="190"/>
      <c r="J497" s="190"/>
      <c r="K497" s="190"/>
      <c r="L497" s="190"/>
      <c r="M497" s="190"/>
      <c r="N497" s="190"/>
      <c r="O497" s="190"/>
      <c r="P497" s="190"/>
      <c r="Q497" s="190"/>
    </row>
    <row r="498" spans="1:17" x14ac:dyDescent="0.3">
      <c r="A498" s="186"/>
      <c r="B498" s="187"/>
      <c r="C498" s="187"/>
      <c r="D498" s="188"/>
      <c r="E498" s="190"/>
      <c r="F498" s="190"/>
      <c r="G498" s="190"/>
      <c r="H498" s="190"/>
      <c r="I498" s="190"/>
      <c r="J498" s="190"/>
      <c r="K498" s="190"/>
      <c r="L498" s="190"/>
      <c r="M498" s="190"/>
      <c r="N498" s="190"/>
      <c r="O498" s="190"/>
      <c r="P498" s="190"/>
      <c r="Q498" s="190"/>
    </row>
    <row r="499" spans="1:17" x14ac:dyDescent="0.3">
      <c r="A499" s="186"/>
      <c r="B499" s="187"/>
      <c r="C499" s="187"/>
      <c r="D499" s="188"/>
      <c r="E499" s="190"/>
      <c r="F499" s="190"/>
      <c r="G499" s="190"/>
      <c r="H499" s="190"/>
      <c r="I499" s="190"/>
      <c r="J499" s="190"/>
      <c r="K499" s="190"/>
      <c r="L499" s="190"/>
      <c r="M499" s="190"/>
      <c r="N499" s="190"/>
      <c r="O499" s="190"/>
      <c r="P499" s="190"/>
      <c r="Q499" s="190"/>
    </row>
    <row r="500" spans="1:17" x14ac:dyDescent="0.3">
      <c r="A500" s="186"/>
      <c r="B500" s="187"/>
      <c r="C500" s="187"/>
      <c r="D500" s="188"/>
      <c r="E500" s="190"/>
      <c r="F500" s="190"/>
      <c r="G500" s="190"/>
      <c r="H500" s="190"/>
      <c r="I500" s="190"/>
      <c r="J500" s="190"/>
      <c r="K500" s="190"/>
      <c r="L500" s="190"/>
      <c r="M500" s="190"/>
      <c r="N500" s="190"/>
      <c r="O500" s="190"/>
      <c r="P500" s="190"/>
      <c r="Q500" s="190"/>
    </row>
    <row r="501" spans="1:17" x14ac:dyDescent="0.3">
      <c r="A501" s="186"/>
      <c r="B501" s="187"/>
      <c r="C501" s="187"/>
      <c r="D501" s="188"/>
      <c r="E501" s="190"/>
      <c r="F501" s="190"/>
      <c r="G501" s="190"/>
      <c r="H501" s="190"/>
      <c r="I501" s="190"/>
      <c r="J501" s="190"/>
      <c r="K501" s="190"/>
      <c r="L501" s="190"/>
      <c r="M501" s="190"/>
      <c r="N501" s="190"/>
      <c r="O501" s="190"/>
      <c r="P501" s="190"/>
      <c r="Q501" s="190"/>
    </row>
    <row r="502" spans="1:17" x14ac:dyDescent="0.3">
      <c r="A502" s="186"/>
      <c r="B502" s="187"/>
      <c r="C502" s="187"/>
      <c r="D502" s="188"/>
      <c r="E502" s="190"/>
      <c r="F502" s="190"/>
      <c r="G502" s="190"/>
      <c r="H502" s="190"/>
      <c r="I502" s="190"/>
      <c r="J502" s="190"/>
      <c r="K502" s="190"/>
      <c r="L502" s="190"/>
      <c r="M502" s="190"/>
      <c r="N502" s="190"/>
      <c r="O502" s="190"/>
      <c r="P502" s="190"/>
      <c r="Q502" s="190"/>
    </row>
    <row r="503" spans="1:17" x14ac:dyDescent="0.3">
      <c r="A503" s="186"/>
      <c r="B503" s="187"/>
      <c r="C503" s="187"/>
      <c r="D503" s="188"/>
      <c r="E503" s="190"/>
      <c r="F503" s="190"/>
      <c r="G503" s="190"/>
      <c r="H503" s="190"/>
      <c r="I503" s="190"/>
      <c r="J503" s="190"/>
      <c r="K503" s="190"/>
      <c r="L503" s="190"/>
      <c r="M503" s="190"/>
      <c r="N503" s="190"/>
      <c r="O503" s="190"/>
      <c r="P503" s="190"/>
      <c r="Q503" s="190"/>
    </row>
    <row r="504" spans="1:17" x14ac:dyDescent="0.3">
      <c r="A504" s="186"/>
      <c r="B504" s="187"/>
      <c r="C504" s="187"/>
      <c r="D504" s="188"/>
      <c r="E504" s="190"/>
      <c r="F504" s="190"/>
      <c r="G504" s="190"/>
      <c r="H504" s="190"/>
      <c r="I504" s="190"/>
      <c r="J504" s="190"/>
      <c r="K504" s="190"/>
      <c r="L504" s="190"/>
      <c r="M504" s="190"/>
      <c r="N504" s="190"/>
      <c r="O504" s="190"/>
      <c r="P504" s="190"/>
      <c r="Q504" s="190"/>
    </row>
    <row r="505" spans="1:17" x14ac:dyDescent="0.3">
      <c r="A505" s="186"/>
      <c r="B505" s="187"/>
      <c r="C505" s="187"/>
      <c r="D505" s="188"/>
      <c r="E505" s="190"/>
      <c r="F505" s="190"/>
      <c r="G505" s="190"/>
      <c r="H505" s="190"/>
      <c r="I505" s="190"/>
      <c r="J505" s="190"/>
      <c r="K505" s="190"/>
      <c r="L505" s="190"/>
      <c r="M505" s="190"/>
      <c r="N505" s="190"/>
      <c r="O505" s="190"/>
      <c r="P505" s="190"/>
      <c r="Q505" s="190"/>
    </row>
    <row r="506" spans="1:17" x14ac:dyDescent="0.3">
      <c r="A506" s="186"/>
      <c r="B506" s="187"/>
      <c r="C506" s="187"/>
      <c r="D506" s="188"/>
      <c r="E506" s="190"/>
      <c r="F506" s="190"/>
      <c r="G506" s="190"/>
      <c r="H506" s="190"/>
      <c r="I506" s="190"/>
      <c r="J506" s="190"/>
      <c r="K506" s="190"/>
      <c r="L506" s="190"/>
      <c r="M506" s="190"/>
      <c r="N506" s="190"/>
      <c r="O506" s="190"/>
      <c r="P506" s="190"/>
      <c r="Q506" s="190"/>
    </row>
    <row r="507" spans="1:17" x14ac:dyDescent="0.3">
      <c r="A507" s="186"/>
      <c r="B507" s="187"/>
      <c r="C507" s="187"/>
      <c r="D507" s="188"/>
      <c r="E507" s="190"/>
      <c r="F507" s="190"/>
      <c r="G507" s="190"/>
      <c r="H507" s="190"/>
      <c r="I507" s="190"/>
      <c r="J507" s="190"/>
      <c r="K507" s="190"/>
      <c r="L507" s="190"/>
      <c r="M507" s="190"/>
      <c r="N507" s="190"/>
      <c r="O507" s="190"/>
      <c r="P507" s="190"/>
      <c r="Q507" s="190"/>
    </row>
    <row r="508" spans="1:17" x14ac:dyDescent="0.3">
      <c r="A508" s="186"/>
      <c r="B508" s="187"/>
      <c r="C508" s="187"/>
      <c r="D508" s="188"/>
      <c r="E508" s="190"/>
      <c r="F508" s="190"/>
      <c r="G508" s="190"/>
      <c r="H508" s="190"/>
      <c r="I508" s="190"/>
      <c r="J508" s="190"/>
      <c r="K508" s="190"/>
      <c r="L508" s="190"/>
      <c r="M508" s="190"/>
      <c r="N508" s="190"/>
      <c r="O508" s="190"/>
      <c r="P508" s="190"/>
      <c r="Q508" s="190"/>
    </row>
    <row r="509" spans="1:17" x14ac:dyDescent="0.3">
      <c r="A509" s="186"/>
      <c r="B509" s="187"/>
      <c r="C509" s="187"/>
      <c r="D509" s="188"/>
      <c r="E509" s="190"/>
      <c r="F509" s="190"/>
      <c r="G509" s="190"/>
      <c r="H509" s="190"/>
      <c r="I509" s="190"/>
      <c r="J509" s="190"/>
      <c r="K509" s="190"/>
      <c r="L509" s="190"/>
      <c r="M509" s="190"/>
      <c r="N509" s="190"/>
      <c r="O509" s="190"/>
      <c r="P509" s="190"/>
      <c r="Q509" s="190"/>
    </row>
    <row r="510" spans="1:17" x14ac:dyDescent="0.3">
      <c r="A510" s="186"/>
      <c r="B510" s="187"/>
      <c r="C510" s="187"/>
      <c r="D510" s="188"/>
      <c r="E510" s="190"/>
      <c r="F510" s="190"/>
      <c r="G510" s="190"/>
      <c r="H510" s="190"/>
      <c r="I510" s="190"/>
      <c r="J510" s="190"/>
      <c r="K510" s="190"/>
      <c r="L510" s="190"/>
      <c r="M510" s="190"/>
      <c r="N510" s="190"/>
      <c r="O510" s="190"/>
      <c r="P510" s="190"/>
      <c r="Q510" s="190"/>
    </row>
    <row r="511" spans="1:17" x14ac:dyDescent="0.3">
      <c r="A511" s="186"/>
      <c r="B511" s="187"/>
      <c r="C511" s="187"/>
      <c r="D511" s="188"/>
      <c r="E511" s="190"/>
      <c r="F511" s="190"/>
      <c r="G511" s="190"/>
      <c r="H511" s="190"/>
      <c r="I511" s="190"/>
      <c r="J511" s="190"/>
      <c r="K511" s="190"/>
      <c r="L511" s="190"/>
      <c r="M511" s="190"/>
      <c r="N511" s="190"/>
      <c r="O511" s="190"/>
      <c r="P511" s="190"/>
      <c r="Q511" s="190"/>
    </row>
    <row r="512" spans="1:17" x14ac:dyDescent="0.3">
      <c r="A512" s="186"/>
      <c r="B512" s="187"/>
      <c r="C512" s="187"/>
      <c r="D512" s="188"/>
      <c r="E512" s="190"/>
      <c r="F512" s="190"/>
      <c r="G512" s="190"/>
      <c r="H512" s="190"/>
      <c r="I512" s="190"/>
      <c r="J512" s="190"/>
      <c r="K512" s="190"/>
      <c r="L512" s="190"/>
      <c r="M512" s="190"/>
      <c r="N512" s="190"/>
      <c r="O512" s="190"/>
      <c r="P512" s="190"/>
      <c r="Q512" s="190"/>
    </row>
    <row r="513" spans="1:17" x14ac:dyDescent="0.3">
      <c r="A513" s="186"/>
      <c r="B513" s="187"/>
      <c r="C513" s="187"/>
      <c r="D513" s="188"/>
      <c r="E513" s="190"/>
      <c r="F513" s="190"/>
      <c r="G513" s="190"/>
      <c r="H513" s="190"/>
      <c r="I513" s="190"/>
      <c r="J513" s="190"/>
      <c r="K513" s="190"/>
      <c r="L513" s="190"/>
      <c r="M513" s="190"/>
      <c r="N513" s="190"/>
      <c r="O513" s="190"/>
      <c r="P513" s="190"/>
      <c r="Q513" s="190"/>
    </row>
    <row r="514" spans="1:17" x14ac:dyDescent="0.3">
      <c r="A514" s="186"/>
      <c r="B514" s="187"/>
      <c r="C514" s="187"/>
      <c r="D514" s="188"/>
      <c r="E514" s="190"/>
      <c r="F514" s="190"/>
      <c r="G514" s="190"/>
      <c r="H514" s="190"/>
      <c r="I514" s="190"/>
      <c r="J514" s="190"/>
      <c r="K514" s="190"/>
      <c r="L514" s="190"/>
      <c r="M514" s="190"/>
      <c r="N514" s="190"/>
      <c r="O514" s="190"/>
      <c r="P514" s="190"/>
      <c r="Q514" s="190"/>
    </row>
    <row r="515" spans="1:17" x14ac:dyDescent="0.3">
      <c r="A515" s="186"/>
      <c r="B515" s="187"/>
      <c r="C515" s="187"/>
      <c r="D515" s="188"/>
      <c r="E515" s="190"/>
      <c r="F515" s="190"/>
      <c r="G515" s="190"/>
      <c r="H515" s="190"/>
      <c r="I515" s="190"/>
      <c r="J515" s="190"/>
      <c r="K515" s="190"/>
      <c r="L515" s="190"/>
      <c r="M515" s="190"/>
      <c r="N515" s="190"/>
      <c r="O515" s="190"/>
      <c r="P515" s="190"/>
      <c r="Q515" s="190"/>
    </row>
    <row r="516" spans="1:17" x14ac:dyDescent="0.3">
      <c r="A516" s="186"/>
      <c r="B516" s="187"/>
      <c r="C516" s="187"/>
      <c r="D516" s="188"/>
      <c r="E516" s="190"/>
      <c r="F516" s="190"/>
      <c r="G516" s="190"/>
      <c r="H516" s="190"/>
      <c r="I516" s="190"/>
      <c r="J516" s="190"/>
      <c r="K516" s="190"/>
      <c r="L516" s="190"/>
      <c r="M516" s="190"/>
      <c r="N516" s="190"/>
      <c r="O516" s="190"/>
      <c r="P516" s="190"/>
      <c r="Q516" s="190"/>
    </row>
    <row r="517" spans="1:17" x14ac:dyDescent="0.3">
      <c r="A517" s="186"/>
      <c r="B517" s="187"/>
      <c r="C517" s="187"/>
      <c r="D517" s="188"/>
      <c r="E517" s="190"/>
      <c r="F517" s="190"/>
      <c r="G517" s="190"/>
      <c r="H517" s="190"/>
      <c r="I517" s="190"/>
      <c r="J517" s="190"/>
      <c r="K517" s="190"/>
      <c r="L517" s="190"/>
      <c r="M517" s="190"/>
      <c r="N517" s="190"/>
      <c r="O517" s="190"/>
      <c r="P517" s="190"/>
      <c r="Q517" s="190"/>
    </row>
    <row r="518" spans="1:17" x14ac:dyDescent="0.3">
      <c r="A518" s="186"/>
      <c r="B518" s="187"/>
      <c r="C518" s="187"/>
      <c r="D518" s="188"/>
      <c r="E518" s="190"/>
      <c r="F518" s="190"/>
      <c r="G518" s="190"/>
      <c r="H518" s="190"/>
      <c r="I518" s="190"/>
      <c r="J518" s="190"/>
      <c r="K518" s="190"/>
      <c r="L518" s="190"/>
      <c r="M518" s="190"/>
      <c r="N518" s="190"/>
      <c r="O518" s="190"/>
      <c r="P518" s="190"/>
      <c r="Q518" s="190"/>
    </row>
    <row r="519" spans="1:17" x14ac:dyDescent="0.3">
      <c r="A519" s="186"/>
      <c r="B519" s="187"/>
      <c r="C519" s="187"/>
      <c r="D519" s="188"/>
      <c r="E519" s="190"/>
      <c r="F519" s="190"/>
      <c r="G519" s="190"/>
      <c r="H519" s="190"/>
      <c r="I519" s="190"/>
      <c r="J519" s="190"/>
      <c r="K519" s="190"/>
      <c r="L519" s="190"/>
      <c r="M519" s="190"/>
      <c r="N519" s="190"/>
      <c r="O519" s="190"/>
      <c r="P519" s="190"/>
      <c r="Q519" s="190"/>
    </row>
    <row r="520" spans="1:17" x14ac:dyDescent="0.3">
      <c r="A520" s="186"/>
      <c r="B520" s="187"/>
      <c r="C520" s="187"/>
      <c r="D520" s="188"/>
      <c r="E520" s="190"/>
      <c r="F520" s="190"/>
      <c r="G520" s="190"/>
      <c r="H520" s="190"/>
      <c r="I520" s="190"/>
      <c r="J520" s="190"/>
      <c r="K520" s="190"/>
      <c r="L520" s="190"/>
      <c r="M520" s="190"/>
      <c r="N520" s="190"/>
      <c r="O520" s="190"/>
      <c r="P520" s="190"/>
      <c r="Q520" s="190"/>
    </row>
    <row r="521" spans="1:17" x14ac:dyDescent="0.3">
      <c r="A521" s="186"/>
      <c r="B521" s="187"/>
      <c r="C521" s="187"/>
      <c r="D521" s="188"/>
      <c r="E521" s="190"/>
      <c r="F521" s="190"/>
      <c r="G521" s="190"/>
      <c r="H521" s="190"/>
      <c r="I521" s="190"/>
      <c r="J521" s="190"/>
      <c r="K521" s="190"/>
      <c r="L521" s="190"/>
      <c r="M521" s="190"/>
      <c r="N521" s="190"/>
      <c r="O521" s="190"/>
      <c r="P521" s="190"/>
      <c r="Q521" s="190"/>
    </row>
    <row r="522" spans="1:17" x14ac:dyDescent="0.3">
      <c r="A522" s="186"/>
      <c r="B522" s="187"/>
      <c r="C522" s="187"/>
      <c r="D522" s="188"/>
      <c r="E522" s="190"/>
      <c r="F522" s="190"/>
      <c r="G522" s="190"/>
      <c r="H522" s="190"/>
      <c r="I522" s="190"/>
      <c r="J522" s="190"/>
      <c r="K522" s="190"/>
      <c r="L522" s="190"/>
      <c r="M522" s="190"/>
      <c r="N522" s="190"/>
      <c r="O522" s="190"/>
      <c r="P522" s="190"/>
      <c r="Q522" s="190"/>
    </row>
    <row r="523" spans="1:17" x14ac:dyDescent="0.3">
      <c r="A523" s="186"/>
      <c r="B523" s="187"/>
      <c r="C523" s="187"/>
      <c r="D523" s="188"/>
      <c r="E523" s="190"/>
      <c r="F523" s="190"/>
      <c r="G523" s="190"/>
      <c r="H523" s="190"/>
      <c r="I523" s="190"/>
      <c r="J523" s="190"/>
      <c r="K523" s="190"/>
      <c r="L523" s="190"/>
      <c r="M523" s="190"/>
      <c r="N523" s="190"/>
      <c r="O523" s="190"/>
      <c r="P523" s="190"/>
      <c r="Q523" s="190"/>
    </row>
    <row r="524" spans="1:17" x14ac:dyDescent="0.3">
      <c r="A524" s="186"/>
      <c r="B524" s="187"/>
      <c r="C524" s="187"/>
      <c r="D524" s="188"/>
      <c r="E524" s="190"/>
      <c r="F524" s="190"/>
      <c r="G524" s="190"/>
      <c r="H524" s="190"/>
      <c r="I524" s="190"/>
      <c r="J524" s="190"/>
      <c r="K524" s="190"/>
      <c r="L524" s="190"/>
      <c r="M524" s="190"/>
      <c r="N524" s="190"/>
      <c r="O524" s="190"/>
      <c r="P524" s="190"/>
      <c r="Q524" s="190"/>
    </row>
    <row r="525" spans="1:17" x14ac:dyDescent="0.3">
      <c r="A525" s="186"/>
      <c r="B525" s="187"/>
      <c r="C525" s="187"/>
      <c r="D525" s="188"/>
      <c r="E525" s="190"/>
      <c r="F525" s="190"/>
      <c r="G525" s="190"/>
      <c r="H525" s="190"/>
      <c r="I525" s="190"/>
      <c r="J525" s="190"/>
      <c r="K525" s="190"/>
      <c r="L525" s="190"/>
      <c r="M525" s="190"/>
      <c r="N525" s="190"/>
      <c r="O525" s="190"/>
      <c r="P525" s="190"/>
      <c r="Q525" s="190"/>
    </row>
    <row r="526" spans="1:17" x14ac:dyDescent="0.3">
      <c r="A526" s="186"/>
      <c r="B526" s="187"/>
      <c r="C526" s="187"/>
      <c r="D526" s="188"/>
      <c r="E526" s="190"/>
      <c r="F526" s="190"/>
      <c r="G526" s="190"/>
      <c r="H526" s="190"/>
      <c r="I526" s="190"/>
      <c r="J526" s="190"/>
      <c r="K526" s="190"/>
      <c r="L526" s="190"/>
      <c r="M526" s="190"/>
      <c r="N526" s="190"/>
      <c r="O526" s="190"/>
      <c r="P526" s="190"/>
      <c r="Q526" s="190"/>
    </row>
    <row r="527" spans="1:17" x14ac:dyDescent="0.3">
      <c r="A527" s="186"/>
      <c r="B527" s="187"/>
      <c r="C527" s="187"/>
      <c r="D527" s="188"/>
      <c r="E527" s="190"/>
      <c r="F527" s="190"/>
      <c r="G527" s="190"/>
      <c r="H527" s="190"/>
      <c r="I527" s="190"/>
      <c r="J527" s="190"/>
      <c r="K527" s="190"/>
      <c r="L527" s="190"/>
      <c r="M527" s="190"/>
      <c r="N527" s="190"/>
      <c r="O527" s="190"/>
      <c r="P527" s="190"/>
      <c r="Q527" s="190"/>
    </row>
    <row r="528" spans="1:17" x14ac:dyDescent="0.3">
      <c r="A528" s="186"/>
      <c r="B528" s="187"/>
      <c r="C528" s="187"/>
      <c r="D528" s="188"/>
      <c r="E528" s="190"/>
      <c r="F528" s="190"/>
      <c r="G528" s="190"/>
      <c r="H528" s="190"/>
      <c r="I528" s="190"/>
      <c r="J528" s="190"/>
      <c r="K528" s="190"/>
      <c r="L528" s="190"/>
      <c r="M528" s="190"/>
      <c r="N528" s="190"/>
      <c r="O528" s="190"/>
      <c r="P528" s="190"/>
      <c r="Q528" s="190"/>
    </row>
    <row r="529" spans="1:17" x14ac:dyDescent="0.3">
      <c r="A529" s="186"/>
      <c r="B529" s="187"/>
      <c r="C529" s="187"/>
      <c r="D529" s="188"/>
      <c r="E529" s="190"/>
      <c r="F529" s="190"/>
      <c r="G529" s="190"/>
      <c r="H529" s="190"/>
      <c r="I529" s="190"/>
      <c r="J529" s="190"/>
      <c r="K529" s="190"/>
      <c r="L529" s="190"/>
      <c r="M529" s="190"/>
      <c r="N529" s="190"/>
      <c r="O529" s="190"/>
      <c r="P529" s="190"/>
      <c r="Q529" s="190"/>
    </row>
    <row r="530" spans="1:17" x14ac:dyDescent="0.3">
      <c r="A530" s="186"/>
      <c r="B530" s="187"/>
      <c r="C530" s="187"/>
      <c r="D530" s="188"/>
      <c r="E530" s="190"/>
      <c r="F530" s="190"/>
      <c r="G530" s="190"/>
      <c r="H530" s="190"/>
      <c r="I530" s="190"/>
      <c r="J530" s="190"/>
      <c r="K530" s="190"/>
      <c r="L530" s="190"/>
      <c r="M530" s="190"/>
      <c r="N530" s="190"/>
      <c r="O530" s="190"/>
      <c r="P530" s="190"/>
      <c r="Q530" s="190"/>
    </row>
    <row r="531" spans="1:17" x14ac:dyDescent="0.3">
      <c r="A531" s="186"/>
      <c r="B531" s="187"/>
      <c r="C531" s="187"/>
      <c r="D531" s="188"/>
      <c r="E531" s="190"/>
      <c r="F531" s="190"/>
      <c r="G531" s="190"/>
      <c r="H531" s="190"/>
      <c r="I531" s="190"/>
      <c r="J531" s="190"/>
      <c r="K531" s="190"/>
      <c r="L531" s="190"/>
      <c r="M531" s="190"/>
      <c r="N531" s="190"/>
      <c r="O531" s="190"/>
      <c r="P531" s="190"/>
      <c r="Q531" s="190"/>
    </row>
    <row r="532" spans="1:17" x14ac:dyDescent="0.3">
      <c r="A532" s="186"/>
      <c r="B532" s="187"/>
      <c r="C532" s="187"/>
      <c r="D532" s="188"/>
      <c r="E532" s="190"/>
      <c r="F532" s="190"/>
      <c r="G532" s="190"/>
      <c r="H532" s="190"/>
      <c r="I532" s="190"/>
      <c r="J532" s="190"/>
      <c r="K532" s="190"/>
      <c r="L532" s="190"/>
      <c r="M532" s="190"/>
      <c r="N532" s="190"/>
      <c r="O532" s="190"/>
      <c r="P532" s="190"/>
      <c r="Q532" s="190"/>
    </row>
    <row r="533" spans="1:17" x14ac:dyDescent="0.3">
      <c r="A533" s="186"/>
      <c r="B533" s="187"/>
      <c r="C533" s="187"/>
      <c r="D533" s="188"/>
      <c r="E533" s="190"/>
      <c r="F533" s="190"/>
      <c r="G533" s="190"/>
      <c r="H533" s="190"/>
      <c r="I533" s="190"/>
      <c r="J533" s="190"/>
      <c r="K533" s="190"/>
      <c r="L533" s="190"/>
      <c r="M533" s="190"/>
      <c r="N533" s="190"/>
      <c r="O533" s="190"/>
      <c r="P533" s="190"/>
      <c r="Q533" s="190"/>
    </row>
    <row r="534" spans="1:17" x14ac:dyDescent="0.3">
      <c r="A534" s="186"/>
      <c r="B534" s="187"/>
      <c r="C534" s="187"/>
      <c r="D534" s="188"/>
      <c r="E534" s="190"/>
      <c r="F534" s="190"/>
      <c r="G534" s="190"/>
      <c r="H534" s="190"/>
      <c r="I534" s="190"/>
      <c r="J534" s="190"/>
      <c r="K534" s="190"/>
      <c r="L534" s="190"/>
      <c r="M534" s="190"/>
      <c r="N534" s="190"/>
      <c r="O534" s="190"/>
      <c r="P534" s="190"/>
      <c r="Q534" s="190"/>
    </row>
    <row r="535" spans="1:17" x14ac:dyDescent="0.3">
      <c r="A535" s="186"/>
      <c r="B535" s="187"/>
      <c r="C535" s="187"/>
      <c r="D535" s="188"/>
      <c r="E535" s="190"/>
      <c r="F535" s="190"/>
      <c r="G535" s="190"/>
      <c r="H535" s="190"/>
      <c r="I535" s="190"/>
      <c r="J535" s="190"/>
      <c r="K535" s="190"/>
      <c r="L535" s="190"/>
      <c r="M535" s="190"/>
      <c r="N535" s="190"/>
      <c r="O535" s="190"/>
      <c r="P535" s="190"/>
      <c r="Q535" s="190"/>
    </row>
    <row r="536" spans="1:17" x14ac:dyDescent="0.3">
      <c r="A536" s="186"/>
      <c r="B536" s="187"/>
      <c r="C536" s="187"/>
      <c r="D536" s="188"/>
      <c r="E536" s="190"/>
      <c r="F536" s="190"/>
      <c r="G536" s="190"/>
      <c r="H536" s="190"/>
      <c r="I536" s="190"/>
      <c r="J536" s="190"/>
      <c r="K536" s="190"/>
      <c r="L536" s="190"/>
      <c r="M536" s="190"/>
      <c r="N536" s="190"/>
      <c r="O536" s="190"/>
      <c r="P536" s="190"/>
      <c r="Q536" s="190"/>
    </row>
    <row r="537" spans="1:17" x14ac:dyDescent="0.3">
      <c r="A537" s="186"/>
      <c r="B537" s="187"/>
      <c r="C537" s="187"/>
      <c r="D537" s="188"/>
      <c r="E537" s="190"/>
      <c r="F537" s="190"/>
      <c r="G537" s="190"/>
      <c r="H537" s="190"/>
      <c r="I537" s="190"/>
      <c r="J537" s="190"/>
      <c r="K537" s="190"/>
      <c r="L537" s="190"/>
      <c r="M537" s="190"/>
      <c r="N537" s="190"/>
      <c r="O537" s="190"/>
      <c r="P537" s="190"/>
      <c r="Q537" s="190"/>
    </row>
    <row r="538" spans="1:17" x14ac:dyDescent="0.3">
      <c r="A538" s="186"/>
      <c r="B538" s="187"/>
      <c r="C538" s="187"/>
      <c r="D538" s="188"/>
      <c r="E538" s="190"/>
      <c r="F538" s="190"/>
      <c r="G538" s="190"/>
      <c r="H538" s="190"/>
      <c r="I538" s="190"/>
      <c r="J538" s="190"/>
      <c r="K538" s="190"/>
      <c r="L538" s="190"/>
      <c r="M538" s="190"/>
      <c r="N538" s="190"/>
      <c r="O538" s="190"/>
      <c r="P538" s="190"/>
      <c r="Q538" s="190"/>
    </row>
    <row r="539" spans="1:17" x14ac:dyDescent="0.3">
      <c r="A539" s="186"/>
      <c r="B539" s="187"/>
      <c r="C539" s="187"/>
      <c r="D539" s="188"/>
      <c r="E539" s="190"/>
      <c r="F539" s="190"/>
      <c r="G539" s="190"/>
      <c r="H539" s="190"/>
      <c r="I539" s="190"/>
      <c r="J539" s="190"/>
      <c r="K539" s="190"/>
      <c r="L539" s="190"/>
      <c r="M539" s="190"/>
      <c r="N539" s="190"/>
      <c r="O539" s="190"/>
      <c r="P539" s="190"/>
      <c r="Q539" s="190"/>
    </row>
    <row r="540" spans="1:17" x14ac:dyDescent="0.3">
      <c r="A540" s="186"/>
      <c r="B540" s="187"/>
      <c r="C540" s="187"/>
      <c r="D540" s="188"/>
      <c r="E540" s="190"/>
      <c r="F540" s="190"/>
      <c r="G540" s="190"/>
      <c r="H540" s="190"/>
      <c r="I540" s="190"/>
      <c r="J540" s="190"/>
      <c r="K540" s="190"/>
      <c r="L540" s="190"/>
      <c r="M540" s="190"/>
      <c r="N540" s="190"/>
      <c r="O540" s="190"/>
      <c r="P540" s="190"/>
      <c r="Q540" s="190"/>
    </row>
    <row r="541" spans="1:17" x14ac:dyDescent="0.3">
      <c r="A541" s="186"/>
      <c r="B541" s="187"/>
      <c r="C541" s="187"/>
      <c r="D541" s="188"/>
      <c r="E541" s="190"/>
      <c r="F541" s="190"/>
      <c r="G541" s="190"/>
      <c r="H541" s="190"/>
      <c r="I541" s="190"/>
      <c r="J541" s="190"/>
      <c r="K541" s="190"/>
      <c r="L541" s="190"/>
      <c r="M541" s="190"/>
      <c r="N541" s="190"/>
      <c r="O541" s="190"/>
      <c r="P541" s="190"/>
      <c r="Q541" s="190"/>
    </row>
    <row r="542" spans="1:17" x14ac:dyDescent="0.3">
      <c r="A542" s="186"/>
      <c r="B542" s="187"/>
      <c r="C542" s="187"/>
      <c r="D542" s="188"/>
      <c r="E542" s="190"/>
      <c r="F542" s="190"/>
      <c r="G542" s="190"/>
      <c r="H542" s="190"/>
      <c r="I542" s="190"/>
      <c r="J542" s="190"/>
      <c r="K542" s="190"/>
      <c r="L542" s="190"/>
      <c r="M542" s="190"/>
      <c r="N542" s="190"/>
      <c r="O542" s="190"/>
      <c r="P542" s="190"/>
      <c r="Q542" s="190"/>
    </row>
    <row r="543" spans="1:17" x14ac:dyDescent="0.3">
      <c r="A543" s="186"/>
      <c r="B543" s="187"/>
      <c r="C543" s="187"/>
      <c r="D543" s="188"/>
      <c r="E543" s="190"/>
      <c r="F543" s="190"/>
      <c r="G543" s="190"/>
      <c r="H543" s="190"/>
      <c r="I543" s="190"/>
      <c r="J543" s="190"/>
      <c r="K543" s="190"/>
      <c r="L543" s="190"/>
      <c r="M543" s="190"/>
      <c r="N543" s="190"/>
      <c r="O543" s="190"/>
      <c r="P543" s="190"/>
      <c r="Q543" s="190"/>
    </row>
    <row r="544" spans="1:17" x14ac:dyDescent="0.3">
      <c r="A544" s="186"/>
      <c r="B544" s="187"/>
      <c r="C544" s="187"/>
      <c r="D544" s="188"/>
      <c r="E544" s="190"/>
      <c r="F544" s="190"/>
      <c r="G544" s="190"/>
      <c r="H544" s="190"/>
      <c r="I544" s="190"/>
      <c r="J544" s="190"/>
      <c r="K544" s="190"/>
      <c r="L544" s="190"/>
      <c r="M544" s="190"/>
      <c r="N544" s="190"/>
      <c r="O544" s="190"/>
      <c r="P544" s="190"/>
      <c r="Q544" s="190"/>
    </row>
    <row r="545" spans="1:17" x14ac:dyDescent="0.3">
      <c r="A545" s="186"/>
      <c r="B545" s="187"/>
      <c r="C545" s="187"/>
      <c r="D545" s="188"/>
      <c r="E545" s="190"/>
      <c r="F545" s="190"/>
      <c r="G545" s="190"/>
      <c r="H545" s="190"/>
      <c r="I545" s="190"/>
      <c r="J545" s="190"/>
      <c r="K545" s="190"/>
      <c r="L545" s="190"/>
      <c r="M545" s="190"/>
      <c r="N545" s="190"/>
      <c r="O545" s="190"/>
      <c r="P545" s="190"/>
      <c r="Q545" s="190"/>
    </row>
    <row r="546" spans="1:17" x14ac:dyDescent="0.3">
      <c r="A546" s="186"/>
      <c r="B546" s="187"/>
      <c r="C546" s="187"/>
      <c r="D546" s="188"/>
      <c r="E546" s="190"/>
      <c r="F546" s="190"/>
      <c r="G546" s="190"/>
      <c r="H546" s="190"/>
      <c r="I546" s="190"/>
      <c r="J546" s="190"/>
      <c r="K546" s="190"/>
      <c r="L546" s="190"/>
      <c r="M546" s="190"/>
      <c r="N546" s="190"/>
      <c r="O546" s="190"/>
      <c r="P546" s="190"/>
      <c r="Q546" s="190"/>
    </row>
    <row r="547" spans="1:17" x14ac:dyDescent="0.3">
      <c r="A547" s="186"/>
      <c r="B547" s="187"/>
      <c r="C547" s="187"/>
      <c r="D547" s="188"/>
      <c r="E547" s="190"/>
      <c r="F547" s="190"/>
      <c r="G547" s="190"/>
      <c r="H547" s="190"/>
      <c r="I547" s="190"/>
      <c r="J547" s="190"/>
      <c r="K547" s="190"/>
      <c r="L547" s="190"/>
      <c r="M547" s="190"/>
      <c r="N547" s="190"/>
      <c r="O547" s="190"/>
      <c r="P547" s="190"/>
      <c r="Q547" s="190"/>
    </row>
    <row r="548" spans="1:17" x14ac:dyDescent="0.3">
      <c r="A548" s="186"/>
      <c r="B548" s="187"/>
      <c r="C548" s="187"/>
      <c r="D548" s="188"/>
      <c r="E548" s="190"/>
      <c r="F548" s="190"/>
      <c r="G548" s="190"/>
      <c r="H548" s="190"/>
      <c r="I548" s="190"/>
      <c r="J548" s="190"/>
      <c r="K548" s="190"/>
      <c r="L548" s="190"/>
      <c r="M548" s="190"/>
      <c r="N548" s="190"/>
      <c r="O548" s="190"/>
      <c r="P548" s="190"/>
      <c r="Q548" s="190"/>
    </row>
    <row r="549" spans="1:17" x14ac:dyDescent="0.3">
      <c r="A549" s="186"/>
      <c r="B549" s="187"/>
      <c r="C549" s="187"/>
      <c r="D549" s="188"/>
      <c r="E549" s="190"/>
      <c r="F549" s="190"/>
      <c r="G549" s="190"/>
      <c r="H549" s="190"/>
      <c r="I549" s="190"/>
      <c r="J549" s="190"/>
      <c r="K549" s="190"/>
      <c r="L549" s="190"/>
      <c r="M549" s="190"/>
      <c r="N549" s="190"/>
      <c r="O549" s="190"/>
      <c r="P549" s="190"/>
      <c r="Q549" s="190"/>
    </row>
    <row r="550" spans="1:17" x14ac:dyDescent="0.3">
      <c r="A550" s="186"/>
      <c r="B550" s="187"/>
      <c r="C550" s="187"/>
      <c r="D550" s="188"/>
      <c r="E550" s="190"/>
      <c r="F550" s="190"/>
      <c r="G550" s="190"/>
      <c r="H550" s="190"/>
      <c r="I550" s="190"/>
      <c r="J550" s="190"/>
      <c r="K550" s="190"/>
      <c r="L550" s="190"/>
      <c r="M550" s="190"/>
      <c r="N550" s="190"/>
      <c r="O550" s="190"/>
      <c r="P550" s="190"/>
      <c r="Q550" s="190"/>
    </row>
    <row r="551" spans="1:17" x14ac:dyDescent="0.3">
      <c r="A551" s="186"/>
      <c r="B551" s="187"/>
      <c r="C551" s="187"/>
      <c r="D551" s="188"/>
      <c r="E551" s="190"/>
      <c r="F551" s="190"/>
      <c r="G551" s="190"/>
      <c r="H551" s="190"/>
      <c r="I551" s="190"/>
      <c r="J551" s="190"/>
      <c r="K551" s="190"/>
      <c r="L551" s="190"/>
      <c r="M551" s="190"/>
      <c r="N551" s="190"/>
      <c r="O551" s="190"/>
      <c r="P551" s="190"/>
      <c r="Q551" s="190"/>
    </row>
    <row r="552" spans="1:17" x14ac:dyDescent="0.3">
      <c r="A552" s="186"/>
      <c r="B552" s="187"/>
      <c r="C552" s="187"/>
      <c r="D552" s="188"/>
      <c r="E552" s="190"/>
      <c r="F552" s="190"/>
      <c r="G552" s="190"/>
      <c r="H552" s="190"/>
      <c r="I552" s="190"/>
      <c r="J552" s="190"/>
      <c r="K552" s="190"/>
      <c r="L552" s="190"/>
      <c r="M552" s="190"/>
      <c r="N552" s="190"/>
      <c r="O552" s="190"/>
      <c r="P552" s="190"/>
      <c r="Q552" s="190"/>
    </row>
    <row r="553" spans="1:17" x14ac:dyDescent="0.3">
      <c r="A553" s="186"/>
      <c r="B553" s="187"/>
      <c r="C553" s="187"/>
      <c r="D553" s="188"/>
      <c r="E553" s="190"/>
      <c r="F553" s="190"/>
      <c r="G553" s="190"/>
      <c r="H553" s="190"/>
      <c r="I553" s="190"/>
      <c r="J553" s="190"/>
      <c r="K553" s="190"/>
      <c r="L553" s="190"/>
      <c r="M553" s="190"/>
      <c r="N553" s="190"/>
      <c r="O553" s="190"/>
      <c r="P553" s="190"/>
      <c r="Q553" s="190"/>
    </row>
    <row r="554" spans="1:17" x14ac:dyDescent="0.3">
      <c r="A554" s="186"/>
      <c r="B554" s="187"/>
      <c r="C554" s="187"/>
      <c r="D554" s="188"/>
      <c r="E554" s="190"/>
      <c r="F554" s="190"/>
      <c r="G554" s="190"/>
      <c r="H554" s="190"/>
      <c r="I554" s="190"/>
      <c r="J554" s="190"/>
      <c r="K554" s="190"/>
      <c r="L554" s="190"/>
      <c r="M554" s="190"/>
      <c r="N554" s="190"/>
      <c r="O554" s="190"/>
      <c r="P554" s="190"/>
      <c r="Q554" s="190"/>
    </row>
    <row r="555" spans="1:17" x14ac:dyDescent="0.3">
      <c r="A555" s="186"/>
      <c r="B555" s="187"/>
      <c r="C555" s="187"/>
      <c r="D555" s="188"/>
      <c r="E555" s="190"/>
      <c r="F555" s="190"/>
      <c r="G555" s="190"/>
      <c r="H555" s="190"/>
      <c r="I555" s="190"/>
      <c r="J555" s="190"/>
      <c r="K555" s="190"/>
      <c r="L555" s="190"/>
      <c r="M555" s="190"/>
      <c r="N555" s="190"/>
      <c r="O555" s="190"/>
      <c r="P555" s="190"/>
      <c r="Q555" s="190"/>
    </row>
    <row r="556" spans="1:17" x14ac:dyDescent="0.3">
      <c r="A556" s="186"/>
      <c r="B556" s="187"/>
      <c r="C556" s="187"/>
      <c r="D556" s="188"/>
      <c r="E556" s="190"/>
      <c r="F556" s="190"/>
      <c r="G556" s="190"/>
      <c r="H556" s="190"/>
      <c r="I556" s="190"/>
      <c r="J556" s="190"/>
      <c r="K556" s="190"/>
      <c r="L556" s="190"/>
      <c r="M556" s="190"/>
      <c r="N556" s="190"/>
      <c r="O556" s="190"/>
      <c r="P556" s="190"/>
      <c r="Q556" s="190"/>
    </row>
    <row r="557" spans="1:17" x14ac:dyDescent="0.3">
      <c r="A557" s="186"/>
      <c r="B557" s="187"/>
      <c r="C557" s="187"/>
      <c r="D557" s="188"/>
      <c r="E557" s="190"/>
      <c r="F557" s="190"/>
      <c r="G557" s="190"/>
      <c r="H557" s="190"/>
      <c r="I557" s="190"/>
      <c r="J557" s="190"/>
      <c r="K557" s="190"/>
      <c r="L557" s="190"/>
      <c r="M557" s="190"/>
      <c r="N557" s="190"/>
      <c r="O557" s="190"/>
      <c r="P557" s="190"/>
      <c r="Q557" s="190"/>
    </row>
    <row r="558" spans="1:17" x14ac:dyDescent="0.3">
      <c r="A558" s="186"/>
      <c r="B558" s="187"/>
      <c r="C558" s="187"/>
      <c r="D558" s="188"/>
      <c r="E558" s="190"/>
      <c r="F558" s="190"/>
      <c r="G558" s="190"/>
      <c r="H558" s="190"/>
      <c r="I558" s="190"/>
      <c r="J558" s="190"/>
      <c r="K558" s="190"/>
      <c r="L558" s="190"/>
      <c r="M558" s="190"/>
      <c r="N558" s="190"/>
      <c r="O558" s="190"/>
      <c r="P558" s="190"/>
      <c r="Q558" s="190"/>
    </row>
    <row r="559" spans="1:17" x14ac:dyDescent="0.3">
      <c r="A559" s="186"/>
      <c r="B559" s="187"/>
      <c r="C559" s="187"/>
      <c r="D559" s="188"/>
      <c r="E559" s="190"/>
      <c r="F559" s="190"/>
      <c r="G559" s="190"/>
      <c r="H559" s="190"/>
      <c r="I559" s="190"/>
      <c r="J559" s="190"/>
      <c r="K559" s="190"/>
      <c r="L559" s="190"/>
      <c r="M559" s="190"/>
      <c r="N559" s="190"/>
      <c r="O559" s="190"/>
      <c r="P559" s="190"/>
      <c r="Q559" s="190"/>
    </row>
    <row r="560" spans="1:17" x14ac:dyDescent="0.3">
      <c r="A560" s="186"/>
      <c r="B560" s="187"/>
      <c r="C560" s="187"/>
      <c r="D560" s="188"/>
      <c r="E560" s="190"/>
      <c r="F560" s="190"/>
      <c r="G560" s="190"/>
      <c r="H560" s="190"/>
      <c r="I560" s="190"/>
      <c r="J560" s="190"/>
      <c r="K560" s="190"/>
      <c r="L560" s="190"/>
      <c r="M560" s="190"/>
      <c r="N560" s="190"/>
      <c r="O560" s="190"/>
      <c r="P560" s="190"/>
      <c r="Q560" s="190"/>
    </row>
    <row r="561" spans="1:17" x14ac:dyDescent="0.3">
      <c r="A561" s="186"/>
      <c r="B561" s="187"/>
      <c r="C561" s="187"/>
      <c r="D561" s="188"/>
      <c r="E561" s="190"/>
      <c r="F561" s="190"/>
      <c r="G561" s="190"/>
      <c r="H561" s="190"/>
      <c r="I561" s="190"/>
      <c r="J561" s="190"/>
      <c r="K561" s="190"/>
      <c r="L561" s="190"/>
      <c r="M561" s="190"/>
      <c r="N561" s="190"/>
      <c r="O561" s="190"/>
      <c r="P561" s="190"/>
      <c r="Q561" s="190"/>
    </row>
    <row r="562" spans="1:17" x14ac:dyDescent="0.3">
      <c r="A562" s="186"/>
      <c r="B562" s="187"/>
      <c r="C562" s="187"/>
      <c r="D562" s="188"/>
      <c r="E562" s="190"/>
      <c r="F562" s="190"/>
      <c r="G562" s="190"/>
      <c r="H562" s="190"/>
      <c r="I562" s="190"/>
      <c r="J562" s="190"/>
      <c r="K562" s="190"/>
      <c r="L562" s="190"/>
      <c r="M562" s="190"/>
      <c r="N562" s="190"/>
      <c r="O562" s="190"/>
      <c r="P562" s="190"/>
      <c r="Q562" s="190"/>
    </row>
    <row r="563" spans="1:17" x14ac:dyDescent="0.3">
      <c r="A563" s="186"/>
      <c r="B563" s="187"/>
      <c r="C563" s="187"/>
      <c r="D563" s="188"/>
      <c r="E563" s="190"/>
      <c r="F563" s="190"/>
      <c r="G563" s="190"/>
      <c r="H563" s="190"/>
      <c r="I563" s="190"/>
      <c r="J563" s="190"/>
      <c r="K563" s="190"/>
      <c r="L563" s="190"/>
      <c r="M563" s="190"/>
      <c r="N563" s="190"/>
      <c r="O563" s="190"/>
      <c r="P563" s="190"/>
      <c r="Q563" s="190"/>
    </row>
    <row r="564" spans="1:17" x14ac:dyDescent="0.3">
      <c r="A564" s="186"/>
      <c r="B564" s="187"/>
      <c r="C564" s="187"/>
      <c r="D564" s="188"/>
      <c r="E564" s="190"/>
      <c r="F564" s="190"/>
      <c r="G564" s="190"/>
      <c r="H564" s="190"/>
      <c r="I564" s="190"/>
      <c r="J564" s="190"/>
      <c r="K564" s="190"/>
      <c r="L564" s="190"/>
      <c r="M564" s="190"/>
      <c r="N564" s="190"/>
      <c r="O564" s="190"/>
      <c r="P564" s="190"/>
      <c r="Q564" s="190"/>
    </row>
    <row r="565" spans="1:17" x14ac:dyDescent="0.3">
      <c r="A565" s="186"/>
      <c r="B565" s="187"/>
      <c r="C565" s="187"/>
      <c r="D565" s="188"/>
      <c r="E565" s="190"/>
      <c r="F565" s="190"/>
      <c r="G565" s="190"/>
      <c r="H565" s="190"/>
      <c r="I565" s="190"/>
      <c r="J565" s="190"/>
      <c r="K565" s="190"/>
      <c r="L565" s="190"/>
      <c r="M565" s="190"/>
      <c r="N565" s="190"/>
      <c r="O565" s="190"/>
      <c r="P565" s="190"/>
      <c r="Q565" s="190"/>
    </row>
    <row r="566" spans="1:17" x14ac:dyDescent="0.3">
      <c r="A566" s="186"/>
      <c r="B566" s="187"/>
      <c r="C566" s="187"/>
      <c r="D566" s="188"/>
      <c r="E566" s="190"/>
      <c r="F566" s="190"/>
      <c r="G566" s="190"/>
      <c r="H566" s="190"/>
      <c r="I566" s="190"/>
      <c r="J566" s="190"/>
      <c r="K566" s="190"/>
      <c r="L566" s="190"/>
      <c r="M566" s="190"/>
      <c r="N566" s="190"/>
      <c r="O566" s="190"/>
      <c r="P566" s="190"/>
      <c r="Q566" s="190"/>
    </row>
    <row r="567" spans="1:17" x14ac:dyDescent="0.3">
      <c r="A567" s="186"/>
      <c r="B567" s="187"/>
      <c r="C567" s="187"/>
      <c r="D567" s="188"/>
      <c r="E567" s="190"/>
      <c r="F567" s="190"/>
      <c r="G567" s="190"/>
      <c r="H567" s="190"/>
      <c r="I567" s="190"/>
      <c r="J567" s="190"/>
      <c r="K567" s="190"/>
      <c r="L567" s="190"/>
      <c r="M567" s="190"/>
      <c r="N567" s="190"/>
      <c r="O567" s="190"/>
      <c r="P567" s="190"/>
      <c r="Q567" s="190"/>
    </row>
    <row r="568" spans="1:17" x14ac:dyDescent="0.3">
      <c r="A568" s="186"/>
      <c r="B568" s="187"/>
      <c r="C568" s="187"/>
      <c r="D568" s="188"/>
      <c r="E568" s="190"/>
      <c r="F568" s="190"/>
      <c r="G568" s="190"/>
      <c r="H568" s="190"/>
      <c r="I568" s="190"/>
      <c r="J568" s="190"/>
      <c r="K568" s="190"/>
      <c r="L568" s="190"/>
      <c r="M568" s="190"/>
      <c r="N568" s="190"/>
      <c r="O568" s="190"/>
      <c r="P568" s="190"/>
      <c r="Q568" s="190"/>
    </row>
    <row r="569" spans="1:17" x14ac:dyDescent="0.3">
      <c r="A569" s="186"/>
      <c r="B569" s="187"/>
      <c r="C569" s="187"/>
      <c r="D569" s="188"/>
      <c r="E569" s="190"/>
      <c r="F569" s="190"/>
      <c r="G569" s="190"/>
      <c r="H569" s="190"/>
      <c r="I569" s="190"/>
      <c r="J569" s="190"/>
      <c r="K569" s="190"/>
      <c r="L569" s="190"/>
      <c r="M569" s="190"/>
      <c r="N569" s="190"/>
      <c r="O569" s="190"/>
      <c r="P569" s="190"/>
      <c r="Q569" s="190"/>
    </row>
    <row r="570" spans="1:17" x14ac:dyDescent="0.3">
      <c r="A570" s="186"/>
      <c r="B570" s="187"/>
      <c r="C570" s="187"/>
      <c r="D570" s="188"/>
      <c r="E570" s="190"/>
      <c r="F570" s="190"/>
      <c r="G570" s="190"/>
      <c r="H570" s="190"/>
      <c r="I570" s="190"/>
      <c r="J570" s="190"/>
      <c r="K570" s="190"/>
      <c r="L570" s="190"/>
      <c r="M570" s="190"/>
      <c r="N570" s="190"/>
      <c r="O570" s="190"/>
      <c r="P570" s="190"/>
      <c r="Q570" s="190"/>
    </row>
    <row r="571" spans="1:17" x14ac:dyDescent="0.3">
      <c r="A571" s="186"/>
      <c r="B571" s="187"/>
      <c r="C571" s="187"/>
      <c r="D571" s="188"/>
      <c r="E571" s="190"/>
      <c r="F571" s="190"/>
      <c r="G571" s="190"/>
      <c r="H571" s="190"/>
      <c r="I571" s="190"/>
      <c r="J571" s="190"/>
      <c r="K571" s="190"/>
      <c r="L571" s="190"/>
      <c r="M571" s="190"/>
      <c r="N571" s="190"/>
      <c r="O571" s="190"/>
      <c r="P571" s="190"/>
      <c r="Q571" s="190"/>
    </row>
    <row r="572" spans="1:17" x14ac:dyDescent="0.3">
      <c r="A572" s="186"/>
      <c r="B572" s="187"/>
      <c r="C572" s="187"/>
      <c r="D572" s="188"/>
      <c r="E572" s="190"/>
      <c r="F572" s="190"/>
      <c r="G572" s="190"/>
      <c r="H572" s="190"/>
      <c r="I572" s="190"/>
      <c r="J572" s="190"/>
      <c r="K572" s="190"/>
      <c r="L572" s="190"/>
      <c r="M572" s="190"/>
      <c r="N572" s="190"/>
      <c r="O572" s="190"/>
      <c r="P572" s="190"/>
      <c r="Q572" s="190"/>
    </row>
    <row r="573" spans="1:17" x14ac:dyDescent="0.3">
      <c r="A573" s="186"/>
      <c r="B573" s="187"/>
      <c r="C573" s="187"/>
      <c r="D573" s="188"/>
      <c r="E573" s="190"/>
      <c r="F573" s="190"/>
      <c r="G573" s="190"/>
      <c r="H573" s="190"/>
      <c r="I573" s="190"/>
      <c r="J573" s="190"/>
      <c r="K573" s="190"/>
      <c r="L573" s="190"/>
      <c r="M573" s="190"/>
      <c r="N573" s="190"/>
      <c r="O573" s="190"/>
      <c r="P573" s="190"/>
      <c r="Q573" s="190"/>
    </row>
    <row r="574" spans="1:17" x14ac:dyDescent="0.3">
      <c r="A574" s="186"/>
      <c r="B574" s="187"/>
      <c r="C574" s="187"/>
      <c r="D574" s="188"/>
      <c r="E574" s="190"/>
      <c r="F574" s="190"/>
      <c r="G574" s="190"/>
      <c r="H574" s="190"/>
      <c r="I574" s="190"/>
      <c r="J574" s="190"/>
      <c r="K574" s="190"/>
      <c r="L574" s="190"/>
      <c r="M574" s="190"/>
      <c r="N574" s="190"/>
      <c r="O574" s="190"/>
      <c r="P574" s="190"/>
      <c r="Q574" s="190"/>
    </row>
    <row r="575" spans="1:17" x14ac:dyDescent="0.3">
      <c r="A575" s="186"/>
      <c r="B575" s="187"/>
      <c r="C575" s="187"/>
      <c r="D575" s="188"/>
      <c r="E575" s="190"/>
      <c r="F575" s="190"/>
      <c r="G575" s="190"/>
      <c r="H575" s="190"/>
      <c r="I575" s="190"/>
      <c r="J575" s="190"/>
      <c r="K575" s="190"/>
      <c r="L575" s="190"/>
      <c r="M575" s="190"/>
      <c r="N575" s="190"/>
      <c r="O575" s="190"/>
      <c r="P575" s="190"/>
      <c r="Q575" s="190"/>
    </row>
    <row r="576" spans="1:17" x14ac:dyDescent="0.3">
      <c r="A576" s="186"/>
      <c r="B576" s="187"/>
      <c r="C576" s="187"/>
      <c r="D576" s="188"/>
      <c r="E576" s="190"/>
      <c r="F576" s="190"/>
      <c r="G576" s="190"/>
      <c r="H576" s="190"/>
      <c r="I576" s="190"/>
      <c r="J576" s="190"/>
      <c r="K576" s="190"/>
      <c r="L576" s="190"/>
      <c r="M576" s="190"/>
      <c r="N576" s="190"/>
      <c r="O576" s="190"/>
      <c r="P576" s="190"/>
      <c r="Q576" s="190"/>
    </row>
    <row r="577" spans="1:17" x14ac:dyDescent="0.3">
      <c r="A577" s="186"/>
      <c r="B577" s="187"/>
      <c r="C577" s="187"/>
      <c r="D577" s="188"/>
      <c r="E577" s="190"/>
      <c r="F577" s="190"/>
      <c r="G577" s="190"/>
      <c r="H577" s="190"/>
      <c r="I577" s="190"/>
      <c r="J577" s="190"/>
      <c r="K577" s="190"/>
      <c r="L577" s="190"/>
      <c r="M577" s="190"/>
      <c r="N577" s="190"/>
      <c r="O577" s="190"/>
      <c r="P577" s="190"/>
      <c r="Q577" s="190"/>
    </row>
    <row r="578" spans="1:17" x14ac:dyDescent="0.3">
      <c r="A578" s="186"/>
      <c r="B578" s="187"/>
      <c r="C578" s="187"/>
      <c r="D578" s="188"/>
      <c r="E578" s="190"/>
      <c r="F578" s="190"/>
      <c r="G578" s="190"/>
      <c r="H578" s="190"/>
      <c r="I578" s="190"/>
      <c r="J578" s="190"/>
      <c r="K578" s="190"/>
      <c r="L578" s="190"/>
      <c r="M578" s="190"/>
      <c r="N578" s="190"/>
      <c r="O578" s="190"/>
      <c r="P578" s="190"/>
      <c r="Q578" s="190"/>
    </row>
    <row r="579" spans="1:17" x14ac:dyDescent="0.3">
      <c r="A579" s="186"/>
      <c r="B579" s="187"/>
      <c r="C579" s="187"/>
      <c r="D579" s="188"/>
      <c r="E579" s="190"/>
      <c r="F579" s="190"/>
      <c r="G579" s="190"/>
      <c r="H579" s="190"/>
      <c r="I579" s="190"/>
      <c r="J579" s="190"/>
      <c r="K579" s="190"/>
      <c r="L579" s="190"/>
      <c r="M579" s="190"/>
      <c r="N579" s="190"/>
      <c r="O579" s="190"/>
      <c r="P579" s="190"/>
      <c r="Q579" s="190"/>
    </row>
    <row r="580" spans="1:17" x14ac:dyDescent="0.3">
      <c r="A580" s="186"/>
      <c r="B580" s="187"/>
      <c r="C580" s="187"/>
      <c r="D580" s="188"/>
      <c r="E580" s="190"/>
      <c r="F580" s="190"/>
      <c r="G580" s="190"/>
      <c r="H580" s="190"/>
      <c r="I580" s="190"/>
      <c r="J580" s="190"/>
      <c r="K580" s="190"/>
      <c r="L580" s="190"/>
      <c r="M580" s="190"/>
      <c r="N580" s="190"/>
      <c r="O580" s="190"/>
      <c r="P580" s="190"/>
      <c r="Q580" s="190"/>
    </row>
    <row r="581" spans="1:17" x14ac:dyDescent="0.3">
      <c r="A581" s="186"/>
      <c r="B581" s="187"/>
      <c r="C581" s="187"/>
      <c r="D581" s="188"/>
      <c r="E581" s="190"/>
      <c r="F581" s="190"/>
      <c r="G581" s="190"/>
      <c r="H581" s="190"/>
      <c r="I581" s="190"/>
      <c r="J581" s="190"/>
      <c r="K581" s="190"/>
      <c r="L581" s="190"/>
      <c r="M581" s="190"/>
      <c r="N581" s="190"/>
      <c r="O581" s="190"/>
      <c r="P581" s="190"/>
      <c r="Q581" s="190"/>
    </row>
    <row r="582" spans="1:17" x14ac:dyDescent="0.3">
      <c r="A582" s="186"/>
      <c r="B582" s="187"/>
      <c r="C582" s="187"/>
      <c r="D582" s="188"/>
      <c r="E582" s="190"/>
      <c r="F582" s="190"/>
      <c r="G582" s="190"/>
      <c r="H582" s="190"/>
      <c r="I582" s="190"/>
      <c r="J582" s="190"/>
      <c r="K582" s="190"/>
      <c r="L582" s="190"/>
      <c r="M582" s="190"/>
      <c r="N582" s="190"/>
      <c r="O582" s="190"/>
      <c r="P582" s="190"/>
      <c r="Q582" s="190"/>
    </row>
    <row r="583" spans="1:17" x14ac:dyDescent="0.3">
      <c r="A583" s="186"/>
      <c r="B583" s="187"/>
      <c r="C583" s="187"/>
      <c r="D583" s="188"/>
      <c r="E583" s="190"/>
      <c r="F583" s="190"/>
      <c r="G583" s="190"/>
      <c r="H583" s="190"/>
      <c r="I583" s="190"/>
      <c r="J583" s="190"/>
      <c r="K583" s="190"/>
      <c r="L583" s="190"/>
      <c r="M583" s="190"/>
      <c r="N583" s="190"/>
      <c r="O583" s="190"/>
      <c r="P583" s="190"/>
      <c r="Q583" s="190"/>
    </row>
    <row r="584" spans="1:17" x14ac:dyDescent="0.3">
      <c r="A584" s="186"/>
      <c r="B584" s="187"/>
      <c r="C584" s="187"/>
      <c r="D584" s="188"/>
      <c r="E584" s="190"/>
      <c r="F584" s="190"/>
      <c r="G584" s="190"/>
      <c r="H584" s="190"/>
      <c r="I584" s="190"/>
      <c r="J584" s="190"/>
      <c r="K584" s="190"/>
      <c r="L584" s="190"/>
      <c r="M584" s="190"/>
      <c r="N584" s="190"/>
      <c r="O584" s="190"/>
      <c r="P584" s="190"/>
      <c r="Q584" s="190"/>
    </row>
    <row r="585" spans="1:17" x14ac:dyDescent="0.3">
      <c r="A585" s="186"/>
      <c r="B585" s="187"/>
      <c r="C585" s="187"/>
      <c r="D585" s="188"/>
      <c r="E585" s="190"/>
      <c r="F585" s="190"/>
      <c r="G585" s="190"/>
      <c r="H585" s="190"/>
      <c r="I585" s="190"/>
      <c r="J585" s="190"/>
      <c r="K585" s="190"/>
      <c r="L585" s="190"/>
      <c r="M585" s="190"/>
      <c r="N585" s="190"/>
      <c r="O585" s="190"/>
      <c r="P585" s="190"/>
      <c r="Q585" s="190"/>
    </row>
    <row r="586" spans="1:17" x14ac:dyDescent="0.3">
      <c r="A586" s="186"/>
      <c r="B586" s="187"/>
      <c r="C586" s="187"/>
      <c r="D586" s="188"/>
      <c r="E586" s="190"/>
      <c r="F586" s="190"/>
      <c r="G586" s="190"/>
      <c r="H586" s="190"/>
      <c r="I586" s="190"/>
      <c r="J586" s="190"/>
      <c r="K586" s="190"/>
      <c r="L586" s="190"/>
      <c r="M586" s="190"/>
      <c r="N586" s="190"/>
      <c r="O586" s="190"/>
      <c r="P586" s="190"/>
      <c r="Q586" s="190"/>
    </row>
    <row r="587" spans="1:17" x14ac:dyDescent="0.3">
      <c r="A587" s="186"/>
      <c r="B587" s="187"/>
      <c r="C587" s="187"/>
      <c r="D587" s="188"/>
      <c r="E587" s="190"/>
      <c r="F587" s="190"/>
      <c r="G587" s="190"/>
      <c r="H587" s="190"/>
      <c r="I587" s="190"/>
      <c r="J587" s="190"/>
      <c r="K587" s="190"/>
      <c r="L587" s="190"/>
      <c r="M587" s="190"/>
      <c r="N587" s="190"/>
      <c r="O587" s="190"/>
      <c r="P587" s="190"/>
      <c r="Q587" s="190"/>
    </row>
    <row r="588" spans="1:17" x14ac:dyDescent="0.3">
      <c r="A588" s="186"/>
      <c r="B588" s="187"/>
      <c r="C588" s="187"/>
      <c r="D588" s="188"/>
      <c r="E588" s="190"/>
      <c r="F588" s="190"/>
      <c r="G588" s="190"/>
      <c r="H588" s="190"/>
      <c r="I588" s="190"/>
      <c r="J588" s="190"/>
      <c r="K588" s="190"/>
      <c r="L588" s="190"/>
      <c r="M588" s="190"/>
      <c r="N588" s="190"/>
      <c r="O588" s="190"/>
      <c r="P588" s="190"/>
      <c r="Q588" s="190"/>
    </row>
    <row r="589" spans="1:17" x14ac:dyDescent="0.3">
      <c r="A589" s="186"/>
      <c r="B589" s="187"/>
      <c r="C589" s="187"/>
      <c r="D589" s="188"/>
      <c r="E589" s="190"/>
      <c r="F589" s="190"/>
      <c r="G589" s="190"/>
      <c r="H589" s="190"/>
      <c r="I589" s="190"/>
      <c r="J589" s="190"/>
      <c r="K589" s="190"/>
      <c r="L589" s="190"/>
      <c r="M589" s="190"/>
      <c r="N589" s="190"/>
      <c r="O589" s="190"/>
      <c r="P589" s="190"/>
      <c r="Q589" s="190"/>
    </row>
    <row r="590" spans="1:17" x14ac:dyDescent="0.3">
      <c r="A590" s="186"/>
      <c r="B590" s="187"/>
      <c r="C590" s="187"/>
      <c r="D590" s="188"/>
      <c r="E590" s="190"/>
      <c r="F590" s="190"/>
      <c r="G590" s="190"/>
      <c r="H590" s="190"/>
      <c r="I590" s="190"/>
      <c r="J590" s="190"/>
      <c r="K590" s="190"/>
      <c r="L590" s="190"/>
      <c r="M590" s="190"/>
      <c r="N590" s="190"/>
      <c r="O590" s="190"/>
      <c r="P590" s="190"/>
      <c r="Q590" s="190"/>
    </row>
    <row r="591" spans="1:17" x14ac:dyDescent="0.3">
      <c r="A591" s="186"/>
      <c r="B591" s="187"/>
      <c r="C591" s="187"/>
      <c r="D591" s="188"/>
      <c r="E591" s="190"/>
      <c r="F591" s="190"/>
      <c r="G591" s="190"/>
      <c r="H591" s="190"/>
      <c r="I591" s="190"/>
      <c r="J591" s="190"/>
      <c r="K591" s="190"/>
      <c r="L591" s="190"/>
      <c r="M591" s="190"/>
      <c r="N591" s="190"/>
      <c r="O591" s="190"/>
      <c r="P591" s="190"/>
      <c r="Q591" s="190"/>
    </row>
    <row r="592" spans="1:17" x14ac:dyDescent="0.3">
      <c r="A592" s="186"/>
      <c r="B592" s="187"/>
      <c r="C592" s="187"/>
      <c r="D592" s="188"/>
      <c r="E592" s="190"/>
      <c r="F592" s="190"/>
      <c r="G592" s="190"/>
      <c r="H592" s="190"/>
      <c r="I592" s="190"/>
      <c r="J592" s="190"/>
      <c r="K592" s="190"/>
      <c r="L592" s="190"/>
      <c r="M592" s="190"/>
      <c r="N592" s="190"/>
      <c r="O592" s="190"/>
      <c r="P592" s="190"/>
      <c r="Q592" s="190"/>
    </row>
    <row r="593" spans="1:17" x14ac:dyDescent="0.3">
      <c r="A593" s="186"/>
      <c r="B593" s="187"/>
      <c r="C593" s="187"/>
      <c r="D593" s="188"/>
      <c r="E593" s="190"/>
      <c r="F593" s="190"/>
      <c r="G593" s="190"/>
      <c r="H593" s="190"/>
      <c r="I593" s="190"/>
      <c r="J593" s="190"/>
      <c r="K593" s="190"/>
      <c r="L593" s="190"/>
      <c r="M593" s="190"/>
      <c r="N593" s="190"/>
      <c r="O593" s="190"/>
      <c r="P593" s="190"/>
      <c r="Q593" s="190"/>
    </row>
    <row r="594" spans="1:17" x14ac:dyDescent="0.3">
      <c r="A594" s="186"/>
      <c r="B594" s="187"/>
      <c r="C594" s="187"/>
      <c r="D594" s="188"/>
      <c r="E594" s="190"/>
      <c r="F594" s="190"/>
      <c r="G594" s="190"/>
      <c r="H594" s="190"/>
      <c r="I594" s="190"/>
      <c r="J594" s="190"/>
      <c r="K594" s="190"/>
      <c r="L594" s="190"/>
      <c r="M594" s="190"/>
      <c r="N594" s="190"/>
      <c r="O594" s="190"/>
      <c r="P594" s="190"/>
      <c r="Q594" s="190"/>
    </row>
    <row r="595" spans="1:17" x14ac:dyDescent="0.3">
      <c r="A595" s="186"/>
      <c r="B595" s="187"/>
      <c r="C595" s="187"/>
      <c r="D595" s="188"/>
      <c r="E595" s="190"/>
      <c r="F595" s="190"/>
      <c r="G595" s="190"/>
      <c r="H595" s="190"/>
      <c r="I595" s="190"/>
      <c r="J595" s="190"/>
      <c r="K595" s="190"/>
      <c r="L595" s="190"/>
      <c r="M595" s="190"/>
      <c r="N595" s="190"/>
      <c r="O595" s="190"/>
      <c r="P595" s="190"/>
      <c r="Q595" s="190"/>
    </row>
    <row r="596" spans="1:17" x14ac:dyDescent="0.3">
      <c r="A596" s="186"/>
      <c r="B596" s="187"/>
      <c r="C596" s="187"/>
      <c r="D596" s="188"/>
      <c r="E596" s="190"/>
      <c r="F596" s="190"/>
      <c r="G596" s="190"/>
      <c r="H596" s="190"/>
      <c r="I596" s="190"/>
      <c r="J596" s="190"/>
      <c r="K596" s="190"/>
      <c r="L596" s="190"/>
      <c r="M596" s="190"/>
      <c r="N596" s="190"/>
      <c r="O596" s="190"/>
      <c r="P596" s="190"/>
      <c r="Q596" s="190"/>
    </row>
    <row r="597" spans="1:17" x14ac:dyDescent="0.3">
      <c r="A597" s="186"/>
      <c r="B597" s="187"/>
      <c r="C597" s="187"/>
      <c r="D597" s="188"/>
      <c r="E597" s="190"/>
      <c r="F597" s="190"/>
      <c r="G597" s="190"/>
      <c r="H597" s="190"/>
      <c r="I597" s="190"/>
      <c r="J597" s="190"/>
      <c r="K597" s="190"/>
      <c r="L597" s="190"/>
      <c r="M597" s="190"/>
      <c r="N597" s="190"/>
      <c r="O597" s="190"/>
      <c r="P597" s="190"/>
      <c r="Q597" s="190"/>
    </row>
    <row r="598" spans="1:17" x14ac:dyDescent="0.3">
      <c r="A598" s="186"/>
      <c r="B598" s="187"/>
      <c r="C598" s="187"/>
      <c r="D598" s="188"/>
      <c r="E598" s="190"/>
      <c r="F598" s="190"/>
      <c r="G598" s="190"/>
      <c r="H598" s="190"/>
      <c r="I598" s="190"/>
      <c r="J598" s="190"/>
      <c r="K598" s="190"/>
      <c r="L598" s="190"/>
      <c r="M598" s="190"/>
      <c r="N598" s="190"/>
      <c r="O598" s="190"/>
      <c r="P598" s="190"/>
      <c r="Q598" s="190"/>
    </row>
    <row r="599" spans="1:17" x14ac:dyDescent="0.3">
      <c r="A599" s="186"/>
      <c r="B599" s="187"/>
      <c r="C599" s="187"/>
      <c r="D599" s="188"/>
      <c r="E599" s="190"/>
      <c r="F599" s="190"/>
      <c r="G599" s="190"/>
      <c r="H599" s="190"/>
      <c r="I599" s="190"/>
      <c r="J599" s="190"/>
      <c r="K599" s="190"/>
      <c r="L599" s="190"/>
      <c r="M599" s="190"/>
      <c r="N599" s="190"/>
      <c r="O599" s="190"/>
      <c r="P599" s="190"/>
      <c r="Q599" s="190"/>
    </row>
    <row r="600" spans="1:17" x14ac:dyDescent="0.3">
      <c r="A600" s="186"/>
      <c r="B600" s="187"/>
      <c r="C600" s="187"/>
      <c r="D600" s="188"/>
      <c r="E600" s="190"/>
      <c r="F600" s="190"/>
      <c r="G600" s="190"/>
      <c r="H600" s="190"/>
      <c r="I600" s="190"/>
      <c r="J600" s="190"/>
      <c r="K600" s="190"/>
      <c r="L600" s="190"/>
      <c r="M600" s="190"/>
      <c r="N600" s="190"/>
      <c r="O600" s="190"/>
      <c r="P600" s="190"/>
      <c r="Q600" s="190"/>
    </row>
    <row r="601" spans="1:17" x14ac:dyDescent="0.3">
      <c r="A601" s="186"/>
      <c r="B601" s="187"/>
      <c r="C601" s="187"/>
      <c r="D601" s="188"/>
      <c r="E601" s="190"/>
      <c r="F601" s="190"/>
      <c r="G601" s="190"/>
      <c r="H601" s="190"/>
      <c r="I601" s="190"/>
      <c r="J601" s="190"/>
      <c r="K601" s="190"/>
      <c r="L601" s="190"/>
      <c r="M601" s="190"/>
      <c r="N601" s="190"/>
      <c r="O601" s="190"/>
      <c r="P601" s="190"/>
      <c r="Q601" s="190"/>
    </row>
    <row r="602" spans="1:17" x14ac:dyDescent="0.3">
      <c r="A602" s="186"/>
      <c r="B602" s="187"/>
      <c r="C602" s="187"/>
      <c r="D602" s="188"/>
      <c r="E602" s="190"/>
      <c r="F602" s="190"/>
      <c r="G602" s="190"/>
      <c r="H602" s="190"/>
      <c r="I602" s="190"/>
      <c r="J602" s="190"/>
      <c r="K602" s="190"/>
      <c r="L602" s="190"/>
      <c r="M602" s="190"/>
      <c r="N602" s="190"/>
      <c r="O602" s="190"/>
      <c r="P602" s="190"/>
      <c r="Q602" s="190"/>
    </row>
    <row r="603" spans="1:17" x14ac:dyDescent="0.3">
      <c r="A603" s="186"/>
      <c r="B603" s="187"/>
      <c r="C603" s="187"/>
      <c r="D603" s="188"/>
      <c r="E603" s="190"/>
      <c r="F603" s="190"/>
      <c r="G603" s="190"/>
      <c r="H603" s="190"/>
      <c r="I603" s="190"/>
      <c r="J603" s="190"/>
      <c r="K603" s="190"/>
      <c r="L603" s="190"/>
      <c r="M603" s="190"/>
      <c r="N603" s="190"/>
      <c r="O603" s="190"/>
      <c r="P603" s="190"/>
      <c r="Q603" s="190"/>
    </row>
    <row r="604" spans="1:17" x14ac:dyDescent="0.3">
      <c r="A604" s="186"/>
      <c r="B604" s="187"/>
      <c r="C604" s="187"/>
      <c r="D604" s="188"/>
      <c r="E604" s="190"/>
      <c r="F604" s="190"/>
      <c r="G604" s="190"/>
      <c r="H604" s="190"/>
      <c r="I604" s="190"/>
      <c r="J604" s="190"/>
      <c r="K604" s="190"/>
      <c r="L604" s="190"/>
      <c r="M604" s="190"/>
      <c r="N604" s="190"/>
      <c r="O604" s="190"/>
      <c r="P604" s="190"/>
      <c r="Q604" s="190"/>
    </row>
    <row r="605" spans="1:17" x14ac:dyDescent="0.3">
      <c r="A605" s="186"/>
      <c r="B605" s="187"/>
      <c r="C605" s="187"/>
      <c r="D605" s="188"/>
      <c r="E605" s="189"/>
      <c r="F605" s="189"/>
      <c r="G605" s="189"/>
      <c r="H605" s="189"/>
      <c r="I605" s="189"/>
      <c r="J605" s="189"/>
      <c r="K605" s="189"/>
      <c r="L605" s="189"/>
      <c r="M605" s="189"/>
      <c r="N605" s="189"/>
      <c r="O605" s="189"/>
      <c r="P605" s="189"/>
      <c r="Q605" s="189"/>
    </row>
    <row r="606" spans="1:17" x14ac:dyDescent="0.3">
      <c r="A606" s="186"/>
      <c r="B606" s="187"/>
      <c r="C606" s="187"/>
      <c r="D606" s="188"/>
      <c r="E606" s="189"/>
      <c r="F606" s="189"/>
      <c r="G606" s="189"/>
      <c r="H606" s="189"/>
      <c r="I606" s="189"/>
      <c r="J606" s="189"/>
      <c r="K606" s="189"/>
      <c r="L606" s="189"/>
      <c r="M606" s="189"/>
      <c r="N606" s="189"/>
      <c r="O606" s="189"/>
      <c r="P606" s="189"/>
      <c r="Q606" s="189"/>
    </row>
    <row r="607" spans="1:17" x14ac:dyDescent="0.3">
      <c r="A607" s="186"/>
      <c r="B607" s="187"/>
      <c r="C607" s="187"/>
      <c r="D607" s="188"/>
      <c r="E607" s="189"/>
      <c r="F607" s="189"/>
      <c r="G607" s="189"/>
      <c r="H607" s="189"/>
      <c r="I607" s="189"/>
      <c r="J607" s="189"/>
      <c r="K607" s="189"/>
      <c r="L607" s="189"/>
      <c r="M607" s="189"/>
      <c r="N607" s="189"/>
      <c r="O607" s="189"/>
      <c r="P607" s="189"/>
      <c r="Q607" s="189"/>
    </row>
    <row r="608" spans="1:17" x14ac:dyDescent="0.3">
      <c r="A608" s="186"/>
      <c r="B608" s="187"/>
      <c r="C608" s="187"/>
      <c r="D608" s="188"/>
      <c r="E608" s="189"/>
      <c r="F608" s="189"/>
      <c r="G608" s="189"/>
      <c r="H608" s="189"/>
      <c r="I608" s="189"/>
      <c r="J608" s="189"/>
      <c r="K608" s="189"/>
      <c r="L608" s="189"/>
      <c r="M608" s="189"/>
      <c r="N608" s="189"/>
      <c r="O608" s="189"/>
      <c r="P608" s="189"/>
      <c r="Q608" s="189"/>
    </row>
    <row r="609" spans="1:17" x14ac:dyDescent="0.3">
      <c r="A609" s="186"/>
      <c r="B609" s="187"/>
      <c r="C609" s="187"/>
      <c r="D609" s="188"/>
      <c r="E609" s="189"/>
      <c r="F609" s="189"/>
      <c r="G609" s="189"/>
      <c r="H609" s="189"/>
      <c r="I609" s="189"/>
      <c r="J609" s="189"/>
      <c r="K609" s="189"/>
      <c r="L609" s="189"/>
      <c r="M609" s="189"/>
      <c r="N609" s="189"/>
      <c r="O609" s="189"/>
      <c r="P609" s="189"/>
      <c r="Q609" s="189"/>
    </row>
    <row r="610" spans="1:17" x14ac:dyDescent="0.3">
      <c r="A610" s="186"/>
      <c r="B610" s="187"/>
      <c r="C610" s="187"/>
      <c r="D610" s="188"/>
      <c r="E610" s="189"/>
      <c r="F610" s="189"/>
      <c r="G610" s="189"/>
      <c r="H610" s="189"/>
      <c r="I610" s="189"/>
      <c r="J610" s="189"/>
      <c r="K610" s="189"/>
      <c r="L610" s="189"/>
      <c r="M610" s="189"/>
      <c r="N610" s="189"/>
      <c r="O610" s="189"/>
      <c r="P610" s="189"/>
      <c r="Q610" s="189"/>
    </row>
    <row r="611" spans="1:17" x14ac:dyDescent="0.3">
      <c r="A611" s="186"/>
      <c r="B611" s="187"/>
      <c r="C611" s="187"/>
      <c r="D611" s="188"/>
      <c r="E611" s="189"/>
      <c r="F611" s="189"/>
      <c r="G611" s="189"/>
      <c r="H611" s="189"/>
      <c r="I611" s="189"/>
      <c r="J611" s="189"/>
      <c r="K611" s="189"/>
      <c r="L611" s="189"/>
      <c r="M611" s="189"/>
      <c r="N611" s="189"/>
      <c r="O611" s="189"/>
      <c r="P611" s="189"/>
      <c r="Q611" s="189"/>
    </row>
    <row r="612" spans="1:17" x14ac:dyDescent="0.3">
      <c r="A612" s="186"/>
      <c r="B612" s="187"/>
      <c r="C612" s="187"/>
      <c r="D612" s="188"/>
      <c r="E612" s="189"/>
      <c r="F612" s="189"/>
      <c r="G612" s="189"/>
      <c r="H612" s="189"/>
      <c r="I612" s="189"/>
      <c r="J612" s="189"/>
      <c r="K612" s="189"/>
      <c r="L612" s="189"/>
      <c r="M612" s="189"/>
      <c r="N612" s="189"/>
      <c r="O612" s="189"/>
      <c r="P612" s="189"/>
      <c r="Q612" s="189"/>
    </row>
  </sheetData>
  <mergeCells count="4">
    <mergeCell ref="A1:I1"/>
    <mergeCell ref="R1:V1"/>
    <mergeCell ref="X1:AA1"/>
    <mergeCell ref="J1:P1"/>
  </mergeCells>
  <phoneticPr fontId="52" type="noConversion"/>
  <hyperlinks>
    <hyperlink ref="A3" location="'T01'!A1" display="T01 bestuur en ondersteuning.xlsx" xr:uid="{6140CAB7-CDF5-4816-B7A8-078A785E8F4C}"/>
    <hyperlink ref="A4" location="'T02'!A1" display="T02 burgerzaken.xlsx" xr:uid="{7FE45ACA-F80B-41E0-9FE3-21A9EAD73988}"/>
    <hyperlink ref="A5" location="'T03'!A1" display="T03 beheer overige gebouwen en gronden.xlsx" xr:uid="{E9B6273B-14C1-4FD6-91CA-864451FF41AD}"/>
    <hyperlink ref="A6" location="T04B!A1" display="T04 bedrijf.xlsx" xr:uid="{CDFA36AB-7AAE-494B-AE49-40CD86982F86}"/>
    <hyperlink ref="A7" location="T04L!A1" display="T04 loon.xlsx" xr:uid="{EBFF79BE-6298-490E-92FF-932D9DFDCD4D}"/>
    <hyperlink ref="A8" location="T04W!A1" display="T04 werf.xlsx" xr:uid="{E3219C7A-695B-48DB-AC21-A3C44738CD0E}"/>
    <hyperlink ref="A9" location="'T05'!A1" display="T05 Treasury.xlsx" xr:uid="{30AC7866-4B89-4B33-B595-351884C40F20}"/>
    <hyperlink ref="A10" location="'T061'!A1" display="T06 1 OZB Woningen.xlsx" xr:uid="{A8CB7158-6DA0-445B-8566-4CB87A3C4F45}"/>
    <hyperlink ref="A11" location="'T062'!A1" display="T06 2 OZB Niet-Woningen.xlsx" xr:uid="{28DD5DFD-0A5C-42E2-8D67-F70AFD39EBBC}"/>
    <hyperlink ref="A12" location="'T064'!A1" display="T06 4 Belastingen overig.xlsx" xr:uid="{6377C360-927E-4701-A231-955B3A5492AA}"/>
    <hyperlink ref="A13" location="'T07'!A1" display="T07 Gemeentefonds en overige rijksuitkeringen.xlsx" xr:uid="{7E7A800B-8834-41A6-83FC-7491F687BC9F}"/>
    <hyperlink ref="A14" location="'T08'!A1" display="T08 Overige baten en lasten.xlsx" xr:uid="{10A60739-5459-49A2-93D5-4771F9E725E5}"/>
    <hyperlink ref="A15" location="'T09'!A1" display="T09 Vennootschapsbelasting.xlsx" xr:uid="{2B1AA9A0-F3FA-4E5F-905A-8D10C0DE5496}"/>
    <hyperlink ref="A16" location="'T010'!A1" display="T010 Mutaties Reserve.xlsx" xr:uid="{4B21E2E7-ED57-4A5E-8B42-CAD603F758C9}"/>
    <hyperlink ref="A17" location="'T011'!A1" display="T011 Resultaat rekening baten en lasten.xlsx" xr:uid="{CD4DD638-5ED2-4FCE-A0AA-F91F146383FA}"/>
    <hyperlink ref="A18" location="'T11'!A1" display="T11 crisisbeheersing en brandweer.xlsx" xr:uid="{6F7074E8-A507-49FC-B4A1-EDBE43497786}"/>
    <hyperlink ref="A19" location="'T12'!A1" display="T12 openbare orde en veiligheid.xlsx" xr:uid="{B0D6CD8C-0713-4EB7-A18B-28F0E13B0EAD}"/>
    <hyperlink ref="A20" location="'T21'!A1" display="T21 Verkeer en vervoer.xlsx" xr:uid="{9A734EAD-3C29-434D-ABF7-98122CCF1251}"/>
    <hyperlink ref="A21" location="'T22'!A1" display="T22 parkeren.xlsx" xr:uid="{E7B824D0-B83A-4678-A316-88E4A4FB2692}"/>
    <hyperlink ref="A22" location="'T25'!A1" display="T25 openbaar vervoer.xlsx" xr:uid="{B6BD6D44-CEAA-4AA0-8F0D-428B6C4B8B5A}"/>
    <hyperlink ref="A23" location="'T31'!A1" display="T31 economische ontwikkeling.xlsx" xr:uid="{61DA8B75-A8B5-451A-9215-6D481AD15A56}"/>
    <hyperlink ref="A24" location="'T33'!A1" display="T33 bedrijfsloket en bedrijfsregelingen.xlsx" xr:uid="{7BBC3FF4-C18C-49AC-87C5-41AB5A128727}"/>
    <hyperlink ref="A25" location="'T33'!A1" display="T34 economische promotie.xlsx" xr:uid="{B9A00483-100E-4FFB-8BFF-50CB67039E45}"/>
    <hyperlink ref="A26" location="'T42'!A1" display="T42  onderwijshuisvesting.xlsx" xr:uid="{DAF941E9-E2B4-424E-A103-3AA054100093}"/>
    <hyperlink ref="A27" location="'T43'!A1" display="T43  onderwijsbeleid en leerlingenzaken.xlsx" xr:uid="{9A319663-6FA7-4B39-AA67-209A5A812D1A}"/>
    <hyperlink ref="A28" location="'T51'!A1" display="T51 Sportbeleid en activering.xlsx" xr:uid="{D81AC3C4-699B-466B-9980-404D463EE40A}"/>
    <hyperlink ref="A29" location="'T52'!A1" display="T52 Sportaccommodaties.xlsx" xr:uid="{AA82F61E-EE3B-4495-9291-94DA2755FB16}"/>
    <hyperlink ref="A30" location="'T53'!A1" display="T53 cultuurpresentatie,product,particip.xlsx" xr:uid="{18581983-192B-4DE7-B4BF-F3087F129897}"/>
    <hyperlink ref="A31" location="'T54'!A1" display="T54 Musea.xlsx" xr:uid="{DC84375F-5198-4189-9C7D-F082F5A2114F}"/>
    <hyperlink ref="A32" location="'T55'!A1" display="T55 Cultureel erfgoed.xlsx" xr:uid="{592F2A69-7B43-4FC0-8BC4-349AB4C41C36}"/>
    <hyperlink ref="A33" location="'T56'!A1" display="T56 Media.xlsx" xr:uid="{20527EDB-2AC0-422C-8475-D107942746E6}"/>
    <hyperlink ref="A34" location="'T57'!A1" display="T57 openbaar groen,(openlucht) recreatie.xlsx" xr:uid="{537ECD3E-2CBA-48B3-B64A-958E382F2998}"/>
    <hyperlink ref="A35" location="'T61'!A1" display="T61 samenkracht en burgerparticipatie.xlsx" xr:uid="{BE096254-1792-4497-8E20-6D9E9D9C2839}"/>
    <hyperlink ref="A36" location="'T622'!A1" display="T62 2 toegang en eerstelijnsvoorzieningen Jeugd.xlsx" xr:uid="{DFBA63BF-8CF9-4E11-9A97-1F3C0F1BCF67}"/>
    <hyperlink ref="A37" location="'T623'!A1" display="T62 3 toegang en eerstelijnsvoorzieningen Integraal.xlsx" xr:uid="{45757C80-D877-4DF0-A5D3-DB4D51888518}"/>
    <hyperlink ref="A38" location="'T63'!A1" display="T63 inkomensregelingen.xlsx" xr:uid="{F4DD4719-D73A-4DAB-9D1F-018AFE6C2080}"/>
    <hyperlink ref="A39" location="'T64'!A1" display="T64 begeleide participatie.xlsx" xr:uid="{7DD92535-CF20-4E5F-8182-63D497776045}"/>
    <hyperlink ref="A40" location="'T65'!A1" display="T65 arbeidsparticipatie.xlsx" xr:uid="{194AB3EB-BB56-40CD-8334-4E88FC81BC4C}"/>
    <hyperlink ref="A41" location="'T660'!A1" display="T66 0 hulpmiddelen en diensten (Wmo).xlsx" xr:uid="{3B39E5CD-397E-426C-9153-F33121D73EDF}"/>
    <hyperlink ref="A42" location="'T6711'!A1" display="T67 11 Huishoudelijke hulp (Wmo).xlsx" xr:uid="{FC9E3E0D-6A25-4E2E-BDCE-8F9DBC10CFCD}"/>
    <hyperlink ref="A43" location="'T6712'!A1" display="T67 12 Begeleiding (Wmo).xlsx" xr:uid="{74F7B8C1-653E-444C-9EAB-3C574916FC7E}"/>
    <hyperlink ref="A44" location="'T6713'!A1" display="T67 13 dagbesteding (Wmo).xlsx" xr:uid="{330E6F0A-8974-41E3-97AE-4C2C12B53562}"/>
    <hyperlink ref="A45" location="'T6714'!Afdrukbereik" display="T67 14 overige maatwerkarrangementen (Wmo).xlsx" xr:uid="{EB0B0EF5-AB70-4FA0-A687-983CC5060723}"/>
    <hyperlink ref="A46" location="'T6752'!A1" display="T67 52 jeugdhulp ambulant regionaal.xlsx" xr:uid="{38F9C8FA-04F1-4A00-9CFA-35013F8EA89A}"/>
    <hyperlink ref="A47" location="'T6762'!A1" display="T67 62 jeugdhulp met verblijf regionaal.xlsx" xr:uid="{1D596847-A143-4757-95C9-CC575BF61F21}"/>
    <hyperlink ref="A50" location="'T6821'!A1" display="T68 21 jeugdbescherming.xlsx" xr:uid="{DDA5135F-C5A7-4479-9AB3-DF01F9234783}"/>
    <hyperlink ref="A51" location="'T6822'!A1" display="T68 22 jeugdreclassering.xlsx" xr:uid="{EC425DFB-54FE-4F51-A160-43C347B8B12C}"/>
    <hyperlink ref="A52" location="'T691'!A1" display="T69 1 Coördinatie en beleid Wmo.xlsx" xr:uid="{0E68247B-DD07-42BC-ACD2-A251ABEAA548}"/>
    <hyperlink ref="A53" location="'T692'!A1" display="T69 2 Coördinatie en beleid Jeugd.xlsx" xr:uid="{6EBDB071-6247-4E6C-A6A6-3DBDA188D764}"/>
    <hyperlink ref="A54" location="'T71'!A1" display="T71 volksgezondheid.xlsx" xr:uid="{77021088-5239-4564-A8C8-FE5FEBEA3AB1}"/>
    <hyperlink ref="A55" location="'T72'!A1" display="T72 riolering met toevoeging toerekening belastingen.xlsx" xr:uid="{05CDD3B6-592A-47F9-8B7E-3C315527D489}"/>
    <hyperlink ref="A56" location="'T73'!A1" display="T73 afvalinzameling.xlsx" xr:uid="{6D80AE3F-B441-45C6-AA46-A9E9DF5BF94E}"/>
    <hyperlink ref="A57" location="'T74'!A1" display="T74 milieubeheer.xlsx" xr:uid="{3E46C784-92A3-49D9-9113-22FC3620C991}"/>
    <hyperlink ref="A58" location="'T75'!A1" display="T75 begraafplaatsen en crematoria.xlsx" xr:uid="{CA8920DF-6F7A-4CEA-9A9C-B7B37D9FD093}"/>
    <hyperlink ref="A59" location="'T81'!A1" display="T81 ruimtelijke ordening.xlsx" xr:uid="{78B21ACF-1464-4B6C-A731-48000FF8C77C}"/>
    <hyperlink ref="A60" location="'T82 aangepast'!A1" display="T82 grondexploitaties 2025 aangepast MPG.xlsx" xr:uid="{7F138110-F423-4A1A-9D52-EA50CE1F7001}"/>
    <hyperlink ref="A61" location="'T83'!A1" display="T83 wonen en bouwen.xlsx" xr:uid="{D0CD9738-A666-4AB2-AE7E-72AFDB94333B}"/>
    <hyperlink ref="A68" location="'T01'!A1" display="T01 bestuur en ondersteuning.xlsx" xr:uid="{C05197B8-B0CD-475D-9609-3E5651F0EA1D}"/>
    <hyperlink ref="A69" location="'T02'!A1" display="T02 burgerzaken.xlsx" xr:uid="{5FD1F221-1A57-4175-B847-25012773CEF0}"/>
    <hyperlink ref="A70" location="'T03'!A1" display="T03 beheer overige gebouwen en gronden.xlsx" xr:uid="{480DEEC7-D432-4C86-9682-20056E823E8E}"/>
    <hyperlink ref="A71" location="T04B!A1" display="T04 bedrijf.xlsx" xr:uid="{FCBF5FF7-0C18-467E-8A4A-3729FAC3BCA0}"/>
    <hyperlink ref="A72" location="T04L!A1" display="T04 loon.xlsx" xr:uid="{7DB5CABC-21AF-4C16-8413-05206480E12E}"/>
    <hyperlink ref="A73" location="T04W!A1" display="T04 werf.xlsx" xr:uid="{543D38FD-5E05-48FB-BC90-3E99B0A00B63}"/>
    <hyperlink ref="A74" location="'T05'!A1" display="T05 Treasury.xlsx" xr:uid="{A7128A0E-F15B-4C97-A08B-A9A4A1A6800E}"/>
    <hyperlink ref="A75" location="'T061'!A1" display="T06 1 OZB Woningen.xlsx" xr:uid="{0949E566-3818-4DFC-9800-3E1483673B55}"/>
    <hyperlink ref="A76" location="'T062'!A1" display="T06 2 OZB Niet-Woningen.xlsx" xr:uid="{81D09BAD-E186-4F16-8113-3FE7B46F7D42}"/>
    <hyperlink ref="A77" location="'T064'!A1" display="T06 4 Belastingen overig.xlsx" xr:uid="{37B0E9E4-EDCF-4BAF-8C6F-4387AF55FCE2}"/>
    <hyperlink ref="A78" location="'T07'!A1" display="T07 Gemeentefonds en overige rijksuitkeringen.xlsx" xr:uid="{366427C6-1DBE-4425-8BCE-805FCD99765B}"/>
    <hyperlink ref="A79" location="'T08'!A1" display="T08 Overige baten en lasten.xlsx" xr:uid="{BEC29A49-CFC2-4759-9418-039CBE43F157}"/>
    <hyperlink ref="A80" location="'T09'!A1" display="T09 Vennootschapsbelasting.xlsx" xr:uid="{D468991E-9A03-433D-9AB5-A175301E8F78}"/>
    <hyperlink ref="A81" location="'T010'!A1" display="T010 Mutaties Reserve.xlsx" xr:uid="{D68E1DC2-1FBA-433C-9948-375A8F3CA1B0}"/>
    <hyperlink ref="A82" location="'T011'!A1" display="T011 Resultaat rekening baten en lasten.xlsx" xr:uid="{F2793BEC-1A45-45FC-91E3-853A27070AA5}"/>
    <hyperlink ref="A83" location="'T11'!A1" display="T11 crisisbeheersing en brandweer.xlsx" xr:uid="{16BC2A1F-4EF4-4F1F-A9F2-5099E9C5AECB}"/>
    <hyperlink ref="A84" location="'T12'!A1" display="T12 openbare orde en veiligheid.xlsx" xr:uid="{9E37CEDE-2057-4C5E-88ED-83C7AAA09018}"/>
    <hyperlink ref="A85" location="'T21'!A1" display="T21 Verkeer en vervoer.xlsx" xr:uid="{AA2CB0DA-F340-4705-A24A-02EE84AA0EC5}"/>
    <hyperlink ref="A86" location="'T22'!A1" display="T22 parkeren.xlsx" xr:uid="{1B0376D2-457B-4553-A734-A378BB1BE74A}"/>
    <hyperlink ref="A87" location="'T25'!A1" display="T25 openbaar vervoer.xlsx" xr:uid="{1B045A17-F7B0-48D4-BC50-C86E2507227B}"/>
    <hyperlink ref="A88" location="'T31'!A1" display="T31 economische ontwikkeling.xlsx" xr:uid="{E971622A-FE94-46D0-A169-D508FC6E8A4B}"/>
    <hyperlink ref="A89" location="'T33'!A1" display="T33 bedrijfsloket en bedrijfsregelingen.xlsx" xr:uid="{660C8C28-D9C1-476B-814C-A0E78E281E99}"/>
    <hyperlink ref="A90" location="'T33'!A1" display="T34 economische promotie.xlsx" xr:uid="{468DCF99-3DE3-45D1-8E60-7C3A2416B584}"/>
    <hyperlink ref="A91" location="'T42'!A1" display="T42  onderwijshuisvesting.xlsx" xr:uid="{80A0F663-3EBD-40A3-BBBD-CEE4FEDAEB06}"/>
    <hyperlink ref="A92" location="'T43'!A1" display="T43  onderwijsbeleid en leerlingenzaken.xlsx" xr:uid="{DF496046-A713-48A8-B9DA-31EBAD5AEBA0}"/>
    <hyperlink ref="A93" location="'T51'!A1" display="T51 Sportbeleid en activering.xlsx" xr:uid="{3E5552E4-0E79-4ECF-976D-79D080F24D4B}"/>
    <hyperlink ref="A94" location="'T52'!A1" display="T52 Sportaccommodaties.xlsx" xr:uid="{D630B01B-F403-4347-82B5-26AF57E48E53}"/>
    <hyperlink ref="A95" location="'T53'!A1" display="T53 cultuurpresentatie,product,particip.xlsx" xr:uid="{1338BDAE-5E8E-46B7-A9E5-F5AC5E86FDBE}"/>
    <hyperlink ref="A96" location="'T54'!A1" display="T54 Musea.xlsx" xr:uid="{C9C91980-C94F-4B77-B11A-4B79F9856AA2}"/>
    <hyperlink ref="A97" location="'T55'!A1" display="T55 Cultureel erfgoed.xlsx" xr:uid="{16FFBD02-CD96-46C4-BF01-A5D783DCFC9C}"/>
    <hyperlink ref="A98" location="'T56'!A1" display="T56 Media.xlsx" xr:uid="{A933C4BB-6F18-40EA-B740-E36A3B1E4CCD}"/>
    <hyperlink ref="A99" location="'T57'!A1" display="T57 openbaar groen,(openlucht) recreatie.xlsx" xr:uid="{8C54E4F3-36B9-41B9-8D71-C24018735FC7}"/>
    <hyperlink ref="A100" location="'T61'!A1" display="T61 samenkracht en burgerparticipatie.xlsx" xr:uid="{C8E2CF01-6E7F-4A3D-A769-E7ADAE7FED7F}"/>
    <hyperlink ref="A101" location="'T622'!A1" display="T62 2 toegang en eerstelijnsvoorzieningen Jeugd.xlsx" xr:uid="{8473BC7F-B4A2-4EAD-B373-A60A86D3D595}"/>
    <hyperlink ref="A102" location="'T623'!A1" display="T62 3 toegang en eerstelijnsvoorzieningen Integraal.xlsx" xr:uid="{E2B7D5AB-E869-4A00-99ED-C56F34C49C21}"/>
    <hyperlink ref="A103" location="'T63'!A1" display="T63 inkomensregelingen.xlsx" xr:uid="{FA7BD8B6-AC8F-479B-81A2-FFC0EDFFCD4D}"/>
    <hyperlink ref="A104" location="'T64'!A1" display="T64 begeleide participatie.xlsx" xr:uid="{D4495921-F6B3-49D0-81F4-36833B31986D}"/>
    <hyperlink ref="A105" location="'T65'!A1" display="T65 arbeidsparticipatie.xlsx" xr:uid="{6F24A21B-715A-45ED-89DE-24884F4EF39B}"/>
    <hyperlink ref="A106" location="'T660'!A1" display="T66 0 hulpmiddelen en diensten (Wmo).xlsx" xr:uid="{0344204D-F33A-4F50-87C8-D7FCBF7F6034}"/>
    <hyperlink ref="A107" location="'T6711'!A1" display="T67 11 Huishoudelijke hulp (Wmo).xlsx" xr:uid="{27B94862-515B-40B6-8132-DB0B2D476B0D}"/>
    <hyperlink ref="A108" location="'T6712'!A1" display="T67 12 Begeleiding (Wmo).xlsx" xr:uid="{B50997A7-16DE-4267-ACE9-1E752E586612}"/>
    <hyperlink ref="A109" location="'T6713'!A1" display="T67 13 dagbesteding (Wmo).xlsx" xr:uid="{BCA1A97C-7AE0-410F-BE12-B32E315012E8}"/>
    <hyperlink ref="A110" location="'T6714'!Afdrukbereik" display="T67 14 overige maatwerkarrangementen (Wmo).xlsx" xr:uid="{DEBDB1A9-AE5E-477F-A2FD-3D80492F2756}"/>
    <hyperlink ref="A111" location="'T6752'!A1" display="T67 52 jeugdhulp ambulant regionaal.xlsx" xr:uid="{2A88A95C-1DFE-443E-8526-D3795D70AA26}"/>
    <hyperlink ref="A112" location="'T6762'!A1" display="T67 62 jeugdhulp met verblijf regionaal.xlsx" xr:uid="{8D6FB093-54C9-4E9D-94A8-CC85D6724E35}"/>
    <hyperlink ref="A115" location="'T6821'!A1" display="T68 21 jeugdbescherming.xlsx" xr:uid="{F537C7C1-6409-4E63-B6BC-C1ACB413B489}"/>
    <hyperlink ref="A116" location="'T6822'!A1" display="T68 22 jeugdreclassering.xlsx" xr:uid="{802F0FD8-1B41-4DEA-A86D-BA965A772C48}"/>
    <hyperlink ref="A117" location="'T691'!A1" display="T69 1 Coördinatie en beleid Wmo.xlsx" xr:uid="{0915F06A-DB12-453F-96F1-55B890BF29EE}"/>
    <hyperlink ref="A118" location="'T692'!A1" display="T69 2 Coördinatie en beleid Jeugd.xlsx" xr:uid="{9197A8CA-1D38-4F69-994D-75320ABB2FA2}"/>
    <hyperlink ref="A119" location="'T71'!A1" display="T71 volksgezondheid.xlsx" xr:uid="{1DFE0E34-7FA3-42EF-B074-D0644D4BC773}"/>
    <hyperlink ref="A120" location="'T72'!A1" display="T72 riolering met toevoeging toerekening belastingen.xlsx" xr:uid="{2448011D-7BDC-4BED-AB97-6E6AA983C0D9}"/>
    <hyperlink ref="A121" location="'T73'!A1" display="T73 afvalinzameling.xlsx" xr:uid="{604D03D1-7415-4350-89D4-B3D6B72C7321}"/>
    <hyperlink ref="A122" location="'T74'!A1" display="T74 milieubeheer.xlsx" xr:uid="{3F631556-073F-47D7-9D3D-FB40FAE0A95E}"/>
    <hyperlink ref="A123" location="'T75'!A1" display="T75 begraafplaatsen en crematoria.xlsx" xr:uid="{EEA5BD49-F5E7-410F-9527-AD687891358B}"/>
    <hyperlink ref="A124" location="'T81'!A1" display="T81 ruimtelijke ordening.xlsx" xr:uid="{41F769BF-BD19-442F-BF8A-918BDCB689EC}"/>
    <hyperlink ref="A125" location="'T82'!Afdrukbereik" display="T82 grondexploitaties 2025 aangepast MPG.xlsx" xr:uid="{B61786D8-8926-4236-B31D-F413CD5EAA9B}"/>
    <hyperlink ref="A126" location="'T83'!A1" display="T83 wonen en bouwen.xlsx" xr:uid="{F4D60B53-65D9-4C7C-956B-1686F31DAEA3}"/>
    <hyperlink ref="A113" location="'T6791'!Afdrukbereik" display="T6791 PGB Wmo" xr:uid="{D5F6EE68-B0A7-4BF0-AB82-C7D4169C210D}"/>
    <hyperlink ref="A114" location="'T6792'!Afdrukbereik" display="T6792 PGB Jeugd" xr:uid="{8E395CC9-8691-42D5-AC95-7CC320B4AA4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4110-F935-4343-AEAB-586AF40EACAC}">
  <sheetPr codeName="Blad11"/>
  <dimension ref="A1:W524"/>
  <sheetViews>
    <sheetView showGridLines="0" view="pageBreakPreview" topLeftCell="A488" zoomScaleNormal="115" zoomScaleSheetLayoutView="100" workbookViewId="0">
      <selection activeCell="I501" sqref="I501"/>
    </sheetView>
  </sheetViews>
  <sheetFormatPr defaultColWidth="9.109375" defaultRowHeight="12.75" customHeight="1" x14ac:dyDescent="0.25"/>
  <cols>
    <col min="1" max="1" width="9.5546875" style="311" bestFit="1" customWidth="1"/>
    <col min="2" max="3" width="13.88671875" style="305" customWidth="1"/>
    <col min="4" max="4" width="9.6640625" style="448" customWidth="1"/>
    <col min="5" max="5" width="9.6640625" style="449" customWidth="1"/>
    <col min="6" max="6" width="9.6640625" style="450" customWidth="1"/>
    <col min="7" max="9" width="12.6640625" style="305" customWidth="1"/>
    <col min="10" max="15" width="11.6640625" style="305" customWidth="1"/>
    <col min="16" max="17" width="12.109375" style="305" customWidth="1"/>
    <col min="18" max="18" width="10.88671875" style="305" customWidth="1"/>
    <col min="19" max="22" width="9.44140625" style="305" bestFit="1" customWidth="1"/>
    <col min="23" max="16384" width="9.109375" style="305"/>
  </cols>
  <sheetData>
    <row r="1" spans="1:23" ht="12.75" customHeight="1" x14ac:dyDescent="0.3">
      <c r="A1" s="157" t="s">
        <v>0</v>
      </c>
      <c r="B1" s="115"/>
      <c r="C1" s="115"/>
      <c r="D1" s="301"/>
      <c r="E1" s="302"/>
      <c r="F1" s="303"/>
      <c r="G1" s="115"/>
      <c r="H1" s="115"/>
      <c r="I1" s="115"/>
      <c r="J1" s="115"/>
      <c r="K1" s="115"/>
      <c r="L1" s="115"/>
      <c r="M1" s="115"/>
      <c r="N1" s="115"/>
      <c r="O1" s="115"/>
      <c r="P1" s="115"/>
      <c r="Q1" s="304">
        <v>2024</v>
      </c>
      <c r="R1" s="304">
        <v>2025</v>
      </c>
      <c r="S1" s="304">
        <v>2026</v>
      </c>
      <c r="T1" s="304">
        <v>2027</v>
      </c>
      <c r="U1" s="304">
        <v>2028</v>
      </c>
      <c r="V1" s="304">
        <v>2029</v>
      </c>
      <c r="W1" s="304">
        <v>2030</v>
      </c>
    </row>
    <row r="2" spans="1:23" ht="12.75" customHeight="1" x14ac:dyDescent="0.25">
      <c r="A2" s="306"/>
      <c r="B2" s="115"/>
      <c r="C2" s="115"/>
      <c r="D2" s="301" t="s">
        <v>504</v>
      </c>
      <c r="E2" s="302"/>
      <c r="F2" s="303"/>
      <c r="G2" s="115"/>
      <c r="H2" s="115" t="s">
        <v>505</v>
      </c>
      <c r="I2" s="115"/>
      <c r="J2" s="115"/>
      <c r="K2" s="115"/>
      <c r="L2" s="115"/>
      <c r="M2" s="115"/>
      <c r="N2" s="115"/>
      <c r="O2" s="115"/>
      <c r="P2" s="115"/>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A3" s="306"/>
      <c r="B3" s="115"/>
      <c r="C3" s="115"/>
      <c r="D3" s="301"/>
      <c r="E3" s="302"/>
      <c r="F3" s="303"/>
      <c r="G3" s="115"/>
      <c r="H3" s="115"/>
      <c r="I3" s="115"/>
      <c r="J3" s="115"/>
      <c r="K3" s="115"/>
      <c r="L3" s="115"/>
      <c r="M3" s="115"/>
      <c r="N3" s="115"/>
      <c r="O3" s="115"/>
      <c r="P3" s="115"/>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A4" s="306"/>
      <c r="B4" s="115"/>
      <c r="C4" s="115"/>
      <c r="D4" s="301"/>
      <c r="E4" s="302"/>
      <c r="F4" s="303"/>
      <c r="G4" s="115"/>
      <c r="H4" s="115"/>
      <c r="I4" s="115"/>
      <c r="J4" s="115"/>
      <c r="K4" s="115"/>
      <c r="L4" s="115"/>
      <c r="M4" s="115"/>
      <c r="N4" s="115"/>
      <c r="O4" s="115"/>
      <c r="P4" s="115"/>
      <c r="Q4" s="115"/>
      <c r="R4" s="115"/>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25">
      <c r="A6" s="306"/>
      <c r="B6" s="115"/>
      <c r="C6" s="115"/>
      <c r="D6" s="301" t="s">
        <v>66</v>
      </c>
      <c r="E6" s="302"/>
      <c r="F6" s="303"/>
      <c r="G6" s="308"/>
      <c r="H6" s="308" t="s">
        <v>506</v>
      </c>
      <c r="I6" s="308"/>
      <c r="J6" s="115"/>
      <c r="K6" s="115"/>
      <c r="L6" s="115"/>
      <c r="M6" s="115"/>
      <c r="N6" s="115"/>
      <c r="O6" s="115"/>
      <c r="P6" s="309"/>
      <c r="Q6" s="309"/>
      <c r="R6" s="115"/>
      <c r="S6" s="115"/>
      <c r="T6" s="115"/>
      <c r="U6" s="115"/>
      <c r="V6" s="115"/>
    </row>
    <row r="7" spans="1:23" ht="12.75" customHeight="1" x14ac:dyDescent="0.25">
      <c r="A7" s="306"/>
      <c r="B7" s="115"/>
      <c r="C7" s="115"/>
      <c r="D7" s="301"/>
      <c r="E7" s="302"/>
      <c r="F7" s="303"/>
      <c r="G7" s="115"/>
      <c r="H7" s="115"/>
      <c r="I7" s="115"/>
      <c r="J7" s="115"/>
      <c r="K7" s="115"/>
      <c r="L7" s="115"/>
      <c r="M7" s="115"/>
      <c r="N7" s="115"/>
      <c r="O7" s="115"/>
      <c r="P7" s="310"/>
      <c r="Q7" s="310"/>
      <c r="R7" s="115"/>
      <c r="S7" s="115"/>
      <c r="T7" s="115"/>
      <c r="U7" s="115"/>
      <c r="V7" s="115"/>
    </row>
    <row r="8" spans="1:23" ht="12.75" customHeight="1" x14ac:dyDescent="0.25">
      <c r="A8" s="306"/>
      <c r="B8" s="115"/>
      <c r="C8" s="115"/>
      <c r="D8" s="301"/>
      <c r="E8" s="302"/>
      <c r="F8" s="303"/>
      <c r="G8" s="115"/>
      <c r="H8" s="115"/>
      <c r="I8" s="115"/>
      <c r="J8" s="115"/>
      <c r="K8" s="115"/>
      <c r="L8" s="115"/>
      <c r="M8" s="115"/>
      <c r="N8" s="115"/>
      <c r="O8" s="115"/>
      <c r="P8" s="310"/>
      <c r="Q8" s="310"/>
      <c r="R8" s="115"/>
      <c r="S8" s="115"/>
      <c r="T8" s="115"/>
      <c r="U8" s="115"/>
      <c r="V8" s="115"/>
    </row>
    <row r="9" spans="1:23" ht="12.75" customHeight="1" x14ac:dyDescent="0.25">
      <c r="A9" s="306"/>
      <c r="B9" s="115"/>
      <c r="C9" s="115"/>
      <c r="D9" s="301"/>
      <c r="E9" s="302"/>
      <c r="F9" s="303"/>
      <c r="G9" s="115"/>
      <c r="H9" s="115"/>
      <c r="I9" s="115"/>
      <c r="J9" s="115"/>
      <c r="K9" s="115"/>
      <c r="L9" s="115"/>
      <c r="M9" s="115"/>
      <c r="N9" s="115"/>
      <c r="O9" s="115"/>
      <c r="P9" s="310"/>
      <c r="Q9" s="310"/>
      <c r="R9" s="115"/>
      <c r="S9" s="115"/>
      <c r="T9" s="115"/>
      <c r="U9" s="115"/>
      <c r="V9" s="115"/>
    </row>
    <row r="10" spans="1:23" ht="12.75" customHeight="1" x14ac:dyDescent="0.25">
      <c r="A10" s="306"/>
      <c r="B10" s="115"/>
      <c r="C10" s="115"/>
      <c r="D10" s="301"/>
      <c r="E10" s="302"/>
      <c r="F10" s="303"/>
      <c r="G10" s="115"/>
      <c r="H10" s="115"/>
      <c r="I10" s="115"/>
      <c r="J10" s="115"/>
      <c r="K10" s="115"/>
      <c r="L10" s="115"/>
      <c r="M10" s="115"/>
      <c r="N10" s="115"/>
      <c r="O10" s="115"/>
      <c r="P10" s="310"/>
      <c r="Q10" s="310"/>
      <c r="R10" s="115"/>
      <c r="S10" s="115"/>
      <c r="T10" s="115"/>
      <c r="U10" s="115"/>
      <c r="V10" s="115"/>
    </row>
    <row r="11" spans="1:23" ht="12.75" customHeight="1" x14ac:dyDescent="0.25">
      <c r="A11" s="306"/>
      <c r="B11" s="115"/>
      <c r="C11" s="115"/>
      <c r="D11" s="301"/>
      <c r="E11" s="302"/>
      <c r="F11" s="303"/>
      <c r="G11" s="115"/>
      <c r="H11" s="115"/>
      <c r="I11" s="115"/>
      <c r="J11" s="115"/>
      <c r="K11" s="115"/>
      <c r="L11" s="115"/>
      <c r="M11" s="115"/>
      <c r="N11" s="115"/>
      <c r="O11" s="115"/>
      <c r="P11" s="310"/>
      <c r="Q11" s="310"/>
      <c r="R11" s="115"/>
      <c r="S11" s="115"/>
      <c r="T11" s="115"/>
      <c r="U11" s="115"/>
      <c r="V11" s="115"/>
    </row>
    <row r="12" spans="1:23" ht="12.75" customHeight="1" x14ac:dyDescent="0.25">
      <c r="A12" s="306"/>
      <c r="B12" s="115"/>
      <c r="C12" s="115"/>
      <c r="D12" s="301"/>
      <c r="E12" s="302"/>
      <c r="F12" s="303"/>
      <c r="G12" s="115"/>
      <c r="H12" s="115"/>
      <c r="I12" s="115"/>
      <c r="J12" s="115"/>
      <c r="K12" s="115"/>
      <c r="L12" s="115"/>
      <c r="M12" s="115"/>
      <c r="N12" s="115"/>
      <c r="O12" s="115"/>
      <c r="P12" s="310"/>
      <c r="Q12" s="310"/>
      <c r="R12" s="115"/>
      <c r="S12" s="115"/>
      <c r="T12" s="115"/>
      <c r="U12" s="115"/>
      <c r="V12" s="115"/>
    </row>
    <row r="13" spans="1:23" ht="12.75" customHeight="1" x14ac:dyDescent="0.25">
      <c r="A13" s="306"/>
      <c r="B13" s="115"/>
      <c r="C13" s="115"/>
      <c r="D13" s="301"/>
      <c r="E13" s="302"/>
      <c r="F13" s="303"/>
      <c r="G13" s="115"/>
      <c r="H13" s="115"/>
      <c r="I13" s="115"/>
      <c r="J13" s="115"/>
      <c r="K13" s="115"/>
      <c r="L13" s="115"/>
      <c r="M13" s="115"/>
      <c r="N13" s="115"/>
      <c r="O13" s="115"/>
      <c r="P13" s="310"/>
      <c r="Q13" s="310"/>
      <c r="R13" s="115"/>
      <c r="S13" s="115"/>
      <c r="T13" s="115"/>
      <c r="U13" s="115"/>
      <c r="V13" s="115"/>
    </row>
    <row r="14" spans="1:23" ht="12.75" customHeight="1" x14ac:dyDescent="0.25">
      <c r="A14" s="306"/>
      <c r="B14" s="115"/>
      <c r="C14" s="115"/>
      <c r="D14" s="301"/>
      <c r="E14" s="302"/>
      <c r="F14" s="303"/>
      <c r="G14" s="115"/>
      <c r="H14" s="115"/>
      <c r="I14" s="115"/>
      <c r="J14" s="115"/>
      <c r="K14" s="115"/>
      <c r="L14" s="115"/>
      <c r="M14" s="115"/>
      <c r="N14" s="115"/>
      <c r="O14" s="115"/>
      <c r="P14" s="310"/>
      <c r="Q14" s="310"/>
      <c r="R14" s="115"/>
      <c r="S14" s="115"/>
      <c r="T14" s="115"/>
      <c r="U14" s="115"/>
      <c r="V14" s="115"/>
    </row>
    <row r="15" spans="1:23" ht="12.75" customHeight="1" x14ac:dyDescent="0.25">
      <c r="A15" s="306"/>
      <c r="B15" s="115"/>
      <c r="C15" s="115"/>
      <c r="D15" s="301"/>
      <c r="E15" s="302"/>
      <c r="F15" s="303"/>
      <c r="G15" s="115"/>
      <c r="H15" s="115"/>
      <c r="I15" s="115"/>
      <c r="J15" s="115"/>
      <c r="K15" s="115"/>
      <c r="L15" s="115"/>
      <c r="M15" s="115"/>
      <c r="N15" s="115"/>
      <c r="O15" s="115"/>
      <c r="P15" s="310"/>
      <c r="Q15" s="310"/>
      <c r="R15" s="115"/>
      <c r="S15" s="115"/>
      <c r="T15" s="115"/>
      <c r="U15" s="115"/>
      <c r="V15" s="115"/>
    </row>
    <row r="16" spans="1:23" ht="12.75" customHeight="1" x14ac:dyDescent="0.25">
      <c r="A16" s="306"/>
      <c r="B16" s="115"/>
      <c r="C16" s="115"/>
      <c r="D16" s="301"/>
      <c r="E16" s="302"/>
      <c r="F16" s="303"/>
      <c r="G16" s="115"/>
      <c r="H16" s="115"/>
      <c r="I16" s="115"/>
      <c r="J16" s="115"/>
      <c r="K16" s="115"/>
      <c r="L16" s="115"/>
      <c r="M16" s="115"/>
      <c r="N16" s="115"/>
      <c r="O16" s="115"/>
      <c r="P16" s="310"/>
      <c r="Q16" s="310"/>
      <c r="R16" s="115"/>
      <c r="S16" s="115"/>
      <c r="T16" s="115"/>
      <c r="U16" s="115"/>
      <c r="V16" s="115"/>
    </row>
    <row r="30" spans="4:15" ht="12.75" customHeight="1" x14ac:dyDescent="0.25">
      <c r="D30" s="312" t="s">
        <v>507</v>
      </c>
      <c r="E30" s="313"/>
      <c r="F30" s="314"/>
      <c r="G30" s="115"/>
      <c r="H30" s="115"/>
      <c r="I30" s="115"/>
      <c r="J30" s="115"/>
      <c r="K30" s="115"/>
      <c r="L30" s="115"/>
      <c r="M30" s="115"/>
      <c r="N30" s="115"/>
      <c r="O30" s="115"/>
    </row>
    <row r="31" spans="4:15" ht="12.75" customHeight="1" x14ac:dyDescent="0.25">
      <c r="D31" s="312"/>
      <c r="E31" s="313"/>
      <c r="F31" s="314"/>
      <c r="G31" s="115"/>
      <c r="H31" s="115"/>
      <c r="I31" s="115"/>
      <c r="J31" s="115"/>
      <c r="K31" s="115"/>
      <c r="L31" s="115"/>
      <c r="M31" s="115"/>
      <c r="N31" s="149"/>
      <c r="O31" s="115"/>
    </row>
    <row r="32" spans="4:15" ht="12.75" customHeight="1" x14ac:dyDescent="0.25">
      <c r="D32" s="1784" t="s">
        <v>508</v>
      </c>
      <c r="E32" s="1785"/>
      <c r="F32" s="1785"/>
      <c r="G32" s="1786"/>
      <c r="H32" s="1786"/>
      <c r="I32" s="1787"/>
      <c r="J32" s="1787">
        <v>2025</v>
      </c>
      <c r="K32" s="1787">
        <v>2026</v>
      </c>
      <c r="L32" s="1787">
        <v>2027</v>
      </c>
      <c r="M32" s="1787">
        <v>2028</v>
      </c>
      <c r="N32" s="1787">
        <v>2029</v>
      </c>
      <c r="O32" s="1787">
        <v>2030</v>
      </c>
    </row>
    <row r="33" spans="4:15" ht="12.75" customHeight="1" x14ac:dyDescent="0.25">
      <c r="D33" s="315" t="s">
        <v>509</v>
      </c>
      <c r="E33" s="302"/>
      <c r="F33" s="303"/>
      <c r="G33" s="115"/>
      <c r="H33" s="115"/>
      <c r="I33" s="316"/>
      <c r="J33" s="317">
        <v>97488</v>
      </c>
      <c r="K33" s="317">
        <f>K82</f>
        <v>104686</v>
      </c>
      <c r="L33" s="317">
        <f>L82</f>
        <v>96506</v>
      </c>
      <c r="M33" s="317">
        <f>M82</f>
        <v>98542</v>
      </c>
      <c r="N33" s="317">
        <f>N82</f>
        <v>100624</v>
      </c>
      <c r="O33" s="317">
        <f>O82</f>
        <v>102754</v>
      </c>
    </row>
    <row r="34" spans="4:15" ht="12.75" customHeight="1" x14ac:dyDescent="0.25">
      <c r="D34" s="315" t="s">
        <v>510</v>
      </c>
      <c r="E34" s="302"/>
      <c r="F34" s="303"/>
      <c r="G34" s="115"/>
      <c r="H34" s="115"/>
      <c r="I34" s="316"/>
      <c r="J34" s="317">
        <v>7716.1679999999997</v>
      </c>
      <c r="K34" s="317">
        <f>K87</f>
        <v>7916.7883679999995</v>
      </c>
      <c r="L34" s="317">
        <f>L87</f>
        <v>8083.0409237280001</v>
      </c>
      <c r="M34" s="317">
        <f>M87</f>
        <v>8268.9508649737436</v>
      </c>
      <c r="N34" s="317">
        <f>N87</f>
        <v>8459.1367348681379</v>
      </c>
      <c r="O34" s="317">
        <f>O87</f>
        <v>8653.6968797701047</v>
      </c>
    </row>
    <row r="35" spans="4:15" ht="12.75" customHeight="1" x14ac:dyDescent="0.25">
      <c r="D35" s="315" t="s">
        <v>511</v>
      </c>
      <c r="E35" s="302"/>
      <c r="F35" s="303"/>
      <c r="G35" s="115"/>
      <c r="H35" s="115"/>
      <c r="I35" s="316"/>
      <c r="J35" s="317">
        <v>17077</v>
      </c>
      <c r="K35" s="317">
        <f>K92</f>
        <v>17522</v>
      </c>
      <c r="L35" s="317">
        <f>L92</f>
        <v>17890</v>
      </c>
      <c r="M35" s="317">
        <f>M92</f>
        <v>18301</v>
      </c>
      <c r="N35" s="317">
        <f>N92</f>
        <v>18721</v>
      </c>
      <c r="O35" s="317">
        <f>O92</f>
        <v>19152</v>
      </c>
    </row>
    <row r="36" spans="4:15" ht="12.75" customHeight="1" x14ac:dyDescent="0.25">
      <c r="D36" s="315" t="str">
        <f>G94</f>
        <v>Communicatieplan gemeenteraad</v>
      </c>
      <c r="E36" s="302"/>
      <c r="F36" s="303"/>
      <c r="G36" s="115"/>
      <c r="H36" s="115"/>
      <c r="I36" s="316"/>
      <c r="J36" s="225">
        <v>4085</v>
      </c>
      <c r="K36" s="225">
        <f>K97</f>
        <v>4191</v>
      </c>
      <c r="L36" s="225">
        <f>L97</f>
        <v>4279</v>
      </c>
      <c r="M36" s="225">
        <f>M97</f>
        <v>4377</v>
      </c>
      <c r="N36" s="225">
        <f>N97</f>
        <v>4478</v>
      </c>
      <c r="O36" s="225">
        <f>O97</f>
        <v>4581</v>
      </c>
    </row>
    <row r="37" spans="4:15" ht="12.75" customHeight="1" x14ac:dyDescent="0.25">
      <c r="D37" s="315" t="s">
        <v>512</v>
      </c>
      <c r="E37" s="302"/>
      <c r="F37" s="303"/>
      <c r="G37" s="115"/>
      <c r="H37" s="115"/>
      <c r="I37" s="316"/>
      <c r="J37" s="318">
        <v>22939</v>
      </c>
      <c r="K37" s="318">
        <f t="shared" ref="K37" si="0">K103</f>
        <v>23922</v>
      </c>
      <c r="L37" s="318">
        <f t="shared" ref="L37:M37" si="1">L103</f>
        <v>24508</v>
      </c>
      <c r="M37" s="318">
        <f t="shared" si="1"/>
        <v>25164</v>
      </c>
      <c r="N37" s="318">
        <f t="shared" ref="N37:O37" si="2">N103</f>
        <v>25835</v>
      </c>
      <c r="O37" s="318">
        <f t="shared" si="2"/>
        <v>26521</v>
      </c>
    </row>
    <row r="38" spans="4:15" ht="12.75" customHeight="1" x14ac:dyDescent="0.25">
      <c r="D38" s="315" t="str">
        <f>G105</f>
        <v>Rekenkamerfunctie</v>
      </c>
      <c r="E38" s="302"/>
      <c r="F38" s="303"/>
      <c r="G38" s="115"/>
      <c r="H38" s="115"/>
      <c r="I38" s="316"/>
      <c r="J38" s="226">
        <v>41778</v>
      </c>
      <c r="K38" s="226">
        <f>K108</f>
        <v>43712</v>
      </c>
      <c r="L38" s="226">
        <f>L108</f>
        <v>45231</v>
      </c>
      <c r="M38" s="226">
        <f>M108</f>
        <v>47118</v>
      </c>
      <c r="N38" s="226">
        <f>N108</f>
        <v>48879.5</v>
      </c>
      <c r="O38" s="226">
        <f>O108</f>
        <v>49890.8</v>
      </c>
    </row>
    <row r="39" spans="4:15" ht="12.75" customHeight="1" x14ac:dyDescent="0.25">
      <c r="D39" s="315" t="s">
        <v>513</v>
      </c>
      <c r="E39" s="302"/>
      <c r="F39" s="303"/>
      <c r="G39" s="115"/>
      <c r="H39" s="115"/>
      <c r="I39" s="316"/>
      <c r="J39" s="318">
        <v>69833</v>
      </c>
      <c r="K39" s="318">
        <f>K113</f>
        <v>70000</v>
      </c>
      <c r="L39" s="318">
        <f>L113</f>
        <v>71470</v>
      </c>
      <c r="M39" s="318">
        <f>M113</f>
        <v>73114</v>
      </c>
      <c r="N39" s="318">
        <f>N113</f>
        <v>74796</v>
      </c>
      <c r="O39" s="318">
        <f>O113</f>
        <v>76516</v>
      </c>
    </row>
    <row r="40" spans="4:15" ht="12.75" customHeight="1" x14ac:dyDescent="0.25">
      <c r="D40" s="315" t="str">
        <f>G120</f>
        <v>Directe toerekening raad</v>
      </c>
      <c r="E40" s="302"/>
      <c r="F40" s="303"/>
      <c r="G40" s="115"/>
      <c r="H40" s="115"/>
      <c r="I40" s="316"/>
      <c r="J40" s="225">
        <v>0</v>
      </c>
      <c r="K40" s="225">
        <f>K123</f>
        <v>0</v>
      </c>
      <c r="L40" s="225">
        <f>L123</f>
        <v>0</v>
      </c>
      <c r="M40" s="225">
        <f>M123</f>
        <v>0</v>
      </c>
      <c r="N40" s="225">
        <f>N123</f>
        <v>0</v>
      </c>
      <c r="O40" s="225">
        <f>O123</f>
        <v>0</v>
      </c>
    </row>
    <row r="41" spans="4:15" ht="12.75" customHeight="1" x14ac:dyDescent="0.25">
      <c r="D41" s="315" t="s">
        <v>514</v>
      </c>
      <c r="E41" s="302"/>
      <c r="F41" s="303"/>
      <c r="G41" s="115"/>
      <c r="H41" s="115"/>
      <c r="I41" s="316"/>
      <c r="J41" s="225">
        <v>1684.8920000000001</v>
      </c>
      <c r="K41" s="225">
        <f t="shared" ref="K41" si="3">+K118</f>
        <v>1728.699192</v>
      </c>
      <c r="L41" s="225">
        <f t="shared" ref="L41:M41" si="4">+L118</f>
        <v>1765.0018750319998</v>
      </c>
      <c r="M41" s="225">
        <f t="shared" si="4"/>
        <v>1805.5969181577357</v>
      </c>
      <c r="N41" s="225">
        <f t="shared" ref="N41:O41" si="5">+N118</f>
        <v>1847.1256472753635</v>
      </c>
      <c r="O41" s="225">
        <f t="shared" si="5"/>
        <v>1889.6095371626966</v>
      </c>
    </row>
    <row r="42" spans="4:15" ht="12.75" customHeight="1" x14ac:dyDescent="0.25">
      <c r="D42" s="315" t="str">
        <f>G125</f>
        <v>Gewezen burgemeester</v>
      </c>
      <c r="E42" s="302"/>
      <c r="F42" s="303"/>
      <c r="G42" s="115"/>
      <c r="H42" s="115"/>
      <c r="I42" s="316"/>
      <c r="J42" s="317">
        <v>88189</v>
      </c>
      <c r="K42" s="317">
        <f>K128</f>
        <v>117492</v>
      </c>
      <c r="L42" s="317">
        <f>L128</f>
        <v>119842</v>
      </c>
      <c r="M42" s="317">
        <f>M128</f>
        <v>50933</v>
      </c>
      <c r="N42" s="317">
        <f>N128</f>
        <v>0</v>
      </c>
      <c r="O42" s="317">
        <f>O128</f>
        <v>0</v>
      </c>
    </row>
    <row r="43" spans="4:15" ht="12.75" customHeight="1" x14ac:dyDescent="0.25">
      <c r="D43" s="315" t="str">
        <f>G130</f>
        <v>Gewezen college</v>
      </c>
      <c r="E43" s="302"/>
      <c r="F43" s="303"/>
      <c r="G43" s="115"/>
      <c r="H43" s="115"/>
      <c r="I43" s="316"/>
      <c r="J43" s="317">
        <v>171730</v>
      </c>
      <c r="K43" s="317">
        <f>K133</f>
        <v>178593</v>
      </c>
      <c r="L43" s="317">
        <f>L133</f>
        <v>189339</v>
      </c>
      <c r="M43" s="317">
        <f>M133</f>
        <v>195577</v>
      </c>
      <c r="N43" s="317">
        <f>N133</f>
        <v>199488</v>
      </c>
      <c r="O43" s="317">
        <f>O133</f>
        <v>0</v>
      </c>
    </row>
    <row r="44" spans="4:15" ht="12.75" customHeight="1" x14ac:dyDescent="0.25">
      <c r="D44" s="315" t="str">
        <f>G135</f>
        <v>College van B&amp;W</v>
      </c>
      <c r="E44" s="302"/>
      <c r="F44" s="303"/>
      <c r="G44" s="115"/>
      <c r="H44" s="115"/>
      <c r="I44" s="316"/>
      <c r="J44" s="317">
        <v>48471</v>
      </c>
      <c r="K44" s="317">
        <f>K141</f>
        <v>18740</v>
      </c>
      <c r="L44" s="317">
        <f>L141</f>
        <v>19134</v>
      </c>
      <c r="M44" s="317">
        <f>M141</f>
        <v>19573</v>
      </c>
      <c r="N44" s="317">
        <f>N141</f>
        <v>20023</v>
      </c>
      <c r="O44" s="317">
        <f>O141</f>
        <v>20485</v>
      </c>
    </row>
    <row r="45" spans="4:15" ht="12.75" customHeight="1" x14ac:dyDescent="0.25">
      <c r="D45" s="315" t="str">
        <f>G148</f>
        <v>Directe toerekening college</v>
      </c>
      <c r="E45" s="302"/>
      <c r="F45" s="303"/>
      <c r="G45" s="115"/>
      <c r="H45" s="115"/>
      <c r="I45" s="316"/>
      <c r="J45" s="226">
        <v>0</v>
      </c>
      <c r="K45" s="226">
        <f>K151</f>
        <v>0</v>
      </c>
      <c r="L45" s="226">
        <f>L151</f>
        <v>0</v>
      </c>
      <c r="M45" s="226">
        <f>M151</f>
        <v>0</v>
      </c>
      <c r="N45" s="226">
        <f>N151</f>
        <v>0</v>
      </c>
      <c r="O45" s="226">
        <f>O151</f>
        <v>0</v>
      </c>
    </row>
    <row r="46" spans="4:15" ht="12.75" customHeight="1" x14ac:dyDescent="0.25">
      <c r="D46" s="315" t="s">
        <v>515</v>
      </c>
      <c r="E46" s="302"/>
      <c r="F46" s="303"/>
      <c r="G46" s="115"/>
      <c r="H46" s="115"/>
      <c r="I46" s="316"/>
      <c r="J46" s="226">
        <v>23541</v>
      </c>
      <c r="K46" s="226">
        <f t="shared" ref="K46" si="6">+K146</f>
        <v>24153</v>
      </c>
      <c r="L46" s="226">
        <f t="shared" ref="L46:M46" si="7">+L146</f>
        <v>24660</v>
      </c>
      <c r="M46" s="226">
        <f t="shared" si="7"/>
        <v>25227</v>
      </c>
      <c r="N46" s="226">
        <f t="shared" ref="N46:O46" si="8">+N146</f>
        <v>25807</v>
      </c>
      <c r="O46" s="226">
        <f t="shared" si="8"/>
        <v>26401</v>
      </c>
    </row>
    <row r="47" spans="4:15" ht="12.75" customHeight="1" x14ac:dyDescent="0.25">
      <c r="D47" s="315" t="str">
        <f>G153</f>
        <v>Representatie</v>
      </c>
      <c r="E47" s="302"/>
      <c r="F47" s="303"/>
      <c r="G47" s="115"/>
      <c r="H47" s="115"/>
      <c r="I47" s="316"/>
      <c r="J47" s="226">
        <v>34813</v>
      </c>
      <c r="K47" s="226">
        <f>K157</f>
        <v>35717</v>
      </c>
      <c r="L47" s="226">
        <f>L157</f>
        <v>36468</v>
      </c>
      <c r="M47" s="226">
        <f>M157</f>
        <v>37307</v>
      </c>
      <c r="N47" s="226">
        <f>N157</f>
        <v>38166</v>
      </c>
      <c r="O47" s="226">
        <f>O157</f>
        <v>39046</v>
      </c>
    </row>
    <row r="48" spans="4:15" ht="12.75" customHeight="1" x14ac:dyDescent="0.25">
      <c r="D48" s="315" t="s">
        <v>516</v>
      </c>
      <c r="E48" s="302"/>
      <c r="F48" s="303"/>
      <c r="G48" s="115"/>
      <c r="H48" s="115"/>
      <c r="I48" s="316"/>
      <c r="J48" s="317">
        <v>306624</v>
      </c>
      <c r="K48" s="317">
        <f t="shared" ref="K48" si="9">K172</f>
        <v>321495</v>
      </c>
      <c r="L48" s="317">
        <f t="shared" ref="L48:M48" si="10">L172</f>
        <v>339457</v>
      </c>
      <c r="M48" s="317">
        <f t="shared" si="10"/>
        <v>354094</v>
      </c>
      <c r="N48" s="317">
        <f t="shared" ref="N48:O48" si="11">N172</f>
        <v>372394.65599999996</v>
      </c>
      <c r="O48" s="317">
        <f t="shared" si="11"/>
        <v>385904.18200000003</v>
      </c>
    </row>
    <row r="49" spans="4:15" ht="12.75" customHeight="1" x14ac:dyDescent="0.25">
      <c r="D49" s="315" t="s">
        <v>517</v>
      </c>
      <c r="E49" s="302"/>
      <c r="F49" s="303"/>
      <c r="G49" s="115"/>
      <c r="H49" s="115"/>
      <c r="I49" s="316"/>
      <c r="J49" s="317">
        <v>78557</v>
      </c>
      <c r="K49" s="317">
        <f t="shared" ref="K49" si="12">K177</f>
        <v>79636</v>
      </c>
      <c r="L49" s="317">
        <f t="shared" ref="L49:M49" si="13">L177</f>
        <v>84274</v>
      </c>
      <c r="M49" s="317">
        <f t="shared" si="13"/>
        <v>87272.28</v>
      </c>
      <c r="N49" s="317">
        <f t="shared" ref="N49:O49" si="14">N177</f>
        <v>92279.142000000007</v>
      </c>
      <c r="O49" s="317">
        <f t="shared" si="14"/>
        <v>95696.887999999992</v>
      </c>
    </row>
    <row r="50" spans="4:15" ht="12.75" customHeight="1" x14ac:dyDescent="0.25">
      <c r="D50" s="315" t="s">
        <v>518</v>
      </c>
      <c r="E50" s="302"/>
      <c r="F50" s="303"/>
      <c r="G50" s="115"/>
      <c r="H50" s="115"/>
      <c r="I50" s="316"/>
      <c r="J50" s="317">
        <v>29281</v>
      </c>
      <c r="K50" s="317">
        <f t="shared" ref="K50" si="15">K182</f>
        <v>29867</v>
      </c>
      <c r="L50" s="317">
        <f t="shared" ref="L50:M50" si="16">L182</f>
        <v>31121</v>
      </c>
      <c r="M50" s="317">
        <f t="shared" si="16"/>
        <v>32272</v>
      </c>
      <c r="N50" s="317">
        <f t="shared" ref="N50:O50" si="17">N182</f>
        <v>33466</v>
      </c>
      <c r="O50" s="317">
        <f t="shared" si="17"/>
        <v>34704</v>
      </c>
    </row>
    <row r="51" spans="4:15" ht="12.75" customHeight="1" x14ac:dyDescent="0.25">
      <c r="D51" s="315" t="s">
        <v>519</v>
      </c>
      <c r="E51" s="302"/>
      <c r="F51" s="303"/>
      <c r="G51" s="115"/>
      <c r="H51" s="115"/>
      <c r="I51" s="316"/>
      <c r="J51" s="317">
        <v>26628</v>
      </c>
      <c r="K51" s="317">
        <f t="shared" ref="K51" si="18">K188</f>
        <v>27321</v>
      </c>
      <c r="L51" s="317">
        <f t="shared" ref="L51:M51" si="19">L188</f>
        <v>27895</v>
      </c>
      <c r="M51" s="317">
        <f t="shared" si="19"/>
        <v>28537</v>
      </c>
      <c r="N51" s="317">
        <f t="shared" ref="N51:O51" si="20">N188</f>
        <v>29193</v>
      </c>
      <c r="O51" s="317">
        <f t="shared" si="20"/>
        <v>29864</v>
      </c>
    </row>
    <row r="52" spans="4:15" ht="12.75" customHeight="1" x14ac:dyDescent="0.25">
      <c r="D52" s="319" t="s">
        <v>520</v>
      </c>
      <c r="E52" s="302"/>
      <c r="F52" s="303"/>
      <c r="G52" s="115"/>
      <c r="H52" s="115"/>
      <c r="I52" s="316"/>
      <c r="J52" s="317">
        <v>0</v>
      </c>
      <c r="K52" s="317">
        <f t="shared" ref="K52" si="21">K193</f>
        <v>0</v>
      </c>
      <c r="L52" s="317">
        <f t="shared" ref="L52:M52" si="22">L193</f>
        <v>0</v>
      </c>
      <c r="M52" s="317">
        <f t="shared" si="22"/>
        <v>0</v>
      </c>
      <c r="N52" s="317">
        <f t="shared" ref="N52:O52" si="23">N193</f>
        <v>0</v>
      </c>
      <c r="O52" s="317">
        <f t="shared" si="23"/>
        <v>0</v>
      </c>
    </row>
    <row r="53" spans="4:15" ht="12.75" customHeight="1" x14ac:dyDescent="0.25">
      <c r="D53" s="319" t="s">
        <v>521</v>
      </c>
      <c r="E53" s="302"/>
      <c r="F53" s="303"/>
      <c r="G53" s="115"/>
      <c r="H53" s="115"/>
      <c r="I53" s="316"/>
      <c r="J53" s="317">
        <v>0</v>
      </c>
      <c r="K53" s="317">
        <f t="shared" ref="K53" si="24">K198</f>
        <v>0</v>
      </c>
      <c r="L53" s="317">
        <f t="shared" ref="L53:M53" si="25">L198</f>
        <v>0</v>
      </c>
      <c r="M53" s="317">
        <f t="shared" si="25"/>
        <v>0</v>
      </c>
      <c r="N53" s="317">
        <f t="shared" ref="N53:O53" si="26">N198</f>
        <v>0</v>
      </c>
      <c r="O53" s="317">
        <f t="shared" si="26"/>
        <v>0</v>
      </c>
    </row>
    <row r="54" spans="4:15" ht="12.75" customHeight="1" x14ac:dyDescent="0.25">
      <c r="D54" s="319" t="s">
        <v>522</v>
      </c>
      <c r="E54" s="302"/>
      <c r="F54" s="303"/>
      <c r="G54" s="115"/>
      <c r="H54" s="115"/>
      <c r="I54" s="316"/>
      <c r="J54" s="317">
        <v>305000</v>
      </c>
      <c r="K54" s="317">
        <f t="shared" ref="K54" si="27">+K203</f>
        <v>688130</v>
      </c>
      <c r="L54" s="317">
        <f t="shared" ref="L54:M54" si="28">+L203</f>
        <v>5238</v>
      </c>
      <c r="M54" s="317">
        <f t="shared" si="28"/>
        <v>5358</v>
      </c>
      <c r="N54" s="317">
        <f t="shared" ref="N54:O54" si="29">+N203</f>
        <v>5481</v>
      </c>
      <c r="O54" s="317">
        <f t="shared" si="29"/>
        <v>5607</v>
      </c>
    </row>
    <row r="55" spans="4:15" ht="12.75" customHeight="1" x14ac:dyDescent="0.25">
      <c r="D55" s="319" t="s">
        <v>523</v>
      </c>
      <c r="E55" s="302"/>
      <c r="F55" s="303"/>
      <c r="G55" s="115"/>
      <c r="H55" s="115"/>
      <c r="I55" s="316"/>
      <c r="J55" s="317">
        <v>1433816</v>
      </c>
      <c r="K55" s="317">
        <f t="shared" ref="K55" si="30">K209</f>
        <v>1508457.4800000002</v>
      </c>
      <c r="L55" s="317">
        <f t="shared" ref="L55:M55" si="31">L209</f>
        <v>1571604</v>
      </c>
      <c r="M55" s="317">
        <f t="shared" si="31"/>
        <v>1629568</v>
      </c>
      <c r="N55" s="317">
        <f t="shared" ref="N55:O55" si="32">N209</f>
        <v>1689677</v>
      </c>
      <c r="O55" s="317">
        <f t="shared" si="32"/>
        <v>1747010</v>
      </c>
    </row>
    <row r="56" spans="4:15" ht="12.75" customHeight="1" x14ac:dyDescent="0.25">
      <c r="D56" s="315" t="s">
        <v>524</v>
      </c>
      <c r="E56" s="302"/>
      <c r="F56" s="303"/>
      <c r="G56" s="115"/>
      <c r="H56" s="115"/>
      <c r="I56" s="316"/>
      <c r="J56" s="226">
        <v>165249.64000000001</v>
      </c>
      <c r="K56" s="226">
        <f t="shared" ref="K56" si="33">K215</f>
        <v>792976.63</v>
      </c>
      <c r="L56" s="226">
        <f t="shared" ref="L56:M56" si="34">L215</f>
        <v>800242</v>
      </c>
      <c r="M56" s="226">
        <f t="shared" si="34"/>
        <v>686911</v>
      </c>
      <c r="N56" s="226">
        <f t="shared" ref="N56:O56" si="35">N215</f>
        <v>693827</v>
      </c>
      <c r="O56" s="226">
        <f t="shared" si="35"/>
        <v>700999</v>
      </c>
    </row>
    <row r="57" spans="4:15" ht="12.75" customHeight="1" x14ac:dyDescent="0.25">
      <c r="D57" s="315"/>
      <c r="E57" s="302"/>
      <c r="F57" s="303"/>
      <c r="G57" s="115"/>
      <c r="H57" s="115"/>
      <c r="I57" s="316"/>
      <c r="J57" s="226"/>
      <c r="K57" s="226"/>
      <c r="L57" s="226"/>
      <c r="M57" s="226"/>
      <c r="N57" s="226"/>
      <c r="O57" s="226"/>
    </row>
    <row r="58" spans="4:15" ht="12.75" customHeight="1" x14ac:dyDescent="0.25">
      <c r="D58" s="315"/>
      <c r="E58" s="302"/>
      <c r="F58" s="303"/>
      <c r="G58" s="115"/>
      <c r="H58" s="115"/>
      <c r="I58" s="316"/>
      <c r="J58" s="227"/>
      <c r="K58" s="227"/>
      <c r="L58" s="227"/>
      <c r="M58" s="227"/>
      <c r="N58" s="227"/>
      <c r="O58" s="227"/>
    </row>
    <row r="59" spans="4:15" ht="12.75" customHeight="1" x14ac:dyDescent="0.25">
      <c r="D59" s="1788" t="s">
        <v>525</v>
      </c>
      <c r="E59" s="1789"/>
      <c r="F59" s="1790"/>
      <c r="G59" s="1791"/>
      <c r="H59" s="1791"/>
      <c r="I59" s="1792"/>
      <c r="J59" s="227">
        <v>2974500.7</v>
      </c>
      <c r="K59" s="227">
        <f>SUM(K33:K58)</f>
        <v>4096256.5975600001</v>
      </c>
      <c r="L59" s="227">
        <f>SUM(L33:L58)</f>
        <v>3519006.0427987599</v>
      </c>
      <c r="M59" s="227">
        <f>SUM(M33:M58)</f>
        <v>3429319.8277831315</v>
      </c>
      <c r="N59" s="227">
        <f>SUM(N33:N58)</f>
        <v>3483441.5603821436</v>
      </c>
      <c r="O59" s="227">
        <f>SUM(O33:O58)</f>
        <v>3375675.1764169326</v>
      </c>
    </row>
    <row r="62" spans="4:15" ht="12.75" customHeight="1" x14ac:dyDescent="0.25">
      <c r="D62" s="1784" t="s">
        <v>526</v>
      </c>
      <c r="E62" s="1785"/>
      <c r="F62" s="1785"/>
      <c r="G62" s="1786"/>
      <c r="H62" s="1786"/>
      <c r="I62" s="1787"/>
      <c r="J62" s="1787">
        <v>2025</v>
      </c>
      <c r="K62" s="1787">
        <v>2026</v>
      </c>
      <c r="L62" s="1787">
        <f>+L32</f>
        <v>2027</v>
      </c>
      <c r="M62" s="1787">
        <f>+M32</f>
        <v>2028</v>
      </c>
      <c r="N62" s="1787">
        <f>+N32</f>
        <v>2029</v>
      </c>
      <c r="O62" s="1787">
        <f>+O32</f>
        <v>2030</v>
      </c>
    </row>
    <row r="63" spans="4:15" ht="12.75" customHeight="1" x14ac:dyDescent="0.25">
      <c r="D63" s="1793"/>
      <c r="E63" s="320"/>
      <c r="F63" s="321"/>
      <c r="G63" s="322"/>
      <c r="H63" s="322"/>
      <c r="I63" s="316"/>
      <c r="J63" s="318"/>
      <c r="K63" s="318"/>
      <c r="L63" s="318"/>
      <c r="M63" s="318"/>
      <c r="N63" s="318"/>
      <c r="O63" s="318"/>
    </row>
    <row r="64" spans="4:15" ht="12.75" customHeight="1" x14ac:dyDescent="0.25">
      <c r="D64" s="315" t="str">
        <f>G159</f>
        <v>Gewezen bestuurders</v>
      </c>
      <c r="E64" s="302"/>
      <c r="F64" s="303"/>
      <c r="G64" s="115"/>
      <c r="H64" s="115"/>
      <c r="I64" s="316"/>
      <c r="J64" s="317">
        <v>-88189</v>
      </c>
      <c r="K64" s="317">
        <f t="shared" ref="K64" si="36">K162</f>
        <v>-117492</v>
      </c>
      <c r="L64" s="317">
        <f t="shared" ref="L64:M64" si="37">L162</f>
        <v>-119842</v>
      </c>
      <c r="M64" s="317">
        <f t="shared" si="37"/>
        <v>-50933</v>
      </c>
      <c r="N64" s="317">
        <f t="shared" ref="N64:O64" si="38">N162</f>
        <v>0</v>
      </c>
      <c r="O64" s="317">
        <f t="shared" si="38"/>
        <v>0</v>
      </c>
    </row>
    <row r="65" spans="1:15" ht="12.75" customHeight="1" x14ac:dyDescent="0.25">
      <c r="A65" s="306"/>
      <c r="B65" s="115"/>
      <c r="C65" s="115"/>
      <c r="D65" s="315" t="str">
        <f>G164</f>
        <v>Gewezen bestuurders</v>
      </c>
      <c r="E65" s="302"/>
      <c r="F65" s="303"/>
      <c r="G65" s="115"/>
      <c r="H65" s="115"/>
      <c r="I65" s="316"/>
      <c r="J65" s="317">
        <v>-171730</v>
      </c>
      <c r="K65" s="317">
        <f t="shared" ref="K65" si="39">K167</f>
        <v>-178593</v>
      </c>
      <c r="L65" s="317">
        <f t="shared" ref="L65:M65" si="40">L167</f>
        <v>-189339</v>
      </c>
      <c r="M65" s="317">
        <f t="shared" si="40"/>
        <v>-195577</v>
      </c>
      <c r="N65" s="317">
        <f t="shared" ref="N65:O65" si="41">N167</f>
        <v>-199488</v>
      </c>
      <c r="O65" s="317">
        <f t="shared" si="41"/>
        <v>0</v>
      </c>
    </row>
    <row r="66" spans="1:15" ht="12.75" customHeight="1" x14ac:dyDescent="0.25">
      <c r="A66" s="306"/>
      <c r="B66" s="115"/>
      <c r="C66" s="115"/>
      <c r="D66" s="315"/>
      <c r="E66" s="302"/>
      <c r="F66" s="303"/>
      <c r="G66" s="115"/>
      <c r="H66" s="115"/>
      <c r="I66" s="316"/>
      <c r="J66" s="318"/>
      <c r="K66" s="318"/>
      <c r="L66" s="318"/>
      <c r="M66" s="318"/>
      <c r="N66" s="318"/>
      <c r="O66" s="318"/>
    </row>
    <row r="67" spans="1:15" ht="12.75" customHeight="1" x14ac:dyDescent="0.25">
      <c r="A67" s="306"/>
      <c r="B67" s="115"/>
      <c r="C67" s="115"/>
      <c r="D67" s="323"/>
      <c r="E67" s="324"/>
      <c r="F67" s="325"/>
      <c r="G67" s="149"/>
      <c r="H67" s="149"/>
      <c r="I67" s="316"/>
      <c r="J67" s="318"/>
      <c r="K67" s="318"/>
      <c r="L67" s="318"/>
      <c r="M67" s="318"/>
      <c r="N67" s="318"/>
      <c r="O67" s="318"/>
    </row>
    <row r="68" spans="1:15" ht="12.75" customHeight="1" x14ac:dyDescent="0.25">
      <c r="A68" s="306"/>
      <c r="B68" s="115"/>
      <c r="C68" s="115"/>
      <c r="D68" s="1788" t="s">
        <v>328</v>
      </c>
      <c r="E68" s="1789"/>
      <c r="F68" s="1790"/>
      <c r="G68" s="1791"/>
      <c r="H68" s="1791"/>
      <c r="I68" s="1792"/>
      <c r="J68" s="1794">
        <v>-259919</v>
      </c>
      <c r="K68" s="1794">
        <f t="shared" ref="K68:M68" si="42">SUM(K64:K67)</f>
        <v>-296085</v>
      </c>
      <c r="L68" s="1794">
        <f t="shared" si="42"/>
        <v>-309181</v>
      </c>
      <c r="M68" s="1794">
        <f t="shared" si="42"/>
        <v>-246510</v>
      </c>
      <c r="N68" s="1794">
        <f t="shared" ref="N68:O68" si="43">SUM(N64:N67)</f>
        <v>-199488</v>
      </c>
      <c r="O68" s="1794">
        <f t="shared" si="43"/>
        <v>0</v>
      </c>
    </row>
    <row r="69" spans="1:15" ht="12.75" customHeight="1" x14ac:dyDescent="0.25">
      <c r="A69" s="306"/>
      <c r="B69" s="115"/>
      <c r="C69" s="115"/>
      <c r="D69" s="301"/>
      <c r="E69" s="302"/>
      <c r="F69" s="303"/>
      <c r="G69" s="115"/>
      <c r="H69" s="115"/>
      <c r="I69" s="115"/>
      <c r="J69" s="114"/>
      <c r="K69" s="114"/>
      <c r="L69" s="114"/>
      <c r="M69" s="114"/>
      <c r="N69" s="114"/>
      <c r="O69" s="114"/>
    </row>
    <row r="70" spans="1:15" ht="12.75" customHeight="1" x14ac:dyDescent="0.25">
      <c r="A70" s="306"/>
      <c r="B70" s="115"/>
      <c r="C70" s="115"/>
      <c r="D70" s="1788" t="s">
        <v>527</v>
      </c>
      <c r="E70" s="1795"/>
      <c r="F70" s="1795"/>
      <c r="G70" s="1791"/>
      <c r="H70" s="1791"/>
      <c r="I70" s="1791"/>
      <c r="J70" s="1796">
        <v>2714581.7</v>
      </c>
      <c r="K70" s="1796">
        <f t="shared" ref="K70:M70" si="44">K59+K68</f>
        <v>3800171.5975600001</v>
      </c>
      <c r="L70" s="1796">
        <f t="shared" si="44"/>
        <v>3209825.0427987599</v>
      </c>
      <c r="M70" s="1796">
        <f t="shared" si="44"/>
        <v>3182809.8277831315</v>
      </c>
      <c r="N70" s="1796">
        <f t="shared" ref="N70:O70" si="45">N59+N68</f>
        <v>3283953.5603821436</v>
      </c>
      <c r="O70" s="1796">
        <f t="shared" si="45"/>
        <v>3375675.1764169326</v>
      </c>
    </row>
    <row r="71" spans="1:15" ht="12.75" customHeight="1" x14ac:dyDescent="0.25">
      <c r="A71" s="306"/>
      <c r="B71" s="115"/>
      <c r="C71" s="115"/>
      <c r="D71" s="301"/>
      <c r="E71" s="302"/>
      <c r="F71" s="303"/>
      <c r="G71" s="115"/>
      <c r="H71" s="115"/>
      <c r="I71" s="115"/>
      <c r="J71" s="114"/>
      <c r="K71" s="114"/>
      <c r="L71" s="114"/>
      <c r="M71" s="114"/>
      <c r="N71" s="114"/>
      <c r="O71" s="114"/>
    </row>
    <row r="72" spans="1:15" ht="12.75" customHeight="1" x14ac:dyDescent="0.25">
      <c r="A72" s="306"/>
      <c r="B72" s="115"/>
      <c r="C72" s="115"/>
      <c r="D72" s="301"/>
      <c r="E72" s="302"/>
      <c r="F72" s="303"/>
      <c r="G72" s="115"/>
      <c r="H72" s="115"/>
      <c r="I72" s="115"/>
      <c r="J72" s="301"/>
      <c r="K72" s="301"/>
      <c r="L72" s="301"/>
      <c r="M72" s="301"/>
      <c r="N72" s="301"/>
      <c r="O72" s="301"/>
    </row>
    <row r="74" spans="1:15" ht="12.75" customHeight="1" x14ac:dyDescent="0.25">
      <c r="A74" s="306"/>
      <c r="B74" s="115"/>
      <c r="C74" s="115"/>
      <c r="D74" s="312" t="s">
        <v>528</v>
      </c>
      <c r="E74" s="313"/>
      <c r="F74" s="114"/>
      <c r="G74" s="115"/>
      <c r="H74" s="115"/>
      <c r="I74" s="115"/>
      <c r="J74" s="115"/>
      <c r="K74" s="115"/>
      <c r="L74" s="115"/>
      <c r="M74" s="115"/>
      <c r="N74" s="115"/>
      <c r="O74" s="115"/>
    </row>
    <row r="76" spans="1:15" ht="12.75" customHeight="1" x14ac:dyDescent="0.25">
      <c r="A76" s="306"/>
      <c r="B76" s="115"/>
      <c r="C76" s="115"/>
      <c r="D76" s="2502" t="s">
        <v>529</v>
      </c>
      <c r="E76" s="1797" t="s">
        <v>530</v>
      </c>
      <c r="F76" s="2504" t="s">
        <v>531</v>
      </c>
      <c r="G76" s="2506" t="s">
        <v>206</v>
      </c>
      <c r="H76" s="2507"/>
      <c r="I76" s="1798"/>
      <c r="J76" s="1792"/>
      <c r="K76" s="1792"/>
      <c r="L76" s="1792"/>
      <c r="M76" s="1792"/>
      <c r="N76" s="1792"/>
      <c r="O76" s="1792"/>
    </row>
    <row r="77" spans="1:15" ht="12.75" customHeight="1" x14ac:dyDescent="0.25">
      <c r="A77" s="306"/>
      <c r="B77" s="115"/>
      <c r="C77" s="115"/>
      <c r="D77" s="2503"/>
      <c r="E77" s="327" t="s">
        <v>532</v>
      </c>
      <c r="F77" s="2505"/>
      <c r="G77" s="2508"/>
      <c r="H77" s="2509"/>
      <c r="I77" s="329"/>
      <c r="J77" s="1787">
        <v>2025</v>
      </c>
      <c r="K77" s="1787">
        <v>2026</v>
      </c>
      <c r="L77" s="1787">
        <f>+L32</f>
        <v>2027</v>
      </c>
      <c r="M77" s="1787">
        <f>+M32</f>
        <v>2028</v>
      </c>
      <c r="N77" s="1787">
        <f>+N32</f>
        <v>2029</v>
      </c>
      <c r="O77" s="1787">
        <f>+O32</f>
        <v>2030</v>
      </c>
    </row>
    <row r="78" spans="1:15" ht="12.75" customHeight="1" x14ac:dyDescent="0.25">
      <c r="A78" s="306"/>
      <c r="B78" s="115"/>
      <c r="C78" s="115"/>
      <c r="D78" s="1780">
        <v>601001</v>
      </c>
      <c r="E78" s="330"/>
      <c r="F78" s="331"/>
      <c r="G78" s="332" t="s">
        <v>509</v>
      </c>
      <c r="H78" s="322"/>
      <c r="I78" s="1775"/>
      <c r="J78" s="1776"/>
      <c r="K78" s="1776"/>
      <c r="L78" s="1776"/>
      <c r="M78" s="1776"/>
      <c r="N78" s="1776"/>
      <c r="O78" s="1776"/>
    </row>
    <row r="79" spans="1:15" ht="12.75" customHeight="1" x14ac:dyDescent="0.25">
      <c r="A79" s="306"/>
      <c r="B79" s="115"/>
      <c r="C79" s="115"/>
      <c r="D79" s="333"/>
      <c r="E79" s="330"/>
      <c r="F79" s="331"/>
      <c r="G79" s="334" t="s">
        <v>533</v>
      </c>
      <c r="H79" s="115"/>
      <c r="I79" s="316"/>
      <c r="J79" s="335"/>
      <c r="K79" s="335"/>
      <c r="L79" s="335"/>
      <c r="M79" s="335"/>
      <c r="N79" s="335"/>
      <c r="O79" s="335"/>
    </row>
    <row r="80" spans="1:15" ht="12.75" customHeight="1" x14ac:dyDescent="0.25">
      <c r="A80" s="336">
        <f>+D78</f>
        <v>601001</v>
      </c>
      <c r="B80" s="115" t="str">
        <f>+G78</f>
        <v>Raad en raadscommissies</v>
      </c>
      <c r="C80" s="115"/>
      <c r="D80" s="337">
        <v>43819</v>
      </c>
      <c r="E80" s="330"/>
      <c r="F80" s="331"/>
      <c r="G80" s="319" t="s">
        <v>534</v>
      </c>
      <c r="H80" s="115"/>
      <c r="I80" s="316"/>
      <c r="J80" s="317">
        <v>9573</v>
      </c>
      <c r="K80" s="317">
        <v>9822</v>
      </c>
      <c r="L80" s="317">
        <f t="shared" ref="L80:M80" si="46">+L225</f>
        <v>10028</v>
      </c>
      <c r="M80" s="317">
        <f t="shared" si="46"/>
        <v>10259</v>
      </c>
      <c r="N80" s="317">
        <f t="shared" ref="N80:O80" si="47">+N225</f>
        <v>10495</v>
      </c>
      <c r="O80" s="317">
        <f t="shared" si="47"/>
        <v>10736</v>
      </c>
    </row>
    <row r="81" spans="1:15" ht="12.75" customHeight="1" x14ac:dyDescent="0.25">
      <c r="A81" s="336">
        <f>+D78</f>
        <v>601001</v>
      </c>
      <c r="B81" s="336" t="str">
        <f>G78</f>
        <v>Raad en raadscommissies</v>
      </c>
      <c r="C81" s="336"/>
      <c r="D81" s="337">
        <v>43812</v>
      </c>
      <c r="E81" s="338"/>
      <c r="F81" s="337"/>
      <c r="G81" s="339" t="s">
        <v>535</v>
      </c>
      <c r="H81" s="115"/>
      <c r="I81" s="316"/>
      <c r="J81" s="317">
        <v>87915</v>
      </c>
      <c r="K81" s="317">
        <v>94864</v>
      </c>
      <c r="L81" s="317">
        <f t="shared" ref="L81:M81" si="48">L242</f>
        <v>86478</v>
      </c>
      <c r="M81" s="317">
        <f t="shared" si="48"/>
        <v>88283</v>
      </c>
      <c r="N81" s="317">
        <f t="shared" ref="N81:O81" si="49">N242</f>
        <v>90129</v>
      </c>
      <c r="O81" s="317">
        <f t="shared" si="49"/>
        <v>92018</v>
      </c>
    </row>
    <row r="82" spans="1:15" ht="12.75" customHeight="1" thickBot="1" x14ac:dyDescent="0.3">
      <c r="A82" s="336"/>
      <c r="B82" s="115"/>
      <c r="C82" s="115"/>
      <c r="D82" s="340"/>
      <c r="E82" s="341"/>
      <c r="F82" s="340"/>
      <c r="G82" s="319" t="s">
        <v>536</v>
      </c>
      <c r="H82" s="115"/>
      <c r="I82" s="316"/>
      <c r="J82" s="342">
        <v>97488</v>
      </c>
      <c r="K82" s="342">
        <v>104686</v>
      </c>
      <c r="L82" s="342">
        <f t="shared" ref="L82:M82" si="50">SUM(L80:L81)</f>
        <v>96506</v>
      </c>
      <c r="M82" s="342">
        <f t="shared" si="50"/>
        <v>98542</v>
      </c>
      <c r="N82" s="342">
        <f t="shared" ref="N82:O82" si="51">SUM(N80:N81)</f>
        <v>100624</v>
      </c>
      <c r="O82" s="342">
        <f t="shared" si="51"/>
        <v>102754</v>
      </c>
    </row>
    <row r="83" spans="1:15" ht="12.75" customHeight="1" thickTop="1" x14ac:dyDescent="0.25">
      <c r="A83" s="336"/>
      <c r="B83" s="115"/>
      <c r="C83" s="115"/>
      <c r="D83" s="340"/>
      <c r="E83" s="341"/>
      <c r="F83" s="340"/>
      <c r="G83" s="319"/>
      <c r="H83" s="115"/>
      <c r="I83" s="316"/>
      <c r="J83" s="318"/>
      <c r="K83" s="318"/>
      <c r="L83" s="318"/>
      <c r="M83" s="318"/>
      <c r="N83" s="318"/>
      <c r="O83" s="318"/>
    </row>
    <row r="84" spans="1:15" ht="12.75" customHeight="1" x14ac:dyDescent="0.25">
      <c r="A84" s="336"/>
      <c r="B84" s="115"/>
      <c r="C84" s="115"/>
      <c r="D84" s="333">
        <v>601001</v>
      </c>
      <c r="E84" s="330"/>
      <c r="F84" s="331"/>
      <c r="G84" s="332" t="s">
        <v>510</v>
      </c>
      <c r="H84" s="115"/>
      <c r="I84" s="316"/>
      <c r="J84" s="318"/>
      <c r="K84" s="318"/>
      <c r="L84" s="318"/>
      <c r="M84" s="318"/>
      <c r="N84" s="318"/>
      <c r="O84" s="318"/>
    </row>
    <row r="85" spans="1:15" ht="12.75" customHeight="1" x14ac:dyDescent="0.25">
      <c r="A85" s="336"/>
      <c r="B85" s="115"/>
      <c r="C85" s="115"/>
      <c r="D85" s="340"/>
      <c r="E85" s="341"/>
      <c r="F85" s="340"/>
      <c r="G85" s="334" t="s">
        <v>533</v>
      </c>
      <c r="H85" s="115"/>
      <c r="I85" s="316"/>
      <c r="J85" s="318"/>
      <c r="K85" s="318"/>
      <c r="L85" s="318"/>
      <c r="M85" s="318"/>
      <c r="N85" s="318"/>
      <c r="O85" s="318"/>
    </row>
    <row r="86" spans="1:15" ht="12.75" customHeight="1" x14ac:dyDescent="0.25">
      <c r="A86" s="336">
        <f>+D84</f>
        <v>601001</v>
      </c>
      <c r="B86" s="115" t="str">
        <f>+G84</f>
        <v>Raadsfracties</v>
      </c>
      <c r="C86" s="115"/>
      <c r="D86" s="337">
        <v>43812</v>
      </c>
      <c r="E86" s="343"/>
      <c r="F86" s="337"/>
      <c r="G86" s="339" t="s">
        <v>535</v>
      </c>
      <c r="H86" s="115"/>
      <c r="I86" s="316"/>
      <c r="J86" s="317">
        <v>7716.1679999999997</v>
      </c>
      <c r="K86" s="317">
        <v>7916.7883679999995</v>
      </c>
      <c r="L86" s="317">
        <f t="shared" ref="L86:M86" si="52">+L255</f>
        <v>8083.0409237280001</v>
      </c>
      <c r="M86" s="317">
        <f t="shared" si="52"/>
        <v>8268.9508649737436</v>
      </c>
      <c r="N86" s="317">
        <f t="shared" ref="N86:O86" si="53">+N255</f>
        <v>8459.1367348681379</v>
      </c>
      <c r="O86" s="317">
        <f t="shared" si="53"/>
        <v>8653.6968797701047</v>
      </c>
    </row>
    <row r="87" spans="1:15" ht="12.75" customHeight="1" thickBot="1" x14ac:dyDescent="0.3">
      <c r="A87" s="336"/>
      <c r="B87" s="115"/>
      <c r="C87" s="115"/>
      <c r="D87" s="340"/>
      <c r="E87" s="341"/>
      <c r="F87" s="340"/>
      <c r="G87" s="319" t="s">
        <v>536</v>
      </c>
      <c r="H87" s="115"/>
      <c r="I87" s="316"/>
      <c r="J87" s="342">
        <v>7716.1679999999997</v>
      </c>
      <c r="K87" s="342">
        <v>7916.7883679999995</v>
      </c>
      <c r="L87" s="342">
        <f>SUM(L85:L86)</f>
        <v>8083.0409237280001</v>
      </c>
      <c r="M87" s="342">
        <f>SUM(M85:M86)</f>
        <v>8268.9508649737436</v>
      </c>
      <c r="N87" s="342">
        <f>SUM(N85:N86)</f>
        <v>8459.1367348681379</v>
      </c>
      <c r="O87" s="342">
        <f>SUM(O85:O86)</f>
        <v>8653.6968797701047</v>
      </c>
    </row>
    <row r="88" spans="1:15" ht="12.75" customHeight="1" thickTop="1" x14ac:dyDescent="0.25">
      <c r="A88" s="336"/>
      <c r="B88" s="115"/>
      <c r="C88" s="115"/>
      <c r="D88" s="340"/>
      <c r="E88" s="341"/>
      <c r="F88" s="340"/>
      <c r="G88" s="319"/>
      <c r="H88" s="115"/>
      <c r="I88" s="316"/>
      <c r="J88" s="318"/>
      <c r="K88" s="318"/>
      <c r="L88" s="318"/>
      <c r="M88" s="318"/>
      <c r="N88" s="318"/>
      <c r="O88" s="318"/>
    </row>
    <row r="89" spans="1:15" ht="12.75" customHeight="1" x14ac:dyDescent="0.25">
      <c r="A89" s="336"/>
      <c r="B89" s="115"/>
      <c r="C89" s="115"/>
      <c r="D89" s="333">
        <v>601001</v>
      </c>
      <c r="E89" s="330"/>
      <c r="F89" s="331"/>
      <c r="G89" s="332" t="s">
        <v>537</v>
      </c>
      <c r="H89" s="115"/>
      <c r="I89" s="316"/>
      <c r="J89" s="318"/>
      <c r="K89" s="318"/>
      <c r="L89" s="318"/>
      <c r="M89" s="318"/>
      <c r="N89" s="318"/>
      <c r="O89" s="318"/>
    </row>
    <row r="90" spans="1:15" ht="12.75" customHeight="1" x14ac:dyDescent="0.25">
      <c r="A90" s="336"/>
      <c r="B90" s="115"/>
      <c r="C90" s="115"/>
      <c r="D90" s="340"/>
      <c r="E90" s="341"/>
      <c r="F90" s="340"/>
      <c r="G90" s="334" t="s">
        <v>533</v>
      </c>
      <c r="H90" s="115"/>
      <c r="I90" s="316"/>
      <c r="J90" s="318"/>
      <c r="K90" s="318"/>
      <c r="L90" s="318"/>
      <c r="M90" s="318"/>
      <c r="N90" s="318"/>
      <c r="O90" s="318"/>
    </row>
    <row r="91" spans="1:15" ht="12.75" customHeight="1" x14ac:dyDescent="0.25">
      <c r="A91" s="336">
        <f>+D89</f>
        <v>601001</v>
      </c>
      <c r="B91" s="115" t="str">
        <f>+G89</f>
        <v>Reis- en verblijfskosten raad</v>
      </c>
      <c r="C91" s="115"/>
      <c r="D91" s="337">
        <v>43812</v>
      </c>
      <c r="E91" s="343"/>
      <c r="F91" s="337"/>
      <c r="G91" s="339" t="s">
        <v>535</v>
      </c>
      <c r="H91" s="115"/>
      <c r="I91" s="316"/>
      <c r="J91" s="142">
        <v>17077</v>
      </c>
      <c r="K91" s="142">
        <v>17522</v>
      </c>
      <c r="L91" s="142">
        <f t="shared" ref="L91:M91" si="54">+L277</f>
        <v>17890</v>
      </c>
      <c r="M91" s="142">
        <f t="shared" si="54"/>
        <v>18301</v>
      </c>
      <c r="N91" s="142">
        <f t="shared" ref="N91:O91" si="55">+N277</f>
        <v>18721</v>
      </c>
      <c r="O91" s="142">
        <f t="shared" si="55"/>
        <v>19152</v>
      </c>
    </row>
    <row r="92" spans="1:15" ht="12.75" customHeight="1" thickBot="1" x14ac:dyDescent="0.3">
      <c r="A92" s="336"/>
      <c r="B92" s="115"/>
      <c r="C92" s="115"/>
      <c r="D92" s="340"/>
      <c r="E92" s="341"/>
      <c r="F92" s="340"/>
      <c r="G92" s="319" t="s">
        <v>536</v>
      </c>
      <c r="H92" s="115"/>
      <c r="I92" s="316"/>
      <c r="J92" s="342">
        <v>17077</v>
      </c>
      <c r="K92" s="342">
        <v>17522</v>
      </c>
      <c r="L92" s="342">
        <f>SUM(L90:L91)</f>
        <v>17890</v>
      </c>
      <c r="M92" s="342">
        <f>SUM(M90:M91)</f>
        <v>18301</v>
      </c>
      <c r="N92" s="342">
        <f>SUM(N90:N91)</f>
        <v>18721</v>
      </c>
      <c r="O92" s="342">
        <f>SUM(O90:O91)</f>
        <v>19152</v>
      </c>
    </row>
    <row r="93" spans="1:15" ht="12.75" customHeight="1" thickTop="1" x14ac:dyDescent="0.25">
      <c r="A93" s="336"/>
      <c r="B93" s="115"/>
      <c r="C93" s="115"/>
      <c r="D93" s="340"/>
      <c r="E93" s="341"/>
      <c r="F93" s="340"/>
      <c r="G93" s="319"/>
      <c r="H93" s="115"/>
      <c r="I93" s="316"/>
      <c r="J93" s="318"/>
      <c r="K93" s="318"/>
      <c r="L93" s="318"/>
      <c r="M93" s="318"/>
      <c r="N93" s="318"/>
      <c r="O93" s="318"/>
    </row>
    <row r="94" spans="1:15" ht="12.75" customHeight="1" x14ac:dyDescent="0.25">
      <c r="A94" s="336"/>
      <c r="B94" s="115"/>
      <c r="C94" s="115"/>
      <c r="D94" s="333">
        <v>601001</v>
      </c>
      <c r="E94" s="330"/>
      <c r="F94" s="331"/>
      <c r="G94" s="332" t="s">
        <v>538</v>
      </c>
      <c r="H94" s="115"/>
      <c r="I94" s="316"/>
      <c r="J94" s="318"/>
      <c r="K94" s="318"/>
      <c r="L94" s="318"/>
      <c r="M94" s="318"/>
      <c r="N94" s="318"/>
      <c r="O94" s="318"/>
    </row>
    <row r="95" spans="1:15" ht="12.75" customHeight="1" x14ac:dyDescent="0.25">
      <c r="A95" s="336"/>
      <c r="B95" s="115"/>
      <c r="C95" s="115"/>
      <c r="D95" s="340"/>
      <c r="E95" s="341"/>
      <c r="F95" s="340"/>
      <c r="G95" s="334" t="s">
        <v>533</v>
      </c>
      <c r="H95" s="115"/>
      <c r="I95" s="316"/>
      <c r="J95" s="318"/>
      <c r="K95" s="318"/>
      <c r="L95" s="318"/>
      <c r="M95" s="318"/>
      <c r="N95" s="318"/>
      <c r="O95" s="318"/>
    </row>
    <row r="96" spans="1:15" ht="12.75" customHeight="1" x14ac:dyDescent="0.25">
      <c r="A96" s="336">
        <f>+D94</f>
        <v>601001</v>
      </c>
      <c r="B96" s="115" t="str">
        <f>+G94</f>
        <v>Communicatieplan gemeenteraad</v>
      </c>
      <c r="C96" s="115"/>
      <c r="D96" s="337">
        <v>43812</v>
      </c>
      <c r="E96" s="343"/>
      <c r="F96" s="337"/>
      <c r="G96" s="339" t="s">
        <v>535</v>
      </c>
      <c r="H96" s="115"/>
      <c r="I96" s="316"/>
      <c r="J96" s="142">
        <v>4085</v>
      </c>
      <c r="K96" s="142">
        <v>4191</v>
      </c>
      <c r="L96" s="142">
        <f t="shared" ref="L96:M96" si="56">+L280</f>
        <v>4279</v>
      </c>
      <c r="M96" s="142">
        <f t="shared" si="56"/>
        <v>4377</v>
      </c>
      <c r="N96" s="142">
        <f t="shared" ref="N96:O96" si="57">+N280</f>
        <v>4478</v>
      </c>
      <c r="O96" s="142">
        <f t="shared" si="57"/>
        <v>4581</v>
      </c>
    </row>
    <row r="97" spans="1:15" ht="12.75" customHeight="1" thickBot="1" x14ac:dyDescent="0.3">
      <c r="A97" s="336"/>
      <c r="B97" s="115"/>
      <c r="C97" s="115"/>
      <c r="D97" s="340"/>
      <c r="E97" s="341"/>
      <c r="F97" s="340"/>
      <c r="G97" s="319" t="s">
        <v>536</v>
      </c>
      <c r="H97" s="115"/>
      <c r="I97" s="316"/>
      <c r="J97" s="228">
        <v>4085</v>
      </c>
      <c r="K97" s="228">
        <v>4191</v>
      </c>
      <c r="L97" s="228">
        <f>SUM(L95:L96)</f>
        <v>4279</v>
      </c>
      <c r="M97" s="228">
        <f>SUM(M95:M96)</f>
        <v>4377</v>
      </c>
      <c r="N97" s="228">
        <f>SUM(N95:N96)</f>
        <v>4478</v>
      </c>
      <c r="O97" s="228">
        <f>SUM(O95:O96)</f>
        <v>4581</v>
      </c>
    </row>
    <row r="98" spans="1:15" ht="12.75" customHeight="1" thickTop="1" x14ac:dyDescent="0.25">
      <c r="A98" s="336"/>
      <c r="B98" s="115"/>
      <c r="C98" s="115"/>
      <c r="D98" s="340"/>
      <c r="E98" s="341"/>
      <c r="F98" s="340"/>
      <c r="G98" s="319"/>
      <c r="H98" s="115"/>
      <c r="I98" s="316"/>
      <c r="J98" s="318"/>
      <c r="K98" s="318"/>
      <c r="L98" s="318"/>
      <c r="M98" s="318"/>
      <c r="N98" s="318"/>
      <c r="O98" s="318"/>
    </row>
    <row r="99" spans="1:15" ht="12.75" customHeight="1" x14ac:dyDescent="0.25">
      <c r="A99" s="336"/>
      <c r="B99" s="115"/>
      <c r="C99" s="115"/>
      <c r="D99" s="333">
        <v>601002</v>
      </c>
      <c r="E99" s="330"/>
      <c r="F99" s="331"/>
      <c r="G99" s="332" t="s">
        <v>512</v>
      </c>
      <c r="H99" s="115"/>
      <c r="I99" s="316"/>
      <c r="J99" s="335"/>
      <c r="K99" s="335"/>
      <c r="L99" s="335"/>
      <c r="M99" s="335"/>
      <c r="N99" s="335"/>
      <c r="O99" s="335"/>
    </row>
    <row r="100" spans="1:15" ht="12.75" customHeight="1" x14ac:dyDescent="0.25">
      <c r="A100" s="336"/>
      <c r="B100" s="115"/>
      <c r="C100" s="115"/>
      <c r="D100" s="333"/>
      <c r="E100" s="330"/>
      <c r="F100" s="331"/>
      <c r="G100" s="334" t="s">
        <v>533</v>
      </c>
      <c r="H100" s="115"/>
      <c r="I100" s="316"/>
      <c r="J100" s="335"/>
      <c r="K100" s="335"/>
      <c r="L100" s="335"/>
      <c r="M100" s="335"/>
      <c r="N100" s="335"/>
      <c r="O100" s="335"/>
    </row>
    <row r="101" spans="1:15" ht="12.75" customHeight="1" x14ac:dyDescent="0.25">
      <c r="A101" s="336">
        <f>+D99</f>
        <v>601002</v>
      </c>
      <c r="B101" s="115" t="str">
        <f>G99</f>
        <v>Werkbudget griffie</v>
      </c>
      <c r="C101" s="115"/>
      <c r="D101" s="337">
        <v>43819</v>
      </c>
      <c r="E101" s="343"/>
      <c r="F101" s="337"/>
      <c r="G101" s="319" t="s">
        <v>534</v>
      </c>
      <c r="H101" s="115"/>
      <c r="I101" s="316"/>
      <c r="J101" s="317">
        <v>11538</v>
      </c>
      <c r="K101" s="317">
        <v>12121</v>
      </c>
      <c r="L101" s="317">
        <f>+L287</f>
        <v>12375</v>
      </c>
      <c r="M101" s="317">
        <f>+M287</f>
        <v>12660</v>
      </c>
      <c r="N101" s="317">
        <f>+N287</f>
        <v>12951</v>
      </c>
      <c r="O101" s="317">
        <f>+O287</f>
        <v>13249</v>
      </c>
    </row>
    <row r="102" spans="1:15" ht="12.75" customHeight="1" x14ac:dyDescent="0.25">
      <c r="A102" s="336">
        <f>+D99</f>
        <v>601002</v>
      </c>
      <c r="B102" s="115" t="str">
        <f>G99</f>
        <v>Werkbudget griffie</v>
      </c>
      <c r="C102" s="115"/>
      <c r="D102" s="337">
        <v>43812</v>
      </c>
      <c r="E102" s="343"/>
      <c r="F102" s="337"/>
      <c r="G102" s="319" t="s">
        <v>535</v>
      </c>
      <c r="H102" s="115"/>
      <c r="I102" s="316"/>
      <c r="J102" s="317">
        <v>11401</v>
      </c>
      <c r="K102" s="317">
        <v>11801</v>
      </c>
      <c r="L102" s="317">
        <f t="shared" ref="L102:M102" si="58">+L296</f>
        <v>12133</v>
      </c>
      <c r="M102" s="317">
        <f t="shared" si="58"/>
        <v>12504</v>
      </c>
      <c r="N102" s="317">
        <f t="shared" ref="N102:O102" si="59">+N296</f>
        <v>12884</v>
      </c>
      <c r="O102" s="317">
        <f t="shared" si="59"/>
        <v>13272</v>
      </c>
    </row>
    <row r="103" spans="1:15" ht="12.75" customHeight="1" thickBot="1" x14ac:dyDescent="0.3">
      <c r="A103" s="336"/>
      <c r="B103" s="115"/>
      <c r="C103" s="115"/>
      <c r="D103" s="340"/>
      <c r="E103" s="341"/>
      <c r="F103" s="340"/>
      <c r="G103" s="319" t="s">
        <v>536</v>
      </c>
      <c r="H103" s="115"/>
      <c r="I103" s="316"/>
      <c r="J103" s="342">
        <v>22939</v>
      </c>
      <c r="K103" s="342">
        <v>23922</v>
      </c>
      <c r="L103" s="342">
        <f>SUM(L100:L102)</f>
        <v>24508</v>
      </c>
      <c r="M103" s="342">
        <f>SUM(M100:M102)</f>
        <v>25164</v>
      </c>
      <c r="N103" s="342">
        <f>SUM(N100:N102)</f>
        <v>25835</v>
      </c>
      <c r="O103" s="342">
        <f>SUM(O100:O102)</f>
        <v>26521</v>
      </c>
    </row>
    <row r="104" spans="1:15" ht="12.75" customHeight="1" thickTop="1" x14ac:dyDescent="0.25">
      <c r="A104" s="336"/>
      <c r="B104" s="115"/>
      <c r="C104" s="115"/>
      <c r="D104" s="340"/>
      <c r="E104" s="341"/>
      <c r="F104" s="340"/>
      <c r="G104" s="319"/>
      <c r="H104" s="115"/>
      <c r="I104" s="316"/>
      <c r="J104" s="344"/>
      <c r="K104" s="344"/>
      <c r="L104" s="344"/>
      <c r="M104" s="344"/>
      <c r="N104" s="344"/>
      <c r="O104" s="344"/>
    </row>
    <row r="105" spans="1:15" ht="12.75" customHeight="1" x14ac:dyDescent="0.25">
      <c r="A105" s="336"/>
      <c r="B105" s="115"/>
      <c r="C105" s="115"/>
      <c r="D105" s="333">
        <v>601003</v>
      </c>
      <c r="E105" s="330"/>
      <c r="F105" s="331"/>
      <c r="G105" s="332" t="s">
        <v>539</v>
      </c>
      <c r="H105" s="115"/>
      <c r="I105" s="316"/>
      <c r="J105" s="317"/>
      <c r="K105" s="317"/>
      <c r="L105" s="317"/>
      <c r="M105" s="317"/>
      <c r="N105" s="317"/>
      <c r="O105" s="317"/>
    </row>
    <row r="106" spans="1:15" ht="12.75" customHeight="1" x14ac:dyDescent="0.25">
      <c r="A106" s="336"/>
      <c r="B106" s="115"/>
      <c r="C106" s="115"/>
      <c r="D106" s="340"/>
      <c r="E106" s="341"/>
      <c r="F106" s="340"/>
      <c r="G106" s="334" t="s">
        <v>533</v>
      </c>
      <c r="H106" s="115"/>
      <c r="I106" s="316"/>
      <c r="J106" s="317"/>
      <c r="K106" s="317"/>
      <c r="L106" s="317"/>
      <c r="M106" s="317"/>
      <c r="N106" s="317"/>
      <c r="O106" s="317"/>
    </row>
    <row r="107" spans="1:15" ht="12.75" customHeight="1" x14ac:dyDescent="0.25">
      <c r="A107" s="336">
        <f>+D105</f>
        <v>601003</v>
      </c>
      <c r="B107" s="115" t="str">
        <f>+G105</f>
        <v>Rekenkamerfunctie</v>
      </c>
      <c r="C107" s="115"/>
      <c r="D107" s="337">
        <v>43812</v>
      </c>
      <c r="E107" s="343"/>
      <c r="F107" s="337"/>
      <c r="G107" s="339" t="s">
        <v>535</v>
      </c>
      <c r="H107" s="115"/>
      <c r="I107" s="316"/>
      <c r="J107" s="345">
        <v>41778</v>
      </c>
      <c r="K107" s="345">
        <v>43712</v>
      </c>
      <c r="L107" s="345">
        <f t="shared" ref="L107:M107" si="60">+L314</f>
        <v>45231</v>
      </c>
      <c r="M107" s="345">
        <f t="shared" si="60"/>
        <v>47118</v>
      </c>
      <c r="N107" s="345">
        <f t="shared" ref="N107:O107" si="61">+N314</f>
        <v>48879.5</v>
      </c>
      <c r="O107" s="345">
        <f t="shared" si="61"/>
        <v>49890.8</v>
      </c>
    </row>
    <row r="108" spans="1:15" ht="12.75" customHeight="1" thickBot="1" x14ac:dyDescent="0.3">
      <c r="A108" s="336"/>
      <c r="B108" s="115"/>
      <c r="C108" s="115"/>
      <c r="D108" s="340"/>
      <c r="E108" s="341"/>
      <c r="F108" s="340"/>
      <c r="G108" s="319" t="s">
        <v>536</v>
      </c>
      <c r="H108" s="115"/>
      <c r="I108" s="316"/>
      <c r="J108" s="342">
        <v>41778</v>
      </c>
      <c r="K108" s="342">
        <v>43712</v>
      </c>
      <c r="L108" s="342">
        <f>SUM(L106:L107)</f>
        <v>45231</v>
      </c>
      <c r="M108" s="342">
        <f>SUM(M106:M107)</f>
        <v>47118</v>
      </c>
      <c r="N108" s="342">
        <f>SUM(N106:N107)</f>
        <v>48879.5</v>
      </c>
      <c r="O108" s="342">
        <f>SUM(O106:O107)</f>
        <v>49890.8</v>
      </c>
    </row>
    <row r="109" spans="1:15" ht="12.75" customHeight="1" thickTop="1" x14ac:dyDescent="0.25">
      <c r="A109" s="336"/>
      <c r="B109" s="115"/>
      <c r="C109" s="115"/>
      <c r="D109" s="340"/>
      <c r="E109" s="341"/>
      <c r="F109" s="340"/>
      <c r="G109" s="319"/>
      <c r="H109" s="115"/>
      <c r="I109" s="316"/>
      <c r="J109" s="317"/>
      <c r="K109" s="317"/>
      <c r="L109" s="317"/>
      <c r="M109" s="317"/>
      <c r="N109" s="317"/>
      <c r="O109" s="317"/>
    </row>
    <row r="110" spans="1:15" ht="12.75" customHeight="1" x14ac:dyDescent="0.25">
      <c r="A110" s="336"/>
      <c r="B110" s="115"/>
      <c r="C110" s="115"/>
      <c r="D110" s="333">
        <v>601004</v>
      </c>
      <c r="E110" s="330"/>
      <c r="F110" s="331"/>
      <c r="G110" s="332" t="s">
        <v>513</v>
      </c>
      <c r="H110" s="115"/>
      <c r="I110" s="316"/>
      <c r="J110" s="317"/>
      <c r="K110" s="317"/>
      <c r="L110" s="317"/>
      <c r="M110" s="317"/>
      <c r="N110" s="317"/>
      <c r="O110" s="317"/>
    </row>
    <row r="111" spans="1:15" ht="12.75" customHeight="1" x14ac:dyDescent="0.25">
      <c r="A111" s="336"/>
      <c r="B111" s="115"/>
      <c r="C111" s="115"/>
      <c r="D111" s="340"/>
      <c r="E111" s="341"/>
      <c r="F111" s="340"/>
      <c r="G111" s="334" t="s">
        <v>533</v>
      </c>
      <c r="H111" s="115"/>
      <c r="I111" s="316"/>
      <c r="J111" s="317"/>
      <c r="K111" s="317"/>
      <c r="L111" s="317"/>
      <c r="M111" s="317"/>
      <c r="N111" s="317"/>
      <c r="O111" s="317"/>
    </row>
    <row r="112" spans="1:15" ht="12.75" customHeight="1" x14ac:dyDescent="0.25">
      <c r="A112" s="336">
        <f>+D110</f>
        <v>601004</v>
      </c>
      <c r="B112" s="115" t="str">
        <f>+G110</f>
        <v>Gemeentefinanciën</v>
      </c>
      <c r="C112" s="115"/>
      <c r="D112" s="337">
        <v>43812</v>
      </c>
      <c r="E112" s="343"/>
      <c r="F112" s="337"/>
      <c r="G112" s="339" t="s">
        <v>535</v>
      </c>
      <c r="H112" s="115"/>
      <c r="I112" s="316"/>
      <c r="J112" s="317">
        <v>69833</v>
      </c>
      <c r="K112" s="317">
        <v>70000</v>
      </c>
      <c r="L112" s="317">
        <f t="shared" ref="L112:M112" si="62">+L323</f>
        <v>71470</v>
      </c>
      <c r="M112" s="317">
        <f t="shared" si="62"/>
        <v>73114</v>
      </c>
      <c r="N112" s="317">
        <f t="shared" ref="N112:O112" si="63">+N323</f>
        <v>74796</v>
      </c>
      <c r="O112" s="317">
        <f t="shared" si="63"/>
        <v>76516</v>
      </c>
    </row>
    <row r="113" spans="1:15" ht="12.75" customHeight="1" thickBot="1" x14ac:dyDescent="0.3">
      <c r="A113" s="336"/>
      <c r="B113" s="115"/>
      <c r="C113" s="115"/>
      <c r="D113" s="346"/>
      <c r="E113" s="341"/>
      <c r="F113" s="340"/>
      <c r="G113" s="319" t="s">
        <v>536</v>
      </c>
      <c r="H113" s="114"/>
      <c r="I113" s="318"/>
      <c r="J113" s="342">
        <v>69833</v>
      </c>
      <c r="K113" s="342">
        <v>70000</v>
      </c>
      <c r="L113" s="342">
        <f>SUM(L111:L112)</f>
        <v>71470</v>
      </c>
      <c r="M113" s="342">
        <f>SUM(M111:M112)</f>
        <v>73114</v>
      </c>
      <c r="N113" s="342">
        <f>SUM(N111:N112)</f>
        <v>74796</v>
      </c>
      <c r="O113" s="342">
        <f>SUM(O111:O112)</f>
        <v>76516</v>
      </c>
    </row>
    <row r="114" spans="1:15" ht="12.75" customHeight="1" thickTop="1" x14ac:dyDescent="0.25">
      <c r="A114" s="336"/>
      <c r="B114" s="115"/>
      <c r="C114" s="115"/>
      <c r="D114" s="346"/>
      <c r="E114" s="341"/>
      <c r="F114" s="340"/>
      <c r="G114" s="319"/>
      <c r="H114" s="114"/>
      <c r="I114" s="318"/>
      <c r="J114" s="317"/>
      <c r="K114" s="317"/>
      <c r="L114" s="317"/>
      <c r="M114" s="317"/>
      <c r="N114" s="317"/>
      <c r="O114" s="317"/>
    </row>
    <row r="115" spans="1:15" ht="12.75" customHeight="1" x14ac:dyDescent="0.25">
      <c r="A115" s="336"/>
      <c r="B115" s="115"/>
      <c r="C115" s="115"/>
      <c r="D115" s="347">
        <v>601005</v>
      </c>
      <c r="E115" s="341"/>
      <c r="F115" s="340"/>
      <c r="G115" s="332" t="s">
        <v>514</v>
      </c>
      <c r="H115" s="114"/>
      <c r="I115" s="318"/>
      <c r="J115" s="317"/>
      <c r="K115" s="317"/>
      <c r="L115" s="317"/>
      <c r="M115" s="317"/>
      <c r="N115" s="317"/>
      <c r="O115" s="317"/>
    </row>
    <row r="116" spans="1:15" ht="12.75" customHeight="1" x14ac:dyDescent="0.25">
      <c r="A116" s="336"/>
      <c r="B116" s="115"/>
      <c r="C116" s="115"/>
      <c r="D116" s="346"/>
      <c r="E116" s="341"/>
      <c r="F116" s="340"/>
      <c r="G116" s="334" t="s">
        <v>533</v>
      </c>
      <c r="H116" s="114"/>
      <c r="I116" s="318"/>
      <c r="J116" s="317"/>
      <c r="K116" s="317"/>
      <c r="L116" s="317"/>
      <c r="M116" s="317"/>
      <c r="N116" s="317"/>
      <c r="O116" s="317"/>
    </row>
    <row r="117" spans="1:15" ht="12.75" customHeight="1" x14ac:dyDescent="0.25">
      <c r="A117" s="336">
        <v>601005</v>
      </c>
      <c r="B117" s="115" t="str">
        <f>+G115</f>
        <v>Jeugdraad</v>
      </c>
      <c r="C117" s="115"/>
      <c r="D117" s="340">
        <v>43812</v>
      </c>
      <c r="E117" s="341"/>
      <c r="F117" s="340"/>
      <c r="G117" s="319" t="s">
        <v>535</v>
      </c>
      <c r="H117" s="114"/>
      <c r="I117" s="318"/>
      <c r="J117" s="317">
        <v>1684.8920000000001</v>
      </c>
      <c r="K117" s="317">
        <v>1728.699192</v>
      </c>
      <c r="L117" s="317">
        <f t="shared" ref="L117:M117" si="64">+L328</f>
        <v>1765.0018750319998</v>
      </c>
      <c r="M117" s="317">
        <f t="shared" si="64"/>
        <v>1805.5969181577357</v>
      </c>
      <c r="N117" s="317">
        <f t="shared" ref="N117:O117" si="65">+N328</f>
        <v>1847.1256472753635</v>
      </c>
      <c r="O117" s="317">
        <f t="shared" si="65"/>
        <v>1889.6095371626966</v>
      </c>
    </row>
    <row r="118" spans="1:15" ht="12.75" customHeight="1" thickBot="1" x14ac:dyDescent="0.3">
      <c r="A118" s="336"/>
      <c r="B118" s="115"/>
      <c r="C118" s="115"/>
      <c r="D118" s="346"/>
      <c r="E118" s="341"/>
      <c r="F118" s="340"/>
      <c r="G118" s="319" t="s">
        <v>536</v>
      </c>
      <c r="H118" s="114"/>
      <c r="I118" s="318"/>
      <c r="J118" s="342">
        <v>1684.8920000000001</v>
      </c>
      <c r="K118" s="342">
        <v>1728.699192</v>
      </c>
      <c r="L118" s="342">
        <f>SUM(L116:L117)</f>
        <v>1765.0018750319998</v>
      </c>
      <c r="M118" s="342">
        <f>SUM(M116:M117)</f>
        <v>1805.5969181577357</v>
      </c>
      <c r="N118" s="342">
        <f>SUM(N116:N117)</f>
        <v>1847.1256472753635</v>
      </c>
      <c r="O118" s="342">
        <f>SUM(O116:O117)</f>
        <v>1889.6095371626966</v>
      </c>
    </row>
    <row r="119" spans="1:15" ht="12.75" customHeight="1" thickTop="1" x14ac:dyDescent="0.25">
      <c r="A119" s="336"/>
      <c r="B119" s="115"/>
      <c r="C119" s="115"/>
      <c r="D119" s="346"/>
      <c r="E119" s="341"/>
      <c r="F119" s="340"/>
      <c r="G119" s="348"/>
      <c r="H119" s="114"/>
      <c r="I119" s="318"/>
      <c r="J119" s="317"/>
      <c r="K119" s="317"/>
      <c r="L119" s="317"/>
      <c r="M119" s="317"/>
      <c r="N119" s="317"/>
      <c r="O119" s="317"/>
    </row>
    <row r="120" spans="1:15" ht="12.75" customHeight="1" x14ac:dyDescent="0.25">
      <c r="A120" s="336"/>
      <c r="B120" s="115"/>
      <c r="C120" s="115"/>
      <c r="D120" s="333">
        <v>601901</v>
      </c>
      <c r="E120" s="330"/>
      <c r="F120" s="331"/>
      <c r="G120" s="332" t="s">
        <v>540</v>
      </c>
      <c r="H120" s="114"/>
      <c r="I120" s="318"/>
      <c r="J120" s="317"/>
      <c r="K120" s="317"/>
      <c r="L120" s="317"/>
      <c r="M120" s="317"/>
      <c r="N120" s="317"/>
      <c r="O120" s="317"/>
    </row>
    <row r="121" spans="1:15" ht="12.75" customHeight="1" x14ac:dyDescent="0.25">
      <c r="A121" s="336"/>
      <c r="B121" s="115"/>
      <c r="C121" s="115"/>
      <c r="D121" s="346"/>
      <c r="E121" s="341"/>
      <c r="F121" s="340"/>
      <c r="G121" s="334" t="s">
        <v>533</v>
      </c>
      <c r="H121" s="114"/>
      <c r="I121" s="318"/>
      <c r="J121" s="317"/>
      <c r="K121" s="317"/>
      <c r="L121" s="317"/>
      <c r="M121" s="317"/>
      <c r="N121" s="317"/>
      <c r="O121" s="317"/>
    </row>
    <row r="122" spans="1:15" ht="12.75" customHeight="1" x14ac:dyDescent="0.25">
      <c r="A122" s="336">
        <f>+D120</f>
        <v>601901</v>
      </c>
      <c r="B122" s="115" t="str">
        <f>+G120</f>
        <v>Directe toerekening raad</v>
      </c>
      <c r="C122" s="115"/>
      <c r="D122" s="337">
        <v>41000</v>
      </c>
      <c r="E122" s="343"/>
      <c r="F122" s="337"/>
      <c r="G122" s="319" t="s">
        <v>541</v>
      </c>
      <c r="H122" s="114"/>
      <c r="I122" s="318"/>
      <c r="J122" s="317">
        <v>0</v>
      </c>
      <c r="K122" s="317">
        <v>0</v>
      </c>
      <c r="L122" s="317">
        <v>0</v>
      </c>
      <c r="M122" s="317">
        <v>0</v>
      </c>
      <c r="N122" s="317">
        <v>0</v>
      </c>
      <c r="O122" s="317">
        <v>0</v>
      </c>
    </row>
    <row r="123" spans="1:15" ht="12.75" customHeight="1" thickBot="1" x14ac:dyDescent="0.3">
      <c r="A123" s="336"/>
      <c r="B123" s="115"/>
      <c r="C123" s="115"/>
      <c r="D123" s="346"/>
      <c r="E123" s="341"/>
      <c r="F123" s="340"/>
      <c r="G123" s="319"/>
      <c r="H123" s="114"/>
      <c r="I123" s="318"/>
      <c r="J123" s="342">
        <v>0</v>
      </c>
      <c r="K123" s="342">
        <v>0</v>
      </c>
      <c r="L123" s="342">
        <f>SUM(L121:L122)</f>
        <v>0</v>
      </c>
      <c r="M123" s="342">
        <f>SUM(M121:M122)</f>
        <v>0</v>
      </c>
      <c r="N123" s="342">
        <f>SUM(N121:N122)</f>
        <v>0</v>
      </c>
      <c r="O123" s="342">
        <f>SUM(O121:O122)</f>
        <v>0</v>
      </c>
    </row>
    <row r="124" spans="1:15" ht="12.75" customHeight="1" thickTop="1" x14ac:dyDescent="0.25">
      <c r="A124" s="336"/>
      <c r="B124" s="115"/>
      <c r="C124" s="115"/>
      <c r="D124" s="340"/>
      <c r="E124" s="341"/>
      <c r="F124" s="340"/>
      <c r="G124" s="334"/>
      <c r="H124" s="115"/>
      <c r="I124" s="316"/>
      <c r="J124" s="317"/>
      <c r="K124" s="317"/>
      <c r="L124" s="317"/>
      <c r="M124" s="317"/>
      <c r="N124" s="317"/>
      <c r="O124" s="317"/>
    </row>
    <row r="125" spans="1:15" ht="12.75" customHeight="1" x14ac:dyDescent="0.25">
      <c r="A125" s="336"/>
      <c r="B125" s="115"/>
      <c r="C125" s="115"/>
      <c r="D125" s="333">
        <v>601007</v>
      </c>
      <c r="E125" s="330"/>
      <c r="F125" s="330"/>
      <c r="G125" s="332" t="s">
        <v>542</v>
      </c>
      <c r="H125" s="115"/>
      <c r="I125" s="316"/>
      <c r="J125" s="335"/>
      <c r="K125" s="335"/>
      <c r="L125" s="335"/>
      <c r="M125" s="335"/>
      <c r="N125" s="335"/>
      <c r="O125" s="335"/>
    </row>
    <row r="126" spans="1:15" ht="12.75" customHeight="1" x14ac:dyDescent="0.25">
      <c r="A126" s="336"/>
      <c r="B126" s="115"/>
      <c r="C126" s="115"/>
      <c r="D126" s="340"/>
      <c r="E126" s="341"/>
      <c r="F126" s="341"/>
      <c r="G126" s="334" t="s">
        <v>533</v>
      </c>
      <c r="H126" s="115"/>
      <c r="I126" s="316"/>
      <c r="J126" s="335"/>
      <c r="K126" s="335"/>
      <c r="L126" s="335"/>
      <c r="M126" s="335"/>
      <c r="N126" s="335"/>
      <c r="O126" s="335"/>
    </row>
    <row r="127" spans="1:15" ht="12.75" customHeight="1" x14ac:dyDescent="0.25">
      <c r="A127" s="336">
        <f>+D125</f>
        <v>601007</v>
      </c>
      <c r="B127" s="115" t="str">
        <f>+G125</f>
        <v>Gewezen burgemeester</v>
      </c>
      <c r="C127" s="115"/>
      <c r="D127" s="349">
        <v>41101</v>
      </c>
      <c r="E127" s="350"/>
      <c r="F127" s="350"/>
      <c r="G127" s="351" t="s">
        <v>543</v>
      </c>
      <c r="H127" s="115"/>
      <c r="I127" s="316"/>
      <c r="J127" s="317">
        <v>88189</v>
      </c>
      <c r="K127" s="317">
        <v>117492</v>
      </c>
      <c r="L127" s="317">
        <f>+L333</f>
        <v>119842</v>
      </c>
      <c r="M127" s="317">
        <f>+M333</f>
        <v>50933</v>
      </c>
      <c r="N127" s="317">
        <f>+N333</f>
        <v>0</v>
      </c>
      <c r="O127" s="317">
        <f>+O333</f>
        <v>0</v>
      </c>
    </row>
    <row r="128" spans="1:15" ht="12.75" customHeight="1" thickBot="1" x14ac:dyDescent="0.3">
      <c r="A128" s="336"/>
      <c r="B128" s="115"/>
      <c r="C128" s="115"/>
      <c r="D128" s="340"/>
      <c r="E128" s="341"/>
      <c r="F128" s="341"/>
      <c r="G128" s="319" t="s">
        <v>536</v>
      </c>
      <c r="H128" s="115"/>
      <c r="I128" s="316"/>
      <c r="J128" s="342">
        <v>88189</v>
      </c>
      <c r="K128" s="342">
        <v>117492</v>
      </c>
      <c r="L128" s="342">
        <f>SUM(L127:L127)</f>
        <v>119842</v>
      </c>
      <c r="M128" s="342">
        <f>SUM(M127:M127)</f>
        <v>50933</v>
      </c>
      <c r="N128" s="342">
        <f>SUM(N127:N127)</f>
        <v>0</v>
      </c>
      <c r="O128" s="342">
        <f>SUM(O127:O127)</f>
        <v>0</v>
      </c>
    </row>
    <row r="129" spans="1:15" ht="12.75" customHeight="1" thickTop="1" x14ac:dyDescent="0.25">
      <c r="A129" s="336"/>
      <c r="B129" s="115"/>
      <c r="C129" s="115"/>
      <c r="D129" s="352"/>
      <c r="E129" s="353"/>
      <c r="F129" s="353"/>
      <c r="G129" s="354"/>
      <c r="H129" s="355"/>
      <c r="I129" s="356"/>
      <c r="J129" s="316"/>
      <c r="K129" s="316"/>
      <c r="L129" s="316"/>
      <c r="M129" s="316"/>
      <c r="N129" s="316"/>
      <c r="O129" s="316"/>
    </row>
    <row r="130" spans="1:15" ht="12.75" customHeight="1" x14ac:dyDescent="0.25">
      <c r="A130" s="336"/>
      <c r="B130" s="115"/>
      <c r="C130" s="115"/>
      <c r="D130" s="333">
        <v>601007</v>
      </c>
      <c r="E130" s="330"/>
      <c r="F130" s="330"/>
      <c r="G130" s="332" t="s">
        <v>544</v>
      </c>
      <c r="H130" s="115"/>
      <c r="I130" s="316"/>
      <c r="J130" s="335"/>
      <c r="K130" s="335"/>
      <c r="L130" s="335"/>
      <c r="M130" s="335"/>
      <c r="N130" s="335"/>
      <c r="O130" s="335"/>
    </row>
    <row r="131" spans="1:15" ht="12.75" customHeight="1" x14ac:dyDescent="0.25">
      <c r="A131" s="336"/>
      <c r="B131" s="115"/>
      <c r="C131" s="115"/>
      <c r="D131" s="340"/>
      <c r="E131" s="341"/>
      <c r="F131" s="341"/>
      <c r="G131" s="334" t="s">
        <v>533</v>
      </c>
      <c r="H131" s="115"/>
      <c r="I131" s="316"/>
      <c r="J131" s="335"/>
      <c r="K131" s="335"/>
      <c r="L131" s="335"/>
      <c r="M131" s="335"/>
      <c r="N131" s="335"/>
      <c r="O131" s="335"/>
    </row>
    <row r="132" spans="1:15" ht="12.75" customHeight="1" x14ac:dyDescent="0.25">
      <c r="A132" s="336">
        <f>+D130</f>
        <v>601007</v>
      </c>
      <c r="B132" s="115" t="str">
        <f>+G130</f>
        <v>Gewezen college</v>
      </c>
      <c r="C132" s="115"/>
      <c r="D132" s="349">
        <v>41101</v>
      </c>
      <c r="E132" s="350"/>
      <c r="F132" s="350"/>
      <c r="G132" s="351" t="s">
        <v>543</v>
      </c>
      <c r="H132" s="115"/>
      <c r="I132" s="316"/>
      <c r="J132" s="317">
        <v>171730</v>
      </c>
      <c r="K132" s="317">
        <v>178593</v>
      </c>
      <c r="L132" s="317">
        <f t="shared" ref="L132:M132" si="66">+L340</f>
        <v>189339</v>
      </c>
      <c r="M132" s="317">
        <f t="shared" si="66"/>
        <v>195577</v>
      </c>
      <c r="N132" s="317">
        <f t="shared" ref="N132:O132" si="67">+N340</f>
        <v>199488</v>
      </c>
      <c r="O132" s="317">
        <f t="shared" si="67"/>
        <v>0</v>
      </c>
    </row>
    <row r="133" spans="1:15" ht="12.75" customHeight="1" thickBot="1" x14ac:dyDescent="0.3">
      <c r="A133" s="336"/>
      <c r="B133" s="115"/>
      <c r="C133" s="115"/>
      <c r="D133" s="340"/>
      <c r="E133" s="341"/>
      <c r="F133" s="341"/>
      <c r="G133" s="319" t="s">
        <v>536</v>
      </c>
      <c r="H133" s="115"/>
      <c r="I133" s="316"/>
      <c r="J133" s="342">
        <v>171730</v>
      </c>
      <c r="K133" s="342">
        <v>178593</v>
      </c>
      <c r="L133" s="342">
        <f>SUM(L132:L132)</f>
        <v>189339</v>
      </c>
      <c r="M133" s="342">
        <f>SUM(M132:M132)</f>
        <v>195577</v>
      </c>
      <c r="N133" s="342">
        <f>SUM(N132:N132)</f>
        <v>199488</v>
      </c>
      <c r="O133" s="342">
        <f>SUM(O132:O132)</f>
        <v>0</v>
      </c>
    </row>
    <row r="134" spans="1:15" ht="12.75" customHeight="1" thickTop="1" x14ac:dyDescent="0.25">
      <c r="A134" s="336"/>
      <c r="B134" s="115"/>
      <c r="C134" s="115"/>
      <c r="D134" s="340"/>
      <c r="E134" s="341"/>
      <c r="F134" s="341"/>
      <c r="G134" s="319"/>
      <c r="H134" s="115"/>
      <c r="I134" s="316"/>
      <c r="J134" s="357"/>
      <c r="K134" s="357"/>
      <c r="L134" s="357"/>
      <c r="M134" s="357"/>
      <c r="N134" s="357"/>
      <c r="O134" s="357"/>
    </row>
    <row r="135" spans="1:15" ht="12.75" customHeight="1" x14ac:dyDescent="0.25">
      <c r="A135" s="336"/>
      <c r="B135" s="115"/>
      <c r="C135" s="115"/>
      <c r="D135" s="333">
        <v>601008</v>
      </c>
      <c r="E135" s="330"/>
      <c r="F135" s="330"/>
      <c r="G135" s="332" t="s">
        <v>545</v>
      </c>
      <c r="H135" s="115"/>
      <c r="I135" s="316"/>
      <c r="J135" s="335"/>
      <c r="K135" s="335"/>
      <c r="L135" s="335"/>
      <c r="M135" s="335"/>
      <c r="N135" s="335"/>
      <c r="O135" s="335"/>
    </row>
    <row r="136" spans="1:15" ht="12.75" customHeight="1" x14ac:dyDescent="0.25">
      <c r="A136" s="336"/>
      <c r="B136" s="115"/>
      <c r="C136" s="115"/>
      <c r="D136" s="340"/>
      <c r="E136" s="341"/>
      <c r="F136" s="341"/>
      <c r="G136" s="334" t="s">
        <v>533</v>
      </c>
      <c r="H136" s="115"/>
      <c r="I136" s="316"/>
      <c r="J136" s="335"/>
      <c r="K136" s="335"/>
      <c r="L136" s="335"/>
      <c r="M136" s="335"/>
      <c r="N136" s="335"/>
      <c r="O136" s="335"/>
    </row>
    <row r="137" spans="1:15" ht="12.75" customHeight="1" x14ac:dyDescent="0.25">
      <c r="A137" s="336">
        <f>+D135</f>
        <v>601008</v>
      </c>
      <c r="B137" s="115" t="str">
        <f>+G135</f>
        <v>College van B&amp;W</v>
      </c>
      <c r="C137" s="115"/>
      <c r="D137" s="337">
        <v>43806</v>
      </c>
      <c r="E137" s="343"/>
      <c r="F137" s="343"/>
      <c r="G137" s="319" t="s">
        <v>546</v>
      </c>
      <c r="H137" s="115"/>
      <c r="I137" s="316"/>
      <c r="J137" s="317">
        <v>4736</v>
      </c>
      <c r="K137" s="317">
        <v>6700</v>
      </c>
      <c r="L137" s="317">
        <f>L351</f>
        <v>6841</v>
      </c>
      <c r="M137" s="317">
        <f>M351</f>
        <v>6998</v>
      </c>
      <c r="N137" s="317">
        <f>N351</f>
        <v>7158</v>
      </c>
      <c r="O137" s="317">
        <f>O351</f>
        <v>7323</v>
      </c>
    </row>
    <row r="138" spans="1:15" ht="12.75" customHeight="1" x14ac:dyDescent="0.25">
      <c r="A138" s="336">
        <v>601008</v>
      </c>
      <c r="B138" s="115" t="s">
        <v>545</v>
      </c>
      <c r="C138" s="115"/>
      <c r="D138" s="337">
        <v>43812</v>
      </c>
      <c r="E138" s="343"/>
      <c r="F138" s="343"/>
      <c r="G138" s="339" t="s">
        <v>535</v>
      </c>
      <c r="H138" s="115"/>
      <c r="I138" s="316"/>
      <c r="J138" s="317">
        <v>35193</v>
      </c>
      <c r="K138" s="317">
        <v>3276</v>
      </c>
      <c r="L138" s="317">
        <f>+L360</f>
        <v>3345</v>
      </c>
      <c r="M138" s="317">
        <f>+M360</f>
        <v>3422</v>
      </c>
      <c r="N138" s="317">
        <f>+N360</f>
        <v>3501</v>
      </c>
      <c r="O138" s="317">
        <f>+O360</f>
        <v>3582</v>
      </c>
    </row>
    <row r="139" spans="1:15" ht="12.75" customHeight="1" x14ac:dyDescent="0.25">
      <c r="A139" s="336">
        <v>601008</v>
      </c>
      <c r="B139" s="115" t="s">
        <v>545</v>
      </c>
      <c r="C139" s="115"/>
      <c r="D139" s="337">
        <v>43819</v>
      </c>
      <c r="E139" s="343"/>
      <c r="F139" s="343"/>
      <c r="G139" s="319" t="s">
        <v>534</v>
      </c>
      <c r="H139" s="115"/>
      <c r="I139" s="316"/>
      <c r="J139" s="317">
        <v>5701</v>
      </c>
      <c r="K139" s="317">
        <v>5849</v>
      </c>
      <c r="L139" s="317">
        <f>L355</f>
        <v>5972</v>
      </c>
      <c r="M139" s="317">
        <f>M355</f>
        <v>6109</v>
      </c>
      <c r="N139" s="317">
        <f>N355</f>
        <v>6250</v>
      </c>
      <c r="O139" s="317">
        <f>O355</f>
        <v>6394</v>
      </c>
    </row>
    <row r="140" spans="1:15" ht="12.75" customHeight="1" x14ac:dyDescent="0.25">
      <c r="A140" s="336">
        <v>601008</v>
      </c>
      <c r="B140" s="115" t="s">
        <v>545</v>
      </c>
      <c r="C140" s="115"/>
      <c r="D140" s="337">
        <v>43818</v>
      </c>
      <c r="E140" s="343"/>
      <c r="F140" s="343"/>
      <c r="G140" s="319" t="s">
        <v>547</v>
      </c>
      <c r="H140" s="115"/>
      <c r="I140" s="316"/>
      <c r="J140" s="317">
        <v>2841</v>
      </c>
      <c r="K140" s="317">
        <v>2915</v>
      </c>
      <c r="L140" s="317">
        <f>L365</f>
        <v>2976</v>
      </c>
      <c r="M140" s="317">
        <f>M365</f>
        <v>3044</v>
      </c>
      <c r="N140" s="317">
        <f>N365</f>
        <v>3114</v>
      </c>
      <c r="O140" s="317">
        <f>O365</f>
        <v>3186</v>
      </c>
    </row>
    <row r="141" spans="1:15" ht="12.75" customHeight="1" thickBot="1" x14ac:dyDescent="0.3">
      <c r="A141" s="336"/>
      <c r="B141" s="115"/>
      <c r="C141" s="115"/>
      <c r="D141" s="340"/>
      <c r="E141" s="341"/>
      <c r="F141" s="341"/>
      <c r="G141" s="319" t="s">
        <v>536</v>
      </c>
      <c r="H141" s="115"/>
      <c r="I141" s="316"/>
      <c r="J141" s="342">
        <v>48471</v>
      </c>
      <c r="K141" s="342">
        <v>18740</v>
      </c>
      <c r="L141" s="342">
        <f>SUM(L137:L140)</f>
        <v>19134</v>
      </c>
      <c r="M141" s="342">
        <f>SUM(M137:M140)</f>
        <v>19573</v>
      </c>
      <c r="N141" s="342">
        <f>SUM(N137:N140)</f>
        <v>20023</v>
      </c>
      <c r="O141" s="342">
        <f>SUM(O137:O140)</f>
        <v>20485</v>
      </c>
    </row>
    <row r="142" spans="1:15" ht="12.75" customHeight="1" thickTop="1" x14ac:dyDescent="0.25">
      <c r="A142" s="336"/>
      <c r="B142" s="115"/>
      <c r="C142" s="115"/>
      <c r="D142" s="340"/>
      <c r="E142" s="341"/>
      <c r="F142" s="341"/>
      <c r="G142" s="319"/>
      <c r="H142" s="115"/>
      <c r="I142" s="316"/>
      <c r="J142" s="317"/>
      <c r="K142" s="317"/>
      <c r="L142" s="317"/>
      <c r="M142" s="317"/>
      <c r="N142" s="317"/>
      <c r="O142" s="317"/>
    </row>
    <row r="143" spans="1:15" ht="12.75" customHeight="1" x14ac:dyDescent="0.25">
      <c r="A143" s="306"/>
      <c r="B143" s="358"/>
      <c r="C143" s="359"/>
      <c r="D143" s="1">
        <v>601011</v>
      </c>
      <c r="E143" s="2"/>
      <c r="F143" s="3"/>
      <c r="G143" s="360" t="s">
        <v>548</v>
      </c>
      <c r="H143" s="361"/>
      <c r="I143" s="362"/>
      <c r="J143" s="363"/>
      <c r="K143" s="363"/>
      <c r="L143" s="363"/>
      <c r="M143" s="363"/>
      <c r="N143" s="363"/>
      <c r="O143" s="363"/>
    </row>
    <row r="144" spans="1:15" ht="12.75" customHeight="1" x14ac:dyDescent="0.25">
      <c r="A144" s="306"/>
      <c r="B144" s="358"/>
      <c r="C144" s="359"/>
      <c r="D144" s="364"/>
      <c r="E144" s="365"/>
      <c r="F144" s="366"/>
      <c r="G144" s="367" t="s">
        <v>533</v>
      </c>
      <c r="H144" s="361"/>
      <c r="I144" s="362"/>
      <c r="J144" s="363"/>
      <c r="K144" s="363"/>
      <c r="L144" s="363"/>
      <c r="M144" s="363"/>
      <c r="N144" s="363"/>
      <c r="O144" s="363"/>
    </row>
    <row r="145" spans="1:15" ht="12.75" customHeight="1" x14ac:dyDescent="0.25">
      <c r="A145" s="368">
        <v>601011</v>
      </c>
      <c r="B145" s="359" t="str">
        <f>G143</f>
        <v>Broodjes, bloemen ed</v>
      </c>
      <c r="C145" s="359"/>
      <c r="D145" s="369">
        <v>43812</v>
      </c>
      <c r="E145" s="370"/>
      <c r="F145" s="369"/>
      <c r="G145" s="371" t="s">
        <v>549</v>
      </c>
      <c r="H145" s="361"/>
      <c r="I145" s="372"/>
      <c r="J145" s="372">
        <v>23541</v>
      </c>
      <c r="K145" s="372">
        <v>24153</v>
      </c>
      <c r="L145" s="372">
        <f t="shared" ref="L145:M145" si="68">+L397</f>
        <v>24660</v>
      </c>
      <c r="M145" s="372">
        <f t="shared" si="68"/>
        <v>25227</v>
      </c>
      <c r="N145" s="372">
        <f t="shared" ref="N145:O145" si="69">+N397</f>
        <v>25807</v>
      </c>
      <c r="O145" s="372">
        <f t="shared" si="69"/>
        <v>26401</v>
      </c>
    </row>
    <row r="146" spans="1:15" ht="12.75" customHeight="1" thickBot="1" x14ac:dyDescent="0.3">
      <c r="A146" s="306"/>
      <c r="B146" s="358"/>
      <c r="C146" s="359"/>
      <c r="D146" s="373"/>
      <c r="E146" s="374"/>
      <c r="F146" s="373"/>
      <c r="G146" s="375" t="s">
        <v>536</v>
      </c>
      <c r="H146" s="361"/>
      <c r="I146" s="372"/>
      <c r="J146" s="376">
        <v>23541</v>
      </c>
      <c r="K146" s="376">
        <v>24153</v>
      </c>
      <c r="L146" s="376">
        <f>SUM(L145)</f>
        <v>24660</v>
      </c>
      <c r="M146" s="376">
        <f>SUM(M145)</f>
        <v>25227</v>
      </c>
      <c r="N146" s="376">
        <f>SUM(N145)</f>
        <v>25807</v>
      </c>
      <c r="O146" s="376">
        <f>SUM(O145)</f>
        <v>26401</v>
      </c>
    </row>
    <row r="147" spans="1:15" ht="12.75" customHeight="1" thickTop="1" x14ac:dyDescent="0.25">
      <c r="A147" s="336"/>
      <c r="B147" s="115"/>
      <c r="C147" s="359"/>
      <c r="D147" s="377"/>
      <c r="E147" s="378"/>
      <c r="F147" s="378"/>
      <c r="G147" s="371"/>
      <c r="H147" s="359"/>
      <c r="I147" s="379"/>
      <c r="J147" s="380"/>
      <c r="K147" s="380"/>
      <c r="L147" s="380"/>
      <c r="M147" s="380"/>
      <c r="N147" s="380"/>
      <c r="O147" s="380"/>
    </row>
    <row r="148" spans="1:15" ht="12.75" customHeight="1" x14ac:dyDescent="0.25">
      <c r="A148" s="336"/>
      <c r="B148" s="115"/>
      <c r="C148" s="115"/>
      <c r="D148" s="333">
        <v>601901</v>
      </c>
      <c r="E148" s="330"/>
      <c r="F148" s="330"/>
      <c r="G148" s="332" t="s">
        <v>550</v>
      </c>
      <c r="H148" s="115"/>
      <c r="I148" s="316"/>
      <c r="J148" s="318"/>
      <c r="K148" s="318"/>
      <c r="L148" s="318"/>
      <c r="M148" s="318"/>
      <c r="N148" s="318"/>
      <c r="O148" s="318"/>
    </row>
    <row r="149" spans="1:15" ht="12.75" customHeight="1" x14ac:dyDescent="0.25">
      <c r="A149" s="336"/>
      <c r="B149" s="115"/>
      <c r="C149" s="115"/>
      <c r="D149" s="333"/>
      <c r="E149" s="330"/>
      <c r="F149" s="330"/>
      <c r="G149" s="334" t="s">
        <v>533</v>
      </c>
      <c r="H149" s="115"/>
      <c r="I149" s="316"/>
      <c r="J149" s="318"/>
      <c r="K149" s="318"/>
      <c r="L149" s="318"/>
      <c r="M149" s="318"/>
      <c r="N149" s="318"/>
      <c r="O149" s="318"/>
    </row>
    <row r="150" spans="1:15" ht="12.75" customHeight="1" x14ac:dyDescent="0.25">
      <c r="A150" s="336">
        <f>+D148</f>
        <v>601901</v>
      </c>
      <c r="B150" s="115" t="str">
        <f>+G148</f>
        <v>Directe toerekening college</v>
      </c>
      <c r="C150" s="115"/>
      <c r="D150" s="340">
        <v>41000</v>
      </c>
      <c r="E150" s="341"/>
      <c r="F150" s="341"/>
      <c r="G150" s="319" t="s">
        <v>541</v>
      </c>
      <c r="H150" s="115"/>
      <c r="I150" s="316"/>
      <c r="J150" s="318">
        <v>0</v>
      </c>
      <c r="K150" s="318">
        <v>0</v>
      </c>
      <c r="L150" s="318">
        <v>0</v>
      </c>
      <c r="M150" s="318">
        <v>0</v>
      </c>
      <c r="N150" s="318">
        <v>0</v>
      </c>
      <c r="O150" s="318">
        <v>0</v>
      </c>
    </row>
    <row r="151" spans="1:15" ht="12.75" customHeight="1" thickBot="1" x14ac:dyDescent="0.3">
      <c r="A151" s="336"/>
      <c r="B151" s="115"/>
      <c r="C151" s="115"/>
      <c r="D151" s="340"/>
      <c r="E151" s="341"/>
      <c r="F151" s="341"/>
      <c r="G151" s="319"/>
      <c r="H151" s="115"/>
      <c r="I151" s="316"/>
      <c r="J151" s="342">
        <v>0</v>
      </c>
      <c r="K151" s="342">
        <v>0</v>
      </c>
      <c r="L151" s="342">
        <f>SUM(L149:L150)</f>
        <v>0</v>
      </c>
      <c r="M151" s="342">
        <f>SUM(M149:M150)</f>
        <v>0</v>
      </c>
      <c r="N151" s="342">
        <f>SUM(N149:N150)</f>
        <v>0</v>
      </c>
      <c r="O151" s="342">
        <f>SUM(O149:O150)</f>
        <v>0</v>
      </c>
    </row>
    <row r="152" spans="1:15" ht="12.75" customHeight="1" thickTop="1" x14ac:dyDescent="0.25">
      <c r="A152" s="336"/>
      <c r="B152" s="115"/>
      <c r="C152" s="115"/>
      <c r="D152" s="340"/>
      <c r="E152" s="341"/>
      <c r="F152" s="341"/>
      <c r="G152" s="319"/>
      <c r="H152" s="115"/>
      <c r="I152" s="316"/>
      <c r="J152" s="318"/>
      <c r="K152" s="318"/>
      <c r="L152" s="318"/>
      <c r="M152" s="318"/>
      <c r="N152" s="318"/>
      <c r="O152" s="318"/>
    </row>
    <row r="153" spans="1:15" ht="12.75" customHeight="1" x14ac:dyDescent="0.25">
      <c r="A153" s="336"/>
      <c r="B153" s="115"/>
      <c r="C153" s="115"/>
      <c r="D153" s="4">
        <v>601010</v>
      </c>
      <c r="E153" s="5"/>
      <c r="F153" s="6"/>
      <c r="G153" s="381" t="s">
        <v>551</v>
      </c>
      <c r="H153" s="115"/>
      <c r="I153" s="115"/>
      <c r="J153" s="335"/>
      <c r="K153" s="335"/>
      <c r="L153" s="335"/>
      <c r="M153" s="335"/>
      <c r="N153" s="335"/>
      <c r="O153" s="335"/>
    </row>
    <row r="154" spans="1:15" ht="12.75" customHeight="1" x14ac:dyDescent="0.25">
      <c r="A154" s="336"/>
      <c r="B154" s="115"/>
      <c r="C154" s="115"/>
      <c r="D154" s="333"/>
      <c r="E154" s="382"/>
      <c r="F154" s="331"/>
      <c r="G154" s="383" t="s">
        <v>533</v>
      </c>
      <c r="H154" s="115"/>
      <c r="I154" s="115"/>
      <c r="J154" s="335"/>
      <c r="K154" s="335"/>
      <c r="L154" s="335"/>
      <c r="M154" s="335"/>
      <c r="N154" s="335"/>
      <c r="O154" s="335"/>
    </row>
    <row r="155" spans="1:15" ht="12.75" customHeight="1" x14ac:dyDescent="0.25">
      <c r="A155" s="336">
        <f>+D153</f>
        <v>601010</v>
      </c>
      <c r="B155" s="115" t="str">
        <f>+G153</f>
        <v>Representatie</v>
      </c>
      <c r="C155" s="115"/>
      <c r="D155" s="337">
        <v>43812</v>
      </c>
      <c r="E155" s="143"/>
      <c r="F155" s="343"/>
      <c r="G155" s="339" t="s">
        <v>535</v>
      </c>
      <c r="H155" s="115"/>
      <c r="I155" s="115"/>
      <c r="J155" s="317">
        <v>30906</v>
      </c>
      <c r="K155" s="317">
        <v>31708</v>
      </c>
      <c r="L155" s="317">
        <f>L387</f>
        <v>32375</v>
      </c>
      <c r="M155" s="317">
        <f>M387</f>
        <v>33120</v>
      </c>
      <c r="N155" s="317">
        <f>N387</f>
        <v>33883</v>
      </c>
      <c r="O155" s="317">
        <f>O387</f>
        <v>34664</v>
      </c>
    </row>
    <row r="156" spans="1:15" ht="12.75" customHeight="1" x14ac:dyDescent="0.25">
      <c r="A156" s="336">
        <f>+D153</f>
        <v>601010</v>
      </c>
      <c r="B156" s="115" t="s">
        <v>551</v>
      </c>
      <c r="C156" s="115"/>
      <c r="D156" s="337">
        <v>44380</v>
      </c>
      <c r="E156" s="143"/>
      <c r="F156" s="337"/>
      <c r="G156" s="114" t="s">
        <v>552</v>
      </c>
      <c r="H156" s="115"/>
      <c r="I156" s="115"/>
      <c r="J156" s="317">
        <v>3907</v>
      </c>
      <c r="K156" s="317">
        <v>4009</v>
      </c>
      <c r="L156" s="317">
        <f>L390</f>
        <v>4093</v>
      </c>
      <c r="M156" s="317">
        <f>M390</f>
        <v>4187</v>
      </c>
      <c r="N156" s="317">
        <f>N390</f>
        <v>4283</v>
      </c>
      <c r="O156" s="317">
        <f>O390</f>
        <v>4382</v>
      </c>
    </row>
    <row r="157" spans="1:15" ht="12.75" customHeight="1" thickBot="1" x14ac:dyDescent="0.3">
      <c r="A157" s="336"/>
      <c r="B157" s="115"/>
      <c r="C157" s="115"/>
      <c r="D157" s="340"/>
      <c r="E157" s="384"/>
      <c r="F157" s="340"/>
      <c r="G157" s="115" t="s">
        <v>536</v>
      </c>
      <c r="H157" s="115"/>
      <c r="I157" s="115"/>
      <c r="J157" s="342">
        <v>34813</v>
      </c>
      <c r="K157" s="342">
        <v>35717</v>
      </c>
      <c r="L157" s="342">
        <f>SUM(L155:L156)</f>
        <v>36468</v>
      </c>
      <c r="M157" s="342">
        <f>SUM(M155:M156)</f>
        <v>37307</v>
      </c>
      <c r="N157" s="342">
        <f>SUM(N155:N156)</f>
        <v>38166</v>
      </c>
      <c r="O157" s="342">
        <f>SUM(O155:O156)</f>
        <v>39046</v>
      </c>
    </row>
    <row r="158" spans="1:15" ht="12.75" customHeight="1" thickTop="1" x14ac:dyDescent="0.25">
      <c r="A158" s="336"/>
      <c r="B158" s="115"/>
      <c r="C158" s="115"/>
      <c r="D158" s="340"/>
      <c r="E158" s="341"/>
      <c r="F158" s="341"/>
      <c r="G158" s="319"/>
      <c r="H158" s="115"/>
      <c r="I158" s="316"/>
      <c r="J158" s="318"/>
      <c r="K158" s="318"/>
      <c r="L158" s="318"/>
      <c r="M158" s="318"/>
      <c r="N158" s="318"/>
      <c r="O158" s="318"/>
    </row>
    <row r="159" spans="1:15" ht="12.75" customHeight="1" x14ac:dyDescent="0.25">
      <c r="A159" s="336"/>
      <c r="B159" s="115"/>
      <c r="C159" s="115"/>
      <c r="D159" s="333">
        <v>601007</v>
      </c>
      <c r="E159" s="330"/>
      <c r="F159" s="330"/>
      <c r="G159" s="332" t="s">
        <v>553</v>
      </c>
      <c r="H159" s="115"/>
      <c r="I159" s="316"/>
      <c r="J159" s="335"/>
      <c r="K159" s="335"/>
      <c r="L159" s="335"/>
      <c r="M159" s="335"/>
      <c r="N159" s="335"/>
      <c r="O159" s="335"/>
    </row>
    <row r="160" spans="1:15" ht="12.75" customHeight="1" x14ac:dyDescent="0.25">
      <c r="A160" s="336"/>
      <c r="B160" s="115"/>
      <c r="C160" s="115"/>
      <c r="D160" s="340"/>
      <c r="E160" s="341"/>
      <c r="F160" s="341"/>
      <c r="G160" s="334" t="s">
        <v>554</v>
      </c>
      <c r="H160" s="115"/>
      <c r="I160" s="316"/>
      <c r="J160" s="335"/>
      <c r="K160" s="335"/>
      <c r="L160" s="335"/>
      <c r="M160" s="335"/>
      <c r="N160" s="335"/>
      <c r="O160" s="335"/>
    </row>
    <row r="161" spans="1:15" ht="12.75" customHeight="1" x14ac:dyDescent="0.25">
      <c r="A161" s="336">
        <f>+D159</f>
        <v>601007</v>
      </c>
      <c r="B161" s="115" t="str">
        <f>+G159</f>
        <v>Gewezen bestuurders</v>
      </c>
      <c r="C161" s="115"/>
      <c r="D161" s="337">
        <v>83800</v>
      </c>
      <c r="E161" s="343"/>
      <c r="F161" s="343"/>
      <c r="G161" s="319" t="s">
        <v>555</v>
      </c>
      <c r="H161" s="115"/>
      <c r="I161" s="316"/>
      <c r="J161" s="317">
        <v>-88189</v>
      </c>
      <c r="K161" s="317">
        <v>-117492</v>
      </c>
      <c r="L161" s="317">
        <f>+L337</f>
        <v>-119842</v>
      </c>
      <c r="M161" s="317">
        <f>+M337</f>
        <v>-50933</v>
      </c>
      <c r="N161" s="317">
        <f>+N337</f>
        <v>0</v>
      </c>
      <c r="O161" s="317">
        <f>+O337</f>
        <v>0</v>
      </c>
    </row>
    <row r="162" spans="1:15" ht="12.75" customHeight="1" thickBot="1" x14ac:dyDescent="0.3">
      <c r="A162" s="336"/>
      <c r="B162" s="115"/>
      <c r="C162" s="115"/>
      <c r="D162" s="340"/>
      <c r="E162" s="341"/>
      <c r="F162" s="341"/>
      <c r="G162" s="319" t="s">
        <v>536</v>
      </c>
      <c r="H162" s="115"/>
      <c r="I162" s="316"/>
      <c r="J162" s="342">
        <v>-88189</v>
      </c>
      <c r="K162" s="342">
        <v>-117492</v>
      </c>
      <c r="L162" s="342">
        <f>SUM(L161)</f>
        <v>-119842</v>
      </c>
      <c r="M162" s="342">
        <f>SUM(M161)</f>
        <v>-50933</v>
      </c>
      <c r="N162" s="342">
        <f>SUM(N161)</f>
        <v>0</v>
      </c>
      <c r="O162" s="342">
        <f>SUM(O161)</f>
        <v>0</v>
      </c>
    </row>
    <row r="163" spans="1:15" ht="12.75" customHeight="1" thickTop="1" x14ac:dyDescent="0.25">
      <c r="A163" s="336"/>
      <c r="B163" s="115"/>
      <c r="C163" s="115"/>
      <c r="D163" s="340"/>
      <c r="E163" s="341"/>
      <c r="F163" s="341"/>
      <c r="G163" s="319"/>
      <c r="H163" s="115"/>
      <c r="I163" s="316"/>
      <c r="J163" s="318"/>
      <c r="K163" s="318"/>
      <c r="L163" s="318"/>
      <c r="M163" s="318"/>
      <c r="N163" s="318"/>
      <c r="O163" s="318"/>
    </row>
    <row r="164" spans="1:15" ht="12.75" customHeight="1" x14ac:dyDescent="0.25">
      <c r="A164" s="336"/>
      <c r="B164" s="115"/>
      <c r="C164" s="115"/>
      <c r="D164" s="333">
        <v>601007</v>
      </c>
      <c r="E164" s="330"/>
      <c r="F164" s="330"/>
      <c r="G164" s="332" t="s">
        <v>553</v>
      </c>
      <c r="H164" s="115"/>
      <c r="I164" s="316"/>
      <c r="J164" s="335"/>
      <c r="K164" s="335"/>
      <c r="L164" s="335"/>
      <c r="M164" s="335"/>
      <c r="N164" s="335"/>
      <c r="O164" s="335"/>
    </row>
    <row r="165" spans="1:15" ht="12.75" customHeight="1" x14ac:dyDescent="0.25">
      <c r="A165" s="336"/>
      <c r="B165" s="115"/>
      <c r="C165" s="115"/>
      <c r="D165" s="340"/>
      <c r="E165" s="341"/>
      <c r="F165" s="341"/>
      <c r="G165" s="334" t="s">
        <v>554</v>
      </c>
      <c r="H165" s="115"/>
      <c r="I165" s="316"/>
      <c r="J165" s="335"/>
      <c r="K165" s="335"/>
      <c r="L165" s="335"/>
      <c r="M165" s="335"/>
      <c r="N165" s="335"/>
      <c r="O165" s="335"/>
    </row>
    <row r="166" spans="1:15" ht="12.75" customHeight="1" x14ac:dyDescent="0.25">
      <c r="A166" s="336">
        <f>+D164</f>
        <v>601007</v>
      </c>
      <c r="B166" s="115" t="str">
        <f>+G164</f>
        <v>Gewezen bestuurders</v>
      </c>
      <c r="C166" s="115"/>
      <c r="D166" s="337">
        <v>83800</v>
      </c>
      <c r="E166" s="343"/>
      <c r="F166" s="343"/>
      <c r="G166" s="319" t="s">
        <v>555</v>
      </c>
      <c r="H166" s="115"/>
      <c r="I166" s="316"/>
      <c r="J166" s="317">
        <v>-171730</v>
      </c>
      <c r="K166" s="317">
        <v>-178593</v>
      </c>
      <c r="L166" s="317">
        <f>+L345</f>
        <v>-189339</v>
      </c>
      <c r="M166" s="317">
        <f>+M345</f>
        <v>-195577</v>
      </c>
      <c r="N166" s="317">
        <f>+N345</f>
        <v>-199488</v>
      </c>
      <c r="O166" s="317">
        <f>+O345</f>
        <v>0</v>
      </c>
    </row>
    <row r="167" spans="1:15" ht="12.75" customHeight="1" thickBot="1" x14ac:dyDescent="0.3">
      <c r="A167" s="336"/>
      <c r="B167" s="115"/>
      <c r="C167" s="115"/>
      <c r="D167" s="340"/>
      <c r="E167" s="341"/>
      <c r="F167" s="341"/>
      <c r="G167" s="319" t="s">
        <v>536</v>
      </c>
      <c r="H167" s="115"/>
      <c r="I167" s="316"/>
      <c r="J167" s="342">
        <v>-171730</v>
      </c>
      <c r="K167" s="342">
        <v>-178593</v>
      </c>
      <c r="L167" s="342">
        <f>SUM(L166)</f>
        <v>-189339</v>
      </c>
      <c r="M167" s="342">
        <f>SUM(M166)</f>
        <v>-195577</v>
      </c>
      <c r="N167" s="342">
        <f>SUM(N166)</f>
        <v>-199488</v>
      </c>
      <c r="O167" s="342">
        <f>SUM(O166)</f>
        <v>0</v>
      </c>
    </row>
    <row r="168" spans="1:15" ht="12.75" customHeight="1" thickTop="1" x14ac:dyDescent="0.25">
      <c r="A168" s="336"/>
      <c r="B168" s="115"/>
      <c r="C168" s="115"/>
      <c r="D168" s="340"/>
      <c r="E168" s="341"/>
      <c r="F168" s="341"/>
      <c r="G168" s="319"/>
      <c r="H168" s="115"/>
      <c r="I168" s="316"/>
      <c r="J168" s="317"/>
      <c r="K168" s="317"/>
      <c r="L168" s="317"/>
      <c r="M168" s="317"/>
      <c r="N168" s="317"/>
      <c r="O168" s="317"/>
    </row>
    <row r="169" spans="1:15" ht="12.75" customHeight="1" x14ac:dyDescent="0.25">
      <c r="A169" s="306"/>
      <c r="B169" s="115"/>
      <c r="C169" s="115"/>
      <c r="D169" s="333">
        <v>601012</v>
      </c>
      <c r="E169" s="330"/>
      <c r="F169" s="385"/>
      <c r="G169" s="332" t="s">
        <v>516</v>
      </c>
      <c r="H169" s="115"/>
      <c r="I169" s="316"/>
      <c r="J169" s="335"/>
      <c r="K169" s="335"/>
      <c r="L169" s="335"/>
      <c r="M169" s="335"/>
      <c r="N169" s="335"/>
      <c r="O169" s="335"/>
    </row>
    <row r="170" spans="1:15" ht="12.75" customHeight="1" x14ac:dyDescent="0.25">
      <c r="A170" s="306"/>
      <c r="B170" s="115"/>
      <c r="C170" s="115"/>
      <c r="D170" s="386"/>
      <c r="E170" s="330"/>
      <c r="F170" s="331"/>
      <c r="G170" s="334" t="s">
        <v>533</v>
      </c>
      <c r="H170" s="115"/>
      <c r="I170" s="316"/>
      <c r="J170" s="335"/>
      <c r="K170" s="335"/>
      <c r="L170" s="335"/>
      <c r="M170" s="335"/>
      <c r="N170" s="335"/>
      <c r="O170" s="335"/>
    </row>
    <row r="171" spans="1:15" ht="12.75" customHeight="1" x14ac:dyDescent="0.25">
      <c r="A171" s="336">
        <f>+D169</f>
        <v>601012</v>
      </c>
      <c r="B171" s="115" t="s">
        <v>516</v>
      </c>
      <c r="C171" s="115"/>
      <c r="D171" s="337">
        <v>44330</v>
      </c>
      <c r="E171" s="343"/>
      <c r="F171" s="337"/>
      <c r="G171" s="319" t="s">
        <v>556</v>
      </c>
      <c r="H171" s="115"/>
      <c r="I171" s="316"/>
      <c r="J171" s="317">
        <v>306624</v>
      </c>
      <c r="K171" s="317">
        <v>321495</v>
      </c>
      <c r="L171" s="317">
        <f>L432</f>
        <v>339457</v>
      </c>
      <c r="M171" s="317">
        <f>M432</f>
        <v>354094</v>
      </c>
      <c r="N171" s="317">
        <f t="shared" ref="N171:O171" si="70">N432</f>
        <v>372394.65599999996</v>
      </c>
      <c r="O171" s="317">
        <f t="shared" si="70"/>
        <v>385904.18200000003</v>
      </c>
    </row>
    <row r="172" spans="1:15" ht="12.75" customHeight="1" thickBot="1" x14ac:dyDescent="0.3">
      <c r="A172" s="336"/>
      <c r="B172" s="115"/>
      <c r="C172" s="115"/>
      <c r="D172" s="387"/>
      <c r="E172" s="341"/>
      <c r="F172" s="340"/>
      <c r="G172" s="319" t="s">
        <v>536</v>
      </c>
      <c r="H172" s="115"/>
      <c r="I172" s="316"/>
      <c r="J172" s="342">
        <v>306624</v>
      </c>
      <c r="K172" s="342">
        <v>321495</v>
      </c>
      <c r="L172" s="342">
        <f t="shared" ref="L172:M172" si="71">SUM(L171)</f>
        <v>339457</v>
      </c>
      <c r="M172" s="342">
        <f t="shared" si="71"/>
        <v>354094</v>
      </c>
      <c r="N172" s="342">
        <f t="shared" ref="N172:O172" si="72">SUM(N171)</f>
        <v>372394.65599999996</v>
      </c>
      <c r="O172" s="342">
        <f t="shared" si="72"/>
        <v>385904.18200000003</v>
      </c>
    </row>
    <row r="173" spans="1:15" ht="12.75" customHeight="1" thickTop="1" x14ac:dyDescent="0.25">
      <c r="A173" s="336"/>
      <c r="B173" s="115"/>
      <c r="C173" s="115"/>
      <c r="D173" s="387"/>
      <c r="E173" s="341"/>
      <c r="F173" s="340"/>
      <c r="G173" s="319"/>
      <c r="H173" s="115"/>
      <c r="I173" s="316"/>
      <c r="J173" s="344"/>
      <c r="K173" s="344"/>
      <c r="L173" s="344"/>
      <c r="M173" s="344"/>
      <c r="N173" s="344"/>
      <c r="O173" s="344"/>
    </row>
    <row r="174" spans="1:15" ht="12.75" customHeight="1" x14ac:dyDescent="0.25">
      <c r="A174" s="336"/>
      <c r="B174" s="115"/>
      <c r="C174" s="115"/>
      <c r="D174" s="333">
        <v>601013</v>
      </c>
      <c r="E174" s="330"/>
      <c r="F174" s="331"/>
      <c r="G174" s="332" t="s">
        <v>517</v>
      </c>
      <c r="H174" s="115"/>
      <c r="I174" s="316"/>
      <c r="J174" s="317"/>
      <c r="K174" s="317"/>
      <c r="L174" s="317"/>
      <c r="M174" s="317"/>
      <c r="N174" s="317"/>
      <c r="O174" s="317"/>
    </row>
    <row r="175" spans="1:15" ht="12.75" customHeight="1" x14ac:dyDescent="0.25">
      <c r="A175" s="336"/>
      <c r="B175" s="115"/>
      <c r="C175" s="115"/>
      <c r="D175" s="387"/>
      <c r="E175" s="341"/>
      <c r="F175" s="340"/>
      <c r="G175" s="334" t="s">
        <v>533</v>
      </c>
      <c r="H175" s="115"/>
      <c r="I175" s="316"/>
      <c r="J175" s="317"/>
      <c r="K175" s="317"/>
      <c r="L175" s="317"/>
      <c r="M175" s="317"/>
      <c r="N175" s="317"/>
      <c r="O175" s="317"/>
    </row>
    <row r="176" spans="1:15" ht="12.75" customHeight="1" x14ac:dyDescent="0.25">
      <c r="A176" s="336">
        <f>+D174</f>
        <v>601013</v>
      </c>
      <c r="B176" s="115" t="s">
        <v>517</v>
      </c>
      <c r="C176" s="115"/>
      <c r="D176" s="337">
        <v>44330</v>
      </c>
      <c r="E176" s="343"/>
      <c r="F176" s="337"/>
      <c r="G176" s="319" t="s">
        <v>557</v>
      </c>
      <c r="H176" s="115"/>
      <c r="I176" s="316"/>
      <c r="J176" s="317">
        <v>78557</v>
      </c>
      <c r="K176" s="317">
        <v>79636</v>
      </c>
      <c r="L176" s="317">
        <f>L442</f>
        <v>84274</v>
      </c>
      <c r="M176" s="317">
        <f>M442</f>
        <v>87272.28</v>
      </c>
      <c r="N176" s="317">
        <f t="shared" ref="N176:O176" si="73">N442</f>
        <v>92279.142000000007</v>
      </c>
      <c r="O176" s="317">
        <f t="shared" si="73"/>
        <v>95696.887999999992</v>
      </c>
    </row>
    <row r="177" spans="1:15" ht="12.75" customHeight="1" thickBot="1" x14ac:dyDescent="0.3">
      <c r="A177" s="336"/>
      <c r="B177" s="115"/>
      <c r="C177" s="115"/>
      <c r="D177" s="387"/>
      <c r="E177" s="341"/>
      <c r="F177" s="340"/>
      <c r="G177" s="319" t="s">
        <v>536</v>
      </c>
      <c r="H177" s="115"/>
      <c r="I177" s="316"/>
      <c r="J177" s="228">
        <v>78557</v>
      </c>
      <c r="K177" s="228">
        <v>79636</v>
      </c>
      <c r="L177" s="228">
        <f t="shared" ref="L177:M177" si="74">SUM(L176)</f>
        <v>84274</v>
      </c>
      <c r="M177" s="228">
        <f t="shared" si="74"/>
        <v>87272.28</v>
      </c>
      <c r="N177" s="228">
        <f t="shared" ref="N177:O177" si="75">SUM(N176)</f>
        <v>92279.142000000007</v>
      </c>
      <c r="O177" s="228">
        <f t="shared" si="75"/>
        <v>95696.887999999992</v>
      </c>
    </row>
    <row r="178" spans="1:15" ht="12.75" customHeight="1" thickTop="1" x14ac:dyDescent="0.25">
      <c r="A178" s="336"/>
      <c r="B178" s="115"/>
      <c r="C178" s="115"/>
      <c r="D178" s="387"/>
      <c r="E178" s="341"/>
      <c r="F178" s="340"/>
      <c r="G178" s="319"/>
      <c r="H178" s="115"/>
      <c r="I178" s="316"/>
      <c r="J178" s="317"/>
      <c r="K178" s="317"/>
      <c r="L178" s="317"/>
      <c r="M178" s="317"/>
      <c r="N178" s="317"/>
      <c r="O178" s="317"/>
    </row>
    <row r="179" spans="1:15" ht="12.75" customHeight="1" x14ac:dyDescent="0.25">
      <c r="A179" s="336"/>
      <c r="B179" s="115"/>
      <c r="C179" s="115"/>
      <c r="D179" s="333">
        <v>601014</v>
      </c>
      <c r="E179" s="330"/>
      <c r="F179" s="331"/>
      <c r="G179" s="332" t="s">
        <v>518</v>
      </c>
      <c r="H179" s="115"/>
      <c r="I179" s="316"/>
      <c r="J179" s="317"/>
      <c r="K179" s="317"/>
      <c r="L179" s="317"/>
      <c r="M179" s="317"/>
      <c r="N179" s="317"/>
      <c r="O179" s="317"/>
    </row>
    <row r="180" spans="1:15" ht="12.75" customHeight="1" x14ac:dyDescent="0.25">
      <c r="A180" s="336"/>
      <c r="B180" s="115"/>
      <c r="C180" s="115"/>
      <c r="D180" s="387"/>
      <c r="E180" s="341"/>
      <c r="F180" s="340"/>
      <c r="G180" s="334" t="s">
        <v>533</v>
      </c>
      <c r="H180" s="115"/>
      <c r="I180" s="316"/>
      <c r="J180" s="317"/>
      <c r="K180" s="317"/>
      <c r="L180" s="317"/>
      <c r="M180" s="317"/>
      <c r="N180" s="317"/>
      <c r="O180" s="317"/>
    </row>
    <row r="181" spans="1:15" ht="12.75" customHeight="1" x14ac:dyDescent="0.25">
      <c r="A181" s="336">
        <f>+D179</f>
        <v>601014</v>
      </c>
      <c r="B181" s="115" t="s">
        <v>518</v>
      </c>
      <c r="C181" s="115"/>
      <c r="D181" s="337">
        <v>44360</v>
      </c>
      <c r="E181" s="343"/>
      <c r="F181" s="337"/>
      <c r="G181" s="319" t="s">
        <v>558</v>
      </c>
      <c r="H181" s="115"/>
      <c r="I181" s="316"/>
      <c r="J181" s="142">
        <v>29281</v>
      </c>
      <c r="K181" s="142">
        <v>29867</v>
      </c>
      <c r="L181" s="142">
        <f>L460</f>
        <v>31121</v>
      </c>
      <c r="M181" s="142">
        <f>M460</f>
        <v>32272</v>
      </c>
      <c r="N181" s="142">
        <f t="shared" ref="N181:O181" si="76">N460</f>
        <v>33466</v>
      </c>
      <c r="O181" s="142">
        <f t="shared" si="76"/>
        <v>34704</v>
      </c>
    </row>
    <row r="182" spans="1:15" ht="12.75" customHeight="1" thickBot="1" x14ac:dyDescent="0.3">
      <c r="A182" s="336"/>
      <c r="B182" s="115"/>
      <c r="C182" s="115"/>
      <c r="D182" s="387"/>
      <c r="E182" s="341"/>
      <c r="F182" s="340"/>
      <c r="G182" s="319" t="s">
        <v>536</v>
      </c>
      <c r="H182" s="115"/>
      <c r="I182" s="316"/>
      <c r="J182" s="342">
        <v>29281</v>
      </c>
      <c r="K182" s="342">
        <v>29867</v>
      </c>
      <c r="L182" s="342">
        <f t="shared" ref="L182:M182" si="77">SUM(L181)</f>
        <v>31121</v>
      </c>
      <c r="M182" s="342">
        <f t="shared" si="77"/>
        <v>32272</v>
      </c>
      <c r="N182" s="342">
        <f t="shared" ref="N182:O182" si="78">SUM(N181)</f>
        <v>33466</v>
      </c>
      <c r="O182" s="342">
        <f t="shared" si="78"/>
        <v>34704</v>
      </c>
    </row>
    <row r="183" spans="1:15" ht="12.75" customHeight="1" thickTop="1" x14ac:dyDescent="0.25">
      <c r="A183" s="336"/>
      <c r="B183" s="115"/>
      <c r="C183" s="115"/>
      <c r="D183" s="387"/>
      <c r="E183" s="341"/>
      <c r="F183" s="340"/>
      <c r="G183" s="319"/>
      <c r="H183" s="115"/>
      <c r="I183" s="316"/>
      <c r="J183" s="344"/>
      <c r="K183" s="344"/>
      <c r="L183" s="344"/>
      <c r="M183" s="344"/>
      <c r="N183" s="344"/>
      <c r="O183" s="344"/>
    </row>
    <row r="184" spans="1:15" ht="12.75" customHeight="1" x14ac:dyDescent="0.25">
      <c r="A184" s="336"/>
      <c r="B184" s="115"/>
      <c r="C184" s="115"/>
      <c r="D184" s="387"/>
      <c r="E184" s="341"/>
      <c r="F184" s="340"/>
      <c r="G184" s="319"/>
      <c r="H184" s="115"/>
      <c r="I184" s="316"/>
      <c r="J184" s="317"/>
      <c r="K184" s="317"/>
      <c r="L184" s="317"/>
      <c r="M184" s="317"/>
      <c r="N184" s="317"/>
      <c r="O184" s="317"/>
    </row>
    <row r="185" spans="1:15" ht="12.75" customHeight="1" x14ac:dyDescent="0.25">
      <c r="A185" s="336"/>
      <c r="B185" s="115"/>
      <c r="C185" s="115"/>
      <c r="D185" s="333">
        <v>601016</v>
      </c>
      <c r="E185" s="330"/>
      <c r="F185" s="331"/>
      <c r="G185" s="332" t="s">
        <v>519</v>
      </c>
      <c r="H185" s="115"/>
      <c r="I185" s="316"/>
      <c r="J185" s="317"/>
      <c r="K185" s="317"/>
      <c r="L185" s="317"/>
      <c r="M185" s="317"/>
      <c r="N185" s="317"/>
      <c r="O185" s="317"/>
    </row>
    <row r="186" spans="1:15" ht="12.75" customHeight="1" x14ac:dyDescent="0.25">
      <c r="A186" s="336"/>
      <c r="B186" s="115"/>
      <c r="C186" s="115"/>
      <c r="D186" s="387"/>
      <c r="E186" s="341"/>
      <c r="F186" s="340"/>
      <c r="G186" s="334" t="s">
        <v>533</v>
      </c>
      <c r="H186" s="115"/>
      <c r="I186" s="316"/>
      <c r="J186" s="317"/>
      <c r="K186" s="317"/>
      <c r="L186" s="317"/>
      <c r="M186" s="317"/>
      <c r="N186" s="317"/>
      <c r="O186" s="317"/>
    </row>
    <row r="187" spans="1:15" ht="12.75" customHeight="1" x14ac:dyDescent="0.25">
      <c r="A187" s="336">
        <f>+D185</f>
        <v>601016</v>
      </c>
      <c r="B187" s="115" t="s">
        <v>519</v>
      </c>
      <c r="C187" s="115"/>
      <c r="D187" s="337">
        <v>44360</v>
      </c>
      <c r="E187" s="343"/>
      <c r="F187" s="337"/>
      <c r="G187" s="319" t="s">
        <v>558</v>
      </c>
      <c r="H187" s="115"/>
      <c r="I187" s="316"/>
      <c r="J187" s="317">
        <v>26628</v>
      </c>
      <c r="K187" s="317">
        <v>27321</v>
      </c>
      <c r="L187" s="317">
        <f>L478</f>
        <v>27895</v>
      </c>
      <c r="M187" s="317">
        <f>M478</f>
        <v>28537</v>
      </c>
      <c r="N187" s="317">
        <f t="shared" ref="N187:O187" si="79">N478</f>
        <v>29193</v>
      </c>
      <c r="O187" s="317">
        <f t="shared" si="79"/>
        <v>29864</v>
      </c>
    </row>
    <row r="188" spans="1:15" ht="12.75" customHeight="1" thickBot="1" x14ac:dyDescent="0.3">
      <c r="A188" s="336"/>
      <c r="B188" s="115"/>
      <c r="C188" s="115"/>
      <c r="D188" s="387"/>
      <c r="E188" s="341"/>
      <c r="F188" s="340"/>
      <c r="G188" s="319" t="s">
        <v>536</v>
      </c>
      <c r="H188" s="115"/>
      <c r="I188" s="316"/>
      <c r="J188" s="342">
        <v>26628</v>
      </c>
      <c r="K188" s="342">
        <v>27321</v>
      </c>
      <c r="L188" s="342">
        <f t="shared" ref="L188:M188" si="80">SUM(L187)</f>
        <v>27895</v>
      </c>
      <c r="M188" s="342">
        <f t="shared" si="80"/>
        <v>28537</v>
      </c>
      <c r="N188" s="342">
        <f t="shared" ref="N188:O188" si="81">SUM(N187)</f>
        <v>29193</v>
      </c>
      <c r="O188" s="342">
        <f t="shared" si="81"/>
        <v>29864</v>
      </c>
    </row>
    <row r="189" spans="1:15" ht="12.75" customHeight="1" thickTop="1" x14ac:dyDescent="0.25">
      <c r="A189" s="336"/>
      <c r="B189" s="115"/>
      <c r="C189" s="115"/>
      <c r="D189" s="387"/>
      <c r="E189" s="341"/>
      <c r="F189" s="340"/>
      <c r="G189" s="319"/>
      <c r="H189" s="115"/>
      <c r="I189" s="316"/>
      <c r="J189" s="317"/>
      <c r="K189" s="317"/>
      <c r="L189" s="317"/>
      <c r="M189" s="317"/>
      <c r="N189" s="317"/>
      <c r="O189" s="317"/>
    </row>
    <row r="190" spans="1:15" ht="12.75" customHeight="1" x14ac:dyDescent="0.25">
      <c r="A190" s="336"/>
      <c r="B190" s="115"/>
      <c r="C190" s="115"/>
      <c r="D190" s="347">
        <v>601017</v>
      </c>
      <c r="E190" s="330"/>
      <c r="F190" s="340"/>
      <c r="G190" s="332" t="s">
        <v>520</v>
      </c>
      <c r="H190" s="115"/>
      <c r="I190" s="316"/>
      <c r="J190" s="317"/>
      <c r="K190" s="317"/>
      <c r="L190" s="317"/>
      <c r="M190" s="317"/>
      <c r="N190" s="317"/>
      <c r="O190" s="317"/>
    </row>
    <row r="191" spans="1:15" ht="12.75" customHeight="1" x14ac:dyDescent="0.25">
      <c r="A191" s="336"/>
      <c r="B191" s="115"/>
      <c r="C191" s="115"/>
      <c r="D191" s="387"/>
      <c r="E191" s="341"/>
      <c r="F191" s="340"/>
      <c r="G191" s="334" t="s">
        <v>533</v>
      </c>
      <c r="H191" s="115"/>
      <c r="I191" s="316"/>
      <c r="J191" s="317"/>
      <c r="K191" s="317"/>
      <c r="L191" s="317"/>
      <c r="M191" s="317"/>
      <c r="N191" s="317"/>
      <c r="O191" s="317"/>
    </row>
    <row r="192" spans="1:15" ht="12.75" customHeight="1" x14ac:dyDescent="0.25">
      <c r="A192" s="336">
        <f>+D190</f>
        <v>601017</v>
      </c>
      <c r="B192" s="115" t="str">
        <f>+G190</f>
        <v>Project voorzieningen SGE</v>
      </c>
      <c r="C192" s="115"/>
      <c r="D192" s="340">
        <v>43812</v>
      </c>
      <c r="E192" s="341"/>
      <c r="F192" s="340"/>
      <c r="G192" s="339" t="s">
        <v>535</v>
      </c>
      <c r="H192" s="115"/>
      <c r="I192" s="316"/>
      <c r="J192" s="317">
        <v>0</v>
      </c>
      <c r="K192" s="317">
        <v>0</v>
      </c>
      <c r="L192" s="317">
        <f>L483</f>
        <v>0</v>
      </c>
      <c r="M192" s="317">
        <f>M483</f>
        <v>0</v>
      </c>
      <c r="N192" s="317">
        <f t="shared" ref="N192:O192" si="82">N483</f>
        <v>0</v>
      </c>
      <c r="O192" s="317">
        <f t="shared" si="82"/>
        <v>0</v>
      </c>
    </row>
    <row r="193" spans="1:15" ht="12.75" customHeight="1" thickBot="1" x14ac:dyDescent="0.3">
      <c r="A193" s="336"/>
      <c r="B193" s="115"/>
      <c r="C193" s="115"/>
      <c r="D193" s="387"/>
      <c r="E193" s="341"/>
      <c r="F193" s="340"/>
      <c r="G193" s="319" t="s">
        <v>536</v>
      </c>
      <c r="H193" s="115"/>
      <c r="I193" s="316"/>
      <c r="J193" s="342">
        <v>0</v>
      </c>
      <c r="K193" s="342">
        <v>0</v>
      </c>
      <c r="L193" s="342">
        <f t="shared" ref="L193:M193" si="83">SUM(L192)</f>
        <v>0</v>
      </c>
      <c r="M193" s="342">
        <f t="shared" si="83"/>
        <v>0</v>
      </c>
      <c r="N193" s="342">
        <f t="shared" ref="N193:O193" si="84">SUM(N192)</f>
        <v>0</v>
      </c>
      <c r="O193" s="342">
        <f t="shared" si="84"/>
        <v>0</v>
      </c>
    </row>
    <row r="194" spans="1:15" ht="12.75" customHeight="1" thickTop="1" x14ac:dyDescent="0.25">
      <c r="A194" s="336"/>
      <c r="B194" s="115"/>
      <c r="C194" s="115"/>
      <c r="D194" s="387"/>
      <c r="E194" s="341"/>
      <c r="F194" s="340"/>
      <c r="G194" s="319"/>
      <c r="H194" s="115"/>
      <c r="I194" s="316"/>
      <c r="J194" s="317"/>
      <c r="K194" s="317"/>
      <c r="L194" s="317"/>
      <c r="M194" s="317"/>
      <c r="N194" s="317"/>
      <c r="O194" s="317"/>
    </row>
    <row r="195" spans="1:15" ht="12.75" customHeight="1" x14ac:dyDescent="0.25">
      <c r="A195" s="336"/>
      <c r="B195" s="115"/>
      <c r="C195" s="115"/>
      <c r="D195" s="347">
        <v>601018</v>
      </c>
      <c r="E195" s="330"/>
      <c r="F195" s="340"/>
      <c r="G195" s="332" t="s">
        <v>521</v>
      </c>
      <c r="H195" s="115"/>
      <c r="I195" s="316"/>
      <c r="J195" s="317"/>
      <c r="K195" s="317"/>
      <c r="L195" s="317"/>
      <c r="M195" s="317"/>
      <c r="N195" s="317"/>
      <c r="O195" s="317"/>
    </row>
    <row r="196" spans="1:15" ht="12.75" customHeight="1" x14ac:dyDescent="0.25">
      <c r="A196" s="336"/>
      <c r="B196" s="115"/>
      <c r="C196" s="115"/>
      <c r="D196" s="387"/>
      <c r="E196" s="341"/>
      <c r="F196" s="340"/>
      <c r="G196" s="334" t="s">
        <v>533</v>
      </c>
      <c r="H196" s="115"/>
      <c r="I196" s="316"/>
      <c r="J196" s="317"/>
      <c r="K196" s="317"/>
      <c r="L196" s="317"/>
      <c r="M196" s="317"/>
      <c r="N196" s="317"/>
      <c r="O196" s="317"/>
    </row>
    <row r="197" spans="1:15" ht="12.75" customHeight="1" x14ac:dyDescent="0.25">
      <c r="A197" s="336">
        <f>+D195</f>
        <v>601018</v>
      </c>
      <c r="B197" s="115" t="str">
        <f>+G195</f>
        <v>Challenge ontsluiting</v>
      </c>
      <c r="C197" s="115"/>
      <c r="D197" s="340">
        <v>43812</v>
      </c>
      <c r="E197" s="341"/>
      <c r="F197" s="340"/>
      <c r="G197" s="339" t="s">
        <v>535</v>
      </c>
      <c r="H197" s="115"/>
      <c r="I197" s="316"/>
      <c r="J197" s="317">
        <v>0</v>
      </c>
      <c r="K197" s="317">
        <v>0</v>
      </c>
      <c r="L197" s="317">
        <f>L489</f>
        <v>0</v>
      </c>
      <c r="M197" s="317">
        <f>M489</f>
        <v>0</v>
      </c>
      <c r="N197" s="317">
        <f t="shared" ref="N197:O197" si="85">N489</f>
        <v>0</v>
      </c>
      <c r="O197" s="317">
        <f t="shared" si="85"/>
        <v>0</v>
      </c>
    </row>
    <row r="198" spans="1:15" ht="12.75" customHeight="1" thickBot="1" x14ac:dyDescent="0.3">
      <c r="A198" s="336"/>
      <c r="B198" s="115"/>
      <c r="C198" s="115"/>
      <c r="D198" s="387"/>
      <c r="E198" s="341"/>
      <c r="F198" s="340"/>
      <c r="G198" s="319" t="s">
        <v>536</v>
      </c>
      <c r="H198" s="115"/>
      <c r="I198" s="316"/>
      <c r="J198" s="342">
        <v>0</v>
      </c>
      <c r="K198" s="342">
        <v>0</v>
      </c>
      <c r="L198" s="342">
        <f t="shared" ref="L198:M198" si="86">SUM(L197)</f>
        <v>0</v>
      </c>
      <c r="M198" s="342">
        <f t="shared" si="86"/>
        <v>0</v>
      </c>
      <c r="N198" s="342">
        <f t="shared" ref="N198:O198" si="87">SUM(N197)</f>
        <v>0</v>
      </c>
      <c r="O198" s="342">
        <f t="shared" si="87"/>
        <v>0</v>
      </c>
    </row>
    <row r="199" spans="1:15" ht="12.75" customHeight="1" thickTop="1" x14ac:dyDescent="0.25">
      <c r="A199" s="336"/>
      <c r="B199" s="115"/>
      <c r="C199" s="115"/>
      <c r="D199" s="387"/>
      <c r="E199" s="341"/>
      <c r="F199" s="340"/>
      <c r="G199" s="319"/>
      <c r="H199" s="115"/>
      <c r="I199" s="316"/>
      <c r="J199" s="317"/>
      <c r="K199" s="317"/>
      <c r="L199" s="317"/>
      <c r="M199" s="317"/>
      <c r="N199" s="317"/>
      <c r="O199" s="317"/>
    </row>
    <row r="200" spans="1:15" ht="12.75" customHeight="1" x14ac:dyDescent="0.25">
      <c r="A200" s="336"/>
      <c r="B200" s="115"/>
      <c r="C200" s="115"/>
      <c r="D200" s="347">
        <v>601020</v>
      </c>
      <c r="E200" s="330"/>
      <c r="F200" s="340"/>
      <c r="G200" s="332" t="s">
        <v>522</v>
      </c>
      <c r="H200" s="115"/>
      <c r="I200" s="316"/>
      <c r="J200" s="317"/>
      <c r="K200" s="317"/>
      <c r="L200" s="317"/>
      <c r="M200" s="317"/>
      <c r="N200" s="317"/>
      <c r="O200" s="317"/>
    </row>
    <row r="201" spans="1:15" ht="12.75" customHeight="1" x14ac:dyDescent="0.25">
      <c r="A201" s="336"/>
      <c r="B201" s="115"/>
      <c r="C201" s="115"/>
      <c r="D201" s="387"/>
      <c r="E201" s="341"/>
      <c r="F201" s="340"/>
      <c r="G201" s="334" t="s">
        <v>533</v>
      </c>
      <c r="H201" s="115"/>
      <c r="I201" s="316"/>
      <c r="J201" s="317"/>
      <c r="K201" s="317"/>
      <c r="L201" s="317"/>
      <c r="M201" s="317"/>
      <c r="N201" s="317"/>
      <c r="O201" s="317"/>
    </row>
    <row r="202" spans="1:15" ht="12.75" customHeight="1" x14ac:dyDescent="0.25">
      <c r="A202" s="336">
        <f>+D200</f>
        <v>601020</v>
      </c>
      <c r="B202" s="115" t="str">
        <f>+G200</f>
        <v>Samenwerking Best-Oirschot</v>
      </c>
      <c r="C202" s="115"/>
      <c r="D202" s="340">
        <v>43812</v>
      </c>
      <c r="E202" s="341"/>
      <c r="F202" s="340"/>
      <c r="G202" s="339" t="s">
        <v>535</v>
      </c>
      <c r="H202" s="115"/>
      <c r="I202" s="316"/>
      <c r="J202" s="317">
        <v>305000</v>
      </c>
      <c r="K202" s="317">
        <f>+K499</f>
        <v>688130</v>
      </c>
      <c r="L202" s="317">
        <f>+L499</f>
        <v>5238</v>
      </c>
      <c r="M202" s="317">
        <f>+M499</f>
        <v>5358</v>
      </c>
      <c r="N202" s="317">
        <f t="shared" ref="N202:O202" si="88">+N499</f>
        <v>5481</v>
      </c>
      <c r="O202" s="317">
        <f t="shared" si="88"/>
        <v>5607</v>
      </c>
    </row>
    <row r="203" spans="1:15" ht="12.75" customHeight="1" thickBot="1" x14ac:dyDescent="0.3">
      <c r="A203" s="336"/>
      <c r="B203" s="115"/>
      <c r="C203" s="115"/>
      <c r="D203" s="387"/>
      <c r="E203" s="341"/>
      <c r="F203" s="340"/>
      <c r="G203" s="319" t="s">
        <v>536</v>
      </c>
      <c r="H203" s="115"/>
      <c r="I203" s="316"/>
      <c r="J203" s="342">
        <v>305000</v>
      </c>
      <c r="K203" s="342">
        <f t="shared" ref="K203:M203" si="89">SUM(K202)</f>
        <v>688130</v>
      </c>
      <c r="L203" s="342">
        <f t="shared" si="89"/>
        <v>5238</v>
      </c>
      <c r="M203" s="342">
        <f t="shared" si="89"/>
        <v>5358</v>
      </c>
      <c r="N203" s="342">
        <f t="shared" ref="N203:O203" si="90">SUM(N202)</f>
        <v>5481</v>
      </c>
      <c r="O203" s="342">
        <f t="shared" si="90"/>
        <v>5607</v>
      </c>
    </row>
    <row r="204" spans="1:15" ht="12.75" customHeight="1" thickTop="1" x14ac:dyDescent="0.25">
      <c r="A204" s="336"/>
      <c r="B204" s="115"/>
      <c r="C204" s="115"/>
      <c r="D204" s="387"/>
      <c r="E204" s="341"/>
      <c r="F204" s="340"/>
      <c r="G204" s="319"/>
      <c r="H204" s="115"/>
      <c r="I204" s="316"/>
      <c r="J204" s="317"/>
      <c r="K204" s="317"/>
      <c r="L204" s="317"/>
      <c r="M204" s="317"/>
      <c r="N204" s="317"/>
      <c r="O204" s="317"/>
    </row>
    <row r="205" spans="1:15" ht="12.75" customHeight="1" x14ac:dyDescent="0.25">
      <c r="A205" s="336"/>
      <c r="B205" s="115"/>
      <c r="C205" s="115"/>
      <c r="D205" s="333">
        <v>601901</v>
      </c>
      <c r="E205" s="330"/>
      <c r="F205" s="331"/>
      <c r="G205" s="332" t="s">
        <v>523</v>
      </c>
      <c r="H205" s="115"/>
      <c r="I205" s="316"/>
      <c r="J205" s="317"/>
      <c r="K205" s="317"/>
      <c r="L205" s="317"/>
      <c r="M205" s="317"/>
      <c r="N205" s="317"/>
      <c r="O205" s="317"/>
    </row>
    <row r="206" spans="1:15" ht="12.75" customHeight="1" x14ac:dyDescent="0.25">
      <c r="A206" s="336"/>
      <c r="B206" s="115"/>
      <c r="C206" s="115"/>
      <c r="D206" s="387"/>
      <c r="E206" s="341"/>
      <c r="F206" s="340"/>
      <c r="G206" s="334" t="s">
        <v>533</v>
      </c>
      <c r="H206" s="115"/>
      <c r="I206" s="316"/>
      <c r="J206" s="317"/>
      <c r="K206" s="317"/>
      <c r="L206" s="317"/>
      <c r="M206" s="317"/>
      <c r="N206" s="317"/>
      <c r="O206" s="317"/>
    </row>
    <row r="207" spans="1:15" ht="12.75" customHeight="1" x14ac:dyDescent="0.25">
      <c r="A207" s="336">
        <f>+D205</f>
        <v>601901</v>
      </c>
      <c r="B207" s="115" t="str">
        <f>+G205</f>
        <v>Directe toerekening bestuur</v>
      </c>
      <c r="C207" s="115"/>
      <c r="D207" s="337">
        <v>41100</v>
      </c>
      <c r="E207" s="343"/>
      <c r="F207" s="337"/>
      <c r="G207" s="319" t="s">
        <v>541</v>
      </c>
      <c r="H207" s="115"/>
      <c r="I207" s="316"/>
      <c r="J207" s="317">
        <v>1428816</v>
      </c>
      <c r="K207" s="317">
        <v>1503457.4800000002</v>
      </c>
      <c r="L207" s="317">
        <f>L509</f>
        <v>1566604</v>
      </c>
      <c r="M207" s="317">
        <f>M509</f>
        <v>1624568</v>
      </c>
      <c r="N207" s="317">
        <f t="shared" ref="N207:O207" si="91">N509</f>
        <v>1684677</v>
      </c>
      <c r="O207" s="317">
        <f t="shared" si="91"/>
        <v>1747010</v>
      </c>
    </row>
    <row r="208" spans="1:15" ht="12.75" customHeight="1" x14ac:dyDescent="0.25">
      <c r="A208" s="336">
        <f>+D205</f>
        <v>601901</v>
      </c>
      <c r="B208" s="115" t="str">
        <f>+G205</f>
        <v>Directe toerekening bestuur</v>
      </c>
      <c r="C208" s="115"/>
      <c r="D208" s="337">
        <v>47300</v>
      </c>
      <c r="E208" s="343"/>
      <c r="F208" s="337"/>
      <c r="G208" s="319" t="s">
        <v>559</v>
      </c>
      <c r="H208" s="115"/>
      <c r="I208" s="316"/>
      <c r="J208" s="317">
        <v>5000</v>
      </c>
      <c r="K208" s="317">
        <v>5000</v>
      </c>
      <c r="L208" s="317">
        <v>5000</v>
      </c>
      <c r="M208" s="317">
        <v>5000</v>
      </c>
      <c r="N208" s="317">
        <v>5000</v>
      </c>
      <c r="O208" s="317">
        <v>0</v>
      </c>
    </row>
    <row r="209" spans="1:15" ht="12.75" customHeight="1" thickBot="1" x14ac:dyDescent="0.3">
      <c r="A209" s="336"/>
      <c r="B209" s="115"/>
      <c r="C209" s="115"/>
      <c r="D209" s="387"/>
      <c r="E209" s="341"/>
      <c r="F209" s="340"/>
      <c r="G209" s="319" t="s">
        <v>536</v>
      </c>
      <c r="H209" s="115"/>
      <c r="I209" s="316"/>
      <c r="J209" s="342">
        <v>1433816</v>
      </c>
      <c r="K209" s="342">
        <v>1508457.4800000002</v>
      </c>
      <c r="L209" s="342">
        <f t="shared" ref="L209:M209" si="92">SUM(L207:L208)</f>
        <v>1571604</v>
      </c>
      <c r="M209" s="342">
        <f t="shared" si="92"/>
        <v>1629568</v>
      </c>
      <c r="N209" s="342">
        <f t="shared" ref="N209:O209" si="93">SUM(N207:N208)</f>
        <v>1689677</v>
      </c>
      <c r="O209" s="342">
        <f t="shared" si="93"/>
        <v>1747010</v>
      </c>
    </row>
    <row r="210" spans="1:15" ht="12.75" customHeight="1" thickTop="1" x14ac:dyDescent="0.25">
      <c r="A210" s="336"/>
      <c r="B210" s="115"/>
      <c r="C210" s="115"/>
      <c r="D210" s="387"/>
      <c r="E210" s="341"/>
      <c r="F210" s="340"/>
      <c r="G210" s="319"/>
      <c r="H210" s="115"/>
      <c r="I210" s="316"/>
      <c r="J210" s="344"/>
      <c r="K210" s="344"/>
      <c r="L210" s="344"/>
      <c r="M210" s="344"/>
      <c r="N210" s="344"/>
      <c r="O210" s="344"/>
    </row>
    <row r="211" spans="1:15" ht="12.75" customHeight="1" x14ac:dyDescent="0.25">
      <c r="A211" s="336"/>
      <c r="B211" s="115"/>
      <c r="C211" s="115"/>
      <c r="D211" s="333">
        <v>601902</v>
      </c>
      <c r="E211" s="1704"/>
      <c r="F211" s="331"/>
      <c r="G211" s="332" t="s">
        <v>524</v>
      </c>
      <c r="H211" s="115"/>
      <c r="I211" s="316"/>
      <c r="J211" s="317"/>
      <c r="K211" s="317"/>
      <c r="L211" s="317"/>
      <c r="M211" s="317"/>
      <c r="N211" s="317"/>
      <c r="O211" s="317"/>
    </row>
    <row r="212" spans="1:15" ht="12.75" customHeight="1" x14ac:dyDescent="0.25">
      <c r="A212" s="336"/>
      <c r="B212" s="115"/>
      <c r="C212" s="115"/>
      <c r="D212" s="387"/>
      <c r="E212" s="1705"/>
      <c r="F212" s="340"/>
      <c r="G212" s="334" t="s">
        <v>533</v>
      </c>
      <c r="H212" s="115"/>
      <c r="I212" s="316"/>
      <c r="J212" s="317"/>
      <c r="K212" s="317"/>
      <c r="L212" s="317"/>
      <c r="M212" s="317"/>
      <c r="N212" s="317"/>
      <c r="O212" s="317"/>
    </row>
    <row r="213" spans="1:15" ht="12.75" customHeight="1" x14ac:dyDescent="0.25">
      <c r="A213" s="336">
        <f>+D211</f>
        <v>601902</v>
      </c>
      <c r="B213" s="115" t="str">
        <f>+G211</f>
        <v>Directe toerekening regionale samenwerking</v>
      </c>
      <c r="C213" s="115"/>
      <c r="D213" s="337">
        <v>41100</v>
      </c>
      <c r="E213" s="1706"/>
      <c r="F213" s="337"/>
      <c r="G213" s="319" t="s">
        <v>541</v>
      </c>
      <c r="H213" s="115"/>
      <c r="I213" s="316"/>
      <c r="J213" s="317">
        <v>165249.64000000001</v>
      </c>
      <c r="K213" s="317">
        <v>292976.63</v>
      </c>
      <c r="L213" s="317">
        <f>L518</f>
        <v>300242</v>
      </c>
      <c r="M213" s="317">
        <f>M518</f>
        <v>186911</v>
      </c>
      <c r="N213" s="317">
        <f t="shared" ref="N213:O213" si="94">N518</f>
        <v>193827</v>
      </c>
      <c r="O213" s="317">
        <f t="shared" si="94"/>
        <v>200999</v>
      </c>
    </row>
    <row r="214" spans="1:15" ht="12.75" customHeight="1" x14ac:dyDescent="0.25">
      <c r="A214" s="336">
        <f>+D211</f>
        <v>601902</v>
      </c>
      <c r="B214" s="115" t="str">
        <f>+G211</f>
        <v>Directe toerekening regionale samenwerking</v>
      </c>
      <c r="C214" s="115"/>
      <c r="D214" s="337">
        <v>43511</v>
      </c>
      <c r="E214" s="1706"/>
      <c r="F214" s="337"/>
      <c r="G214" s="319" t="s">
        <v>560</v>
      </c>
      <c r="H214" s="115"/>
      <c r="I214" s="316"/>
      <c r="J214" s="317">
        <v>0</v>
      </c>
      <c r="K214" s="317">
        <v>500000</v>
      </c>
      <c r="L214" s="317">
        <f>L523</f>
        <v>500000</v>
      </c>
      <c r="M214" s="317">
        <f>M523</f>
        <v>500000</v>
      </c>
      <c r="N214" s="317">
        <f>N523</f>
        <v>500000</v>
      </c>
      <c r="O214" s="317">
        <f>O523</f>
        <v>500000</v>
      </c>
    </row>
    <row r="215" spans="1:15" ht="12.75" customHeight="1" thickBot="1" x14ac:dyDescent="0.3">
      <c r="A215" s="336"/>
      <c r="B215" s="115"/>
      <c r="C215" s="115"/>
      <c r="D215" s="387"/>
      <c r="E215" s="1705"/>
      <c r="F215" s="340"/>
      <c r="G215" s="319" t="s">
        <v>536</v>
      </c>
      <c r="H215" s="115"/>
      <c r="I215" s="316"/>
      <c r="J215" s="342">
        <v>165249.64000000001</v>
      </c>
      <c r="K215" s="342">
        <v>792976.63</v>
      </c>
      <c r="L215" s="342">
        <f t="shared" ref="L215:N215" si="95">SUM(L213:L214)</f>
        <v>800242</v>
      </c>
      <c r="M215" s="342">
        <f t="shared" si="95"/>
        <v>686911</v>
      </c>
      <c r="N215" s="342">
        <f t="shared" si="95"/>
        <v>693827</v>
      </c>
      <c r="O215" s="342">
        <f t="shared" ref="O215" si="96">SUM(O213:O214)</f>
        <v>700999</v>
      </c>
    </row>
    <row r="216" spans="1:15" ht="12.75" customHeight="1" thickTop="1" x14ac:dyDescent="0.25">
      <c r="A216" s="336"/>
      <c r="B216" s="115"/>
      <c r="C216" s="115"/>
      <c r="D216" s="167"/>
      <c r="E216" s="1707"/>
      <c r="F216" s="388"/>
      <c r="G216" s="149"/>
      <c r="H216" s="149"/>
      <c r="I216" s="389"/>
      <c r="J216" s="390"/>
      <c r="K216" s="390"/>
      <c r="L216" s="390"/>
      <c r="M216" s="390"/>
      <c r="N216" s="390"/>
      <c r="O216" s="390"/>
    </row>
    <row r="217" spans="1:15" ht="12.75" customHeight="1" x14ac:dyDescent="0.25">
      <c r="A217" s="336"/>
      <c r="B217" s="115"/>
      <c r="C217" s="115"/>
      <c r="D217" s="384"/>
      <c r="E217" s="391"/>
      <c r="F217" s="391"/>
      <c r="G217" s="115"/>
      <c r="H217" s="115"/>
      <c r="I217" s="115"/>
      <c r="J217" s="114"/>
      <c r="K217" s="114"/>
      <c r="L217" s="114"/>
      <c r="M217" s="114"/>
      <c r="N217" s="114"/>
      <c r="O217" s="114"/>
    </row>
    <row r="218" spans="1:15" ht="12.75" customHeight="1" x14ac:dyDescent="0.25">
      <c r="A218" s="336"/>
      <c r="B218" s="115"/>
      <c r="C218" s="115"/>
      <c r="D218" s="384"/>
      <c r="E218" s="391"/>
      <c r="F218" s="392"/>
      <c r="G218" s="383"/>
      <c r="H218" s="115"/>
      <c r="I218" s="115"/>
      <c r="J218" s="114"/>
      <c r="K218" s="114"/>
      <c r="L218" s="114"/>
      <c r="M218" s="114"/>
      <c r="N218" s="114"/>
      <c r="O218" s="114"/>
    </row>
    <row r="219" spans="1:15" ht="12.75" customHeight="1" x14ac:dyDescent="0.25">
      <c r="A219" s="336"/>
      <c r="B219" s="115"/>
      <c r="C219" s="115"/>
      <c r="D219" s="393" t="s">
        <v>561</v>
      </c>
      <c r="E219" s="391"/>
      <c r="F219" s="392"/>
      <c r="G219" s="115"/>
      <c r="H219" s="115"/>
      <c r="I219" s="115"/>
      <c r="J219" s="114"/>
      <c r="K219" s="114"/>
      <c r="L219" s="114"/>
      <c r="M219" s="114"/>
      <c r="N219" s="114"/>
      <c r="O219" s="114"/>
    </row>
    <row r="220" spans="1:15" ht="12.75" customHeight="1" x14ac:dyDescent="0.25">
      <c r="A220" s="306"/>
      <c r="B220" s="115"/>
      <c r="C220" s="115"/>
      <c r="D220" s="384"/>
      <c r="E220" s="391"/>
      <c r="F220" s="392"/>
      <c r="G220" s="115"/>
      <c r="H220" s="115"/>
      <c r="I220" s="115"/>
      <c r="J220" s="394"/>
      <c r="K220" s="394"/>
      <c r="L220" s="394"/>
      <c r="M220" s="394"/>
      <c r="N220" s="394"/>
      <c r="O220" s="394"/>
    </row>
    <row r="221" spans="1:15" ht="12.75" customHeight="1" x14ac:dyDescent="0.25">
      <c r="A221" s="306"/>
      <c r="B221" s="115"/>
      <c r="C221" s="115"/>
      <c r="D221" s="393">
        <v>601001</v>
      </c>
      <c r="E221" s="381" t="s">
        <v>509</v>
      </c>
      <c r="F221" s="314"/>
      <c r="G221" s="115"/>
      <c r="H221" s="115"/>
      <c r="I221" s="394"/>
      <c r="J221" s="395">
        <v>2025</v>
      </c>
      <c r="K221" s="395">
        <v>2026</v>
      </c>
      <c r="L221" s="395">
        <f>+L32</f>
        <v>2027</v>
      </c>
      <c r="M221" s="395">
        <f>+M32</f>
        <v>2028</v>
      </c>
      <c r="N221" s="395">
        <f>+N32</f>
        <v>2029</v>
      </c>
      <c r="O221" s="395">
        <f>+O32</f>
        <v>2030</v>
      </c>
    </row>
    <row r="222" spans="1:15" ht="12.75" customHeight="1" x14ac:dyDescent="0.25">
      <c r="A222" s="306"/>
      <c r="B222" s="115"/>
      <c r="C222" s="115"/>
      <c r="D222" s="393"/>
      <c r="E222" s="115" t="s">
        <v>562</v>
      </c>
      <c r="F222" s="314"/>
      <c r="G222" s="115"/>
      <c r="H222" s="115"/>
      <c r="I222" s="394"/>
      <c r="J222" s="396"/>
      <c r="K222" s="396"/>
      <c r="L222" s="396"/>
      <c r="M222" s="396"/>
      <c r="N222" s="396"/>
      <c r="O222" s="396"/>
    </row>
    <row r="223" spans="1:15" ht="12.75" customHeight="1" x14ac:dyDescent="0.25">
      <c r="A223" s="306"/>
      <c r="B223" s="115"/>
      <c r="C223" s="115"/>
      <c r="D223" s="393"/>
      <c r="E223" s="115" t="s">
        <v>563</v>
      </c>
      <c r="F223" s="314"/>
      <c r="G223" s="115"/>
      <c r="H223" s="115"/>
      <c r="I223" s="394"/>
      <c r="J223" s="396"/>
      <c r="K223" s="396"/>
      <c r="L223" s="396"/>
      <c r="M223" s="396"/>
      <c r="N223" s="396"/>
      <c r="O223" s="396"/>
    </row>
    <row r="224" spans="1:15" ht="12.75" customHeight="1" x14ac:dyDescent="0.25">
      <c r="A224" s="306"/>
      <c r="B224" s="115"/>
      <c r="C224" s="115"/>
      <c r="D224" s="393"/>
      <c r="E224" s="115"/>
      <c r="F224" s="314"/>
      <c r="G224" s="115"/>
      <c r="H224" s="115"/>
      <c r="I224" s="397"/>
      <c r="J224" s="397"/>
      <c r="K224" s="397"/>
      <c r="L224" s="397"/>
      <c r="M224" s="397"/>
      <c r="N224" s="397"/>
      <c r="O224" s="397"/>
    </row>
    <row r="225" spans="4:16" ht="12.75" customHeight="1" x14ac:dyDescent="0.25">
      <c r="D225" s="143">
        <v>43819</v>
      </c>
      <c r="E225" s="398" t="s">
        <v>564</v>
      </c>
      <c r="F225" s="314"/>
      <c r="G225" s="115"/>
      <c r="H225" s="114"/>
      <c r="I225" s="114"/>
      <c r="J225" s="114">
        <v>9573</v>
      </c>
      <c r="K225" s="114">
        <v>9822</v>
      </c>
      <c r="L225" s="114">
        <f>ROUND(K225*T2,0)</f>
        <v>10028</v>
      </c>
      <c r="M225" s="114">
        <f>ROUND(L225*U2,0)</f>
        <v>10259</v>
      </c>
      <c r="N225" s="114">
        <f>ROUND(M225*V2,0)</f>
        <v>10495</v>
      </c>
      <c r="O225" s="114">
        <f>ROUND(N225*W2,0)</f>
        <v>10736</v>
      </c>
      <c r="P225" s="115"/>
    </row>
    <row r="226" spans="4:16" ht="12.75" customHeight="1" x14ac:dyDescent="0.25">
      <c r="D226" s="301"/>
      <c r="E226" s="399"/>
      <c r="F226" s="303"/>
      <c r="G226" s="115"/>
      <c r="H226" s="399"/>
      <c r="I226" s="399"/>
      <c r="J226" s="399"/>
      <c r="K226" s="399"/>
      <c r="L226" s="399"/>
      <c r="M226" s="399"/>
      <c r="N226" s="399"/>
      <c r="O226" s="399"/>
      <c r="P226" s="115"/>
    </row>
    <row r="227" spans="4:16" ht="12.75" customHeight="1" x14ac:dyDescent="0.25">
      <c r="D227" s="400">
        <v>43812</v>
      </c>
      <c r="E227" s="115" t="s">
        <v>565</v>
      </c>
      <c r="F227" s="303"/>
      <c r="G227" s="115"/>
      <c r="H227" s="115"/>
      <c r="I227" s="397"/>
      <c r="J227" s="397"/>
      <c r="K227" s="397"/>
      <c r="L227" s="397"/>
      <c r="M227" s="397"/>
      <c r="N227" s="397"/>
      <c r="O227" s="397"/>
      <c r="P227" s="115"/>
    </row>
    <row r="228" spans="4:16" ht="12.75" customHeight="1" x14ac:dyDescent="0.25">
      <c r="D228" s="400"/>
      <c r="E228" s="115"/>
      <c r="F228" s="303"/>
      <c r="G228" s="115"/>
      <c r="H228" s="115"/>
      <c r="I228" s="397"/>
      <c r="J228" s="397"/>
      <c r="K228" s="397"/>
      <c r="L228" s="397"/>
      <c r="M228" s="397"/>
      <c r="N228" s="397"/>
      <c r="O228" s="397"/>
      <c r="P228" s="115"/>
    </row>
    <row r="229" spans="4:16" ht="12.75" customHeight="1" x14ac:dyDescent="0.25">
      <c r="D229" s="400"/>
      <c r="E229" s="115" t="s">
        <v>566</v>
      </c>
      <c r="F229" s="303"/>
      <c r="G229" s="115"/>
      <c r="H229" s="115"/>
      <c r="I229" s="397"/>
      <c r="J229" s="114">
        <f>43940+15751</f>
        <v>59691</v>
      </c>
      <c r="K229" s="114">
        <v>56114</v>
      </c>
      <c r="L229" s="114">
        <f>ROUND(K229*T2,0)</f>
        <v>57292</v>
      </c>
      <c r="M229" s="114">
        <f>ROUND(L229*U2,0)</f>
        <v>58610</v>
      </c>
      <c r="N229" s="114">
        <f>ROUND(M229*V2,0)</f>
        <v>59958</v>
      </c>
      <c r="O229" s="114">
        <f>ROUND(N229*W2,0)</f>
        <v>61337</v>
      </c>
      <c r="P229" s="115"/>
    </row>
    <row r="230" spans="4:16" ht="12.75" customHeight="1" x14ac:dyDescent="0.25">
      <c r="D230" s="400"/>
      <c r="E230" s="115" t="s">
        <v>567</v>
      </c>
      <c r="F230" s="303"/>
      <c r="G230" s="115"/>
      <c r="H230" s="115"/>
      <c r="I230" s="397"/>
      <c r="J230" s="114"/>
      <c r="K230" s="114"/>
      <c r="L230" s="114"/>
      <c r="M230" s="114"/>
      <c r="N230" s="114"/>
      <c r="O230" s="114"/>
      <c r="P230" s="115"/>
    </row>
    <row r="231" spans="4:16" ht="12.75" customHeight="1" x14ac:dyDescent="0.25">
      <c r="D231" s="400"/>
      <c r="E231" s="115" t="s">
        <v>568</v>
      </c>
      <c r="F231" s="303"/>
      <c r="G231" s="115"/>
      <c r="H231" s="115"/>
      <c r="I231" s="397"/>
      <c r="J231" s="114"/>
      <c r="K231" s="114"/>
      <c r="L231" s="114"/>
      <c r="M231" s="114"/>
      <c r="N231" s="114"/>
      <c r="O231" s="114"/>
      <c r="P231" s="115"/>
    </row>
    <row r="232" spans="4:16" ht="12.75" customHeight="1" x14ac:dyDescent="0.25">
      <c r="D232" s="400"/>
      <c r="E232" s="115" t="s">
        <v>569</v>
      </c>
      <c r="F232" s="303"/>
      <c r="G232" s="115"/>
      <c r="H232" s="115"/>
      <c r="I232" s="397"/>
      <c r="J232" s="114"/>
      <c r="K232" s="114"/>
      <c r="L232" s="114"/>
      <c r="M232" s="114"/>
      <c r="N232" s="114"/>
      <c r="O232" s="114"/>
      <c r="P232" s="115"/>
    </row>
    <row r="233" spans="4:16" ht="12.75" customHeight="1" x14ac:dyDescent="0.25">
      <c r="D233" s="400"/>
      <c r="E233" s="115" t="s">
        <v>570</v>
      </c>
      <c r="F233" s="303"/>
      <c r="G233" s="115"/>
      <c r="H233" s="115"/>
      <c r="I233" s="397"/>
      <c r="J233" s="114"/>
      <c r="K233" s="114"/>
      <c r="L233" s="114"/>
      <c r="M233" s="114"/>
      <c r="N233" s="114"/>
      <c r="O233" s="114"/>
      <c r="P233" s="115"/>
    </row>
    <row r="234" spans="4:16" ht="12.75" customHeight="1" x14ac:dyDescent="0.25">
      <c r="D234" s="400"/>
      <c r="E234" s="115" t="s">
        <v>571</v>
      </c>
      <c r="F234" s="303"/>
      <c r="G234" s="115"/>
      <c r="H234" s="115"/>
      <c r="I234" s="397"/>
      <c r="J234" s="114"/>
      <c r="K234" s="114"/>
      <c r="L234" s="114"/>
      <c r="M234" s="114"/>
      <c r="N234" s="114"/>
      <c r="O234" s="114"/>
      <c r="P234" s="115"/>
    </row>
    <row r="235" spans="4:16" ht="12.75" customHeight="1" x14ac:dyDescent="0.25">
      <c r="D235" s="400"/>
      <c r="E235" s="115" t="s">
        <v>572</v>
      </c>
      <c r="F235" s="303"/>
      <c r="G235" s="115"/>
      <c r="H235" s="115"/>
      <c r="I235" s="397"/>
      <c r="J235" s="114"/>
      <c r="K235" s="114"/>
      <c r="L235" s="114"/>
      <c r="M235" s="114"/>
      <c r="N235" s="114"/>
      <c r="O235" s="114"/>
      <c r="P235" s="115"/>
    </row>
    <row r="236" spans="4:16" ht="12.75" customHeight="1" x14ac:dyDescent="0.25">
      <c r="D236" s="400"/>
      <c r="E236" s="115" t="s">
        <v>573</v>
      </c>
      <c r="F236" s="303"/>
      <c r="G236" s="115"/>
      <c r="H236" s="115"/>
      <c r="I236" s="397"/>
      <c r="J236" s="114"/>
      <c r="K236" s="114"/>
      <c r="L236" s="114"/>
      <c r="M236" s="114"/>
      <c r="N236" s="114"/>
      <c r="O236" s="114"/>
      <c r="P236" s="115"/>
    </row>
    <row r="237" spans="4:16" ht="12.75" customHeight="1" x14ac:dyDescent="0.25">
      <c r="D237" s="400"/>
      <c r="E237" s="115" t="s">
        <v>574</v>
      </c>
      <c r="F237" s="303"/>
      <c r="G237" s="115"/>
      <c r="H237" s="115"/>
      <c r="I237" s="397"/>
      <c r="J237" s="114"/>
      <c r="K237" s="114"/>
      <c r="L237" s="114"/>
      <c r="M237" s="114"/>
      <c r="N237" s="114"/>
      <c r="O237" s="114"/>
      <c r="P237" s="115"/>
    </row>
    <row r="238" spans="4:16" ht="12.75" customHeight="1" x14ac:dyDescent="0.25">
      <c r="D238" s="400"/>
      <c r="E238" s="115" t="s">
        <v>575</v>
      </c>
      <c r="F238" s="303"/>
      <c r="G238" s="115"/>
      <c r="H238" s="399"/>
      <c r="I238" s="397"/>
      <c r="J238" s="114">
        <v>4000</v>
      </c>
      <c r="K238" s="114">
        <v>14000</v>
      </c>
      <c r="L238" s="114">
        <v>4000</v>
      </c>
      <c r="M238" s="114">
        <v>4000</v>
      </c>
      <c r="N238" s="114">
        <v>4000</v>
      </c>
      <c r="O238" s="114">
        <v>4000</v>
      </c>
      <c r="P238" s="115"/>
    </row>
    <row r="239" spans="4:16" ht="12.75" customHeight="1" x14ac:dyDescent="0.25">
      <c r="D239" s="400"/>
      <c r="E239" s="115" t="s">
        <v>576</v>
      </c>
      <c r="F239" s="303"/>
      <c r="G239" s="115"/>
      <c r="H239" s="399"/>
      <c r="I239" s="397"/>
      <c r="J239" s="114">
        <v>4000</v>
      </c>
      <c r="K239" s="114">
        <v>4000</v>
      </c>
      <c r="L239" s="114">
        <v>4000</v>
      </c>
      <c r="M239" s="114">
        <v>4000</v>
      </c>
      <c r="N239" s="114">
        <v>4000</v>
      </c>
      <c r="O239" s="114">
        <v>4000</v>
      </c>
      <c r="P239" s="115"/>
    </row>
    <row r="240" spans="4:16" ht="12.75" customHeight="1" x14ac:dyDescent="0.25">
      <c r="D240" s="143"/>
      <c r="E240" s="308" t="s">
        <v>577</v>
      </c>
      <c r="F240" s="303"/>
      <c r="G240" s="115"/>
      <c r="H240" s="399"/>
      <c r="I240" s="399"/>
      <c r="J240" s="114">
        <v>20224</v>
      </c>
      <c r="K240" s="114">
        <v>20750</v>
      </c>
      <c r="L240" s="114">
        <f>ROUND(K240*T$2,0)</f>
        <v>21186</v>
      </c>
      <c r="M240" s="114">
        <f>ROUND(L240*U$2,0)</f>
        <v>21673</v>
      </c>
      <c r="N240" s="114">
        <f>ROUND(M240*V$2,0)</f>
        <v>22171</v>
      </c>
      <c r="O240" s="114">
        <f>ROUND(N240*W$2,0)</f>
        <v>22681</v>
      </c>
      <c r="P240" s="115"/>
    </row>
    <row r="241" spans="4:18" ht="12.75" customHeight="1" x14ac:dyDescent="0.25">
      <c r="D241" s="143"/>
      <c r="E241" s="308"/>
      <c r="F241" s="303"/>
      <c r="G241" s="115"/>
      <c r="H241" s="399"/>
      <c r="I241" s="399"/>
      <c r="J241" s="114"/>
      <c r="K241" s="114"/>
      <c r="L241" s="114"/>
      <c r="M241" s="114"/>
      <c r="N241" s="114"/>
      <c r="O241" s="114"/>
      <c r="P241" s="115"/>
      <c r="Q241" s="115"/>
      <c r="R241" s="115"/>
    </row>
    <row r="242" spans="4:18" ht="12.75" customHeight="1" thickBot="1" x14ac:dyDescent="0.3">
      <c r="D242" s="143"/>
      <c r="E242" s="401" t="str">
        <f>"Totaal "&amp;D227</f>
        <v>Totaal 43812</v>
      </c>
      <c r="F242" s="303"/>
      <c r="G242" s="115"/>
      <c r="H242" s="399"/>
      <c r="I242" s="397"/>
      <c r="J242" s="1744">
        <v>87915</v>
      </c>
      <c r="K242" s="1744">
        <v>94864</v>
      </c>
      <c r="L242" s="1744">
        <f>SUM(L229:L241)</f>
        <v>86478</v>
      </c>
      <c r="M242" s="1744">
        <f>SUM(M229:M241)</f>
        <v>88283</v>
      </c>
      <c r="N242" s="1744">
        <f>SUM(N229:N241)</f>
        <v>90129</v>
      </c>
      <c r="O242" s="1744">
        <f>SUM(O229:O241)</f>
        <v>92018</v>
      </c>
      <c r="P242" s="115"/>
      <c r="Q242" s="115"/>
      <c r="R242" s="115"/>
    </row>
    <row r="243" spans="4:18" ht="12.75" customHeight="1" thickTop="1" x14ac:dyDescent="0.25">
      <c r="D243" s="143"/>
      <c r="E243" s="115"/>
      <c r="F243" s="303"/>
      <c r="G243" s="115"/>
      <c r="H243" s="399"/>
      <c r="I243" s="397"/>
      <c r="J243" s="402"/>
      <c r="K243" s="402"/>
      <c r="L243" s="402"/>
      <c r="M243" s="402"/>
      <c r="N243" s="402"/>
      <c r="O243" s="402"/>
      <c r="P243" s="115"/>
      <c r="Q243" s="115"/>
      <c r="R243" s="115"/>
    </row>
    <row r="244" spans="4:18" ht="12.75" customHeight="1" x14ac:dyDescent="0.25">
      <c r="D244" s="393"/>
      <c r="E244" s="381" t="s">
        <v>510</v>
      </c>
      <c r="F244" s="314"/>
      <c r="G244" s="115"/>
      <c r="H244" s="115"/>
      <c r="I244" s="115"/>
      <c r="J244" s="115"/>
      <c r="K244" s="115"/>
      <c r="L244" s="115"/>
      <c r="M244" s="115"/>
      <c r="N244" s="115"/>
      <c r="O244" s="115"/>
      <c r="P244" s="115"/>
      <c r="Q244" s="115"/>
      <c r="R244" s="115"/>
    </row>
    <row r="245" spans="4:18" ht="12.75" customHeight="1" x14ac:dyDescent="0.25">
      <c r="D245" s="301"/>
      <c r="E245" s="2510" t="s">
        <v>578</v>
      </c>
      <c r="F245" s="2510"/>
      <c r="G245" s="2510"/>
      <c r="H245" s="2510"/>
      <c r="I245" s="2510"/>
      <c r="J245" s="2510"/>
      <c r="K245" s="2510"/>
      <c r="L245" s="2510"/>
      <c r="M245" s="2510"/>
      <c r="N245" s="403"/>
      <c r="O245" s="403"/>
      <c r="P245" s="115"/>
      <c r="Q245" s="115"/>
      <c r="R245" s="115"/>
    </row>
    <row r="246" spans="4:18" ht="12.75" customHeight="1" x14ac:dyDescent="0.25">
      <c r="D246" s="301"/>
      <c r="E246" s="2510"/>
      <c r="F246" s="2510"/>
      <c r="G246" s="2510"/>
      <c r="H246" s="2510"/>
      <c r="I246" s="2510"/>
      <c r="J246" s="2510"/>
      <c r="K246" s="2510"/>
      <c r="L246" s="2510"/>
      <c r="M246" s="2510"/>
      <c r="N246" s="404"/>
      <c r="O246" s="404"/>
      <c r="P246" s="115"/>
      <c r="Q246" s="115"/>
      <c r="R246" s="115"/>
    </row>
    <row r="247" spans="4:18" ht="12.75" customHeight="1" x14ac:dyDescent="0.25">
      <c r="D247" s="301"/>
      <c r="E247" s="2510"/>
      <c r="F247" s="2510"/>
      <c r="G247" s="2510"/>
      <c r="H247" s="2510"/>
      <c r="I247" s="2510"/>
      <c r="J247" s="2510"/>
      <c r="K247" s="2510"/>
      <c r="L247" s="2510"/>
      <c r="M247" s="2510"/>
      <c r="N247" s="404"/>
      <c r="O247" s="404"/>
      <c r="P247" s="115"/>
      <c r="Q247" s="115"/>
      <c r="R247" s="115"/>
    </row>
    <row r="248" spans="4:18" ht="12.75" customHeight="1" x14ac:dyDescent="0.25">
      <c r="D248" s="301"/>
      <c r="E248" s="2510"/>
      <c r="F248" s="2510"/>
      <c r="G248" s="2510"/>
      <c r="H248" s="2510"/>
      <c r="I248" s="2510"/>
      <c r="J248" s="2510"/>
      <c r="K248" s="2510"/>
      <c r="L248" s="2510"/>
      <c r="M248" s="2510"/>
      <c r="N248" s="404"/>
      <c r="O248" s="404"/>
      <c r="P248" s="115"/>
      <c r="Q248" s="115"/>
      <c r="R248" s="115"/>
    </row>
    <row r="249" spans="4:18" ht="12.75" customHeight="1" x14ac:dyDescent="0.25">
      <c r="D249" s="301"/>
      <c r="E249" s="302"/>
      <c r="F249" s="303"/>
      <c r="G249" s="399"/>
      <c r="H249" s="399"/>
      <c r="I249" s="399"/>
      <c r="J249" s="405"/>
      <c r="K249" s="405"/>
      <c r="L249" s="405"/>
      <c r="M249" s="405"/>
      <c r="N249" s="405"/>
      <c r="O249" s="405"/>
      <c r="P249" s="115"/>
      <c r="Q249" s="115"/>
      <c r="R249" s="115"/>
    </row>
    <row r="250" spans="4:18" ht="12.75" customHeight="1" x14ac:dyDescent="0.25">
      <c r="D250" s="143"/>
      <c r="E250" s="302"/>
      <c r="F250" s="303"/>
      <c r="G250" s="406"/>
      <c r="H250" s="406"/>
      <c r="I250" s="406"/>
      <c r="J250" s="407">
        <v>2025</v>
      </c>
      <c r="K250" s="407">
        <v>2026</v>
      </c>
      <c r="L250" s="407">
        <f>+L221</f>
        <v>2027</v>
      </c>
      <c r="M250" s="407">
        <f>+M221</f>
        <v>2028</v>
      </c>
      <c r="N250" s="407">
        <f>+N221</f>
        <v>2029</v>
      </c>
      <c r="O250" s="407">
        <f>+O221</f>
        <v>2030</v>
      </c>
      <c r="P250" s="115"/>
      <c r="Q250" s="115"/>
      <c r="R250" s="115"/>
    </row>
    <row r="251" spans="4:18" ht="12.75" customHeight="1" x14ac:dyDescent="0.25">
      <c r="D251" s="143">
        <v>43812</v>
      </c>
      <c r="E251" s="302"/>
      <c r="F251" s="303"/>
      <c r="G251" s="115"/>
      <c r="H251" s="382">
        <v>2025</v>
      </c>
      <c r="I251" s="114"/>
      <c r="J251" s="303"/>
      <c r="K251" s="303"/>
      <c r="L251" s="303"/>
      <c r="M251" s="303"/>
      <c r="N251" s="303"/>
      <c r="O251" s="303"/>
      <c r="P251" s="115"/>
      <c r="Q251" s="115"/>
      <c r="R251" s="115"/>
    </row>
    <row r="252" spans="4:18" ht="12.75" customHeight="1" x14ac:dyDescent="0.25">
      <c r="D252" s="301"/>
      <c r="E252" s="408">
        <v>8</v>
      </c>
      <c r="F252" s="114" t="s">
        <v>579</v>
      </c>
      <c r="G252" s="115"/>
      <c r="H252" s="409">
        <f>579*1.026</f>
        <v>594.05399999999997</v>
      </c>
      <c r="I252" s="115"/>
      <c r="J252" s="114">
        <v>5847.2640000000001</v>
      </c>
      <c r="K252" s="114">
        <v>5999.292864</v>
      </c>
      <c r="L252" s="114">
        <f>+K252*T2</f>
        <v>6125.2780141439998</v>
      </c>
      <c r="M252" s="114">
        <f>+L252*U2</f>
        <v>6266.1594084693115</v>
      </c>
      <c r="N252" s="114">
        <f>+M252*V2</f>
        <v>6410.281074864105</v>
      </c>
      <c r="O252" s="114">
        <f>+N252*W2</f>
        <v>6557.7175395859786</v>
      </c>
      <c r="P252" s="115" t="s">
        <v>580</v>
      </c>
      <c r="Q252" s="115"/>
      <c r="R252" s="115"/>
    </row>
    <row r="253" spans="4:18" ht="12.75" customHeight="1" x14ac:dyDescent="0.25">
      <c r="D253" s="301"/>
      <c r="E253" s="408">
        <v>23</v>
      </c>
      <c r="F253" s="114" t="s">
        <v>581</v>
      </c>
      <c r="G253" s="115"/>
      <c r="H253" s="409">
        <f>86.5*1.026</f>
        <v>88.748999999999995</v>
      </c>
      <c r="I253" s="115"/>
      <c r="J253" s="114">
        <v>1868.904</v>
      </c>
      <c r="K253" s="114">
        <v>1917.495504</v>
      </c>
      <c r="L253" s="114">
        <f>+K253*T2</f>
        <v>1957.7629095839998</v>
      </c>
      <c r="M253" s="114">
        <f>+L253*U2</f>
        <v>2002.7914565044316</v>
      </c>
      <c r="N253" s="114">
        <f>+M253*V2</f>
        <v>2048.8556600040333</v>
      </c>
      <c r="O253" s="114">
        <f>+N253*W2</f>
        <v>2095.9793401841257</v>
      </c>
      <c r="P253" s="115" t="s">
        <v>580</v>
      </c>
      <c r="Q253" s="115"/>
      <c r="R253" s="115"/>
    </row>
    <row r="254" spans="4:18" ht="12.75" customHeight="1" x14ac:dyDescent="0.25">
      <c r="D254" s="301"/>
      <c r="E254" s="398"/>
      <c r="F254" s="114"/>
      <c r="G254" s="114"/>
      <c r="H254" s="115"/>
      <c r="I254" s="115"/>
      <c r="J254" s="114"/>
      <c r="K254" s="114"/>
      <c r="L254" s="114"/>
      <c r="M254" s="114"/>
      <c r="N254" s="114"/>
      <c r="O254" s="114"/>
      <c r="P254" s="115"/>
      <c r="Q254" s="115"/>
      <c r="R254" s="115"/>
    </row>
    <row r="255" spans="4:18" ht="12.75" customHeight="1" thickBot="1" x14ac:dyDescent="0.3">
      <c r="D255" s="301"/>
      <c r="E255" s="401" t="str">
        <f>"Totaal "&amp;D251</f>
        <v>Totaal 43812</v>
      </c>
      <c r="F255" s="114"/>
      <c r="G255" s="114"/>
      <c r="H255" s="115"/>
      <c r="I255" s="115"/>
      <c r="J255" s="1744">
        <v>7716.1679999999997</v>
      </c>
      <c r="K255" s="1744">
        <v>7916.7883679999995</v>
      </c>
      <c r="L255" s="1744">
        <f>SUM(L251:L254)</f>
        <v>8083.0409237280001</v>
      </c>
      <c r="M255" s="1744">
        <f>SUM(M251:M254)</f>
        <v>8268.9508649737436</v>
      </c>
      <c r="N255" s="1744">
        <f>SUM(N251:N254)</f>
        <v>8459.1367348681379</v>
      </c>
      <c r="O255" s="1744">
        <f>SUM(O251:O254)</f>
        <v>8653.6968797701047</v>
      </c>
      <c r="P255" s="115"/>
      <c r="Q255" s="115"/>
      <c r="R255" s="115">
        <f>+H252*1.026</f>
        <v>609.49940400000003</v>
      </c>
    </row>
    <row r="256" spans="4:18" ht="12.75" customHeight="1" thickTop="1" x14ac:dyDescent="0.25">
      <c r="D256" s="301"/>
      <c r="E256" s="401"/>
      <c r="F256" s="114"/>
      <c r="G256" s="114"/>
      <c r="H256" s="115"/>
      <c r="I256" s="115"/>
      <c r="J256" s="114"/>
      <c r="K256" s="114"/>
      <c r="L256" s="114"/>
      <c r="M256" s="114"/>
      <c r="N256" s="114"/>
      <c r="O256" s="114"/>
      <c r="P256" s="115"/>
      <c r="Q256" s="115"/>
      <c r="R256" s="115">
        <f>+H253*1.026</f>
        <v>91.056473999999994</v>
      </c>
    </row>
    <row r="257" spans="4:16" ht="12.75" customHeight="1" x14ac:dyDescent="0.25">
      <c r="D257" s="301"/>
      <c r="E257" s="401"/>
      <c r="F257" s="114"/>
      <c r="G257" s="114"/>
      <c r="H257" s="115"/>
      <c r="I257" s="115"/>
      <c r="J257" s="114"/>
      <c r="K257" s="114"/>
      <c r="L257" s="114"/>
      <c r="M257" s="114"/>
      <c r="N257" s="114"/>
      <c r="O257" s="114"/>
      <c r="P257" s="115"/>
    </row>
    <row r="258" spans="4:16" ht="12.75" customHeight="1" x14ac:dyDescent="0.25">
      <c r="D258" s="393"/>
      <c r="E258" s="410" t="s">
        <v>537</v>
      </c>
      <c r="F258" s="114"/>
      <c r="G258" s="114"/>
      <c r="H258" s="115"/>
      <c r="I258" s="115"/>
      <c r="J258" s="114"/>
      <c r="K258" s="114"/>
      <c r="L258" s="114"/>
      <c r="M258" s="114"/>
      <c r="N258" s="114"/>
      <c r="O258" s="114"/>
      <c r="P258" s="115"/>
    </row>
    <row r="259" spans="4:16" ht="12.75" customHeight="1" x14ac:dyDescent="0.25">
      <c r="D259" s="301"/>
      <c r="E259" s="2501" t="s">
        <v>582</v>
      </c>
      <c r="F259" s="2501"/>
      <c r="G259" s="2501"/>
      <c r="H259" s="2501"/>
      <c r="I259" s="2501"/>
      <c r="J259" s="114"/>
      <c r="K259" s="114"/>
      <c r="L259" s="114"/>
      <c r="M259" s="114"/>
      <c r="N259" s="114"/>
      <c r="O259" s="114"/>
      <c r="P259" s="115"/>
    </row>
    <row r="260" spans="4:16" ht="12.75" customHeight="1" x14ac:dyDescent="0.25">
      <c r="D260" s="301"/>
      <c r="E260" s="2501"/>
      <c r="F260" s="2501"/>
      <c r="G260" s="2501"/>
      <c r="H260" s="2501"/>
      <c r="I260" s="2501"/>
      <c r="J260" s="114"/>
      <c r="K260" s="114"/>
      <c r="L260" s="114"/>
      <c r="M260" s="114"/>
      <c r="N260" s="114"/>
      <c r="O260" s="114"/>
      <c r="P260" s="115"/>
    </row>
    <row r="261" spans="4:16" ht="12.75" customHeight="1" x14ac:dyDescent="0.25">
      <c r="D261" s="301"/>
      <c r="E261" s="2501"/>
      <c r="F261" s="2501"/>
      <c r="G261" s="2501"/>
      <c r="H261" s="2501"/>
      <c r="I261" s="2501"/>
      <c r="J261" s="114"/>
      <c r="K261" s="114"/>
      <c r="L261" s="114"/>
      <c r="M261" s="114"/>
      <c r="N261" s="114"/>
      <c r="O261" s="114"/>
      <c r="P261" s="115"/>
    </row>
    <row r="262" spans="4:16" ht="12.75" customHeight="1" x14ac:dyDescent="0.25">
      <c r="D262" s="301"/>
      <c r="E262" s="398" t="s">
        <v>583</v>
      </c>
      <c r="F262" s="114"/>
      <c r="G262" s="114"/>
      <c r="H262" s="115"/>
      <c r="I262" s="115"/>
      <c r="J262" s="114"/>
      <c r="K262" s="114"/>
      <c r="L262" s="114"/>
      <c r="M262" s="114"/>
      <c r="N262" s="114"/>
      <c r="O262" s="114"/>
      <c r="P262" s="115"/>
    </row>
    <row r="263" spans="4:16" ht="12.75" customHeight="1" x14ac:dyDescent="0.25">
      <c r="D263" s="301"/>
      <c r="E263" s="398" t="s">
        <v>584</v>
      </c>
      <c r="F263" s="114"/>
      <c r="G263" s="114"/>
      <c r="H263" s="115"/>
      <c r="I263" s="115"/>
      <c r="J263" s="114"/>
      <c r="K263" s="114"/>
      <c r="L263" s="114"/>
      <c r="M263" s="114"/>
      <c r="N263" s="114"/>
      <c r="O263" s="114"/>
      <c r="P263" s="115"/>
    </row>
    <row r="264" spans="4:16" ht="12.75" customHeight="1" x14ac:dyDescent="0.25">
      <c r="D264" s="301"/>
      <c r="E264" s="398" t="s">
        <v>585</v>
      </c>
      <c r="F264" s="114"/>
      <c r="G264" s="114"/>
      <c r="H264" s="115"/>
      <c r="I264" s="115"/>
      <c r="J264" s="114"/>
      <c r="K264" s="114"/>
      <c r="L264" s="114"/>
      <c r="M264" s="114"/>
      <c r="N264" s="114"/>
      <c r="O264" s="114"/>
      <c r="P264" s="115"/>
    </row>
    <row r="265" spans="4:16" ht="12.75" customHeight="1" x14ac:dyDescent="0.25">
      <c r="D265" s="301"/>
      <c r="E265" s="398" t="s">
        <v>586</v>
      </c>
      <c r="F265" s="114"/>
      <c r="G265" s="114"/>
      <c r="H265" s="115"/>
      <c r="I265" s="115"/>
      <c r="J265" s="114"/>
      <c r="K265" s="114"/>
      <c r="L265" s="114"/>
      <c r="M265" s="114"/>
      <c r="N265" s="114"/>
      <c r="O265" s="114"/>
      <c r="P265" s="115"/>
    </row>
    <row r="266" spans="4:16" ht="12.75" customHeight="1" x14ac:dyDescent="0.25">
      <c r="D266" s="301"/>
      <c r="E266" s="398" t="s">
        <v>587</v>
      </c>
      <c r="F266" s="114"/>
      <c r="G266" s="114"/>
      <c r="H266" s="115"/>
      <c r="I266" s="115"/>
      <c r="J266" s="114"/>
      <c r="K266" s="114"/>
      <c r="L266" s="114"/>
      <c r="M266" s="114"/>
      <c r="N266" s="114"/>
      <c r="O266" s="114"/>
      <c r="P266" s="115"/>
    </row>
    <row r="267" spans="4:16" ht="12.75" customHeight="1" x14ac:dyDescent="0.25">
      <c r="D267" s="301"/>
      <c r="E267" s="398" t="s">
        <v>588</v>
      </c>
      <c r="F267" s="114"/>
      <c r="G267" s="114"/>
      <c r="H267" s="115"/>
      <c r="I267" s="115"/>
      <c r="J267" s="114"/>
      <c r="K267" s="114"/>
      <c r="L267" s="114"/>
      <c r="M267" s="114"/>
      <c r="N267" s="114"/>
      <c r="O267" s="114"/>
      <c r="P267" s="115"/>
    </row>
    <row r="268" spans="4:16" ht="12.75" customHeight="1" x14ac:dyDescent="0.25">
      <c r="D268" s="301"/>
      <c r="E268" s="398" t="s">
        <v>589</v>
      </c>
      <c r="F268" s="114"/>
      <c r="G268" s="114"/>
      <c r="H268" s="115"/>
      <c r="I268" s="115"/>
      <c r="J268" s="114"/>
      <c r="K268" s="114"/>
      <c r="L268" s="114"/>
      <c r="M268" s="114"/>
      <c r="N268" s="114"/>
      <c r="O268" s="114"/>
      <c r="P268" s="115"/>
    </row>
    <row r="269" spans="4:16" ht="12.75" customHeight="1" x14ac:dyDescent="0.25">
      <c r="D269" s="301"/>
      <c r="E269" s="398" t="s">
        <v>590</v>
      </c>
      <c r="F269" s="114"/>
      <c r="G269" s="114"/>
      <c r="H269" s="115"/>
      <c r="I269" s="115"/>
      <c r="J269" s="114"/>
      <c r="K269" s="114"/>
      <c r="L269" s="114"/>
      <c r="M269" s="114"/>
      <c r="N269" s="114"/>
      <c r="O269" s="114"/>
      <c r="P269" s="115"/>
    </row>
    <row r="270" spans="4:16" ht="12.75" customHeight="1" x14ac:dyDescent="0.25">
      <c r="D270" s="301"/>
      <c r="E270" s="398" t="s">
        <v>591</v>
      </c>
      <c r="F270" s="114"/>
      <c r="G270" s="114"/>
      <c r="H270" s="115"/>
      <c r="I270" s="115"/>
      <c r="J270" s="114"/>
      <c r="K270" s="114"/>
      <c r="L270" s="114"/>
      <c r="M270" s="114"/>
      <c r="N270" s="114"/>
      <c r="O270" s="114"/>
      <c r="P270" s="115"/>
    </row>
    <row r="271" spans="4:16" ht="12.75" customHeight="1" x14ac:dyDescent="0.25">
      <c r="D271" s="301"/>
      <c r="E271" s="2501" t="s">
        <v>592</v>
      </c>
      <c r="F271" s="2501"/>
      <c r="G271" s="2501"/>
      <c r="H271" s="2501"/>
      <c r="I271" s="2501"/>
      <c r="J271" s="114"/>
      <c r="K271" s="114"/>
      <c r="L271" s="114"/>
      <c r="M271" s="114"/>
      <c r="N271" s="114"/>
      <c r="O271" s="114"/>
      <c r="P271" s="115"/>
    </row>
    <row r="272" spans="4:16" ht="12.75" customHeight="1" x14ac:dyDescent="0.25">
      <c r="D272" s="301"/>
      <c r="E272" s="2501"/>
      <c r="F272" s="2501"/>
      <c r="G272" s="2501"/>
      <c r="H272" s="2501"/>
      <c r="I272" s="2501"/>
      <c r="J272" s="114"/>
      <c r="K272" s="114"/>
      <c r="L272" s="114"/>
      <c r="M272" s="114"/>
      <c r="N272" s="114"/>
      <c r="O272" s="114"/>
      <c r="P272" s="115"/>
    </row>
    <row r="273" spans="4:16" ht="12.75" customHeight="1" x14ac:dyDescent="0.25">
      <c r="D273" s="411"/>
      <c r="E273" s="391"/>
      <c r="F273" s="392"/>
      <c r="G273" s="114"/>
      <c r="H273" s="114"/>
      <c r="I273" s="114"/>
      <c r="J273" s="114"/>
      <c r="K273" s="114"/>
      <c r="L273" s="114"/>
      <c r="M273" s="114"/>
      <c r="N273" s="114"/>
      <c r="O273" s="114"/>
      <c r="P273" s="115"/>
    </row>
    <row r="274" spans="4:16" ht="12.75" customHeight="1" x14ac:dyDescent="0.25">
      <c r="D274" s="143">
        <v>43812</v>
      </c>
      <c r="E274" s="401" t="s">
        <v>593</v>
      </c>
      <c r="F274" s="303"/>
      <c r="G274" s="115"/>
      <c r="H274" s="401"/>
      <c r="I274" s="401"/>
      <c r="J274" s="114">
        <v>2450</v>
      </c>
      <c r="K274" s="114">
        <v>2514</v>
      </c>
      <c r="L274" s="114">
        <f t="shared" ref="L274:O276" si="97">ROUND(K274*T$2,0)</f>
        <v>2567</v>
      </c>
      <c r="M274" s="114">
        <f t="shared" si="97"/>
        <v>2626</v>
      </c>
      <c r="N274" s="114">
        <f t="shared" si="97"/>
        <v>2686</v>
      </c>
      <c r="O274" s="114">
        <f t="shared" si="97"/>
        <v>2748</v>
      </c>
      <c r="P274" s="115"/>
    </row>
    <row r="275" spans="4:16" ht="12.75" customHeight="1" x14ac:dyDescent="0.25">
      <c r="D275" s="301"/>
      <c r="E275" s="401" t="s">
        <v>594</v>
      </c>
      <c r="F275" s="303"/>
      <c r="G275" s="115"/>
      <c r="H275" s="401"/>
      <c r="I275" s="401"/>
      <c r="J275" s="114">
        <v>2450</v>
      </c>
      <c r="K275" s="114">
        <v>2514</v>
      </c>
      <c r="L275" s="114">
        <f t="shared" si="97"/>
        <v>2567</v>
      </c>
      <c r="M275" s="114">
        <f t="shared" si="97"/>
        <v>2626</v>
      </c>
      <c r="N275" s="114">
        <f t="shared" si="97"/>
        <v>2686</v>
      </c>
      <c r="O275" s="114">
        <f t="shared" si="97"/>
        <v>2748</v>
      </c>
      <c r="P275" s="115"/>
    </row>
    <row r="276" spans="4:16" ht="12.75" customHeight="1" x14ac:dyDescent="0.25">
      <c r="D276" s="301"/>
      <c r="E276" s="114" t="s">
        <v>595</v>
      </c>
      <c r="F276" s="303"/>
      <c r="G276" s="115"/>
      <c r="H276" s="398"/>
      <c r="I276" s="398"/>
      <c r="J276" s="114">
        <v>12177</v>
      </c>
      <c r="K276" s="114">
        <v>12494</v>
      </c>
      <c r="L276" s="114">
        <f t="shared" si="97"/>
        <v>12756</v>
      </c>
      <c r="M276" s="114">
        <f t="shared" si="97"/>
        <v>13049</v>
      </c>
      <c r="N276" s="114">
        <f t="shared" si="97"/>
        <v>13349</v>
      </c>
      <c r="O276" s="114">
        <f t="shared" si="97"/>
        <v>13656</v>
      </c>
      <c r="P276" s="115"/>
    </row>
    <row r="277" spans="4:16" ht="12.75" customHeight="1" thickBot="1" x14ac:dyDescent="0.3">
      <c r="D277" s="301"/>
      <c r="E277" s="401" t="str">
        <f>"Totaal "&amp;D274</f>
        <v>Totaal 43812</v>
      </c>
      <c r="F277" s="303"/>
      <c r="G277" s="115"/>
      <c r="H277" s="398"/>
      <c r="I277" s="398"/>
      <c r="J277" s="1744">
        <v>17077</v>
      </c>
      <c r="K277" s="1744">
        <v>17522</v>
      </c>
      <c r="L277" s="1744">
        <f t="shared" ref="L277" si="98">SUM(L274:L276)</f>
        <v>17890</v>
      </c>
      <c r="M277" s="1744">
        <f t="shared" ref="M277:N277" si="99">SUM(M274:M276)</f>
        <v>18301</v>
      </c>
      <c r="N277" s="1744">
        <f t="shared" si="99"/>
        <v>18721</v>
      </c>
      <c r="O277" s="1744">
        <f t="shared" ref="O277" si="100">SUM(O274:O276)</f>
        <v>19152</v>
      </c>
      <c r="P277" s="115"/>
    </row>
    <row r="278" spans="4:16" ht="12.75" customHeight="1" thickTop="1" x14ac:dyDescent="0.25">
      <c r="D278" s="301"/>
      <c r="E278" s="401"/>
      <c r="F278" s="303"/>
      <c r="G278" s="115"/>
      <c r="H278" s="398"/>
      <c r="I278" s="398"/>
      <c r="J278" s="114"/>
      <c r="K278" s="114"/>
      <c r="L278" s="114"/>
      <c r="M278" s="114"/>
      <c r="N278" s="114"/>
      <c r="O278" s="114"/>
      <c r="P278" s="115"/>
    </row>
    <row r="279" spans="4:16" ht="12.75" customHeight="1" x14ac:dyDescent="0.25">
      <c r="D279" s="393"/>
      <c r="E279" s="410" t="s">
        <v>538</v>
      </c>
      <c r="F279" s="314"/>
      <c r="G279" s="115"/>
      <c r="H279" s="398"/>
      <c r="I279" s="398"/>
      <c r="J279" s="114"/>
      <c r="K279" s="114"/>
      <c r="L279" s="114"/>
      <c r="M279" s="114"/>
      <c r="N279" s="114"/>
      <c r="O279" s="114"/>
      <c r="P279" s="115"/>
    </row>
    <row r="280" spans="4:16" ht="12.75" customHeight="1" thickBot="1" x14ac:dyDescent="0.3">
      <c r="D280" s="143">
        <v>43812</v>
      </c>
      <c r="E280" s="398" t="s">
        <v>596</v>
      </c>
      <c r="F280" s="303"/>
      <c r="G280" s="115"/>
      <c r="H280" s="398"/>
      <c r="I280" s="398"/>
      <c r="J280" s="412">
        <v>4085</v>
      </c>
      <c r="K280" s="412">
        <v>4191</v>
      </c>
      <c r="L280" s="412">
        <f>ROUND(K280*T$2,0)</f>
        <v>4279</v>
      </c>
      <c r="M280" s="412">
        <f>ROUND(L280*U$2,0)</f>
        <v>4377</v>
      </c>
      <c r="N280" s="412">
        <f>ROUND(M280*V$2,0)</f>
        <v>4478</v>
      </c>
      <c r="O280" s="412">
        <f>ROUND(N280*W$2,0)</f>
        <v>4581</v>
      </c>
      <c r="P280" s="115"/>
    </row>
    <row r="281" spans="4:16" ht="12.75" customHeight="1" thickTop="1" x14ac:dyDescent="0.25">
      <c r="D281" s="114"/>
      <c r="E281" s="401"/>
      <c r="F281" s="303"/>
      <c r="G281" s="115"/>
      <c r="H281" s="398"/>
      <c r="I281" s="398"/>
      <c r="J281" s="114"/>
      <c r="K281" s="114"/>
      <c r="L281" s="114"/>
      <c r="M281" s="114"/>
      <c r="N281" s="114"/>
      <c r="O281" s="114"/>
      <c r="P281" s="115"/>
    </row>
    <row r="282" spans="4:16" ht="12.75" customHeight="1" x14ac:dyDescent="0.25">
      <c r="D282" s="393">
        <v>601002</v>
      </c>
      <c r="E282" s="410" t="s">
        <v>512</v>
      </c>
      <c r="F282" s="314"/>
      <c r="G282" s="115"/>
      <c r="H282" s="114"/>
      <c r="I282" s="114"/>
      <c r="J282" s="114"/>
      <c r="K282" s="114"/>
      <c r="L282" s="114"/>
      <c r="M282" s="114"/>
      <c r="N282" s="114"/>
      <c r="O282" s="114"/>
      <c r="P282" s="115"/>
    </row>
    <row r="283" spans="4:16" ht="12.75" customHeight="1" x14ac:dyDescent="0.25">
      <c r="D283" s="143"/>
      <c r="E283" s="114"/>
      <c r="F283" s="303"/>
      <c r="G283" s="115"/>
      <c r="H283" s="114"/>
      <c r="I283" s="114"/>
      <c r="J283" s="114"/>
      <c r="K283" s="114"/>
      <c r="L283" s="114"/>
      <c r="M283" s="114"/>
      <c r="N283" s="114"/>
      <c r="O283" s="114"/>
      <c r="P283" s="115"/>
    </row>
    <row r="284" spans="4:16" ht="12.75" customHeight="1" x14ac:dyDescent="0.25">
      <c r="D284" s="143">
        <v>43819</v>
      </c>
      <c r="E284" s="398" t="s">
        <v>597</v>
      </c>
      <c r="F284" s="303"/>
      <c r="G284" s="115"/>
      <c r="H284" s="114"/>
      <c r="I284" s="114"/>
      <c r="J284" s="114">
        <v>4702</v>
      </c>
      <c r="K284" s="114">
        <v>5107</v>
      </c>
      <c r="L284" s="114">
        <f t="shared" ref="L284:O285" si="101">ROUND(K284*T$2,0)</f>
        <v>5214</v>
      </c>
      <c r="M284" s="114">
        <f t="shared" si="101"/>
        <v>5334</v>
      </c>
      <c r="N284" s="114">
        <f t="shared" si="101"/>
        <v>5457</v>
      </c>
      <c r="O284" s="114">
        <f t="shared" si="101"/>
        <v>5583</v>
      </c>
      <c r="P284" s="115"/>
    </row>
    <row r="285" spans="4:16" ht="12.75" customHeight="1" x14ac:dyDescent="0.25">
      <c r="D285" s="143"/>
      <c r="E285" s="398" t="s">
        <v>598</v>
      </c>
      <c r="F285" s="303"/>
      <c r="G285" s="115"/>
      <c r="H285" s="114"/>
      <c r="I285" s="114"/>
      <c r="J285" s="114">
        <v>6836</v>
      </c>
      <c r="K285" s="114">
        <v>7014</v>
      </c>
      <c r="L285" s="114">
        <f t="shared" si="101"/>
        <v>7161</v>
      </c>
      <c r="M285" s="114">
        <f t="shared" si="101"/>
        <v>7326</v>
      </c>
      <c r="N285" s="114">
        <f t="shared" si="101"/>
        <v>7494</v>
      </c>
      <c r="O285" s="114">
        <f t="shared" si="101"/>
        <v>7666</v>
      </c>
      <c r="P285" s="115"/>
    </row>
    <row r="286" spans="4:16" ht="12.75" customHeight="1" x14ac:dyDescent="0.25">
      <c r="D286" s="143"/>
      <c r="E286" s="398"/>
      <c r="F286" s="303"/>
      <c r="G286" s="115"/>
      <c r="H286" s="114"/>
      <c r="I286" s="114"/>
      <c r="J286" s="114"/>
      <c r="K286" s="114"/>
      <c r="L286" s="114"/>
      <c r="M286" s="114"/>
      <c r="N286" s="114"/>
      <c r="O286" s="114"/>
      <c r="P286" s="115"/>
    </row>
    <row r="287" spans="4:16" ht="12.75" customHeight="1" thickBot="1" x14ac:dyDescent="0.3">
      <c r="D287" s="143"/>
      <c r="E287" s="398"/>
      <c r="F287" s="303"/>
      <c r="G287" s="115"/>
      <c r="H287" s="114"/>
      <c r="I287" s="114"/>
      <c r="J287" s="1744">
        <v>11538</v>
      </c>
      <c r="K287" s="1744">
        <v>12121</v>
      </c>
      <c r="L287" s="1744">
        <f>SUM(L284:L286)</f>
        <v>12375</v>
      </c>
      <c r="M287" s="1744">
        <f>SUM(M284:M286)</f>
        <v>12660</v>
      </c>
      <c r="N287" s="1744">
        <f>SUM(N284:N286)</f>
        <v>12951</v>
      </c>
      <c r="O287" s="1744">
        <f>SUM(O284:O286)</f>
        <v>13249</v>
      </c>
      <c r="P287" s="115"/>
    </row>
    <row r="288" spans="4:16" ht="12.75" customHeight="1" thickTop="1" x14ac:dyDescent="0.25">
      <c r="D288" s="143">
        <v>43812</v>
      </c>
      <c r="E288" s="398" t="s">
        <v>599</v>
      </c>
      <c r="F288" s="303"/>
      <c r="G288" s="115"/>
      <c r="H288" s="398"/>
      <c r="I288" s="398"/>
      <c r="J288" s="114"/>
      <c r="K288" s="114"/>
      <c r="L288" s="114"/>
      <c r="M288" s="114"/>
      <c r="N288" s="114"/>
      <c r="O288" s="114"/>
      <c r="P288" s="115"/>
    </row>
    <row r="289" spans="4:16" ht="12.75" customHeight="1" x14ac:dyDescent="0.25">
      <c r="D289" s="301"/>
      <c r="E289" s="398" t="s">
        <v>600</v>
      </c>
      <c r="F289" s="303"/>
      <c r="G289" s="115"/>
      <c r="H289" s="398"/>
      <c r="I289" s="398"/>
      <c r="J289" s="114"/>
      <c r="K289" s="114"/>
      <c r="L289" s="114"/>
      <c r="M289" s="114"/>
      <c r="N289" s="114"/>
      <c r="O289" s="114"/>
      <c r="P289" s="115"/>
    </row>
    <row r="290" spans="4:16" ht="12.75" customHeight="1" x14ac:dyDescent="0.25">
      <c r="D290" s="301"/>
      <c r="E290" s="398" t="s">
        <v>601</v>
      </c>
      <c r="F290" s="303"/>
      <c r="G290" s="115"/>
      <c r="H290" s="398"/>
      <c r="I290" s="398"/>
      <c r="J290" s="114"/>
      <c r="K290" s="114"/>
      <c r="L290" s="114"/>
      <c r="M290" s="114"/>
      <c r="N290" s="114"/>
      <c r="O290" s="114"/>
      <c r="P290" s="115"/>
    </row>
    <row r="291" spans="4:16" ht="12.75" customHeight="1" x14ac:dyDescent="0.25">
      <c r="D291" s="301"/>
      <c r="E291" s="398" t="s">
        <v>602</v>
      </c>
      <c r="F291" s="303"/>
      <c r="G291" s="115"/>
      <c r="H291" s="398"/>
      <c r="I291" s="398"/>
      <c r="J291" s="114"/>
      <c r="K291" s="114"/>
      <c r="L291" s="114"/>
      <c r="M291" s="114"/>
      <c r="N291" s="114"/>
      <c r="O291" s="114"/>
      <c r="P291" s="115"/>
    </row>
    <row r="292" spans="4:16" ht="12.75" customHeight="1" x14ac:dyDescent="0.25">
      <c r="D292" s="301"/>
      <c r="E292" s="398" t="s">
        <v>603</v>
      </c>
      <c r="F292" s="303"/>
      <c r="G292" s="115"/>
      <c r="H292" s="398"/>
      <c r="I292" s="398"/>
      <c r="J292" s="114"/>
      <c r="K292" s="114"/>
      <c r="L292" s="114"/>
      <c r="M292" s="114"/>
      <c r="N292" s="114"/>
      <c r="O292" s="114"/>
      <c r="P292" s="115"/>
    </row>
    <row r="293" spans="4:16" ht="12.75" customHeight="1" x14ac:dyDescent="0.25">
      <c r="D293" s="301"/>
      <c r="E293" s="398" t="s">
        <v>604</v>
      </c>
      <c r="F293" s="303"/>
      <c r="G293" s="115"/>
      <c r="H293" s="398"/>
      <c r="I293" s="398"/>
      <c r="J293" s="114"/>
      <c r="K293" s="114"/>
      <c r="L293" s="114"/>
      <c r="M293" s="114"/>
      <c r="N293" s="114"/>
      <c r="O293" s="114"/>
      <c r="P293" s="115"/>
    </row>
    <row r="294" spans="4:16" ht="12.75" customHeight="1" x14ac:dyDescent="0.25">
      <c r="D294" s="301"/>
      <c r="E294" s="115"/>
      <c r="F294" s="303"/>
      <c r="G294" s="115"/>
      <c r="H294" s="398"/>
      <c r="I294" s="398"/>
      <c r="J294" s="114">
        <v>15401</v>
      </c>
      <c r="K294" s="114">
        <v>15801</v>
      </c>
      <c r="L294" s="114">
        <f>ROUND(K294*T$2,0)</f>
        <v>16133</v>
      </c>
      <c r="M294" s="114">
        <f>ROUND(L294*U$2,0)</f>
        <v>16504</v>
      </c>
      <c r="N294" s="114">
        <f>ROUND(M294*V$2,0)</f>
        <v>16884</v>
      </c>
      <c r="O294" s="114">
        <f>ROUND(N294*W$2,0)</f>
        <v>17272</v>
      </c>
      <c r="P294" s="115"/>
    </row>
    <row r="295" spans="4:16" ht="12.75" customHeight="1" x14ac:dyDescent="0.25">
      <c r="D295" s="301"/>
      <c r="E295" s="115" t="s">
        <v>605</v>
      </c>
      <c r="F295" s="303"/>
      <c r="G295" s="115"/>
      <c r="H295" s="398"/>
      <c r="I295" s="398"/>
      <c r="J295" s="114">
        <v>-4000</v>
      </c>
      <c r="K295" s="114">
        <v>-4000</v>
      </c>
      <c r="L295" s="114">
        <v>-4000</v>
      </c>
      <c r="M295" s="114">
        <v>-4000</v>
      </c>
      <c r="N295" s="114">
        <v>-4000</v>
      </c>
      <c r="O295" s="114">
        <v>-4000</v>
      </c>
      <c r="P295" s="115"/>
    </row>
    <row r="296" spans="4:16" ht="12.75" customHeight="1" thickBot="1" x14ac:dyDescent="0.3">
      <c r="D296" s="301"/>
      <c r="E296" s="401" t="str">
        <f>"Totaal "&amp;D288</f>
        <v>Totaal 43812</v>
      </c>
      <c r="F296" s="303"/>
      <c r="G296" s="115"/>
      <c r="H296" s="398"/>
      <c r="I296" s="398"/>
      <c r="J296" s="1744">
        <v>11401</v>
      </c>
      <c r="K296" s="1744">
        <v>11801</v>
      </c>
      <c r="L296" s="1744">
        <f t="shared" ref="L296:N296" si="102">+L294+L295</f>
        <v>12133</v>
      </c>
      <c r="M296" s="1744">
        <f t="shared" si="102"/>
        <v>12504</v>
      </c>
      <c r="N296" s="1744">
        <f t="shared" si="102"/>
        <v>12884</v>
      </c>
      <c r="O296" s="1744">
        <f t="shared" ref="O296" si="103">+O294+O295</f>
        <v>13272</v>
      </c>
      <c r="P296" s="115"/>
    </row>
    <row r="297" spans="4:16" ht="12.75" customHeight="1" thickTop="1" x14ac:dyDescent="0.25">
      <c r="D297" s="301"/>
      <c r="E297" s="401"/>
      <c r="F297" s="303"/>
      <c r="G297" s="115"/>
      <c r="H297" s="398"/>
      <c r="I297" s="398"/>
      <c r="J297" s="114"/>
      <c r="K297" s="114"/>
      <c r="L297" s="114"/>
      <c r="M297" s="114"/>
      <c r="N297" s="114"/>
      <c r="O297" s="114"/>
      <c r="P297" s="115"/>
    </row>
    <row r="298" spans="4:16" ht="12.75" customHeight="1" thickBot="1" x14ac:dyDescent="0.3">
      <c r="D298" s="301"/>
      <c r="E298" s="401" t="s">
        <v>606</v>
      </c>
      <c r="F298" s="303"/>
      <c r="G298" s="115"/>
      <c r="H298" s="398"/>
      <c r="I298" s="398"/>
      <c r="J298" s="1744">
        <v>22939</v>
      </c>
      <c r="K298" s="1744">
        <v>23922</v>
      </c>
      <c r="L298" s="1744">
        <f>+L287+L296</f>
        <v>24508</v>
      </c>
      <c r="M298" s="1744">
        <f>+M287+M296</f>
        <v>25164</v>
      </c>
      <c r="N298" s="1744">
        <f>+N287+N296</f>
        <v>25835</v>
      </c>
      <c r="O298" s="1744">
        <f>+O287+O296</f>
        <v>26521</v>
      </c>
      <c r="P298" s="115"/>
    </row>
    <row r="299" spans="4:16" ht="12.75" customHeight="1" thickTop="1" x14ac:dyDescent="0.25">
      <c r="D299" s="301"/>
      <c r="E299" s="302"/>
      <c r="F299" s="303"/>
      <c r="G299" s="401"/>
      <c r="H299" s="398"/>
      <c r="I299" s="398"/>
      <c r="J299" s="114"/>
      <c r="K299" s="114"/>
      <c r="L299" s="114"/>
      <c r="M299" s="114"/>
      <c r="N299" s="114"/>
      <c r="O299" s="114"/>
      <c r="P299" s="115"/>
    </row>
    <row r="300" spans="4:16" ht="12.75" customHeight="1" x14ac:dyDescent="0.25">
      <c r="D300" s="393">
        <v>601003</v>
      </c>
      <c r="E300" s="410" t="s">
        <v>539</v>
      </c>
      <c r="F300" s="314"/>
      <c r="G300" s="115"/>
      <c r="H300" s="398"/>
      <c r="I300" s="398"/>
      <c r="J300" s="114"/>
      <c r="K300" s="114"/>
      <c r="L300" s="114"/>
      <c r="M300" s="114"/>
      <c r="N300" s="114"/>
      <c r="O300" s="114"/>
      <c r="P300" s="115"/>
    </row>
    <row r="301" spans="4:16" ht="12.75" customHeight="1" x14ac:dyDescent="0.25">
      <c r="D301" s="301"/>
      <c r="E301" s="2514" t="s">
        <v>607</v>
      </c>
      <c r="F301" s="2514"/>
      <c r="G301" s="2514"/>
      <c r="H301" s="2514"/>
      <c r="I301" s="2514"/>
      <c r="J301" s="401"/>
      <c r="K301" s="401"/>
      <c r="L301" s="401"/>
      <c r="M301" s="401"/>
      <c r="N301" s="401"/>
      <c r="O301" s="401"/>
      <c r="P301" s="115"/>
    </row>
    <row r="302" spans="4:16" ht="12.75" customHeight="1" x14ac:dyDescent="0.25">
      <c r="D302" s="301"/>
      <c r="E302" s="2514"/>
      <c r="F302" s="2514"/>
      <c r="G302" s="2514"/>
      <c r="H302" s="2514"/>
      <c r="I302" s="2514"/>
      <c r="J302" s="401"/>
      <c r="K302" s="401"/>
      <c r="L302" s="401"/>
      <c r="M302" s="401"/>
      <c r="N302" s="401"/>
      <c r="O302" s="401"/>
      <c r="P302" s="115"/>
    </row>
    <row r="303" spans="4:16" ht="12.75" customHeight="1" x14ac:dyDescent="0.25">
      <c r="D303" s="301"/>
      <c r="E303" s="2514"/>
      <c r="F303" s="2514"/>
      <c r="G303" s="2514"/>
      <c r="H303" s="2514"/>
      <c r="I303" s="2514"/>
      <c r="J303" s="401"/>
      <c r="K303" s="401"/>
      <c r="L303" s="401"/>
      <c r="M303" s="401"/>
      <c r="N303" s="401"/>
      <c r="O303" s="401"/>
      <c r="P303" s="115"/>
    </row>
    <row r="304" spans="4:16" ht="12.75" customHeight="1" x14ac:dyDescent="0.25">
      <c r="D304" s="301"/>
      <c r="E304" s="2514" t="s">
        <v>608</v>
      </c>
      <c r="F304" s="2514"/>
      <c r="G304" s="2514"/>
      <c r="H304" s="2514"/>
      <c r="I304" s="2514"/>
      <c r="J304" s="401"/>
      <c r="K304" s="401"/>
      <c r="L304" s="401"/>
      <c r="M304" s="401"/>
      <c r="N304" s="401"/>
      <c r="O304" s="401"/>
      <c r="P304" s="115"/>
    </row>
    <row r="305" spans="4:16" ht="12.75" customHeight="1" x14ac:dyDescent="0.25">
      <c r="D305" s="301"/>
      <c r="E305" s="302"/>
      <c r="F305" s="303"/>
      <c r="G305" s="115"/>
      <c r="H305" s="114"/>
      <c r="I305" s="114"/>
      <c r="J305" s="407">
        <v>2025</v>
      </c>
      <c r="K305" s="407">
        <v>2026</v>
      </c>
      <c r="L305" s="407">
        <f>+L221</f>
        <v>2027</v>
      </c>
      <c r="M305" s="407">
        <f>+M221</f>
        <v>2028</v>
      </c>
      <c r="N305" s="407">
        <f>+N221</f>
        <v>2029</v>
      </c>
      <c r="O305" s="407">
        <f>+O221</f>
        <v>2030</v>
      </c>
      <c r="P305" s="115"/>
    </row>
    <row r="306" spans="4:16" ht="12.75" customHeight="1" x14ac:dyDescent="0.25">
      <c r="D306" s="143">
        <v>43812</v>
      </c>
      <c r="E306" s="114" t="s">
        <v>609</v>
      </c>
      <c r="F306" s="303"/>
      <c r="G306" s="115"/>
      <c r="H306" s="114"/>
      <c r="I306" s="114"/>
      <c r="J306" s="115"/>
      <c r="K306" s="115"/>
      <c r="L306" s="115"/>
      <c r="M306" s="115"/>
      <c r="N306" s="115"/>
      <c r="O306" s="115"/>
      <c r="P306" s="115"/>
    </row>
    <row r="307" spans="4:16" ht="12.75" customHeight="1" x14ac:dyDescent="0.25">
      <c r="D307" s="301"/>
      <c r="E307" s="114"/>
      <c r="F307" s="303"/>
      <c r="G307" s="115"/>
      <c r="H307" s="114"/>
      <c r="I307" s="413"/>
      <c r="J307" s="114"/>
      <c r="K307" s="114"/>
      <c r="L307" s="114"/>
      <c r="M307" s="114"/>
      <c r="N307" s="114"/>
      <c r="O307" s="114"/>
      <c r="P307" s="115"/>
    </row>
    <row r="308" spans="4:16" ht="12.75" customHeight="1" x14ac:dyDescent="0.25">
      <c r="D308" s="301"/>
      <c r="E308" s="114">
        <v>31412</v>
      </c>
      <c r="F308" s="303"/>
      <c r="G308" s="114" t="s">
        <v>610</v>
      </c>
      <c r="H308" s="115"/>
      <c r="I308" s="413">
        <v>1.33</v>
      </c>
      <c r="J308" s="114">
        <v>41778</v>
      </c>
      <c r="K308" s="114"/>
      <c r="L308" s="114"/>
      <c r="M308" s="114"/>
      <c r="N308" s="114"/>
      <c r="O308" s="114"/>
      <c r="P308" s="115"/>
    </row>
    <row r="309" spans="4:16" ht="12.75" customHeight="1" x14ac:dyDescent="0.25">
      <c r="D309" s="301"/>
      <c r="E309" s="114">
        <v>32141</v>
      </c>
      <c r="F309" s="303"/>
      <c r="G309" s="114" t="s">
        <v>611</v>
      </c>
      <c r="H309" s="115"/>
      <c r="I309" s="413">
        <f>ROUND(+I308*$S$2,2)</f>
        <v>1.36</v>
      </c>
      <c r="J309" s="114"/>
      <c r="K309" s="114">
        <v>43712</v>
      </c>
      <c r="L309" s="114"/>
      <c r="M309" s="114"/>
      <c r="N309" s="114"/>
      <c r="O309" s="114"/>
      <c r="P309" s="115"/>
    </row>
    <row r="310" spans="4:16" ht="12.75" customHeight="1" x14ac:dyDescent="0.25">
      <c r="D310" s="301"/>
      <c r="E310" s="114">
        <v>32540</v>
      </c>
      <c r="F310" s="303"/>
      <c r="G310" s="114" t="s">
        <v>612</v>
      </c>
      <c r="H310" s="115"/>
      <c r="I310" s="413">
        <f>ROUND(+I309*$T$2,2)</f>
        <v>1.39</v>
      </c>
      <c r="J310" s="114"/>
      <c r="K310" s="114"/>
      <c r="L310" s="114">
        <f>ROUND($E310*$I310,0)</f>
        <v>45231</v>
      </c>
      <c r="M310" s="114"/>
      <c r="N310" s="114"/>
      <c r="O310" s="114"/>
      <c r="P310" s="115"/>
    </row>
    <row r="311" spans="4:16" ht="12.75" customHeight="1" x14ac:dyDescent="0.25">
      <c r="D311" s="301"/>
      <c r="E311" s="114">
        <v>33182</v>
      </c>
      <c r="F311" s="303"/>
      <c r="G311" s="114" t="s">
        <v>613</v>
      </c>
      <c r="H311" s="115"/>
      <c r="I311" s="413">
        <f>ROUND(+I310*$U$2,2)</f>
        <v>1.42</v>
      </c>
      <c r="J311" s="114"/>
      <c r="K311" s="114"/>
      <c r="L311" s="114"/>
      <c r="M311" s="114">
        <f>ROUND($E311*$I311,0)</f>
        <v>47118</v>
      </c>
      <c r="N311" s="114"/>
      <c r="O311" s="114"/>
      <c r="P311" s="115"/>
    </row>
    <row r="312" spans="4:16" ht="12.75" customHeight="1" x14ac:dyDescent="0.25">
      <c r="D312" s="301"/>
      <c r="E312" s="114">
        <v>33710</v>
      </c>
      <c r="F312" s="303"/>
      <c r="G312" s="114" t="s">
        <v>614</v>
      </c>
      <c r="H312" s="115"/>
      <c r="I312" s="413">
        <f>ROUND(+I311*$V$2,2)</f>
        <v>1.45</v>
      </c>
      <c r="J312" s="114"/>
      <c r="K312" s="114"/>
      <c r="L312" s="114"/>
      <c r="M312" s="114"/>
      <c r="N312" s="114">
        <f>+I312*E312</f>
        <v>48879.5</v>
      </c>
      <c r="O312" s="114"/>
      <c r="P312" s="115"/>
    </row>
    <row r="313" spans="4:16" ht="12.75" customHeight="1" x14ac:dyDescent="0.25">
      <c r="D313" s="301"/>
      <c r="E313" s="544">
        <v>33710</v>
      </c>
      <c r="F313" s="2027"/>
      <c r="G313" s="544" t="s">
        <v>5282</v>
      </c>
      <c r="H313" s="358"/>
      <c r="I313" s="2069">
        <f>ROUND(+I312*$W$2,2)</f>
        <v>1.48</v>
      </c>
      <c r="J313" s="114"/>
      <c r="K313" s="114"/>
      <c r="L313" s="114"/>
      <c r="M313" s="114"/>
      <c r="N313" s="114"/>
      <c r="O313" s="114">
        <f>+I313*E313</f>
        <v>49890.8</v>
      </c>
      <c r="P313" s="115"/>
    </row>
    <row r="314" spans="4:16" ht="12.75" customHeight="1" thickBot="1" x14ac:dyDescent="0.3">
      <c r="D314" s="301"/>
      <c r="E314" s="401" t="str">
        <f>"Totaal "&amp;D306</f>
        <v>Totaal 43812</v>
      </c>
      <c r="F314" s="303"/>
      <c r="G314" s="115"/>
      <c r="H314" s="114"/>
      <c r="I314" s="114"/>
      <c r="J314" s="1744">
        <v>41778</v>
      </c>
      <c r="K314" s="1744">
        <v>43712</v>
      </c>
      <c r="L314" s="1744">
        <f>SUM(L308:L311)</f>
        <v>45231</v>
      </c>
      <c r="M314" s="1744">
        <f>SUM(M308:M311)</f>
        <v>47118</v>
      </c>
      <c r="N314" s="1744">
        <f>+N312</f>
        <v>48879.5</v>
      </c>
      <c r="O314" s="1744">
        <f>+O313</f>
        <v>49890.8</v>
      </c>
      <c r="P314" s="115"/>
    </row>
    <row r="315" spans="4:16" ht="12.75" customHeight="1" thickTop="1" x14ac:dyDescent="0.25">
      <c r="D315" s="301"/>
      <c r="E315" s="114"/>
      <c r="F315" s="303"/>
      <c r="G315" s="115"/>
      <c r="H315" s="114"/>
      <c r="I315" s="114"/>
      <c r="J315" s="115"/>
      <c r="K315" s="115"/>
      <c r="L315" s="115"/>
      <c r="M315" s="115"/>
      <c r="N315" s="115"/>
      <c r="O315" s="115"/>
      <c r="P315" s="115"/>
    </row>
    <row r="316" spans="4:16" ht="12.75" customHeight="1" x14ac:dyDescent="0.25">
      <c r="D316" s="301"/>
      <c r="E316" s="2501" t="s">
        <v>615</v>
      </c>
      <c r="F316" s="2501"/>
      <c r="G316" s="2501"/>
      <c r="H316" s="2501"/>
      <c r="I316" s="2501"/>
      <c r="J316" s="2501"/>
      <c r="K316" s="2501"/>
      <c r="L316" s="414"/>
      <c r="M316" s="414"/>
      <c r="N316" s="414"/>
      <c r="O316" s="414"/>
      <c r="P316" s="115"/>
    </row>
    <row r="317" spans="4:16" ht="12.75" customHeight="1" x14ac:dyDescent="0.25">
      <c r="D317" s="301"/>
      <c r="E317" s="2501"/>
      <c r="F317" s="2501"/>
      <c r="G317" s="2501"/>
      <c r="H317" s="2501"/>
      <c r="I317" s="2501"/>
      <c r="J317" s="2501"/>
      <c r="K317" s="2501"/>
      <c r="L317" s="414"/>
      <c r="M317" s="414"/>
      <c r="N317" s="414"/>
      <c r="O317" s="414"/>
      <c r="P317" s="115"/>
    </row>
    <row r="318" spans="4:16" ht="12.75" customHeight="1" x14ac:dyDescent="0.25">
      <c r="D318" s="301"/>
      <c r="E318" s="2501"/>
      <c r="F318" s="2501"/>
      <c r="G318" s="2501"/>
      <c r="H318" s="2501"/>
      <c r="I318" s="2501"/>
      <c r="J318" s="2501"/>
      <c r="K318" s="2501"/>
      <c r="L318" s="414"/>
      <c r="M318" s="414"/>
      <c r="N318" s="414"/>
      <c r="O318" s="414"/>
      <c r="P318" s="115"/>
    </row>
    <row r="319" spans="4:16" ht="12.75" customHeight="1" x14ac:dyDescent="0.25">
      <c r="D319" s="301"/>
      <c r="E319" s="2501"/>
      <c r="F319" s="2501"/>
      <c r="G319" s="2501"/>
      <c r="H319" s="2501"/>
      <c r="I319" s="2501"/>
      <c r="J319" s="2501"/>
      <c r="K319" s="2501"/>
      <c r="L319" s="414"/>
      <c r="M319" s="414"/>
      <c r="N319" s="414"/>
      <c r="O319" s="414"/>
      <c r="P319" s="115"/>
    </row>
    <row r="320" spans="4:16" ht="12.75" customHeight="1" x14ac:dyDescent="0.25">
      <c r="D320" s="301"/>
      <c r="E320" s="302"/>
      <c r="F320" s="303"/>
      <c r="G320" s="114"/>
      <c r="H320" s="114"/>
      <c r="I320" s="114"/>
      <c r="J320" s="407">
        <v>2025</v>
      </c>
      <c r="K320" s="407">
        <v>2026</v>
      </c>
      <c r="L320" s="407">
        <f>+L305</f>
        <v>2027</v>
      </c>
      <c r="M320" s="407">
        <f>+M305</f>
        <v>2028</v>
      </c>
      <c r="N320" s="407">
        <f>+N305</f>
        <v>2029</v>
      </c>
      <c r="O320" s="407">
        <f>+O305</f>
        <v>2030</v>
      </c>
      <c r="P320" s="115"/>
    </row>
    <row r="321" spans="4:16" ht="12.75" customHeight="1" x14ac:dyDescent="0.25">
      <c r="D321" s="393">
        <v>601004</v>
      </c>
      <c r="E321" s="410" t="s">
        <v>513</v>
      </c>
      <c r="F321" s="314"/>
      <c r="G321" s="115"/>
      <c r="H321" s="114"/>
      <c r="I321" s="114"/>
      <c r="J321" s="115"/>
      <c r="K321" s="115"/>
      <c r="L321" s="115"/>
      <c r="M321" s="115"/>
      <c r="N321" s="115"/>
      <c r="O321" s="115"/>
      <c r="P321" s="115"/>
    </row>
    <row r="322" spans="4:16" ht="12.75" customHeight="1" x14ac:dyDescent="0.25">
      <c r="D322" s="143">
        <v>43812</v>
      </c>
      <c r="E322" s="115" t="s">
        <v>616</v>
      </c>
      <c r="F322" s="303"/>
      <c r="G322" s="115"/>
      <c r="H322" s="115"/>
      <c r="I322" s="115"/>
      <c r="J322" s="114">
        <v>69833</v>
      </c>
      <c r="K322" s="114">
        <v>70000</v>
      </c>
      <c r="L322" s="114">
        <f>ROUND(K322*T$2,0)</f>
        <v>71470</v>
      </c>
      <c r="M322" s="114">
        <f>ROUND(L322*U$2,0)</f>
        <v>73114</v>
      </c>
      <c r="N322" s="114">
        <f>ROUND(M322*V$2,0)</f>
        <v>74796</v>
      </c>
      <c r="O322" s="114">
        <f>ROUND(N322*W$2,0)</f>
        <v>76516</v>
      </c>
      <c r="P322" s="115"/>
    </row>
    <row r="323" spans="4:16" ht="12.75" customHeight="1" thickBot="1" x14ac:dyDescent="0.3">
      <c r="D323" s="143"/>
      <c r="E323" s="115"/>
      <c r="F323" s="303"/>
      <c r="G323" s="115"/>
      <c r="H323" s="115"/>
      <c r="I323" s="115"/>
      <c r="J323" s="1744">
        <v>69833</v>
      </c>
      <c r="K323" s="1744">
        <v>70000</v>
      </c>
      <c r="L323" s="1744">
        <f>SUM(L322:L322)</f>
        <v>71470</v>
      </c>
      <c r="M323" s="1744">
        <f>SUM(M322:M322)</f>
        <v>73114</v>
      </c>
      <c r="N323" s="1744">
        <f>SUM(N322:N322)</f>
        <v>74796</v>
      </c>
      <c r="O323" s="1744">
        <f>SUM(O322:O322)</f>
        <v>76516</v>
      </c>
      <c r="P323" s="115"/>
    </row>
    <row r="324" spans="4:16" ht="12.75" customHeight="1" thickTop="1" x14ac:dyDescent="0.25">
      <c r="D324" s="143"/>
      <c r="E324" s="115"/>
      <c r="F324" s="303"/>
      <c r="G324" s="115"/>
      <c r="H324" s="115"/>
      <c r="I324" s="115"/>
      <c r="J324" s="114"/>
      <c r="K324" s="114"/>
      <c r="L324" s="114"/>
      <c r="M324" s="114"/>
      <c r="N324" s="114"/>
      <c r="O324" s="114"/>
      <c r="P324" s="115"/>
    </row>
    <row r="325" spans="4:16" ht="12.75" customHeight="1" x14ac:dyDescent="0.25">
      <c r="D325" s="143"/>
      <c r="E325" s="115"/>
      <c r="F325" s="303"/>
      <c r="G325" s="115"/>
      <c r="H325" s="115"/>
      <c r="I325" s="115"/>
      <c r="J325" s="114"/>
      <c r="K325" s="114"/>
      <c r="L325" s="114"/>
      <c r="M325" s="114"/>
      <c r="N325" s="114"/>
      <c r="O325" s="114"/>
      <c r="P325" s="115"/>
    </row>
    <row r="326" spans="4:16" ht="12.75" customHeight="1" x14ac:dyDescent="0.25">
      <c r="D326" s="393">
        <v>601005</v>
      </c>
      <c r="E326" s="410" t="s">
        <v>514</v>
      </c>
      <c r="F326" s="314"/>
      <c r="G326" s="115"/>
      <c r="H326" s="114"/>
      <c r="I326" s="114"/>
      <c r="J326" s="115"/>
      <c r="K326" s="115"/>
      <c r="L326" s="115"/>
      <c r="M326" s="115"/>
      <c r="N326" s="115"/>
      <c r="O326" s="115"/>
      <c r="P326" s="115"/>
    </row>
    <row r="327" spans="4:16" ht="12.75" customHeight="1" x14ac:dyDescent="0.25">
      <c r="D327" s="143">
        <v>43812</v>
      </c>
      <c r="E327" s="115" t="s">
        <v>617</v>
      </c>
      <c r="F327" s="303"/>
      <c r="G327" s="115"/>
      <c r="H327" s="115"/>
      <c r="I327" s="115"/>
      <c r="J327" s="114">
        <v>1684.8920000000001</v>
      </c>
      <c r="K327" s="114">
        <v>1728.699192</v>
      </c>
      <c r="L327" s="114">
        <f>K327*$T$2</f>
        <v>1765.0018750319998</v>
      </c>
      <c r="M327" s="114">
        <f>L327*$U$2</f>
        <v>1805.5969181577357</v>
      </c>
      <c r="N327" s="114">
        <f>M327*V$2</f>
        <v>1847.1256472753635</v>
      </c>
      <c r="O327" s="114">
        <f>N327*W$2</f>
        <v>1889.6095371626966</v>
      </c>
      <c r="P327" s="115" t="s">
        <v>618</v>
      </c>
    </row>
    <row r="328" spans="4:16" ht="12.75" customHeight="1" thickBot="1" x14ac:dyDescent="0.3">
      <c r="D328" s="143"/>
      <c r="E328" s="115" t="s">
        <v>619</v>
      </c>
      <c r="F328" s="303"/>
      <c r="G328" s="115"/>
      <c r="H328" s="115"/>
      <c r="I328" s="115"/>
      <c r="J328" s="1744">
        <v>1684.8920000000001</v>
      </c>
      <c r="K328" s="1744">
        <v>1728.699192</v>
      </c>
      <c r="L328" s="1744">
        <f t="shared" ref="L328:N328" si="104">SUM(L327:L327)</f>
        <v>1765.0018750319998</v>
      </c>
      <c r="M328" s="1744">
        <f t="shared" si="104"/>
        <v>1805.5969181577357</v>
      </c>
      <c r="N328" s="1744">
        <f t="shared" si="104"/>
        <v>1847.1256472753635</v>
      </c>
      <c r="O328" s="1744">
        <f t="shared" ref="O328" si="105">SUM(O327:O327)</f>
        <v>1889.6095371626966</v>
      </c>
      <c r="P328" s="115"/>
    </row>
    <row r="329" spans="4:16" ht="12.75" customHeight="1" thickTop="1" x14ac:dyDescent="0.25">
      <c r="D329" s="143"/>
      <c r="E329" s="115"/>
      <c r="F329" s="303"/>
      <c r="G329" s="115"/>
      <c r="H329" s="115"/>
      <c r="I329" s="115"/>
      <c r="J329" s="114"/>
      <c r="K329" s="114"/>
      <c r="L329" s="114"/>
      <c r="M329" s="114"/>
      <c r="N329" s="114"/>
      <c r="O329" s="114"/>
      <c r="P329" s="115"/>
    </row>
    <row r="330" spans="4:16" ht="12.75" customHeight="1" x14ac:dyDescent="0.25">
      <c r="D330" s="143"/>
      <c r="E330" s="115"/>
      <c r="F330" s="303"/>
      <c r="G330" s="115"/>
      <c r="H330" s="115"/>
      <c r="I330" s="115"/>
      <c r="J330" s="115"/>
      <c r="K330" s="115"/>
      <c r="L330" s="115"/>
      <c r="M330" s="115"/>
      <c r="N330" s="115"/>
      <c r="O330" s="115"/>
      <c r="P330" s="115"/>
    </row>
    <row r="331" spans="4:16" ht="12.75" customHeight="1" x14ac:dyDescent="0.25">
      <c r="D331" s="393">
        <v>601007</v>
      </c>
      <c r="E331" s="381" t="s">
        <v>620</v>
      </c>
      <c r="F331" s="313"/>
      <c r="G331" s="115"/>
      <c r="H331" s="115"/>
      <c r="I331" s="115"/>
      <c r="J331" s="115"/>
      <c r="K331" s="115"/>
      <c r="L331" s="115"/>
      <c r="M331" s="115"/>
      <c r="N331" s="115"/>
      <c r="O331" s="115"/>
      <c r="P331" s="115"/>
    </row>
    <row r="332" spans="4:16" ht="12.75" customHeight="1" x14ac:dyDescent="0.25">
      <c r="D332" s="400">
        <v>41101</v>
      </c>
      <c r="E332" s="115" t="s">
        <v>543</v>
      </c>
      <c r="F332" s="302"/>
      <c r="G332" s="115"/>
      <c r="H332" s="115"/>
      <c r="I332" s="115"/>
      <c r="J332" s="415">
        <v>88189</v>
      </c>
      <c r="K332" s="415">
        <v>117492</v>
      </c>
      <c r="L332" s="415">
        <v>119842</v>
      </c>
      <c r="M332" s="415">
        <v>50933</v>
      </c>
      <c r="N332" s="415">
        <v>0</v>
      </c>
      <c r="O332" s="415">
        <v>0</v>
      </c>
      <c r="P332" s="115" t="s">
        <v>621</v>
      </c>
    </row>
    <row r="333" spans="4:16" ht="12.75" customHeight="1" x14ac:dyDescent="0.25">
      <c r="D333" s="416"/>
      <c r="E333" s="417" t="s">
        <v>622</v>
      </c>
      <c r="F333" s="418"/>
      <c r="G333" s="115"/>
      <c r="H333" s="399"/>
      <c r="I333" s="399"/>
      <c r="J333" s="1799">
        <v>88189</v>
      </c>
      <c r="K333" s="1799">
        <v>117492</v>
      </c>
      <c r="L333" s="1799">
        <f>SUM(L332)</f>
        <v>119842</v>
      </c>
      <c r="M333" s="1799">
        <f>SUM(M332)</f>
        <v>50933</v>
      </c>
      <c r="N333" s="1799">
        <f>SUM(N332)</f>
        <v>0</v>
      </c>
      <c r="O333" s="1799">
        <f>SUM(O332)</f>
        <v>0</v>
      </c>
      <c r="P333" s="115"/>
    </row>
    <row r="334" spans="4:16" ht="12.75" customHeight="1" x14ac:dyDescent="0.25">
      <c r="D334" s="419"/>
      <c r="E334" s="399"/>
      <c r="F334" s="404"/>
      <c r="G334" s="115"/>
      <c r="H334" s="399"/>
      <c r="I334" s="399"/>
      <c r="J334" s="399"/>
      <c r="K334" s="399"/>
      <c r="L334" s="399"/>
      <c r="M334" s="399"/>
      <c r="N334" s="399"/>
      <c r="O334" s="399"/>
      <c r="P334" s="115"/>
    </row>
    <row r="335" spans="4:16" ht="12.75" customHeight="1" x14ac:dyDescent="0.25">
      <c r="D335" s="419"/>
      <c r="E335" s="399"/>
      <c r="F335" s="404"/>
      <c r="G335" s="115"/>
      <c r="H335" s="399"/>
      <c r="I335" s="399"/>
      <c r="J335" s="399"/>
      <c r="K335" s="399"/>
      <c r="L335" s="399"/>
      <c r="M335" s="399"/>
      <c r="N335" s="399"/>
      <c r="O335" s="399"/>
      <c r="P335" s="115"/>
    </row>
    <row r="336" spans="4:16" ht="12.75" customHeight="1" x14ac:dyDescent="0.25">
      <c r="D336" s="420">
        <v>83800</v>
      </c>
      <c r="E336" s="421" t="s">
        <v>623</v>
      </c>
      <c r="F336" s="404"/>
      <c r="G336" s="115"/>
      <c r="H336" s="399"/>
      <c r="I336" s="399"/>
      <c r="J336" s="415">
        <v>-88189</v>
      </c>
      <c r="K336" s="415">
        <v>-117492</v>
      </c>
      <c r="L336" s="415">
        <f>-L333</f>
        <v>-119842</v>
      </c>
      <c r="M336" s="415">
        <f>-M333</f>
        <v>-50933</v>
      </c>
      <c r="N336" s="415">
        <f>-N333</f>
        <v>0</v>
      </c>
      <c r="O336" s="415">
        <f>-O333</f>
        <v>0</v>
      </c>
      <c r="P336" s="115" t="s">
        <v>621</v>
      </c>
    </row>
    <row r="337" spans="4:16" ht="12.75" customHeight="1" x14ac:dyDescent="0.25">
      <c r="D337" s="419"/>
      <c r="E337" s="417" t="s">
        <v>624</v>
      </c>
      <c r="F337" s="404"/>
      <c r="G337" s="115"/>
      <c r="H337" s="399"/>
      <c r="I337" s="399"/>
      <c r="J337" s="1799">
        <v>-88189</v>
      </c>
      <c r="K337" s="1799">
        <v>-117492</v>
      </c>
      <c r="L337" s="1799">
        <f>SUM(L336)</f>
        <v>-119842</v>
      </c>
      <c r="M337" s="1799">
        <f>SUM(M336)</f>
        <v>-50933</v>
      </c>
      <c r="N337" s="1799">
        <f>SUM(N336)</f>
        <v>0</v>
      </c>
      <c r="O337" s="1799">
        <f>SUM(O336)</f>
        <v>0</v>
      </c>
      <c r="P337" s="115"/>
    </row>
    <row r="338" spans="4:16" ht="12.75" customHeight="1" x14ac:dyDescent="0.25">
      <c r="D338" s="384"/>
      <c r="E338" s="115"/>
      <c r="F338" s="391"/>
      <c r="G338" s="115"/>
      <c r="H338" s="115"/>
      <c r="I338" s="115"/>
      <c r="J338" s="154"/>
      <c r="K338" s="154"/>
      <c r="L338" s="154"/>
      <c r="M338" s="154"/>
      <c r="N338" s="154"/>
      <c r="O338" s="154"/>
      <c r="P338" s="115"/>
    </row>
    <row r="339" spans="4:16" ht="12.75" customHeight="1" x14ac:dyDescent="0.25">
      <c r="D339" s="393"/>
      <c r="E339" s="381" t="s">
        <v>625</v>
      </c>
      <c r="F339" s="313"/>
      <c r="G339" s="115"/>
      <c r="H339" s="115"/>
      <c r="I339" s="115"/>
      <c r="J339" s="115"/>
      <c r="K339" s="115"/>
      <c r="L339" s="115"/>
      <c r="M339" s="115"/>
      <c r="N339" s="115"/>
      <c r="O339" s="115"/>
      <c r="P339" s="115"/>
    </row>
    <row r="340" spans="4:16" ht="12.75" customHeight="1" x14ac:dyDescent="0.25">
      <c r="D340" s="400">
        <v>41101</v>
      </c>
      <c r="E340" s="115" t="s">
        <v>543</v>
      </c>
      <c r="F340" s="302"/>
      <c r="G340" s="115"/>
      <c r="H340" s="115"/>
      <c r="I340" s="115"/>
      <c r="J340" s="415">
        <v>171730</v>
      </c>
      <c r="K340" s="415">
        <v>178593</v>
      </c>
      <c r="L340" s="415">
        <v>189339</v>
      </c>
      <c r="M340" s="415">
        <v>195577</v>
      </c>
      <c r="N340" s="415">
        <v>199488</v>
      </c>
      <c r="O340" s="415"/>
      <c r="P340" s="115" t="s">
        <v>621</v>
      </c>
    </row>
    <row r="341" spans="4:16" ht="12.75" customHeight="1" x14ac:dyDescent="0.25">
      <c r="D341" s="416"/>
      <c r="E341" s="417" t="s">
        <v>622</v>
      </c>
      <c r="F341" s="418"/>
      <c r="G341" s="115"/>
      <c r="H341" s="399"/>
      <c r="I341" s="399"/>
      <c r="J341" s="1799">
        <v>171730</v>
      </c>
      <c r="K341" s="1799">
        <v>178593</v>
      </c>
      <c r="L341" s="1799">
        <f>SUM(L340)</f>
        <v>189339</v>
      </c>
      <c r="M341" s="1799">
        <f>SUM(M340)</f>
        <v>195577</v>
      </c>
      <c r="N341" s="1799">
        <f>SUM(N340)</f>
        <v>199488</v>
      </c>
      <c r="O341" s="1799">
        <f>SUM(O340)</f>
        <v>0</v>
      </c>
      <c r="P341" s="115"/>
    </row>
    <row r="342" spans="4:16" ht="12.75" customHeight="1" x14ac:dyDescent="0.25">
      <c r="D342" s="419"/>
      <c r="E342" s="399"/>
      <c r="F342" s="404"/>
      <c r="G342" s="115"/>
      <c r="H342" s="399"/>
      <c r="I342" s="399"/>
      <c r="J342" s="399"/>
      <c r="K342" s="399"/>
      <c r="L342" s="399"/>
      <c r="M342" s="399"/>
      <c r="N342" s="399"/>
      <c r="O342" s="399"/>
      <c r="P342" s="115"/>
    </row>
    <row r="343" spans="4:16" ht="12.75" customHeight="1" x14ac:dyDescent="0.25">
      <c r="D343" s="419"/>
      <c r="E343" s="399"/>
      <c r="F343" s="404"/>
      <c r="G343" s="115"/>
      <c r="H343" s="399"/>
      <c r="I343" s="399"/>
      <c r="J343" s="399"/>
      <c r="K343" s="399"/>
      <c r="L343" s="399"/>
      <c r="M343" s="399"/>
      <c r="N343" s="399"/>
      <c r="O343" s="399"/>
      <c r="P343" s="115"/>
    </row>
    <row r="344" spans="4:16" ht="12.75" customHeight="1" x14ac:dyDescent="0.25">
      <c r="D344" s="420">
        <v>83800</v>
      </c>
      <c r="E344" s="421" t="s">
        <v>623</v>
      </c>
      <c r="F344" s="404"/>
      <c r="G344" s="115"/>
      <c r="H344" s="399"/>
      <c r="I344" s="399"/>
      <c r="J344" s="415">
        <v>-171730</v>
      </c>
      <c r="K344" s="415">
        <v>-178593</v>
      </c>
      <c r="L344" s="415">
        <f>-L340</f>
        <v>-189339</v>
      </c>
      <c r="M344" s="415">
        <f>-M340</f>
        <v>-195577</v>
      </c>
      <c r="N344" s="415">
        <f>-N340</f>
        <v>-199488</v>
      </c>
      <c r="O344" s="415">
        <f>-O340</f>
        <v>0</v>
      </c>
      <c r="P344" s="115" t="s">
        <v>621</v>
      </c>
    </row>
    <row r="345" spans="4:16" ht="12.75" customHeight="1" x14ac:dyDescent="0.25">
      <c r="D345" s="419"/>
      <c r="E345" s="417" t="s">
        <v>624</v>
      </c>
      <c r="F345" s="404"/>
      <c r="G345" s="115"/>
      <c r="H345" s="399"/>
      <c r="I345" s="399"/>
      <c r="J345" s="1799">
        <v>-171730</v>
      </c>
      <c r="K345" s="1799">
        <v>-178593</v>
      </c>
      <c r="L345" s="1799">
        <f>SUM(L344)</f>
        <v>-189339</v>
      </c>
      <c r="M345" s="1799">
        <f>SUM(M344)</f>
        <v>-195577</v>
      </c>
      <c r="N345" s="1799">
        <f>SUM(N344)</f>
        <v>-199488</v>
      </c>
      <c r="O345" s="1799">
        <f>SUM(O344)</f>
        <v>0</v>
      </c>
      <c r="P345" s="115"/>
    </row>
    <row r="346" spans="4:16" ht="12.75" customHeight="1" x14ac:dyDescent="0.25">
      <c r="D346" s="301"/>
      <c r="E346" s="115"/>
      <c r="F346" s="302"/>
      <c r="G346" s="115"/>
      <c r="H346" s="115"/>
      <c r="I346" s="115"/>
      <c r="J346" s="115"/>
      <c r="K346" s="115"/>
      <c r="L346" s="115"/>
      <c r="M346" s="115"/>
      <c r="N346" s="115"/>
      <c r="O346" s="115"/>
      <c r="P346" s="115"/>
    </row>
    <row r="347" spans="4:16" ht="12.75" customHeight="1" x14ac:dyDescent="0.25">
      <c r="D347" s="393">
        <v>601008</v>
      </c>
      <c r="E347" s="381" t="s">
        <v>626</v>
      </c>
      <c r="F347" s="313"/>
      <c r="G347" s="115"/>
      <c r="H347" s="115"/>
      <c r="I347" s="115"/>
      <c r="J347" s="115"/>
      <c r="K347" s="115"/>
      <c r="L347" s="115"/>
      <c r="M347" s="115"/>
      <c r="N347" s="115"/>
      <c r="O347" s="115"/>
      <c r="P347" s="115"/>
    </row>
    <row r="348" spans="4:16" ht="12.75" customHeight="1" x14ac:dyDescent="0.25">
      <c r="D348" s="143">
        <v>43806</v>
      </c>
      <c r="E348" s="115" t="s">
        <v>627</v>
      </c>
      <c r="F348" s="302"/>
      <c r="G348" s="115"/>
      <c r="H348" s="115"/>
      <c r="I348" s="115"/>
      <c r="J348" s="114">
        <v>2018</v>
      </c>
      <c r="K348" s="114">
        <v>2100</v>
      </c>
      <c r="L348" s="114">
        <f t="shared" ref="L348:O350" si="106">ROUND(K348*T$2,0)</f>
        <v>2144</v>
      </c>
      <c r="M348" s="114">
        <f t="shared" si="106"/>
        <v>2193</v>
      </c>
      <c r="N348" s="114">
        <f t="shared" si="106"/>
        <v>2243</v>
      </c>
      <c r="O348" s="114">
        <f t="shared" si="106"/>
        <v>2295</v>
      </c>
      <c r="P348" s="115"/>
    </row>
    <row r="349" spans="4:16" ht="12.75" customHeight="1" x14ac:dyDescent="0.25">
      <c r="D349" s="143"/>
      <c r="E349" s="115" t="s">
        <v>628</v>
      </c>
      <c r="F349" s="302"/>
      <c r="G349" s="115"/>
      <c r="H349" s="115"/>
      <c r="I349" s="115"/>
      <c r="J349" s="114">
        <v>466</v>
      </c>
      <c r="K349" s="114">
        <v>500</v>
      </c>
      <c r="L349" s="114">
        <f t="shared" si="106"/>
        <v>511</v>
      </c>
      <c r="M349" s="114">
        <f t="shared" si="106"/>
        <v>523</v>
      </c>
      <c r="N349" s="114">
        <f t="shared" si="106"/>
        <v>535</v>
      </c>
      <c r="O349" s="114">
        <f t="shared" si="106"/>
        <v>547</v>
      </c>
      <c r="P349" s="115"/>
    </row>
    <row r="350" spans="4:16" ht="12.75" customHeight="1" x14ac:dyDescent="0.25">
      <c r="D350" s="393"/>
      <c r="E350" s="115" t="s">
        <v>629</v>
      </c>
      <c r="F350" s="313"/>
      <c r="G350" s="115"/>
      <c r="H350" s="115"/>
      <c r="I350" s="115"/>
      <c r="J350" s="114">
        <v>2252</v>
      </c>
      <c r="K350" s="114">
        <v>4100</v>
      </c>
      <c r="L350" s="114">
        <f t="shared" si="106"/>
        <v>4186</v>
      </c>
      <c r="M350" s="114">
        <f t="shared" si="106"/>
        <v>4282</v>
      </c>
      <c r="N350" s="114">
        <f t="shared" si="106"/>
        <v>4380</v>
      </c>
      <c r="O350" s="114">
        <f t="shared" si="106"/>
        <v>4481</v>
      </c>
      <c r="P350" s="115" t="s">
        <v>630</v>
      </c>
    </row>
    <row r="351" spans="4:16" ht="12.75" customHeight="1" x14ac:dyDescent="0.25">
      <c r="D351" s="301"/>
      <c r="E351" s="417" t="s">
        <v>631</v>
      </c>
      <c r="F351" s="302"/>
      <c r="G351" s="115"/>
      <c r="H351" s="115"/>
      <c r="I351" s="115"/>
      <c r="J351" s="1799">
        <v>4736</v>
      </c>
      <c r="K351" s="1799">
        <v>6700</v>
      </c>
      <c r="L351" s="1799">
        <f>SUM(L348:L350)</f>
        <v>6841</v>
      </c>
      <c r="M351" s="1799">
        <f>SUM(M348:M350)</f>
        <v>6998</v>
      </c>
      <c r="N351" s="1799">
        <f>SUM(N348:N350)</f>
        <v>7158</v>
      </c>
      <c r="O351" s="1799">
        <f>SUM(O348:O350)</f>
        <v>7323</v>
      </c>
      <c r="P351" s="115"/>
    </row>
    <row r="352" spans="4:16" ht="12.75" customHeight="1" x14ac:dyDescent="0.25">
      <c r="D352" s="115"/>
      <c r="E352" s="115"/>
      <c r="F352" s="302"/>
      <c r="G352" s="115"/>
      <c r="H352" s="115"/>
      <c r="I352" s="115"/>
      <c r="J352" s="115"/>
      <c r="K352" s="115"/>
      <c r="L352" s="115"/>
      <c r="M352" s="115"/>
      <c r="N352" s="115"/>
      <c r="O352" s="115"/>
      <c r="P352" s="115"/>
    </row>
    <row r="353" spans="4:16" ht="12.75" customHeight="1" x14ac:dyDescent="0.25">
      <c r="D353" s="143">
        <v>43819</v>
      </c>
      <c r="E353" s="115" t="s">
        <v>632</v>
      </c>
      <c r="F353" s="302"/>
      <c r="G353" s="115"/>
      <c r="H353" s="115"/>
      <c r="I353" s="115"/>
      <c r="J353" s="114">
        <v>5701</v>
      </c>
      <c r="K353" s="114">
        <v>5849</v>
      </c>
      <c r="L353" s="114">
        <f>ROUND(K353*T$2,0)</f>
        <v>5972</v>
      </c>
      <c r="M353" s="114">
        <f>ROUND(L353*U$2,0)</f>
        <v>6109</v>
      </c>
      <c r="N353" s="114">
        <f>ROUND(M353*V$2,0)</f>
        <v>6250</v>
      </c>
      <c r="O353" s="114">
        <f>ROUND(N353*W$2,0)</f>
        <v>6394</v>
      </c>
      <c r="P353" s="115"/>
    </row>
    <row r="354" spans="4:16" ht="12.75" customHeight="1" x14ac:dyDescent="0.25">
      <c r="D354" s="301"/>
      <c r="E354" s="115" t="s">
        <v>633</v>
      </c>
      <c r="F354" s="302"/>
      <c r="G354" s="115"/>
      <c r="H354" s="115"/>
      <c r="I354" s="115"/>
      <c r="J354" s="115"/>
      <c r="K354" s="115"/>
      <c r="L354" s="115"/>
      <c r="M354" s="115"/>
      <c r="N354" s="115"/>
      <c r="O354" s="115"/>
      <c r="P354" s="115"/>
    </row>
    <row r="355" spans="4:16" ht="12.75" customHeight="1" x14ac:dyDescent="0.25">
      <c r="D355" s="301"/>
      <c r="E355" s="417" t="s">
        <v>634</v>
      </c>
      <c r="F355" s="302"/>
      <c r="G355" s="115"/>
      <c r="H355" s="115"/>
      <c r="I355" s="115"/>
      <c r="J355" s="1799">
        <v>5701</v>
      </c>
      <c r="K355" s="1799">
        <v>5849</v>
      </c>
      <c r="L355" s="1799">
        <f>SUM(L353)</f>
        <v>5972</v>
      </c>
      <c r="M355" s="1799">
        <f>SUM(M353)</f>
        <v>6109</v>
      </c>
      <c r="N355" s="1799">
        <f>SUM(N353)</f>
        <v>6250</v>
      </c>
      <c r="O355" s="1799">
        <f>SUM(O353)</f>
        <v>6394</v>
      </c>
      <c r="P355" s="115"/>
    </row>
    <row r="356" spans="4:16" ht="12.75" customHeight="1" x14ac:dyDescent="0.25">
      <c r="D356" s="301"/>
      <c r="E356" s="302"/>
      <c r="F356" s="302"/>
      <c r="G356" s="115"/>
      <c r="H356" s="115"/>
      <c r="I356" s="115"/>
      <c r="J356" s="115"/>
      <c r="K356" s="115"/>
      <c r="L356" s="115"/>
      <c r="M356" s="115"/>
      <c r="N356" s="115"/>
      <c r="O356" s="115"/>
      <c r="P356" s="115"/>
    </row>
    <row r="357" spans="4:16" ht="12.75" customHeight="1" x14ac:dyDescent="0.25">
      <c r="D357" s="301"/>
      <c r="E357" s="302"/>
      <c r="F357" s="302"/>
      <c r="G357" s="115"/>
      <c r="H357" s="115"/>
      <c r="I357" s="115"/>
      <c r="J357" s="115"/>
      <c r="K357" s="115"/>
      <c r="L357" s="115"/>
      <c r="M357" s="115"/>
      <c r="N357" s="115"/>
      <c r="O357" s="115"/>
      <c r="P357" s="115"/>
    </row>
    <row r="358" spans="4:16" ht="12.75" customHeight="1" x14ac:dyDescent="0.25">
      <c r="D358" s="143">
        <v>43812</v>
      </c>
      <c r="E358" s="115" t="s">
        <v>635</v>
      </c>
      <c r="F358" s="302"/>
      <c r="G358" s="115"/>
      <c r="H358" s="115"/>
      <c r="I358" s="115"/>
      <c r="J358" s="114">
        <v>3193</v>
      </c>
      <c r="K358" s="114">
        <v>3276</v>
      </c>
      <c r="L358" s="114">
        <f>ROUND(K358*T$2,0)</f>
        <v>3345</v>
      </c>
      <c r="M358" s="114">
        <f>ROUND(L358*U$2,0)</f>
        <v>3422</v>
      </c>
      <c r="N358" s="114">
        <f>ROUND(M358*V$2,0)</f>
        <v>3501</v>
      </c>
      <c r="O358" s="114">
        <f>ROUND(N358*W$2,0)</f>
        <v>3582</v>
      </c>
      <c r="P358" s="115"/>
    </row>
    <row r="359" spans="4:16" ht="12.75" customHeight="1" x14ac:dyDescent="0.25">
      <c r="D359" s="143"/>
      <c r="E359" s="115" t="s">
        <v>636</v>
      </c>
      <c r="F359" s="302"/>
      <c r="G359" s="115"/>
      <c r="H359" s="115"/>
      <c r="I359" s="115"/>
      <c r="J359" s="114">
        <v>32000</v>
      </c>
      <c r="K359" s="114">
        <v>0</v>
      </c>
      <c r="L359" s="114">
        <v>0</v>
      </c>
      <c r="M359" s="114">
        <v>0</v>
      </c>
      <c r="N359" s="114">
        <v>0</v>
      </c>
      <c r="O359" s="114">
        <v>0</v>
      </c>
      <c r="P359" s="115"/>
    </row>
    <row r="360" spans="4:16" ht="12.75" customHeight="1" x14ac:dyDescent="0.25">
      <c r="D360" s="115"/>
      <c r="E360" s="417" t="s">
        <v>619</v>
      </c>
      <c r="F360" s="302"/>
      <c r="G360" s="115"/>
      <c r="H360" s="115"/>
      <c r="I360" s="115"/>
      <c r="J360" s="1799">
        <v>35193</v>
      </c>
      <c r="K360" s="1799">
        <v>3276</v>
      </c>
      <c r="L360" s="1799">
        <f t="shared" ref="L360:N360" si="107">SUM(L358:L359)</f>
        <v>3345</v>
      </c>
      <c r="M360" s="1799">
        <f t="shared" si="107"/>
        <v>3422</v>
      </c>
      <c r="N360" s="1799">
        <f t="shared" si="107"/>
        <v>3501</v>
      </c>
      <c r="O360" s="1799">
        <f t="shared" ref="O360" si="108">SUM(O358:O359)</f>
        <v>3582</v>
      </c>
      <c r="P360" s="115"/>
    </row>
    <row r="361" spans="4:16" ht="12.75" customHeight="1" x14ac:dyDescent="0.25">
      <c r="D361" s="301"/>
      <c r="E361" s="115"/>
      <c r="F361" s="302"/>
      <c r="G361" s="115"/>
      <c r="H361" s="115"/>
      <c r="I361" s="115"/>
      <c r="J361" s="114"/>
      <c r="K361" s="114"/>
      <c r="L361" s="114"/>
      <c r="M361" s="114"/>
      <c r="N361" s="114"/>
      <c r="O361" s="114"/>
      <c r="P361" s="115"/>
    </row>
    <row r="362" spans="4:16" ht="12.75" customHeight="1" x14ac:dyDescent="0.25">
      <c r="D362" s="393"/>
      <c r="E362" s="383"/>
      <c r="F362" s="313"/>
      <c r="G362" s="115"/>
      <c r="H362" s="115"/>
      <c r="I362" s="115"/>
      <c r="J362" s="114"/>
      <c r="K362" s="114"/>
      <c r="L362" s="114"/>
      <c r="M362" s="114"/>
      <c r="N362" s="114"/>
      <c r="O362" s="114"/>
      <c r="P362" s="115"/>
    </row>
    <row r="363" spans="4:16" ht="12.75" customHeight="1" x14ac:dyDescent="0.25">
      <c r="D363" s="143">
        <v>43818</v>
      </c>
      <c r="E363" s="115" t="s">
        <v>637</v>
      </c>
      <c r="F363" s="302"/>
      <c r="G363" s="115"/>
      <c r="H363" s="115"/>
      <c r="I363" s="115"/>
      <c r="J363" s="115"/>
      <c r="K363" s="115"/>
      <c r="L363" s="115"/>
      <c r="M363" s="115"/>
      <c r="N363" s="115"/>
      <c r="O363" s="115"/>
      <c r="P363" s="115"/>
    </row>
    <row r="364" spans="4:16" ht="12.75" customHeight="1" x14ac:dyDescent="0.25">
      <c r="D364" s="143"/>
      <c r="E364" s="308"/>
      <c r="F364" s="302"/>
      <c r="G364" s="115"/>
      <c r="H364" s="115"/>
      <c r="I364" s="115"/>
      <c r="J364" s="114">
        <v>2841</v>
      </c>
      <c r="K364" s="114">
        <v>2915</v>
      </c>
      <c r="L364" s="114">
        <f>ROUND(K364*T$2,0)</f>
        <v>2976</v>
      </c>
      <c r="M364" s="114">
        <f>ROUND(L364*U$2,0)</f>
        <v>3044</v>
      </c>
      <c r="N364" s="114">
        <f>ROUND(M364*V$2,0)</f>
        <v>3114</v>
      </c>
      <c r="O364" s="114">
        <f>ROUND(N364*W$2,0)</f>
        <v>3186</v>
      </c>
      <c r="P364" s="115"/>
    </row>
    <row r="365" spans="4:16" ht="12.75" customHeight="1" x14ac:dyDescent="0.25">
      <c r="D365" s="143"/>
      <c r="E365" s="417" t="s">
        <v>638</v>
      </c>
      <c r="F365" s="302"/>
      <c r="G365" s="115"/>
      <c r="H365" s="115"/>
      <c r="I365" s="115"/>
      <c r="J365" s="1799">
        <v>2841</v>
      </c>
      <c r="K365" s="1799">
        <v>2915</v>
      </c>
      <c r="L365" s="1799">
        <f>SUM(L364)</f>
        <v>2976</v>
      </c>
      <c r="M365" s="1799">
        <f>SUM(M364)</f>
        <v>3044</v>
      </c>
      <c r="N365" s="1799">
        <f>SUM(N364)</f>
        <v>3114</v>
      </c>
      <c r="O365" s="1799">
        <f>SUM(O364)</f>
        <v>3186</v>
      </c>
      <c r="P365" s="115"/>
    </row>
    <row r="366" spans="4:16" ht="12.75" customHeight="1" x14ac:dyDescent="0.25">
      <c r="D366" s="143"/>
      <c r="E366" s="308" t="s">
        <v>639</v>
      </c>
      <c r="F366" s="302"/>
      <c r="G366" s="115"/>
      <c r="H366" s="115"/>
      <c r="I366" s="115"/>
      <c r="J366" s="114"/>
      <c r="K366" s="114"/>
      <c r="L366" s="114"/>
      <c r="M366" s="114"/>
      <c r="N366" s="114"/>
      <c r="O366" s="114"/>
      <c r="P366" s="115"/>
    </row>
    <row r="367" spans="4:16" ht="12.75" customHeight="1" x14ac:dyDescent="0.25">
      <c r="D367" s="301"/>
      <c r="E367" s="115"/>
      <c r="F367" s="302"/>
      <c r="G367" s="115"/>
      <c r="H367" s="115"/>
      <c r="I367" s="115"/>
      <c r="J367" s="115"/>
      <c r="K367" s="115"/>
      <c r="L367" s="115"/>
      <c r="M367" s="115"/>
      <c r="N367" s="115"/>
      <c r="O367" s="115"/>
      <c r="P367" s="115"/>
    </row>
    <row r="368" spans="4:16" ht="12.75" customHeight="1" x14ac:dyDescent="0.25">
      <c r="D368" s="393">
        <v>601010</v>
      </c>
      <c r="E368" s="381" t="s">
        <v>640</v>
      </c>
      <c r="F368" s="382"/>
      <c r="G368" s="115"/>
      <c r="H368" s="115"/>
      <c r="I368" s="115"/>
      <c r="J368" s="422">
        <v>2025</v>
      </c>
      <c r="K368" s="422">
        <v>2026</v>
      </c>
      <c r="L368" s="422">
        <f>+L320</f>
        <v>2027</v>
      </c>
      <c r="M368" s="422">
        <f>+M320</f>
        <v>2028</v>
      </c>
      <c r="N368" s="422">
        <f>+N320</f>
        <v>2029</v>
      </c>
      <c r="O368" s="422">
        <f>+O320</f>
        <v>2030</v>
      </c>
      <c r="P368" s="115"/>
    </row>
    <row r="369" spans="4:16" ht="12.75" customHeight="1" x14ac:dyDescent="0.25">
      <c r="D369" s="393"/>
      <c r="E369" s="401"/>
      <c r="F369" s="382"/>
      <c r="G369" s="115"/>
      <c r="H369" s="399"/>
      <c r="I369" s="399"/>
      <c r="J369" s="115"/>
      <c r="K369" s="115"/>
      <c r="L369" s="115"/>
      <c r="M369" s="115"/>
      <c r="N369" s="115"/>
      <c r="O369" s="115"/>
      <c r="P369" s="115"/>
    </row>
    <row r="370" spans="4:16" ht="12.75" customHeight="1" x14ac:dyDescent="0.25">
      <c r="D370" s="143">
        <v>43812</v>
      </c>
      <c r="E370" s="423" t="s">
        <v>641</v>
      </c>
      <c r="F370" s="143"/>
      <c r="G370" s="115"/>
      <c r="H370" s="115"/>
      <c r="I370" s="115"/>
      <c r="J370" s="114"/>
      <c r="K370" s="114"/>
      <c r="L370" s="114"/>
      <c r="M370" s="114"/>
      <c r="N370" s="114"/>
      <c r="O370" s="114"/>
      <c r="P370" s="115"/>
    </row>
    <row r="371" spans="4:16" ht="12.75" customHeight="1" x14ac:dyDescent="0.25">
      <c r="D371" s="301"/>
      <c r="E371" s="308" t="s">
        <v>642</v>
      </c>
      <c r="F371" s="143"/>
      <c r="G371" s="115"/>
      <c r="H371" s="115"/>
      <c r="I371" s="115"/>
      <c r="J371" s="114">
        <v>2961</v>
      </c>
      <c r="K371" s="114">
        <v>3038</v>
      </c>
      <c r="L371" s="114">
        <f t="shared" ref="L371:O376" si="109">ROUND(K371*T$2,0)</f>
        <v>3102</v>
      </c>
      <c r="M371" s="114">
        <f t="shared" si="109"/>
        <v>3173</v>
      </c>
      <c r="N371" s="114">
        <f t="shared" si="109"/>
        <v>3246</v>
      </c>
      <c r="O371" s="114">
        <f t="shared" si="109"/>
        <v>3321</v>
      </c>
      <c r="P371" s="115"/>
    </row>
    <row r="372" spans="4:16" ht="12.75" customHeight="1" x14ac:dyDescent="0.25">
      <c r="D372" s="424"/>
      <c r="E372" s="308" t="s">
        <v>643</v>
      </c>
      <c r="F372" s="143"/>
      <c r="G372" s="115"/>
      <c r="H372" s="115"/>
      <c r="I372" s="115"/>
      <c r="J372" s="114">
        <v>2604</v>
      </c>
      <c r="K372" s="114">
        <v>2672</v>
      </c>
      <c r="L372" s="114">
        <f t="shared" si="109"/>
        <v>2728</v>
      </c>
      <c r="M372" s="114">
        <f t="shared" si="109"/>
        <v>2791</v>
      </c>
      <c r="N372" s="114">
        <f t="shared" si="109"/>
        <v>2855</v>
      </c>
      <c r="O372" s="114">
        <f t="shared" si="109"/>
        <v>2921</v>
      </c>
      <c r="P372" s="115"/>
    </row>
    <row r="373" spans="4:16" ht="12.75" customHeight="1" x14ac:dyDescent="0.25">
      <c r="D373" s="424"/>
      <c r="E373" s="308" t="s">
        <v>644</v>
      </c>
      <c r="F373" s="143"/>
      <c r="G373" s="115"/>
      <c r="H373" s="115"/>
      <c r="I373" s="115"/>
      <c r="J373" s="114">
        <v>1065</v>
      </c>
      <c r="K373" s="114">
        <v>1093</v>
      </c>
      <c r="L373" s="114">
        <f t="shared" si="109"/>
        <v>1116</v>
      </c>
      <c r="M373" s="114">
        <f t="shared" si="109"/>
        <v>1142</v>
      </c>
      <c r="N373" s="114">
        <f t="shared" si="109"/>
        <v>1168</v>
      </c>
      <c r="O373" s="114">
        <f t="shared" si="109"/>
        <v>1195</v>
      </c>
      <c r="P373" s="115"/>
    </row>
    <row r="374" spans="4:16" ht="12.75" customHeight="1" x14ac:dyDescent="0.25">
      <c r="D374" s="424"/>
      <c r="E374" s="308" t="s">
        <v>645</v>
      </c>
      <c r="F374" s="143"/>
      <c r="G374" s="115"/>
      <c r="H374" s="115"/>
      <c r="I374" s="115"/>
      <c r="J374" s="114">
        <v>1658</v>
      </c>
      <c r="K374" s="114">
        <v>1701</v>
      </c>
      <c r="L374" s="114">
        <f t="shared" si="109"/>
        <v>1737</v>
      </c>
      <c r="M374" s="114">
        <f t="shared" si="109"/>
        <v>1777</v>
      </c>
      <c r="N374" s="114">
        <f t="shared" si="109"/>
        <v>1818</v>
      </c>
      <c r="O374" s="114">
        <f t="shared" si="109"/>
        <v>1860</v>
      </c>
      <c r="P374" s="115"/>
    </row>
    <row r="375" spans="4:16" ht="12.75" customHeight="1" x14ac:dyDescent="0.25">
      <c r="D375" s="424"/>
      <c r="E375" s="308" t="s">
        <v>646</v>
      </c>
      <c r="F375" s="143"/>
      <c r="G375" s="115"/>
      <c r="H375" s="115"/>
      <c r="I375" s="115"/>
      <c r="J375" s="114">
        <v>1658</v>
      </c>
      <c r="K375" s="114">
        <v>1701</v>
      </c>
      <c r="L375" s="114">
        <f t="shared" si="109"/>
        <v>1737</v>
      </c>
      <c r="M375" s="114">
        <f t="shared" si="109"/>
        <v>1777</v>
      </c>
      <c r="N375" s="114">
        <f t="shared" si="109"/>
        <v>1818</v>
      </c>
      <c r="O375" s="114">
        <f t="shared" si="109"/>
        <v>1860</v>
      </c>
      <c r="P375" s="115"/>
    </row>
    <row r="376" spans="4:16" ht="12.75" customHeight="1" x14ac:dyDescent="0.25">
      <c r="D376" s="143"/>
      <c r="E376" s="308" t="s">
        <v>647</v>
      </c>
      <c r="F376" s="143"/>
      <c r="G376" s="115"/>
      <c r="H376" s="308"/>
      <c r="I376" s="308"/>
      <c r="J376" s="114">
        <v>5092</v>
      </c>
      <c r="K376" s="114">
        <v>5224</v>
      </c>
      <c r="L376" s="114">
        <f t="shared" si="109"/>
        <v>5334</v>
      </c>
      <c r="M376" s="114">
        <f t="shared" si="109"/>
        <v>5457</v>
      </c>
      <c r="N376" s="114">
        <f t="shared" si="109"/>
        <v>5583</v>
      </c>
      <c r="O376" s="114">
        <f t="shared" si="109"/>
        <v>5711</v>
      </c>
      <c r="P376" s="115"/>
    </row>
    <row r="377" spans="4:16" ht="12.75" customHeight="1" x14ac:dyDescent="0.25">
      <c r="D377" s="424"/>
      <c r="E377" s="115"/>
      <c r="F377" s="143"/>
      <c r="G377" s="115"/>
      <c r="H377" s="115"/>
      <c r="I377" s="115"/>
      <c r="J377" s="114"/>
      <c r="K377" s="114"/>
      <c r="L377" s="114"/>
      <c r="M377" s="114"/>
      <c r="N377" s="114"/>
      <c r="O377" s="114"/>
      <c r="P377" s="115"/>
    </row>
    <row r="378" spans="4:16" ht="12.75" customHeight="1" x14ac:dyDescent="0.25">
      <c r="D378" s="301"/>
      <c r="E378" s="423" t="s">
        <v>648</v>
      </c>
      <c r="F378" s="143"/>
      <c r="G378" s="115"/>
      <c r="H378" s="308"/>
      <c r="I378" s="308"/>
      <c r="J378" s="114"/>
      <c r="K378" s="114"/>
      <c r="L378" s="114"/>
      <c r="M378" s="114"/>
      <c r="N378" s="114"/>
      <c r="O378" s="114"/>
      <c r="P378" s="115"/>
    </row>
    <row r="379" spans="4:16" ht="12.75" customHeight="1" x14ac:dyDescent="0.25">
      <c r="D379" s="301"/>
      <c r="E379" s="308" t="s">
        <v>649</v>
      </c>
      <c r="F379" s="143"/>
      <c r="G379" s="115"/>
      <c r="H379" s="308"/>
      <c r="I379" s="308"/>
      <c r="J379" s="114">
        <v>2724</v>
      </c>
      <c r="K379" s="114">
        <v>2795</v>
      </c>
      <c r="L379" s="114">
        <f t="shared" ref="L379:O385" si="110">ROUND(K379*T$2,0)</f>
        <v>2854</v>
      </c>
      <c r="M379" s="114">
        <f t="shared" si="110"/>
        <v>2920</v>
      </c>
      <c r="N379" s="114">
        <f t="shared" si="110"/>
        <v>2987</v>
      </c>
      <c r="O379" s="114">
        <f t="shared" si="110"/>
        <v>3056</v>
      </c>
      <c r="P379" s="115"/>
    </row>
    <row r="380" spans="4:16" ht="12.75" customHeight="1" x14ac:dyDescent="0.25">
      <c r="D380" s="301"/>
      <c r="E380" s="308" t="s">
        <v>650</v>
      </c>
      <c r="F380" s="143"/>
      <c r="G380" s="115"/>
      <c r="H380" s="308"/>
      <c r="I380" s="308"/>
      <c r="J380" s="114">
        <v>236</v>
      </c>
      <c r="K380" s="114">
        <v>242</v>
      </c>
      <c r="L380" s="114">
        <f t="shared" si="110"/>
        <v>247</v>
      </c>
      <c r="M380" s="114">
        <f t="shared" si="110"/>
        <v>253</v>
      </c>
      <c r="N380" s="114">
        <f t="shared" si="110"/>
        <v>259</v>
      </c>
      <c r="O380" s="114">
        <f t="shared" si="110"/>
        <v>265</v>
      </c>
      <c r="P380" s="115"/>
    </row>
    <row r="381" spans="4:16" ht="12.75" customHeight="1" x14ac:dyDescent="0.25">
      <c r="D381" s="301"/>
      <c r="E381" s="308" t="s">
        <v>651</v>
      </c>
      <c r="F381" s="143"/>
      <c r="G381" s="115"/>
      <c r="H381" s="308"/>
      <c r="I381" s="308"/>
      <c r="J381" s="114">
        <v>472</v>
      </c>
      <c r="K381" s="114">
        <v>484</v>
      </c>
      <c r="L381" s="114">
        <f t="shared" si="110"/>
        <v>494</v>
      </c>
      <c r="M381" s="114">
        <f t="shared" si="110"/>
        <v>505</v>
      </c>
      <c r="N381" s="114">
        <f t="shared" si="110"/>
        <v>517</v>
      </c>
      <c r="O381" s="114">
        <f t="shared" si="110"/>
        <v>529</v>
      </c>
      <c r="P381" s="115"/>
    </row>
    <row r="382" spans="4:16" ht="12.75" customHeight="1" x14ac:dyDescent="0.25">
      <c r="D382" s="301"/>
      <c r="E382" s="308" t="s">
        <v>652</v>
      </c>
      <c r="F382" s="143"/>
      <c r="G382" s="115"/>
      <c r="H382" s="308"/>
      <c r="I382" s="308"/>
      <c r="J382" s="114">
        <v>472</v>
      </c>
      <c r="K382" s="114">
        <v>484</v>
      </c>
      <c r="L382" s="114">
        <f t="shared" si="110"/>
        <v>494</v>
      </c>
      <c r="M382" s="114">
        <f t="shared" si="110"/>
        <v>505</v>
      </c>
      <c r="N382" s="114">
        <f t="shared" si="110"/>
        <v>517</v>
      </c>
      <c r="O382" s="114">
        <f t="shared" si="110"/>
        <v>529</v>
      </c>
      <c r="P382" s="115"/>
    </row>
    <row r="383" spans="4:16" ht="12.75" customHeight="1" x14ac:dyDescent="0.25">
      <c r="D383" s="301"/>
      <c r="E383" s="308" t="s">
        <v>653</v>
      </c>
      <c r="F383" s="143"/>
      <c r="G383" s="115"/>
      <c r="H383" s="308"/>
      <c r="I383" s="308"/>
      <c r="J383" s="114">
        <v>594</v>
      </c>
      <c r="K383" s="114">
        <v>609</v>
      </c>
      <c r="L383" s="114">
        <f t="shared" si="110"/>
        <v>622</v>
      </c>
      <c r="M383" s="114">
        <f t="shared" si="110"/>
        <v>636</v>
      </c>
      <c r="N383" s="114">
        <f t="shared" si="110"/>
        <v>651</v>
      </c>
      <c r="O383" s="114">
        <f t="shared" si="110"/>
        <v>666</v>
      </c>
      <c r="P383" s="115"/>
    </row>
    <row r="384" spans="4:16" ht="12.75" customHeight="1" x14ac:dyDescent="0.25">
      <c r="D384" s="301"/>
      <c r="E384" s="308" t="s">
        <v>654</v>
      </c>
      <c r="F384" s="143"/>
      <c r="G384" s="115"/>
      <c r="H384" s="308"/>
      <c r="I384" s="308"/>
      <c r="J384" s="114">
        <v>710</v>
      </c>
      <c r="K384" s="114">
        <v>728</v>
      </c>
      <c r="L384" s="114">
        <f t="shared" si="110"/>
        <v>743</v>
      </c>
      <c r="M384" s="114">
        <f t="shared" si="110"/>
        <v>760</v>
      </c>
      <c r="N384" s="114">
        <f t="shared" si="110"/>
        <v>777</v>
      </c>
      <c r="O384" s="114">
        <f t="shared" si="110"/>
        <v>795</v>
      </c>
      <c r="P384" s="115"/>
    </row>
    <row r="385" spans="4:16" ht="12.75" customHeight="1" x14ac:dyDescent="0.25">
      <c r="D385" s="301"/>
      <c r="E385" s="308" t="s">
        <v>655</v>
      </c>
      <c r="F385" s="143"/>
      <c r="G385" s="115"/>
      <c r="H385" s="308"/>
      <c r="I385" s="308"/>
      <c r="J385" s="114">
        <v>10660</v>
      </c>
      <c r="K385" s="114">
        <v>10937</v>
      </c>
      <c r="L385" s="114">
        <f t="shared" si="110"/>
        <v>11167</v>
      </c>
      <c r="M385" s="114">
        <f t="shared" si="110"/>
        <v>11424</v>
      </c>
      <c r="N385" s="114">
        <f t="shared" si="110"/>
        <v>11687</v>
      </c>
      <c r="O385" s="114">
        <f t="shared" si="110"/>
        <v>11956</v>
      </c>
      <c r="P385" s="115"/>
    </row>
    <row r="386" spans="4:16" ht="12.75" customHeight="1" x14ac:dyDescent="0.25">
      <c r="D386" s="301"/>
      <c r="E386" s="308"/>
      <c r="F386" s="143"/>
      <c r="G386" s="115"/>
      <c r="H386" s="308"/>
      <c r="I386" s="308"/>
      <c r="J386" s="114"/>
      <c r="K386" s="114"/>
      <c r="L386" s="114"/>
      <c r="M386" s="114"/>
      <c r="N386" s="114"/>
      <c r="O386" s="114"/>
      <c r="P386" s="115"/>
    </row>
    <row r="387" spans="4:16" ht="12.75" customHeight="1" thickBot="1" x14ac:dyDescent="0.3">
      <c r="D387" s="301"/>
      <c r="E387" s="308" t="str">
        <f>"Totaal "&amp;D370</f>
        <v>Totaal 43812</v>
      </c>
      <c r="F387" s="143"/>
      <c r="G387" s="115"/>
      <c r="H387" s="308"/>
      <c r="I387" s="308"/>
      <c r="J387" s="1744">
        <v>30906</v>
      </c>
      <c r="K387" s="1744">
        <v>31708</v>
      </c>
      <c r="L387" s="1744">
        <f>SUM(L371:L386)</f>
        <v>32375</v>
      </c>
      <c r="M387" s="1744">
        <f>SUM(M371:M386)</f>
        <v>33120</v>
      </c>
      <c r="N387" s="1744">
        <f>SUM(N371:N386)</f>
        <v>33883</v>
      </c>
      <c r="O387" s="1744">
        <f>SUM(O371:O386)</f>
        <v>34664</v>
      </c>
      <c r="P387" s="115"/>
    </row>
    <row r="388" spans="4:16" ht="12.75" customHeight="1" thickTop="1" x14ac:dyDescent="0.25">
      <c r="D388" s="301"/>
      <c r="E388" s="143"/>
      <c r="F388" s="143"/>
      <c r="G388" s="308"/>
      <c r="H388" s="308"/>
      <c r="I388" s="308"/>
      <c r="J388" s="114"/>
      <c r="K388" s="114"/>
      <c r="L388" s="114"/>
      <c r="M388" s="114"/>
      <c r="N388" s="114"/>
      <c r="O388" s="114"/>
      <c r="P388" s="115"/>
    </row>
    <row r="389" spans="4:16" ht="12.75" customHeight="1" x14ac:dyDescent="0.25">
      <c r="D389" s="143">
        <v>44380</v>
      </c>
      <c r="E389" s="308" t="s">
        <v>656</v>
      </c>
      <c r="F389" s="143"/>
      <c r="G389" s="115"/>
      <c r="H389" s="115"/>
      <c r="I389" s="115"/>
      <c r="J389" s="114">
        <v>3907</v>
      </c>
      <c r="K389" s="114">
        <v>4009</v>
      </c>
      <c r="L389" s="114">
        <f>ROUND(K389*T$2,0)</f>
        <v>4093</v>
      </c>
      <c r="M389" s="114">
        <f>ROUND(L389*U$2,0)</f>
        <v>4187</v>
      </c>
      <c r="N389" s="114">
        <f>ROUND(M389*V$2,0)</f>
        <v>4283</v>
      </c>
      <c r="O389" s="114">
        <f>ROUND(N389*W$2,0)</f>
        <v>4382</v>
      </c>
      <c r="P389" s="115"/>
    </row>
    <row r="390" spans="4:16" ht="12.75" customHeight="1" thickBot="1" x14ac:dyDescent="0.3">
      <c r="D390" s="424"/>
      <c r="E390" s="308" t="str">
        <f>"Totaal "&amp;D389</f>
        <v>Totaal 44380</v>
      </c>
      <c r="F390" s="143"/>
      <c r="G390" s="115"/>
      <c r="H390" s="115"/>
      <c r="I390" s="115"/>
      <c r="J390" s="1744">
        <v>3907</v>
      </c>
      <c r="K390" s="1744">
        <v>4009</v>
      </c>
      <c r="L390" s="1744">
        <f>SUM(L389:L389)</f>
        <v>4093</v>
      </c>
      <c r="M390" s="1744">
        <f>SUM(M389:M389)</f>
        <v>4187</v>
      </c>
      <c r="N390" s="1744">
        <f>SUM(N389:N389)</f>
        <v>4283</v>
      </c>
      <c r="O390" s="1744">
        <f>SUM(O389:O389)</f>
        <v>4382</v>
      </c>
      <c r="P390" s="115"/>
    </row>
    <row r="391" spans="4:16" ht="12.75" customHeight="1" thickTop="1" x14ac:dyDescent="0.25">
      <c r="D391" s="424"/>
      <c r="E391" s="143"/>
      <c r="F391" s="143"/>
      <c r="G391" s="115"/>
      <c r="H391" s="115"/>
      <c r="I391" s="115"/>
      <c r="J391" s="115"/>
      <c r="K391" s="115"/>
      <c r="L391" s="115"/>
      <c r="M391" s="115"/>
      <c r="N391" s="115"/>
      <c r="O391" s="115"/>
      <c r="P391" s="115"/>
    </row>
    <row r="392" spans="4:16" ht="12.75" customHeight="1" x14ac:dyDescent="0.25">
      <c r="D392" s="424"/>
      <c r="E392" s="143"/>
      <c r="F392" s="143"/>
      <c r="G392" s="115"/>
      <c r="H392" s="115"/>
      <c r="I392" s="115"/>
      <c r="J392" s="115"/>
      <c r="K392" s="115"/>
      <c r="L392" s="115"/>
      <c r="M392" s="115"/>
      <c r="N392" s="115"/>
      <c r="O392" s="115"/>
      <c r="P392" s="115"/>
    </row>
    <row r="393" spans="4:16" ht="12.75" customHeight="1" x14ac:dyDescent="0.25">
      <c r="D393" s="393">
        <v>601011</v>
      </c>
      <c r="E393" s="381" t="s">
        <v>657</v>
      </c>
      <c r="F393" s="382"/>
      <c r="G393" s="115"/>
      <c r="H393" s="115"/>
      <c r="I393" s="115"/>
      <c r="J393" s="115"/>
      <c r="K393" s="115"/>
      <c r="L393" s="115"/>
      <c r="M393" s="115"/>
      <c r="N393" s="115"/>
      <c r="O393" s="115"/>
      <c r="P393" s="115"/>
    </row>
    <row r="394" spans="4:16" ht="12.75" customHeight="1" x14ac:dyDescent="0.25">
      <c r="D394" s="393"/>
      <c r="E394" s="382"/>
      <c r="F394" s="382"/>
      <c r="G394" s="401"/>
      <c r="H394" s="399"/>
      <c r="I394" s="115"/>
      <c r="J394" s="422">
        <v>2025</v>
      </c>
      <c r="K394" s="422">
        <v>2026</v>
      </c>
      <c r="L394" s="422">
        <f>+L368</f>
        <v>2027</v>
      </c>
      <c r="M394" s="422">
        <f>+M368</f>
        <v>2028</v>
      </c>
      <c r="N394" s="422">
        <f>+N368</f>
        <v>2029</v>
      </c>
      <c r="O394" s="422">
        <f>+O368</f>
        <v>2030</v>
      </c>
      <c r="P394" s="115"/>
    </row>
    <row r="395" spans="4:16" ht="12.75" customHeight="1" x14ac:dyDescent="0.25">
      <c r="D395" s="393"/>
      <c r="E395" s="382"/>
      <c r="F395" s="382"/>
      <c r="G395" s="381"/>
      <c r="H395" s="115"/>
      <c r="I395" s="115"/>
      <c r="J395" s="396"/>
      <c r="K395" s="396"/>
      <c r="L395" s="396"/>
      <c r="M395" s="396"/>
      <c r="N395" s="396"/>
      <c r="O395" s="396"/>
      <c r="P395" s="115"/>
    </row>
    <row r="396" spans="4:16" ht="12.75" customHeight="1" x14ac:dyDescent="0.25">
      <c r="D396" s="143">
        <v>43812</v>
      </c>
      <c r="E396" s="425" t="s">
        <v>658</v>
      </c>
      <c r="F396" s="143"/>
      <c r="G396" s="115"/>
      <c r="H396" s="308"/>
      <c r="I396" s="115"/>
      <c r="J396" s="114">
        <v>23541</v>
      </c>
      <c r="K396" s="114">
        <v>24153</v>
      </c>
      <c r="L396" s="114">
        <f>ROUND(K396*T$2,0)</f>
        <v>24660</v>
      </c>
      <c r="M396" s="114">
        <f>ROUND(L396*U$2,0)</f>
        <v>25227</v>
      </c>
      <c r="N396" s="114">
        <f>ROUND(M396*V$2,0)</f>
        <v>25807</v>
      </c>
      <c r="O396" s="114">
        <f>ROUND(N396*W$2,0)</f>
        <v>26401</v>
      </c>
      <c r="P396" s="115"/>
    </row>
    <row r="397" spans="4:16" ht="12.75" customHeight="1" thickBot="1" x14ac:dyDescent="0.3">
      <c r="D397" s="301"/>
      <c r="E397" s="308" t="s">
        <v>619</v>
      </c>
      <c r="F397" s="143"/>
      <c r="G397" s="115"/>
      <c r="H397" s="308"/>
      <c r="I397" s="115"/>
      <c r="J397" s="1744">
        <v>23541</v>
      </c>
      <c r="K397" s="1744">
        <v>24153</v>
      </c>
      <c r="L397" s="1744">
        <f>SUM(L396:L396)</f>
        <v>24660</v>
      </c>
      <c r="M397" s="1744">
        <f>SUM(M396:M396)</f>
        <v>25227</v>
      </c>
      <c r="N397" s="1744">
        <f>SUM(N396:N396)</f>
        <v>25807</v>
      </c>
      <c r="O397" s="1744">
        <f>SUM(O396:O396)</f>
        <v>26401</v>
      </c>
      <c r="P397" s="115"/>
    </row>
    <row r="398" spans="4:16" ht="12.75" customHeight="1" thickTop="1" x14ac:dyDescent="0.25">
      <c r="D398" s="384"/>
      <c r="E398" s="384"/>
      <c r="F398" s="384"/>
      <c r="G398" s="115"/>
      <c r="H398" s="115"/>
      <c r="I398" s="115"/>
      <c r="J398" s="115"/>
      <c r="K398" s="115"/>
      <c r="L398" s="115"/>
      <c r="M398" s="115"/>
      <c r="N398" s="115"/>
      <c r="O398" s="115"/>
      <c r="P398" s="115"/>
    </row>
    <row r="399" spans="4:16" ht="12.75" customHeight="1" x14ac:dyDescent="0.25">
      <c r="D399" s="384"/>
      <c r="E399" s="2510" t="s">
        <v>659</v>
      </c>
      <c r="F399" s="2510"/>
      <c r="G399" s="2510"/>
      <c r="H399" s="2510"/>
      <c r="I399" s="2510"/>
      <c r="J399" s="399"/>
      <c r="K399" s="399"/>
      <c r="L399" s="399"/>
      <c r="M399" s="399"/>
      <c r="N399" s="399"/>
      <c r="O399" s="399"/>
      <c r="P399" s="115"/>
    </row>
    <row r="400" spans="4:16" ht="12.75" customHeight="1" x14ac:dyDescent="0.25">
      <c r="D400" s="384"/>
      <c r="E400" s="2510"/>
      <c r="F400" s="2510"/>
      <c r="G400" s="2510"/>
      <c r="H400" s="2510"/>
      <c r="I400" s="2510"/>
      <c r="J400" s="399"/>
      <c r="K400" s="399"/>
      <c r="L400" s="399"/>
      <c r="M400" s="399"/>
      <c r="N400" s="399"/>
      <c r="O400" s="399"/>
      <c r="P400" s="115"/>
    </row>
    <row r="401" spans="4:16" ht="12.75" customHeight="1" x14ac:dyDescent="0.25">
      <c r="D401" s="424"/>
      <c r="E401" s="336" t="s">
        <v>660</v>
      </c>
      <c r="F401" s="143"/>
      <c r="G401" s="115"/>
      <c r="H401" s="115"/>
      <c r="I401" s="115"/>
      <c r="J401" s="115"/>
      <c r="K401" s="115"/>
      <c r="L401" s="115"/>
      <c r="M401" s="115"/>
      <c r="N401" s="115"/>
      <c r="O401" s="115"/>
      <c r="P401" s="115"/>
    </row>
    <row r="402" spans="4:16" ht="12.75" customHeight="1" x14ac:dyDescent="0.25">
      <c r="D402" s="424"/>
      <c r="E402" s="143"/>
      <c r="F402" s="143"/>
      <c r="G402" s="115"/>
      <c r="H402" s="115"/>
      <c r="I402" s="115"/>
      <c r="J402" s="115"/>
      <c r="K402" s="115"/>
      <c r="L402" s="115"/>
      <c r="M402" s="115"/>
      <c r="N402" s="115"/>
      <c r="O402" s="115"/>
      <c r="P402" s="115"/>
    </row>
    <row r="403" spans="4:16" ht="12.75" customHeight="1" x14ac:dyDescent="0.25">
      <c r="D403" s="393">
        <v>601012</v>
      </c>
      <c r="E403" s="426" t="s">
        <v>516</v>
      </c>
      <c r="F403" s="393"/>
      <c r="G403" s="115"/>
      <c r="H403" s="401"/>
      <c r="I403" s="401"/>
      <c r="J403" s="115"/>
      <c r="K403" s="115"/>
      <c r="L403" s="115"/>
      <c r="M403" s="115"/>
      <c r="N403" s="115"/>
      <c r="O403" s="115"/>
      <c r="P403" s="115"/>
    </row>
    <row r="404" spans="4:16" ht="12.75" customHeight="1" x14ac:dyDescent="0.25">
      <c r="D404" s="427"/>
      <c r="E404" s="427"/>
      <c r="F404" s="427"/>
      <c r="G404" s="405"/>
      <c r="H404" s="405"/>
      <c r="I404" s="405"/>
      <c r="J404" s="115"/>
      <c r="K404" s="115"/>
      <c r="L404" s="115"/>
      <c r="M404" s="115"/>
      <c r="N404" s="115"/>
      <c r="O404" s="115"/>
      <c r="P404" s="115"/>
    </row>
    <row r="405" spans="4:16" ht="12.75" customHeight="1" x14ac:dyDescent="0.25">
      <c r="D405" s="399"/>
      <c r="E405" s="399"/>
      <c r="F405" s="399"/>
      <c r="G405" s="399"/>
      <c r="H405" s="399"/>
      <c r="I405" s="399"/>
      <c r="J405" s="407">
        <v>2025</v>
      </c>
      <c r="K405" s="407">
        <v>2026</v>
      </c>
      <c r="L405" s="407">
        <f>+L368</f>
        <v>2027</v>
      </c>
      <c r="M405" s="407">
        <f>+M368</f>
        <v>2028</v>
      </c>
      <c r="N405" s="407">
        <f>+N368</f>
        <v>2029</v>
      </c>
      <c r="O405" s="407">
        <f>+O368</f>
        <v>2030</v>
      </c>
      <c r="P405" s="115"/>
    </row>
    <row r="406" spans="4:16" ht="12.75" customHeight="1" x14ac:dyDescent="0.25">
      <c r="D406" s="428" t="s">
        <v>661</v>
      </c>
      <c r="E406" s="428"/>
      <c r="F406" s="428"/>
      <c r="G406" s="114"/>
      <c r="H406" s="114"/>
      <c r="I406" s="114"/>
      <c r="J406" s="114"/>
      <c r="K406" s="114"/>
      <c r="L406" s="114"/>
      <c r="M406" s="114"/>
      <c r="N406" s="114"/>
      <c r="O406" s="114"/>
      <c r="P406" s="115"/>
    </row>
    <row r="407" spans="4:16" ht="12.75" customHeight="1" x14ac:dyDescent="0.25">
      <c r="D407" s="424" t="s">
        <v>662</v>
      </c>
      <c r="E407" s="424"/>
      <c r="F407" s="424"/>
      <c r="G407" s="114">
        <v>31223</v>
      </c>
      <c r="H407" s="114" t="s">
        <v>663</v>
      </c>
      <c r="I407" s="429">
        <f>5.573</f>
        <v>5.5730000000000004</v>
      </c>
      <c r="J407" s="114">
        <v>174006</v>
      </c>
      <c r="K407" s="114"/>
      <c r="L407" s="114"/>
      <c r="M407" s="114"/>
      <c r="N407" s="114"/>
      <c r="O407" s="114"/>
      <c r="P407" s="115"/>
    </row>
    <row r="408" spans="4:16" ht="12.75" customHeight="1" x14ac:dyDescent="0.25">
      <c r="D408" s="424" t="s">
        <v>664</v>
      </c>
      <c r="E408" s="424"/>
      <c r="F408" s="424"/>
      <c r="G408" s="114">
        <v>31652</v>
      </c>
      <c r="H408" s="114" t="s">
        <v>663</v>
      </c>
      <c r="I408" s="429">
        <v>5.7720000000000002</v>
      </c>
      <c r="J408" s="114"/>
      <c r="K408" s="114">
        <v>182695</v>
      </c>
      <c r="L408" s="114"/>
      <c r="M408" s="114"/>
      <c r="N408" s="114"/>
      <c r="O408" s="114"/>
      <c r="P408" s="115">
        <f>173982/31220</f>
        <v>5.5727738629083925</v>
      </c>
    </row>
    <row r="409" spans="4:16" ht="12.75" customHeight="1" x14ac:dyDescent="0.25">
      <c r="D409" s="424" t="s">
        <v>665</v>
      </c>
      <c r="E409" s="424"/>
      <c r="F409" s="424"/>
      <c r="G409" s="114">
        <v>32141</v>
      </c>
      <c r="H409" s="114" t="s">
        <v>663</v>
      </c>
      <c r="I409" s="429">
        <f>ROUND(I408*T3,3)</f>
        <v>6.0140000000000002</v>
      </c>
      <c r="J409" s="114"/>
      <c r="K409" s="114"/>
      <c r="L409" s="114">
        <f>ROUND($G409*$I409,0)</f>
        <v>193296</v>
      </c>
      <c r="M409" s="114"/>
      <c r="N409" s="114"/>
      <c r="O409" s="114"/>
      <c r="P409" s="115"/>
    </row>
    <row r="410" spans="4:16" ht="12.75" customHeight="1" x14ac:dyDescent="0.25">
      <c r="D410" s="424" t="s">
        <v>666</v>
      </c>
      <c r="E410" s="424"/>
      <c r="F410" s="424"/>
      <c r="G410" s="114">
        <v>32540</v>
      </c>
      <c r="H410" s="114" t="s">
        <v>663</v>
      </c>
      <c r="I410" s="429">
        <f>ROUND(I409*U3,3)</f>
        <v>6.2370000000000001</v>
      </c>
      <c r="J410" s="114"/>
      <c r="K410" s="114"/>
      <c r="L410" s="114"/>
      <c r="M410" s="114">
        <f>ROUND($G410*$I410,0)</f>
        <v>202952</v>
      </c>
      <c r="N410" s="114"/>
      <c r="O410" s="114"/>
      <c r="P410" s="115"/>
    </row>
    <row r="411" spans="4:16" ht="12.75" customHeight="1" x14ac:dyDescent="0.25">
      <c r="D411" s="424" t="s">
        <v>667</v>
      </c>
      <c r="E411" s="424"/>
      <c r="F411" s="424"/>
      <c r="G411" s="114">
        <v>33182</v>
      </c>
      <c r="H411" s="114" t="s">
        <v>663</v>
      </c>
      <c r="I411" s="2025">
        <f>ROUND(I410*V4,3)</f>
        <v>6.4269999999999996</v>
      </c>
      <c r="J411" s="114"/>
      <c r="K411" s="114"/>
      <c r="L411" s="114"/>
      <c r="M411" s="114"/>
      <c r="N411" s="114">
        <f>+I411*G411</f>
        <v>213260.71399999998</v>
      </c>
      <c r="P411" s="115"/>
    </row>
    <row r="412" spans="4:16" ht="12.75" customHeight="1" x14ac:dyDescent="0.25">
      <c r="D412" s="424" t="s">
        <v>5255</v>
      </c>
      <c r="E412" s="424"/>
      <c r="F412" s="424"/>
      <c r="G412" s="544">
        <v>33182</v>
      </c>
      <c r="H412" s="544" t="s">
        <v>663</v>
      </c>
      <c r="I412" s="2025">
        <f>ROUND(I411*W3,3)</f>
        <v>6.665</v>
      </c>
      <c r="J412" s="114"/>
      <c r="K412" s="114"/>
      <c r="L412" s="114"/>
      <c r="M412" s="114"/>
      <c r="N412" s="114"/>
      <c r="O412" s="114">
        <f>+I412*G412</f>
        <v>221158.03</v>
      </c>
      <c r="P412" s="115"/>
    </row>
    <row r="413" spans="4:16" ht="12.75" customHeight="1" x14ac:dyDescent="0.25">
      <c r="D413" s="424"/>
      <c r="E413" s="424"/>
      <c r="F413" s="424"/>
      <c r="G413" s="114"/>
      <c r="H413" s="114"/>
      <c r="I413" s="429"/>
      <c r="J413" s="114"/>
      <c r="K413" s="114"/>
      <c r="L413" s="114"/>
      <c r="M413" s="114"/>
      <c r="N413" s="114"/>
      <c r="P413" s="115"/>
    </row>
    <row r="414" spans="4:16" ht="12.75" customHeight="1" x14ac:dyDescent="0.25">
      <c r="D414" s="428" t="s">
        <v>668</v>
      </c>
      <c r="E414" s="428"/>
      <c r="F414" s="428"/>
      <c r="G414" s="114"/>
      <c r="H414" s="114"/>
      <c r="I414" s="114"/>
      <c r="J414" s="114"/>
      <c r="K414" s="114"/>
      <c r="L414" s="114"/>
      <c r="M414" s="114"/>
      <c r="N414" s="114"/>
      <c r="O414" s="114"/>
      <c r="P414" s="115"/>
    </row>
    <row r="415" spans="4:16" ht="12.75" customHeight="1" x14ac:dyDescent="0.25">
      <c r="D415" s="424" t="s">
        <v>662</v>
      </c>
      <c r="E415" s="424"/>
      <c r="F415" s="424"/>
      <c r="G415" s="114">
        <v>31223</v>
      </c>
      <c r="H415" s="114" t="s">
        <v>663</v>
      </c>
      <c r="I415" s="429">
        <v>3.6509999999999998</v>
      </c>
      <c r="J415" s="114">
        <v>114010</v>
      </c>
      <c r="K415" s="114"/>
      <c r="L415" s="114"/>
      <c r="M415" s="114"/>
      <c r="N415" s="114"/>
      <c r="O415" s="114"/>
      <c r="P415" s="115">
        <f>113999/31220</f>
        <v>3.6514734144778989</v>
      </c>
    </row>
    <row r="416" spans="4:16" ht="12.75" customHeight="1" x14ac:dyDescent="0.25">
      <c r="D416" s="424" t="s">
        <v>664</v>
      </c>
      <c r="E416" s="424"/>
      <c r="F416" s="424"/>
      <c r="G416" s="114">
        <f>+G408</f>
        <v>31652</v>
      </c>
      <c r="H416" s="114" t="s">
        <v>663</v>
      </c>
      <c r="I416" s="429">
        <v>3.782</v>
      </c>
      <c r="J416" s="114"/>
      <c r="K416" s="114">
        <v>119708</v>
      </c>
      <c r="L416" s="114"/>
      <c r="M416" s="114"/>
      <c r="N416" s="114"/>
      <c r="O416" s="114"/>
      <c r="P416" s="115"/>
    </row>
    <row r="417" spans="4:16" ht="12.75" customHeight="1" x14ac:dyDescent="0.25">
      <c r="D417" s="424" t="s">
        <v>665</v>
      </c>
      <c r="E417" s="424"/>
      <c r="F417" s="424"/>
      <c r="G417" s="114">
        <f>+G409</f>
        <v>32141</v>
      </c>
      <c r="H417" s="114" t="s">
        <v>663</v>
      </c>
      <c r="I417" s="429">
        <f>ROUND(I416*T3,3)</f>
        <v>3.9409999999999998</v>
      </c>
      <c r="J417" s="114"/>
      <c r="K417" s="114"/>
      <c r="L417" s="114">
        <f>ROUND($G417*$I417,0)</f>
        <v>126668</v>
      </c>
      <c r="M417" s="114"/>
      <c r="N417" s="114"/>
      <c r="O417" s="114"/>
      <c r="P417" s="115"/>
    </row>
    <row r="418" spans="4:16" ht="12.75" customHeight="1" x14ac:dyDescent="0.25">
      <c r="D418" s="424" t="s">
        <v>666</v>
      </c>
      <c r="E418" s="424"/>
      <c r="F418" s="424"/>
      <c r="G418" s="114">
        <f>+G410</f>
        <v>32540</v>
      </c>
      <c r="H418" s="114" t="s">
        <v>663</v>
      </c>
      <c r="I418" s="2025">
        <f>ROUND(I417*U2,3)</f>
        <v>4.032</v>
      </c>
      <c r="J418" s="114"/>
      <c r="K418" s="114"/>
      <c r="L418" s="114"/>
      <c r="M418" s="114">
        <f>ROUND($G418*$I418,0)</f>
        <v>131201</v>
      </c>
      <c r="N418" s="114"/>
      <c r="O418" s="114"/>
      <c r="P418" s="115"/>
    </row>
    <row r="419" spans="4:16" ht="12.75" customHeight="1" x14ac:dyDescent="0.25">
      <c r="D419" s="424" t="s">
        <v>667</v>
      </c>
      <c r="E419" s="424"/>
      <c r="F419" s="424"/>
      <c r="G419" s="114">
        <f>+G411</f>
        <v>33182</v>
      </c>
      <c r="H419" s="114" t="s">
        <v>663</v>
      </c>
      <c r="I419" s="429">
        <f>ROUND(I418*V3,3)</f>
        <v>4.181</v>
      </c>
      <c r="J419" s="114"/>
      <c r="K419" s="114"/>
      <c r="L419" s="114"/>
      <c r="M419" s="114"/>
      <c r="N419" s="114">
        <f>+I419*G419</f>
        <v>138733.94200000001</v>
      </c>
      <c r="O419" s="114"/>
      <c r="P419" s="115"/>
    </row>
    <row r="420" spans="4:16" ht="12.75" customHeight="1" x14ac:dyDescent="0.25">
      <c r="D420" s="424" t="s">
        <v>5255</v>
      </c>
      <c r="E420" s="424"/>
      <c r="F420" s="424"/>
      <c r="G420" s="544">
        <f>+G412</f>
        <v>33182</v>
      </c>
      <c r="H420" s="544" t="s">
        <v>663</v>
      </c>
      <c r="I420" s="2025">
        <f>ROUND(I419*W3,3)</f>
        <v>4.3360000000000003</v>
      </c>
      <c r="J420" s="114"/>
      <c r="K420" s="114"/>
      <c r="L420" s="114"/>
      <c r="M420" s="114"/>
      <c r="N420" s="114"/>
      <c r="O420" s="114">
        <f>+I420*G420</f>
        <v>143877.152</v>
      </c>
      <c r="P420" s="115"/>
    </row>
    <row r="421" spans="4:16" ht="12.75" customHeight="1" x14ac:dyDescent="0.25">
      <c r="D421" s="430"/>
      <c r="E421" s="430"/>
      <c r="F421" s="430"/>
      <c r="G421" s="114"/>
      <c r="H421" s="114"/>
      <c r="I421" s="114"/>
      <c r="J421" s="431"/>
      <c r="K421" s="114"/>
      <c r="L421" s="114"/>
      <c r="M421" s="114"/>
      <c r="N421" s="114"/>
      <c r="O421" s="114"/>
      <c r="P421" s="115"/>
    </row>
    <row r="422" spans="4:16" ht="12.75" customHeight="1" x14ac:dyDescent="0.25">
      <c r="D422" s="336" t="s">
        <v>669</v>
      </c>
      <c r="E422" s="336"/>
      <c r="F422" s="336"/>
      <c r="G422" s="114"/>
      <c r="H422" s="114"/>
      <c r="I422" s="114"/>
      <c r="J422" s="397">
        <v>288016</v>
      </c>
      <c r="K422" s="432">
        <v>302403</v>
      </c>
      <c r="L422" s="432">
        <f>SUM(L408:L421)</f>
        <v>319964</v>
      </c>
      <c r="M422" s="432">
        <f>SUM(M408:M421)</f>
        <v>334153</v>
      </c>
      <c r="N422" s="432">
        <f>SUM(N408:N421)</f>
        <v>351994.65599999996</v>
      </c>
      <c r="O422" s="432">
        <f>SUM(O408:O421)</f>
        <v>365035.18200000003</v>
      </c>
      <c r="P422" s="115"/>
    </row>
    <row r="423" spans="4:16" ht="12.75" customHeight="1" x14ac:dyDescent="0.25">
      <c r="D423" s="424"/>
      <c r="E423" s="424"/>
      <c r="F423" s="424"/>
      <c r="G423" s="114"/>
      <c r="H423" s="114"/>
      <c r="I423" s="114"/>
      <c r="J423" s="114"/>
      <c r="K423" s="114"/>
      <c r="L423" s="114"/>
      <c r="M423" s="114"/>
      <c r="N423" s="114"/>
      <c r="O423" s="114"/>
      <c r="P423" s="115"/>
    </row>
    <row r="424" spans="4:16" ht="12.75" customHeight="1" x14ac:dyDescent="0.25">
      <c r="D424" s="433" t="s">
        <v>670</v>
      </c>
      <c r="E424" s="433"/>
      <c r="F424" s="433"/>
      <c r="G424" s="114"/>
      <c r="H424" s="114"/>
      <c r="I424" s="114"/>
      <c r="J424" s="114"/>
      <c r="K424" s="114"/>
      <c r="L424" s="114"/>
      <c r="M424" s="114"/>
      <c r="N424" s="114"/>
      <c r="O424" s="114"/>
      <c r="P424" s="115"/>
    </row>
    <row r="425" spans="4:16" ht="12.75" customHeight="1" thickBot="1" x14ac:dyDescent="0.3">
      <c r="D425" s="434" t="s">
        <v>671</v>
      </c>
      <c r="E425" s="433"/>
      <c r="F425" s="433"/>
      <c r="G425" s="115"/>
      <c r="H425" s="115"/>
      <c r="I425" s="115"/>
      <c r="J425" s="1744">
        <v>18608</v>
      </c>
      <c r="K425" s="1744">
        <v>19092</v>
      </c>
      <c r="L425" s="1744">
        <f>ROUND(K425*T$2,0)</f>
        <v>19493</v>
      </c>
      <c r="M425" s="1744">
        <f>ROUND(L425*U$2,0)</f>
        <v>19941</v>
      </c>
      <c r="N425" s="1744">
        <f>ROUND(M425*V$2,0)</f>
        <v>20400</v>
      </c>
      <c r="O425" s="1744">
        <f>ROUND(N425*W$2,0)</f>
        <v>20869</v>
      </c>
      <c r="P425" s="115"/>
    </row>
    <row r="426" spans="4:16" ht="12.75" customHeight="1" thickTop="1" x14ac:dyDescent="0.25">
      <c r="D426" s="424"/>
      <c r="E426" s="424"/>
      <c r="F426" s="427"/>
      <c r="G426" s="114"/>
      <c r="H426" s="114"/>
      <c r="I426" s="114"/>
      <c r="J426" s="114"/>
      <c r="K426" s="114"/>
      <c r="L426" s="114"/>
      <c r="M426" s="114"/>
      <c r="N426" s="114"/>
      <c r="O426" s="114"/>
      <c r="P426" s="115"/>
    </row>
    <row r="427" spans="4:16" ht="12.75" customHeight="1" x14ac:dyDescent="0.25">
      <c r="D427" s="396" t="s">
        <v>672</v>
      </c>
      <c r="E427" s="396"/>
      <c r="F427" s="396"/>
      <c r="G427" s="397"/>
      <c r="H427" s="397"/>
      <c r="I427" s="397"/>
      <c r="J427" s="115"/>
      <c r="K427" s="114"/>
      <c r="L427" s="114"/>
      <c r="M427" s="114"/>
      <c r="N427" s="114"/>
      <c r="O427" s="114"/>
      <c r="P427" s="115"/>
    </row>
    <row r="428" spans="4:16" ht="12.75" customHeight="1" x14ac:dyDescent="0.25">
      <c r="D428" s="396" t="s">
        <v>673</v>
      </c>
      <c r="E428" s="396"/>
      <c r="F428" s="396"/>
      <c r="G428" s="397"/>
      <c r="H428" s="397"/>
      <c r="I428" s="397"/>
      <c r="J428" s="115"/>
      <c r="K428" s="114"/>
      <c r="L428" s="114"/>
      <c r="M428" s="114"/>
      <c r="N428" s="114"/>
      <c r="O428" s="114"/>
      <c r="P428" s="115"/>
    </row>
    <row r="429" spans="4:16" ht="12.75" customHeight="1" x14ac:dyDescent="0.25">
      <c r="D429" s="396" t="s">
        <v>674</v>
      </c>
      <c r="E429" s="396"/>
      <c r="F429" s="396"/>
      <c r="G429" s="397"/>
      <c r="H429" s="397"/>
      <c r="I429" s="397"/>
      <c r="J429" s="115"/>
      <c r="K429" s="114"/>
      <c r="L429" s="114"/>
      <c r="M429" s="114"/>
      <c r="N429" s="114"/>
      <c r="O429" s="114"/>
      <c r="P429" s="115"/>
    </row>
    <row r="430" spans="4:16" ht="12.75" customHeight="1" x14ac:dyDescent="0.25">
      <c r="D430" s="424"/>
      <c r="E430" s="424"/>
      <c r="F430" s="427"/>
      <c r="G430" s="114"/>
      <c r="H430" s="114"/>
      <c r="I430" s="114"/>
      <c r="J430" s="114"/>
      <c r="K430" s="114"/>
      <c r="L430" s="114"/>
      <c r="M430" s="114"/>
      <c r="N430" s="114"/>
      <c r="O430" s="114"/>
      <c r="P430" s="115"/>
    </row>
    <row r="431" spans="4:16" ht="12.75" customHeight="1" x14ac:dyDescent="0.25">
      <c r="D431" s="424"/>
      <c r="E431" s="424"/>
      <c r="F431" s="427"/>
      <c r="G431" s="114"/>
      <c r="H431" s="114"/>
      <c r="I431" s="114"/>
      <c r="J431" s="114"/>
      <c r="K431" s="114"/>
      <c r="L431" s="114"/>
      <c r="M431" s="114"/>
      <c r="N431" s="114"/>
      <c r="O431" s="114"/>
      <c r="P431" s="115"/>
    </row>
    <row r="432" spans="4:16" ht="12.75" customHeight="1" thickBot="1" x14ac:dyDescent="0.3">
      <c r="D432" s="114" t="s">
        <v>675</v>
      </c>
      <c r="E432" s="114"/>
      <c r="F432" s="114"/>
      <c r="G432" s="115"/>
      <c r="H432" s="114"/>
      <c r="I432" s="114"/>
      <c r="J432" s="1800">
        <v>306624</v>
      </c>
      <c r="K432" s="1800">
        <v>321495</v>
      </c>
      <c r="L432" s="1800">
        <f>SUM(L422:L426)</f>
        <v>339457</v>
      </c>
      <c r="M432" s="1800">
        <f>SUM(M422:M426)</f>
        <v>354094</v>
      </c>
      <c r="N432" s="1800">
        <f>SUM(N422:N426)</f>
        <v>372394.65599999996</v>
      </c>
      <c r="O432" s="1800">
        <f>SUM(O422:O426)</f>
        <v>385904.18200000003</v>
      </c>
      <c r="P432" s="115"/>
    </row>
    <row r="433" spans="4:16" ht="12.75" customHeight="1" thickTop="1" x14ac:dyDescent="0.25">
      <c r="D433" s="301"/>
      <c r="E433" s="301"/>
      <c r="F433" s="301"/>
      <c r="G433" s="114"/>
      <c r="H433" s="114"/>
      <c r="I433" s="114"/>
      <c r="J433" s="115"/>
      <c r="K433" s="115"/>
      <c r="L433" s="115"/>
      <c r="M433" s="115"/>
      <c r="N433" s="115"/>
      <c r="O433" s="115"/>
      <c r="P433" s="115"/>
    </row>
    <row r="434" spans="4:16" ht="12.75" customHeight="1" x14ac:dyDescent="0.25">
      <c r="D434" s="301"/>
      <c r="E434" s="301"/>
      <c r="F434" s="301"/>
      <c r="G434" s="114"/>
      <c r="H434" s="115"/>
      <c r="I434" s="115"/>
      <c r="J434" s="115"/>
      <c r="K434" s="115"/>
      <c r="L434" s="115"/>
      <c r="M434" s="115"/>
      <c r="N434" s="115"/>
      <c r="O434" s="115"/>
      <c r="P434" s="115"/>
    </row>
    <row r="435" spans="4:16" ht="12.75" customHeight="1" x14ac:dyDescent="0.25">
      <c r="D435" s="393">
        <v>601013</v>
      </c>
      <c r="E435" s="393"/>
      <c r="F435" s="381" t="s">
        <v>676</v>
      </c>
      <c r="G435" s="115"/>
      <c r="H435" s="114"/>
      <c r="I435" s="114"/>
      <c r="J435" s="115"/>
      <c r="K435" s="115"/>
      <c r="L435" s="115"/>
      <c r="M435" s="115"/>
      <c r="N435" s="115"/>
      <c r="O435" s="115"/>
      <c r="P435" s="115"/>
    </row>
    <row r="436" spans="4:16" ht="12.75" customHeight="1" x14ac:dyDescent="0.25">
      <c r="D436" s="424" t="s">
        <v>662</v>
      </c>
      <c r="E436" s="424"/>
      <c r="F436" s="424"/>
      <c r="G436" s="114">
        <v>31223</v>
      </c>
      <c r="H436" s="114" t="s">
        <v>663</v>
      </c>
      <c r="I436" s="429">
        <v>2.516</v>
      </c>
      <c r="J436" s="114">
        <v>78557</v>
      </c>
      <c r="K436" s="114"/>
      <c r="L436" s="114"/>
      <c r="M436" s="114"/>
      <c r="N436" s="114"/>
      <c r="O436" s="114"/>
      <c r="P436" s="115" t="s">
        <v>677</v>
      </c>
    </row>
    <row r="437" spans="4:16" ht="12.75" customHeight="1" x14ac:dyDescent="0.25">
      <c r="D437" s="424" t="s">
        <v>664</v>
      </c>
      <c r="E437" s="424"/>
      <c r="F437" s="424"/>
      <c r="G437" s="114">
        <f>+G416</f>
        <v>31652</v>
      </c>
      <c r="H437" s="114" t="s">
        <v>663</v>
      </c>
      <c r="I437" s="429">
        <v>2.516</v>
      </c>
      <c r="J437" s="114"/>
      <c r="K437" s="114">
        <v>79636</v>
      </c>
      <c r="L437" s="114"/>
      <c r="M437" s="114"/>
      <c r="N437" s="114"/>
      <c r="O437" s="114"/>
      <c r="P437" s="115"/>
    </row>
    <row r="438" spans="4:16" ht="12.75" customHeight="1" x14ac:dyDescent="0.25">
      <c r="D438" s="424" t="s">
        <v>665</v>
      </c>
      <c r="E438" s="424"/>
      <c r="F438" s="424"/>
      <c r="G438" s="114">
        <v>32141</v>
      </c>
      <c r="H438" s="114" t="s">
        <v>663</v>
      </c>
      <c r="I438" s="429">
        <f>ROUND(I437*T3,3)</f>
        <v>2.6219999999999999</v>
      </c>
      <c r="J438" s="114"/>
      <c r="K438" s="114"/>
      <c r="L438" s="114">
        <f>ROUND($G438*$I438,0)</f>
        <v>84274</v>
      </c>
      <c r="M438" s="114"/>
      <c r="N438" s="114"/>
      <c r="O438" s="114"/>
      <c r="P438" s="115"/>
    </row>
    <row r="439" spans="4:16" ht="12.75" customHeight="1" x14ac:dyDescent="0.25">
      <c r="D439" s="424" t="s">
        <v>666</v>
      </c>
      <c r="E439" s="424"/>
      <c r="F439" s="424"/>
      <c r="G439" s="114">
        <v>32540</v>
      </c>
      <c r="H439" s="114" t="s">
        <v>663</v>
      </c>
      <c r="I439" s="2025">
        <f>ROUND(I438*U2,3)</f>
        <v>2.6819999999999999</v>
      </c>
      <c r="J439" s="114"/>
      <c r="K439" s="114"/>
      <c r="L439" s="114"/>
      <c r="M439" s="114">
        <f>+G439*I439</f>
        <v>87272.28</v>
      </c>
      <c r="N439" s="114"/>
      <c r="O439" s="114"/>
      <c r="P439" s="115"/>
    </row>
    <row r="440" spans="4:16" ht="12.75" customHeight="1" x14ac:dyDescent="0.25">
      <c r="D440" s="424" t="s">
        <v>667</v>
      </c>
      <c r="E440" s="424"/>
      <c r="F440" s="424"/>
      <c r="G440" s="114">
        <v>33182</v>
      </c>
      <c r="H440" s="114" t="s">
        <v>663</v>
      </c>
      <c r="I440" s="429">
        <f>ROUND(I439*V3,3)</f>
        <v>2.7810000000000001</v>
      </c>
      <c r="J440" s="114"/>
      <c r="K440" s="114"/>
      <c r="L440" s="114"/>
      <c r="M440" s="114"/>
      <c r="N440" s="114">
        <f>+I440*G440</f>
        <v>92279.142000000007</v>
      </c>
      <c r="O440" s="114"/>
      <c r="P440" s="115"/>
    </row>
    <row r="441" spans="4:16" ht="12.75" customHeight="1" x14ac:dyDescent="0.25">
      <c r="D441" s="2026" t="s">
        <v>5255</v>
      </c>
      <c r="E441" s="2026"/>
      <c r="F441" s="2026"/>
      <c r="G441" s="544">
        <v>33182</v>
      </c>
      <c r="H441" s="544" t="s">
        <v>663</v>
      </c>
      <c r="I441" s="2025">
        <f>ROUND(I440*W3,3)</f>
        <v>2.8839999999999999</v>
      </c>
      <c r="J441" s="114"/>
      <c r="K441" s="114"/>
      <c r="L441" s="114"/>
      <c r="M441" s="114"/>
      <c r="N441" s="114"/>
      <c r="O441" s="114">
        <f>+I441*G441</f>
        <v>95696.887999999992</v>
      </c>
      <c r="P441" s="115"/>
    </row>
    <row r="442" spans="4:16" ht="12.75" customHeight="1" thickBot="1" x14ac:dyDescent="0.3">
      <c r="D442" s="114" t="s">
        <v>678</v>
      </c>
      <c r="E442" s="114"/>
      <c r="F442" s="114"/>
      <c r="G442" s="115"/>
      <c r="H442" s="114"/>
      <c r="I442" s="114"/>
      <c r="J442" s="1800">
        <v>78557</v>
      </c>
      <c r="K442" s="1800">
        <v>79636</v>
      </c>
      <c r="L442" s="1800">
        <f>+L438</f>
        <v>84274</v>
      </c>
      <c r="M442" s="1800">
        <f>+M439</f>
        <v>87272.28</v>
      </c>
      <c r="N442" s="1800">
        <f>+N440</f>
        <v>92279.142000000007</v>
      </c>
      <c r="O442" s="1800">
        <f>+O441</f>
        <v>95696.887999999992</v>
      </c>
      <c r="P442" s="115"/>
    </row>
    <row r="443" spans="4:16" ht="12.75" customHeight="1" thickTop="1" x14ac:dyDescent="0.25">
      <c r="D443" s="114"/>
      <c r="E443" s="114"/>
      <c r="F443" s="114"/>
      <c r="G443" s="115"/>
      <c r="H443" s="114"/>
      <c r="I443" s="114"/>
      <c r="J443" s="114"/>
      <c r="K443" s="114"/>
      <c r="L443" s="114"/>
      <c r="M443" s="114"/>
      <c r="N443" s="114"/>
      <c r="O443" s="114"/>
      <c r="P443" s="115"/>
    </row>
    <row r="444" spans="4:16" ht="12.75" customHeight="1" x14ac:dyDescent="0.25">
      <c r="D444" s="114"/>
      <c r="E444" s="114"/>
      <c r="F444" s="114"/>
      <c r="G444" s="115"/>
      <c r="H444" s="114"/>
      <c r="I444" s="114"/>
      <c r="J444" s="114"/>
      <c r="K444" s="114"/>
      <c r="L444" s="114"/>
      <c r="M444" s="114"/>
      <c r="N444" s="114"/>
      <c r="O444" s="114"/>
      <c r="P444" s="115"/>
    </row>
    <row r="445" spans="4:16" ht="12.75" customHeight="1" x14ac:dyDescent="0.25">
      <c r="D445" s="411" t="s">
        <v>679</v>
      </c>
      <c r="E445" s="411"/>
      <c r="F445" s="411"/>
      <c r="G445" s="114"/>
      <c r="H445" s="115"/>
      <c r="I445" s="115"/>
      <c r="J445" s="114"/>
      <c r="K445" s="114"/>
      <c r="L445" s="114"/>
      <c r="M445" s="114"/>
      <c r="N445" s="114"/>
      <c r="O445" s="114"/>
      <c r="P445" s="115"/>
    </row>
    <row r="446" spans="4:16" ht="12.75" customHeight="1" thickBot="1" x14ac:dyDescent="0.3">
      <c r="D446" s="301" t="s">
        <v>680</v>
      </c>
      <c r="E446" s="301"/>
      <c r="F446" s="301"/>
      <c r="G446" s="114"/>
      <c r="H446" s="396"/>
      <c r="I446" s="115"/>
      <c r="J446" s="1800">
        <v>129097</v>
      </c>
      <c r="K446" s="1800">
        <v>134868</v>
      </c>
      <c r="L446" s="1800">
        <f>ROUND(K446*T$3,0)</f>
        <v>140532</v>
      </c>
      <c r="M446" s="1800">
        <f>ROUND(L446*U$3,0)</f>
        <v>145732</v>
      </c>
      <c r="N446" s="1800">
        <f>ROUND(M446*V$3,0)</f>
        <v>151124</v>
      </c>
      <c r="O446" s="1800">
        <f>ROUND(N446*W$3,0)</f>
        <v>156716</v>
      </c>
      <c r="P446" s="114"/>
    </row>
    <row r="447" spans="4:16" ht="12.75" customHeight="1" thickTop="1" x14ac:dyDescent="0.25">
      <c r="D447" s="114"/>
      <c r="E447" s="114"/>
      <c r="F447" s="114"/>
      <c r="G447" s="115"/>
      <c r="H447" s="114"/>
      <c r="I447" s="114"/>
      <c r="J447" s="114"/>
      <c r="K447" s="114"/>
      <c r="L447" s="114"/>
      <c r="M447" s="114"/>
      <c r="N447" s="114"/>
      <c r="O447" s="114"/>
      <c r="P447" s="115"/>
    </row>
    <row r="448" spans="4:16" ht="12.75" customHeight="1" x14ac:dyDescent="0.25">
      <c r="D448" s="410" t="s">
        <v>681</v>
      </c>
      <c r="E448" s="114"/>
      <c r="F448" s="114"/>
      <c r="G448" s="115"/>
      <c r="H448" s="115"/>
      <c r="I448" s="115"/>
      <c r="J448" s="115"/>
      <c r="K448" s="115"/>
      <c r="L448" s="115"/>
      <c r="M448" s="115"/>
      <c r="N448" s="115"/>
      <c r="O448" s="115"/>
      <c r="P448" s="115"/>
    </row>
    <row r="449" spans="4:16" ht="12.75" customHeight="1" thickBot="1" x14ac:dyDescent="0.3">
      <c r="D449" s="410" t="s">
        <v>682</v>
      </c>
      <c r="E449" s="114"/>
      <c r="F449" s="114"/>
      <c r="G449" s="115"/>
      <c r="H449" s="115"/>
      <c r="I449" s="115"/>
      <c r="J449" s="1800">
        <v>514278</v>
      </c>
      <c r="K449" s="1800">
        <v>535999</v>
      </c>
      <c r="L449" s="1800">
        <f>L432+L442+L446</f>
        <v>564263</v>
      </c>
      <c r="M449" s="1800">
        <f>M432+M442+M446</f>
        <v>587098.28</v>
      </c>
      <c r="N449" s="1800">
        <f>N432+N442+N446</f>
        <v>615797.79799999995</v>
      </c>
      <c r="O449" s="1800">
        <f>O432+O442+O446</f>
        <v>638317.07000000007</v>
      </c>
      <c r="P449" s="115"/>
    </row>
    <row r="450" spans="4:16" ht="12.75" customHeight="1" thickTop="1" x14ac:dyDescent="0.25">
      <c r="D450" s="410"/>
      <c r="E450" s="114"/>
      <c r="F450" s="114"/>
      <c r="G450" s="115"/>
      <c r="H450" s="115"/>
      <c r="I450" s="115"/>
      <c r="J450" s="410"/>
      <c r="K450" s="410"/>
      <c r="L450" s="410"/>
      <c r="M450" s="410"/>
      <c r="N450" s="410"/>
      <c r="O450" s="410"/>
      <c r="P450" s="115"/>
    </row>
    <row r="451" spans="4:16" ht="12.75" customHeight="1" x14ac:dyDescent="0.25">
      <c r="D451" s="393">
        <v>601014</v>
      </c>
      <c r="E451" s="393"/>
      <c r="F451" s="381" t="s">
        <v>518</v>
      </c>
      <c r="G451" s="115"/>
      <c r="H451" s="114"/>
      <c r="I451" s="114"/>
      <c r="J451" s="115"/>
      <c r="K451" s="115"/>
      <c r="L451" s="115"/>
      <c r="M451" s="115"/>
      <c r="N451" s="115"/>
      <c r="O451" s="115"/>
      <c r="P451" s="115"/>
    </row>
    <row r="452" spans="4:16" ht="12.75" customHeight="1" x14ac:dyDescent="0.25">
      <c r="D452" s="427"/>
      <c r="E452" s="427"/>
      <c r="F452" s="427"/>
      <c r="G452" s="381"/>
      <c r="H452" s="114"/>
      <c r="I452" s="114"/>
      <c r="J452" s="115"/>
      <c r="K452" s="115"/>
      <c r="L452" s="115"/>
      <c r="M452" s="115"/>
      <c r="N452" s="115"/>
      <c r="O452" s="115"/>
      <c r="P452" s="115"/>
    </row>
    <row r="453" spans="4:16" ht="12.75" customHeight="1" x14ac:dyDescent="0.25">
      <c r="D453" s="2510" t="s">
        <v>683</v>
      </c>
      <c r="E453" s="2510"/>
      <c r="F453" s="2510"/>
      <c r="G453" s="2510"/>
      <c r="H453" s="2510"/>
      <c r="I453" s="2510"/>
      <c r="J453" s="2510"/>
      <c r="K453" s="2510"/>
      <c r="L453" s="2510"/>
      <c r="M453" s="2510"/>
      <c r="N453" s="115"/>
      <c r="O453" s="115"/>
      <c r="P453" s="115"/>
    </row>
    <row r="454" spans="4:16" ht="12.75" customHeight="1" x14ac:dyDescent="0.25">
      <c r="D454" s="2510"/>
      <c r="E454" s="2510"/>
      <c r="F454" s="2510"/>
      <c r="G454" s="2510"/>
      <c r="H454" s="2510"/>
      <c r="I454" s="2510"/>
      <c r="J454" s="2510"/>
      <c r="K454" s="2510"/>
      <c r="L454" s="2510"/>
      <c r="M454" s="2510"/>
      <c r="N454" s="115"/>
      <c r="O454" s="115"/>
      <c r="P454" s="115"/>
    </row>
    <row r="455" spans="4:16" ht="12.75" customHeight="1" x14ac:dyDescent="0.25">
      <c r="D455" s="2510"/>
      <c r="E455" s="2510"/>
      <c r="F455" s="2510"/>
      <c r="G455" s="2510"/>
      <c r="H455" s="2510"/>
      <c r="I455" s="2510"/>
      <c r="J455" s="2510"/>
      <c r="K455" s="2510"/>
      <c r="L455" s="2510"/>
      <c r="M455" s="2510"/>
      <c r="N455" s="115"/>
      <c r="O455" s="115"/>
      <c r="P455" s="115"/>
    </row>
    <row r="456" spans="4:16" ht="12.75" customHeight="1" x14ac:dyDescent="0.25">
      <c r="D456" s="301"/>
      <c r="E456" s="301"/>
      <c r="F456" s="301"/>
      <c r="G456" s="115"/>
      <c r="H456" s="435"/>
      <c r="I456" s="435"/>
      <c r="J456" s="407">
        <v>2025</v>
      </c>
      <c r="K456" s="407">
        <v>2026</v>
      </c>
      <c r="L456" s="407">
        <v>2027</v>
      </c>
      <c r="M456" s="407">
        <v>2028</v>
      </c>
      <c r="N456" s="407">
        <v>2029</v>
      </c>
      <c r="O456" s="407">
        <v>2030</v>
      </c>
      <c r="P456" s="115"/>
    </row>
    <row r="457" spans="4:16" ht="12.75" customHeight="1" x14ac:dyDescent="0.25">
      <c r="D457" s="301"/>
      <c r="E457" s="301"/>
      <c r="F457" s="301"/>
      <c r="G457" s="115"/>
      <c r="H457" s="435"/>
      <c r="I457" s="114"/>
      <c r="J457" s="114"/>
      <c r="K457" s="114"/>
      <c r="L457" s="114"/>
      <c r="M457" s="114"/>
      <c r="N457" s="114"/>
      <c r="O457" s="114"/>
      <c r="P457" s="115"/>
    </row>
    <row r="458" spans="4:16" ht="12.75" customHeight="1" x14ac:dyDescent="0.25">
      <c r="D458" s="436" t="s">
        <v>684</v>
      </c>
      <c r="E458" s="437"/>
      <c r="F458" s="437"/>
      <c r="G458" s="115"/>
      <c r="H458" s="114"/>
      <c r="I458" s="114"/>
      <c r="J458" s="114">
        <v>29281</v>
      </c>
      <c r="K458" s="114">
        <v>29867</v>
      </c>
      <c r="L458" s="114">
        <f>ROUND(K458*T$3,0)</f>
        <v>31121</v>
      </c>
      <c r="M458" s="114">
        <f>ROUND(L458*U$3,0)</f>
        <v>32272</v>
      </c>
      <c r="N458" s="114">
        <f>ROUND(M458*V$3,0)</f>
        <v>33466</v>
      </c>
      <c r="O458" s="114">
        <f>ROUND(N458*W$3,0)</f>
        <v>34704</v>
      </c>
      <c r="P458" s="115"/>
    </row>
    <row r="459" spans="4:16" ht="12.75" customHeight="1" x14ac:dyDescent="0.25">
      <c r="D459" s="436"/>
      <c r="E459" s="437"/>
      <c r="F459" s="437"/>
      <c r="G459" s="115"/>
      <c r="H459" s="114"/>
      <c r="I459" s="114"/>
      <c r="J459" s="114"/>
      <c r="K459" s="114"/>
      <c r="L459" s="114"/>
      <c r="M459" s="114"/>
      <c r="N459" s="114"/>
      <c r="O459" s="114"/>
      <c r="P459" s="115"/>
    </row>
    <row r="460" spans="4:16" ht="12.75" customHeight="1" thickBot="1" x14ac:dyDescent="0.3">
      <c r="D460" s="438" t="s">
        <v>685</v>
      </c>
      <c r="E460" s="114"/>
      <c r="F460" s="114"/>
      <c r="G460" s="115"/>
      <c r="H460" s="114"/>
      <c r="I460" s="114"/>
      <c r="J460" s="1744">
        <v>29281</v>
      </c>
      <c r="K460" s="1744">
        <v>29867</v>
      </c>
      <c r="L460" s="1744">
        <f>SUM(L458:L458)</f>
        <v>31121</v>
      </c>
      <c r="M460" s="1744">
        <f>SUM(M458:M458)</f>
        <v>32272</v>
      </c>
      <c r="N460" s="1744">
        <f>SUM(N458:N458)</f>
        <v>33466</v>
      </c>
      <c r="O460" s="1744">
        <f>SUM(O458:O458)</f>
        <v>34704</v>
      </c>
      <c r="P460" s="115"/>
    </row>
    <row r="461" spans="4:16" ht="12.75" customHeight="1" thickTop="1" x14ac:dyDescent="0.25">
      <c r="D461" s="437"/>
      <c r="E461" s="437"/>
      <c r="F461" s="437"/>
      <c r="G461" s="115"/>
      <c r="H461" s="114"/>
      <c r="I461" s="114"/>
      <c r="J461" s="115"/>
      <c r="K461" s="115"/>
      <c r="L461" s="115"/>
      <c r="M461" s="115"/>
      <c r="N461" s="115"/>
      <c r="O461" s="115"/>
      <c r="P461" s="115"/>
    </row>
    <row r="462" spans="4:16" ht="12.75" customHeight="1" x14ac:dyDescent="0.25">
      <c r="D462" s="393">
        <v>601016</v>
      </c>
      <c r="E462" s="393"/>
      <c r="F462" s="410" t="s">
        <v>519</v>
      </c>
      <c r="G462" s="115"/>
      <c r="H462" s="114"/>
      <c r="I462" s="114"/>
      <c r="J462" s="115"/>
      <c r="K462" s="115"/>
      <c r="L462" s="115"/>
      <c r="M462" s="115"/>
      <c r="N462" s="115"/>
      <c r="O462" s="115"/>
      <c r="P462" s="115"/>
    </row>
    <row r="463" spans="4:16" ht="12.75" customHeight="1" x14ac:dyDescent="0.25">
      <c r="D463" s="2511" t="s">
        <v>686</v>
      </c>
      <c r="E463" s="2511"/>
      <c r="F463" s="2511"/>
      <c r="G463" s="2511"/>
      <c r="H463" s="2511"/>
      <c r="I463" s="2511"/>
      <c r="J463" s="2511"/>
      <c r="K463" s="419"/>
      <c r="L463" s="419"/>
      <c r="M463" s="419"/>
      <c r="N463" s="419"/>
      <c r="O463" s="419"/>
      <c r="P463" s="115"/>
    </row>
    <row r="464" spans="4:16" ht="12.75" customHeight="1" x14ac:dyDescent="0.25">
      <c r="D464" s="2511"/>
      <c r="E464" s="2511"/>
      <c r="F464" s="2511"/>
      <c r="G464" s="2511"/>
      <c r="H464" s="2511"/>
      <c r="I464" s="2511"/>
      <c r="J464" s="2511"/>
      <c r="K464" s="419"/>
      <c r="L464" s="419"/>
      <c r="M464" s="419"/>
      <c r="N464" s="419"/>
      <c r="O464" s="419"/>
      <c r="P464" s="115"/>
    </row>
    <row r="465" spans="1:17" ht="12.75" customHeight="1" x14ac:dyDescent="0.25">
      <c r="D465" s="2511"/>
      <c r="E465" s="2511"/>
      <c r="F465" s="2511"/>
      <c r="G465" s="2511"/>
      <c r="H465" s="2511"/>
      <c r="I465" s="2511"/>
      <c r="J465" s="2511"/>
      <c r="K465" s="419"/>
      <c r="L465" s="419"/>
      <c r="M465" s="419"/>
      <c r="N465" s="419"/>
      <c r="O465" s="419"/>
      <c r="P465" s="115"/>
    </row>
    <row r="466" spans="1:17" ht="12.75" customHeight="1" x14ac:dyDescent="0.25">
      <c r="D466" s="419"/>
      <c r="E466" s="419"/>
      <c r="F466" s="419"/>
      <c r="G466" s="419"/>
      <c r="H466" s="419"/>
      <c r="I466" s="419"/>
      <c r="J466" s="407">
        <v>2025</v>
      </c>
      <c r="K466" s="407">
        <v>2026</v>
      </c>
      <c r="L466" s="407">
        <v>2027</v>
      </c>
      <c r="M466" s="407">
        <v>2028</v>
      </c>
      <c r="N466" s="407">
        <v>2029</v>
      </c>
      <c r="O466" s="407">
        <v>2030</v>
      </c>
      <c r="P466" s="115"/>
    </row>
    <row r="467" spans="1:17" ht="12.75" customHeight="1" x14ac:dyDescent="0.25">
      <c r="D467" s="419"/>
      <c r="E467" s="419"/>
      <c r="F467" s="419"/>
      <c r="G467" s="419"/>
      <c r="H467" s="419"/>
      <c r="I467" s="419"/>
      <c r="J467" s="419"/>
      <c r="K467" s="419"/>
      <c r="L467" s="419"/>
      <c r="M467" s="419"/>
      <c r="N467" s="419"/>
      <c r="O467" s="419"/>
      <c r="P467" s="115"/>
    </row>
    <row r="468" spans="1:17" ht="12.75" customHeight="1" x14ac:dyDescent="0.25">
      <c r="D468" s="115" t="s">
        <v>687</v>
      </c>
      <c r="E468" s="115"/>
      <c r="F468" s="115"/>
      <c r="G468" s="439"/>
      <c r="H468" s="439"/>
      <c r="I468" s="439"/>
      <c r="J468" s="114">
        <v>6138</v>
      </c>
      <c r="K468" s="114">
        <v>6298</v>
      </c>
      <c r="L468" s="114">
        <f t="shared" ref="L468:O471" si="111">ROUND(K468*T$2,0)</f>
        <v>6430</v>
      </c>
      <c r="M468" s="114">
        <f t="shared" si="111"/>
        <v>6578</v>
      </c>
      <c r="N468" s="114">
        <f t="shared" si="111"/>
        <v>6729</v>
      </c>
      <c r="O468" s="114">
        <f t="shared" si="111"/>
        <v>6884</v>
      </c>
      <c r="P468" s="115"/>
    </row>
    <row r="469" spans="1:17" ht="12.75" customHeight="1" x14ac:dyDescent="0.25">
      <c r="A469" s="306"/>
      <c r="B469" s="115"/>
      <c r="C469" s="115"/>
      <c r="D469" s="115" t="s">
        <v>688</v>
      </c>
      <c r="E469" s="115"/>
      <c r="F469" s="115"/>
      <c r="G469" s="439"/>
      <c r="H469" s="439"/>
      <c r="I469" s="439"/>
      <c r="J469" s="114">
        <v>4453</v>
      </c>
      <c r="K469" s="114">
        <v>4569</v>
      </c>
      <c r="L469" s="114">
        <f t="shared" si="111"/>
        <v>4665</v>
      </c>
      <c r="M469" s="114">
        <f t="shared" si="111"/>
        <v>4772</v>
      </c>
      <c r="N469" s="114">
        <f t="shared" si="111"/>
        <v>4882</v>
      </c>
      <c r="O469" s="114">
        <f t="shared" si="111"/>
        <v>4994</v>
      </c>
      <c r="P469" s="115"/>
      <c r="Q469" s="115"/>
    </row>
    <row r="470" spans="1:17" ht="12.75" customHeight="1" x14ac:dyDescent="0.25">
      <c r="A470" s="306"/>
      <c r="B470" s="115"/>
      <c r="C470" s="115"/>
      <c r="D470" s="440" t="s">
        <v>689</v>
      </c>
      <c r="E470" s="440"/>
      <c r="F470" s="440"/>
      <c r="G470" s="439"/>
      <c r="H470" s="439"/>
      <c r="I470" s="439"/>
      <c r="J470" s="114">
        <v>788</v>
      </c>
      <c r="K470" s="114">
        <v>808</v>
      </c>
      <c r="L470" s="114">
        <f t="shared" si="111"/>
        <v>825</v>
      </c>
      <c r="M470" s="114">
        <f t="shared" si="111"/>
        <v>844</v>
      </c>
      <c r="N470" s="114">
        <f t="shared" si="111"/>
        <v>863</v>
      </c>
      <c r="O470" s="114">
        <f t="shared" si="111"/>
        <v>883</v>
      </c>
      <c r="P470" s="115"/>
      <c r="Q470" s="115"/>
    </row>
    <row r="471" spans="1:17" ht="12.75" customHeight="1" x14ac:dyDescent="0.25">
      <c r="A471" s="306"/>
      <c r="B471" s="115"/>
      <c r="C471" s="115"/>
      <c r="D471" s="440" t="s">
        <v>690</v>
      </c>
      <c r="E471" s="440"/>
      <c r="F471" s="440"/>
      <c r="G471" s="439"/>
      <c r="H471" s="439"/>
      <c r="I471" s="439"/>
      <c r="J471" s="114">
        <v>1564</v>
      </c>
      <c r="K471" s="114">
        <v>1605</v>
      </c>
      <c r="L471" s="114">
        <f t="shared" si="111"/>
        <v>1639</v>
      </c>
      <c r="M471" s="114">
        <f t="shared" si="111"/>
        <v>1677</v>
      </c>
      <c r="N471" s="114">
        <f t="shared" si="111"/>
        <v>1716</v>
      </c>
      <c r="O471" s="114">
        <f t="shared" si="111"/>
        <v>1755</v>
      </c>
      <c r="P471" s="115"/>
      <c r="Q471" s="115"/>
    </row>
    <row r="472" spans="1:17" ht="12.75" customHeight="1" x14ac:dyDescent="0.25">
      <c r="A472" s="306"/>
      <c r="B472" s="115"/>
      <c r="C472" s="115"/>
      <c r="D472" s="440"/>
      <c r="E472" s="440"/>
      <c r="F472" s="440"/>
      <c r="G472" s="439"/>
      <c r="H472" s="439"/>
      <c r="I472" s="439"/>
      <c r="J472" s="114"/>
      <c r="K472" s="114"/>
      <c r="L472" s="114"/>
      <c r="M472" s="114"/>
      <c r="N472" s="114"/>
      <c r="O472" s="114"/>
      <c r="P472" s="115"/>
      <c r="Q472" s="115"/>
    </row>
    <row r="473" spans="1:17" ht="12.75" customHeight="1" x14ac:dyDescent="0.25">
      <c r="A473" s="306"/>
      <c r="B473" s="115"/>
      <c r="C473" s="115"/>
      <c r="D473" s="441" t="s">
        <v>691</v>
      </c>
      <c r="E473" s="440"/>
      <c r="F473" s="440"/>
      <c r="G473" s="439"/>
      <c r="H473" s="439"/>
      <c r="I473" s="439"/>
      <c r="J473" s="114"/>
      <c r="K473" s="114"/>
      <c r="L473" s="114"/>
      <c r="M473" s="114"/>
      <c r="N473" s="114"/>
      <c r="O473" s="114"/>
      <c r="P473" s="115"/>
      <c r="Q473" s="115"/>
    </row>
    <row r="474" spans="1:17" ht="12.75" customHeight="1" x14ac:dyDescent="0.25">
      <c r="A474" s="306"/>
      <c r="B474" s="115"/>
      <c r="C474" s="115"/>
      <c r="D474" s="440" t="s">
        <v>692</v>
      </c>
      <c r="E474" s="440"/>
      <c r="F474" s="440"/>
      <c r="G474" s="439"/>
      <c r="H474" s="439"/>
      <c r="I474" s="439"/>
      <c r="J474" s="114"/>
      <c r="K474" s="114"/>
      <c r="L474" s="114"/>
      <c r="M474" s="114"/>
      <c r="N474" s="114"/>
      <c r="O474" s="114"/>
      <c r="P474" s="115"/>
      <c r="Q474" s="115"/>
    </row>
    <row r="475" spans="1:17" ht="12.75" customHeight="1" x14ac:dyDescent="0.25">
      <c r="A475" s="306"/>
      <c r="B475" s="115"/>
      <c r="C475" s="115"/>
      <c r="D475" s="440" t="s">
        <v>693</v>
      </c>
      <c r="E475" s="440"/>
      <c r="F475" s="440"/>
      <c r="G475" s="439"/>
      <c r="H475" s="439"/>
      <c r="I475" s="439"/>
      <c r="J475" s="114"/>
      <c r="K475" s="114"/>
      <c r="L475" s="114"/>
      <c r="M475" s="114"/>
      <c r="N475" s="114"/>
      <c r="O475" s="114"/>
      <c r="P475" s="115"/>
      <c r="Q475" s="115"/>
    </row>
    <row r="476" spans="1:17" ht="12.75" customHeight="1" x14ac:dyDescent="0.25">
      <c r="A476" s="306"/>
      <c r="B476" s="115"/>
      <c r="C476" s="115"/>
      <c r="D476" s="442" t="s">
        <v>694</v>
      </c>
      <c r="E476" s="440"/>
      <c r="F476" s="440"/>
      <c r="G476" s="439"/>
      <c r="H476" s="439"/>
      <c r="I476" s="439"/>
      <c r="J476" s="114">
        <v>13685</v>
      </c>
      <c r="K476" s="114">
        <v>14041</v>
      </c>
      <c r="L476" s="114">
        <f>ROUND(K476*T$2,0)</f>
        <v>14336</v>
      </c>
      <c r="M476" s="114">
        <f>ROUND(L476*U$2,0)</f>
        <v>14666</v>
      </c>
      <c r="N476" s="114">
        <f>ROUND(M476*V$2,0)</f>
        <v>15003</v>
      </c>
      <c r="O476" s="114">
        <f>ROUND(N476*W$2,0)</f>
        <v>15348</v>
      </c>
      <c r="P476" s="115"/>
      <c r="Q476" s="115"/>
    </row>
    <row r="477" spans="1:17" ht="12.75" customHeight="1" x14ac:dyDescent="0.25">
      <c r="A477" s="306"/>
      <c r="B477" s="115"/>
      <c r="C477" s="115"/>
      <c r="D477" s="440"/>
      <c r="E477" s="440"/>
      <c r="F477" s="440"/>
      <c r="G477" s="439"/>
      <c r="H477" s="439"/>
      <c r="I477" s="439"/>
      <c r="J477" s="115"/>
      <c r="K477" s="115"/>
      <c r="L477" s="115"/>
      <c r="M477" s="115"/>
      <c r="N477" s="115"/>
      <c r="O477" s="115"/>
      <c r="P477" s="115"/>
      <c r="Q477" s="115"/>
    </row>
    <row r="478" spans="1:17" ht="12.75" customHeight="1" thickBot="1" x14ac:dyDescent="0.3">
      <c r="A478" s="306"/>
      <c r="B478" s="115"/>
      <c r="C478" s="115"/>
      <c r="D478" s="2512"/>
      <c r="E478" s="2512"/>
      <c r="F478" s="2512"/>
      <c r="G478" s="2512"/>
      <c r="H478" s="2512"/>
      <c r="I478" s="444"/>
      <c r="J478" s="1744">
        <v>26628</v>
      </c>
      <c r="K478" s="1744">
        <v>27321</v>
      </c>
      <c r="L478" s="1744">
        <f>SUM(L468:L477)</f>
        <v>27895</v>
      </c>
      <c r="M478" s="1744">
        <f>SUM(M468:M477)</f>
        <v>28537</v>
      </c>
      <c r="N478" s="1744">
        <f>SUM(N468:N477)</f>
        <v>29193</v>
      </c>
      <c r="O478" s="1744">
        <f>SUM(O468:O477)</f>
        <v>29864</v>
      </c>
      <c r="P478" s="115"/>
      <c r="Q478" s="115"/>
    </row>
    <row r="479" spans="1:17" ht="12.75" customHeight="1" thickTop="1" x14ac:dyDescent="0.25">
      <c r="A479" s="306"/>
      <c r="B479" s="115"/>
      <c r="C479" s="115"/>
      <c r="D479" s="443"/>
      <c r="E479" s="444"/>
      <c r="F479" s="444"/>
      <c r="G479" s="444"/>
      <c r="H479" s="444"/>
      <c r="I479" s="444"/>
      <c r="J479" s="114"/>
      <c r="K479" s="114"/>
      <c r="L479" s="114"/>
      <c r="M479" s="114"/>
      <c r="N479" s="114"/>
      <c r="O479" s="114"/>
      <c r="P479" s="115"/>
      <c r="Q479" s="115"/>
    </row>
    <row r="480" spans="1:17" ht="12.75" customHeight="1" x14ac:dyDescent="0.25">
      <c r="A480" s="306"/>
      <c r="B480" s="115"/>
      <c r="C480" s="115"/>
      <c r="D480" s="393">
        <v>601017</v>
      </c>
      <c r="E480" s="115"/>
      <c r="F480" s="381" t="s">
        <v>695</v>
      </c>
      <c r="G480" s="115"/>
      <c r="H480" s="115"/>
      <c r="I480" s="115"/>
      <c r="J480" s="407">
        <v>2025</v>
      </c>
      <c r="K480" s="407">
        <v>2026</v>
      </c>
      <c r="L480" s="407">
        <v>2027</v>
      </c>
      <c r="M480" s="407">
        <v>2028</v>
      </c>
      <c r="N480" s="407">
        <v>2029</v>
      </c>
      <c r="O480" s="407">
        <v>2030</v>
      </c>
      <c r="P480" s="115"/>
      <c r="Q480" s="115"/>
    </row>
    <row r="481" spans="1:17" ht="12.75" customHeight="1" x14ac:dyDescent="0.25">
      <c r="A481" s="306"/>
      <c r="B481" s="115"/>
      <c r="C481" s="115"/>
      <c r="D481" s="393"/>
      <c r="E481" s="383" t="s">
        <v>533</v>
      </c>
      <c r="F481" s="393"/>
      <c r="G481" s="381"/>
      <c r="H481" s="115"/>
      <c r="I481" s="115"/>
      <c r="J481" s="115"/>
      <c r="K481" s="115"/>
      <c r="L481" s="115"/>
      <c r="M481" s="115"/>
      <c r="N481" s="115"/>
      <c r="O481" s="115"/>
      <c r="P481" s="115"/>
      <c r="Q481" s="115"/>
    </row>
    <row r="482" spans="1:17" ht="12.75" customHeight="1" x14ac:dyDescent="0.25">
      <c r="A482" s="306"/>
      <c r="B482" s="115"/>
      <c r="C482" s="115"/>
      <c r="D482" s="301">
        <v>43812</v>
      </c>
      <c r="E482" s="115" t="s">
        <v>696</v>
      </c>
      <c r="F482" s="301"/>
      <c r="G482" s="115"/>
      <c r="H482" s="115"/>
      <c r="I482" s="115"/>
      <c r="J482" s="115">
        <v>0</v>
      </c>
      <c r="K482" s="115">
        <v>0</v>
      </c>
      <c r="L482" s="115">
        <v>0</v>
      </c>
      <c r="M482" s="115">
        <v>0</v>
      </c>
      <c r="N482" s="115">
        <v>0</v>
      </c>
      <c r="O482" s="115">
        <v>0</v>
      </c>
      <c r="P482" s="115"/>
      <c r="Q482" s="115"/>
    </row>
    <row r="483" spans="1:17" ht="12.75" customHeight="1" thickBot="1" x14ac:dyDescent="0.3">
      <c r="A483" s="306"/>
      <c r="B483" s="115"/>
      <c r="C483" s="115"/>
      <c r="D483" s="301"/>
      <c r="E483" s="115" t="s">
        <v>619</v>
      </c>
      <c r="F483" s="301"/>
      <c r="G483" s="115"/>
      <c r="H483" s="115"/>
      <c r="I483" s="115"/>
      <c r="J483" s="1744">
        <v>0</v>
      </c>
      <c r="K483" s="1744">
        <v>0</v>
      </c>
      <c r="L483" s="1744">
        <v>0</v>
      </c>
      <c r="M483" s="1744">
        <v>0</v>
      </c>
      <c r="N483" s="1744">
        <v>0</v>
      </c>
      <c r="O483" s="1744">
        <v>0</v>
      </c>
      <c r="P483" s="115"/>
      <c r="Q483" s="115"/>
    </row>
    <row r="484" spans="1:17" ht="12.75" customHeight="1" thickTop="1" x14ac:dyDescent="0.25">
      <c r="A484" s="306"/>
      <c r="B484" s="115"/>
      <c r="C484" s="115"/>
      <c r="D484" s="115"/>
      <c r="E484" s="115"/>
      <c r="F484" s="301"/>
      <c r="G484" s="115"/>
      <c r="H484" s="115"/>
      <c r="I484" s="115"/>
      <c r="J484" s="115"/>
      <c r="K484" s="115"/>
      <c r="L484" s="115"/>
      <c r="M484" s="115"/>
      <c r="N484" s="115"/>
      <c r="O484" s="115"/>
      <c r="P484" s="115"/>
      <c r="Q484" s="115"/>
    </row>
    <row r="485" spans="1:17" ht="12.75" customHeight="1" x14ac:dyDescent="0.25">
      <c r="A485" s="306"/>
      <c r="B485" s="115"/>
      <c r="C485" s="115"/>
      <c r="D485" s="115"/>
      <c r="E485" s="115"/>
      <c r="F485" s="301"/>
      <c r="G485" s="115"/>
      <c r="H485" s="115"/>
      <c r="I485" s="115"/>
      <c r="J485" s="115"/>
      <c r="K485" s="115"/>
      <c r="L485" s="115"/>
      <c r="M485" s="115"/>
      <c r="N485" s="115"/>
      <c r="O485" s="115"/>
      <c r="P485" s="115"/>
      <c r="Q485" s="115"/>
    </row>
    <row r="486" spans="1:17" ht="12.75" customHeight="1" x14ac:dyDescent="0.25">
      <c r="A486" s="306"/>
      <c r="B486" s="115"/>
      <c r="C486" s="115"/>
      <c r="D486" s="301"/>
      <c r="E486" s="301"/>
      <c r="F486" s="301"/>
      <c r="G486" s="115"/>
      <c r="H486" s="115"/>
      <c r="I486" s="115"/>
      <c r="J486" s="407">
        <v>2025</v>
      </c>
      <c r="K486" s="407">
        <v>2026</v>
      </c>
      <c r="L486" s="407">
        <v>2027</v>
      </c>
      <c r="M486" s="407">
        <v>2028</v>
      </c>
      <c r="N486" s="407">
        <v>2029</v>
      </c>
      <c r="O486" s="407">
        <v>2030</v>
      </c>
      <c r="P486" s="115"/>
      <c r="Q486" s="115"/>
    </row>
    <row r="487" spans="1:17" ht="12.75" customHeight="1" x14ac:dyDescent="0.25">
      <c r="A487" s="306"/>
      <c r="B487" s="115"/>
      <c r="C487" s="115"/>
      <c r="D487" s="393">
        <v>601018</v>
      </c>
      <c r="E487" s="393"/>
      <c r="F487" s="381" t="s">
        <v>521</v>
      </c>
      <c r="G487" s="115"/>
      <c r="H487" s="115"/>
      <c r="I487" s="115"/>
      <c r="J487" s="115"/>
      <c r="K487" s="115"/>
      <c r="L487" s="115"/>
      <c r="M487" s="115"/>
      <c r="N487" s="115"/>
      <c r="O487" s="115"/>
      <c r="P487" s="115"/>
      <c r="Q487" s="115"/>
    </row>
    <row r="488" spans="1:17" ht="14.4" customHeight="1" x14ac:dyDescent="0.25">
      <c r="A488" s="306"/>
      <c r="B488" s="115"/>
      <c r="C488" s="115"/>
      <c r="D488" s="301">
        <v>43812</v>
      </c>
      <c r="E488" s="2513"/>
      <c r="F488" s="2513"/>
      <c r="G488" s="2513"/>
      <c r="H488" s="2513"/>
      <c r="I488" s="2513"/>
      <c r="J488" s="2513"/>
      <c r="K488" s="2513"/>
      <c r="L488" s="2513"/>
      <c r="M488" s="115"/>
      <c r="N488" s="115"/>
      <c r="O488" s="115"/>
      <c r="P488" s="115"/>
      <c r="Q488" s="115"/>
    </row>
    <row r="489" spans="1:17" ht="12.75" customHeight="1" thickBot="1" x14ac:dyDescent="0.3">
      <c r="A489" s="306"/>
      <c r="B489" s="115"/>
      <c r="C489" s="115"/>
      <c r="D489" s="384"/>
      <c r="E489" s="115" t="s">
        <v>619</v>
      </c>
      <c r="F489" s="414"/>
      <c r="G489" s="414"/>
      <c r="H489" s="414"/>
      <c r="I489" s="414"/>
      <c r="J489" s="1744">
        <v>0</v>
      </c>
      <c r="K489" s="1744">
        <v>0</v>
      </c>
      <c r="L489" s="1744">
        <f>SUM(L488:L488)</f>
        <v>0</v>
      </c>
      <c r="M489" s="1744">
        <f>SUM(M488:M488)</f>
        <v>0</v>
      </c>
      <c r="N489" s="1744">
        <f>SUM(N488:N488)</f>
        <v>0</v>
      </c>
      <c r="O489" s="1744">
        <f>SUM(O488:O488)</f>
        <v>0</v>
      </c>
      <c r="P489" s="115"/>
      <c r="Q489" s="115"/>
    </row>
    <row r="490" spans="1:17" ht="12.75" customHeight="1" thickTop="1" x14ac:dyDescent="0.25">
      <c r="A490" s="306"/>
      <c r="B490" s="115"/>
      <c r="C490" s="115"/>
      <c r="D490" s="384"/>
      <c r="E490" s="115"/>
      <c r="F490" s="414"/>
      <c r="G490" s="414"/>
      <c r="H490" s="414"/>
      <c r="I490" s="414"/>
      <c r="J490" s="114"/>
      <c r="K490" s="114"/>
      <c r="L490" s="114"/>
      <c r="M490" s="114"/>
      <c r="N490" s="114"/>
      <c r="O490" s="114"/>
      <c r="P490" s="115"/>
      <c r="Q490" s="115"/>
    </row>
    <row r="491" spans="1:17" ht="12.75" customHeight="1" x14ac:dyDescent="0.25">
      <c r="A491" s="306"/>
      <c r="B491" s="115"/>
      <c r="C491" s="115"/>
      <c r="D491" s="433">
        <v>601020</v>
      </c>
      <c r="E491" s="115"/>
      <c r="F491" s="445" t="s">
        <v>522</v>
      </c>
      <c r="G491" s="414"/>
      <c r="H491" s="414"/>
      <c r="I491" s="414"/>
      <c r="J491" s="114"/>
      <c r="K491" s="114"/>
      <c r="L491" s="114"/>
      <c r="M491" s="114"/>
      <c r="N491" s="114"/>
      <c r="O491" s="114"/>
      <c r="P491" s="115"/>
      <c r="Q491" s="115"/>
    </row>
    <row r="492" spans="1:17" ht="12.75" customHeight="1" x14ac:dyDescent="0.25">
      <c r="A492" s="306"/>
      <c r="B492" s="115"/>
      <c r="C492" s="115"/>
      <c r="D492" s="446">
        <v>43812</v>
      </c>
      <c r="E492" s="115" t="s">
        <v>522</v>
      </c>
      <c r="F492" s="414"/>
      <c r="G492" s="414"/>
      <c r="H492" s="414"/>
      <c r="I492" s="414"/>
      <c r="J492" s="114">
        <v>5000</v>
      </c>
      <c r="K492" s="114">
        <v>5130</v>
      </c>
      <c r="L492" s="114">
        <f>ROUND(K492*T$2,0)</f>
        <v>5238</v>
      </c>
      <c r="M492" s="114">
        <f>ROUND(L492*U$2,0)</f>
        <v>5358</v>
      </c>
      <c r="N492" s="114">
        <f>ROUND(M492*V$2,0)</f>
        <v>5481</v>
      </c>
      <c r="O492" s="114">
        <f>ROUND(N492*W$2,0)</f>
        <v>5607</v>
      </c>
      <c r="P492" s="115"/>
      <c r="Q492" s="115"/>
    </row>
    <row r="493" spans="1:17" ht="12.75" customHeight="1" x14ac:dyDescent="0.25">
      <c r="A493" s="306"/>
      <c r="B493" s="115"/>
      <c r="C493" s="115"/>
      <c r="D493" s="446"/>
      <c r="E493" s="115" t="s">
        <v>697</v>
      </c>
      <c r="F493" s="414"/>
      <c r="G493" s="414"/>
      <c r="H493" s="414"/>
      <c r="I493" s="414"/>
      <c r="J493" s="114">
        <v>100000</v>
      </c>
      <c r="K493" s="114"/>
      <c r="L493" s="114"/>
      <c r="M493" s="114"/>
      <c r="N493" s="114"/>
      <c r="O493" s="114"/>
      <c r="P493" s="381"/>
      <c r="Q493" s="381"/>
    </row>
    <row r="494" spans="1:17" ht="12.75" customHeight="1" x14ac:dyDescent="0.25">
      <c r="A494" s="306"/>
      <c r="B494" s="115"/>
      <c r="C494" s="115"/>
      <c r="D494" s="446"/>
      <c r="E494" s="115" t="s">
        <v>698</v>
      </c>
      <c r="F494" s="414"/>
      <c r="G494" s="414"/>
      <c r="H494" s="414"/>
      <c r="I494" s="414"/>
      <c r="J494" s="114">
        <v>200000</v>
      </c>
      <c r="K494" s="114"/>
      <c r="L494" s="114"/>
      <c r="M494" s="114"/>
      <c r="N494" s="114"/>
      <c r="O494" s="114"/>
      <c r="P494" s="115"/>
      <c r="Q494" s="115"/>
    </row>
    <row r="495" spans="1:17" ht="12.75" customHeight="1" x14ac:dyDescent="0.25">
      <c r="A495" s="306"/>
      <c r="B495" s="115"/>
      <c r="C495" s="115"/>
      <c r="D495" s="446"/>
      <c r="E495" s="115" t="s">
        <v>699</v>
      </c>
      <c r="F495" s="414"/>
      <c r="G495" s="414"/>
      <c r="H495" s="414"/>
      <c r="I495" s="414"/>
      <c r="J495" s="114"/>
      <c r="K495" s="114">
        <v>210000</v>
      </c>
      <c r="L495" s="114"/>
      <c r="M495" s="114"/>
      <c r="N495" s="114"/>
      <c r="O495" s="114"/>
      <c r="P495" s="115"/>
      <c r="Q495" s="115"/>
    </row>
    <row r="496" spans="1:17" ht="12.75" customHeight="1" x14ac:dyDescent="0.25">
      <c r="A496" s="306"/>
      <c r="B496" s="115"/>
      <c r="C496" s="115"/>
      <c r="D496" s="446"/>
      <c r="E496" s="1720" t="s">
        <v>5356</v>
      </c>
      <c r="F496" s="2260"/>
      <c r="G496" s="2260"/>
      <c r="H496" s="2260"/>
      <c r="I496" s="2260"/>
      <c r="J496" s="2177"/>
      <c r="K496" s="2177">
        <v>150000</v>
      </c>
      <c r="L496" s="2177"/>
      <c r="M496" s="2177"/>
      <c r="N496" s="2177"/>
      <c r="O496" s="2177"/>
      <c r="P496" s="115"/>
      <c r="Q496" s="115"/>
    </row>
    <row r="497" spans="1:17" ht="12.75" customHeight="1" x14ac:dyDescent="0.25">
      <c r="A497" s="306"/>
      <c r="B497" s="115"/>
      <c r="C497" s="115"/>
      <c r="D497" s="446"/>
      <c r="E497" s="1720" t="s">
        <v>5389</v>
      </c>
      <c r="F497" s="2260"/>
      <c r="G497" s="2260"/>
      <c r="H497" s="2260"/>
      <c r="I497" s="2260"/>
      <c r="J497" s="2177"/>
      <c r="K497" s="2177">
        <v>250000</v>
      </c>
      <c r="L497" s="2177"/>
      <c r="M497" s="2177"/>
      <c r="N497" s="2177"/>
      <c r="O497" s="2177"/>
      <c r="P497" s="115"/>
      <c r="Q497" s="115"/>
    </row>
    <row r="498" spans="1:17" ht="12.75" customHeight="1" x14ac:dyDescent="0.25">
      <c r="A498" s="306"/>
      <c r="B498" s="115"/>
      <c r="C498" s="115"/>
      <c r="D498" s="446"/>
      <c r="E498" s="1720" t="s">
        <v>5391</v>
      </c>
      <c r="F498" s="2260"/>
      <c r="G498" s="2260"/>
      <c r="H498" s="2260"/>
      <c r="I498" s="2260"/>
      <c r="J498" s="2177"/>
      <c r="K498" s="2177">
        <v>73000</v>
      </c>
      <c r="L498" s="2177"/>
      <c r="M498" s="2177"/>
      <c r="N498" s="2177"/>
      <c r="O498" s="2177"/>
      <c r="P498" s="115"/>
      <c r="Q498" s="115"/>
    </row>
    <row r="499" spans="1:17" ht="12.75" customHeight="1" thickBot="1" x14ac:dyDescent="0.3">
      <c r="A499" s="306"/>
      <c r="B499" s="115"/>
      <c r="C499" s="115"/>
      <c r="D499" s="384"/>
      <c r="E499" s="115"/>
      <c r="F499" s="414"/>
      <c r="G499" s="414"/>
      <c r="H499" s="414"/>
      <c r="I499" s="414"/>
      <c r="J499" s="1744">
        <f>SUM(J492:J495)</f>
        <v>305000</v>
      </c>
      <c r="K499" s="1744">
        <f>SUM(K492:K498)</f>
        <v>688130</v>
      </c>
      <c r="L499" s="1744">
        <f t="shared" ref="L499:O499" si="112">SUM(L492:L496)</f>
        <v>5238</v>
      </c>
      <c r="M499" s="1744">
        <f t="shared" si="112"/>
        <v>5358</v>
      </c>
      <c r="N499" s="1744">
        <f t="shared" si="112"/>
        <v>5481</v>
      </c>
      <c r="O499" s="1744">
        <f t="shared" si="112"/>
        <v>5607</v>
      </c>
      <c r="P499" s="115"/>
      <c r="Q499" s="115"/>
    </row>
    <row r="500" spans="1:17" ht="12.75" customHeight="1" thickTop="1" x14ac:dyDescent="0.25">
      <c r="A500" s="306"/>
      <c r="B500" s="115"/>
      <c r="C500" s="115"/>
      <c r="D500" s="384"/>
      <c r="E500" s="115"/>
      <c r="F500" s="414"/>
      <c r="G500" s="414"/>
      <c r="H500" s="414"/>
      <c r="I500" s="414"/>
      <c r="J500" s="114"/>
      <c r="K500" s="114"/>
      <c r="L500" s="114"/>
      <c r="M500" s="114"/>
      <c r="N500" s="114"/>
      <c r="O500" s="114"/>
      <c r="P500" s="115"/>
      <c r="Q500" s="115"/>
    </row>
    <row r="501" spans="1:17" ht="12.75" customHeight="1" x14ac:dyDescent="0.25">
      <c r="A501" s="306"/>
      <c r="B501" s="115"/>
      <c r="C501" s="115"/>
      <c r="D501" s="384"/>
      <c r="E501" s="414"/>
      <c r="F501" s="414"/>
      <c r="G501" s="414"/>
      <c r="H501" s="414"/>
      <c r="I501" s="414"/>
      <c r="J501" s="115"/>
      <c r="K501" s="115"/>
      <c r="L501" s="115"/>
      <c r="M501" s="115"/>
      <c r="N501" s="115"/>
      <c r="O501" s="115"/>
      <c r="P501" s="115"/>
      <c r="Q501" s="115"/>
    </row>
    <row r="502" spans="1:17" ht="12.75" customHeight="1" x14ac:dyDescent="0.25">
      <c r="A502" s="306"/>
      <c r="B502" s="115"/>
      <c r="C502" s="115"/>
      <c r="D502" s="393">
        <v>601901</v>
      </c>
      <c r="E502" s="115"/>
      <c r="F502" s="381" t="s">
        <v>523</v>
      </c>
      <c r="G502" s="115"/>
      <c r="H502" s="115"/>
      <c r="I502" s="115"/>
      <c r="J502" s="115"/>
      <c r="K502" s="115"/>
      <c r="L502" s="115"/>
      <c r="M502" s="115"/>
      <c r="N502" s="115"/>
      <c r="O502" s="115"/>
      <c r="P502" s="115"/>
      <c r="Q502" s="115"/>
    </row>
    <row r="503" spans="1:17" ht="12.75" customHeight="1" x14ac:dyDescent="0.25">
      <c r="A503" s="306"/>
      <c r="B503" s="115"/>
      <c r="C503" s="115"/>
      <c r="D503" s="446"/>
      <c r="E503" s="383" t="s">
        <v>533</v>
      </c>
      <c r="F503" s="115"/>
      <c r="G503" s="115"/>
      <c r="H503" s="115"/>
      <c r="I503" s="115"/>
      <c r="J503" s="407">
        <v>2025</v>
      </c>
      <c r="K503" s="407">
        <v>2026</v>
      </c>
      <c r="L503" s="407">
        <f>+L486</f>
        <v>2027</v>
      </c>
      <c r="M503" s="407">
        <f>+M486</f>
        <v>2028</v>
      </c>
      <c r="N503" s="407">
        <f>+N486</f>
        <v>2029</v>
      </c>
      <c r="O503" s="407">
        <f>+O486</f>
        <v>2030</v>
      </c>
      <c r="P503" s="115"/>
      <c r="Q503" s="115"/>
    </row>
    <row r="504" spans="1:17" ht="12.75" customHeight="1" x14ac:dyDescent="0.25">
      <c r="A504" s="306"/>
      <c r="B504" s="115"/>
      <c r="C504" s="115"/>
      <c r="D504" s="424">
        <v>41100</v>
      </c>
      <c r="E504" s="115" t="s">
        <v>700</v>
      </c>
      <c r="F504" s="115"/>
      <c r="G504" s="115"/>
      <c r="H504" s="115"/>
      <c r="I504" s="115"/>
      <c r="J504" s="115"/>
      <c r="K504" s="115"/>
      <c r="L504" s="115"/>
      <c r="M504" s="115"/>
      <c r="N504" s="115"/>
      <c r="O504" s="115"/>
      <c r="P504" s="115"/>
      <c r="Q504" s="115"/>
    </row>
    <row r="505" spans="1:17" ht="12.75" customHeight="1" x14ac:dyDescent="0.25">
      <c r="A505" s="306"/>
      <c r="B505" s="115"/>
      <c r="C505" s="115"/>
      <c r="D505" s="424"/>
      <c r="E505" s="115" t="s">
        <v>701</v>
      </c>
      <c r="F505" s="115"/>
      <c r="G505" s="115"/>
      <c r="H505" s="115"/>
      <c r="I505" s="115"/>
      <c r="J505" s="114">
        <v>409414</v>
      </c>
      <c r="K505" s="114">
        <v>446894.96</v>
      </c>
      <c r="L505" s="114">
        <f t="shared" ref="L505:O508" si="113">ROUND(K505*T$3,0)</f>
        <v>465665</v>
      </c>
      <c r="M505" s="114">
        <f t="shared" si="113"/>
        <v>482895</v>
      </c>
      <c r="N505" s="114">
        <f t="shared" si="113"/>
        <v>500762</v>
      </c>
      <c r="O505" s="114">
        <f t="shared" si="113"/>
        <v>519290</v>
      </c>
      <c r="P505" s="115"/>
      <c r="Q505" s="115"/>
    </row>
    <row r="506" spans="1:17" ht="12.75" customHeight="1" x14ac:dyDescent="0.25">
      <c r="A506" s="306"/>
      <c r="B506" s="115"/>
      <c r="C506" s="115"/>
      <c r="D506" s="424"/>
      <c r="E506" s="115" t="s">
        <v>702</v>
      </c>
      <c r="F506" s="115"/>
      <c r="G506" s="115"/>
      <c r="H506" s="115"/>
      <c r="I506" s="115"/>
      <c r="J506" s="114">
        <v>417892</v>
      </c>
      <c r="K506" s="114">
        <v>439082.16000000003</v>
      </c>
      <c r="L506" s="114">
        <f t="shared" si="113"/>
        <v>457524</v>
      </c>
      <c r="M506" s="114">
        <f t="shared" si="113"/>
        <v>474452</v>
      </c>
      <c r="N506" s="114">
        <f t="shared" si="113"/>
        <v>492007</v>
      </c>
      <c r="O506" s="114">
        <f t="shared" si="113"/>
        <v>510211</v>
      </c>
      <c r="P506" s="115"/>
      <c r="Q506" s="115"/>
    </row>
    <row r="507" spans="1:17" ht="12.75" customHeight="1" x14ac:dyDescent="0.25">
      <c r="A507" s="306"/>
      <c r="B507" s="115"/>
      <c r="C507" s="115"/>
      <c r="D507" s="424"/>
      <c r="E507" s="115" t="s">
        <v>703</v>
      </c>
      <c r="F507" s="115"/>
      <c r="G507" s="115"/>
      <c r="H507" s="115"/>
      <c r="I507" s="115"/>
      <c r="J507" s="114">
        <v>189560</v>
      </c>
      <c r="K507" s="114">
        <v>186942.35</v>
      </c>
      <c r="L507" s="114">
        <f t="shared" si="113"/>
        <v>194794</v>
      </c>
      <c r="M507" s="114">
        <f t="shared" si="113"/>
        <v>202001</v>
      </c>
      <c r="N507" s="114">
        <f t="shared" si="113"/>
        <v>209475</v>
      </c>
      <c r="O507" s="114">
        <f t="shared" si="113"/>
        <v>217226</v>
      </c>
      <c r="P507" s="115"/>
      <c r="Q507" s="115"/>
    </row>
    <row r="508" spans="1:17" ht="12.75" customHeight="1" x14ac:dyDescent="0.25">
      <c r="A508" s="306"/>
      <c r="B508" s="115"/>
      <c r="C508" s="115"/>
      <c r="D508" s="424"/>
      <c r="E508" s="115" t="s">
        <v>704</v>
      </c>
      <c r="F508" s="115"/>
      <c r="G508" s="115"/>
      <c r="H508" s="115"/>
      <c r="I508" s="115"/>
      <c r="J508" s="114">
        <v>411950</v>
      </c>
      <c r="K508" s="114">
        <v>430538.01</v>
      </c>
      <c r="L508" s="114">
        <f t="shared" si="113"/>
        <v>448621</v>
      </c>
      <c r="M508" s="114">
        <f t="shared" si="113"/>
        <v>465220</v>
      </c>
      <c r="N508" s="114">
        <f t="shared" si="113"/>
        <v>482433</v>
      </c>
      <c r="O508" s="114">
        <f t="shared" si="113"/>
        <v>500283</v>
      </c>
      <c r="P508" s="115"/>
      <c r="Q508" s="115"/>
    </row>
    <row r="509" spans="1:17" ht="12.75" customHeight="1" thickBot="1" x14ac:dyDescent="0.3">
      <c r="A509" s="306"/>
      <c r="B509" s="115"/>
      <c r="C509" s="115"/>
      <c r="D509" s="446"/>
      <c r="E509" s="115" t="s">
        <v>1182</v>
      </c>
      <c r="F509" s="115"/>
      <c r="G509" s="115"/>
      <c r="H509" s="115"/>
      <c r="I509" s="115"/>
      <c r="J509" s="1744">
        <v>1428816</v>
      </c>
      <c r="K509" s="1744">
        <v>1503457.4800000002</v>
      </c>
      <c r="L509" s="1744">
        <f>SUM(L505:L508)</f>
        <v>1566604</v>
      </c>
      <c r="M509" s="1744">
        <f>SUM(M505:M508)</f>
        <v>1624568</v>
      </c>
      <c r="N509" s="1744">
        <f>SUM(N505:N508)</f>
        <v>1684677</v>
      </c>
      <c r="O509" s="1744">
        <f>SUM(O505:O508)</f>
        <v>1747010</v>
      </c>
      <c r="P509" s="115"/>
      <c r="Q509" s="115"/>
    </row>
    <row r="510" spans="1:17" ht="12.75" customHeight="1" thickTop="1" x14ac:dyDescent="0.25">
      <c r="A510" s="306"/>
      <c r="B510" s="115"/>
      <c r="C510" s="115"/>
      <c r="D510" s="384"/>
      <c r="E510" s="414"/>
      <c r="F510" s="414"/>
      <c r="G510" s="414"/>
      <c r="H510" s="414"/>
      <c r="I510" s="414"/>
      <c r="J510" s="115"/>
      <c r="K510" s="115"/>
      <c r="L510" s="115"/>
      <c r="M510" s="115"/>
      <c r="N510" s="115"/>
      <c r="O510" s="115"/>
      <c r="P510" s="115"/>
      <c r="Q510" s="115"/>
    </row>
    <row r="511" spans="1:17" ht="12.75" customHeight="1" x14ac:dyDescent="0.25">
      <c r="A511" s="306"/>
      <c r="B511" s="115"/>
      <c r="C511" s="115"/>
      <c r="D511" s="393">
        <v>601902</v>
      </c>
      <c r="E511" s="115"/>
      <c r="F511" s="381" t="s">
        <v>524</v>
      </c>
      <c r="G511" s="115"/>
      <c r="H511" s="115"/>
      <c r="I511" s="115"/>
      <c r="J511" s="115"/>
      <c r="K511" s="115"/>
      <c r="L511" s="115"/>
      <c r="M511" s="115"/>
      <c r="N511" s="115"/>
      <c r="O511" s="115"/>
      <c r="P511" s="115"/>
      <c r="Q511" s="115"/>
    </row>
    <row r="512" spans="1:17" ht="12.75" customHeight="1" x14ac:dyDescent="0.25">
      <c r="A512" s="306"/>
      <c r="B512" s="115"/>
      <c r="C512" s="115"/>
      <c r="D512" s="446"/>
      <c r="E512" s="383" t="s">
        <v>533</v>
      </c>
      <c r="F512" s="115"/>
      <c r="G512" s="115"/>
      <c r="H512" s="115"/>
      <c r="I512" s="115"/>
      <c r="J512" s="407">
        <v>2025</v>
      </c>
      <c r="K512" s="407">
        <v>2026</v>
      </c>
      <c r="L512" s="407">
        <v>2027</v>
      </c>
      <c r="M512" s="407">
        <v>2028</v>
      </c>
      <c r="N512" s="407">
        <v>2029</v>
      </c>
      <c r="O512" s="407">
        <v>2030</v>
      </c>
      <c r="P512" s="115"/>
      <c r="Q512" s="115"/>
    </row>
    <row r="513" spans="1:17" ht="12.75" customHeight="1" x14ac:dyDescent="0.25">
      <c r="A513" s="306"/>
      <c r="B513" s="115"/>
      <c r="C513" s="115"/>
      <c r="D513" s="424">
        <v>41100</v>
      </c>
      <c r="E513" s="115" t="s">
        <v>541</v>
      </c>
      <c r="F513" s="115"/>
      <c r="G513" s="115"/>
      <c r="H513" s="115"/>
      <c r="I513" s="115"/>
      <c r="J513" s="115"/>
      <c r="K513" s="115"/>
      <c r="L513" s="115"/>
      <c r="M513" s="115"/>
      <c r="N513" s="115"/>
      <c r="O513" s="115"/>
      <c r="P513" s="115"/>
      <c r="Q513" s="115"/>
    </row>
    <row r="514" spans="1:17" ht="12.75" customHeight="1" x14ac:dyDescent="0.25">
      <c r="A514" s="306"/>
      <c r="B514" s="115"/>
      <c r="C514" s="115"/>
      <c r="D514" s="424"/>
      <c r="E514" s="308" t="s">
        <v>706</v>
      </c>
      <c r="F514" s="115"/>
      <c r="G514" s="115"/>
      <c r="H514" s="115"/>
      <c r="I514" s="115"/>
      <c r="J514" s="114">
        <v>0</v>
      </c>
      <c r="K514" s="114">
        <v>0</v>
      </c>
      <c r="L514" s="114">
        <f t="shared" ref="L514:O516" si="114">ROUND(K514*T$3,0)</f>
        <v>0</v>
      </c>
      <c r="M514" s="114">
        <f t="shared" si="114"/>
        <v>0</v>
      </c>
      <c r="N514" s="114">
        <f t="shared" si="114"/>
        <v>0</v>
      </c>
      <c r="O514" s="114">
        <f t="shared" si="114"/>
        <v>0</v>
      </c>
      <c r="P514" s="115"/>
      <c r="Q514" s="115"/>
    </row>
    <row r="515" spans="1:17" ht="12.75" customHeight="1" x14ac:dyDescent="0.25">
      <c r="A515" s="306"/>
      <c r="B515" s="115"/>
      <c r="C515" s="115"/>
      <c r="D515" s="424"/>
      <c r="E515" s="308" t="s">
        <v>707</v>
      </c>
      <c r="F515" s="115"/>
      <c r="G515" s="115"/>
      <c r="H515" s="115"/>
      <c r="I515" s="115"/>
      <c r="J515" s="114">
        <v>74893</v>
      </c>
      <c r="K515" s="114">
        <v>113769.23</v>
      </c>
      <c r="L515" s="114">
        <f t="shared" si="114"/>
        <v>118548</v>
      </c>
      <c r="M515" s="114">
        <f t="shared" si="114"/>
        <v>122934</v>
      </c>
      <c r="N515" s="114">
        <f t="shared" si="114"/>
        <v>127483</v>
      </c>
      <c r="O515" s="114">
        <f t="shared" si="114"/>
        <v>132200</v>
      </c>
      <c r="P515" s="115"/>
      <c r="Q515" s="115"/>
    </row>
    <row r="516" spans="1:17" ht="12.75" customHeight="1" x14ac:dyDescent="0.25">
      <c r="A516" s="306"/>
      <c r="B516" s="115"/>
      <c r="C516" s="115"/>
      <c r="D516" s="424"/>
      <c r="E516" s="441" t="s">
        <v>708</v>
      </c>
      <c r="F516" s="115"/>
      <c r="G516" s="115"/>
      <c r="H516" s="115"/>
      <c r="I516" s="115"/>
      <c r="J516" s="114">
        <v>90356.64</v>
      </c>
      <c r="K516" s="114">
        <v>59207.4</v>
      </c>
      <c r="L516" s="114">
        <f t="shared" si="114"/>
        <v>61694</v>
      </c>
      <c r="M516" s="114">
        <f t="shared" si="114"/>
        <v>63977</v>
      </c>
      <c r="N516" s="114">
        <f t="shared" si="114"/>
        <v>66344</v>
      </c>
      <c r="O516" s="114">
        <f t="shared" si="114"/>
        <v>68799</v>
      </c>
      <c r="P516" s="115"/>
      <c r="Q516" s="115"/>
    </row>
    <row r="517" spans="1:17" ht="12.75" customHeight="1" x14ac:dyDescent="0.25">
      <c r="A517" s="306"/>
      <c r="B517" s="115"/>
      <c r="C517" s="115"/>
      <c r="D517" s="424"/>
      <c r="E517" s="308" t="s">
        <v>709</v>
      </c>
      <c r="F517" s="115"/>
      <c r="G517" s="115"/>
      <c r="H517" s="115"/>
      <c r="I517" s="115"/>
      <c r="J517" s="114"/>
      <c r="K517" s="114">
        <v>120000</v>
      </c>
      <c r="L517" s="114">
        <v>120000</v>
      </c>
      <c r="M517" s="114">
        <v>0</v>
      </c>
      <c r="N517" s="114">
        <v>0</v>
      </c>
      <c r="O517" s="114">
        <v>0</v>
      </c>
      <c r="P517" s="115"/>
      <c r="Q517" s="115"/>
    </row>
    <row r="518" spans="1:17" ht="12.75" customHeight="1" thickBot="1" x14ac:dyDescent="0.3">
      <c r="A518" s="306"/>
      <c r="B518" s="115"/>
      <c r="C518" s="115"/>
      <c r="D518" s="446"/>
      <c r="E518" s="115" t="s">
        <v>705</v>
      </c>
      <c r="F518" s="115"/>
      <c r="G518" s="115"/>
      <c r="H518" s="115"/>
      <c r="I518" s="115"/>
      <c r="J518" s="1744">
        <v>165249.64000000001</v>
      </c>
      <c r="K518" s="1744">
        <v>292976.63</v>
      </c>
      <c r="L518" s="1744">
        <f t="shared" ref="L518:N518" si="115">SUM(L514:L517)</f>
        <v>300242</v>
      </c>
      <c r="M518" s="1744">
        <f t="shared" si="115"/>
        <v>186911</v>
      </c>
      <c r="N518" s="1744">
        <f t="shared" si="115"/>
        <v>193827</v>
      </c>
      <c r="O518" s="1744">
        <f t="shared" ref="O518" si="116">SUM(O514:O517)</f>
        <v>200999</v>
      </c>
      <c r="P518" s="115"/>
      <c r="Q518" s="115"/>
    </row>
    <row r="519" spans="1:17" ht="12.75" customHeight="1" thickTop="1" x14ac:dyDescent="0.25">
      <c r="A519" s="306"/>
      <c r="B519" s="115"/>
      <c r="C519" s="115"/>
      <c r="D519" s="446"/>
      <c r="E519" s="115"/>
      <c r="F519" s="115"/>
      <c r="G519" s="115"/>
      <c r="H519" s="115"/>
      <c r="I519" s="115"/>
      <c r="J519" s="114"/>
      <c r="K519" s="114"/>
      <c r="L519" s="114"/>
      <c r="M519" s="114"/>
      <c r="N519" s="114"/>
      <c r="O519" s="114"/>
      <c r="P519" s="115"/>
      <c r="Q519" s="115"/>
    </row>
    <row r="520" spans="1:17" ht="12.75" customHeight="1" x14ac:dyDescent="0.25">
      <c r="A520" s="306"/>
      <c r="B520" s="115"/>
      <c r="C520" s="115"/>
      <c r="D520" s="446">
        <v>43511</v>
      </c>
      <c r="E520" s="115" t="s">
        <v>560</v>
      </c>
      <c r="F520" s="115"/>
      <c r="G520" s="115"/>
      <c r="H520" s="115"/>
      <c r="I520" s="115"/>
      <c r="J520" s="114"/>
      <c r="K520" s="114"/>
      <c r="L520" s="114"/>
      <c r="M520" s="114"/>
      <c r="N520" s="114"/>
      <c r="O520" s="114"/>
      <c r="P520" s="115"/>
    </row>
    <row r="521" spans="1:17" ht="12.75" customHeight="1" x14ac:dyDescent="0.25">
      <c r="A521" s="306"/>
      <c r="B521" s="115"/>
      <c r="C521" s="115"/>
      <c r="D521" s="424"/>
      <c r="E521" s="447" t="s">
        <v>710</v>
      </c>
      <c r="F521" s="115"/>
      <c r="G521" s="115"/>
      <c r="H521" s="115"/>
      <c r="I521" s="115"/>
      <c r="J521" s="114"/>
      <c r="K521" s="114">
        <v>500000</v>
      </c>
      <c r="L521" s="114">
        <v>500000</v>
      </c>
      <c r="M521" s="114">
        <v>500000</v>
      </c>
      <c r="N521" s="114">
        <v>500000</v>
      </c>
      <c r="O521" s="114">
        <v>500000</v>
      </c>
      <c r="P521" s="115"/>
    </row>
    <row r="522" spans="1:17" ht="12.75" customHeight="1" x14ac:dyDescent="0.25">
      <c r="A522" s="306"/>
      <c r="B522" s="115"/>
      <c r="C522" s="115"/>
      <c r="D522" s="424"/>
      <c r="E522" s="447" t="s">
        <v>5310</v>
      </c>
      <c r="F522" s="115"/>
      <c r="G522" s="115"/>
      <c r="H522" s="115"/>
      <c r="I522" s="115"/>
      <c r="J522" s="114"/>
      <c r="K522" s="114">
        <v>-500000</v>
      </c>
      <c r="L522" s="114"/>
      <c r="M522" s="114"/>
      <c r="N522" s="114"/>
      <c r="O522" s="114"/>
      <c r="P522" s="115"/>
    </row>
    <row r="523" spans="1:17" ht="12.75" customHeight="1" thickBot="1" x14ac:dyDescent="0.3">
      <c r="A523" s="306"/>
      <c r="B523" s="115"/>
      <c r="C523" s="115"/>
      <c r="D523" s="301"/>
      <c r="E523" s="115" t="s">
        <v>711</v>
      </c>
      <c r="F523" s="115"/>
      <c r="G523" s="115"/>
      <c r="H523" s="115"/>
      <c r="I523" s="115"/>
      <c r="J523" s="1744">
        <v>0</v>
      </c>
      <c r="K523" s="1744">
        <v>500000</v>
      </c>
      <c r="L523" s="1744">
        <f t="shared" ref="L523:N523" si="117">SUM(L521)</f>
        <v>500000</v>
      </c>
      <c r="M523" s="1744">
        <f t="shared" si="117"/>
        <v>500000</v>
      </c>
      <c r="N523" s="1744">
        <f t="shared" si="117"/>
        <v>500000</v>
      </c>
      <c r="O523" s="1744">
        <f t="shared" ref="O523" si="118">SUM(O521)</f>
        <v>500000</v>
      </c>
      <c r="P523" s="115"/>
    </row>
    <row r="524" spans="1:17" ht="12.75" customHeight="1" thickTop="1" x14ac:dyDescent="0.25">
      <c r="A524" s="306"/>
      <c r="B524" s="115"/>
      <c r="C524" s="115"/>
      <c r="D524" s="301"/>
      <c r="E524" s="302"/>
      <c r="F524" s="303"/>
      <c r="G524" s="115"/>
      <c r="H524" s="115"/>
      <c r="I524" s="115"/>
      <c r="J524" s="115"/>
      <c r="K524" s="115"/>
      <c r="L524" s="115"/>
      <c r="M524" s="115"/>
      <c r="N524" s="115"/>
      <c r="O524" s="115"/>
      <c r="P524" s="115"/>
    </row>
  </sheetData>
  <mergeCells count="14">
    <mergeCell ref="D463:J465"/>
    <mergeCell ref="D478:H478"/>
    <mergeCell ref="E488:L488"/>
    <mergeCell ref="E301:I303"/>
    <mergeCell ref="E304:I304"/>
    <mergeCell ref="E399:I400"/>
    <mergeCell ref="E316:K319"/>
    <mergeCell ref="D453:M455"/>
    <mergeCell ref="E271:I272"/>
    <mergeCell ref="D76:D77"/>
    <mergeCell ref="F76:F77"/>
    <mergeCell ref="G76:H77"/>
    <mergeCell ref="E259:I261"/>
    <mergeCell ref="E245:M248"/>
  </mergeCells>
  <hyperlinks>
    <hyperlink ref="A1" location="Inhoudsopgave!A1" display="Inhoudsopgave" xr:uid="{F34E696A-EEDF-4C4A-BD57-68B4A14DB588}"/>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72" max="16383" man="1"/>
    <brk id="147" min="3" max="14" man="1"/>
    <brk id="217" max="16383" man="1"/>
    <brk id="299" min="3" max="14" man="1"/>
    <brk id="366" max="16383" man="1"/>
    <brk id="443" min="3" max="14" man="1"/>
  </row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F592-4343-4367-BF29-ABD682E9A43B}">
  <sheetPr codeName="Blad2"/>
  <dimension ref="A1:X802"/>
  <sheetViews>
    <sheetView showGridLines="0" view="pageBreakPreview" topLeftCell="A532" zoomScale="90" zoomScaleNormal="100" zoomScaleSheetLayoutView="90" workbookViewId="0">
      <selection activeCell="S523" sqref="S523"/>
    </sheetView>
  </sheetViews>
  <sheetFormatPr defaultColWidth="9.109375" defaultRowHeight="12.75" customHeight="1" x14ac:dyDescent="0.25"/>
  <cols>
    <col min="1" max="1" width="9.5546875" style="301" bestFit="1" customWidth="1"/>
    <col min="2" max="3" width="10" style="115" customWidth="1"/>
    <col min="4" max="5" width="9.6640625" style="301" customWidth="1"/>
    <col min="6" max="6" width="9.6640625" style="143" customWidth="1"/>
    <col min="7" max="9" width="12.6640625" style="115" customWidth="1"/>
    <col min="10" max="14" width="11.6640625" style="115" customWidth="1"/>
    <col min="15" max="15" width="10.88671875" style="115" customWidth="1"/>
    <col min="16" max="16" width="12.6640625" style="115" customWidth="1"/>
    <col min="17" max="17" width="19.88671875" style="1624" customWidth="1"/>
    <col min="18" max="18" width="10.6640625" style="1624" customWidth="1"/>
    <col min="19" max="19" width="12" style="1624" customWidth="1"/>
    <col min="20" max="21" width="12.44140625" style="1625" customWidth="1"/>
    <col min="22" max="22" width="11.6640625" style="1625" customWidth="1"/>
    <col min="23" max="23" width="13.5546875" style="1623" customWidth="1"/>
    <col min="24" max="24" width="11.109375" style="115" bestFit="1" customWidth="1"/>
    <col min="25" max="16384" width="9.109375" style="115"/>
  </cols>
  <sheetData>
    <row r="1" spans="4:23" ht="12.75" customHeight="1" x14ac:dyDescent="0.25">
      <c r="Q1" s="1622">
        <v>2024</v>
      </c>
      <c r="R1" s="1622">
        <v>2025</v>
      </c>
      <c r="S1" s="1622">
        <v>2026</v>
      </c>
      <c r="T1" s="505">
        <v>2027</v>
      </c>
      <c r="U1" s="1622">
        <v>2028</v>
      </c>
      <c r="V1" s="505">
        <v>2029</v>
      </c>
      <c r="W1" s="505">
        <v>2030</v>
      </c>
    </row>
    <row r="2" spans="4:23" ht="12.75" customHeight="1" x14ac:dyDescent="0.25">
      <c r="D2" s="301" t="s">
        <v>504</v>
      </c>
      <c r="H2" s="115" t="s">
        <v>712</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4:23" ht="12.75" customHeight="1" x14ac:dyDescent="0.25">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4:23" ht="12.75" customHeight="1" x14ac:dyDescent="0.25">
      <c r="Q4" s="394"/>
      <c r="R4" s="394"/>
      <c r="S4" s="307">
        <f>+Indexering!I6</f>
        <v>1.0228200000000001</v>
      </c>
      <c r="T4" s="307">
        <f>+Indexering!J6</f>
        <v>1.03213</v>
      </c>
      <c r="U4" s="307">
        <f>+Indexering!K6</f>
        <v>1.0304199999999999</v>
      </c>
      <c r="V4" s="307">
        <f>+Indexering!L6</f>
        <v>1.0304199999999999</v>
      </c>
      <c r="W4" s="307">
        <f>+Indexering!M6</f>
        <v>1.0304199999999999</v>
      </c>
    </row>
    <row r="5" spans="4:23" ht="12.75" customHeight="1" x14ac:dyDescent="0.25">
      <c r="D5" s="301" t="s">
        <v>713</v>
      </c>
      <c r="Q5" s="394"/>
      <c r="R5" s="394"/>
      <c r="S5" s="394"/>
      <c r="T5" s="114"/>
      <c r="U5" s="114"/>
      <c r="V5" s="114"/>
    </row>
    <row r="6" spans="4:23" ht="12.75" customHeight="1" x14ac:dyDescent="0.25">
      <c r="D6" s="301" t="s">
        <v>66</v>
      </c>
      <c r="H6" s="115" t="s">
        <v>3</v>
      </c>
      <c r="Q6" s="394"/>
      <c r="R6" s="394"/>
      <c r="S6" s="394"/>
      <c r="T6" s="114"/>
      <c r="U6" s="114"/>
      <c r="V6" s="114"/>
    </row>
    <row r="24" spans="4:18" ht="12.75" customHeight="1" x14ac:dyDescent="0.25">
      <c r="D24" s="312" t="s">
        <v>507</v>
      </c>
      <c r="Q24" s="394"/>
      <c r="R24" s="394"/>
    </row>
    <row r="26" spans="4:18" ht="12.75" customHeight="1" x14ac:dyDescent="0.25">
      <c r="D26" s="1784" t="s">
        <v>508</v>
      </c>
      <c r="E26" s="1785"/>
      <c r="F26" s="1801"/>
      <c r="G26" s="1786"/>
      <c r="H26" s="1786"/>
      <c r="I26" s="1787"/>
      <c r="J26" s="1787">
        <v>2025</v>
      </c>
      <c r="K26" s="1787">
        <v>2026</v>
      </c>
      <c r="L26" s="1787">
        <v>2027</v>
      </c>
      <c r="M26" s="1787">
        <v>2028</v>
      </c>
      <c r="N26" s="1787">
        <v>2029</v>
      </c>
      <c r="O26" s="1787">
        <v>2030</v>
      </c>
      <c r="P26" s="383"/>
      <c r="Q26" s="394"/>
      <c r="R26" s="394"/>
    </row>
    <row r="27" spans="4:18" ht="12.75" customHeight="1" x14ac:dyDescent="0.25">
      <c r="D27" s="315" t="str">
        <f>G92</f>
        <v>Huwelijken (1)</v>
      </c>
      <c r="E27" s="302"/>
      <c r="I27" s="316"/>
      <c r="J27" s="317">
        <v>2696</v>
      </c>
      <c r="K27" s="317">
        <v>2762</v>
      </c>
      <c r="L27" s="317">
        <f t="shared" ref="L27:M27" si="0">L95</f>
        <v>2824</v>
      </c>
      <c r="M27" s="317">
        <f t="shared" si="0"/>
        <v>2888</v>
      </c>
      <c r="N27" s="317">
        <f t="shared" ref="N27:O27" si="1">N95</f>
        <v>2953</v>
      </c>
      <c r="O27" s="317">
        <f t="shared" si="1"/>
        <v>2978</v>
      </c>
      <c r="P27" s="114"/>
      <c r="Q27" s="394"/>
      <c r="R27" s="394"/>
    </row>
    <row r="28" spans="4:18" ht="12.75" customHeight="1" x14ac:dyDescent="0.25">
      <c r="D28" s="315" t="str">
        <f>G97</f>
        <v>Directe toerekening burgelijke stand (1)</v>
      </c>
      <c r="E28" s="302"/>
      <c r="I28" s="316"/>
      <c r="J28" s="317">
        <v>33098</v>
      </c>
      <c r="K28" s="317">
        <v>100258.11</v>
      </c>
      <c r="L28" s="317">
        <f t="shared" ref="L28:M28" si="2">L100</f>
        <v>104469</v>
      </c>
      <c r="M28" s="317">
        <f t="shared" si="2"/>
        <v>108334</v>
      </c>
      <c r="N28" s="317">
        <f t="shared" ref="N28:O28" si="3">N100</f>
        <v>112342</v>
      </c>
      <c r="O28" s="317">
        <f t="shared" si="3"/>
        <v>116499</v>
      </c>
      <c r="P28" s="114"/>
      <c r="Q28" s="394"/>
      <c r="R28" s="394"/>
    </row>
    <row r="29" spans="4:18" ht="12.75" customHeight="1" x14ac:dyDescent="0.25">
      <c r="D29" s="315" t="str">
        <f>G102</f>
        <v>Reisdocumenten  (2)</v>
      </c>
      <c r="E29" s="302"/>
      <c r="I29" s="316"/>
      <c r="J29" s="317">
        <v>151352.29999999999</v>
      </c>
      <c r="K29" s="317">
        <v>259645.5</v>
      </c>
      <c r="L29" s="317">
        <f t="shared" ref="L29:M29" si="4">L105</f>
        <v>268069</v>
      </c>
      <c r="M29" s="317">
        <f t="shared" si="4"/>
        <v>277732.5</v>
      </c>
      <c r="N29" s="317">
        <f t="shared" ref="N29:O29" si="5">N105</f>
        <v>287720</v>
      </c>
      <c r="O29" s="317">
        <f t="shared" si="5"/>
        <v>298109</v>
      </c>
      <c r="P29" s="114"/>
      <c r="Q29" s="394"/>
      <c r="R29" s="394"/>
    </row>
    <row r="30" spans="4:18" ht="12.75" customHeight="1" x14ac:dyDescent="0.25">
      <c r="D30" s="315" t="str">
        <f>G107</f>
        <v>Directe toerekening reisdocumenten (2)</v>
      </c>
      <c r="E30" s="302"/>
      <c r="I30" s="316"/>
      <c r="J30" s="7">
        <v>203260.6</v>
      </c>
      <c r="K30" s="7">
        <v>133135.84</v>
      </c>
      <c r="L30" s="7">
        <f t="shared" ref="L30:M30" si="6">L111</f>
        <v>138728</v>
      </c>
      <c r="M30" s="7">
        <f t="shared" si="6"/>
        <v>143861</v>
      </c>
      <c r="N30" s="7">
        <f t="shared" ref="N30:O30" si="7">N111</f>
        <v>149184</v>
      </c>
      <c r="O30" s="7">
        <f t="shared" si="7"/>
        <v>154704</v>
      </c>
      <c r="P30" s="58"/>
      <c r="Q30" s="394"/>
      <c r="R30" s="394"/>
    </row>
    <row r="31" spans="4:18" ht="12.75" customHeight="1" x14ac:dyDescent="0.25">
      <c r="D31" s="315" t="str">
        <f>G113</f>
        <v>Rijbewijzen (3)</v>
      </c>
      <c r="E31" s="302"/>
      <c r="I31" s="316"/>
      <c r="J31" s="317">
        <v>50027.9</v>
      </c>
      <c r="K31" s="317">
        <v>37540</v>
      </c>
      <c r="L31" s="317">
        <f t="shared" ref="L31:M31" si="8">L116</f>
        <v>38311</v>
      </c>
      <c r="M31" s="317">
        <f t="shared" si="8"/>
        <v>39102</v>
      </c>
      <c r="N31" s="317">
        <f t="shared" ref="N31:O31" si="9">N116</f>
        <v>40098</v>
      </c>
      <c r="O31" s="317">
        <f t="shared" si="9"/>
        <v>40298</v>
      </c>
      <c r="P31" s="114"/>
      <c r="Q31" s="394"/>
      <c r="R31" s="394"/>
    </row>
    <row r="32" spans="4:18" ht="12.75" customHeight="1" x14ac:dyDescent="0.25">
      <c r="D32" s="315" t="str">
        <f>G119</f>
        <v>Directe toerekening rijbewijzen (3)</v>
      </c>
      <c r="E32" s="302"/>
      <c r="I32" s="316"/>
      <c r="J32" s="7">
        <v>165678.96</v>
      </c>
      <c r="K32" s="7">
        <v>123799.24</v>
      </c>
      <c r="L32" s="7">
        <f t="shared" ref="L32:M32" si="10">L123</f>
        <v>128999</v>
      </c>
      <c r="M32" s="7">
        <f t="shared" si="10"/>
        <v>133772</v>
      </c>
      <c r="N32" s="7">
        <f t="shared" ref="N32:O32" si="11">N123</f>
        <v>138721</v>
      </c>
      <c r="O32" s="7">
        <f t="shared" si="11"/>
        <v>143854</v>
      </c>
      <c r="P32" s="58"/>
      <c r="Q32" s="394"/>
      <c r="R32" s="394"/>
    </row>
    <row r="33" spans="4:19" ht="12.75" customHeight="1" x14ac:dyDescent="0.25">
      <c r="D33" s="315" t="str">
        <f>G125</f>
        <v xml:space="preserve">Directe toerekening (uitreksels uit de) brp (4) </v>
      </c>
      <c r="E33" s="302"/>
      <c r="I33" s="316"/>
      <c r="J33" s="7">
        <v>231741</v>
      </c>
      <c r="K33" s="7">
        <v>264213.37</v>
      </c>
      <c r="L33" s="7">
        <f t="shared" ref="L33:M33" si="12">L130</f>
        <v>272276</v>
      </c>
      <c r="M33" s="7">
        <f t="shared" si="12"/>
        <v>280285</v>
      </c>
      <c r="N33" s="7">
        <f t="shared" ref="N33:O33" si="13">N130</f>
        <v>288543</v>
      </c>
      <c r="O33" s="7">
        <f t="shared" si="13"/>
        <v>297058</v>
      </c>
      <c r="P33" s="58"/>
      <c r="Q33" s="394"/>
      <c r="R33" s="394"/>
      <c r="S33" s="394"/>
    </row>
    <row r="34" spans="4:19" ht="12.75" customHeight="1" x14ac:dyDescent="0.25">
      <c r="D34" s="315" t="str">
        <f>G132</f>
        <v>Leges overige publiekszaken (5)</v>
      </c>
      <c r="E34" s="302"/>
      <c r="I34" s="316"/>
      <c r="J34" s="7">
        <v>47803</v>
      </c>
      <c r="K34" s="7">
        <v>67673</v>
      </c>
      <c r="L34" s="7">
        <f t="shared" ref="L34:M34" si="14">L136</f>
        <v>69177</v>
      </c>
      <c r="M34" s="7">
        <f t="shared" si="14"/>
        <v>70823</v>
      </c>
      <c r="N34" s="7">
        <f t="shared" ref="N34:O34" si="15">N136</f>
        <v>72515</v>
      </c>
      <c r="O34" s="7">
        <f t="shared" si="15"/>
        <v>74125</v>
      </c>
      <c r="P34" s="58"/>
      <c r="Q34" s="394"/>
      <c r="R34" s="394"/>
      <c r="S34" s="394"/>
    </row>
    <row r="35" spans="4:19" ht="12.75" customHeight="1" x14ac:dyDescent="0.25">
      <c r="D35" s="315" t="str">
        <f>G138</f>
        <v>Directe toerekening leges overige publiekszaken (5)</v>
      </c>
      <c r="E35" s="302"/>
      <c r="I35" s="316"/>
      <c r="J35" s="7">
        <v>42453</v>
      </c>
      <c r="K35" s="7">
        <v>40461.449999999997</v>
      </c>
      <c r="L35" s="7">
        <f t="shared" ref="L35:M35" si="16">L141</f>
        <v>42161</v>
      </c>
      <c r="M35" s="7">
        <f t="shared" si="16"/>
        <v>43721</v>
      </c>
      <c r="N35" s="7">
        <f t="shared" ref="N35:O35" si="17">N141</f>
        <v>45339</v>
      </c>
      <c r="O35" s="7">
        <f t="shared" si="17"/>
        <v>47017</v>
      </c>
      <c r="P35" s="58"/>
      <c r="Q35" s="394"/>
      <c r="R35" s="394"/>
      <c r="S35" s="394"/>
    </row>
    <row r="36" spans="4:19" ht="12.75" customHeight="1" x14ac:dyDescent="0.25">
      <c r="D36" s="315" t="str">
        <f>G143</f>
        <v>Verkiezingen (6)</v>
      </c>
      <c r="E36" s="302"/>
      <c r="I36" s="316"/>
      <c r="J36" s="7">
        <v>58371</v>
      </c>
      <c r="K36" s="7">
        <v>61895</v>
      </c>
      <c r="L36" s="7">
        <f t="shared" ref="L36:M36" si="18">L147</f>
        <v>62867</v>
      </c>
      <c r="M36" s="7">
        <f t="shared" si="18"/>
        <v>63975</v>
      </c>
      <c r="N36" s="7">
        <f t="shared" ref="N36:O36" si="19">N147</f>
        <v>65100</v>
      </c>
      <c r="O36" s="7">
        <f t="shared" si="19"/>
        <v>66242</v>
      </c>
      <c r="P36" s="58"/>
      <c r="Q36" s="394"/>
      <c r="R36" s="394"/>
      <c r="S36" s="394"/>
    </row>
    <row r="37" spans="4:19" ht="12.75" customHeight="1" x14ac:dyDescent="0.25">
      <c r="D37" s="315" t="str">
        <f>G149</f>
        <v>Directe toerekening verkiezingen (6)</v>
      </c>
      <c r="E37" s="302"/>
      <c r="I37" s="316"/>
      <c r="J37" s="7">
        <v>4666.49</v>
      </c>
      <c r="K37" s="7">
        <v>7848</v>
      </c>
      <c r="L37" s="7">
        <f t="shared" ref="L37:M37" si="20">L152</f>
        <v>8178</v>
      </c>
      <c r="M37" s="7">
        <f t="shared" si="20"/>
        <v>8481</v>
      </c>
      <c r="N37" s="7">
        <f t="shared" ref="N37:O37" si="21">N152</f>
        <v>8795</v>
      </c>
      <c r="O37" s="7">
        <f t="shared" si="21"/>
        <v>9120</v>
      </c>
      <c r="P37" s="58"/>
      <c r="Q37" s="394"/>
      <c r="R37" s="394"/>
      <c r="S37" s="394"/>
    </row>
    <row r="38" spans="4:19" ht="12.75" customHeight="1" x14ac:dyDescent="0.25">
      <c r="D38" s="315" t="str">
        <f>G154</f>
        <v>Publiekszaken (7)</v>
      </c>
      <c r="E38" s="302"/>
      <c r="I38" s="316"/>
      <c r="J38" s="7">
        <v>8959.3489919999993</v>
      </c>
      <c r="K38" s="7">
        <v>9825</v>
      </c>
      <c r="L38" s="7">
        <f t="shared" ref="L38:M38" si="22">L157</f>
        <v>10033.914999999999</v>
      </c>
      <c r="M38" s="7">
        <f t="shared" si="22"/>
        <v>10269.255044999998</v>
      </c>
      <c r="N38" s="7">
        <f t="shared" ref="N38:O38" si="23">N157</f>
        <v>10508.167911034998</v>
      </c>
      <c r="O38" s="7">
        <f t="shared" si="23"/>
        <v>10750.735772988803</v>
      </c>
      <c r="P38" s="58"/>
      <c r="Q38" s="394"/>
      <c r="R38" s="394"/>
      <c r="S38" s="394"/>
    </row>
    <row r="39" spans="4:19" ht="12.75" customHeight="1" x14ac:dyDescent="0.25">
      <c r="D39" s="315" t="str">
        <f>G159</f>
        <v>Directe toerekening publiekszaken (7)</v>
      </c>
      <c r="E39" s="302"/>
      <c r="I39" s="316"/>
      <c r="J39" s="7">
        <v>160917.95000000001</v>
      </c>
      <c r="K39" s="7">
        <v>169988.77</v>
      </c>
      <c r="L39" s="7">
        <f t="shared" ref="L39:M39" si="24">L163</f>
        <v>159976</v>
      </c>
      <c r="M39" s="7">
        <f t="shared" si="24"/>
        <v>165895</v>
      </c>
      <c r="N39" s="7">
        <f t="shared" ref="N39:O39" si="25">N163</f>
        <v>172033</v>
      </c>
      <c r="O39" s="7">
        <f t="shared" si="25"/>
        <v>178398</v>
      </c>
      <c r="P39" s="58"/>
      <c r="Q39" s="394"/>
      <c r="R39" s="394"/>
      <c r="S39" s="394"/>
    </row>
    <row r="40" spans="4:19" ht="12.75" customHeight="1" x14ac:dyDescent="0.25">
      <c r="D40" s="315"/>
      <c r="E40" s="302"/>
      <c r="I40" s="316"/>
      <c r="J40" s="8"/>
      <c r="K40" s="8"/>
      <c r="L40" s="8"/>
      <c r="M40" s="8"/>
      <c r="N40" s="8"/>
      <c r="O40" s="8"/>
      <c r="P40" s="58"/>
      <c r="Q40" s="394"/>
      <c r="R40" s="394"/>
      <c r="S40" s="394"/>
    </row>
    <row r="41" spans="4:19" ht="12.75" customHeight="1" x14ac:dyDescent="0.25">
      <c r="D41" s="1788" t="s">
        <v>525</v>
      </c>
      <c r="E41" s="1789"/>
      <c r="F41" s="1802"/>
      <c r="G41" s="1791"/>
      <c r="H41" s="1791"/>
      <c r="I41" s="1792"/>
      <c r="J41" s="1770">
        <v>1161025.5489920001</v>
      </c>
      <c r="K41" s="1770">
        <v>1279045.2799999998</v>
      </c>
      <c r="L41" s="1770">
        <f>SUM(L27:L40)</f>
        <v>1306068.915</v>
      </c>
      <c r="M41" s="1770">
        <f>SUM(M27:M40)</f>
        <v>1349138.755045</v>
      </c>
      <c r="N41" s="1770">
        <f>SUM(N27:N40)</f>
        <v>1393851.167911035</v>
      </c>
      <c r="O41" s="1770">
        <f>SUM(O27:O40)</f>
        <v>1439152.7357729888</v>
      </c>
      <c r="P41" s="58"/>
      <c r="Q41" s="394"/>
      <c r="R41" s="394"/>
      <c r="S41" s="394"/>
    </row>
    <row r="42" spans="4:19" ht="12.75" customHeight="1" x14ac:dyDescent="0.25">
      <c r="E42" s="302"/>
      <c r="Q42" s="394"/>
      <c r="R42" s="394"/>
      <c r="S42" s="394"/>
    </row>
    <row r="43" spans="4:19" ht="12.75" customHeight="1" x14ac:dyDescent="0.25">
      <c r="D43" s="1784" t="s">
        <v>526</v>
      </c>
      <c r="E43" s="1785"/>
      <c r="F43" s="1801"/>
      <c r="G43" s="1786"/>
      <c r="H43" s="1786"/>
      <c r="I43" s="1787"/>
      <c r="J43" s="1787">
        <v>2025</v>
      </c>
      <c r="K43" s="1787">
        <v>2026</v>
      </c>
      <c r="L43" s="1787">
        <v>2027</v>
      </c>
      <c r="M43" s="1787">
        <v>2028</v>
      </c>
      <c r="N43" s="1787">
        <v>2029</v>
      </c>
      <c r="O43" s="1787">
        <v>2030</v>
      </c>
      <c r="P43" s="383"/>
      <c r="Q43" s="394"/>
      <c r="R43" s="394"/>
      <c r="S43" s="394"/>
    </row>
    <row r="44" spans="4:19" ht="12.75" customHeight="1" x14ac:dyDescent="0.25">
      <c r="D44" s="1793" t="str">
        <f>G165</f>
        <v>Huwelijken (1)</v>
      </c>
      <c r="E44" s="320"/>
      <c r="F44" s="1626"/>
      <c r="G44" s="322"/>
      <c r="H44" s="322"/>
      <c r="I44" s="316"/>
      <c r="J44" s="317">
        <v>-67872.7</v>
      </c>
      <c r="K44" s="317">
        <v>-81724.78</v>
      </c>
      <c r="L44" s="317">
        <f t="shared" ref="L44:M44" si="26">L168</f>
        <v>-85081.4</v>
      </c>
      <c r="M44" s="317">
        <f t="shared" si="26"/>
        <v>-88154.4</v>
      </c>
      <c r="N44" s="317">
        <f t="shared" ref="N44:O44" si="27">N168</f>
        <v>-91346.9</v>
      </c>
      <c r="O44" s="317">
        <f t="shared" si="27"/>
        <v>-94661.8</v>
      </c>
      <c r="P44" s="114"/>
      <c r="Q44" s="394"/>
      <c r="R44" s="394"/>
      <c r="S44" s="394"/>
    </row>
    <row r="45" spans="4:19" ht="12.75" customHeight="1" x14ac:dyDescent="0.25">
      <c r="D45" s="315" t="str">
        <f>G170</f>
        <v>Reisdocumenten (2)</v>
      </c>
      <c r="E45" s="302"/>
      <c r="I45" s="316"/>
      <c r="J45" s="317">
        <v>-312150</v>
      </c>
      <c r="K45" s="317">
        <v>-464175.5</v>
      </c>
      <c r="L45" s="317">
        <f t="shared" ref="L45:M45" si="28">L173</f>
        <v>-473936.5</v>
      </c>
      <c r="M45" s="317">
        <f t="shared" si="28"/>
        <v>-484625</v>
      </c>
      <c r="N45" s="317">
        <f t="shared" ref="N45:O45" si="29">N173</f>
        <v>-495845</v>
      </c>
      <c r="O45" s="317">
        <f t="shared" si="29"/>
        <v>-507069</v>
      </c>
      <c r="P45" s="114"/>
      <c r="Q45" s="394"/>
      <c r="R45" s="394"/>
      <c r="S45" s="394"/>
    </row>
    <row r="46" spans="4:19" ht="12.75" customHeight="1" x14ac:dyDescent="0.25">
      <c r="D46" s="315" t="str">
        <f>G175</f>
        <v>Rijbewijzen  (3)</v>
      </c>
      <c r="E46" s="302"/>
      <c r="I46" s="316"/>
      <c r="J46" s="317">
        <v>-153729</v>
      </c>
      <c r="K46" s="317">
        <v>-112340</v>
      </c>
      <c r="L46" s="317">
        <f t="shared" ref="L46:M46" si="30">L178</f>
        <v>-114711</v>
      </c>
      <c r="M46" s="317">
        <f t="shared" si="30"/>
        <v>-117302</v>
      </c>
      <c r="N46" s="317">
        <f t="shared" ref="N46:O46" si="31">N178</f>
        <v>-120098</v>
      </c>
      <c r="O46" s="317">
        <f t="shared" si="31"/>
        <v>-122898</v>
      </c>
      <c r="P46" s="114"/>
      <c r="Q46" s="394"/>
      <c r="R46" s="394"/>
      <c r="S46" s="394"/>
    </row>
    <row r="47" spans="4:19" ht="12.75" customHeight="1" x14ac:dyDescent="0.25">
      <c r="D47" s="315" t="str">
        <f>G180</f>
        <v>(Uitreksels uit de) brp (4)</v>
      </c>
      <c r="E47" s="302"/>
      <c r="I47" s="316"/>
      <c r="J47" s="317">
        <v>-9700</v>
      </c>
      <c r="K47" s="317">
        <v>-14297.5</v>
      </c>
      <c r="L47" s="317">
        <f t="shared" ref="L47:M47" si="32">L183</f>
        <v>-14715</v>
      </c>
      <c r="M47" s="317">
        <f t="shared" si="32"/>
        <v>-15132.5</v>
      </c>
      <c r="N47" s="317">
        <f t="shared" ref="N47:O47" si="33">N183</f>
        <v>-15550</v>
      </c>
      <c r="O47" s="317">
        <f t="shared" si="33"/>
        <v>-15862.5</v>
      </c>
      <c r="P47" s="114"/>
      <c r="Q47" s="394"/>
      <c r="R47" s="394"/>
      <c r="S47" s="394"/>
    </row>
    <row r="48" spans="4:19" ht="12.75" customHeight="1" x14ac:dyDescent="0.25">
      <c r="D48" s="315" t="str">
        <f>G185</f>
        <v>Leges overige publiekszaken (5)</v>
      </c>
      <c r="E48" s="302"/>
      <c r="I48" s="316"/>
      <c r="J48" s="317">
        <v>-72121.5</v>
      </c>
      <c r="K48" s="317">
        <v>-96931.5</v>
      </c>
      <c r="L48" s="317">
        <f t="shared" ref="L48:M48" si="34">L188</f>
        <v>-99261</v>
      </c>
      <c r="M48" s="317">
        <f t="shared" si="34"/>
        <v>-101783</v>
      </c>
      <c r="N48" s="317">
        <f t="shared" ref="N48:O48" si="35">N188</f>
        <v>-104365.5</v>
      </c>
      <c r="O48" s="317">
        <f t="shared" si="35"/>
        <v>-106330.5</v>
      </c>
      <c r="P48" s="114"/>
      <c r="Q48" s="394"/>
      <c r="R48" s="394"/>
      <c r="S48" s="394"/>
    </row>
    <row r="49" spans="4:18" ht="12.75" customHeight="1" x14ac:dyDescent="0.25">
      <c r="D49" s="315"/>
      <c r="E49" s="302"/>
      <c r="I49" s="316"/>
      <c r="J49" s="318"/>
      <c r="K49" s="318"/>
      <c r="L49" s="318"/>
      <c r="M49" s="318"/>
      <c r="N49" s="318"/>
      <c r="O49" s="318"/>
      <c r="P49" s="114"/>
      <c r="Q49" s="394"/>
      <c r="R49" s="394"/>
    </row>
    <row r="50" spans="4:18" ht="12.75" customHeight="1" x14ac:dyDescent="0.25">
      <c r="D50" s="1788" t="s">
        <v>328</v>
      </c>
      <c r="E50" s="1789"/>
      <c r="F50" s="1802"/>
      <c r="G50" s="1791"/>
      <c r="H50" s="1791"/>
      <c r="I50" s="1792"/>
      <c r="J50" s="1770">
        <v>-615573.19999999995</v>
      </c>
      <c r="K50" s="1770">
        <v>-769469.28</v>
      </c>
      <c r="L50" s="1770">
        <f>SUM(L44:L49)</f>
        <v>-787704.9</v>
      </c>
      <c r="M50" s="1770">
        <f>SUM(M44:M49)</f>
        <v>-806996.9</v>
      </c>
      <c r="N50" s="1770">
        <f>SUM(N44:N49)</f>
        <v>-827205.4</v>
      </c>
      <c r="O50" s="1770">
        <f>SUM(O44:O49)</f>
        <v>-846821.8</v>
      </c>
      <c r="P50" s="58"/>
      <c r="Q50" s="394"/>
      <c r="R50" s="394"/>
    </row>
    <row r="51" spans="4:18" ht="12.75" customHeight="1" x14ac:dyDescent="0.25">
      <c r="E51" s="302"/>
      <c r="J51" s="114"/>
      <c r="K51" s="114"/>
      <c r="L51" s="114"/>
      <c r="M51" s="114"/>
      <c r="N51" s="114"/>
      <c r="O51" s="114"/>
      <c r="P51" s="114"/>
      <c r="Q51" s="394"/>
      <c r="R51" s="394"/>
    </row>
    <row r="52" spans="4:18" s="1298" customFormat="1" ht="12.75" customHeight="1" x14ac:dyDescent="0.25">
      <c r="D52" s="1751" t="s">
        <v>714</v>
      </c>
      <c r="E52" s="1756"/>
      <c r="F52" s="1756"/>
      <c r="G52" s="1754"/>
      <c r="H52" s="1754"/>
      <c r="I52" s="1754"/>
      <c r="J52" s="1758">
        <v>545452.3489920001</v>
      </c>
      <c r="K52" s="1758">
        <v>509575.99999999977</v>
      </c>
      <c r="L52" s="1758">
        <f t="shared" ref="L52:M52" si="36">L41+L50</f>
        <v>518364.01500000001</v>
      </c>
      <c r="M52" s="1758">
        <f t="shared" si="36"/>
        <v>542141.85504499997</v>
      </c>
      <c r="N52" s="1758">
        <f t="shared" ref="N52:O52" si="37">N41+N50</f>
        <v>566645.76791103499</v>
      </c>
      <c r="O52" s="1758">
        <f t="shared" si="37"/>
        <v>592330.93577298871</v>
      </c>
      <c r="P52" s="469"/>
      <c r="Q52" s="1627"/>
      <c r="R52" s="1627"/>
    </row>
    <row r="53" spans="4:18" ht="12.75" customHeight="1" x14ac:dyDescent="0.25">
      <c r="J53" s="114"/>
      <c r="K53" s="114"/>
      <c r="L53" s="114"/>
      <c r="M53" s="114"/>
      <c r="N53" s="114"/>
      <c r="O53" s="114"/>
      <c r="P53" s="114"/>
      <c r="Q53" s="394"/>
      <c r="R53" s="394"/>
    </row>
    <row r="54" spans="4:18" ht="12.75" customHeight="1" x14ac:dyDescent="0.25">
      <c r="J54" s="114"/>
      <c r="K54" s="114"/>
      <c r="L54" s="114"/>
      <c r="M54" s="114"/>
      <c r="N54" s="114"/>
      <c r="O54" s="114"/>
      <c r="P54" s="114"/>
      <c r="Q54" s="394"/>
      <c r="R54" s="394"/>
    </row>
    <row r="55" spans="4:18" ht="12.75" customHeight="1" x14ac:dyDescent="0.25">
      <c r="J55" s="114"/>
      <c r="K55" s="114"/>
      <c r="L55" s="114"/>
      <c r="M55" s="114"/>
      <c r="N55" s="114"/>
      <c r="O55" s="114"/>
      <c r="P55" s="114"/>
      <c r="Q55" s="394"/>
      <c r="R55" s="394"/>
    </row>
    <row r="56" spans="4:18" ht="12.75" customHeight="1" x14ac:dyDescent="0.25">
      <c r="J56" s="114"/>
      <c r="K56" s="114"/>
      <c r="L56" s="114"/>
      <c r="M56" s="114"/>
      <c r="N56" s="114"/>
      <c r="O56" s="114"/>
      <c r="P56" s="114"/>
      <c r="Q56" s="394"/>
      <c r="R56" s="394"/>
    </row>
    <row r="57" spans="4:18" ht="12.75" customHeight="1" x14ac:dyDescent="0.25">
      <c r="J57" s="114"/>
      <c r="K57" s="114"/>
      <c r="L57" s="114"/>
      <c r="M57" s="114"/>
      <c r="N57" s="114"/>
      <c r="O57" s="114"/>
      <c r="Q57" s="394"/>
      <c r="R57" s="394"/>
    </row>
    <row r="58" spans="4:18" ht="12.75" customHeight="1" x14ac:dyDescent="0.25">
      <c r="J58" s="114"/>
      <c r="K58" s="114"/>
      <c r="L58" s="114"/>
      <c r="M58" s="114"/>
      <c r="N58" s="114"/>
      <c r="O58" s="114"/>
      <c r="Q58" s="394"/>
      <c r="R58" s="394"/>
    </row>
    <row r="59" spans="4:18" ht="12.75" customHeight="1" x14ac:dyDescent="0.25">
      <c r="J59" s="114"/>
      <c r="K59" s="114"/>
      <c r="L59" s="114"/>
      <c r="M59" s="114"/>
      <c r="N59" s="114"/>
      <c r="O59" s="114"/>
      <c r="Q59" s="394"/>
      <c r="R59" s="394"/>
    </row>
    <row r="60" spans="4:18" ht="12.75" customHeight="1" x14ac:dyDescent="0.25">
      <c r="J60" s="114"/>
      <c r="K60" s="114"/>
      <c r="L60" s="114"/>
      <c r="M60" s="114"/>
      <c r="N60" s="114"/>
      <c r="O60" s="114"/>
      <c r="Q60" s="394"/>
      <c r="R60" s="394"/>
    </row>
    <row r="61" spans="4:18" ht="12.75" customHeight="1" x14ac:dyDescent="0.25">
      <c r="J61" s="114"/>
      <c r="K61" s="114"/>
      <c r="L61" s="114"/>
      <c r="M61" s="114"/>
      <c r="N61" s="114"/>
      <c r="O61" s="114"/>
      <c r="Q61" s="394"/>
      <c r="R61" s="394"/>
    </row>
    <row r="62" spans="4:18" ht="12.75" customHeight="1" x14ac:dyDescent="0.25">
      <c r="J62" s="114"/>
      <c r="K62" s="114"/>
      <c r="L62" s="114"/>
      <c r="M62" s="114"/>
      <c r="N62" s="114"/>
      <c r="O62" s="114"/>
      <c r="Q62" s="394"/>
      <c r="R62" s="394"/>
    </row>
    <row r="63" spans="4:18" ht="12.75" customHeight="1" x14ac:dyDescent="0.25">
      <c r="J63" s="114"/>
      <c r="K63" s="114"/>
      <c r="L63" s="114"/>
      <c r="M63" s="114"/>
      <c r="N63" s="114"/>
      <c r="O63" s="114"/>
      <c r="Q63" s="394"/>
      <c r="R63" s="394"/>
    </row>
    <row r="64" spans="4:18" ht="12.75" customHeight="1" x14ac:dyDescent="0.25">
      <c r="J64" s="114"/>
      <c r="K64" s="114"/>
      <c r="L64" s="114"/>
      <c r="M64" s="114"/>
      <c r="N64" s="114"/>
      <c r="O64" s="114"/>
      <c r="Q64" s="394"/>
      <c r="R64" s="394"/>
    </row>
    <row r="65" spans="10:15" ht="12.75" customHeight="1" x14ac:dyDescent="0.25">
      <c r="J65" s="114"/>
      <c r="K65" s="114"/>
      <c r="L65" s="114"/>
      <c r="M65" s="114"/>
      <c r="N65" s="114"/>
      <c r="O65" s="114"/>
    </row>
    <row r="66" spans="10:15" ht="12.75" customHeight="1" x14ac:dyDescent="0.25">
      <c r="J66" s="114"/>
      <c r="K66" s="114"/>
      <c r="L66" s="114"/>
      <c r="M66" s="114"/>
      <c r="N66" s="114"/>
      <c r="O66" s="114"/>
    </row>
    <row r="67" spans="10:15" ht="12.75" customHeight="1" x14ac:dyDescent="0.25">
      <c r="J67" s="114"/>
      <c r="K67" s="114"/>
      <c r="L67" s="114"/>
      <c r="M67" s="114"/>
      <c r="N67" s="114"/>
      <c r="O67" s="114"/>
    </row>
    <row r="68" spans="10:15" ht="12.75" customHeight="1" x14ac:dyDescent="0.25">
      <c r="J68" s="114"/>
      <c r="K68" s="114"/>
      <c r="L68" s="114"/>
      <c r="M68" s="114"/>
      <c r="N68" s="114"/>
      <c r="O68" s="114"/>
    </row>
    <row r="69" spans="10:15" ht="12.75" customHeight="1" x14ac:dyDescent="0.25">
      <c r="J69" s="114"/>
      <c r="K69" s="114"/>
      <c r="L69" s="114"/>
      <c r="M69" s="114"/>
      <c r="N69" s="114"/>
      <c r="O69" s="114"/>
    </row>
    <row r="70" spans="10:15" ht="12.75" customHeight="1" x14ac:dyDescent="0.25">
      <c r="J70" s="114"/>
      <c r="K70" s="114"/>
      <c r="L70" s="114"/>
      <c r="M70" s="114"/>
      <c r="N70" s="114"/>
      <c r="O70" s="114"/>
    </row>
    <row r="71" spans="10:15" ht="12.75" customHeight="1" x14ac:dyDescent="0.25">
      <c r="J71" s="114"/>
      <c r="K71" s="114"/>
      <c r="L71" s="114"/>
      <c r="M71" s="114"/>
      <c r="N71" s="114"/>
      <c r="O71" s="114"/>
    </row>
    <row r="72" spans="10:15" ht="12.75" customHeight="1" x14ac:dyDescent="0.25">
      <c r="J72" s="114"/>
      <c r="K72" s="114"/>
      <c r="L72" s="114"/>
      <c r="M72" s="114"/>
      <c r="N72" s="114"/>
      <c r="O72" s="114"/>
    </row>
    <row r="73" spans="10:15" ht="12.75" customHeight="1" x14ac:dyDescent="0.25">
      <c r="J73" s="114"/>
      <c r="K73" s="114"/>
      <c r="L73" s="114"/>
      <c r="M73" s="114"/>
      <c r="N73" s="114"/>
      <c r="O73" s="114"/>
    </row>
    <row r="74" spans="10:15" ht="12.75" customHeight="1" x14ac:dyDescent="0.25">
      <c r="J74" s="114"/>
      <c r="K74" s="114"/>
      <c r="L74" s="114"/>
      <c r="M74" s="114"/>
      <c r="N74" s="114"/>
      <c r="O74" s="114"/>
    </row>
    <row r="75" spans="10:15" ht="12.75" customHeight="1" x14ac:dyDescent="0.25">
      <c r="J75" s="114"/>
      <c r="K75" s="114"/>
      <c r="L75" s="114"/>
      <c r="M75" s="114"/>
      <c r="N75" s="114"/>
      <c r="O75" s="114"/>
    </row>
    <row r="76" spans="10:15" ht="12.75" customHeight="1" x14ac:dyDescent="0.25">
      <c r="J76" s="114"/>
      <c r="K76" s="114"/>
      <c r="L76" s="114"/>
      <c r="M76" s="114"/>
      <c r="N76" s="114"/>
      <c r="O76" s="114"/>
    </row>
    <row r="77" spans="10:15" ht="12.75" customHeight="1" x14ac:dyDescent="0.25">
      <c r="J77" s="114"/>
      <c r="K77" s="114"/>
      <c r="L77" s="114"/>
      <c r="M77" s="114"/>
      <c r="N77" s="114"/>
      <c r="O77" s="114"/>
    </row>
    <row r="78" spans="10:15" ht="12.75" customHeight="1" x14ac:dyDescent="0.25">
      <c r="J78" s="114"/>
      <c r="K78" s="114"/>
      <c r="L78" s="114"/>
      <c r="M78" s="114"/>
      <c r="N78" s="114"/>
      <c r="O78" s="114"/>
    </row>
    <row r="79" spans="10:15" ht="12.75" customHeight="1" x14ac:dyDescent="0.25">
      <c r="J79" s="114"/>
      <c r="K79" s="114"/>
      <c r="L79" s="114"/>
      <c r="M79" s="114"/>
      <c r="N79" s="114"/>
      <c r="O79" s="114"/>
    </row>
    <row r="80" spans="10:15" ht="12.75" customHeight="1" x14ac:dyDescent="0.25">
      <c r="J80" s="114"/>
      <c r="K80" s="114"/>
      <c r="L80" s="114"/>
      <c r="M80" s="114"/>
      <c r="N80" s="114"/>
      <c r="O80" s="114"/>
    </row>
    <row r="81" spans="1:15" ht="12.75" customHeight="1" x14ac:dyDescent="0.25">
      <c r="J81" s="114"/>
      <c r="K81" s="114"/>
      <c r="L81" s="114"/>
      <c r="M81" s="114"/>
      <c r="N81" s="114"/>
      <c r="O81" s="114"/>
    </row>
    <row r="82" spans="1:15" ht="12.75" customHeight="1" x14ac:dyDescent="0.25">
      <c r="J82" s="114"/>
      <c r="K82" s="114"/>
      <c r="L82" s="114"/>
      <c r="M82" s="114"/>
      <c r="N82" s="114"/>
      <c r="O82" s="114"/>
    </row>
    <row r="83" spans="1:15" ht="12.75" customHeight="1" x14ac:dyDescent="0.25">
      <c r="J83" s="114"/>
      <c r="K83" s="114"/>
      <c r="L83" s="114"/>
      <c r="M83" s="114"/>
      <c r="N83" s="114"/>
      <c r="O83" s="114"/>
    </row>
    <row r="84" spans="1:15" ht="12.75" customHeight="1" x14ac:dyDescent="0.25">
      <c r="J84" s="114"/>
      <c r="K84" s="114"/>
      <c r="L84" s="114"/>
      <c r="M84" s="114"/>
      <c r="N84" s="114"/>
      <c r="O84" s="114"/>
    </row>
    <row r="85" spans="1:15" ht="12.75" customHeight="1" x14ac:dyDescent="0.25">
      <c r="J85" s="114"/>
      <c r="K85" s="114"/>
      <c r="L85" s="114"/>
      <c r="M85" s="114"/>
      <c r="N85" s="114"/>
      <c r="O85" s="114"/>
    </row>
    <row r="86" spans="1:15" ht="12.75" customHeight="1" x14ac:dyDescent="0.25">
      <c r="J86" s="114"/>
      <c r="K86" s="114"/>
      <c r="L86" s="114"/>
      <c r="M86" s="114"/>
      <c r="N86" s="114"/>
      <c r="O86" s="114"/>
    </row>
    <row r="87" spans="1:15" ht="12.75" customHeight="1" x14ac:dyDescent="0.25">
      <c r="D87" s="312" t="s">
        <v>528</v>
      </c>
      <c r="E87" s="312"/>
      <c r="F87" s="382"/>
      <c r="J87" s="114"/>
      <c r="K87" s="114"/>
      <c r="L87" s="114"/>
      <c r="M87" s="114"/>
      <c r="N87" s="114"/>
      <c r="O87" s="114"/>
    </row>
    <row r="89" spans="1:15" ht="12.75" customHeight="1" x14ac:dyDescent="0.25">
      <c r="D89" s="2515" t="s">
        <v>715</v>
      </c>
      <c r="E89" s="1797" t="s">
        <v>530</v>
      </c>
      <c r="F89" s="2502" t="s">
        <v>716</v>
      </c>
      <c r="G89" s="2506" t="s">
        <v>206</v>
      </c>
      <c r="H89" s="2507"/>
      <c r="I89" s="326"/>
      <c r="J89" s="1775"/>
      <c r="K89" s="1775"/>
      <c r="L89" s="1775"/>
      <c r="M89" s="1775"/>
      <c r="N89" s="1775"/>
      <c r="O89" s="1775"/>
    </row>
    <row r="90" spans="1:15" ht="12.75" customHeight="1" x14ac:dyDescent="0.25">
      <c r="D90" s="2516"/>
      <c r="E90" s="327" t="s">
        <v>532</v>
      </c>
      <c r="F90" s="2517"/>
      <c r="G90" s="2508"/>
      <c r="H90" s="2509"/>
      <c r="I90" s="328"/>
      <c r="J90" s="1803">
        <v>2025</v>
      </c>
      <c r="K90" s="1803">
        <v>2026</v>
      </c>
      <c r="L90" s="1803">
        <v>2027</v>
      </c>
      <c r="M90" s="1803">
        <v>2028</v>
      </c>
      <c r="N90" s="1803">
        <v>2029</v>
      </c>
      <c r="O90" s="1803">
        <v>2030</v>
      </c>
    </row>
    <row r="91" spans="1:15" ht="12.75" customHeight="1" x14ac:dyDescent="0.25">
      <c r="D91" s="340"/>
      <c r="E91" s="1804"/>
      <c r="F91" s="1805"/>
      <c r="J91" s="317"/>
      <c r="K91" s="317"/>
      <c r="L91" s="317"/>
      <c r="M91" s="317"/>
      <c r="N91" s="317"/>
      <c r="O91" s="317"/>
    </row>
    <row r="92" spans="1:15" ht="12.75" customHeight="1" x14ac:dyDescent="0.25">
      <c r="D92" s="333">
        <v>602001</v>
      </c>
      <c r="E92" s="330"/>
      <c r="F92" s="476"/>
      <c r="G92" s="381" t="s">
        <v>717</v>
      </c>
      <c r="J92" s="317"/>
      <c r="K92" s="317"/>
      <c r="L92" s="317"/>
      <c r="M92" s="317"/>
      <c r="N92" s="317"/>
      <c r="O92" s="317"/>
    </row>
    <row r="93" spans="1:15" ht="12.75" customHeight="1" x14ac:dyDescent="0.25">
      <c r="D93" s="340"/>
      <c r="E93" s="341"/>
      <c r="F93" s="340"/>
      <c r="G93" s="383" t="s">
        <v>533</v>
      </c>
      <c r="J93" s="317"/>
      <c r="K93" s="317"/>
      <c r="L93" s="317"/>
      <c r="M93" s="317"/>
      <c r="N93" s="317"/>
      <c r="O93" s="317"/>
    </row>
    <row r="94" spans="1:15" ht="12.75" customHeight="1" x14ac:dyDescent="0.25">
      <c r="A94" s="336">
        <f>+D92</f>
        <v>602001</v>
      </c>
      <c r="B94" s="115" t="str">
        <f>G92</f>
        <v>Huwelijken (1)</v>
      </c>
      <c r="D94" s="337">
        <v>43812</v>
      </c>
      <c r="E94" s="343"/>
      <c r="F94" s="337"/>
      <c r="G94" s="115" t="s">
        <v>718</v>
      </c>
      <c r="J94" s="317">
        <v>2696</v>
      </c>
      <c r="K94" s="317">
        <v>2762</v>
      </c>
      <c r="L94" s="317">
        <f t="shared" ref="L94:M94" si="38">L211</f>
        <v>2824</v>
      </c>
      <c r="M94" s="317">
        <f t="shared" si="38"/>
        <v>2888</v>
      </c>
      <c r="N94" s="317">
        <f t="shared" ref="N94:O94" si="39">N211</f>
        <v>2953</v>
      </c>
      <c r="O94" s="317">
        <f t="shared" si="39"/>
        <v>2978</v>
      </c>
    </row>
    <row r="95" spans="1:15" ht="12.75" customHeight="1" thickBot="1" x14ac:dyDescent="0.3">
      <c r="D95" s="340"/>
      <c r="E95" s="341"/>
      <c r="F95" s="340"/>
      <c r="G95" s="115" t="s">
        <v>536</v>
      </c>
      <c r="J95" s="342">
        <v>2696</v>
      </c>
      <c r="K95" s="342">
        <v>2762</v>
      </c>
      <c r="L95" s="342">
        <f>SUM(L93:L94)</f>
        <v>2824</v>
      </c>
      <c r="M95" s="342">
        <f>SUM(M93:M94)</f>
        <v>2888</v>
      </c>
      <c r="N95" s="342">
        <f>SUM(N93:N94)</f>
        <v>2953</v>
      </c>
      <c r="O95" s="342">
        <f>SUM(O93:O94)</f>
        <v>2978</v>
      </c>
    </row>
    <row r="96" spans="1:15" ht="12.75" customHeight="1" thickTop="1" x14ac:dyDescent="0.25">
      <c r="D96" s="340"/>
      <c r="E96" s="341"/>
      <c r="F96" s="340"/>
      <c r="J96" s="344"/>
      <c r="K96" s="344"/>
      <c r="L96" s="344"/>
      <c r="M96" s="344"/>
      <c r="N96" s="344"/>
      <c r="O96" s="344"/>
    </row>
    <row r="97" spans="1:15" ht="12.75" customHeight="1" x14ac:dyDescent="0.25">
      <c r="D97" s="333">
        <v>602901</v>
      </c>
      <c r="E97" s="330"/>
      <c r="F97" s="476"/>
      <c r="G97" s="381" t="s">
        <v>719</v>
      </c>
      <c r="J97" s="317"/>
      <c r="K97" s="318"/>
      <c r="L97" s="318"/>
      <c r="M97" s="318"/>
      <c r="N97" s="318"/>
      <c r="O97" s="318"/>
    </row>
    <row r="98" spans="1:15" ht="12.75" customHeight="1" x14ac:dyDescent="0.25">
      <c r="D98" s="340"/>
      <c r="E98" s="341"/>
      <c r="F98" s="340"/>
      <c r="G98" s="383" t="s">
        <v>533</v>
      </c>
      <c r="J98" s="317"/>
      <c r="K98" s="318"/>
      <c r="L98" s="318"/>
      <c r="M98" s="318"/>
      <c r="N98" s="318"/>
      <c r="O98" s="318"/>
    </row>
    <row r="99" spans="1:15" ht="12.75" customHeight="1" x14ac:dyDescent="0.25">
      <c r="A99" s="336">
        <f>+D97</f>
        <v>602901</v>
      </c>
      <c r="B99" s="115" t="str">
        <f>G97</f>
        <v>Directe toerekening burgelijke stand (1)</v>
      </c>
      <c r="D99" s="337">
        <v>41100</v>
      </c>
      <c r="E99" s="343"/>
      <c r="F99" s="337"/>
      <c r="G99" s="115" t="s">
        <v>700</v>
      </c>
      <c r="J99" s="317">
        <v>33098</v>
      </c>
      <c r="K99" s="317">
        <v>100258.11</v>
      </c>
      <c r="L99" s="317">
        <f>ROUND(K99*T$3,0)</f>
        <v>104469</v>
      </c>
      <c r="M99" s="317">
        <f>ROUND(L99*U$3,0)</f>
        <v>108334</v>
      </c>
      <c r="N99" s="317">
        <f>ROUND(M99*V$3,0)</f>
        <v>112342</v>
      </c>
      <c r="O99" s="317">
        <f>ROUND(N99*W$3,0)</f>
        <v>116499</v>
      </c>
    </row>
    <row r="100" spans="1:15" ht="12.75" customHeight="1" thickBot="1" x14ac:dyDescent="0.3">
      <c r="D100" s="340"/>
      <c r="E100" s="341"/>
      <c r="F100" s="340"/>
      <c r="G100" s="115" t="s">
        <v>536</v>
      </c>
      <c r="J100" s="9">
        <v>33098</v>
      </c>
      <c r="K100" s="9">
        <v>100258.11</v>
      </c>
      <c r="L100" s="9">
        <f t="shared" ref="L100:M100" si="40">SUM(L98:L99)</f>
        <v>104469</v>
      </c>
      <c r="M100" s="9">
        <f t="shared" si="40"/>
        <v>108334</v>
      </c>
      <c r="N100" s="9">
        <f t="shared" ref="N100:O100" si="41">SUM(N98:N99)</f>
        <v>112342</v>
      </c>
      <c r="O100" s="9">
        <f t="shared" si="41"/>
        <v>116499</v>
      </c>
    </row>
    <row r="101" spans="1:15" ht="12.75" customHeight="1" thickTop="1" x14ac:dyDescent="0.25">
      <c r="D101" s="340"/>
      <c r="E101" s="341"/>
      <c r="F101" s="340"/>
      <c r="J101" s="317"/>
      <c r="K101" s="317"/>
      <c r="L101" s="317"/>
      <c r="M101" s="317"/>
      <c r="N101" s="317"/>
      <c r="O101" s="317"/>
    </row>
    <row r="102" spans="1:15" ht="12.75" customHeight="1" x14ac:dyDescent="0.25">
      <c r="D102" s="333">
        <v>602002</v>
      </c>
      <c r="E102" s="330"/>
      <c r="F102" s="476"/>
      <c r="G102" s="381" t="s">
        <v>720</v>
      </c>
      <c r="J102" s="335"/>
      <c r="K102" s="335"/>
      <c r="L102" s="335"/>
      <c r="M102" s="335"/>
      <c r="N102" s="335"/>
      <c r="O102" s="335"/>
    </row>
    <row r="103" spans="1:15" ht="12.75" customHeight="1" x14ac:dyDescent="0.25">
      <c r="D103" s="333"/>
      <c r="E103" s="330"/>
      <c r="F103" s="331"/>
      <c r="G103" s="383" t="s">
        <v>533</v>
      </c>
      <c r="J103" s="335"/>
      <c r="K103" s="335"/>
      <c r="L103" s="335"/>
      <c r="M103" s="335"/>
      <c r="N103" s="335"/>
      <c r="O103" s="335"/>
    </row>
    <row r="104" spans="1:15" ht="12.75" customHeight="1" x14ac:dyDescent="0.25">
      <c r="A104" s="336">
        <f>+D102</f>
        <v>602002</v>
      </c>
      <c r="B104" s="115" t="str">
        <f>G102</f>
        <v>Reisdocumenten  (2)</v>
      </c>
      <c r="D104" s="337">
        <v>44310</v>
      </c>
      <c r="E104" s="343"/>
      <c r="F104" s="337"/>
      <c r="G104" s="115" t="s">
        <v>721</v>
      </c>
      <c r="J104" s="317">
        <v>151352.29999999999</v>
      </c>
      <c r="K104" s="317">
        <v>259645.5</v>
      </c>
      <c r="L104" s="317">
        <f>L261</f>
        <v>268069</v>
      </c>
      <c r="M104" s="317">
        <f>M261</f>
        <v>277732.5</v>
      </c>
      <c r="N104" s="317">
        <f t="shared" ref="N104:O104" si="42">N261</f>
        <v>287720</v>
      </c>
      <c r="O104" s="317">
        <f t="shared" si="42"/>
        <v>298109</v>
      </c>
    </row>
    <row r="105" spans="1:15" ht="12.75" customHeight="1" thickBot="1" x14ac:dyDescent="0.3">
      <c r="D105" s="340"/>
      <c r="E105" s="341"/>
      <c r="F105" s="340"/>
      <c r="G105" s="115" t="s">
        <v>536</v>
      </c>
      <c r="J105" s="342">
        <v>151352.29999999999</v>
      </c>
      <c r="K105" s="342">
        <v>259645.5</v>
      </c>
      <c r="L105" s="342">
        <f>SUM(L104:L104)</f>
        <v>268069</v>
      </c>
      <c r="M105" s="342">
        <f>SUM(M104:M104)</f>
        <v>277732.5</v>
      </c>
      <c r="N105" s="342">
        <f>SUM(N104:N104)</f>
        <v>287720</v>
      </c>
      <c r="O105" s="342">
        <f>SUM(O104:O104)</f>
        <v>298109</v>
      </c>
    </row>
    <row r="106" spans="1:15" ht="12.75" customHeight="1" thickTop="1" x14ac:dyDescent="0.25">
      <c r="D106" s="340"/>
      <c r="E106" s="341"/>
      <c r="F106" s="340"/>
      <c r="J106" s="344"/>
      <c r="K106" s="344"/>
      <c r="L106" s="344"/>
      <c r="M106" s="344"/>
      <c r="N106" s="344"/>
      <c r="O106" s="344"/>
    </row>
    <row r="107" spans="1:15" ht="12.75" customHeight="1" x14ac:dyDescent="0.25">
      <c r="D107" s="333">
        <v>602902</v>
      </c>
      <c r="E107" s="330"/>
      <c r="F107" s="476"/>
      <c r="G107" s="381" t="s">
        <v>722</v>
      </c>
      <c r="J107" s="317"/>
      <c r="K107" s="318"/>
      <c r="L107" s="318"/>
      <c r="M107" s="318"/>
      <c r="N107" s="318"/>
      <c r="O107" s="318"/>
    </row>
    <row r="108" spans="1:15" ht="12.75" customHeight="1" x14ac:dyDescent="0.25">
      <c r="D108" s="340"/>
      <c r="E108" s="341"/>
      <c r="F108" s="340"/>
      <c r="G108" s="383" t="s">
        <v>533</v>
      </c>
      <c r="J108" s="317"/>
      <c r="K108" s="318"/>
      <c r="L108" s="318"/>
      <c r="M108" s="318"/>
      <c r="N108" s="318"/>
      <c r="O108" s="318"/>
    </row>
    <row r="109" spans="1:15" ht="12.75" customHeight="1" x14ac:dyDescent="0.25">
      <c r="A109" s="336">
        <f>+D107</f>
        <v>602902</v>
      </c>
      <c r="B109" s="115" t="str">
        <f>G107</f>
        <v>Directe toerekening reisdocumenten (2)</v>
      </c>
      <c r="D109" s="337">
        <v>41100</v>
      </c>
      <c r="E109" s="343"/>
      <c r="F109" s="337"/>
      <c r="G109" s="115" t="s">
        <v>700</v>
      </c>
      <c r="J109" s="317">
        <v>188764.6</v>
      </c>
      <c r="K109" s="317">
        <v>118349.84</v>
      </c>
      <c r="L109" s="317">
        <f>ROUND(K109*T$3,0)</f>
        <v>123321</v>
      </c>
      <c r="M109" s="317">
        <f>ROUND(L109*U$3,0)</f>
        <v>127884</v>
      </c>
      <c r="N109" s="317">
        <f>ROUND(M109*V$3,0)</f>
        <v>132616</v>
      </c>
      <c r="O109" s="317">
        <f>ROUND(N109*W$3,0)</f>
        <v>137523</v>
      </c>
    </row>
    <row r="110" spans="1:15" ht="12.75" customHeight="1" x14ac:dyDescent="0.25">
      <c r="A110" s="479">
        <f>+D107</f>
        <v>602902</v>
      </c>
      <c r="B110" s="336" t="str">
        <f>G107</f>
        <v>Directe toerekening reisdocumenten (2)</v>
      </c>
      <c r="D110" s="337">
        <v>43511</v>
      </c>
      <c r="E110" s="343"/>
      <c r="F110" s="337"/>
      <c r="G110" s="115" t="s">
        <v>560</v>
      </c>
      <c r="J110" s="317">
        <v>14496</v>
      </c>
      <c r="K110" s="317">
        <v>14786</v>
      </c>
      <c r="L110" s="317">
        <f>L268</f>
        <v>15407</v>
      </c>
      <c r="M110" s="317">
        <f>M268</f>
        <v>15977</v>
      </c>
      <c r="N110" s="317">
        <f t="shared" ref="N110:O110" si="43">N268</f>
        <v>16568</v>
      </c>
      <c r="O110" s="317">
        <f t="shared" si="43"/>
        <v>17181</v>
      </c>
    </row>
    <row r="111" spans="1:15" ht="12.75" customHeight="1" thickBot="1" x14ac:dyDescent="0.3">
      <c r="D111" s="340"/>
      <c r="E111" s="341"/>
      <c r="F111" s="340"/>
      <c r="G111" s="115" t="s">
        <v>536</v>
      </c>
      <c r="J111" s="9">
        <v>203260.6</v>
      </c>
      <c r="K111" s="9">
        <v>133135.84</v>
      </c>
      <c r="L111" s="9">
        <f t="shared" ref="L111:M111" si="44">SUM(L109:L110)</f>
        <v>138728</v>
      </c>
      <c r="M111" s="9">
        <f t="shared" si="44"/>
        <v>143861</v>
      </c>
      <c r="N111" s="9">
        <f t="shared" ref="N111:O111" si="45">SUM(N109:N110)</f>
        <v>149184</v>
      </c>
      <c r="O111" s="9">
        <f t="shared" si="45"/>
        <v>154704</v>
      </c>
    </row>
    <row r="112" spans="1:15" ht="12.75" customHeight="1" thickTop="1" x14ac:dyDescent="0.25">
      <c r="D112" s="340"/>
      <c r="E112" s="341"/>
      <c r="F112" s="340"/>
      <c r="J112" s="317"/>
      <c r="K112" s="317"/>
      <c r="L112" s="317"/>
      <c r="M112" s="317"/>
      <c r="N112" s="317"/>
      <c r="O112" s="317"/>
    </row>
    <row r="113" spans="1:15" ht="12.75" customHeight="1" x14ac:dyDescent="0.25">
      <c r="D113" s="333">
        <v>602003</v>
      </c>
      <c r="E113" s="330"/>
      <c r="F113" s="476"/>
      <c r="G113" s="381" t="s">
        <v>723</v>
      </c>
      <c r="J113" s="335"/>
      <c r="K113" s="335"/>
      <c r="L113" s="335"/>
      <c r="M113" s="335"/>
      <c r="N113" s="335"/>
      <c r="O113" s="335"/>
    </row>
    <row r="114" spans="1:15" ht="12.75" customHeight="1" x14ac:dyDescent="0.25">
      <c r="D114" s="333"/>
      <c r="E114" s="330"/>
      <c r="F114" s="331"/>
      <c r="G114" s="383" t="s">
        <v>533</v>
      </c>
      <c r="J114" s="335"/>
      <c r="K114" s="335"/>
      <c r="L114" s="335"/>
      <c r="M114" s="335"/>
      <c r="N114" s="335"/>
      <c r="O114" s="335"/>
    </row>
    <row r="115" spans="1:15" ht="12.75" customHeight="1" x14ac:dyDescent="0.25">
      <c r="A115" s="336">
        <f>+D113</f>
        <v>602003</v>
      </c>
      <c r="B115" s="115" t="str">
        <f>G113</f>
        <v>Rijbewijzen (3)</v>
      </c>
      <c r="D115" s="337">
        <v>44310</v>
      </c>
      <c r="E115" s="343"/>
      <c r="F115" s="337"/>
      <c r="G115" s="115" t="s">
        <v>721</v>
      </c>
      <c r="J115" s="317">
        <v>50027.9</v>
      </c>
      <c r="K115" s="317">
        <v>37540</v>
      </c>
      <c r="L115" s="317">
        <f>L284</f>
        <v>38311</v>
      </c>
      <c r="M115" s="317">
        <f>M284</f>
        <v>39102</v>
      </c>
      <c r="N115" s="317">
        <f t="shared" ref="N115:O115" si="46">N284</f>
        <v>40098</v>
      </c>
      <c r="O115" s="317">
        <f t="shared" si="46"/>
        <v>40298</v>
      </c>
    </row>
    <row r="116" spans="1:15" ht="12.75" customHeight="1" thickBot="1" x14ac:dyDescent="0.3">
      <c r="D116" s="340"/>
      <c r="E116" s="341"/>
      <c r="F116" s="340"/>
      <c r="G116" s="115" t="s">
        <v>536</v>
      </c>
      <c r="J116" s="342">
        <v>50027.9</v>
      </c>
      <c r="K116" s="342">
        <v>37540</v>
      </c>
      <c r="L116" s="342">
        <f>SUM(L115:L115)</f>
        <v>38311</v>
      </c>
      <c r="M116" s="342">
        <f>SUM(M115:M115)</f>
        <v>39102</v>
      </c>
      <c r="N116" s="342">
        <f>SUM(N115:N115)</f>
        <v>40098</v>
      </c>
      <c r="O116" s="342">
        <f>SUM(O115:O115)</f>
        <v>40298</v>
      </c>
    </row>
    <row r="117" spans="1:15" ht="12.75" customHeight="1" thickTop="1" x14ac:dyDescent="0.25">
      <c r="D117" s="340"/>
      <c r="E117" s="341"/>
      <c r="F117" s="340"/>
      <c r="J117" s="344"/>
      <c r="K117" s="344"/>
      <c r="L117" s="344"/>
      <c r="M117" s="344"/>
      <c r="N117" s="344"/>
      <c r="O117" s="344"/>
    </row>
    <row r="118" spans="1:15" ht="12.75" customHeight="1" x14ac:dyDescent="0.25">
      <c r="D118" s="340"/>
      <c r="E118" s="341"/>
      <c r="F118" s="340"/>
      <c r="J118" s="317"/>
      <c r="K118" s="318"/>
      <c r="L118" s="318"/>
      <c r="M118" s="318"/>
      <c r="N118" s="318"/>
      <c r="O118" s="318"/>
    </row>
    <row r="119" spans="1:15" ht="12.75" customHeight="1" x14ac:dyDescent="0.25">
      <c r="D119" s="333">
        <v>602903</v>
      </c>
      <c r="E119" s="330"/>
      <c r="F119" s="476"/>
      <c r="G119" s="381" t="s">
        <v>724</v>
      </c>
      <c r="J119" s="317"/>
      <c r="K119" s="318"/>
      <c r="L119" s="318"/>
      <c r="M119" s="318"/>
      <c r="N119" s="318"/>
      <c r="O119" s="318"/>
    </row>
    <row r="120" spans="1:15" ht="12.75" customHeight="1" x14ac:dyDescent="0.25">
      <c r="D120" s="340"/>
      <c r="E120" s="341"/>
      <c r="F120" s="340"/>
      <c r="G120" s="383" t="s">
        <v>533</v>
      </c>
      <c r="J120" s="317"/>
      <c r="K120" s="318"/>
      <c r="L120" s="318"/>
      <c r="M120" s="318"/>
      <c r="N120" s="318"/>
      <c r="O120" s="318"/>
    </row>
    <row r="121" spans="1:15" ht="12.75" customHeight="1" x14ac:dyDescent="0.25">
      <c r="A121" s="336">
        <f>+D119</f>
        <v>602903</v>
      </c>
      <c r="B121" s="115" t="str">
        <f>G119</f>
        <v>Directe toerekening rijbewijzen (3)</v>
      </c>
      <c r="D121" s="337">
        <v>41100</v>
      </c>
      <c r="E121" s="343"/>
      <c r="F121" s="337"/>
      <c r="G121" s="115" t="s">
        <v>700</v>
      </c>
      <c r="J121" s="317">
        <v>158753.96</v>
      </c>
      <c r="K121" s="317">
        <v>116735.24</v>
      </c>
      <c r="L121" s="317">
        <f>ROUND(K121*T$3,0)</f>
        <v>121638</v>
      </c>
      <c r="M121" s="317">
        <f>ROUND(L121*U$3,0)</f>
        <v>126139</v>
      </c>
      <c r="N121" s="317">
        <f>ROUND(M121*V$3,0)</f>
        <v>130806</v>
      </c>
      <c r="O121" s="317">
        <f>ROUND(N121*W$3,0)</f>
        <v>135646</v>
      </c>
    </row>
    <row r="122" spans="1:15" ht="12.75" customHeight="1" x14ac:dyDescent="0.25">
      <c r="A122" s="479">
        <f>+D119</f>
        <v>602903</v>
      </c>
      <c r="B122" s="336" t="str">
        <f>G119</f>
        <v>Directe toerekening rijbewijzen (3)</v>
      </c>
      <c r="D122" s="337">
        <v>43511</v>
      </c>
      <c r="E122" s="343"/>
      <c r="F122" s="337"/>
      <c r="G122" s="115" t="s">
        <v>560</v>
      </c>
      <c r="J122" s="317">
        <v>6925</v>
      </c>
      <c r="K122" s="317">
        <v>7064</v>
      </c>
      <c r="L122" s="317">
        <f>L288</f>
        <v>7361</v>
      </c>
      <c r="M122" s="317">
        <f>M288</f>
        <v>7633</v>
      </c>
      <c r="N122" s="317">
        <f t="shared" ref="N122:O122" si="47">N288</f>
        <v>7915</v>
      </c>
      <c r="O122" s="317">
        <f t="shared" si="47"/>
        <v>8208</v>
      </c>
    </row>
    <row r="123" spans="1:15" ht="12.75" customHeight="1" thickBot="1" x14ac:dyDescent="0.3">
      <c r="D123" s="340"/>
      <c r="E123" s="341"/>
      <c r="F123" s="340"/>
      <c r="G123" s="115" t="s">
        <v>536</v>
      </c>
      <c r="J123" s="9">
        <v>165678.96</v>
      </c>
      <c r="K123" s="9">
        <v>123799.24</v>
      </c>
      <c r="L123" s="9">
        <f t="shared" ref="L123:M123" si="48">SUM(L121:L122)</f>
        <v>128999</v>
      </c>
      <c r="M123" s="9">
        <f t="shared" si="48"/>
        <v>133772</v>
      </c>
      <c r="N123" s="9">
        <f t="shared" ref="N123:O123" si="49">SUM(N121:N122)</f>
        <v>138721</v>
      </c>
      <c r="O123" s="9">
        <f t="shared" si="49"/>
        <v>143854</v>
      </c>
    </row>
    <row r="124" spans="1:15" ht="12.75" customHeight="1" thickTop="1" x14ac:dyDescent="0.25">
      <c r="D124" s="340"/>
      <c r="E124" s="341"/>
      <c r="F124" s="340"/>
      <c r="J124" s="7"/>
      <c r="K124" s="7"/>
      <c r="L124" s="7"/>
      <c r="M124" s="7"/>
      <c r="N124" s="7"/>
      <c r="O124" s="7"/>
    </row>
    <row r="125" spans="1:15" ht="12.75" customHeight="1" x14ac:dyDescent="0.25">
      <c r="D125" s="333">
        <v>602904</v>
      </c>
      <c r="E125" s="330"/>
      <c r="F125" s="476"/>
      <c r="G125" s="381" t="s">
        <v>725</v>
      </c>
      <c r="J125" s="317"/>
      <c r="K125" s="318"/>
      <c r="L125" s="318"/>
      <c r="M125" s="318"/>
      <c r="N125" s="318"/>
      <c r="O125" s="318"/>
    </row>
    <row r="126" spans="1:15" ht="12.75" customHeight="1" x14ac:dyDescent="0.25">
      <c r="D126" s="340"/>
      <c r="E126" s="341"/>
      <c r="F126" s="340"/>
      <c r="G126" s="383" t="s">
        <v>533</v>
      </c>
      <c r="J126" s="317"/>
      <c r="K126" s="318"/>
      <c r="L126" s="318"/>
      <c r="M126" s="318"/>
      <c r="N126" s="318"/>
      <c r="O126" s="318"/>
    </row>
    <row r="127" spans="1:15" ht="12.75" customHeight="1" x14ac:dyDescent="0.25">
      <c r="A127" s="336">
        <f>+D125</f>
        <v>602904</v>
      </c>
      <c r="B127" s="115" t="str">
        <f>G125</f>
        <v xml:space="preserve">Directe toerekening (uitreksels uit de) brp (4) </v>
      </c>
      <c r="D127" s="337">
        <v>41100</v>
      </c>
      <c r="E127" s="343"/>
      <c r="F127" s="337"/>
      <c r="G127" s="115" t="s">
        <v>700</v>
      </c>
      <c r="J127" s="317">
        <v>90928</v>
      </c>
      <c r="K127" s="317">
        <v>119739.37</v>
      </c>
      <c r="L127" s="317">
        <f>ROUND(K127*T$3,0)</f>
        <v>124768</v>
      </c>
      <c r="M127" s="317">
        <f>ROUND(L127*U$3,0)</f>
        <v>129384</v>
      </c>
      <c r="N127" s="317">
        <f>ROUND(M127*V$3,0)</f>
        <v>134171</v>
      </c>
      <c r="O127" s="317">
        <f>ROUND(N127*W$3,0)</f>
        <v>139135</v>
      </c>
    </row>
    <row r="128" spans="1:15" ht="12.75" customHeight="1" x14ac:dyDescent="0.25">
      <c r="A128" s="336">
        <f>+D125</f>
        <v>602904</v>
      </c>
      <c r="B128" s="115" t="str">
        <f>G125</f>
        <v xml:space="preserve">Directe toerekening (uitreksels uit de) brp (4) </v>
      </c>
      <c r="D128" s="337">
        <v>43812</v>
      </c>
      <c r="E128" s="343"/>
      <c r="F128" s="337"/>
      <c r="G128" s="115" t="s">
        <v>535</v>
      </c>
      <c r="J128" s="317">
        <v>140813</v>
      </c>
      <c r="K128" s="317">
        <v>144474</v>
      </c>
      <c r="L128" s="317">
        <f>L291</f>
        <v>147508</v>
      </c>
      <c r="M128" s="317">
        <f>M291</f>
        <v>150901</v>
      </c>
      <c r="N128" s="317">
        <f t="shared" ref="N128:O128" si="50">N291</f>
        <v>154372</v>
      </c>
      <c r="O128" s="317">
        <f t="shared" si="50"/>
        <v>157923</v>
      </c>
    </row>
    <row r="129" spans="1:15" ht="12.75" customHeight="1" x14ac:dyDescent="0.25">
      <c r="A129" s="336"/>
      <c r="D129" s="337"/>
      <c r="E129" s="343"/>
      <c r="F129" s="337"/>
      <c r="J129" s="317"/>
      <c r="K129" s="317"/>
      <c r="L129" s="317"/>
      <c r="M129" s="317"/>
      <c r="N129" s="317"/>
      <c r="O129" s="317"/>
    </row>
    <row r="130" spans="1:15" ht="12.75" customHeight="1" thickBot="1" x14ac:dyDescent="0.3">
      <c r="D130" s="340"/>
      <c r="E130" s="341"/>
      <c r="F130" s="340"/>
      <c r="G130" s="115" t="s">
        <v>536</v>
      </c>
      <c r="J130" s="9">
        <v>231741</v>
      </c>
      <c r="K130" s="9">
        <v>264213.37</v>
      </c>
      <c r="L130" s="9">
        <f t="shared" ref="L130:M130" si="51">SUM(L127:L129)</f>
        <v>272276</v>
      </c>
      <c r="M130" s="9">
        <f t="shared" si="51"/>
        <v>280285</v>
      </c>
      <c r="N130" s="9">
        <f t="shared" ref="N130:O130" si="52">SUM(N127:N129)</f>
        <v>288543</v>
      </c>
      <c r="O130" s="9">
        <f t="shared" si="52"/>
        <v>297058</v>
      </c>
    </row>
    <row r="131" spans="1:15" ht="12.75" customHeight="1" thickTop="1" x14ac:dyDescent="0.25">
      <c r="D131" s="340"/>
      <c r="E131" s="341"/>
      <c r="F131" s="340"/>
      <c r="J131" s="317"/>
      <c r="K131" s="317"/>
      <c r="L131" s="317"/>
      <c r="M131" s="317"/>
      <c r="N131" s="317"/>
      <c r="O131" s="317"/>
    </row>
    <row r="132" spans="1:15" ht="12.75" customHeight="1" x14ac:dyDescent="0.25">
      <c r="D132" s="333">
        <v>602005</v>
      </c>
      <c r="E132" s="330"/>
      <c r="F132" s="476"/>
      <c r="G132" s="381" t="s">
        <v>726</v>
      </c>
      <c r="J132" s="335"/>
      <c r="K132" s="335"/>
      <c r="L132" s="335"/>
      <c r="M132" s="335"/>
      <c r="N132" s="335"/>
      <c r="O132" s="335"/>
    </row>
    <row r="133" spans="1:15" ht="12.75" customHeight="1" x14ac:dyDescent="0.25">
      <c r="D133" s="333"/>
      <c r="E133" s="330"/>
      <c r="F133" s="331"/>
      <c r="G133" s="383" t="s">
        <v>533</v>
      </c>
      <c r="J133" s="335"/>
      <c r="K133" s="335"/>
      <c r="L133" s="335"/>
      <c r="M133" s="335"/>
      <c r="N133" s="335"/>
      <c r="O133" s="335"/>
    </row>
    <row r="134" spans="1:15" ht="12.75" customHeight="1" x14ac:dyDescent="0.25">
      <c r="A134" s="336">
        <f>+D132</f>
        <v>602005</v>
      </c>
      <c r="B134" s="115" t="str">
        <f>G132</f>
        <v>Leges overige publiekszaken (5)</v>
      </c>
      <c r="D134" s="337">
        <v>43812</v>
      </c>
      <c r="E134" s="343"/>
      <c r="F134" s="337"/>
      <c r="G134" s="115" t="s">
        <v>535</v>
      </c>
      <c r="J134" s="317">
        <v>2355</v>
      </c>
      <c r="K134" s="317">
        <v>3250</v>
      </c>
      <c r="L134" s="317">
        <f>L296</f>
        <v>3318</v>
      </c>
      <c r="M134" s="317">
        <f>M296</f>
        <v>3394</v>
      </c>
      <c r="N134" s="317">
        <f>N296</f>
        <v>3472</v>
      </c>
      <c r="O134" s="317">
        <f>O296</f>
        <v>3552</v>
      </c>
    </row>
    <row r="135" spans="1:15" ht="12.75" customHeight="1" x14ac:dyDescent="0.25">
      <c r="A135" s="336">
        <f>+D132</f>
        <v>602005</v>
      </c>
      <c r="B135" s="115" t="str">
        <f>G132</f>
        <v>Leges overige publiekszaken (5)</v>
      </c>
      <c r="C135" s="114"/>
      <c r="D135" s="337">
        <v>44310</v>
      </c>
      <c r="E135" s="343"/>
      <c r="F135" s="337"/>
      <c r="G135" s="115" t="s">
        <v>727</v>
      </c>
      <c r="J135" s="317">
        <v>45448</v>
      </c>
      <c r="K135" s="317">
        <v>64423</v>
      </c>
      <c r="L135" s="317">
        <f>L329</f>
        <v>65859</v>
      </c>
      <c r="M135" s="317">
        <f>M329</f>
        <v>67429</v>
      </c>
      <c r="N135" s="317">
        <f>N329</f>
        <v>69043</v>
      </c>
      <c r="O135" s="317">
        <f>O329</f>
        <v>70573</v>
      </c>
    </row>
    <row r="136" spans="1:15" ht="12.75" customHeight="1" thickBot="1" x14ac:dyDescent="0.3">
      <c r="D136" s="340"/>
      <c r="E136" s="341"/>
      <c r="F136" s="340"/>
      <c r="G136" s="115" t="s">
        <v>536</v>
      </c>
      <c r="J136" s="342">
        <v>47803</v>
      </c>
      <c r="K136" s="342">
        <v>67673</v>
      </c>
      <c r="L136" s="342">
        <f>SUM(L134:L135)</f>
        <v>69177</v>
      </c>
      <c r="M136" s="342">
        <f>SUM(M134:M135)</f>
        <v>70823</v>
      </c>
      <c r="N136" s="342">
        <f>SUM(N134:N135)</f>
        <v>72515</v>
      </c>
      <c r="O136" s="342">
        <f>SUM(O134:O135)</f>
        <v>74125</v>
      </c>
    </row>
    <row r="137" spans="1:15" ht="12.75" customHeight="1" thickTop="1" x14ac:dyDescent="0.25">
      <c r="D137" s="340"/>
      <c r="E137" s="341"/>
      <c r="F137" s="340"/>
      <c r="J137" s="344"/>
      <c r="K137" s="344"/>
      <c r="L137" s="344"/>
      <c r="M137" s="344"/>
      <c r="N137" s="344"/>
      <c r="O137" s="344"/>
    </row>
    <row r="138" spans="1:15" ht="12.75" customHeight="1" x14ac:dyDescent="0.25">
      <c r="D138" s="333">
        <v>602905</v>
      </c>
      <c r="E138" s="330"/>
      <c r="F138" s="476"/>
      <c r="G138" s="381" t="s">
        <v>728</v>
      </c>
      <c r="J138" s="317"/>
      <c r="K138" s="318"/>
      <c r="L138" s="318"/>
      <c r="M138" s="318"/>
      <c r="N138" s="318"/>
      <c r="O138" s="318"/>
    </row>
    <row r="139" spans="1:15" ht="12.75" customHeight="1" x14ac:dyDescent="0.25">
      <c r="D139" s="340"/>
      <c r="E139" s="341"/>
      <c r="F139" s="340"/>
      <c r="G139" s="383" t="s">
        <v>533</v>
      </c>
      <c r="J139" s="317"/>
      <c r="K139" s="318"/>
      <c r="L139" s="318"/>
      <c r="M139" s="318"/>
      <c r="N139" s="318"/>
      <c r="O139" s="318"/>
    </row>
    <row r="140" spans="1:15" ht="12.75" customHeight="1" x14ac:dyDescent="0.25">
      <c r="A140" s="336">
        <f>+D138</f>
        <v>602905</v>
      </c>
      <c r="B140" s="115" t="str">
        <f>G138</f>
        <v>Directe toerekening leges overige publiekszaken (5)</v>
      </c>
      <c r="D140" s="337">
        <v>41100</v>
      </c>
      <c r="E140" s="343"/>
      <c r="F140" s="337"/>
      <c r="G140" s="115" t="s">
        <v>700</v>
      </c>
      <c r="J140" s="317">
        <v>42453</v>
      </c>
      <c r="K140" s="317">
        <v>40461.449999999997</v>
      </c>
      <c r="L140" s="317">
        <f>ROUND(K140*T$3,0)</f>
        <v>42161</v>
      </c>
      <c r="M140" s="317">
        <f>ROUND(L140*U$3,0)</f>
        <v>43721</v>
      </c>
      <c r="N140" s="317">
        <f>ROUND(M140*V$3,0)</f>
        <v>45339</v>
      </c>
      <c r="O140" s="317">
        <f>ROUND(N140*W$3,0)</f>
        <v>47017</v>
      </c>
    </row>
    <row r="141" spans="1:15" ht="12.75" customHeight="1" thickBot="1" x14ac:dyDescent="0.3">
      <c r="D141" s="340"/>
      <c r="E141" s="341"/>
      <c r="F141" s="340"/>
      <c r="G141" s="115" t="s">
        <v>536</v>
      </c>
      <c r="J141" s="9">
        <v>42453</v>
      </c>
      <c r="K141" s="9">
        <v>40461.449999999997</v>
      </c>
      <c r="L141" s="9">
        <f t="shared" ref="L141:M141" si="53">SUM(L139:L140)</f>
        <v>42161</v>
      </c>
      <c r="M141" s="9">
        <f t="shared" si="53"/>
        <v>43721</v>
      </c>
      <c r="N141" s="9">
        <f t="shared" ref="N141:O141" si="54">SUM(N139:N140)</f>
        <v>45339</v>
      </c>
      <c r="O141" s="9">
        <f t="shared" si="54"/>
        <v>47017</v>
      </c>
    </row>
    <row r="142" spans="1:15" ht="12.75" customHeight="1" thickTop="1" x14ac:dyDescent="0.25">
      <c r="D142" s="340"/>
      <c r="E142" s="341"/>
      <c r="F142" s="340"/>
      <c r="J142" s="317"/>
      <c r="K142" s="318"/>
      <c r="L142" s="318"/>
      <c r="M142" s="318"/>
      <c r="N142" s="318"/>
      <c r="O142" s="318"/>
    </row>
    <row r="143" spans="1:15" ht="12.75" customHeight="1" x14ac:dyDescent="0.25">
      <c r="D143" s="333">
        <v>602006</v>
      </c>
      <c r="E143" s="330"/>
      <c r="F143" s="476"/>
      <c r="G143" s="381" t="s">
        <v>729</v>
      </c>
      <c r="J143" s="317"/>
      <c r="K143" s="318"/>
      <c r="L143" s="318"/>
      <c r="M143" s="318"/>
      <c r="N143" s="318"/>
      <c r="O143" s="318"/>
    </row>
    <row r="144" spans="1:15" ht="12.75" customHeight="1" x14ac:dyDescent="0.25">
      <c r="D144" s="340"/>
      <c r="E144" s="341"/>
      <c r="F144" s="340"/>
      <c r="G144" s="383" t="s">
        <v>533</v>
      </c>
      <c r="J144" s="317"/>
      <c r="K144" s="318"/>
      <c r="L144" s="318"/>
      <c r="M144" s="318"/>
      <c r="N144" s="318"/>
      <c r="O144" s="318"/>
    </row>
    <row r="145" spans="1:15" ht="12.75" customHeight="1" x14ac:dyDescent="0.25">
      <c r="A145" s="336">
        <f>+D143</f>
        <v>602006</v>
      </c>
      <c r="B145" s="115" t="str">
        <f>G143</f>
        <v>Verkiezingen (6)</v>
      </c>
      <c r="D145" s="763">
        <v>43805</v>
      </c>
      <c r="E145" s="1628"/>
      <c r="F145" s="763"/>
      <c r="G145" s="453" t="s">
        <v>730</v>
      </c>
      <c r="H145" s="453"/>
      <c r="J145" s="317">
        <v>1100</v>
      </c>
      <c r="K145" s="317">
        <v>3100</v>
      </c>
      <c r="L145" s="317">
        <f>L346</f>
        <v>3100</v>
      </c>
      <c r="M145" s="317">
        <f>M346</f>
        <v>3100</v>
      </c>
      <c r="N145" s="317">
        <f>N346</f>
        <v>3100</v>
      </c>
      <c r="O145" s="317">
        <f>O346</f>
        <v>3100</v>
      </c>
    </row>
    <row r="146" spans="1:15" ht="12.75" customHeight="1" x14ac:dyDescent="0.25">
      <c r="A146" s="336">
        <f>+D143</f>
        <v>602006</v>
      </c>
      <c r="B146" s="115" t="str">
        <f>G143</f>
        <v>Verkiezingen (6)</v>
      </c>
      <c r="D146" s="337">
        <v>43812</v>
      </c>
      <c r="E146" s="1628"/>
      <c r="F146" s="763"/>
      <c r="G146" s="115" t="s">
        <v>535</v>
      </c>
      <c r="H146" s="453"/>
      <c r="J146" s="317">
        <v>57271</v>
      </c>
      <c r="K146" s="317">
        <v>58795</v>
      </c>
      <c r="L146" s="317">
        <f>L364</f>
        <v>59767</v>
      </c>
      <c r="M146" s="317">
        <f>M364</f>
        <v>60875</v>
      </c>
      <c r="N146" s="317">
        <f>N364</f>
        <v>62000</v>
      </c>
      <c r="O146" s="317">
        <f>O364</f>
        <v>63142</v>
      </c>
    </row>
    <row r="147" spans="1:15" ht="12.75" customHeight="1" thickBot="1" x14ac:dyDescent="0.3">
      <c r="D147" s="340"/>
      <c r="E147" s="341"/>
      <c r="F147" s="340"/>
      <c r="G147" s="115" t="s">
        <v>536</v>
      </c>
      <c r="J147" s="9">
        <v>58371</v>
      </c>
      <c r="K147" s="9">
        <v>61895</v>
      </c>
      <c r="L147" s="9">
        <f t="shared" ref="L147:M147" si="55">SUM(L145:L146)</f>
        <v>62867</v>
      </c>
      <c r="M147" s="9">
        <f t="shared" si="55"/>
        <v>63975</v>
      </c>
      <c r="N147" s="9">
        <f t="shared" ref="N147:O147" si="56">SUM(N145:N146)</f>
        <v>65100</v>
      </c>
      <c r="O147" s="9">
        <f t="shared" si="56"/>
        <v>66242</v>
      </c>
    </row>
    <row r="148" spans="1:15" ht="12.75" customHeight="1" thickTop="1" x14ac:dyDescent="0.25">
      <c r="D148" s="340"/>
      <c r="E148" s="341"/>
      <c r="F148" s="340"/>
      <c r="J148" s="7"/>
      <c r="K148" s="10"/>
      <c r="L148" s="10"/>
      <c r="M148" s="10"/>
      <c r="N148" s="10"/>
      <c r="O148" s="10"/>
    </row>
    <row r="149" spans="1:15" ht="12.75" customHeight="1" x14ac:dyDescent="0.25">
      <c r="D149" s="333">
        <v>602907</v>
      </c>
      <c r="E149" s="330"/>
      <c r="F149" s="476"/>
      <c r="G149" s="332" t="s">
        <v>731</v>
      </c>
      <c r="I149" s="114"/>
      <c r="J149" s="317"/>
      <c r="K149" s="317"/>
      <c r="L149" s="317"/>
      <c r="M149" s="317"/>
      <c r="N149" s="317"/>
      <c r="O149" s="317"/>
    </row>
    <row r="150" spans="1:15" ht="12.75" customHeight="1" x14ac:dyDescent="0.25">
      <c r="B150" s="336"/>
      <c r="D150" s="333"/>
      <c r="E150" s="330"/>
      <c r="F150" s="331"/>
      <c r="G150" s="334" t="s">
        <v>533</v>
      </c>
      <c r="I150" s="114"/>
      <c r="J150" s="317"/>
      <c r="K150" s="317"/>
      <c r="L150" s="317"/>
      <c r="M150" s="317"/>
      <c r="N150" s="317"/>
      <c r="O150" s="317"/>
    </row>
    <row r="151" spans="1:15" ht="12.75" customHeight="1" x14ac:dyDescent="0.25">
      <c r="A151" s="336">
        <f>+D149</f>
        <v>602907</v>
      </c>
      <c r="B151" s="336" t="str">
        <f>+G149</f>
        <v>Directe toerekening verkiezingen (6)</v>
      </c>
      <c r="D151" s="337">
        <v>41100</v>
      </c>
      <c r="E151" s="341"/>
      <c r="F151" s="340"/>
      <c r="G151" s="115" t="s">
        <v>700</v>
      </c>
      <c r="I151" s="114"/>
      <c r="J151" s="317">
        <v>4666.49</v>
      </c>
      <c r="K151" s="317">
        <v>7848</v>
      </c>
      <c r="L151" s="317">
        <f>ROUND(K151*T$3,0)</f>
        <v>8178</v>
      </c>
      <c r="M151" s="317">
        <f>ROUND(L151*U$3,0)</f>
        <v>8481</v>
      </c>
      <c r="N151" s="317">
        <f>ROUND(M151*V$3,0)</f>
        <v>8795</v>
      </c>
      <c r="O151" s="317">
        <f>ROUND(N151*W$3,0)</f>
        <v>9120</v>
      </c>
    </row>
    <row r="152" spans="1:15" ht="12.75" customHeight="1" thickBot="1" x14ac:dyDescent="0.3">
      <c r="D152" s="340"/>
      <c r="E152" s="341"/>
      <c r="F152" s="340"/>
      <c r="G152" s="319"/>
      <c r="I152" s="114"/>
      <c r="J152" s="342">
        <v>4666.49</v>
      </c>
      <c r="K152" s="342">
        <v>7848</v>
      </c>
      <c r="L152" s="342">
        <f t="shared" ref="L152:M152" si="57">SUM(L150:L151)</f>
        <v>8178</v>
      </c>
      <c r="M152" s="342">
        <f t="shared" si="57"/>
        <v>8481</v>
      </c>
      <c r="N152" s="342">
        <f t="shared" ref="N152:O152" si="58">SUM(N150:N151)</f>
        <v>8795</v>
      </c>
      <c r="O152" s="342">
        <f t="shared" si="58"/>
        <v>9120</v>
      </c>
    </row>
    <row r="153" spans="1:15" ht="12.75" customHeight="1" thickTop="1" x14ac:dyDescent="0.25">
      <c r="D153" s="340"/>
      <c r="E153" s="341"/>
      <c r="F153" s="340"/>
      <c r="G153" s="319"/>
      <c r="I153" s="114"/>
      <c r="J153" s="317"/>
      <c r="K153" s="317"/>
      <c r="L153" s="317"/>
      <c r="M153" s="339"/>
      <c r="N153" s="339"/>
      <c r="O153" s="339"/>
    </row>
    <row r="154" spans="1:15" ht="12.75" customHeight="1" x14ac:dyDescent="0.25">
      <c r="D154" s="333">
        <v>602007</v>
      </c>
      <c r="E154" s="330"/>
      <c r="F154" s="476"/>
      <c r="G154" s="381" t="s">
        <v>732</v>
      </c>
      <c r="J154" s="317"/>
      <c r="K154" s="317"/>
      <c r="L154" s="317"/>
      <c r="M154" s="317"/>
      <c r="N154" s="317"/>
      <c r="O154" s="317"/>
    </row>
    <row r="155" spans="1:15" ht="12.75" customHeight="1" x14ac:dyDescent="0.25">
      <c r="D155" s="340"/>
      <c r="E155" s="341"/>
      <c r="F155" s="340"/>
      <c r="G155" s="383" t="s">
        <v>533</v>
      </c>
      <c r="J155" s="317"/>
      <c r="K155" s="317"/>
      <c r="L155" s="317"/>
      <c r="M155" s="317"/>
      <c r="N155" s="317"/>
      <c r="O155" s="317"/>
    </row>
    <row r="156" spans="1:15" ht="12.75" customHeight="1" x14ac:dyDescent="0.25">
      <c r="A156" s="336">
        <f>+D154</f>
        <v>602007</v>
      </c>
      <c r="B156" s="115" t="str">
        <f>G154</f>
        <v>Publiekszaken (7)</v>
      </c>
      <c r="D156" s="337">
        <v>43812</v>
      </c>
      <c r="E156" s="343"/>
      <c r="F156" s="337"/>
      <c r="G156" s="115" t="s">
        <v>535</v>
      </c>
      <c r="J156" s="317">
        <v>8959.3489919999993</v>
      </c>
      <c r="K156" s="317">
        <v>9825</v>
      </c>
      <c r="L156" s="317">
        <f>L378</f>
        <v>10033.914999999999</v>
      </c>
      <c r="M156" s="317">
        <f>M378</f>
        <v>10269.255044999998</v>
      </c>
      <c r="N156" s="317">
        <f>N378</f>
        <v>10508.167911034998</v>
      </c>
      <c r="O156" s="317">
        <f>O378</f>
        <v>10750.735772988803</v>
      </c>
    </row>
    <row r="157" spans="1:15" ht="12.75" customHeight="1" thickBot="1" x14ac:dyDescent="0.3">
      <c r="D157" s="340"/>
      <c r="E157" s="341"/>
      <c r="F157" s="340"/>
      <c r="G157" s="115" t="s">
        <v>536</v>
      </c>
      <c r="J157" s="9">
        <v>8959.3489919999993</v>
      </c>
      <c r="K157" s="9">
        <v>9825</v>
      </c>
      <c r="L157" s="9">
        <f t="shared" ref="L157:M157" si="59">SUM(L155:L156)</f>
        <v>10033.914999999999</v>
      </c>
      <c r="M157" s="9">
        <f t="shared" si="59"/>
        <v>10269.255044999998</v>
      </c>
      <c r="N157" s="9">
        <f t="shared" ref="N157:O157" si="60">SUM(N155:N156)</f>
        <v>10508.167911034998</v>
      </c>
      <c r="O157" s="9">
        <f t="shared" si="60"/>
        <v>10750.735772988803</v>
      </c>
    </row>
    <row r="158" spans="1:15" ht="12.75" customHeight="1" thickTop="1" x14ac:dyDescent="0.25">
      <c r="D158" s="340"/>
      <c r="E158" s="341"/>
      <c r="F158" s="340"/>
      <c r="J158" s="317"/>
      <c r="K158" s="317"/>
      <c r="L158" s="317"/>
      <c r="M158" s="317"/>
      <c r="N158" s="317"/>
      <c r="O158" s="317"/>
    </row>
    <row r="159" spans="1:15" ht="12.75" customHeight="1" x14ac:dyDescent="0.25">
      <c r="D159" s="333">
        <v>602906</v>
      </c>
      <c r="E159" s="330"/>
      <c r="F159" s="476"/>
      <c r="G159" s="381" t="s">
        <v>733</v>
      </c>
      <c r="J159" s="317"/>
      <c r="K159" s="318"/>
      <c r="L159" s="318"/>
      <c r="M159" s="318"/>
      <c r="N159" s="318"/>
      <c r="O159" s="318"/>
    </row>
    <row r="160" spans="1:15" ht="12.75" customHeight="1" x14ac:dyDescent="0.25">
      <c r="D160" s="340"/>
      <c r="E160" s="341"/>
      <c r="F160" s="340"/>
      <c r="G160" s="383" t="s">
        <v>533</v>
      </c>
      <c r="J160" s="317"/>
      <c r="K160" s="318"/>
      <c r="L160" s="318"/>
      <c r="M160" s="318"/>
      <c r="N160" s="318"/>
      <c r="O160" s="318"/>
    </row>
    <row r="161" spans="1:15" ht="12.75" customHeight="1" x14ac:dyDescent="0.25">
      <c r="A161" s="336">
        <f>+D159</f>
        <v>602906</v>
      </c>
      <c r="B161" s="115" t="str">
        <f>G159</f>
        <v>Directe toerekening publiekszaken (7)</v>
      </c>
      <c r="D161" s="337">
        <v>41100</v>
      </c>
      <c r="E161" s="343"/>
      <c r="F161" s="337"/>
      <c r="G161" s="115" t="s">
        <v>700</v>
      </c>
      <c r="J161" s="317">
        <v>150517.95000000001</v>
      </c>
      <c r="K161" s="317">
        <v>169988.77</v>
      </c>
      <c r="L161" s="317">
        <f t="shared" ref="L161:N161" si="61">L587</f>
        <v>159976</v>
      </c>
      <c r="M161" s="317">
        <f t="shared" si="61"/>
        <v>165895</v>
      </c>
      <c r="N161" s="317">
        <f t="shared" si="61"/>
        <v>172033</v>
      </c>
      <c r="O161" s="317">
        <f t="shared" ref="O161" si="62">O587</f>
        <v>178398</v>
      </c>
    </row>
    <row r="162" spans="1:15" ht="12.75" customHeight="1" x14ac:dyDescent="0.25">
      <c r="A162" s="336">
        <f>D159</f>
        <v>602906</v>
      </c>
      <c r="B162" s="115" t="str">
        <f>G159</f>
        <v>Directe toerekening publiekszaken (7)</v>
      </c>
      <c r="D162" s="337">
        <v>43511</v>
      </c>
      <c r="E162" s="343"/>
      <c r="F162" s="337"/>
      <c r="G162" s="115" t="s">
        <v>734</v>
      </c>
      <c r="J162" s="142">
        <v>10400</v>
      </c>
      <c r="K162" s="142">
        <v>0</v>
      </c>
      <c r="L162" s="142">
        <f>L592</f>
        <v>0</v>
      </c>
      <c r="M162" s="142">
        <f>M592</f>
        <v>0</v>
      </c>
      <c r="N162" s="142">
        <f>N592</f>
        <v>0</v>
      </c>
      <c r="O162" s="142">
        <f t="shared" ref="O162" si="63">O592</f>
        <v>0</v>
      </c>
    </row>
    <row r="163" spans="1:15" ht="12.75" customHeight="1" thickBot="1" x14ac:dyDescent="0.3">
      <c r="D163" s="340"/>
      <c r="E163" s="341"/>
      <c r="F163" s="340"/>
      <c r="G163" s="115" t="s">
        <v>536</v>
      </c>
      <c r="J163" s="9">
        <v>160917.95000000001</v>
      </c>
      <c r="K163" s="9">
        <v>169988.77</v>
      </c>
      <c r="L163" s="9">
        <f t="shared" ref="L163:N163" si="64">SUM(L161:L162)</f>
        <v>159976</v>
      </c>
      <c r="M163" s="9">
        <f t="shared" si="64"/>
        <v>165895</v>
      </c>
      <c r="N163" s="9">
        <f t="shared" si="64"/>
        <v>172033</v>
      </c>
      <c r="O163" s="9">
        <f t="shared" ref="O163" si="65">SUM(O161:O162)</f>
        <v>178398</v>
      </c>
    </row>
    <row r="164" spans="1:15" ht="12.75" customHeight="1" thickTop="1" x14ac:dyDescent="0.25">
      <c r="D164" s="340"/>
      <c r="E164" s="341"/>
      <c r="F164" s="340"/>
      <c r="J164" s="317"/>
      <c r="K164" s="317"/>
      <c r="L164" s="317"/>
      <c r="M164" s="317"/>
      <c r="N164" s="317"/>
      <c r="O164" s="317"/>
    </row>
    <row r="165" spans="1:15" ht="12.75" customHeight="1" x14ac:dyDescent="0.25">
      <c r="D165" s="333">
        <v>602001</v>
      </c>
      <c r="E165" s="330"/>
      <c r="F165" s="476"/>
      <c r="G165" s="381" t="s">
        <v>717</v>
      </c>
      <c r="J165" s="317"/>
      <c r="K165" s="318"/>
      <c r="L165" s="318"/>
      <c r="M165" s="318"/>
      <c r="N165" s="318"/>
      <c r="O165" s="318"/>
    </row>
    <row r="166" spans="1:15" ht="12.75" customHeight="1" x14ac:dyDescent="0.25">
      <c r="D166" s="340"/>
      <c r="E166" s="341"/>
      <c r="F166" s="340"/>
      <c r="G166" s="383" t="s">
        <v>554</v>
      </c>
      <c r="J166" s="317"/>
      <c r="K166" s="318"/>
      <c r="L166" s="318"/>
      <c r="M166" s="318"/>
      <c r="N166" s="318"/>
      <c r="O166" s="318"/>
    </row>
    <row r="167" spans="1:15" ht="12.75" customHeight="1" x14ac:dyDescent="0.25">
      <c r="A167" s="336">
        <f>+D165</f>
        <v>602001</v>
      </c>
      <c r="B167" s="115" t="str">
        <f>G165</f>
        <v>Huwelijken (1)</v>
      </c>
      <c r="D167" s="337">
        <v>83700</v>
      </c>
      <c r="E167" s="343"/>
      <c r="F167" s="337"/>
      <c r="G167" s="115" t="s">
        <v>735</v>
      </c>
      <c r="J167" s="142">
        <v>-67872.7</v>
      </c>
      <c r="K167" s="142">
        <v>-81724.78</v>
      </c>
      <c r="L167" s="142">
        <f>-L438</f>
        <v>-85081.4</v>
      </c>
      <c r="M167" s="142">
        <f>-M438</f>
        <v>-88154.4</v>
      </c>
      <c r="N167" s="142">
        <f t="shared" ref="N167:O167" si="66">-N438</f>
        <v>-91346.9</v>
      </c>
      <c r="O167" s="142">
        <f t="shared" si="66"/>
        <v>-94661.8</v>
      </c>
    </row>
    <row r="168" spans="1:15" ht="12.75" customHeight="1" thickBot="1" x14ac:dyDescent="0.3">
      <c r="D168" s="340"/>
      <c r="E168" s="341"/>
      <c r="F168" s="340"/>
      <c r="G168" s="115" t="s">
        <v>536</v>
      </c>
      <c r="J168" s="342">
        <v>-67872.7</v>
      </c>
      <c r="K168" s="342">
        <v>-81724.78</v>
      </c>
      <c r="L168" s="342">
        <f>SUM(L167)</f>
        <v>-85081.4</v>
      </c>
      <c r="M168" s="342">
        <f>SUM(M167)</f>
        <v>-88154.4</v>
      </c>
      <c r="N168" s="342">
        <f>SUM(N167)</f>
        <v>-91346.9</v>
      </c>
      <c r="O168" s="342">
        <f>SUM(O167)</f>
        <v>-94661.8</v>
      </c>
    </row>
    <row r="169" spans="1:15" ht="12.75" customHeight="1" thickTop="1" x14ac:dyDescent="0.25">
      <c r="D169" s="340"/>
      <c r="E169" s="341"/>
      <c r="F169" s="340"/>
      <c r="J169" s="317"/>
      <c r="K169" s="318"/>
      <c r="L169" s="318"/>
      <c r="M169" s="318"/>
      <c r="N169" s="318"/>
      <c r="O169" s="318"/>
    </row>
    <row r="170" spans="1:15" ht="12.75" customHeight="1" x14ac:dyDescent="0.25">
      <c r="D170" s="333">
        <v>602002</v>
      </c>
      <c r="E170" s="330"/>
      <c r="F170" s="476"/>
      <c r="G170" s="381" t="s">
        <v>736</v>
      </c>
      <c r="J170" s="317"/>
      <c r="K170" s="317"/>
      <c r="L170" s="317"/>
      <c r="M170" s="317"/>
      <c r="N170" s="317"/>
      <c r="O170" s="317"/>
    </row>
    <row r="171" spans="1:15" ht="12.75" customHeight="1" x14ac:dyDescent="0.25">
      <c r="D171" s="340"/>
      <c r="E171" s="341"/>
      <c r="F171" s="340"/>
      <c r="G171" s="383" t="s">
        <v>554</v>
      </c>
      <c r="J171" s="317"/>
      <c r="K171" s="317"/>
      <c r="L171" s="317"/>
      <c r="M171" s="317"/>
      <c r="N171" s="317"/>
      <c r="O171" s="317"/>
    </row>
    <row r="172" spans="1:15" ht="12.75" customHeight="1" x14ac:dyDescent="0.25">
      <c r="A172" s="336">
        <f>+D170</f>
        <v>602002</v>
      </c>
      <c r="B172" s="336" t="str">
        <f>+G170</f>
        <v>Reisdocumenten (2)</v>
      </c>
      <c r="D172" s="337">
        <v>83700</v>
      </c>
      <c r="E172" s="343"/>
      <c r="F172" s="337"/>
      <c r="G172" s="115" t="s">
        <v>737</v>
      </c>
      <c r="J172" s="142">
        <v>-312150</v>
      </c>
      <c r="K172" s="142">
        <v>-464175.5</v>
      </c>
      <c r="L172" s="142">
        <f>-L481</f>
        <v>-473936.5</v>
      </c>
      <c r="M172" s="142">
        <f>-M481</f>
        <v>-484625</v>
      </c>
      <c r="N172" s="142">
        <f t="shared" ref="N172:O172" si="67">-N481</f>
        <v>-495845</v>
      </c>
      <c r="O172" s="142">
        <f t="shared" si="67"/>
        <v>-507069</v>
      </c>
    </row>
    <row r="173" spans="1:15" ht="12.75" customHeight="1" thickBot="1" x14ac:dyDescent="0.3">
      <c r="D173" s="340"/>
      <c r="E173" s="341"/>
      <c r="F173" s="340"/>
      <c r="G173" s="115" t="s">
        <v>536</v>
      </c>
      <c r="J173" s="342">
        <v>-312150</v>
      </c>
      <c r="K173" s="342">
        <v>-464175.5</v>
      </c>
      <c r="L173" s="342">
        <f>SUM(L172:L172)</f>
        <v>-473936.5</v>
      </c>
      <c r="M173" s="342">
        <f>SUM(M172:M172)</f>
        <v>-484625</v>
      </c>
      <c r="N173" s="342">
        <f>SUM(N172:N172)</f>
        <v>-495845</v>
      </c>
      <c r="O173" s="342">
        <f>SUM(O172:O172)</f>
        <v>-507069</v>
      </c>
    </row>
    <row r="174" spans="1:15" ht="12.75" customHeight="1" thickTop="1" x14ac:dyDescent="0.25">
      <c r="D174" s="333"/>
      <c r="E174" s="330"/>
      <c r="F174" s="331"/>
      <c r="G174" s="381"/>
      <c r="J174" s="317"/>
      <c r="K174" s="317"/>
      <c r="L174" s="317"/>
      <c r="M174" s="317"/>
      <c r="N174" s="317"/>
      <c r="O174" s="317"/>
    </row>
    <row r="175" spans="1:15" ht="12.75" customHeight="1" x14ac:dyDescent="0.25">
      <c r="D175" s="333">
        <v>602003</v>
      </c>
      <c r="E175" s="330"/>
      <c r="F175" s="476"/>
      <c r="G175" s="381" t="s">
        <v>738</v>
      </c>
      <c r="J175" s="317"/>
      <c r="K175" s="317"/>
      <c r="L175" s="317"/>
      <c r="M175" s="317"/>
      <c r="N175" s="317"/>
      <c r="O175" s="317"/>
    </row>
    <row r="176" spans="1:15" ht="12.75" customHeight="1" x14ac:dyDescent="0.25">
      <c r="D176" s="340"/>
      <c r="E176" s="341"/>
      <c r="F176" s="340"/>
      <c r="G176" s="383" t="s">
        <v>554</v>
      </c>
      <c r="J176" s="317"/>
      <c r="K176" s="317"/>
      <c r="L176" s="317"/>
      <c r="M176" s="317"/>
      <c r="N176" s="317"/>
      <c r="O176" s="317"/>
    </row>
    <row r="177" spans="1:20" ht="12.75" customHeight="1" x14ac:dyDescent="0.25">
      <c r="A177" s="336">
        <f>+D175</f>
        <v>602003</v>
      </c>
      <c r="B177" s="115" t="str">
        <f>G175</f>
        <v>Rijbewijzen  (3)</v>
      </c>
      <c r="D177" s="337">
        <v>83700</v>
      </c>
      <c r="E177" s="343"/>
      <c r="F177" s="337"/>
      <c r="G177" s="115" t="s">
        <v>737</v>
      </c>
      <c r="J177" s="317">
        <v>-153729</v>
      </c>
      <c r="K177" s="317">
        <v>-112340</v>
      </c>
      <c r="L177" s="317">
        <f>-L499</f>
        <v>-114711</v>
      </c>
      <c r="M177" s="317">
        <f>-M499</f>
        <v>-117302</v>
      </c>
      <c r="N177" s="317">
        <f t="shared" ref="N177:O177" si="68">-N499</f>
        <v>-120098</v>
      </c>
      <c r="O177" s="317">
        <f t="shared" si="68"/>
        <v>-122898</v>
      </c>
      <c r="Q177" s="394"/>
      <c r="R177" s="394"/>
      <c r="S177" s="394"/>
      <c r="T177" s="114"/>
    </row>
    <row r="178" spans="1:20" ht="12.75" customHeight="1" thickBot="1" x14ac:dyDescent="0.3">
      <c r="D178" s="340"/>
      <c r="E178" s="341"/>
      <c r="F178" s="340"/>
      <c r="G178" s="115" t="s">
        <v>536</v>
      </c>
      <c r="J178" s="342">
        <v>-153729</v>
      </c>
      <c r="K178" s="342">
        <v>-112340</v>
      </c>
      <c r="L178" s="342">
        <f>SUM(L177)</f>
        <v>-114711</v>
      </c>
      <c r="M178" s="342">
        <f>SUM(M177)</f>
        <v>-117302</v>
      </c>
      <c r="N178" s="342">
        <f>SUM(N177)</f>
        <v>-120098</v>
      </c>
      <c r="O178" s="342">
        <f>SUM(O177)</f>
        <v>-122898</v>
      </c>
      <c r="Q178" s="394"/>
      <c r="R178" s="394"/>
      <c r="S178" s="394"/>
      <c r="T178" s="114"/>
    </row>
    <row r="179" spans="1:20" ht="12.75" customHeight="1" thickTop="1" x14ac:dyDescent="0.25">
      <c r="D179" s="340"/>
      <c r="E179" s="341"/>
      <c r="F179" s="340"/>
      <c r="J179" s="344"/>
      <c r="K179" s="344"/>
      <c r="L179" s="344"/>
      <c r="M179" s="344"/>
      <c r="N179" s="344"/>
      <c r="O179" s="344"/>
      <c r="Q179" s="394"/>
      <c r="R179" s="394"/>
      <c r="S179" s="394"/>
      <c r="T179" s="114"/>
    </row>
    <row r="180" spans="1:20" ht="12.75" customHeight="1" x14ac:dyDescent="0.25">
      <c r="D180" s="333">
        <v>602004</v>
      </c>
      <c r="E180" s="330"/>
      <c r="F180" s="476"/>
      <c r="G180" s="381" t="s">
        <v>739</v>
      </c>
      <c r="J180" s="317"/>
      <c r="K180" s="317"/>
      <c r="L180" s="317"/>
      <c r="M180" s="317"/>
      <c r="N180" s="317"/>
      <c r="O180" s="317"/>
      <c r="Q180" s="394"/>
      <c r="R180" s="394"/>
      <c r="S180" s="394"/>
      <c r="T180" s="114"/>
    </row>
    <row r="181" spans="1:20" ht="12.75" customHeight="1" x14ac:dyDescent="0.25">
      <c r="D181" s="340"/>
      <c r="E181" s="341"/>
      <c r="F181" s="340"/>
      <c r="G181" s="383" t="s">
        <v>554</v>
      </c>
      <c r="J181" s="317"/>
      <c r="K181" s="317"/>
      <c r="L181" s="317"/>
      <c r="M181" s="317"/>
      <c r="N181" s="317"/>
      <c r="O181" s="317"/>
      <c r="Q181" s="394"/>
      <c r="R181" s="394"/>
      <c r="S181" s="394"/>
      <c r="T181" s="114"/>
    </row>
    <row r="182" spans="1:20" ht="12.75" customHeight="1" x14ac:dyDescent="0.25">
      <c r="A182" s="336">
        <f>+D180</f>
        <v>602004</v>
      </c>
      <c r="B182" s="115" t="str">
        <f>G180</f>
        <v>(Uitreksels uit de) brp (4)</v>
      </c>
      <c r="D182" s="337">
        <v>83700</v>
      </c>
      <c r="E182" s="343"/>
      <c r="F182" s="337"/>
      <c r="G182" s="115" t="s">
        <v>737</v>
      </c>
      <c r="J182" s="317">
        <v>-9700</v>
      </c>
      <c r="K182" s="317">
        <v>-14297.5</v>
      </c>
      <c r="L182" s="317">
        <f>-L532</f>
        <v>-14715</v>
      </c>
      <c r="M182" s="317">
        <f>-M532</f>
        <v>-15132.5</v>
      </c>
      <c r="N182" s="317">
        <f t="shared" ref="N182:O182" si="69">-N532</f>
        <v>-15550</v>
      </c>
      <c r="O182" s="317">
        <f t="shared" si="69"/>
        <v>-15862.5</v>
      </c>
      <c r="Q182" s="394"/>
      <c r="R182" s="394"/>
      <c r="S182" s="394"/>
      <c r="T182" s="114"/>
    </row>
    <row r="183" spans="1:20" ht="12.75" customHeight="1" thickBot="1" x14ac:dyDescent="0.3">
      <c r="D183" s="340"/>
      <c r="E183" s="341"/>
      <c r="F183" s="340"/>
      <c r="G183" s="115" t="s">
        <v>536</v>
      </c>
      <c r="J183" s="342">
        <v>-9700</v>
      </c>
      <c r="K183" s="342">
        <v>-14297.5</v>
      </c>
      <c r="L183" s="342">
        <f>SUM(L182:L182)</f>
        <v>-14715</v>
      </c>
      <c r="M183" s="342">
        <f>SUM(M182:M182)</f>
        <v>-15132.5</v>
      </c>
      <c r="N183" s="342">
        <f>SUM(N182:N182)</f>
        <v>-15550</v>
      </c>
      <c r="O183" s="342">
        <f>SUM(O182:O182)</f>
        <v>-15862.5</v>
      </c>
      <c r="Q183" s="394"/>
      <c r="R183" s="394"/>
      <c r="S183" s="394"/>
      <c r="T183" s="114"/>
    </row>
    <row r="184" spans="1:20" ht="12.75" customHeight="1" thickTop="1" x14ac:dyDescent="0.25">
      <c r="D184" s="340"/>
      <c r="E184" s="341"/>
      <c r="F184" s="340"/>
      <c r="J184" s="344"/>
      <c r="K184" s="344"/>
      <c r="L184" s="344"/>
      <c r="M184" s="344"/>
      <c r="N184" s="344"/>
      <c r="O184" s="344"/>
      <c r="Q184" s="394"/>
      <c r="R184" s="394"/>
      <c r="S184" s="394"/>
      <c r="T184" s="114"/>
    </row>
    <row r="185" spans="1:20" ht="12.75" customHeight="1" x14ac:dyDescent="0.25">
      <c r="D185" s="333">
        <v>602005</v>
      </c>
      <c r="E185" s="330"/>
      <c r="F185" s="476"/>
      <c r="G185" s="381" t="s">
        <v>726</v>
      </c>
      <c r="J185" s="317"/>
      <c r="K185" s="317"/>
      <c r="L185" s="317"/>
      <c r="M185" s="317"/>
      <c r="N185" s="317"/>
      <c r="O185" s="317"/>
      <c r="Q185" s="394"/>
      <c r="R185" s="394"/>
      <c r="S185" s="394"/>
      <c r="T185" s="114"/>
    </row>
    <row r="186" spans="1:20" ht="12.75" customHeight="1" x14ac:dyDescent="0.25">
      <c r="D186" s="340"/>
      <c r="E186" s="341"/>
      <c r="F186" s="340"/>
      <c r="G186" s="383" t="s">
        <v>554</v>
      </c>
      <c r="J186" s="317"/>
      <c r="K186" s="317"/>
      <c r="L186" s="317"/>
      <c r="M186" s="317"/>
      <c r="N186" s="317"/>
      <c r="O186" s="317"/>
      <c r="Q186" s="394"/>
      <c r="R186" s="394"/>
      <c r="S186" s="394"/>
      <c r="T186" s="114"/>
    </row>
    <row r="187" spans="1:20" ht="12.75" customHeight="1" x14ac:dyDescent="0.25">
      <c r="A187" s="336">
        <f>+D185</f>
        <v>602005</v>
      </c>
      <c r="B187" s="115" t="str">
        <f>+G185</f>
        <v>Leges overige publiekszaken (5)</v>
      </c>
      <c r="D187" s="337">
        <v>83700</v>
      </c>
      <c r="E187" s="343"/>
      <c r="F187" s="337"/>
      <c r="G187" s="115" t="s">
        <v>737</v>
      </c>
      <c r="J187" s="142">
        <v>-72121.5</v>
      </c>
      <c r="K187" s="142">
        <v>-96931.5</v>
      </c>
      <c r="L187" s="142">
        <f>-L581</f>
        <v>-99261</v>
      </c>
      <c r="M187" s="142">
        <f>-M581</f>
        <v>-101783</v>
      </c>
      <c r="N187" s="142">
        <f t="shared" ref="N187:O187" si="70">-N581</f>
        <v>-104365.5</v>
      </c>
      <c r="O187" s="142">
        <f t="shared" si="70"/>
        <v>-106330.5</v>
      </c>
      <c r="Q187" s="394"/>
      <c r="R187" s="394"/>
      <c r="S187" s="394"/>
      <c r="T187" s="114"/>
    </row>
    <row r="188" spans="1:20" ht="12.75" customHeight="1" thickBot="1" x14ac:dyDescent="0.3">
      <c r="D188" s="340"/>
      <c r="E188" s="341"/>
      <c r="F188" s="340"/>
      <c r="G188" s="115" t="s">
        <v>536</v>
      </c>
      <c r="J188" s="342">
        <v>-72121.5</v>
      </c>
      <c r="K188" s="342">
        <v>-96931.5</v>
      </c>
      <c r="L188" s="342">
        <f>SUM(L187:L187)</f>
        <v>-99261</v>
      </c>
      <c r="M188" s="342">
        <f>SUM(M187:M187)</f>
        <v>-101783</v>
      </c>
      <c r="N188" s="342">
        <f>SUM(N187:N187)</f>
        <v>-104365.5</v>
      </c>
      <c r="O188" s="342">
        <f>SUM(O187:O187)</f>
        <v>-106330.5</v>
      </c>
      <c r="Q188" s="394"/>
      <c r="R188" s="394"/>
      <c r="S188" s="394">
        <f>J168+J173+J178+J183+J188-140000</f>
        <v>-755573.2</v>
      </c>
      <c r="T188" s="114">
        <f>K168+K173+K178+K183+K188-143700</f>
        <v>-913169.28</v>
      </c>
    </row>
    <row r="189" spans="1:20" ht="12.75" customHeight="1" thickTop="1" x14ac:dyDescent="0.25">
      <c r="D189" s="340"/>
      <c r="E189" s="341"/>
      <c r="F189" s="340"/>
      <c r="J189" s="344"/>
      <c r="K189" s="344"/>
      <c r="L189" s="344"/>
      <c r="M189" s="344"/>
      <c r="N189" s="344"/>
      <c r="O189" s="344"/>
      <c r="Q189" s="394"/>
      <c r="R189" s="394"/>
      <c r="S189" s="394"/>
      <c r="T189" s="114"/>
    </row>
    <row r="190" spans="1:20" ht="12.75" customHeight="1" x14ac:dyDescent="0.25">
      <c r="D190" s="167"/>
      <c r="E190" s="388"/>
      <c r="F190" s="167"/>
      <c r="G190" s="149"/>
      <c r="H190" s="149"/>
      <c r="I190" s="149"/>
      <c r="J190" s="142"/>
      <c r="K190" s="142"/>
      <c r="L190" s="142"/>
      <c r="M190" s="142"/>
      <c r="N190" s="142"/>
      <c r="O190" s="142"/>
      <c r="Q190" s="394"/>
      <c r="R190" s="394"/>
      <c r="S190" s="394"/>
      <c r="T190" s="114"/>
    </row>
    <row r="192" spans="1:20" ht="12.75" customHeight="1" x14ac:dyDescent="0.25">
      <c r="G192" s="381"/>
      <c r="Q192" s="394"/>
      <c r="R192" s="394"/>
      <c r="S192" s="394"/>
      <c r="T192" s="114"/>
    </row>
    <row r="193" spans="1:20" ht="12.75" customHeight="1" x14ac:dyDescent="0.25">
      <c r="G193" s="381"/>
      <c r="Q193" s="394"/>
      <c r="R193" s="394"/>
      <c r="S193" s="394"/>
      <c r="T193" s="114"/>
    </row>
    <row r="194" spans="1:20" ht="12.75" customHeight="1" x14ac:dyDescent="0.25">
      <c r="E194" s="381" t="s">
        <v>740</v>
      </c>
      <c r="Q194" s="394"/>
      <c r="R194" s="394"/>
      <c r="S194" s="394"/>
      <c r="T194" s="114"/>
    </row>
    <row r="195" spans="1:20" ht="12.75" customHeight="1" x14ac:dyDescent="0.25">
      <c r="G195" s="381"/>
      <c r="Q195" s="394"/>
      <c r="R195" s="394"/>
      <c r="S195" s="394"/>
      <c r="T195" s="114"/>
    </row>
    <row r="196" spans="1:20" ht="12.75" customHeight="1" x14ac:dyDescent="0.25">
      <c r="E196" s="2518" t="s">
        <v>741</v>
      </c>
      <c r="F196" s="2519"/>
      <c r="G196" s="2519"/>
      <c r="H196" s="2519"/>
      <c r="I196" s="2519"/>
      <c r="J196" s="2519"/>
      <c r="K196" s="2519"/>
      <c r="L196" s="2519"/>
      <c r="M196" s="2519"/>
      <c r="N196" s="2519"/>
      <c r="O196" s="2022"/>
      <c r="Q196" s="394"/>
      <c r="R196" s="394"/>
      <c r="S196" s="394"/>
      <c r="T196" s="114"/>
    </row>
    <row r="197" spans="1:20" ht="12.75" customHeight="1" x14ac:dyDescent="0.25">
      <c r="E197" s="2519"/>
      <c r="F197" s="2519"/>
      <c r="G197" s="2519"/>
      <c r="H197" s="2519"/>
      <c r="I197" s="2519"/>
      <c r="J197" s="2519"/>
      <c r="K197" s="2519"/>
      <c r="L197" s="2519"/>
      <c r="M197" s="2519"/>
      <c r="N197" s="2519"/>
      <c r="O197" s="2022"/>
      <c r="Q197" s="394"/>
      <c r="R197" s="394"/>
      <c r="S197" s="394"/>
      <c r="T197" s="114"/>
    </row>
    <row r="198" spans="1:20" ht="12.75" customHeight="1" x14ac:dyDescent="0.25">
      <c r="G198" s="381"/>
      <c r="Q198" s="394"/>
      <c r="R198" s="394"/>
      <c r="S198" s="394"/>
      <c r="T198" s="114"/>
    </row>
    <row r="199" spans="1:20" ht="12.75" customHeight="1" x14ac:dyDescent="0.25">
      <c r="D199" s="393">
        <v>602001</v>
      </c>
      <c r="E199" s="381" t="s">
        <v>742</v>
      </c>
      <c r="F199" s="393"/>
      <c r="I199" s="114"/>
      <c r="J199" s="114"/>
      <c r="K199" s="114"/>
      <c r="L199" s="114"/>
      <c r="M199" s="114"/>
      <c r="N199" s="114"/>
      <c r="O199" s="114"/>
      <c r="Q199" s="394"/>
      <c r="R199" s="394"/>
      <c r="S199" s="394"/>
      <c r="T199" s="114"/>
    </row>
    <row r="200" spans="1:20" s="305" customFormat="1" ht="12.75" customHeight="1" x14ac:dyDescent="0.25">
      <c r="A200" s="301"/>
      <c r="B200" s="115"/>
      <c r="C200" s="115"/>
      <c r="D200" s="336"/>
      <c r="E200" s="2510" t="s">
        <v>743</v>
      </c>
      <c r="F200" s="2510"/>
      <c r="G200" s="2510"/>
      <c r="H200" s="2510"/>
      <c r="I200" s="2510"/>
      <c r="J200" s="2510"/>
      <c r="K200" s="399"/>
      <c r="L200" s="399"/>
      <c r="M200" s="399"/>
      <c r="N200" s="399"/>
      <c r="O200" s="399"/>
      <c r="P200" s="115"/>
      <c r="Q200" s="115"/>
      <c r="R200" s="115"/>
      <c r="S200" s="115"/>
      <c r="T200" s="115"/>
    </row>
    <row r="201" spans="1:20" s="305" customFormat="1" ht="12.75" customHeight="1" x14ac:dyDescent="0.25">
      <c r="A201" s="301"/>
      <c r="B201" s="115"/>
      <c r="C201" s="115"/>
      <c r="D201" s="336"/>
      <c r="E201" s="2510"/>
      <c r="F201" s="2510"/>
      <c r="G201" s="2510"/>
      <c r="H201" s="2510"/>
      <c r="I201" s="2510"/>
      <c r="J201" s="2510"/>
      <c r="K201" s="399"/>
      <c r="L201" s="399"/>
      <c r="M201" s="399"/>
      <c r="N201" s="399"/>
      <c r="O201" s="399"/>
      <c r="P201" s="115"/>
      <c r="Q201" s="115"/>
      <c r="R201" s="115"/>
      <c r="S201" s="115"/>
      <c r="T201" s="115"/>
    </row>
    <row r="202" spans="1:20" ht="12.75" customHeight="1" x14ac:dyDescent="0.25">
      <c r="D202" s="336"/>
      <c r="E202" s="336"/>
      <c r="F202" s="336"/>
      <c r="Q202" s="394"/>
      <c r="R202" s="394"/>
      <c r="S202" s="394"/>
      <c r="T202" s="114"/>
    </row>
    <row r="203" spans="1:20" ht="12.75" customHeight="1" x14ac:dyDescent="0.25">
      <c r="D203" s="143">
        <v>43812</v>
      </c>
      <c r="E203" s="115" t="s">
        <v>744</v>
      </c>
      <c r="H203" s="114"/>
      <c r="J203" s="1629">
        <v>2025</v>
      </c>
      <c r="K203" s="1629">
        <v>2026</v>
      </c>
      <c r="L203" s="1629">
        <v>2027</v>
      </c>
      <c r="M203" s="1629">
        <v>2028</v>
      </c>
      <c r="N203" s="1629">
        <v>2029</v>
      </c>
      <c r="O203" s="1629">
        <v>2030</v>
      </c>
      <c r="Q203" s="394"/>
      <c r="R203" s="394"/>
      <c r="S203" s="394"/>
      <c r="T203" s="114"/>
    </row>
    <row r="204" spans="1:20" ht="12.75" customHeight="1" x14ac:dyDescent="0.25">
      <c r="D204" s="143"/>
      <c r="E204" s="143"/>
      <c r="F204" s="308"/>
      <c r="H204" s="636"/>
      <c r="J204" s="114"/>
      <c r="K204" s="114"/>
      <c r="L204" s="114"/>
      <c r="M204" s="114"/>
      <c r="N204" s="114"/>
      <c r="O204" s="114"/>
      <c r="Q204" s="394"/>
      <c r="R204" s="394"/>
      <c r="S204" s="394"/>
      <c r="T204" s="114"/>
    </row>
    <row r="205" spans="1:20" ht="12.75" customHeight="1" x14ac:dyDescent="0.25">
      <c r="D205" s="143"/>
      <c r="E205" s="1037">
        <v>100</v>
      </c>
      <c r="F205" s="115" t="s">
        <v>745</v>
      </c>
      <c r="H205" s="636">
        <v>16.899999999999999</v>
      </c>
      <c r="J205" s="114">
        <v>1690</v>
      </c>
      <c r="K205" s="114"/>
      <c r="L205" s="114"/>
      <c r="M205" s="114"/>
      <c r="N205" s="114"/>
      <c r="O205" s="114"/>
      <c r="Q205" s="394"/>
      <c r="R205" s="394"/>
      <c r="S205" s="394"/>
      <c r="T205" s="114"/>
    </row>
    <row r="206" spans="1:20" ht="12.75" customHeight="1" x14ac:dyDescent="0.25">
      <c r="D206" s="143"/>
      <c r="E206" s="1037">
        <v>100</v>
      </c>
      <c r="F206" s="115" t="s">
        <v>745</v>
      </c>
      <c r="H206" s="636">
        <f>ROUND(H205*$S$2,1)</f>
        <v>17.3</v>
      </c>
      <c r="J206" s="114"/>
      <c r="K206" s="114">
        <v>1730</v>
      </c>
      <c r="L206" s="114"/>
      <c r="M206" s="114"/>
      <c r="N206" s="114"/>
      <c r="O206" s="114"/>
      <c r="Q206" s="394"/>
      <c r="R206" s="394"/>
      <c r="S206" s="394"/>
      <c r="T206" s="114"/>
    </row>
    <row r="207" spans="1:20" ht="12.75" customHeight="1" x14ac:dyDescent="0.25">
      <c r="D207" s="143"/>
      <c r="E207" s="1037">
        <v>100</v>
      </c>
      <c r="F207" s="115" t="s">
        <v>745</v>
      </c>
      <c r="H207" s="636">
        <f>ROUND(H206*$T$2,1)</f>
        <v>17.7</v>
      </c>
      <c r="J207" s="114"/>
      <c r="K207" s="114"/>
      <c r="L207" s="114">
        <f>ROUND($E207*$H207,0)</f>
        <v>1770</v>
      </c>
      <c r="M207" s="114"/>
      <c r="N207" s="114"/>
      <c r="O207" s="114"/>
      <c r="Q207" s="394"/>
      <c r="R207" s="394"/>
      <c r="S207" s="394"/>
      <c r="T207" s="114"/>
    </row>
    <row r="208" spans="1:20" ht="12.75" customHeight="1" x14ac:dyDescent="0.25">
      <c r="D208" s="143"/>
      <c r="E208" s="1037">
        <v>100</v>
      </c>
      <c r="F208" s="115" t="s">
        <v>745</v>
      </c>
      <c r="H208" s="636">
        <f>ROUND(H207*$U$2,1)</f>
        <v>18.100000000000001</v>
      </c>
      <c r="J208" s="114"/>
      <c r="K208" s="114"/>
      <c r="L208" s="114"/>
      <c r="M208" s="114">
        <f>ROUND($E208*$H208,0)</f>
        <v>1810</v>
      </c>
      <c r="Q208" s="394"/>
      <c r="R208" s="394"/>
      <c r="S208" s="394"/>
      <c r="T208" s="114"/>
    </row>
    <row r="209" spans="4:15" ht="12.75" customHeight="1" x14ac:dyDescent="0.25">
      <c r="D209" s="143"/>
      <c r="E209" s="1037">
        <v>100</v>
      </c>
      <c r="F209" s="115" t="s">
        <v>745</v>
      </c>
      <c r="H209" s="636">
        <f>ROUND(H208*$U$2,1)</f>
        <v>18.5</v>
      </c>
      <c r="J209" s="114"/>
      <c r="K209" s="114"/>
      <c r="L209" s="114"/>
      <c r="M209" s="114"/>
      <c r="N209" s="114">
        <f>ROUND($E209*$H209,0)</f>
        <v>1850</v>
      </c>
      <c r="O209" s="114">
        <f>ROUND($E209*$H209,0)</f>
        <v>1850</v>
      </c>
    </row>
    <row r="210" spans="4:15" ht="12.75" customHeight="1" x14ac:dyDescent="0.25">
      <c r="E210" s="115" t="s">
        <v>746</v>
      </c>
      <c r="F210" s="115"/>
      <c r="H210" s="114"/>
      <c r="J210" s="114">
        <v>1006</v>
      </c>
      <c r="K210" s="114">
        <v>1032</v>
      </c>
      <c r="L210" s="114">
        <f>ROUND(K210*T$2,0)</f>
        <v>1054</v>
      </c>
      <c r="M210" s="114">
        <f>ROUND(L210*U$2,0)</f>
        <v>1078</v>
      </c>
      <c r="N210" s="114">
        <f>ROUND(M210*V$2,0)</f>
        <v>1103</v>
      </c>
      <c r="O210" s="114">
        <f>ROUND(N210*W$2,0)</f>
        <v>1128</v>
      </c>
    </row>
    <row r="211" spans="4:15" ht="12.75" customHeight="1" thickBot="1" x14ac:dyDescent="0.3">
      <c r="E211" s="115" t="str">
        <f>"Totaal "&amp;D203</f>
        <v>Totaal 43812</v>
      </c>
      <c r="F211" s="115"/>
      <c r="H211" s="114"/>
      <c r="J211" s="1744">
        <v>2696</v>
      </c>
      <c r="K211" s="1744">
        <v>2762</v>
      </c>
      <c r="L211" s="1744">
        <f>SUM(L205:L210)</f>
        <v>2824</v>
      </c>
      <c r="M211" s="1744">
        <f>SUM(M205:M210)</f>
        <v>2888</v>
      </c>
      <c r="N211" s="1744">
        <f>SUM(N205:N210)</f>
        <v>2953</v>
      </c>
      <c r="O211" s="1744">
        <f>SUM(O205:O210)</f>
        <v>2978</v>
      </c>
    </row>
    <row r="212" spans="4:15" ht="12.75" customHeight="1" thickTop="1" x14ac:dyDescent="0.25">
      <c r="F212" s="301"/>
      <c r="H212" s="304"/>
      <c r="I212" s="114"/>
      <c r="J212" s="114"/>
      <c r="K212" s="114"/>
      <c r="L212" s="114"/>
      <c r="M212" s="114"/>
      <c r="N212" s="114"/>
      <c r="O212" s="114"/>
    </row>
    <row r="213" spans="4:15" ht="12.75" customHeight="1" x14ac:dyDescent="0.25">
      <c r="D213" s="393">
        <v>602002</v>
      </c>
      <c r="E213" s="381" t="s">
        <v>736</v>
      </c>
      <c r="F213" s="393"/>
      <c r="I213" s="1630"/>
      <c r="J213" s="1630"/>
      <c r="K213" s="1630"/>
      <c r="L213" s="1630"/>
      <c r="M213" s="1630"/>
      <c r="N213" s="1630"/>
      <c r="O213" s="1630"/>
    </row>
    <row r="214" spans="4:15" ht="12.75" customHeight="1" x14ac:dyDescent="0.25">
      <c r="D214" s="115"/>
      <c r="E214" s="143"/>
      <c r="G214" s="401"/>
      <c r="H214" s="401"/>
      <c r="I214" s="401"/>
      <c r="J214" s="401"/>
      <c r="K214" s="401"/>
      <c r="L214" s="401"/>
      <c r="M214" s="401"/>
      <c r="N214" s="401"/>
      <c r="O214" s="401"/>
    </row>
    <row r="215" spans="4:15" ht="12.75" customHeight="1" x14ac:dyDescent="0.25">
      <c r="D215" s="143"/>
      <c r="E215" s="1631" t="s">
        <v>747</v>
      </c>
      <c r="H215" s="401"/>
      <c r="I215" s="401"/>
      <c r="J215" s="1629">
        <v>2025</v>
      </c>
      <c r="K215" s="1629">
        <v>2026</v>
      </c>
      <c r="L215" s="1629">
        <v>2027</v>
      </c>
      <c r="M215" s="1629">
        <v>2028</v>
      </c>
      <c r="N215" s="1629">
        <v>2029</v>
      </c>
      <c r="O215" s="1629">
        <v>2030</v>
      </c>
    </row>
    <row r="216" spans="4:15" ht="12.75" customHeight="1" x14ac:dyDescent="0.25">
      <c r="D216" s="143"/>
      <c r="E216" s="401" t="s">
        <v>748</v>
      </c>
      <c r="G216" s="401"/>
      <c r="H216" s="401"/>
      <c r="I216" s="401"/>
      <c r="J216" s="401"/>
      <c r="K216" s="401"/>
      <c r="L216" s="401"/>
      <c r="M216" s="401"/>
      <c r="N216" s="401"/>
      <c r="O216" s="401"/>
    </row>
    <row r="217" spans="4:15" ht="12.75" customHeight="1" x14ac:dyDescent="0.25">
      <c r="D217" s="143"/>
      <c r="E217" s="601" t="s">
        <v>749</v>
      </c>
      <c r="G217" s="401"/>
      <c r="H217" s="401"/>
      <c r="I217" s="401"/>
      <c r="J217" s="401"/>
      <c r="K217" s="401"/>
      <c r="L217" s="401"/>
      <c r="M217" s="401"/>
      <c r="N217" s="401"/>
      <c r="O217" s="401"/>
    </row>
    <row r="218" spans="4:15" ht="12.75" customHeight="1" x14ac:dyDescent="0.25">
      <c r="D218" s="143"/>
      <c r="E218" s="601"/>
      <c r="G218" s="401"/>
      <c r="H218" s="401"/>
      <c r="I218" s="401"/>
      <c r="J218" s="401"/>
      <c r="K218" s="401"/>
      <c r="L218" s="401"/>
      <c r="M218" s="401"/>
      <c r="N218" s="401"/>
      <c r="O218" s="401"/>
    </row>
    <row r="219" spans="4:15" ht="12.75" customHeight="1" x14ac:dyDescent="0.25">
      <c r="D219" s="143">
        <v>44310</v>
      </c>
      <c r="E219" s="563" t="s">
        <v>750</v>
      </c>
      <c r="F219" s="115"/>
      <c r="H219" s="561"/>
    </row>
    <row r="220" spans="4:15" ht="12.75" customHeight="1" x14ac:dyDescent="0.25">
      <c r="D220" s="143"/>
      <c r="E220" s="151"/>
      <c r="F220" s="115"/>
      <c r="H220" s="636"/>
      <c r="J220" s="114"/>
      <c r="K220" s="114"/>
      <c r="L220" s="114"/>
      <c r="M220" s="114"/>
      <c r="N220" s="114"/>
      <c r="O220" s="114"/>
    </row>
    <row r="221" spans="4:15" ht="12.75" customHeight="1" x14ac:dyDescent="0.25">
      <c r="D221" s="143"/>
      <c r="E221" s="151">
        <v>1370</v>
      </c>
      <c r="F221" s="115" t="s">
        <v>751</v>
      </c>
      <c r="H221" s="636">
        <v>48.65</v>
      </c>
      <c r="J221" s="114">
        <v>66198.399999999994</v>
      </c>
      <c r="K221" s="114"/>
      <c r="L221" s="114"/>
      <c r="M221" s="114"/>
      <c r="N221" s="114"/>
      <c r="O221" s="114"/>
    </row>
    <row r="222" spans="4:15" ht="12.75" customHeight="1" x14ac:dyDescent="0.25">
      <c r="D222" s="143"/>
      <c r="E222" s="151">
        <v>3200</v>
      </c>
      <c r="F222" s="115" t="s">
        <v>752</v>
      </c>
      <c r="H222" s="636">
        <f>ROUND(H221*$T$3,1)</f>
        <v>50.7</v>
      </c>
      <c r="J222" s="114"/>
      <c r="K222" s="114">
        <v>162880</v>
      </c>
      <c r="L222" s="114"/>
      <c r="M222" s="114"/>
      <c r="N222" s="114"/>
      <c r="O222" s="114"/>
    </row>
    <row r="223" spans="4:15" ht="12.75" customHeight="1" x14ac:dyDescent="0.25">
      <c r="D223" s="143"/>
      <c r="E223" s="151">
        <v>3200</v>
      </c>
      <c r="F223" s="115" t="s">
        <v>753</v>
      </c>
      <c r="H223" s="636">
        <f t="shared" ref="H223:H226" si="71">ROUND(H222*$T$3,1)</f>
        <v>52.8</v>
      </c>
      <c r="J223" s="114"/>
      <c r="K223" s="114"/>
      <c r="L223" s="114">
        <f>+E223*H223</f>
        <v>168960</v>
      </c>
    </row>
    <row r="224" spans="4:15" ht="12.75" customHeight="1" x14ac:dyDescent="0.25">
      <c r="D224" s="143"/>
      <c r="E224" s="151">
        <v>3200</v>
      </c>
      <c r="F224" s="115" t="s">
        <v>754</v>
      </c>
      <c r="H224" s="636">
        <f t="shared" si="71"/>
        <v>55</v>
      </c>
      <c r="J224" s="114"/>
      <c r="K224" s="114"/>
      <c r="L224" s="114"/>
      <c r="M224" s="114">
        <f>+E224*H224</f>
        <v>176000</v>
      </c>
    </row>
    <row r="225" spans="4:15" ht="12.75" customHeight="1" x14ac:dyDescent="0.25">
      <c r="D225" s="143"/>
      <c r="E225" s="151">
        <v>3200</v>
      </c>
      <c r="F225" s="115" t="s">
        <v>755</v>
      </c>
      <c r="H225" s="636">
        <f t="shared" si="71"/>
        <v>57.3</v>
      </c>
      <c r="J225" s="114"/>
      <c r="K225" s="114"/>
      <c r="L225" s="114"/>
      <c r="M225" s="114"/>
      <c r="N225" s="114">
        <f>+E225*H225</f>
        <v>183360</v>
      </c>
      <c r="O225" s="114"/>
    </row>
    <row r="226" spans="4:15" ht="12.75" customHeight="1" x14ac:dyDescent="0.25">
      <c r="D226" s="143"/>
      <c r="E226" s="547">
        <v>3200</v>
      </c>
      <c r="F226" s="358" t="s">
        <v>5256</v>
      </c>
      <c r="G226" s="358"/>
      <c r="H226" s="2028">
        <f t="shared" si="71"/>
        <v>59.7</v>
      </c>
      <c r="J226" s="114"/>
      <c r="K226" s="114"/>
      <c r="L226" s="114"/>
      <c r="M226" s="114"/>
      <c r="N226" s="114"/>
      <c r="O226" s="114">
        <f>+E226*H226</f>
        <v>191040</v>
      </c>
    </row>
    <row r="227" spans="4:15" ht="12.75" customHeight="1" x14ac:dyDescent="0.25">
      <c r="D227" s="143"/>
      <c r="E227" s="151"/>
      <c r="F227" s="115"/>
      <c r="H227" s="636"/>
      <c r="J227" s="114"/>
      <c r="K227" s="114"/>
      <c r="L227" s="114"/>
      <c r="M227" s="114"/>
      <c r="N227" s="114"/>
      <c r="O227" s="114"/>
    </row>
    <row r="228" spans="4:15" ht="12.75" customHeight="1" x14ac:dyDescent="0.25">
      <c r="D228" s="143"/>
      <c r="E228" s="563" t="s">
        <v>756</v>
      </c>
      <c r="F228" s="115"/>
      <c r="H228" s="114"/>
      <c r="J228" s="114"/>
      <c r="K228" s="114"/>
      <c r="L228" s="114"/>
      <c r="M228" s="114"/>
      <c r="N228" s="114"/>
      <c r="O228" s="114"/>
    </row>
    <row r="229" spans="4:15" ht="12.75" customHeight="1" x14ac:dyDescent="0.25">
      <c r="D229" s="143"/>
      <c r="E229" s="151">
        <v>1340</v>
      </c>
      <c r="F229" s="115" t="s">
        <v>751</v>
      </c>
      <c r="H229" s="636">
        <v>27.5</v>
      </c>
      <c r="J229" s="114">
        <v>36582</v>
      </c>
      <c r="K229" s="114"/>
      <c r="L229" s="114"/>
      <c r="M229" s="114"/>
      <c r="N229" s="114"/>
      <c r="O229" s="114"/>
    </row>
    <row r="230" spans="4:15" ht="12.75" customHeight="1" x14ac:dyDescent="0.25">
      <c r="D230" s="143"/>
      <c r="E230" s="151">
        <v>775</v>
      </c>
      <c r="F230" s="115" t="s">
        <v>752</v>
      </c>
      <c r="H230" s="636">
        <f>ROUND(H229*$T$3,1)</f>
        <v>28.7</v>
      </c>
      <c r="J230" s="114"/>
      <c r="K230" s="114">
        <v>22320</v>
      </c>
      <c r="L230" s="114"/>
      <c r="M230" s="114"/>
      <c r="N230" s="114"/>
      <c r="O230" s="114"/>
    </row>
    <row r="231" spans="4:15" ht="12.75" customHeight="1" x14ac:dyDescent="0.25">
      <c r="D231" s="143"/>
      <c r="E231" s="151">
        <v>775</v>
      </c>
      <c r="F231" s="115" t="s">
        <v>753</v>
      </c>
      <c r="H231" s="636">
        <f t="shared" ref="H231" si="72">ROUND(H230*$T$3,1)</f>
        <v>29.9</v>
      </c>
      <c r="J231" s="114"/>
      <c r="K231" s="114"/>
      <c r="L231" s="114">
        <f>$E231*$H231</f>
        <v>23172.5</v>
      </c>
    </row>
    <row r="232" spans="4:15" ht="12.75" customHeight="1" x14ac:dyDescent="0.25">
      <c r="D232" s="143"/>
      <c r="E232" s="151">
        <v>775</v>
      </c>
      <c r="F232" s="115" t="s">
        <v>754</v>
      </c>
      <c r="H232" s="636">
        <f>ROUND(H231*$U$3,1)</f>
        <v>31</v>
      </c>
      <c r="J232" s="114"/>
      <c r="K232" s="114"/>
      <c r="L232" s="114"/>
      <c r="M232" s="114">
        <f>+E232*H232</f>
        <v>24025</v>
      </c>
    </row>
    <row r="233" spans="4:15" ht="12.75" customHeight="1" x14ac:dyDescent="0.25">
      <c r="D233" s="143"/>
      <c r="E233" s="151">
        <v>775</v>
      </c>
      <c r="F233" s="115" t="s">
        <v>755</v>
      </c>
      <c r="H233" s="636">
        <f>ROUND(H232*$V$3,1)</f>
        <v>32.1</v>
      </c>
      <c r="J233" s="114"/>
      <c r="K233" s="114"/>
      <c r="L233" s="114"/>
      <c r="M233" s="114"/>
      <c r="N233" s="114">
        <f>+E233*H233</f>
        <v>24877.5</v>
      </c>
      <c r="O233" s="114"/>
    </row>
    <row r="234" spans="4:15" ht="12.75" customHeight="1" x14ac:dyDescent="0.25">
      <c r="D234" s="143"/>
      <c r="E234" s="547">
        <v>775</v>
      </c>
      <c r="F234" s="358" t="s">
        <v>5256</v>
      </c>
      <c r="G234" s="358"/>
      <c r="H234" s="2028">
        <f>ROUND(H233*$W$3,1)</f>
        <v>33.299999999999997</v>
      </c>
      <c r="J234" s="114"/>
      <c r="K234" s="114"/>
      <c r="L234" s="114"/>
      <c r="M234" s="114"/>
      <c r="N234" s="114"/>
      <c r="O234" s="114">
        <f>+E234*H234</f>
        <v>25807.499999999996</v>
      </c>
    </row>
    <row r="235" spans="4:15" ht="12.75" customHeight="1" x14ac:dyDescent="0.25">
      <c r="D235" s="143"/>
      <c r="E235" s="151"/>
      <c r="F235" s="115"/>
      <c r="H235" s="636"/>
      <c r="J235" s="114"/>
      <c r="K235" s="114"/>
      <c r="L235" s="114"/>
      <c r="M235" s="114"/>
      <c r="N235" s="114"/>
      <c r="O235" s="114"/>
    </row>
    <row r="236" spans="4:15" ht="12.75" customHeight="1" x14ac:dyDescent="0.25">
      <c r="D236" s="143"/>
      <c r="E236" s="151">
        <v>65</v>
      </c>
      <c r="F236" s="115" t="s">
        <v>757</v>
      </c>
      <c r="H236" s="636">
        <f>ROUND(59.1*S2,1)</f>
        <v>60.6</v>
      </c>
      <c r="J236" s="114">
        <v>279</v>
      </c>
      <c r="K236" s="114">
        <v>3939</v>
      </c>
      <c r="L236" s="114">
        <f>ROUND(K236*T$2,0)</f>
        <v>4022</v>
      </c>
      <c r="M236" s="114">
        <f>ROUND(L236*U$2,0)</f>
        <v>4115</v>
      </c>
      <c r="N236" s="114">
        <f>ROUND(M236*V$2,0)</f>
        <v>4210</v>
      </c>
      <c r="O236" s="114">
        <f>ROUND(N236*W$2,0)</f>
        <v>4307</v>
      </c>
    </row>
    <row r="237" spans="4:15" ht="12.75" customHeight="1" x14ac:dyDescent="0.25">
      <c r="D237" s="143"/>
      <c r="E237" s="151"/>
      <c r="F237" s="115"/>
      <c r="H237" s="114"/>
      <c r="J237" s="114"/>
      <c r="K237" s="114"/>
      <c r="L237" s="114"/>
      <c r="M237" s="114"/>
      <c r="N237" s="114"/>
      <c r="O237" s="114"/>
    </row>
    <row r="238" spans="4:15" ht="12.75" customHeight="1" x14ac:dyDescent="0.25">
      <c r="D238" s="143"/>
      <c r="E238" s="1631" t="s">
        <v>758</v>
      </c>
      <c r="F238" s="115"/>
      <c r="H238" s="114"/>
      <c r="J238" s="114"/>
      <c r="K238" s="114"/>
      <c r="L238" s="114"/>
      <c r="M238" s="114"/>
      <c r="N238" s="114"/>
      <c r="O238" s="114"/>
    </row>
    <row r="239" spans="4:15" ht="12.75" customHeight="1" x14ac:dyDescent="0.25">
      <c r="D239" s="143"/>
      <c r="E239" s="151"/>
      <c r="F239" s="115"/>
      <c r="H239" s="114"/>
      <c r="J239" s="114"/>
      <c r="K239" s="114"/>
      <c r="L239" s="114"/>
      <c r="M239" s="114"/>
      <c r="N239" s="114"/>
      <c r="O239" s="114"/>
    </row>
    <row r="240" spans="4:15" ht="12.75" customHeight="1" x14ac:dyDescent="0.25">
      <c r="D240" s="143">
        <v>44310</v>
      </c>
      <c r="E240" s="563" t="s">
        <v>759</v>
      </c>
      <c r="F240" s="115"/>
      <c r="H240" s="1632"/>
      <c r="J240" s="1632"/>
      <c r="K240" s="1632"/>
      <c r="L240" s="1632"/>
      <c r="M240" s="1632"/>
      <c r="N240" s="1632"/>
      <c r="O240" s="1632"/>
    </row>
    <row r="241" spans="4:18" ht="12.75" customHeight="1" x14ac:dyDescent="0.25">
      <c r="D241" s="557"/>
      <c r="E241" s="151"/>
      <c r="F241" s="115"/>
      <c r="H241" s="636"/>
      <c r="J241" s="114"/>
      <c r="K241" s="114"/>
      <c r="L241" s="114"/>
      <c r="M241" s="114"/>
      <c r="N241" s="114"/>
      <c r="O241" s="114"/>
    </row>
    <row r="242" spans="4:18" ht="12.75" customHeight="1" x14ac:dyDescent="0.25">
      <c r="D242" s="557"/>
      <c r="E242" s="151"/>
      <c r="F242" s="115"/>
      <c r="H242" s="636"/>
      <c r="J242" s="114"/>
      <c r="K242" s="114"/>
      <c r="L242" s="114"/>
      <c r="M242" s="114"/>
      <c r="N242" s="114"/>
      <c r="O242" s="114"/>
    </row>
    <row r="243" spans="4:18" ht="12.75" customHeight="1" x14ac:dyDescent="0.25">
      <c r="D243" s="557"/>
      <c r="E243" s="151">
        <v>710</v>
      </c>
      <c r="F243" s="115" t="s">
        <v>760</v>
      </c>
      <c r="H243" s="636">
        <v>44.9</v>
      </c>
      <c r="J243" s="114">
        <v>31630.499999999996</v>
      </c>
      <c r="K243" s="114"/>
      <c r="L243" s="114"/>
      <c r="M243" s="114"/>
      <c r="N243" s="114"/>
      <c r="O243" s="114"/>
      <c r="Q243" s="394"/>
      <c r="R243" s="394"/>
    </row>
    <row r="244" spans="4:18" ht="12.75" customHeight="1" x14ac:dyDescent="0.25">
      <c r="D244" s="557"/>
      <c r="E244" s="151">
        <v>1300</v>
      </c>
      <c r="F244" s="115" t="s">
        <v>761</v>
      </c>
      <c r="H244" s="636">
        <f>ROUND(H243*$T$2,1)</f>
        <v>45.8</v>
      </c>
      <c r="J244" s="114"/>
      <c r="K244" s="114">
        <v>59670</v>
      </c>
      <c r="L244" s="114"/>
      <c r="M244" s="114"/>
      <c r="N244" s="114"/>
      <c r="O244" s="114"/>
      <c r="Q244" s="394"/>
      <c r="R244" s="394"/>
    </row>
    <row r="245" spans="4:18" ht="12.75" customHeight="1" x14ac:dyDescent="0.25">
      <c r="D245" s="557"/>
      <c r="E245" s="151">
        <v>1300</v>
      </c>
      <c r="F245" s="115" t="s">
        <v>762</v>
      </c>
      <c r="H245" s="636">
        <f>ROUND(H244*$T$2,1)</f>
        <v>46.8</v>
      </c>
      <c r="J245" s="114"/>
      <c r="K245" s="114"/>
      <c r="L245" s="114">
        <f>$E245*$H245</f>
        <v>60839.999999999993</v>
      </c>
      <c r="Q245" s="394"/>
      <c r="R245" s="394"/>
    </row>
    <row r="246" spans="4:18" ht="12.75" customHeight="1" x14ac:dyDescent="0.25">
      <c r="D246" s="557"/>
      <c r="E246" s="151">
        <v>1300</v>
      </c>
      <c r="F246" s="115" t="s">
        <v>763</v>
      </c>
      <c r="H246" s="636">
        <f>ROUND(H245*$U$2,1)</f>
        <v>47.9</v>
      </c>
      <c r="J246" s="114"/>
      <c r="K246" s="114"/>
      <c r="L246" s="114"/>
      <c r="M246" s="114">
        <f>+E246*H246</f>
        <v>62270</v>
      </c>
      <c r="Q246" s="394"/>
      <c r="R246" s="394"/>
    </row>
    <row r="247" spans="4:18" ht="12.75" customHeight="1" x14ac:dyDescent="0.25">
      <c r="D247" s="557"/>
      <c r="E247" s="151">
        <v>1300</v>
      </c>
      <c r="F247" s="115" t="s">
        <v>764</v>
      </c>
      <c r="H247" s="636">
        <f>ROUND(H246*$V$2,1)</f>
        <v>49</v>
      </c>
      <c r="J247" s="114"/>
      <c r="K247" s="114"/>
      <c r="L247" s="114"/>
      <c r="M247" s="114"/>
      <c r="N247" s="114">
        <f>+E247*H247</f>
        <v>63700</v>
      </c>
      <c r="O247" s="114"/>
      <c r="Q247" s="394"/>
      <c r="R247" s="394"/>
    </row>
    <row r="248" spans="4:18" ht="12.75" customHeight="1" x14ac:dyDescent="0.25">
      <c r="D248" s="557"/>
      <c r="E248" s="547">
        <v>1300</v>
      </c>
      <c r="F248" s="358" t="s">
        <v>5257</v>
      </c>
      <c r="G248" s="358"/>
      <c r="H248" s="2028">
        <f>ROUND(H247*$W$2,1)</f>
        <v>50.1</v>
      </c>
      <c r="J248" s="114"/>
      <c r="K248" s="114"/>
      <c r="L248" s="114"/>
      <c r="M248" s="114"/>
      <c r="N248" s="114"/>
      <c r="O248" s="114">
        <f>+E248*H248</f>
        <v>65130</v>
      </c>
      <c r="Q248" s="394"/>
      <c r="R248" s="394"/>
    </row>
    <row r="249" spans="4:18" ht="12.75" customHeight="1" x14ac:dyDescent="0.25">
      <c r="D249" s="557"/>
      <c r="E249" s="557"/>
      <c r="F249" s="557"/>
      <c r="G249" s="399"/>
      <c r="I249" s="1632"/>
      <c r="J249" s="1632"/>
      <c r="K249" s="1632"/>
      <c r="L249" s="1632"/>
      <c r="M249" s="1632"/>
      <c r="N249" s="1632"/>
      <c r="O249" s="1632"/>
      <c r="Q249" s="394"/>
      <c r="R249" s="394"/>
    </row>
    <row r="250" spans="4:18" ht="12.75" customHeight="1" x14ac:dyDescent="0.25">
      <c r="D250" s="557"/>
      <c r="E250" s="563" t="s">
        <v>765</v>
      </c>
      <c r="F250" s="115"/>
      <c r="H250" s="1632"/>
      <c r="J250" s="1632"/>
      <c r="K250" s="1632"/>
      <c r="L250" s="1632"/>
      <c r="M250" s="1632"/>
      <c r="N250" s="1632"/>
      <c r="O250" s="1632"/>
      <c r="Q250" s="394"/>
      <c r="R250" s="394"/>
    </row>
    <row r="251" spans="4:18" ht="12.75" customHeight="1" x14ac:dyDescent="0.25">
      <c r="D251" s="115"/>
      <c r="E251" s="151">
        <v>1280</v>
      </c>
      <c r="F251" s="115" t="s">
        <v>766</v>
      </c>
      <c r="H251" s="636">
        <v>8.6999999999999993</v>
      </c>
      <c r="J251" s="114">
        <v>11110.4</v>
      </c>
      <c r="K251" s="114"/>
      <c r="L251" s="114"/>
      <c r="M251" s="114"/>
      <c r="N251" s="114"/>
      <c r="O251" s="114"/>
      <c r="Q251" s="394"/>
      <c r="R251" s="394"/>
    </row>
    <row r="252" spans="4:18" ht="12.75" customHeight="1" x14ac:dyDescent="0.25">
      <c r="D252" s="115"/>
      <c r="E252" s="151">
        <v>775</v>
      </c>
      <c r="F252" s="115" t="s">
        <v>767</v>
      </c>
      <c r="H252" s="636">
        <f>ROUND(H251*$T$2,1)</f>
        <v>8.9</v>
      </c>
      <c r="J252" s="114"/>
      <c r="K252" s="114">
        <v>6897.5</v>
      </c>
      <c r="L252" s="114"/>
      <c r="M252" s="114"/>
      <c r="N252" s="114"/>
      <c r="O252" s="114"/>
      <c r="Q252" s="394"/>
      <c r="R252" s="394"/>
    </row>
    <row r="253" spans="4:18" ht="12.75" customHeight="1" x14ac:dyDescent="0.25">
      <c r="D253" s="115"/>
      <c r="E253" s="151">
        <v>775</v>
      </c>
      <c r="F253" s="115" t="s">
        <v>768</v>
      </c>
      <c r="H253" s="636">
        <f>ROUND(H252*$T$2,1)</f>
        <v>9.1</v>
      </c>
      <c r="J253" s="114"/>
      <c r="K253" s="114"/>
      <c r="L253" s="114">
        <f>$E253*$H253</f>
        <v>7052.5</v>
      </c>
      <c r="Q253" s="394"/>
      <c r="R253" s="394"/>
    </row>
    <row r="254" spans="4:18" ht="12.75" customHeight="1" x14ac:dyDescent="0.25">
      <c r="D254" s="115"/>
      <c r="E254" s="151">
        <v>775</v>
      </c>
      <c r="F254" s="115" t="s">
        <v>769</v>
      </c>
      <c r="H254" s="636">
        <f>ROUND(H253*$U$2,1)</f>
        <v>9.3000000000000007</v>
      </c>
      <c r="J254" s="114"/>
      <c r="K254" s="114"/>
      <c r="L254" s="114"/>
      <c r="M254" s="114">
        <f>+E254*H254</f>
        <v>7207.5000000000009</v>
      </c>
      <c r="Q254" s="394"/>
      <c r="R254" s="394"/>
    </row>
    <row r="255" spans="4:18" ht="12.75" customHeight="1" x14ac:dyDescent="0.25">
      <c r="D255" s="115"/>
      <c r="E255" s="151">
        <v>775</v>
      </c>
      <c r="F255" s="115" t="s">
        <v>770</v>
      </c>
      <c r="H255" s="636">
        <f>ROUND(H254*$V$2,1)</f>
        <v>9.5</v>
      </c>
      <c r="J255" s="114"/>
      <c r="K255" s="114"/>
      <c r="L255" s="114"/>
      <c r="M255" s="114"/>
      <c r="N255" s="114">
        <f>+E255*H255</f>
        <v>7362.5</v>
      </c>
      <c r="O255" s="114"/>
      <c r="Q255" s="394"/>
      <c r="R255" s="394"/>
    </row>
    <row r="256" spans="4:18" ht="12.75" customHeight="1" x14ac:dyDescent="0.25">
      <c r="D256" s="115"/>
      <c r="E256" s="547">
        <v>775</v>
      </c>
      <c r="F256" s="358" t="s">
        <v>5258</v>
      </c>
      <c r="G256" s="358"/>
      <c r="H256" s="2028">
        <f>ROUND(H255*$W$2,1)</f>
        <v>9.6999999999999993</v>
      </c>
      <c r="J256" s="114"/>
      <c r="K256" s="114"/>
      <c r="L256" s="114"/>
      <c r="M256" s="114"/>
      <c r="N256" s="114"/>
      <c r="O256" s="114">
        <f>+E256*H256</f>
        <v>7517.4999999999991</v>
      </c>
      <c r="Q256" s="394"/>
      <c r="R256" s="394"/>
    </row>
    <row r="257" spans="4:18" ht="12.75" customHeight="1" x14ac:dyDescent="0.25">
      <c r="D257" s="115"/>
      <c r="E257" s="151"/>
      <c r="F257" s="115"/>
      <c r="H257" s="636"/>
      <c r="J257" s="114"/>
      <c r="K257" s="114"/>
      <c r="L257" s="114"/>
      <c r="M257" s="114"/>
      <c r="N257" s="114"/>
      <c r="O257" s="114"/>
      <c r="Q257" s="394"/>
      <c r="R257" s="394"/>
    </row>
    <row r="258" spans="4:18" ht="12.75" customHeight="1" x14ac:dyDescent="0.25">
      <c r="D258" s="143"/>
      <c r="E258" s="115"/>
      <c r="F258" s="115"/>
      <c r="J258" s="114"/>
      <c r="K258" s="114"/>
      <c r="L258" s="114"/>
      <c r="M258" s="114"/>
      <c r="N258" s="114"/>
      <c r="O258" s="114"/>
      <c r="Q258" s="394"/>
      <c r="R258" s="394"/>
    </row>
    <row r="259" spans="4:18" ht="12.75" customHeight="1" x14ac:dyDescent="0.25">
      <c r="D259" s="143"/>
      <c r="E259" s="151">
        <v>65</v>
      </c>
      <c r="F259" s="115" t="s">
        <v>757</v>
      </c>
      <c r="H259" s="636">
        <f>ROUND(59.1*S2,1)</f>
        <v>60.6</v>
      </c>
      <c r="J259" s="114">
        <v>2935</v>
      </c>
      <c r="K259" s="114">
        <v>3939</v>
      </c>
      <c r="L259" s="114">
        <f>ROUND(K259*T$2,0)</f>
        <v>4022</v>
      </c>
      <c r="M259" s="114">
        <f>ROUND(L259*U$2,0)</f>
        <v>4115</v>
      </c>
      <c r="N259" s="114">
        <f>ROUND(M259*V$2,0)</f>
        <v>4210</v>
      </c>
      <c r="O259" s="114">
        <f>ROUND(N259*W$2,0)</f>
        <v>4307</v>
      </c>
      <c r="Q259" s="394"/>
      <c r="R259" s="394"/>
    </row>
    <row r="260" spans="4:18" ht="12.75" customHeight="1" x14ac:dyDescent="0.25">
      <c r="D260" s="143"/>
      <c r="E260" s="143"/>
      <c r="G260" s="151"/>
      <c r="I260" s="636"/>
      <c r="J260" s="114"/>
      <c r="K260" s="114"/>
      <c r="L260" s="114"/>
      <c r="M260" s="114"/>
      <c r="N260" s="114"/>
      <c r="O260" s="114"/>
      <c r="Q260" s="394"/>
      <c r="R260" s="394"/>
    </row>
    <row r="261" spans="4:18" ht="12.75" customHeight="1" thickBot="1" x14ac:dyDescent="0.3">
      <c r="D261" s="143"/>
      <c r="E261" s="115" t="str">
        <f>"Totaal afdracht rijksdocumenten"</f>
        <v>Totaal afdracht rijksdocumenten</v>
      </c>
      <c r="I261" s="114"/>
      <c r="J261" s="1744">
        <v>151352.29999999999</v>
      </c>
      <c r="K261" s="1744">
        <v>259645.5</v>
      </c>
      <c r="L261" s="1744">
        <f>SUM(L221:L259)</f>
        <v>268069</v>
      </c>
      <c r="M261" s="1744">
        <f>SUM(M221:M259)</f>
        <v>277732.5</v>
      </c>
      <c r="N261" s="1744">
        <f>SUM(N221:N259)</f>
        <v>287720</v>
      </c>
      <c r="O261" s="1744">
        <f>SUM(O221:O259)</f>
        <v>298109</v>
      </c>
      <c r="Q261" s="394"/>
      <c r="R261" s="394"/>
    </row>
    <row r="262" spans="4:18" ht="12.75" customHeight="1" thickTop="1" x14ac:dyDescent="0.25">
      <c r="D262" s="143"/>
      <c r="E262" s="143"/>
      <c r="J262" s="114"/>
      <c r="K262" s="114"/>
      <c r="L262" s="114"/>
      <c r="M262" s="114"/>
      <c r="N262" s="114"/>
      <c r="O262" s="114"/>
      <c r="Q262" s="394"/>
      <c r="R262" s="394"/>
    </row>
    <row r="263" spans="4:18" ht="12.75" customHeight="1" x14ac:dyDescent="0.25">
      <c r="D263" s="143"/>
      <c r="E263" s="143"/>
      <c r="J263" s="114"/>
      <c r="K263" s="114"/>
      <c r="L263" s="114"/>
      <c r="M263" s="114"/>
      <c r="N263" s="114"/>
      <c r="O263" s="114"/>
      <c r="Q263" s="394"/>
      <c r="R263" s="394"/>
    </row>
    <row r="264" spans="4:18" ht="12.75" customHeight="1" x14ac:dyDescent="0.25">
      <c r="D264" s="393">
        <v>602902</v>
      </c>
      <c r="E264" s="381" t="s">
        <v>722</v>
      </c>
      <c r="F264" s="382"/>
      <c r="H264" s="381"/>
      <c r="J264" s="1629">
        <v>2025</v>
      </c>
      <c r="K264" s="1629">
        <v>2026</v>
      </c>
      <c r="L264" s="1629">
        <v>2027</v>
      </c>
      <c r="M264" s="1629">
        <v>2028</v>
      </c>
      <c r="N264" s="1629">
        <v>2029</v>
      </c>
      <c r="O264" s="1629">
        <v>2030</v>
      </c>
      <c r="Q264" s="394"/>
      <c r="R264" s="394"/>
    </row>
    <row r="265" spans="4:18" ht="12.75" customHeight="1" x14ac:dyDescent="0.25">
      <c r="D265" s="143">
        <v>43511</v>
      </c>
      <c r="E265" s="115" t="s">
        <v>771</v>
      </c>
      <c r="J265" s="114">
        <v>14496</v>
      </c>
      <c r="K265" s="114">
        <v>14786</v>
      </c>
      <c r="L265" s="114">
        <f>ROUND(K265*T$3,0)</f>
        <v>15407</v>
      </c>
      <c r="M265" s="114">
        <f>ROUND(L265*U$3,0)</f>
        <v>15977</v>
      </c>
      <c r="N265" s="114">
        <f>ROUND(M265*V$3,0)</f>
        <v>16568</v>
      </c>
      <c r="O265" s="114">
        <f>ROUND(N265*W$3,0)</f>
        <v>17181</v>
      </c>
      <c r="Q265" s="394"/>
      <c r="R265" s="394"/>
    </row>
    <row r="266" spans="4:18" ht="12.75" customHeight="1" x14ac:dyDescent="0.25">
      <c r="D266" s="143"/>
      <c r="E266" s="115"/>
      <c r="J266" s="114"/>
      <c r="K266" s="114"/>
      <c r="L266" s="114"/>
      <c r="M266" s="114"/>
      <c r="N266" s="114"/>
      <c r="O266" s="114"/>
      <c r="Q266" s="394"/>
      <c r="R266" s="394"/>
    </row>
    <row r="267" spans="4:18" ht="12.75" customHeight="1" x14ac:dyDescent="0.25">
      <c r="D267" s="143"/>
      <c r="E267" s="115"/>
      <c r="J267" s="114"/>
      <c r="K267" s="114"/>
      <c r="L267" s="114"/>
      <c r="M267" s="114"/>
      <c r="N267" s="114"/>
      <c r="O267" s="114"/>
      <c r="Q267" s="394"/>
      <c r="R267" s="394"/>
    </row>
    <row r="268" spans="4:18" ht="12.75" customHeight="1" thickBot="1" x14ac:dyDescent="0.3">
      <c r="D268" s="143"/>
      <c r="E268" s="115" t="s">
        <v>772</v>
      </c>
      <c r="J268" s="1744">
        <v>14496</v>
      </c>
      <c r="K268" s="1744">
        <v>14786</v>
      </c>
      <c r="L268" s="1744">
        <f t="shared" ref="L268:M268" si="73">SUM(L265:L267)</f>
        <v>15407</v>
      </c>
      <c r="M268" s="1744">
        <f t="shared" si="73"/>
        <v>15977</v>
      </c>
      <c r="N268" s="1744">
        <f t="shared" ref="N268:O268" si="74">SUM(N265:N267)</f>
        <v>16568</v>
      </c>
      <c r="O268" s="1744">
        <f t="shared" si="74"/>
        <v>17181</v>
      </c>
      <c r="Q268" s="394"/>
      <c r="R268" s="394"/>
    </row>
    <row r="269" spans="4:18" ht="12.75" customHeight="1" thickTop="1" x14ac:dyDescent="0.25">
      <c r="D269" s="143"/>
      <c r="E269" s="143"/>
      <c r="J269" s="114"/>
      <c r="K269" s="114"/>
      <c r="L269" s="114"/>
      <c r="M269" s="114"/>
      <c r="N269" s="114"/>
      <c r="O269" s="114"/>
      <c r="Q269" s="394"/>
      <c r="R269" s="394"/>
    </row>
    <row r="270" spans="4:18" ht="12.75" customHeight="1" x14ac:dyDescent="0.25">
      <c r="D270" s="143"/>
      <c r="E270" s="143"/>
      <c r="J270" s="114"/>
      <c r="K270" s="114"/>
      <c r="L270" s="114"/>
      <c r="M270" s="114"/>
      <c r="N270" s="114"/>
      <c r="O270" s="114"/>
      <c r="Q270" s="394"/>
      <c r="R270" s="394"/>
    </row>
    <row r="271" spans="4:18" ht="12.75" customHeight="1" x14ac:dyDescent="0.25">
      <c r="D271" s="393">
        <v>602003</v>
      </c>
      <c r="E271" s="410" t="s">
        <v>723</v>
      </c>
      <c r="H271" s="114"/>
      <c r="J271" s="1629">
        <v>2025</v>
      </c>
      <c r="K271" s="1629">
        <v>2026</v>
      </c>
      <c r="L271" s="1629">
        <v>2027</v>
      </c>
      <c r="M271" s="1629">
        <v>2028</v>
      </c>
      <c r="N271" s="1629">
        <v>2029</v>
      </c>
      <c r="O271" s="1629">
        <v>2030</v>
      </c>
      <c r="Q271" s="394"/>
      <c r="R271" s="394"/>
    </row>
    <row r="272" spans="4:18" ht="12.75" customHeight="1" x14ac:dyDescent="0.25">
      <c r="E272" s="401" t="s">
        <v>773</v>
      </c>
      <c r="F272" s="115"/>
      <c r="I272" s="1630"/>
      <c r="J272" s="1630"/>
      <c r="K272" s="1630"/>
      <c r="L272" s="1630"/>
      <c r="M272" s="1630"/>
      <c r="N272" s="1630"/>
      <c r="O272" s="1630"/>
      <c r="Q272" s="394"/>
      <c r="R272" s="394"/>
    </row>
    <row r="273" spans="4:18" ht="12.75" customHeight="1" x14ac:dyDescent="0.25">
      <c r="E273" s="1633" t="s">
        <v>774</v>
      </c>
      <c r="F273" s="115"/>
      <c r="I273" s="1630"/>
      <c r="J273" s="1630"/>
      <c r="K273" s="1630"/>
      <c r="L273" s="1630"/>
      <c r="M273" s="1630"/>
      <c r="N273" s="1630"/>
      <c r="O273" s="1630"/>
      <c r="Q273" s="394"/>
      <c r="R273" s="1038"/>
    </row>
    <row r="274" spans="4:18" ht="12.75" customHeight="1" x14ac:dyDescent="0.25">
      <c r="D274" s="143">
        <v>44310</v>
      </c>
      <c r="E274" s="115" t="s">
        <v>775</v>
      </c>
      <c r="F274" s="115"/>
      <c r="Q274" s="394"/>
      <c r="R274" s="394"/>
    </row>
    <row r="275" spans="4:18" ht="12.75" customHeight="1" x14ac:dyDescent="0.25">
      <c r="D275" s="143"/>
      <c r="E275" s="115"/>
      <c r="F275" s="115"/>
      <c r="Q275" s="394"/>
      <c r="R275" s="394"/>
    </row>
    <row r="276" spans="4:18" ht="12.75" customHeight="1" x14ac:dyDescent="0.25">
      <c r="D276" s="143"/>
      <c r="E276" s="303">
        <v>2970</v>
      </c>
      <c r="F276" s="115" t="s">
        <v>776</v>
      </c>
      <c r="H276" s="636">
        <v>14.35</v>
      </c>
      <c r="J276" s="114">
        <v>40302.9</v>
      </c>
      <c r="K276" s="114"/>
      <c r="L276" s="114"/>
      <c r="M276" s="114"/>
      <c r="N276" s="114"/>
      <c r="O276" s="114"/>
      <c r="Q276" s="394"/>
      <c r="R276" s="394"/>
    </row>
    <row r="277" spans="4:18" ht="12.75" customHeight="1" x14ac:dyDescent="0.25">
      <c r="D277" s="143"/>
      <c r="E277" s="303">
        <v>2000</v>
      </c>
      <c r="F277" s="115" t="s">
        <v>777</v>
      </c>
      <c r="H277" s="636">
        <f>ROUND(H276*$T$2,1)</f>
        <v>14.7</v>
      </c>
      <c r="J277" s="114"/>
      <c r="K277" s="114">
        <v>29400</v>
      </c>
      <c r="L277" s="114"/>
      <c r="M277" s="114"/>
      <c r="N277" s="114"/>
      <c r="O277" s="114"/>
      <c r="Q277" s="394"/>
      <c r="R277" s="394"/>
    </row>
    <row r="278" spans="4:18" ht="12.75" customHeight="1" x14ac:dyDescent="0.25">
      <c r="D278" s="143"/>
      <c r="E278" s="303">
        <v>2000</v>
      </c>
      <c r="F278" s="115" t="s">
        <v>778</v>
      </c>
      <c r="H278" s="636">
        <f>ROUND(H277*$T$2,1)</f>
        <v>15</v>
      </c>
      <c r="J278" s="114"/>
      <c r="K278" s="114"/>
      <c r="L278" s="114">
        <f>$E278*$H278</f>
        <v>30000</v>
      </c>
      <c r="Q278" s="394"/>
      <c r="R278" s="394"/>
    </row>
    <row r="279" spans="4:18" ht="12.75" customHeight="1" x14ac:dyDescent="0.25">
      <c r="D279" s="143"/>
      <c r="E279" s="303">
        <v>2000</v>
      </c>
      <c r="F279" s="115" t="s">
        <v>779</v>
      </c>
      <c r="H279" s="636">
        <f>ROUND(H278*$U$2,1)</f>
        <v>15.3</v>
      </c>
      <c r="J279" s="114"/>
      <c r="K279" s="114"/>
      <c r="L279" s="114"/>
      <c r="M279" s="114">
        <f>$E279*$H279</f>
        <v>30600</v>
      </c>
      <c r="Q279" s="394"/>
      <c r="R279" s="394"/>
    </row>
    <row r="280" spans="4:18" ht="12.75" customHeight="1" x14ac:dyDescent="0.25">
      <c r="D280" s="143"/>
      <c r="E280" s="303">
        <v>2000</v>
      </c>
      <c r="F280" s="115" t="s">
        <v>780</v>
      </c>
      <c r="H280" s="636">
        <f>ROUND(H279*$V$2,1)</f>
        <v>15.7</v>
      </c>
      <c r="J280" s="114"/>
      <c r="K280" s="114"/>
      <c r="L280" s="114"/>
      <c r="M280" s="114"/>
      <c r="N280" s="114">
        <f>$E280*$H280</f>
        <v>31400</v>
      </c>
      <c r="Q280" s="394"/>
      <c r="R280" s="394"/>
    </row>
    <row r="281" spans="4:18" ht="12.75" customHeight="1" x14ac:dyDescent="0.25">
      <c r="D281" s="143"/>
      <c r="E281" s="2027">
        <v>2000</v>
      </c>
      <c r="F281" s="358" t="s">
        <v>5259</v>
      </c>
      <c r="G281" s="358"/>
      <c r="H281" s="2028">
        <f>ROUND(H280*$W$2,1)</f>
        <v>16.100000000000001</v>
      </c>
      <c r="J281" s="114"/>
      <c r="K281" s="114"/>
      <c r="L281" s="114"/>
      <c r="M281" s="114"/>
      <c r="N281" s="114"/>
      <c r="O281" s="114">
        <f>$E280*$H280</f>
        <v>31400</v>
      </c>
      <c r="Q281" s="394"/>
      <c r="R281" s="394"/>
    </row>
    <row r="282" spans="4:18" ht="12.75" customHeight="1" x14ac:dyDescent="0.25">
      <c r="D282" s="143"/>
      <c r="E282" s="303"/>
      <c r="F282" s="115"/>
      <c r="H282" s="636"/>
      <c r="J282" s="114"/>
      <c r="K282" s="114"/>
      <c r="L282" s="114"/>
      <c r="M282" s="114"/>
      <c r="N282" s="114"/>
      <c r="O282" s="114"/>
      <c r="Q282" s="394"/>
      <c r="R282" s="394"/>
    </row>
    <row r="283" spans="4:18" ht="12.75" customHeight="1" x14ac:dyDescent="0.25">
      <c r="D283" s="143"/>
      <c r="E283" s="303">
        <v>200</v>
      </c>
      <c r="F283" s="115" t="s">
        <v>757</v>
      </c>
      <c r="H283" s="636">
        <f>ROUND(39.65*S2,1)</f>
        <v>40.700000000000003</v>
      </c>
      <c r="J283" s="114">
        <v>9725</v>
      </c>
      <c r="K283" s="114">
        <v>8140.0000000000009</v>
      </c>
      <c r="L283" s="114">
        <f>ROUND(K283*T$2,0)</f>
        <v>8311</v>
      </c>
      <c r="M283" s="114">
        <f>ROUND(L283*U$2,0)</f>
        <v>8502</v>
      </c>
      <c r="N283" s="114">
        <f>ROUND(M283*V$2,0)</f>
        <v>8698</v>
      </c>
      <c r="O283" s="114">
        <f>ROUND(N283*W$2,0)</f>
        <v>8898</v>
      </c>
      <c r="Q283" s="394"/>
      <c r="R283" s="394"/>
    </row>
    <row r="284" spans="4:18" ht="12.75" customHeight="1" thickBot="1" x14ac:dyDescent="0.3">
      <c r="D284" s="143"/>
      <c r="E284" s="115" t="str">
        <f>"Totaal "&amp;D274</f>
        <v>Totaal 44310</v>
      </c>
      <c r="F284" s="115"/>
      <c r="H284" s="114"/>
      <c r="J284" s="1744">
        <v>50027.9</v>
      </c>
      <c r="K284" s="1744">
        <v>37540</v>
      </c>
      <c r="L284" s="1744">
        <f>SUM(L276:L283)</f>
        <v>38311</v>
      </c>
      <c r="M284" s="1744">
        <f>SUM(M276:M283)</f>
        <v>39102</v>
      </c>
      <c r="N284" s="1744">
        <f>SUM(N276:N283)</f>
        <v>40098</v>
      </c>
      <c r="O284" s="1744">
        <f>SUM(O276:O283)</f>
        <v>40298</v>
      </c>
      <c r="Q284" s="394"/>
      <c r="R284" s="394"/>
    </row>
    <row r="285" spans="4:18" ht="12.75" customHeight="1" thickTop="1" x14ac:dyDescent="0.25">
      <c r="D285" s="393">
        <v>602903</v>
      </c>
      <c r="E285" s="381" t="s">
        <v>724</v>
      </c>
      <c r="F285" s="382"/>
      <c r="H285" s="381"/>
      <c r="I285" s="114"/>
      <c r="J285" s="114"/>
      <c r="K285" s="114"/>
      <c r="L285" s="114"/>
      <c r="M285" s="114"/>
      <c r="N285" s="114"/>
      <c r="O285" s="114"/>
      <c r="Q285" s="394"/>
      <c r="R285" s="394"/>
    </row>
    <row r="286" spans="4:18" ht="12.75" customHeight="1" x14ac:dyDescent="0.25">
      <c r="D286" s="143">
        <v>43511</v>
      </c>
      <c r="E286" s="115" t="s">
        <v>781</v>
      </c>
      <c r="I286" s="114"/>
      <c r="J286" s="114">
        <v>6925</v>
      </c>
      <c r="K286" s="114">
        <v>7064</v>
      </c>
      <c r="L286" s="114">
        <f>ROUND(K286*T$3,0)</f>
        <v>7361</v>
      </c>
      <c r="M286" s="114">
        <f>ROUND(L286*U$3,0)</f>
        <v>7633</v>
      </c>
      <c r="N286" s="114">
        <f>ROUND(M286*V$3,0)</f>
        <v>7915</v>
      </c>
      <c r="O286" s="114">
        <f>ROUND(N286*W$3,0)</f>
        <v>8208</v>
      </c>
      <c r="Q286" s="394"/>
      <c r="R286" s="394"/>
    </row>
    <row r="287" spans="4:18" ht="12.75" customHeight="1" x14ac:dyDescent="0.25">
      <c r="D287" s="143"/>
      <c r="E287" s="115"/>
      <c r="I287" s="114"/>
      <c r="J287" s="114"/>
      <c r="K287" s="114"/>
      <c r="L287" s="114"/>
      <c r="M287" s="114"/>
      <c r="N287" s="114"/>
      <c r="O287" s="114"/>
      <c r="Q287" s="394"/>
      <c r="R287" s="394"/>
    </row>
    <row r="288" spans="4:18" ht="12.75" customHeight="1" thickBot="1" x14ac:dyDescent="0.3">
      <c r="D288" s="143"/>
      <c r="E288" s="115" t="s">
        <v>772</v>
      </c>
      <c r="I288" s="114"/>
      <c r="J288" s="1744">
        <v>6925</v>
      </c>
      <c r="K288" s="1744">
        <v>7064</v>
      </c>
      <c r="L288" s="1744">
        <f>SUM(L286:L287)</f>
        <v>7361</v>
      </c>
      <c r="M288" s="1744">
        <f>SUM(M286:M287)</f>
        <v>7633</v>
      </c>
      <c r="N288" s="1744">
        <f>SUM(N286:N287)</f>
        <v>7915</v>
      </c>
      <c r="O288" s="1744">
        <f>SUM(O286:O287)</f>
        <v>8208</v>
      </c>
      <c r="Q288" s="394"/>
      <c r="R288" s="394"/>
    </row>
    <row r="289" spans="4:18" ht="12.75" customHeight="1" thickTop="1" x14ac:dyDescent="0.25">
      <c r="D289" s="143"/>
      <c r="E289" s="115"/>
      <c r="I289" s="114"/>
      <c r="J289" s="114"/>
      <c r="K289" s="114"/>
      <c r="L289" s="114"/>
      <c r="M289" s="114"/>
      <c r="N289" s="114"/>
      <c r="O289" s="114"/>
      <c r="Q289" s="394"/>
      <c r="R289" s="394"/>
    </row>
    <row r="290" spans="4:18" ht="12.75" customHeight="1" x14ac:dyDescent="0.25">
      <c r="D290" s="393">
        <v>602904</v>
      </c>
      <c r="E290" s="381" t="s">
        <v>782</v>
      </c>
      <c r="F290" s="393"/>
      <c r="I290" s="114"/>
      <c r="J290" s="114"/>
      <c r="K290" s="114"/>
      <c r="L290" s="114"/>
      <c r="M290" s="114"/>
      <c r="N290" s="114"/>
      <c r="O290" s="114"/>
      <c r="Q290" s="394"/>
      <c r="R290" s="394"/>
    </row>
    <row r="291" spans="4:18" ht="12.75" customHeight="1" thickBot="1" x14ac:dyDescent="0.3">
      <c r="D291" s="143">
        <v>43812</v>
      </c>
      <c r="E291" s="115" t="s">
        <v>783</v>
      </c>
      <c r="I291" s="114"/>
      <c r="J291" s="412">
        <v>140813</v>
      </c>
      <c r="K291" s="412">
        <v>144474</v>
      </c>
      <c r="L291" s="412">
        <f>T04B!L491</f>
        <v>147508</v>
      </c>
      <c r="M291" s="412">
        <f>T04B!M491</f>
        <v>150901</v>
      </c>
      <c r="N291" s="412">
        <f>T04B!N491</f>
        <v>154372</v>
      </c>
      <c r="O291" s="412">
        <f>T04B!O491</f>
        <v>157923</v>
      </c>
      <c r="Q291" s="394"/>
      <c r="R291" s="394"/>
    </row>
    <row r="292" spans="4:18" ht="12.75" customHeight="1" thickTop="1" x14ac:dyDescent="0.25">
      <c r="D292" s="143"/>
      <c r="E292" s="301" t="s">
        <v>784</v>
      </c>
      <c r="I292" s="114"/>
      <c r="J292" s="114"/>
      <c r="K292" s="114"/>
      <c r="L292" s="114"/>
      <c r="M292" s="114"/>
      <c r="N292" s="114"/>
      <c r="O292" s="114"/>
      <c r="Q292" s="394"/>
      <c r="R292" s="394"/>
    </row>
    <row r="293" spans="4:18" ht="12.75" customHeight="1" x14ac:dyDescent="0.25">
      <c r="D293" s="143"/>
      <c r="E293" s="143"/>
      <c r="G293" s="383"/>
      <c r="I293" s="114"/>
      <c r="J293" s="114"/>
      <c r="K293" s="114"/>
      <c r="L293" s="114"/>
      <c r="M293" s="114"/>
      <c r="N293" s="114"/>
      <c r="O293" s="114"/>
      <c r="Q293" s="394"/>
      <c r="R293" s="394"/>
    </row>
    <row r="294" spans="4:18" ht="12.75" customHeight="1" x14ac:dyDescent="0.25">
      <c r="D294" s="393">
        <v>602005</v>
      </c>
      <c r="E294" s="410" t="s">
        <v>785</v>
      </c>
      <c r="F294" s="115"/>
      <c r="H294" s="1634"/>
      <c r="J294" s="1629">
        <v>2025</v>
      </c>
      <c r="K294" s="1629">
        <v>2026</v>
      </c>
      <c r="L294" s="1629">
        <v>2027</v>
      </c>
      <c r="M294" s="1629">
        <v>2028</v>
      </c>
      <c r="N294" s="1629">
        <v>2029</v>
      </c>
      <c r="O294" s="1629">
        <v>2030</v>
      </c>
      <c r="Q294" s="394"/>
      <c r="R294" s="394"/>
    </row>
    <row r="295" spans="4:18" ht="12.75" customHeight="1" x14ac:dyDescent="0.25">
      <c r="D295" s="384"/>
      <c r="E295" s="399"/>
      <c r="F295" s="115"/>
      <c r="Q295" s="394"/>
    </row>
    <row r="296" spans="4:18" ht="12.75" customHeight="1" thickBot="1" x14ac:dyDescent="0.3">
      <c r="D296" s="143">
        <v>43812</v>
      </c>
      <c r="E296" s="115" t="s">
        <v>786</v>
      </c>
      <c r="F296" s="115"/>
      <c r="H296" s="114"/>
      <c r="J296" s="412">
        <v>2355</v>
      </c>
      <c r="K296" s="412">
        <v>3250</v>
      </c>
      <c r="L296" s="412">
        <f>ROUND(K296*T$2,0)</f>
        <v>3318</v>
      </c>
      <c r="M296" s="412">
        <f>ROUND(L296*U$2,0)</f>
        <v>3394</v>
      </c>
      <c r="N296" s="412">
        <f>ROUND(M296*V$2,0)</f>
        <v>3472</v>
      </c>
      <c r="O296" s="412">
        <f>ROUND(N296*W$2,0)</f>
        <v>3552</v>
      </c>
      <c r="Q296" s="394"/>
    </row>
    <row r="297" spans="4:18" ht="12.75" customHeight="1" thickTop="1" x14ac:dyDescent="0.25">
      <c r="D297" s="384"/>
      <c r="E297" s="399"/>
      <c r="F297" s="115"/>
      <c r="Q297" s="394"/>
    </row>
    <row r="298" spans="4:18" ht="12.75" customHeight="1" x14ac:dyDescent="0.25">
      <c r="D298" s="143">
        <v>44310</v>
      </c>
      <c r="E298" s="1631" t="s">
        <v>787</v>
      </c>
      <c r="F298" s="115"/>
      <c r="H298" s="633"/>
      <c r="Q298" s="394"/>
    </row>
    <row r="299" spans="4:18" ht="12.75" customHeight="1" x14ac:dyDescent="0.25">
      <c r="D299" s="384"/>
      <c r="E299" s="601" t="s">
        <v>788</v>
      </c>
      <c r="F299" s="115"/>
      <c r="Q299" s="394"/>
    </row>
    <row r="300" spans="4:18" ht="12.75" customHeight="1" x14ac:dyDescent="0.25">
      <c r="D300" s="384"/>
      <c r="E300" s="601" t="s">
        <v>789</v>
      </c>
      <c r="F300" s="115"/>
      <c r="Q300" s="394"/>
    </row>
    <row r="301" spans="4:18" ht="12.75" customHeight="1" x14ac:dyDescent="0.25">
      <c r="D301" s="384"/>
      <c r="E301" s="399"/>
      <c r="F301" s="115"/>
      <c r="Q301" s="394"/>
    </row>
    <row r="302" spans="4:18" ht="12.75" customHeight="1" x14ac:dyDescent="0.25">
      <c r="D302" s="115"/>
      <c r="E302" s="1037">
        <v>45</v>
      </c>
      <c r="F302" s="115" t="s">
        <v>790</v>
      </c>
      <c r="I302" s="636">
        <v>860</v>
      </c>
      <c r="J302" s="114">
        <v>19635</v>
      </c>
      <c r="K302" s="114">
        <v>38700</v>
      </c>
      <c r="L302" s="114">
        <f t="shared" ref="L302:O303" si="75">ROUND(K302*T$2,0)</f>
        <v>39513</v>
      </c>
      <c r="M302" s="114">
        <f t="shared" si="75"/>
        <v>40422</v>
      </c>
      <c r="N302" s="114">
        <f t="shared" si="75"/>
        <v>41352</v>
      </c>
      <c r="O302" s="114">
        <f t="shared" si="75"/>
        <v>42303</v>
      </c>
      <c r="Q302" s="394"/>
    </row>
    <row r="303" spans="4:18" ht="12.75" customHeight="1" x14ac:dyDescent="0.25">
      <c r="E303" s="1037">
        <v>15</v>
      </c>
      <c r="F303" s="115" t="s">
        <v>791</v>
      </c>
      <c r="I303" s="636">
        <v>580</v>
      </c>
      <c r="J303" s="114">
        <v>13261</v>
      </c>
      <c r="K303" s="114">
        <v>8700</v>
      </c>
      <c r="L303" s="114">
        <f t="shared" si="75"/>
        <v>8883</v>
      </c>
      <c r="M303" s="114">
        <f t="shared" si="75"/>
        <v>9087</v>
      </c>
      <c r="N303" s="114">
        <f t="shared" si="75"/>
        <v>9296</v>
      </c>
      <c r="O303" s="114">
        <f t="shared" si="75"/>
        <v>9510</v>
      </c>
      <c r="Q303" s="394"/>
    </row>
    <row r="304" spans="4:18" ht="12.75" customHeight="1" x14ac:dyDescent="0.25">
      <c r="E304" s="1037">
        <v>8</v>
      </c>
      <c r="F304" s="115" t="s">
        <v>792</v>
      </c>
      <c r="I304" s="636">
        <v>998</v>
      </c>
      <c r="J304" s="114">
        <v>4559</v>
      </c>
      <c r="K304" s="114">
        <v>7984</v>
      </c>
      <c r="L304" s="114">
        <f t="shared" ref="L304:O305" si="76">ROUND(K304*$R$2,0)</f>
        <v>8208</v>
      </c>
      <c r="M304" s="114">
        <f t="shared" si="76"/>
        <v>8438</v>
      </c>
      <c r="N304" s="114">
        <f t="shared" si="76"/>
        <v>8674</v>
      </c>
      <c r="O304" s="114">
        <f t="shared" si="76"/>
        <v>8917</v>
      </c>
      <c r="Q304" s="394"/>
    </row>
    <row r="305" spans="4:17" ht="12.75" customHeight="1" x14ac:dyDescent="0.25">
      <c r="E305" s="1037">
        <v>1</v>
      </c>
      <c r="F305" s="115" t="s">
        <v>793</v>
      </c>
      <c r="I305" s="636">
        <v>719</v>
      </c>
      <c r="J305" s="114">
        <v>658</v>
      </c>
      <c r="K305" s="114">
        <v>719</v>
      </c>
      <c r="L305" s="114">
        <f t="shared" si="76"/>
        <v>739</v>
      </c>
      <c r="M305" s="114">
        <f t="shared" si="76"/>
        <v>760</v>
      </c>
      <c r="N305" s="114">
        <f t="shared" si="76"/>
        <v>781</v>
      </c>
      <c r="O305" s="114">
        <f t="shared" si="76"/>
        <v>803</v>
      </c>
      <c r="Q305" s="394"/>
    </row>
    <row r="306" spans="4:17" ht="12.75" customHeight="1" x14ac:dyDescent="0.25">
      <c r="E306" s="1037">
        <v>30</v>
      </c>
      <c r="F306" s="115" t="s">
        <v>794</v>
      </c>
      <c r="I306" s="636">
        <v>136</v>
      </c>
      <c r="J306" s="114">
        <v>3084</v>
      </c>
      <c r="K306" s="114">
        <v>4080</v>
      </c>
      <c r="L306" s="114">
        <f>ROUND(K306*T$2,0)</f>
        <v>4166</v>
      </c>
      <c r="M306" s="114">
        <f>ROUND(L306*U$2,0)</f>
        <v>4262</v>
      </c>
      <c r="N306" s="114">
        <f>ROUND(M306*V$2,0)</f>
        <v>4360</v>
      </c>
      <c r="O306" s="114">
        <f>ROUND(N306*W$2,0)</f>
        <v>4460</v>
      </c>
      <c r="Q306" s="394"/>
    </row>
    <row r="307" spans="4:17" ht="12.75" customHeight="1" x14ac:dyDescent="0.25">
      <c r="E307" s="1037">
        <v>1</v>
      </c>
      <c r="F307" s="115" t="s">
        <v>795</v>
      </c>
      <c r="I307" s="636">
        <v>0</v>
      </c>
      <c r="J307" s="114">
        <v>0</v>
      </c>
      <c r="K307" s="114">
        <v>0</v>
      </c>
      <c r="L307" s="114">
        <f t="shared" ref="L307:O309" si="77">ROUND(K307*$W$2,0)</f>
        <v>0</v>
      </c>
      <c r="M307" s="114">
        <f t="shared" si="77"/>
        <v>0</v>
      </c>
      <c r="N307" s="114">
        <f t="shared" si="77"/>
        <v>0</v>
      </c>
      <c r="O307" s="114">
        <f t="shared" si="77"/>
        <v>0</v>
      </c>
      <c r="Q307" s="394"/>
    </row>
    <row r="308" spans="4:17" ht="12.75" customHeight="1" x14ac:dyDescent="0.25">
      <c r="E308" s="1037">
        <v>5</v>
      </c>
      <c r="F308" s="115" t="s">
        <v>796</v>
      </c>
      <c r="I308" s="636">
        <v>0</v>
      </c>
      <c r="J308" s="114">
        <v>0</v>
      </c>
      <c r="K308" s="114">
        <v>0</v>
      </c>
      <c r="L308" s="114">
        <f t="shared" si="77"/>
        <v>0</v>
      </c>
      <c r="M308" s="114">
        <f t="shared" si="77"/>
        <v>0</v>
      </c>
      <c r="N308" s="114">
        <f t="shared" si="77"/>
        <v>0</v>
      </c>
      <c r="O308" s="114">
        <f t="shared" si="77"/>
        <v>0</v>
      </c>
      <c r="Q308" s="394"/>
    </row>
    <row r="309" spans="4:17" ht="12.75" customHeight="1" x14ac:dyDescent="0.25">
      <c r="E309" s="1037">
        <v>1</v>
      </c>
      <c r="F309" s="115" t="s">
        <v>797</v>
      </c>
      <c r="I309" s="636">
        <v>0</v>
      </c>
      <c r="J309" s="114">
        <v>0</v>
      </c>
      <c r="K309" s="114">
        <v>0</v>
      </c>
      <c r="L309" s="114">
        <f t="shared" si="77"/>
        <v>0</v>
      </c>
      <c r="M309" s="114">
        <f t="shared" si="77"/>
        <v>0</v>
      </c>
      <c r="N309" s="114">
        <f t="shared" si="77"/>
        <v>0</v>
      </c>
      <c r="O309" s="114">
        <f t="shared" si="77"/>
        <v>0</v>
      </c>
      <c r="Q309" s="394"/>
    </row>
    <row r="310" spans="4:17" ht="12.75" customHeight="1" x14ac:dyDescent="0.25">
      <c r="E310" s="1037"/>
      <c r="F310" s="115"/>
      <c r="I310" s="636"/>
      <c r="J310" s="114"/>
      <c r="K310" s="114"/>
      <c r="L310" s="114"/>
      <c r="M310" s="114"/>
      <c r="N310" s="114"/>
      <c r="O310" s="114"/>
      <c r="Q310" s="394"/>
    </row>
    <row r="311" spans="4:17" ht="12.75" customHeight="1" x14ac:dyDescent="0.25">
      <c r="D311" s="143">
        <v>44310</v>
      </c>
      <c r="E311" s="423" t="s">
        <v>798</v>
      </c>
      <c r="F311" s="115"/>
      <c r="I311" s="114"/>
      <c r="J311" s="114"/>
      <c r="K311" s="114"/>
      <c r="L311" s="114"/>
      <c r="M311" s="114"/>
      <c r="N311" s="114"/>
      <c r="O311" s="114"/>
      <c r="Q311" s="394"/>
    </row>
    <row r="312" spans="4:17" ht="12.75" customHeight="1" x14ac:dyDescent="0.25">
      <c r="E312" s="115" t="s">
        <v>799</v>
      </c>
      <c r="F312" s="115"/>
      <c r="I312" s="114"/>
      <c r="J312" s="114"/>
      <c r="K312" s="114"/>
      <c r="L312" s="114"/>
      <c r="M312" s="114"/>
      <c r="N312" s="114"/>
      <c r="O312" s="114"/>
      <c r="Q312" s="394"/>
    </row>
    <row r="313" spans="4:17" ht="12.75" customHeight="1" x14ac:dyDescent="0.25">
      <c r="E313" s="115"/>
      <c r="F313" s="115"/>
      <c r="I313" s="114"/>
      <c r="J313" s="114"/>
      <c r="K313" s="114"/>
      <c r="L313" s="114"/>
      <c r="M313" s="114"/>
      <c r="N313" s="114"/>
      <c r="O313" s="114"/>
      <c r="Q313" s="394"/>
    </row>
    <row r="314" spans="4:17" ht="12.75" customHeight="1" x14ac:dyDescent="0.25">
      <c r="D314" s="384"/>
      <c r="E314" s="1037">
        <v>100</v>
      </c>
      <c r="F314" s="115" t="s">
        <v>800</v>
      </c>
      <c r="I314" s="636">
        <v>41.35</v>
      </c>
      <c r="J314" s="114">
        <v>4251</v>
      </c>
      <c r="K314" s="114"/>
      <c r="L314" s="114"/>
      <c r="M314" s="114"/>
      <c r="N314" s="114"/>
      <c r="O314" s="114"/>
      <c r="Q314" s="394"/>
    </row>
    <row r="315" spans="4:17" ht="12.75" customHeight="1" x14ac:dyDescent="0.25">
      <c r="D315" s="384"/>
      <c r="E315" s="1037">
        <v>100</v>
      </c>
      <c r="F315" s="115" t="s">
        <v>801</v>
      </c>
      <c r="I315" s="636">
        <f>ROUND(I314*$S$2,1)</f>
        <v>42.4</v>
      </c>
      <c r="J315" s="114"/>
      <c r="K315" s="114">
        <v>4240</v>
      </c>
      <c r="L315" s="114"/>
      <c r="M315" s="114"/>
      <c r="N315" s="114"/>
      <c r="O315" s="114"/>
      <c r="Q315" s="394"/>
    </row>
    <row r="316" spans="4:17" ht="12.75" customHeight="1" x14ac:dyDescent="0.25">
      <c r="D316" s="384"/>
      <c r="E316" s="1037">
        <v>100</v>
      </c>
      <c r="F316" s="115" t="s">
        <v>802</v>
      </c>
      <c r="I316" s="2028">
        <f>ROUND(I315*$T$2,1)+0.2</f>
        <v>43.5</v>
      </c>
      <c r="J316" s="114"/>
      <c r="K316" s="114"/>
      <c r="L316" s="114">
        <f>$E316*$I316</f>
        <v>4350</v>
      </c>
      <c r="M316" s="114"/>
      <c r="N316" s="114"/>
      <c r="O316" s="114"/>
      <c r="Q316" s="394"/>
    </row>
    <row r="317" spans="4:17" ht="12.75" customHeight="1" x14ac:dyDescent="0.25">
      <c r="D317" s="384"/>
      <c r="E317" s="1037">
        <v>100</v>
      </c>
      <c r="F317" s="115" t="s">
        <v>803</v>
      </c>
      <c r="I317" s="2028">
        <f>ROUND(I316*$U$2,1)+0.1</f>
        <v>44.6</v>
      </c>
      <c r="J317" s="114"/>
      <c r="K317" s="114"/>
      <c r="L317" s="114"/>
      <c r="M317" s="114">
        <f>$E317*$I317</f>
        <v>4460</v>
      </c>
      <c r="Q317" s="394"/>
    </row>
    <row r="318" spans="4:17" ht="12.75" customHeight="1" x14ac:dyDescent="0.25">
      <c r="D318" s="384"/>
      <c r="E318" s="1037">
        <v>100</v>
      </c>
      <c r="F318" s="115" t="s">
        <v>804</v>
      </c>
      <c r="I318" s="2028">
        <f>ROUND(I317*$V$2,1)+0.2</f>
        <v>45.800000000000004</v>
      </c>
      <c r="J318" s="114"/>
      <c r="K318" s="114"/>
      <c r="L318" s="114"/>
      <c r="M318" s="114"/>
      <c r="N318" s="114">
        <f>$E318*$I318</f>
        <v>4580</v>
      </c>
      <c r="Q318" s="394"/>
    </row>
    <row r="319" spans="4:17" ht="12.75" customHeight="1" x14ac:dyDescent="0.25">
      <c r="D319" s="384"/>
      <c r="E319" s="2030">
        <v>100</v>
      </c>
      <c r="F319" s="358" t="s">
        <v>5260</v>
      </c>
      <c r="G319" s="358"/>
      <c r="H319" s="358"/>
      <c r="I319" s="2028">
        <f>ROUND(I318*$W$2,1)</f>
        <v>46.9</v>
      </c>
      <c r="J319" s="114"/>
      <c r="K319" s="114"/>
      <c r="L319" s="114"/>
      <c r="M319" s="114"/>
      <c r="N319" s="114"/>
      <c r="O319" s="114">
        <f>$E318*$I318</f>
        <v>4580</v>
      </c>
      <c r="Q319" s="394"/>
    </row>
    <row r="320" spans="4:17" ht="12.75" customHeight="1" x14ac:dyDescent="0.25">
      <c r="D320" s="384"/>
      <c r="E320" s="115"/>
      <c r="F320" s="1037"/>
      <c r="H320" s="636"/>
      <c r="J320" s="114"/>
      <c r="K320" s="114"/>
      <c r="L320" s="114"/>
      <c r="M320" s="114"/>
      <c r="N320" s="114"/>
      <c r="O320" s="114"/>
      <c r="Q320" s="394"/>
    </row>
    <row r="321" spans="4:17" ht="12.75" customHeight="1" x14ac:dyDescent="0.25">
      <c r="D321" s="384">
        <v>44310</v>
      </c>
      <c r="E321" s="490" t="s">
        <v>805</v>
      </c>
      <c r="F321" s="115"/>
      <c r="I321" s="636"/>
      <c r="J321" s="114"/>
      <c r="K321" s="114"/>
      <c r="L321" s="114"/>
      <c r="M321" s="114"/>
      <c r="N321" s="114"/>
      <c r="O321" s="114"/>
      <c r="Q321" s="394"/>
    </row>
    <row r="322" spans="4:17" ht="12.75" customHeight="1" x14ac:dyDescent="0.25">
      <c r="E322" s="1037">
        <v>175</v>
      </c>
      <c r="F322" s="115" t="s">
        <v>806</v>
      </c>
      <c r="I322" s="636">
        <v>45.25</v>
      </c>
      <c r="J322" s="114">
        <v>7439.25</v>
      </c>
      <c r="K322" s="114"/>
      <c r="L322" s="114"/>
      <c r="M322" s="114"/>
      <c r="N322" s="114"/>
      <c r="O322" s="114"/>
      <c r="Q322" s="394"/>
    </row>
    <row r="323" spans="4:17" ht="12.75" customHeight="1" x14ac:dyDescent="0.25">
      <c r="D323" s="384"/>
      <c r="E323" s="1037">
        <v>175</v>
      </c>
      <c r="F323" s="115" t="s">
        <v>806</v>
      </c>
      <c r="I323" s="636">
        <f>ROUND(I322*$S$2,1)</f>
        <v>46.4</v>
      </c>
      <c r="J323" s="114"/>
      <c r="K323" s="114">
        <v>8120</v>
      </c>
      <c r="L323" s="114"/>
      <c r="M323" s="114"/>
      <c r="N323" s="114"/>
      <c r="O323" s="114"/>
      <c r="Q323" s="394"/>
    </row>
    <row r="324" spans="4:17" ht="12.75" customHeight="1" x14ac:dyDescent="0.25">
      <c r="D324" s="384"/>
      <c r="E324" s="1037">
        <v>175</v>
      </c>
      <c r="F324" s="115" t="s">
        <v>806</v>
      </c>
      <c r="I324" s="2028">
        <f>ROUND(I323*$T$2,1)+0.2</f>
        <v>47.6</v>
      </c>
      <c r="J324" s="114"/>
      <c r="K324" s="114"/>
      <c r="L324" s="114">
        <f>$E324*$I324</f>
        <v>8330</v>
      </c>
      <c r="Q324" s="394"/>
    </row>
    <row r="325" spans="4:17" ht="12.75" customHeight="1" x14ac:dyDescent="0.25">
      <c r="D325" s="384"/>
      <c r="E325" s="1037">
        <v>175</v>
      </c>
      <c r="F325" s="115" t="s">
        <v>806</v>
      </c>
      <c r="I325" s="2028">
        <f>ROUND(I324*$U$2,1)+0.2</f>
        <v>48.900000000000006</v>
      </c>
      <c r="J325" s="114"/>
      <c r="K325" s="114"/>
      <c r="L325" s="114"/>
      <c r="M325" s="114">
        <f>+E325*I325</f>
        <v>8557.5000000000018</v>
      </c>
      <c r="Q325" s="394"/>
    </row>
    <row r="326" spans="4:17" ht="12.75" customHeight="1" x14ac:dyDescent="0.25">
      <c r="D326" s="384"/>
      <c r="E326" s="1037">
        <v>175</v>
      </c>
      <c r="F326" s="115" t="s">
        <v>806</v>
      </c>
      <c r="I326" s="2028">
        <f>ROUND(I325*$V$2,1)+0.2</f>
        <v>50.2</v>
      </c>
      <c r="J326" s="114"/>
      <c r="K326" s="114"/>
      <c r="L326" s="114"/>
      <c r="M326" s="114"/>
      <c r="N326" s="114">
        <f>+E326*I326</f>
        <v>8785</v>
      </c>
      <c r="O326" s="114"/>
      <c r="Q326" s="394"/>
    </row>
    <row r="327" spans="4:17" ht="12.75" customHeight="1" x14ac:dyDescent="0.25">
      <c r="D327" s="384"/>
      <c r="E327" s="2030">
        <v>175</v>
      </c>
      <c r="F327" s="358" t="s">
        <v>806</v>
      </c>
      <c r="G327" s="358"/>
      <c r="H327" s="358"/>
      <c r="I327" s="2028">
        <f>ROUND(I326*$W$2,1)</f>
        <v>51.4</v>
      </c>
      <c r="J327" s="114"/>
      <c r="K327" s="114"/>
      <c r="L327" s="114"/>
      <c r="M327" s="114"/>
      <c r="N327" s="114"/>
      <c r="O327" s="114">
        <f>+E327*I327</f>
        <v>8995</v>
      </c>
      <c r="Q327" s="394"/>
    </row>
    <row r="328" spans="4:17" ht="12.75" customHeight="1" x14ac:dyDescent="0.25">
      <c r="D328" s="384"/>
      <c r="E328" s="115"/>
      <c r="F328" s="1037"/>
      <c r="H328" s="636"/>
      <c r="J328" s="114"/>
      <c r="K328" s="114"/>
      <c r="L328" s="114"/>
      <c r="M328" s="114"/>
      <c r="N328" s="114"/>
      <c r="O328" s="114"/>
      <c r="P328" s="114"/>
      <c r="Q328" s="394"/>
    </row>
    <row r="329" spans="4:17" ht="12.75" customHeight="1" thickBot="1" x14ac:dyDescent="0.3">
      <c r="D329" s="143"/>
      <c r="E329" s="115"/>
      <c r="F329" s="115" t="s">
        <v>807</v>
      </c>
      <c r="G329" s="399"/>
      <c r="J329" s="1744">
        <v>45448</v>
      </c>
      <c r="K329" s="1744">
        <v>64423</v>
      </c>
      <c r="L329" s="1744">
        <f>SUM(L302:L320)</f>
        <v>65859</v>
      </c>
      <c r="M329" s="1744">
        <f>SUM(M302:M320)</f>
        <v>67429</v>
      </c>
      <c r="N329" s="1744">
        <f>SUM(N302:N320)</f>
        <v>69043</v>
      </c>
      <c r="O329" s="1744">
        <f>SUM(O302:O320)</f>
        <v>70573</v>
      </c>
      <c r="P329" s="114"/>
      <c r="Q329" s="114"/>
    </row>
    <row r="330" spans="4:17" ht="12.75" customHeight="1" thickTop="1" x14ac:dyDescent="0.25">
      <c r="D330" s="143"/>
      <c r="E330" s="143"/>
      <c r="H330" s="399"/>
      <c r="I330" s="114"/>
      <c r="J330" s="114"/>
      <c r="K330" s="114"/>
      <c r="L330" s="114"/>
      <c r="M330" s="114"/>
      <c r="N330" s="114"/>
      <c r="O330" s="114"/>
      <c r="P330" s="114"/>
      <c r="Q330" s="394"/>
    </row>
    <row r="331" spans="4:17" ht="12.75" customHeight="1" x14ac:dyDescent="0.25">
      <c r="D331" s="393">
        <v>602006</v>
      </c>
      <c r="E331" s="410" t="s">
        <v>729</v>
      </c>
      <c r="F331" s="393"/>
      <c r="I331" s="114"/>
      <c r="J331" s="1629">
        <v>2025</v>
      </c>
      <c r="K331" s="1629">
        <v>2026</v>
      </c>
      <c r="L331" s="1629">
        <v>2027</v>
      </c>
      <c r="M331" s="1629">
        <v>2028</v>
      </c>
      <c r="N331" s="1629">
        <v>2029</v>
      </c>
      <c r="O331" s="1629">
        <v>2030</v>
      </c>
      <c r="P331" s="1192"/>
      <c r="Q331" s="394"/>
    </row>
    <row r="332" spans="4:17" ht="12.75" customHeight="1" x14ac:dyDescent="0.25">
      <c r="D332" s="393"/>
      <c r="E332" s="393"/>
      <c r="F332" s="393"/>
      <c r="G332" s="410"/>
      <c r="I332" s="114"/>
      <c r="J332" s="1635"/>
      <c r="K332" s="1635"/>
      <c r="L332" s="1635"/>
      <c r="M332" s="1635"/>
      <c r="N332" s="1635"/>
      <c r="O332" s="1635"/>
      <c r="P332" s="1635"/>
      <c r="Q332" s="394"/>
    </row>
    <row r="333" spans="4:17" ht="12.75" customHeight="1" x14ac:dyDescent="0.25">
      <c r="D333" s="143">
        <v>43805</v>
      </c>
      <c r="E333" s="2510" t="s">
        <v>808</v>
      </c>
      <c r="F333" s="2510"/>
      <c r="G333" s="2510"/>
      <c r="H333" s="2510"/>
      <c r="I333" s="2510"/>
      <c r="Q333" s="394"/>
    </row>
    <row r="334" spans="4:17" ht="12.75" customHeight="1" x14ac:dyDescent="0.25">
      <c r="D334" s="143"/>
      <c r="E334" s="2510"/>
      <c r="F334" s="2510"/>
      <c r="G334" s="2510"/>
      <c r="H334" s="2510"/>
      <c r="I334" s="2510"/>
      <c r="Q334" s="394"/>
    </row>
    <row r="335" spans="4:17" ht="12.75" customHeight="1" x14ac:dyDescent="0.25">
      <c r="D335" s="384"/>
      <c r="E335" s="384"/>
      <c r="F335" s="384"/>
      <c r="G335" s="399"/>
      <c r="H335" s="399"/>
      <c r="I335" s="399"/>
      <c r="J335" s="399"/>
      <c r="K335" s="399"/>
      <c r="L335" s="399"/>
      <c r="M335" s="399"/>
      <c r="N335" s="399"/>
      <c r="O335" s="399"/>
      <c r="P335" s="399"/>
      <c r="Q335" s="394"/>
    </row>
    <row r="336" spans="4:17" ht="12.75" customHeight="1" x14ac:dyDescent="0.25">
      <c r="D336" s="384"/>
      <c r="E336" s="384"/>
      <c r="F336" s="384"/>
      <c r="I336" s="1636"/>
      <c r="J336" s="1629">
        <v>2025</v>
      </c>
      <c r="K336" s="1629">
        <v>2026</v>
      </c>
      <c r="L336" s="1629">
        <v>2027</v>
      </c>
      <c r="M336" s="1629">
        <v>2028</v>
      </c>
      <c r="N336" s="1629">
        <v>2029</v>
      </c>
      <c r="O336" s="1629">
        <v>2030</v>
      </c>
      <c r="P336" s="1192"/>
      <c r="Q336" s="394"/>
    </row>
    <row r="337" spans="4:17" ht="12.75" customHeight="1" x14ac:dyDescent="0.25">
      <c r="D337" s="384"/>
      <c r="E337" s="384"/>
      <c r="F337" s="115"/>
      <c r="H337" s="1635"/>
      <c r="J337" s="1635"/>
      <c r="K337" s="1635"/>
      <c r="L337" s="1635"/>
      <c r="M337" s="1635"/>
      <c r="N337" s="1635"/>
      <c r="O337" s="1635"/>
      <c r="P337" s="1635"/>
      <c r="Q337" s="394"/>
    </row>
    <row r="338" spans="4:17" ht="12.75" customHeight="1" x14ac:dyDescent="0.25">
      <c r="D338" s="143"/>
      <c r="E338" s="400">
        <v>11</v>
      </c>
      <c r="F338" s="115" t="s">
        <v>809</v>
      </c>
      <c r="H338" s="1637">
        <v>100</v>
      </c>
      <c r="J338" s="114">
        <v>1100</v>
      </c>
      <c r="K338" s="114"/>
      <c r="L338" s="114"/>
      <c r="M338" s="114"/>
      <c r="N338" s="114"/>
      <c r="O338" s="114"/>
      <c r="P338" s="114"/>
      <c r="Q338" s="394"/>
    </row>
    <row r="339" spans="4:17" ht="12.75" customHeight="1" x14ac:dyDescent="0.25">
      <c r="D339" s="143"/>
      <c r="E339" s="400">
        <v>11</v>
      </c>
      <c r="F339" s="115" t="s">
        <v>810</v>
      </c>
      <c r="H339" s="1637">
        <v>100</v>
      </c>
      <c r="J339" s="114"/>
      <c r="K339" s="114">
        <v>1100</v>
      </c>
      <c r="L339" s="114"/>
      <c r="M339" s="114"/>
      <c r="N339" s="114"/>
      <c r="O339" s="114"/>
      <c r="Q339" s="394"/>
    </row>
    <row r="340" spans="4:17" ht="12.75" customHeight="1" x14ac:dyDescent="0.25">
      <c r="D340" s="143"/>
      <c r="E340" s="400">
        <v>11</v>
      </c>
      <c r="F340" s="115" t="s">
        <v>811</v>
      </c>
      <c r="H340" s="1637">
        <v>100</v>
      </c>
      <c r="J340" s="114"/>
      <c r="K340" s="114"/>
      <c r="L340" s="114">
        <f>$E340*$H340</f>
        <v>1100</v>
      </c>
      <c r="M340" s="114"/>
      <c r="N340" s="114"/>
      <c r="O340" s="114"/>
      <c r="Q340" s="394"/>
    </row>
    <row r="341" spans="4:17" ht="12.75" customHeight="1" x14ac:dyDescent="0.25">
      <c r="D341" s="143"/>
      <c r="E341" s="400">
        <v>11</v>
      </c>
      <c r="F341" s="115" t="s">
        <v>812</v>
      </c>
      <c r="H341" s="1637">
        <v>100</v>
      </c>
      <c r="J341" s="114"/>
      <c r="K341" s="114"/>
      <c r="L341" s="114"/>
      <c r="M341" s="114">
        <f>+E341*H341</f>
        <v>1100</v>
      </c>
      <c r="Q341" s="394"/>
    </row>
    <row r="342" spans="4:17" ht="12.75" customHeight="1" x14ac:dyDescent="0.25">
      <c r="D342" s="143"/>
      <c r="E342" s="400">
        <v>11</v>
      </c>
      <c r="F342" s="115" t="s">
        <v>813</v>
      </c>
      <c r="H342" s="1637">
        <v>100</v>
      </c>
      <c r="J342" s="114"/>
      <c r="K342" s="114"/>
      <c r="L342" s="114"/>
      <c r="M342" s="114"/>
      <c r="N342" s="114">
        <f>+E342*H342</f>
        <v>1100</v>
      </c>
      <c r="O342" s="114"/>
      <c r="Q342" s="394"/>
    </row>
    <row r="343" spans="4:17" ht="12.75" customHeight="1" x14ac:dyDescent="0.25">
      <c r="D343" s="143"/>
      <c r="E343" s="546">
        <v>11</v>
      </c>
      <c r="F343" s="358" t="s">
        <v>5261</v>
      </c>
      <c r="G343" s="358"/>
      <c r="H343" s="2031">
        <v>100</v>
      </c>
      <c r="J343" s="114"/>
      <c r="K343" s="114"/>
      <c r="L343" s="114"/>
      <c r="M343" s="114"/>
      <c r="N343" s="114"/>
      <c r="O343" s="114">
        <f>+E343*H343</f>
        <v>1100</v>
      </c>
      <c r="Q343" s="394"/>
    </row>
    <row r="344" spans="4:17" ht="12.75" customHeight="1" x14ac:dyDescent="0.25">
      <c r="D344" s="143"/>
      <c r="E344" s="115" t="s">
        <v>814</v>
      </c>
      <c r="F344" s="115"/>
      <c r="H344" s="1637"/>
      <c r="J344" s="114"/>
      <c r="K344" s="114">
        <v>2000</v>
      </c>
      <c r="L344" s="114">
        <v>2000</v>
      </c>
      <c r="M344" s="114">
        <v>2000</v>
      </c>
      <c r="N344" s="114">
        <v>2000</v>
      </c>
      <c r="O344" s="114">
        <v>2000</v>
      </c>
      <c r="P344" s="115" t="s">
        <v>815</v>
      </c>
      <c r="Q344" s="394"/>
    </row>
    <row r="345" spans="4:17" ht="12.75" customHeight="1" x14ac:dyDescent="0.25">
      <c r="D345" s="143"/>
      <c r="E345" s="400"/>
      <c r="F345" s="115"/>
      <c r="H345" s="1637"/>
      <c r="J345" s="114"/>
      <c r="K345" s="114"/>
      <c r="L345" s="114"/>
      <c r="M345" s="114"/>
      <c r="N345" s="114"/>
      <c r="O345" s="114"/>
      <c r="Q345" s="394"/>
    </row>
    <row r="346" spans="4:17" ht="12.75" customHeight="1" thickBot="1" x14ac:dyDescent="0.3">
      <c r="D346" s="143"/>
      <c r="E346" s="306" t="str">
        <f>"Totaal "&amp;D333</f>
        <v>Totaal 43805</v>
      </c>
      <c r="F346" s="115"/>
      <c r="H346" s="114"/>
      <c r="J346" s="1744">
        <v>1100</v>
      </c>
      <c r="K346" s="1744">
        <v>3100</v>
      </c>
      <c r="L346" s="1744">
        <f t="shared" ref="L346:N346" si="78">SUM(L339:L345)</f>
        <v>3100</v>
      </c>
      <c r="M346" s="1744">
        <f t="shared" si="78"/>
        <v>3100</v>
      </c>
      <c r="N346" s="1744">
        <f t="shared" si="78"/>
        <v>3100</v>
      </c>
      <c r="O346" s="1744">
        <f t="shared" ref="O346" si="79">SUM(O339:O345)</f>
        <v>3100</v>
      </c>
      <c r="Q346" s="394"/>
    </row>
    <row r="347" spans="4:17" ht="12.75" customHeight="1" thickTop="1" x14ac:dyDescent="0.25">
      <c r="D347" s="143"/>
      <c r="E347" s="143"/>
      <c r="G347" s="400"/>
      <c r="I347" s="114"/>
      <c r="Q347" s="394"/>
    </row>
    <row r="348" spans="4:17" ht="12.75" customHeight="1" x14ac:dyDescent="0.25">
      <c r="D348" s="143"/>
      <c r="E348" s="143"/>
      <c r="G348" s="400"/>
      <c r="I348" s="114"/>
      <c r="J348" s="114"/>
      <c r="K348" s="114"/>
      <c r="L348" s="114"/>
      <c r="M348" s="114"/>
      <c r="N348" s="114"/>
      <c r="O348" s="114"/>
      <c r="Q348" s="394"/>
    </row>
    <row r="349" spans="4:17" ht="12.75" customHeight="1" x14ac:dyDescent="0.25">
      <c r="D349" s="143"/>
      <c r="E349" s="143"/>
      <c r="G349" s="400"/>
      <c r="I349" s="114"/>
      <c r="J349" s="1629">
        <v>2025</v>
      </c>
      <c r="K349" s="1629">
        <v>2026</v>
      </c>
      <c r="L349" s="1629">
        <v>2027</v>
      </c>
      <c r="M349" s="1629">
        <v>2028</v>
      </c>
      <c r="N349" s="1629">
        <v>2029</v>
      </c>
      <c r="O349" s="1629">
        <v>2030</v>
      </c>
      <c r="Q349" s="394"/>
    </row>
    <row r="350" spans="4:17" ht="12.75" customHeight="1" x14ac:dyDescent="0.25">
      <c r="D350" s="143">
        <v>43812</v>
      </c>
      <c r="E350" s="115" t="s">
        <v>816</v>
      </c>
      <c r="F350" s="115"/>
      <c r="H350" s="114"/>
      <c r="Q350" s="394"/>
    </row>
    <row r="351" spans="4:17" ht="12.75" customHeight="1" x14ac:dyDescent="0.25">
      <c r="M351" s="114"/>
      <c r="N351" s="114"/>
      <c r="O351" s="114"/>
      <c r="Q351" s="394"/>
    </row>
    <row r="352" spans="4:17" ht="12.75" customHeight="1" x14ac:dyDescent="0.25">
      <c r="E352" s="485" t="s">
        <v>817</v>
      </c>
      <c r="F352" s="115"/>
      <c r="H352" s="1637"/>
      <c r="J352" s="114"/>
      <c r="K352" s="114"/>
      <c r="L352" s="114"/>
      <c r="M352" s="114"/>
      <c r="N352" s="114"/>
      <c r="O352" s="114"/>
      <c r="Q352" s="394"/>
    </row>
    <row r="353" spans="4:17" ht="12.75" customHeight="1" x14ac:dyDescent="0.25">
      <c r="E353" s="115" t="s">
        <v>818</v>
      </c>
      <c r="F353" s="115"/>
      <c r="H353" s="114"/>
      <c r="J353" s="114">
        <v>8250</v>
      </c>
      <c r="K353" s="114">
        <v>12150</v>
      </c>
      <c r="L353" s="114">
        <v>12150</v>
      </c>
      <c r="M353" s="114">
        <v>12150</v>
      </c>
      <c r="N353" s="114">
        <v>12150</v>
      </c>
      <c r="O353" s="114">
        <v>12150</v>
      </c>
      <c r="P353" s="115" t="s">
        <v>819</v>
      </c>
      <c r="Q353" s="394"/>
    </row>
    <row r="354" spans="4:17" ht="12.75" customHeight="1" x14ac:dyDescent="0.25">
      <c r="E354" s="400"/>
      <c r="F354" s="115"/>
      <c r="H354" s="114"/>
      <c r="J354" s="114"/>
      <c r="K354" s="114"/>
      <c r="L354" s="114"/>
      <c r="M354" s="114"/>
      <c r="N354" s="114"/>
      <c r="O354" s="114"/>
      <c r="Q354" s="394"/>
    </row>
    <row r="355" spans="4:17" ht="12.75" customHeight="1" x14ac:dyDescent="0.25">
      <c r="E355" s="308" t="s">
        <v>820</v>
      </c>
      <c r="F355" s="115"/>
      <c r="H355" s="114"/>
      <c r="J355" s="114">
        <v>4367</v>
      </c>
      <c r="K355" s="114">
        <v>4500</v>
      </c>
      <c r="L355" s="114">
        <f t="shared" ref="L355:O356" si="80">ROUND(K355*T$2,-1)</f>
        <v>4590</v>
      </c>
      <c r="M355" s="114">
        <f t="shared" si="80"/>
        <v>4700</v>
      </c>
      <c r="N355" s="114">
        <f t="shared" si="80"/>
        <v>4810</v>
      </c>
      <c r="O355" s="114">
        <f t="shared" si="80"/>
        <v>4920</v>
      </c>
      <c r="P355" s="115" t="s">
        <v>819</v>
      </c>
      <c r="Q355" s="394"/>
    </row>
    <row r="356" spans="4:17" ht="12.75" customHeight="1" x14ac:dyDescent="0.25">
      <c r="E356" s="308" t="s">
        <v>821</v>
      </c>
      <c r="F356" s="115"/>
      <c r="H356" s="114"/>
      <c r="J356" s="114">
        <v>16374</v>
      </c>
      <c r="K356" s="114">
        <v>26200</v>
      </c>
      <c r="L356" s="114">
        <f t="shared" si="80"/>
        <v>26750</v>
      </c>
      <c r="M356" s="114">
        <f t="shared" si="80"/>
        <v>27370</v>
      </c>
      <c r="N356" s="114">
        <f t="shared" si="80"/>
        <v>28000</v>
      </c>
      <c r="O356" s="114">
        <f t="shared" si="80"/>
        <v>28640</v>
      </c>
      <c r="P356" s="115" t="s">
        <v>819</v>
      </c>
      <c r="Q356" s="394"/>
    </row>
    <row r="357" spans="4:17" ht="12.75" customHeight="1" x14ac:dyDescent="0.25">
      <c r="E357" s="308" t="s">
        <v>822</v>
      </c>
      <c r="F357" s="115"/>
      <c r="H357" s="114"/>
      <c r="J357" s="114"/>
      <c r="K357" s="114">
        <v>460</v>
      </c>
      <c r="L357" s="114">
        <f t="shared" ref="L357" si="81">ROUND(K357*T$2,0)</f>
        <v>470</v>
      </c>
      <c r="M357" s="114">
        <f t="shared" ref="M357" si="82">ROUND(L357*U$2,0)</f>
        <v>481</v>
      </c>
      <c r="N357" s="114">
        <f t="shared" ref="N357:O357" si="83">ROUND(M357*V$2,0)</f>
        <v>492</v>
      </c>
      <c r="O357" s="114">
        <f t="shared" si="83"/>
        <v>503</v>
      </c>
      <c r="P357" s="115" t="s">
        <v>819</v>
      </c>
      <c r="Q357" s="394"/>
    </row>
    <row r="358" spans="4:17" ht="12.75" customHeight="1" x14ac:dyDescent="0.25">
      <c r="E358" s="308" t="s">
        <v>823</v>
      </c>
      <c r="F358" s="115"/>
      <c r="H358" s="114"/>
      <c r="J358" s="114">
        <v>1965</v>
      </c>
      <c r="K358" s="114">
        <v>1600</v>
      </c>
      <c r="L358" s="114">
        <f>ROUND(K358*T$2,-1)</f>
        <v>1630</v>
      </c>
      <c r="M358" s="114">
        <f>ROUND(L358*U$2,-1)</f>
        <v>1670</v>
      </c>
      <c r="N358" s="114">
        <f>ROUND(M358*V$2,-1)</f>
        <v>1710</v>
      </c>
      <c r="O358" s="114">
        <f>ROUND(N358*W$2,-1)</f>
        <v>1750</v>
      </c>
      <c r="P358" s="115" t="s">
        <v>819</v>
      </c>
      <c r="Q358" s="394"/>
    </row>
    <row r="359" spans="4:17" ht="12.75" customHeight="1" x14ac:dyDescent="0.25">
      <c r="E359" s="308" t="s">
        <v>824</v>
      </c>
      <c r="F359" s="115"/>
      <c r="H359" s="114"/>
      <c r="J359" s="114">
        <v>1092</v>
      </c>
      <c r="K359" s="114">
        <v>7900</v>
      </c>
      <c r="L359" s="114">
        <f>ROUND(K359*T$2,0)</f>
        <v>8066</v>
      </c>
      <c r="M359" s="114">
        <f>ROUND(L359*U$2,0)</f>
        <v>8252</v>
      </c>
      <c r="N359" s="114">
        <f>ROUND(M359*V$2,0)</f>
        <v>8442</v>
      </c>
      <c r="O359" s="114">
        <f>ROUND(N359*W$2,0)</f>
        <v>8636</v>
      </c>
      <c r="P359" s="115" t="s">
        <v>819</v>
      </c>
    </row>
    <row r="360" spans="4:17" ht="12.75" customHeight="1" x14ac:dyDescent="0.25">
      <c r="E360" s="308" t="s">
        <v>825</v>
      </c>
      <c r="F360" s="115"/>
      <c r="H360" s="114"/>
      <c r="J360" s="114"/>
      <c r="K360" s="114"/>
      <c r="L360" s="114"/>
      <c r="M360" s="114"/>
      <c r="N360" s="114"/>
      <c r="O360" s="114"/>
    </row>
    <row r="361" spans="4:17" ht="12.75" customHeight="1" x14ac:dyDescent="0.25">
      <c r="E361" s="308" t="s">
        <v>826</v>
      </c>
      <c r="F361" s="115"/>
      <c r="H361" s="114"/>
      <c r="J361" s="114">
        <v>5833</v>
      </c>
      <c r="K361" s="114">
        <v>5985</v>
      </c>
      <c r="L361" s="114">
        <f>ROUND(K361*T$2,0)</f>
        <v>6111</v>
      </c>
      <c r="M361" s="114">
        <f>ROUND(L361*U$2,0)</f>
        <v>6252</v>
      </c>
      <c r="N361" s="114">
        <f>ROUND(M361*V$2,0)</f>
        <v>6396</v>
      </c>
      <c r="O361" s="114">
        <f>ROUND(N361*W$2,0)</f>
        <v>6543</v>
      </c>
    </row>
    <row r="362" spans="4:17" ht="12.75" customHeight="1" x14ac:dyDescent="0.25">
      <c r="E362" s="308" t="s">
        <v>827</v>
      </c>
      <c r="F362" s="115"/>
      <c r="H362" s="114"/>
      <c r="J362" s="114"/>
      <c r="K362" s="114"/>
      <c r="L362" s="114"/>
      <c r="M362" s="114"/>
      <c r="N362" s="114"/>
      <c r="O362" s="114"/>
    </row>
    <row r="363" spans="4:17" ht="12.75" customHeight="1" x14ac:dyDescent="0.25">
      <c r="E363" s="308" t="s">
        <v>828</v>
      </c>
      <c r="F363" s="115"/>
      <c r="H363" s="114"/>
      <c r="J363" s="114">
        <v>7243</v>
      </c>
      <c r="K363" s="114">
        <v>0</v>
      </c>
      <c r="L363" s="114">
        <f t="shared" ref="L363" si="84">ROUND(K363*T$2,0)</f>
        <v>0</v>
      </c>
      <c r="M363" s="114">
        <f t="shared" ref="M363" si="85">ROUND(L363*U$2,0)</f>
        <v>0</v>
      </c>
      <c r="N363" s="114">
        <f t="shared" ref="N363:O363" si="86">ROUND(M363*V$2,0)</f>
        <v>0</v>
      </c>
      <c r="O363" s="114">
        <f t="shared" si="86"/>
        <v>0</v>
      </c>
    </row>
    <row r="364" spans="4:17" ht="12.75" customHeight="1" thickBot="1" x14ac:dyDescent="0.3">
      <c r="E364" s="115" t="str">
        <f>"Totaal "&amp;D350</f>
        <v>Totaal 43812</v>
      </c>
      <c r="F364" s="115"/>
      <c r="H364" s="114"/>
      <c r="J364" s="1744">
        <v>57271</v>
      </c>
      <c r="K364" s="1744">
        <v>58795</v>
      </c>
      <c r="L364" s="1744">
        <f>SUM(L352:L363)</f>
        <v>59767</v>
      </c>
      <c r="M364" s="1744">
        <f>SUM(M352:M363)</f>
        <v>60875</v>
      </c>
      <c r="N364" s="1744">
        <f>SUM(N352:N363)</f>
        <v>62000</v>
      </c>
      <c r="O364" s="1744">
        <f>SUM(O352:O363)</f>
        <v>63142</v>
      </c>
    </row>
    <row r="365" spans="4:17" ht="12.75" customHeight="1" thickTop="1" x14ac:dyDescent="0.25">
      <c r="D365" s="143"/>
      <c r="E365" s="143"/>
      <c r="I365" s="114"/>
    </row>
    <row r="366" spans="4:17" ht="12.75" customHeight="1" x14ac:dyDescent="0.25">
      <c r="D366" s="1723"/>
      <c r="E366" s="1724" t="s">
        <v>829</v>
      </c>
      <c r="F366" s="1723"/>
      <c r="G366" s="1720"/>
      <c r="H366" s="1724"/>
      <c r="I366" s="1724"/>
      <c r="J366" s="1720"/>
      <c r="L366" s="1720"/>
      <c r="M366" s="1720"/>
      <c r="N366" s="1720"/>
      <c r="O366" s="1720"/>
    </row>
    <row r="367" spans="4:17" ht="12.75" customHeight="1" x14ac:dyDescent="0.25">
      <c r="D367" s="143"/>
      <c r="F367" s="1721" t="s">
        <v>830</v>
      </c>
      <c r="G367" s="1722"/>
      <c r="H367" s="1720"/>
      <c r="I367" s="1719" t="s">
        <v>831</v>
      </c>
    </row>
    <row r="368" spans="4:17" ht="12.75" customHeight="1" x14ac:dyDescent="0.25">
      <c r="D368" s="143"/>
      <c r="E368" s="143"/>
      <c r="F368" s="1619" t="s">
        <v>832</v>
      </c>
      <c r="G368" s="1638"/>
    </row>
    <row r="369" spans="4:16" ht="12.75" customHeight="1" x14ac:dyDescent="0.25">
      <c r="D369" s="143"/>
      <c r="E369" s="143"/>
      <c r="F369" s="601" t="s">
        <v>833</v>
      </c>
      <c r="G369" s="1638"/>
      <c r="I369" s="401" t="s">
        <v>831</v>
      </c>
    </row>
    <row r="370" spans="4:16" ht="12.75" customHeight="1" x14ac:dyDescent="0.25">
      <c r="D370" s="143"/>
      <c r="E370" s="143"/>
      <c r="F370" s="1619" t="s">
        <v>834</v>
      </c>
      <c r="G370" s="1638"/>
      <c r="I370" s="401" t="s">
        <v>835</v>
      </c>
    </row>
    <row r="371" spans="4:16" ht="12.75" customHeight="1" x14ac:dyDescent="0.25">
      <c r="D371" s="143"/>
      <c r="E371" s="143"/>
      <c r="F371" s="1619" t="s">
        <v>836</v>
      </c>
      <c r="G371" s="1638"/>
      <c r="I371" s="401" t="s">
        <v>831</v>
      </c>
    </row>
    <row r="372" spans="4:16" ht="12.75" customHeight="1" x14ac:dyDescent="0.25">
      <c r="D372" s="393">
        <v>602007</v>
      </c>
      <c r="E372" s="381" t="s">
        <v>732</v>
      </c>
      <c r="F372" s="393"/>
      <c r="H372" s="399"/>
      <c r="I372" s="1180"/>
      <c r="J372" s="422">
        <v>2025</v>
      </c>
      <c r="K372" s="422">
        <v>2026</v>
      </c>
      <c r="L372" s="422">
        <v>2027</v>
      </c>
      <c r="M372" s="422">
        <v>2028</v>
      </c>
      <c r="N372" s="422">
        <v>2029</v>
      </c>
      <c r="O372" s="422">
        <v>2030</v>
      </c>
    </row>
    <row r="373" spans="4:16" ht="12.75" customHeight="1" x14ac:dyDescent="0.25">
      <c r="D373" s="393"/>
      <c r="E373" s="383" t="s">
        <v>533</v>
      </c>
      <c r="F373" s="393"/>
      <c r="H373" s="399"/>
      <c r="I373" s="1180"/>
      <c r="J373" s="114"/>
      <c r="K373" s="114"/>
      <c r="L373" s="114"/>
      <c r="M373" s="114"/>
      <c r="N373" s="114"/>
      <c r="O373" s="114"/>
    </row>
    <row r="374" spans="4:16" ht="12.75" customHeight="1" x14ac:dyDescent="0.25">
      <c r="D374" s="143">
        <v>43812</v>
      </c>
      <c r="E374" s="308" t="s">
        <v>837</v>
      </c>
      <c r="H374" s="399"/>
      <c r="I374" s="114"/>
      <c r="J374" s="114">
        <v>5833.3489920000002</v>
      </c>
      <c r="K374" s="114">
        <v>6615</v>
      </c>
      <c r="L374" s="114">
        <f>K374*T$2</f>
        <v>6753.9149999999991</v>
      </c>
      <c r="M374" s="114">
        <f>L374*U$2</f>
        <v>6909.2550449999981</v>
      </c>
      <c r="N374" s="114">
        <f>M374*V$2</f>
        <v>7068.1679110349978</v>
      </c>
      <c r="O374" s="114">
        <f>N374*W$2</f>
        <v>7230.7357729888017</v>
      </c>
    </row>
    <row r="375" spans="4:16" ht="12.75" customHeight="1" x14ac:dyDescent="0.25">
      <c r="D375" s="143"/>
      <c r="E375" s="308" t="s">
        <v>838</v>
      </c>
      <c r="H375" s="399"/>
      <c r="I375" s="114"/>
      <c r="J375" s="114">
        <v>2376</v>
      </c>
      <c r="K375" s="114">
        <v>2440</v>
      </c>
      <c r="L375" s="114">
        <f t="shared" ref="L375:O376" si="87">ROUND(K375*T$2,-1)</f>
        <v>2490</v>
      </c>
      <c r="M375" s="114">
        <f t="shared" si="87"/>
        <v>2550</v>
      </c>
      <c r="N375" s="114">
        <f t="shared" si="87"/>
        <v>2610</v>
      </c>
      <c r="O375" s="114">
        <f t="shared" si="87"/>
        <v>2670</v>
      </c>
      <c r="P375" s="115" t="s">
        <v>839</v>
      </c>
    </row>
    <row r="376" spans="4:16" ht="12.75" customHeight="1" x14ac:dyDescent="0.25">
      <c r="D376" s="143"/>
      <c r="E376" s="308" t="s">
        <v>840</v>
      </c>
      <c r="H376" s="399"/>
      <c r="I376" s="114"/>
      <c r="J376" s="114">
        <v>750</v>
      </c>
      <c r="K376" s="114">
        <v>770</v>
      </c>
      <c r="L376" s="114">
        <f t="shared" si="87"/>
        <v>790</v>
      </c>
      <c r="M376" s="114">
        <f t="shared" si="87"/>
        <v>810</v>
      </c>
      <c r="N376" s="114">
        <f t="shared" si="87"/>
        <v>830</v>
      </c>
      <c r="O376" s="114">
        <f t="shared" si="87"/>
        <v>850</v>
      </c>
    </row>
    <row r="377" spans="4:16" ht="12.75" customHeight="1" x14ac:dyDescent="0.25">
      <c r="D377" s="143"/>
      <c r="E377" s="308" t="s">
        <v>841</v>
      </c>
      <c r="H377" s="399"/>
      <c r="I377" s="114"/>
      <c r="J377" s="114"/>
      <c r="K377" s="114"/>
      <c r="L377" s="114"/>
      <c r="M377" s="114"/>
      <c r="N377" s="114"/>
      <c r="O377" s="114"/>
    </row>
    <row r="378" spans="4:16" ht="12.75" customHeight="1" thickBot="1" x14ac:dyDescent="0.3">
      <c r="D378" s="143"/>
      <c r="E378" s="143"/>
      <c r="H378" s="399"/>
      <c r="I378" s="114"/>
      <c r="J378" s="1744">
        <v>8959.3489919999993</v>
      </c>
      <c r="K378" s="1744">
        <v>9825</v>
      </c>
      <c r="L378" s="1744">
        <f>SUM(L374:L377)</f>
        <v>10033.914999999999</v>
      </c>
      <c r="M378" s="1744">
        <f>SUM(M374:M377)</f>
        <v>10269.255044999998</v>
      </c>
      <c r="N378" s="1744">
        <f>SUM(N374:N377)</f>
        <v>10508.167911034998</v>
      </c>
      <c r="O378" s="1744">
        <f>SUM(O374:O377)</f>
        <v>10750.735772988803</v>
      </c>
    </row>
    <row r="379" spans="4:16" ht="12.75" customHeight="1" thickTop="1" x14ac:dyDescent="0.25">
      <c r="D379" s="143"/>
      <c r="E379" s="143"/>
      <c r="H379" s="399"/>
      <c r="I379" s="114"/>
      <c r="J379" s="114"/>
      <c r="K379" s="114"/>
      <c r="L379" s="114"/>
      <c r="M379" s="114"/>
      <c r="N379" s="114"/>
      <c r="O379" s="114"/>
    </row>
    <row r="380" spans="4:16" ht="12.75" customHeight="1" x14ac:dyDescent="0.25">
      <c r="D380" s="393">
        <v>602001</v>
      </c>
      <c r="E380" s="381" t="s">
        <v>742</v>
      </c>
      <c r="F380" s="393"/>
      <c r="I380" s="114"/>
      <c r="J380" s="114"/>
      <c r="K380" s="114"/>
      <c r="L380" s="114"/>
      <c r="M380" s="114"/>
      <c r="N380" s="114"/>
      <c r="O380" s="114"/>
    </row>
    <row r="381" spans="4:16" ht="12.75" customHeight="1" x14ac:dyDescent="0.25">
      <c r="D381" s="393"/>
      <c r="E381" s="601" t="s">
        <v>842</v>
      </c>
      <c r="F381" s="393"/>
      <c r="H381" s="601"/>
    </row>
    <row r="382" spans="4:16" ht="12.75" customHeight="1" x14ac:dyDescent="0.25">
      <c r="D382" s="393"/>
      <c r="E382" s="393"/>
      <c r="F382" s="393"/>
      <c r="G382" s="601"/>
      <c r="H382" s="601"/>
      <c r="I382" s="1190"/>
      <c r="J382" s="1190"/>
      <c r="K382" s="1190"/>
      <c r="L382" s="1190"/>
      <c r="M382" s="1190"/>
      <c r="N382" s="1190"/>
      <c r="O382" s="1190"/>
    </row>
    <row r="383" spans="4:16" s="305" customFormat="1" ht="12.75" customHeight="1" x14ac:dyDescent="0.25">
      <c r="D383" s="557">
        <v>83700</v>
      </c>
      <c r="E383" s="401" t="s">
        <v>843</v>
      </c>
      <c r="F383" s="405"/>
      <c r="G383" s="115"/>
      <c r="H383" s="115"/>
      <c r="I383" s="405"/>
      <c r="J383" s="396"/>
      <c r="K383" s="396"/>
      <c r="L383" s="396"/>
      <c r="M383" s="396"/>
      <c r="N383" s="396"/>
      <c r="O383" s="396"/>
      <c r="P383" s="115"/>
    </row>
    <row r="384" spans="4:16" s="305" customFormat="1" ht="12.75" customHeight="1" x14ac:dyDescent="0.25">
      <c r="D384" s="557"/>
      <c r="E384" s="405"/>
      <c r="F384" s="405"/>
      <c r="G384" s="115"/>
      <c r="H384" s="115"/>
      <c r="I384" s="405"/>
      <c r="J384" s="396"/>
      <c r="K384" s="396"/>
      <c r="L384" s="396"/>
      <c r="M384" s="396"/>
      <c r="N384" s="396"/>
      <c r="O384" s="396"/>
      <c r="P384" s="115"/>
    </row>
    <row r="385" spans="5:15" ht="12.75" customHeight="1" x14ac:dyDescent="0.25">
      <c r="E385" s="392">
        <v>50</v>
      </c>
      <c r="F385" s="115" t="s">
        <v>844</v>
      </c>
      <c r="I385" s="636">
        <v>432.2</v>
      </c>
      <c r="J385" s="114">
        <v>20895</v>
      </c>
      <c r="K385" s="114"/>
      <c r="L385" s="114"/>
      <c r="M385" s="114"/>
      <c r="N385" s="114"/>
      <c r="O385" s="114"/>
    </row>
    <row r="386" spans="5:15" ht="12.75" customHeight="1" x14ac:dyDescent="0.25">
      <c r="E386" s="392">
        <v>50</v>
      </c>
      <c r="F386" s="115" t="s">
        <v>845</v>
      </c>
      <c r="I386" s="636">
        <f>ROUND(I385*$S$3,1)</f>
        <v>440.8</v>
      </c>
      <c r="J386" s="114"/>
      <c r="K386" s="114">
        <v>22040</v>
      </c>
      <c r="L386" s="114"/>
      <c r="M386" s="114"/>
      <c r="N386" s="114"/>
      <c r="O386" s="114"/>
    </row>
    <row r="387" spans="5:15" ht="12.75" customHeight="1" x14ac:dyDescent="0.25">
      <c r="E387" s="392">
        <v>50</v>
      </c>
      <c r="F387" s="115" t="s">
        <v>846</v>
      </c>
      <c r="I387" s="636">
        <f>ROUND(I386*$T$3,1)</f>
        <v>459.3</v>
      </c>
      <c r="J387" s="114"/>
      <c r="K387" s="114"/>
      <c r="L387" s="114">
        <f>$E387*$I387</f>
        <v>22965</v>
      </c>
    </row>
    <row r="388" spans="5:15" ht="12.75" customHeight="1" x14ac:dyDescent="0.25">
      <c r="E388" s="392">
        <v>50</v>
      </c>
      <c r="F388" s="115" t="s">
        <v>847</v>
      </c>
      <c r="I388" s="636">
        <f>ROUND(I387*$U$3,1)</f>
        <v>476.3</v>
      </c>
      <c r="J388" s="114"/>
      <c r="K388" s="114"/>
      <c r="L388" s="114"/>
      <c r="M388" s="114">
        <f>+E388*I388</f>
        <v>23815</v>
      </c>
    </row>
    <row r="389" spans="5:15" ht="12.75" customHeight="1" x14ac:dyDescent="0.25">
      <c r="E389" s="392">
        <v>50</v>
      </c>
      <c r="F389" s="115" t="s">
        <v>848</v>
      </c>
      <c r="I389" s="636">
        <f>ROUND(I388*$V$3,1)</f>
        <v>493.9</v>
      </c>
      <c r="J389" s="114"/>
      <c r="K389" s="114"/>
      <c r="L389" s="114"/>
      <c r="M389" s="114"/>
      <c r="N389" s="114">
        <f>+E389*I389</f>
        <v>24695</v>
      </c>
      <c r="O389" s="114"/>
    </row>
    <row r="390" spans="5:15" ht="12.75" customHeight="1" x14ac:dyDescent="0.25">
      <c r="E390" s="2029">
        <v>50</v>
      </c>
      <c r="F390" s="358" t="s">
        <v>5262</v>
      </c>
      <c r="G390" s="358"/>
      <c r="H390" s="358"/>
      <c r="I390" s="2028">
        <f>ROUND(I389*$W$3,1)</f>
        <v>512.20000000000005</v>
      </c>
      <c r="J390" s="114"/>
      <c r="K390" s="114"/>
      <c r="L390" s="114"/>
      <c r="M390" s="114"/>
      <c r="N390" s="114"/>
      <c r="O390" s="114">
        <f>+E390*I390</f>
        <v>25610.000000000004</v>
      </c>
    </row>
    <row r="391" spans="5:15" ht="12.75" customHeight="1" x14ac:dyDescent="0.25">
      <c r="E391" s="115"/>
      <c r="F391" s="115"/>
    </row>
    <row r="392" spans="5:15" ht="12.75" customHeight="1" x14ac:dyDescent="0.25">
      <c r="E392" s="601" t="s">
        <v>849</v>
      </c>
      <c r="F392" s="601"/>
      <c r="G392" s="601"/>
      <c r="H392" s="601"/>
      <c r="I392" s="396"/>
      <c r="J392" s="396"/>
      <c r="K392" s="396"/>
      <c r="L392" s="396"/>
      <c r="M392" s="396"/>
      <c r="N392" s="396"/>
      <c r="O392" s="396"/>
    </row>
    <row r="393" spans="5:15" ht="12.75" customHeight="1" x14ac:dyDescent="0.25">
      <c r="E393" s="303">
        <v>5</v>
      </c>
      <c r="F393" s="115" t="s">
        <v>844</v>
      </c>
      <c r="I393" s="636">
        <v>529.29999999999995</v>
      </c>
      <c r="J393" s="114">
        <v>2646.5</v>
      </c>
      <c r="K393" s="114"/>
      <c r="L393" s="114"/>
      <c r="M393" s="114"/>
      <c r="N393" s="114"/>
      <c r="O393" s="114"/>
    </row>
    <row r="394" spans="5:15" ht="12.75" customHeight="1" x14ac:dyDescent="0.25">
      <c r="E394" s="303">
        <v>5</v>
      </c>
      <c r="F394" s="115" t="s">
        <v>845</v>
      </c>
      <c r="I394" s="636">
        <f>ROUND(I393*$S$3,1)</f>
        <v>539.9</v>
      </c>
      <c r="J394" s="114"/>
      <c r="K394" s="114">
        <v>2699.5</v>
      </c>
      <c r="L394" s="114"/>
      <c r="M394" s="114"/>
      <c r="N394" s="114"/>
      <c r="O394" s="114"/>
    </row>
    <row r="395" spans="5:15" ht="12.75" customHeight="1" x14ac:dyDescent="0.25">
      <c r="E395" s="303">
        <v>5</v>
      </c>
      <c r="F395" s="115" t="s">
        <v>846</v>
      </c>
      <c r="I395" s="636">
        <f>ROUND(I394*$T$3,1)</f>
        <v>562.6</v>
      </c>
      <c r="J395" s="114"/>
      <c r="K395" s="114"/>
      <c r="L395" s="114">
        <f>$E395*$I395</f>
        <v>2813</v>
      </c>
    </row>
    <row r="396" spans="5:15" ht="12.75" customHeight="1" x14ac:dyDescent="0.25">
      <c r="E396" s="303">
        <v>5</v>
      </c>
      <c r="F396" s="115" t="s">
        <v>847</v>
      </c>
      <c r="I396" s="636">
        <f>ROUND(I395*$U$3,1)</f>
        <v>583.4</v>
      </c>
      <c r="J396" s="114"/>
      <c r="K396" s="114"/>
      <c r="L396" s="114"/>
      <c r="M396" s="114">
        <f>+E396*I396</f>
        <v>2917</v>
      </c>
    </row>
    <row r="397" spans="5:15" ht="12.75" customHeight="1" x14ac:dyDescent="0.25">
      <c r="E397" s="303">
        <v>5</v>
      </c>
      <c r="F397" s="115" t="s">
        <v>848</v>
      </c>
      <c r="I397" s="636">
        <f>ROUND(I396*$V$3,1)</f>
        <v>605</v>
      </c>
      <c r="J397" s="114"/>
      <c r="K397" s="114"/>
      <c r="L397" s="114"/>
      <c r="M397" s="114"/>
      <c r="N397" s="114">
        <f>+E397*I397</f>
        <v>3025</v>
      </c>
      <c r="O397" s="114"/>
    </row>
    <row r="398" spans="5:15" ht="12.75" customHeight="1" x14ac:dyDescent="0.25">
      <c r="E398" s="2027">
        <v>5</v>
      </c>
      <c r="F398" s="358" t="s">
        <v>5262</v>
      </c>
      <c r="G398" s="358"/>
      <c r="H398" s="358"/>
      <c r="I398" s="2028">
        <f>ROUND(I397*$W$3,1)</f>
        <v>627.4</v>
      </c>
      <c r="J398" s="114"/>
      <c r="K398" s="114"/>
      <c r="L398" s="114"/>
      <c r="M398" s="114"/>
      <c r="N398" s="114"/>
      <c r="O398" s="114">
        <f>+E398*I398</f>
        <v>3137</v>
      </c>
    </row>
    <row r="399" spans="5:15" ht="12.75" customHeight="1" x14ac:dyDescent="0.25">
      <c r="E399" s="115"/>
      <c r="F399" s="115"/>
    </row>
    <row r="400" spans="5:15" ht="12.75" customHeight="1" x14ac:dyDescent="0.25">
      <c r="E400" s="601" t="s">
        <v>850</v>
      </c>
      <c r="F400" s="601"/>
      <c r="G400" s="601"/>
      <c r="H400" s="601"/>
      <c r="I400" s="405"/>
      <c r="J400" s="114"/>
      <c r="K400" s="114"/>
      <c r="L400" s="114"/>
      <c r="M400" s="114"/>
      <c r="N400" s="114"/>
      <c r="O400" s="114"/>
    </row>
    <row r="401" spans="4:15" ht="12.75" customHeight="1" x14ac:dyDescent="0.25">
      <c r="E401" s="392">
        <v>10</v>
      </c>
      <c r="F401" s="115" t="s">
        <v>844</v>
      </c>
      <c r="I401" s="636">
        <v>611</v>
      </c>
      <c r="J401" s="114">
        <v>5906</v>
      </c>
      <c r="K401" s="114"/>
      <c r="L401" s="114"/>
      <c r="M401" s="114"/>
      <c r="N401" s="114"/>
      <c r="O401" s="114"/>
    </row>
    <row r="402" spans="4:15" ht="12.75" customHeight="1" x14ac:dyDescent="0.25">
      <c r="E402" s="392">
        <v>10</v>
      </c>
      <c r="F402" s="115" t="s">
        <v>845</v>
      </c>
      <c r="I402" s="636">
        <f>ROUND(I401*$S$3,1)</f>
        <v>623.20000000000005</v>
      </c>
      <c r="J402" s="114"/>
      <c r="K402" s="114">
        <v>6232</v>
      </c>
      <c r="L402" s="114"/>
      <c r="M402" s="114"/>
      <c r="N402" s="114"/>
      <c r="O402" s="114"/>
    </row>
    <row r="403" spans="4:15" ht="12.75" customHeight="1" x14ac:dyDescent="0.25">
      <c r="E403" s="392">
        <v>10</v>
      </c>
      <c r="F403" s="115" t="s">
        <v>846</v>
      </c>
      <c r="I403" s="636">
        <f>ROUND(I402*$T$3,1)</f>
        <v>649.4</v>
      </c>
      <c r="J403" s="114"/>
      <c r="K403" s="114"/>
      <c r="L403" s="114">
        <f>$E403*$I403</f>
        <v>6494</v>
      </c>
      <c r="M403" s="114"/>
      <c r="N403" s="114"/>
      <c r="O403" s="114"/>
    </row>
    <row r="404" spans="4:15" ht="12.75" customHeight="1" x14ac:dyDescent="0.25">
      <c r="E404" s="392">
        <v>10</v>
      </c>
      <c r="F404" s="115" t="s">
        <v>847</v>
      </c>
      <c r="I404" s="636">
        <f>ROUND(I403*$U$3,1)</f>
        <v>673.4</v>
      </c>
      <c r="J404" s="114"/>
      <c r="K404" s="114"/>
      <c r="L404" s="114"/>
      <c r="M404" s="114">
        <f>$E404*$I404</f>
        <v>6734</v>
      </c>
    </row>
    <row r="405" spans="4:15" ht="12.75" customHeight="1" x14ac:dyDescent="0.25">
      <c r="E405" s="392">
        <v>10</v>
      </c>
      <c r="F405" s="115" t="s">
        <v>848</v>
      </c>
      <c r="I405" s="636">
        <f>ROUND(I404*$V$3,1)</f>
        <v>698.3</v>
      </c>
      <c r="J405" s="114"/>
      <c r="K405" s="114"/>
      <c r="L405" s="114"/>
      <c r="M405" s="114"/>
      <c r="N405" s="114">
        <f>$E405*$I405</f>
        <v>6983</v>
      </c>
    </row>
    <row r="406" spans="4:15" ht="12.75" customHeight="1" x14ac:dyDescent="0.25">
      <c r="E406" s="2029">
        <v>10</v>
      </c>
      <c r="F406" s="358" t="s">
        <v>848</v>
      </c>
      <c r="G406" s="358"/>
      <c r="H406" s="358"/>
      <c r="I406" s="2028">
        <f>ROUND(I405*$W$3,1)</f>
        <v>724.1</v>
      </c>
      <c r="J406" s="114"/>
      <c r="K406" s="114"/>
      <c r="L406" s="114"/>
      <c r="M406" s="114"/>
      <c r="N406" s="114"/>
      <c r="O406" s="114">
        <f>$E406*$I406</f>
        <v>7241</v>
      </c>
    </row>
    <row r="407" spans="4:15" ht="12.75" customHeight="1" x14ac:dyDescent="0.25">
      <c r="E407" s="392"/>
      <c r="F407" s="115"/>
      <c r="I407" s="636"/>
      <c r="J407" s="114"/>
      <c r="K407" s="114"/>
      <c r="L407" s="114"/>
      <c r="M407" s="114"/>
      <c r="N407" s="114"/>
      <c r="O407" s="114"/>
    </row>
    <row r="408" spans="4:15" ht="12.75" customHeight="1" x14ac:dyDescent="0.25">
      <c r="D408" s="557"/>
      <c r="E408" s="306" t="s">
        <v>851</v>
      </c>
      <c r="F408" s="306"/>
      <c r="G408" s="306"/>
      <c r="H408" s="306"/>
      <c r="I408" s="396"/>
      <c r="J408" s="396"/>
      <c r="K408" s="396"/>
      <c r="L408" s="396"/>
      <c r="M408" s="396"/>
      <c r="N408" s="396"/>
      <c r="O408" s="396"/>
    </row>
    <row r="409" spans="4:15" ht="12.75" customHeight="1" x14ac:dyDescent="0.25">
      <c r="D409" s="557"/>
      <c r="E409" s="414"/>
      <c r="F409" s="414"/>
      <c r="I409" s="396"/>
      <c r="J409" s="396"/>
      <c r="K409" s="396"/>
      <c r="L409" s="396"/>
      <c r="M409" s="396"/>
      <c r="N409" s="396"/>
      <c r="O409" s="396"/>
    </row>
    <row r="410" spans="4:15" ht="12.75" customHeight="1" x14ac:dyDescent="0.25">
      <c r="E410" s="392">
        <v>1</v>
      </c>
      <c r="F410" s="115" t="s">
        <v>844</v>
      </c>
      <c r="I410" s="636">
        <v>738</v>
      </c>
      <c r="J410" s="114">
        <v>713.2</v>
      </c>
      <c r="K410" s="114"/>
      <c r="L410" s="114"/>
      <c r="M410" s="114"/>
      <c r="N410" s="114"/>
      <c r="O410" s="114"/>
    </row>
    <row r="411" spans="4:15" ht="12.75" customHeight="1" x14ac:dyDescent="0.25">
      <c r="E411" s="392">
        <v>1</v>
      </c>
      <c r="F411" s="115" t="s">
        <v>845</v>
      </c>
      <c r="I411" s="636">
        <f>ROUND(I410*$S$3,1)</f>
        <v>752.8</v>
      </c>
      <c r="J411" s="114"/>
      <c r="K411" s="114">
        <v>752.8</v>
      </c>
      <c r="L411" s="114"/>
      <c r="M411" s="114"/>
      <c r="N411" s="114"/>
      <c r="O411" s="114"/>
    </row>
    <row r="412" spans="4:15" ht="12.75" customHeight="1" x14ac:dyDescent="0.25">
      <c r="E412" s="392">
        <v>1</v>
      </c>
      <c r="F412" s="115" t="s">
        <v>846</v>
      </c>
      <c r="I412" s="636">
        <f>ROUND(I411*$T$3,1)</f>
        <v>784.4</v>
      </c>
      <c r="J412" s="114"/>
      <c r="K412" s="114"/>
      <c r="L412" s="114">
        <f>$E412*$I412</f>
        <v>784.4</v>
      </c>
      <c r="M412" s="114"/>
      <c r="N412" s="114"/>
      <c r="O412" s="114"/>
    </row>
    <row r="413" spans="4:15" ht="12.75" customHeight="1" x14ac:dyDescent="0.25">
      <c r="E413" s="392">
        <v>1</v>
      </c>
      <c r="F413" s="115" t="s">
        <v>847</v>
      </c>
      <c r="I413" s="636">
        <f>ROUND(I412*$U$2,1)</f>
        <v>802.4</v>
      </c>
      <c r="J413" s="114"/>
      <c r="K413" s="114"/>
      <c r="L413" s="114"/>
      <c r="M413" s="114">
        <f>+E413*I413</f>
        <v>802.4</v>
      </c>
    </row>
    <row r="414" spans="4:15" ht="12.75" customHeight="1" x14ac:dyDescent="0.25">
      <c r="E414" s="392">
        <v>1</v>
      </c>
      <c r="F414" s="115" t="s">
        <v>848</v>
      </c>
      <c r="I414" s="636">
        <f>ROUND(I413*$V$2,1)</f>
        <v>820.9</v>
      </c>
      <c r="J414" s="114"/>
      <c r="K414" s="114"/>
      <c r="L414" s="114"/>
      <c r="M414" s="114"/>
      <c r="N414" s="114">
        <f>+E414*I414</f>
        <v>820.9</v>
      </c>
      <c r="O414" s="114"/>
    </row>
    <row r="415" spans="4:15" ht="12.75" customHeight="1" x14ac:dyDescent="0.25">
      <c r="E415" s="2029">
        <v>1</v>
      </c>
      <c r="F415" s="358" t="s">
        <v>5262</v>
      </c>
      <c r="G415" s="358"/>
      <c r="H415" s="358"/>
      <c r="I415" s="2028">
        <f>ROUND(I414*$W2,1)</f>
        <v>839.8</v>
      </c>
      <c r="J415" s="114"/>
      <c r="K415" s="114"/>
      <c r="L415" s="114"/>
      <c r="M415" s="114"/>
      <c r="N415" s="114"/>
      <c r="O415" s="114">
        <f>+E415*I415</f>
        <v>839.8</v>
      </c>
    </row>
    <row r="416" spans="4:15" ht="12.75" customHeight="1" x14ac:dyDescent="0.25">
      <c r="E416" s="115"/>
      <c r="F416" s="115"/>
    </row>
    <row r="417" spans="5:21" ht="12.75" customHeight="1" x14ac:dyDescent="0.25">
      <c r="E417" s="601" t="s">
        <v>852</v>
      </c>
      <c r="F417" s="601"/>
      <c r="G417" s="601"/>
      <c r="H417" s="601"/>
      <c r="I417" s="114"/>
      <c r="J417" s="114"/>
      <c r="K417" s="114"/>
      <c r="L417" s="114"/>
      <c r="M417" s="114"/>
      <c r="N417" s="114"/>
      <c r="O417" s="114"/>
    </row>
    <row r="418" spans="5:21" ht="12.75" customHeight="1" x14ac:dyDescent="0.25">
      <c r="E418" s="601"/>
      <c r="F418" s="601"/>
      <c r="G418" s="601"/>
      <c r="H418" s="601"/>
      <c r="I418" s="114"/>
      <c r="J418" s="114"/>
      <c r="K418" s="114"/>
      <c r="L418" s="114"/>
      <c r="M418" s="114"/>
      <c r="N418" s="114"/>
      <c r="O418" s="114"/>
    </row>
    <row r="419" spans="5:21" ht="12.75" customHeight="1" x14ac:dyDescent="0.25">
      <c r="E419" s="392">
        <v>80</v>
      </c>
      <c r="F419" s="115" t="s">
        <v>844</v>
      </c>
      <c r="I419" s="636">
        <v>547.6</v>
      </c>
      <c r="J419" s="114">
        <v>33432</v>
      </c>
      <c r="K419" s="114"/>
      <c r="L419" s="114"/>
      <c r="M419" s="114"/>
      <c r="N419" s="114"/>
      <c r="O419" s="114"/>
    </row>
    <row r="420" spans="5:21" ht="12.75" customHeight="1" x14ac:dyDescent="0.25">
      <c r="E420" s="392">
        <v>80</v>
      </c>
      <c r="F420" s="115" t="s">
        <v>845</v>
      </c>
      <c r="I420" s="636">
        <f>ROUND(I419*$S$3,1)</f>
        <v>558.6</v>
      </c>
      <c r="J420" s="114"/>
      <c r="K420" s="114">
        <v>44688</v>
      </c>
      <c r="L420" s="114"/>
      <c r="M420" s="114"/>
      <c r="N420" s="114"/>
      <c r="O420" s="114"/>
    </row>
    <row r="421" spans="5:21" ht="12.75" customHeight="1" x14ac:dyDescent="0.25">
      <c r="E421" s="392">
        <v>80</v>
      </c>
      <c r="F421" s="115" t="s">
        <v>846</v>
      </c>
      <c r="I421" s="636">
        <f>ROUND(I420*$T$3,1)</f>
        <v>582.1</v>
      </c>
      <c r="J421" s="114"/>
      <c r="K421" s="114"/>
      <c r="L421" s="114">
        <f>$E421*$I421</f>
        <v>46568</v>
      </c>
      <c r="M421" s="114"/>
      <c r="N421" s="114"/>
      <c r="O421" s="114"/>
    </row>
    <row r="422" spans="5:21" ht="12.75" customHeight="1" x14ac:dyDescent="0.25">
      <c r="E422" s="392">
        <v>80</v>
      </c>
      <c r="F422" s="115" t="s">
        <v>847</v>
      </c>
      <c r="I422" s="636">
        <f>ROUND(I421*$U$3,1)</f>
        <v>603.6</v>
      </c>
      <c r="J422" s="114"/>
      <c r="K422" s="114"/>
      <c r="L422" s="114"/>
      <c r="M422" s="114">
        <f>$E422*$I422</f>
        <v>48288</v>
      </c>
    </row>
    <row r="423" spans="5:21" ht="12.75" customHeight="1" x14ac:dyDescent="0.25">
      <c r="E423" s="392">
        <v>80</v>
      </c>
      <c r="F423" s="115" t="s">
        <v>848</v>
      </c>
      <c r="I423" s="636">
        <f>ROUND(I422*$V$3,1)</f>
        <v>625.9</v>
      </c>
      <c r="J423" s="114"/>
      <c r="K423" s="114"/>
      <c r="L423" s="114"/>
      <c r="M423" s="114"/>
      <c r="N423" s="114">
        <f>$E423*$I423</f>
        <v>50072</v>
      </c>
      <c r="O423" s="114"/>
    </row>
    <row r="424" spans="5:21" ht="12.75" customHeight="1" x14ac:dyDescent="0.25">
      <c r="E424" s="2029">
        <v>80</v>
      </c>
      <c r="F424" s="358" t="s">
        <v>5262</v>
      </c>
      <c r="G424" s="358"/>
      <c r="H424" s="358"/>
      <c r="I424" s="636">
        <f>ROUND(I423*$W$3,1)</f>
        <v>649.1</v>
      </c>
      <c r="J424" s="114"/>
      <c r="K424" s="114"/>
      <c r="L424" s="114"/>
      <c r="M424" s="114"/>
      <c r="N424" s="114"/>
      <c r="O424" s="114">
        <f>$E424*$I424</f>
        <v>51928</v>
      </c>
    </row>
    <row r="425" spans="5:21" ht="12.75" customHeight="1" x14ac:dyDescent="0.25">
      <c r="E425" s="392"/>
      <c r="F425" s="115"/>
      <c r="I425" s="636"/>
    </row>
    <row r="426" spans="5:21" ht="12.75" customHeight="1" x14ac:dyDescent="0.25">
      <c r="E426" s="143">
        <v>15</v>
      </c>
      <c r="F426" s="115" t="s">
        <v>853</v>
      </c>
      <c r="I426" s="1193">
        <f>ROUND(86*S3,1)</f>
        <v>87.7</v>
      </c>
      <c r="J426" s="114">
        <v>1205</v>
      </c>
      <c r="K426" s="114">
        <v>1315.5</v>
      </c>
      <c r="L426" s="114">
        <f>ROUND((K426)*T3,0)</f>
        <v>1371</v>
      </c>
      <c r="M426" s="114">
        <f>ROUND((L426)*U3,0)</f>
        <v>1422</v>
      </c>
      <c r="N426" s="114">
        <f>ROUND((M426)*V3,0)</f>
        <v>1475</v>
      </c>
      <c r="O426" s="114">
        <f>ROUND((N426)*W3,0)</f>
        <v>1530</v>
      </c>
    </row>
    <row r="427" spans="5:21" ht="12.75" customHeight="1" x14ac:dyDescent="0.25">
      <c r="E427" s="115"/>
      <c r="F427" s="115"/>
    </row>
    <row r="428" spans="5:21" ht="12.75" customHeight="1" x14ac:dyDescent="0.25">
      <c r="E428" s="114" t="s">
        <v>854</v>
      </c>
      <c r="F428" s="115"/>
      <c r="I428" s="1193"/>
      <c r="Q428" s="394"/>
      <c r="R428" s="394"/>
      <c r="S428" s="394"/>
      <c r="T428" s="114"/>
      <c r="U428" s="114"/>
    </row>
    <row r="429" spans="5:21" ht="12.75" customHeight="1" x14ac:dyDescent="0.25">
      <c r="E429" s="392">
        <v>100</v>
      </c>
      <c r="F429" s="115" t="s">
        <v>855</v>
      </c>
      <c r="I429" s="1639">
        <v>35</v>
      </c>
      <c r="J429" s="114">
        <v>2700</v>
      </c>
      <c r="K429" s="114"/>
      <c r="L429" s="114"/>
      <c r="M429" s="114"/>
      <c r="N429" s="114"/>
      <c r="O429" s="114"/>
      <c r="Q429" s="394"/>
      <c r="R429" s="394"/>
      <c r="S429" s="394"/>
      <c r="T429" s="114"/>
      <c r="U429" s="114"/>
    </row>
    <row r="430" spans="5:21" ht="12.75" customHeight="1" x14ac:dyDescent="0.25">
      <c r="E430" s="392">
        <v>100</v>
      </c>
      <c r="F430" s="115" t="s">
        <v>856</v>
      </c>
      <c r="I430" s="1639">
        <f>ROUND(I429*$S$2,1)</f>
        <v>35.9</v>
      </c>
      <c r="J430" s="114"/>
      <c r="K430" s="114">
        <v>3590</v>
      </c>
      <c r="L430" s="114"/>
      <c r="M430" s="114"/>
      <c r="N430" s="114"/>
      <c r="O430" s="114"/>
      <c r="Q430" s="394"/>
      <c r="R430" s="394"/>
      <c r="S430" s="394"/>
      <c r="T430" s="114"/>
      <c r="U430" s="114"/>
    </row>
    <row r="431" spans="5:21" ht="12.75" customHeight="1" x14ac:dyDescent="0.25">
      <c r="E431" s="392">
        <v>100</v>
      </c>
      <c r="F431" s="115" t="s">
        <v>857</v>
      </c>
      <c r="I431" s="1639">
        <f>ROUND(I430*$T$2,1)</f>
        <v>36.700000000000003</v>
      </c>
      <c r="J431" s="114"/>
      <c r="K431" s="114"/>
      <c r="L431" s="114">
        <f>$E431*$I431</f>
        <v>3670.0000000000005</v>
      </c>
      <c r="M431" s="114"/>
      <c r="N431" s="114"/>
      <c r="O431" s="114"/>
      <c r="Q431" s="394"/>
      <c r="R431" s="394"/>
      <c r="S431" s="394"/>
      <c r="T431" s="114"/>
      <c r="U431" s="114"/>
    </row>
    <row r="432" spans="5:21" ht="12.75" customHeight="1" x14ac:dyDescent="0.25">
      <c r="E432" s="392">
        <v>100</v>
      </c>
      <c r="F432" s="115" t="s">
        <v>858</v>
      </c>
      <c r="I432" s="1639">
        <f>ROUND(I431*$U$2,1)</f>
        <v>37.5</v>
      </c>
      <c r="J432" s="114"/>
      <c r="K432" s="114"/>
      <c r="L432" s="114"/>
      <c r="M432" s="114">
        <f>$E432*$I432</f>
        <v>3750</v>
      </c>
      <c r="Q432" s="394"/>
      <c r="R432" s="394"/>
      <c r="S432" s="394"/>
      <c r="T432" s="114"/>
      <c r="U432" s="114"/>
    </row>
    <row r="433" spans="4:21" ht="12.75" customHeight="1" x14ac:dyDescent="0.25">
      <c r="E433" s="392">
        <v>100</v>
      </c>
      <c r="F433" s="115" t="s">
        <v>859</v>
      </c>
      <c r="I433" s="1639">
        <f>ROUND(I432*$V$2,1)</f>
        <v>38.4</v>
      </c>
      <c r="J433" s="114"/>
      <c r="K433" s="114"/>
      <c r="L433" s="114"/>
      <c r="M433" s="114"/>
      <c r="N433" s="114">
        <f>$E433*$I433</f>
        <v>3840</v>
      </c>
      <c r="O433" s="114"/>
      <c r="Q433" s="394"/>
      <c r="R433" s="394"/>
      <c r="S433" s="394"/>
      <c r="T433" s="114"/>
      <c r="U433" s="114"/>
    </row>
    <row r="434" spans="4:21" ht="12.75" customHeight="1" x14ac:dyDescent="0.25">
      <c r="E434" s="2029">
        <v>100</v>
      </c>
      <c r="F434" s="358" t="s">
        <v>5263</v>
      </c>
      <c r="G434" s="358"/>
      <c r="H434" s="358"/>
      <c r="I434" s="2032">
        <f>ROUND(I433*$W$2,1)</f>
        <v>39.299999999999997</v>
      </c>
      <c r="J434" s="114"/>
      <c r="K434" s="114"/>
      <c r="L434" s="114"/>
      <c r="M434" s="114"/>
      <c r="N434" s="114"/>
      <c r="O434" s="114">
        <f>$E434*$I434</f>
        <v>3929.9999999999995</v>
      </c>
      <c r="Q434" s="394"/>
      <c r="R434" s="394"/>
      <c r="S434" s="394"/>
      <c r="T434" s="114"/>
      <c r="U434" s="114"/>
    </row>
    <row r="435" spans="4:21" ht="12.75" customHeight="1" x14ac:dyDescent="0.25">
      <c r="E435" s="392"/>
      <c r="F435" s="115"/>
      <c r="I435" s="1639"/>
      <c r="J435" s="114"/>
      <c r="K435" s="114"/>
      <c r="L435" s="114"/>
      <c r="M435" s="114"/>
      <c r="N435" s="114"/>
      <c r="O435" s="114"/>
      <c r="Q435" s="394"/>
      <c r="R435" s="394"/>
      <c r="S435" s="394"/>
      <c r="T435" s="114"/>
      <c r="U435" s="114"/>
    </row>
    <row r="436" spans="4:21" ht="12.75" customHeight="1" x14ac:dyDescent="0.25">
      <c r="E436" s="303">
        <v>10</v>
      </c>
      <c r="F436" s="115" t="s">
        <v>860</v>
      </c>
      <c r="I436" s="1639">
        <f>39.9*S3</f>
        <v>40.698</v>
      </c>
      <c r="J436" s="114">
        <v>375</v>
      </c>
      <c r="K436" s="114">
        <v>406.98</v>
      </c>
      <c r="L436" s="114">
        <f>ROUND(K436*T$2,0)</f>
        <v>416</v>
      </c>
      <c r="M436" s="114">
        <f>ROUND(L436*U$2,0)</f>
        <v>426</v>
      </c>
      <c r="N436" s="114">
        <f>ROUND(M436*V$2,0)</f>
        <v>436</v>
      </c>
      <c r="O436" s="114">
        <f>ROUND(N436*W$2,0)</f>
        <v>446</v>
      </c>
      <c r="Q436" s="394"/>
      <c r="R436" s="394"/>
      <c r="S436" s="394"/>
      <c r="T436" s="114"/>
      <c r="U436" s="114"/>
    </row>
    <row r="437" spans="4:21" ht="12.75" customHeight="1" x14ac:dyDescent="0.25">
      <c r="E437" s="398"/>
      <c r="F437" s="115"/>
      <c r="I437" s="1193"/>
      <c r="J437" s="114"/>
      <c r="K437" s="114"/>
      <c r="L437" s="114"/>
      <c r="M437" s="114"/>
      <c r="N437" s="114"/>
      <c r="O437" s="114"/>
      <c r="Q437" s="394"/>
      <c r="R437" s="394"/>
      <c r="S437" s="394"/>
      <c r="T437" s="114"/>
      <c r="U437" s="114"/>
    </row>
    <row r="438" spans="4:21" ht="12.75" customHeight="1" thickBot="1" x14ac:dyDescent="0.3">
      <c r="D438" s="143"/>
      <c r="E438" s="115" t="str">
        <f>"Totaal "&amp;D383</f>
        <v>Totaal 83700</v>
      </c>
      <c r="F438" s="115"/>
      <c r="I438" s="114"/>
      <c r="J438" s="1744">
        <v>67872.7</v>
      </c>
      <c r="K438" s="1744">
        <v>81724.78</v>
      </c>
      <c r="L438" s="1744">
        <f>SUM(L384:L437)</f>
        <v>85081.4</v>
      </c>
      <c r="M438" s="1744">
        <f>SUM(M384:M437)</f>
        <v>88154.4</v>
      </c>
      <c r="N438" s="1744">
        <f>SUM(N384:N437)</f>
        <v>91346.9</v>
      </c>
      <c r="O438" s="1744">
        <f>SUM(O384:O437)</f>
        <v>94661.8</v>
      </c>
      <c r="Q438" s="394"/>
      <c r="R438" s="394"/>
      <c r="S438" s="394"/>
      <c r="T438" s="114"/>
      <c r="U438" s="114"/>
    </row>
    <row r="439" spans="4:21" ht="12.75" customHeight="1" thickTop="1" x14ac:dyDescent="0.25">
      <c r="D439" s="143"/>
      <c r="E439" s="143"/>
      <c r="I439" s="114"/>
      <c r="J439" s="114"/>
      <c r="K439" s="114"/>
      <c r="L439" s="114"/>
      <c r="M439" s="114"/>
      <c r="N439" s="114"/>
      <c r="O439" s="114"/>
      <c r="Q439" s="394"/>
      <c r="R439" s="394"/>
      <c r="S439" s="394"/>
      <c r="T439" s="114"/>
      <c r="U439" s="114"/>
    </row>
    <row r="440" spans="4:21" ht="12.75" customHeight="1" x14ac:dyDescent="0.25">
      <c r="D440" s="393">
        <v>602002</v>
      </c>
      <c r="E440" s="381" t="s">
        <v>736</v>
      </c>
      <c r="F440" s="393"/>
      <c r="I440" s="400"/>
      <c r="J440" s="400"/>
      <c r="K440" s="400"/>
      <c r="L440" s="400"/>
      <c r="M440" s="400"/>
      <c r="N440" s="400"/>
      <c r="O440" s="400"/>
      <c r="Q440" s="394"/>
      <c r="R440" s="394"/>
      <c r="S440" s="394"/>
      <c r="T440" s="114"/>
      <c r="U440" s="114"/>
    </row>
    <row r="441" spans="4:21" ht="12.75" customHeight="1" x14ac:dyDescent="0.25">
      <c r="D441" s="115"/>
      <c r="E441" s="115"/>
      <c r="F441" s="557"/>
      <c r="H441" s="401"/>
      <c r="I441" s="401"/>
      <c r="J441" s="1629">
        <v>2025</v>
      </c>
      <c r="K441" s="1629">
        <v>2026</v>
      </c>
      <c r="L441" s="1629">
        <v>2027</v>
      </c>
      <c r="M441" s="1629">
        <v>2028</v>
      </c>
      <c r="N441" s="1629">
        <v>2029</v>
      </c>
      <c r="O441" s="1629">
        <v>2030</v>
      </c>
      <c r="Q441" s="394"/>
      <c r="R441" s="394"/>
      <c r="S441" s="394"/>
      <c r="T441" s="114"/>
      <c r="U441" s="114"/>
    </row>
    <row r="442" spans="4:21" ht="12.75" customHeight="1" x14ac:dyDescent="0.25">
      <c r="D442" s="557">
        <v>834006</v>
      </c>
      <c r="E442" s="401" t="s">
        <v>748</v>
      </c>
      <c r="F442" s="557"/>
      <c r="H442" s="401"/>
      <c r="I442" s="401"/>
      <c r="J442" s="1192"/>
      <c r="K442" s="1192"/>
      <c r="L442" s="1192"/>
      <c r="M442" s="1192"/>
      <c r="N442" s="1192"/>
      <c r="O442" s="1192"/>
      <c r="Q442" s="394"/>
      <c r="R442" s="394"/>
      <c r="S442" s="394"/>
      <c r="T442" s="114"/>
      <c r="U442" s="114"/>
    </row>
    <row r="443" spans="4:21" ht="12.75" customHeight="1" x14ac:dyDescent="0.25">
      <c r="D443" s="557"/>
      <c r="E443" s="601" t="s">
        <v>749</v>
      </c>
      <c r="F443" s="557"/>
      <c r="H443" s="601"/>
      <c r="I443" s="1190"/>
      <c r="Q443" s="394"/>
      <c r="R443" s="394"/>
      <c r="S443" s="394"/>
      <c r="T443" s="114"/>
      <c r="U443" s="114"/>
    </row>
    <row r="444" spans="4:21" ht="12.75" customHeight="1" x14ac:dyDescent="0.25">
      <c r="D444" s="557"/>
      <c r="E444" s="601"/>
      <c r="F444" s="557"/>
      <c r="H444" s="601"/>
      <c r="I444" s="1190"/>
      <c r="Q444" s="394"/>
      <c r="R444" s="394"/>
      <c r="S444" s="394"/>
      <c r="T444" s="114"/>
      <c r="U444" s="114"/>
    </row>
    <row r="445" spans="4:21" ht="12.75" customHeight="1" x14ac:dyDescent="0.25">
      <c r="D445" s="557"/>
      <c r="E445" s="563" t="s">
        <v>861</v>
      </c>
      <c r="F445" s="557"/>
      <c r="H445" s="399"/>
      <c r="I445" s="561"/>
      <c r="J445" s="405"/>
      <c r="K445" s="405"/>
      <c r="L445" s="405"/>
      <c r="M445" s="405"/>
      <c r="N445" s="405"/>
      <c r="O445" s="405"/>
      <c r="Q445" s="394"/>
      <c r="R445" s="394"/>
      <c r="S445" s="394"/>
      <c r="T445" s="114"/>
      <c r="U445" s="114"/>
    </row>
    <row r="446" spans="4:21" ht="12.75" customHeight="1" x14ac:dyDescent="0.25">
      <c r="D446" s="143"/>
      <c r="E446" s="1640">
        <v>1370</v>
      </c>
      <c r="F446" s="115" t="s">
        <v>751</v>
      </c>
      <c r="I446" s="636">
        <v>86.1</v>
      </c>
      <c r="J446" s="114">
        <v>117956.99999999999</v>
      </c>
      <c r="K446" s="114"/>
      <c r="L446" s="114"/>
      <c r="M446" s="114"/>
      <c r="N446" s="114"/>
      <c r="O446" s="114"/>
      <c r="P446" s="114"/>
      <c r="Q446" s="394"/>
      <c r="R446" s="394"/>
      <c r="S446" s="394"/>
      <c r="T446" s="114"/>
      <c r="U446" s="114"/>
    </row>
    <row r="447" spans="4:21" ht="12.75" customHeight="1" x14ac:dyDescent="0.25">
      <c r="D447" s="143"/>
      <c r="E447" s="1640">
        <v>3200</v>
      </c>
      <c r="F447" s="115" t="s">
        <v>752</v>
      </c>
      <c r="I447" s="636">
        <v>86.85</v>
      </c>
      <c r="J447" s="114"/>
      <c r="K447" s="114">
        <v>277920</v>
      </c>
      <c r="L447" s="114"/>
      <c r="M447" s="114"/>
      <c r="N447" s="114"/>
      <c r="O447" s="114"/>
      <c r="P447" s="114"/>
      <c r="Q447" s="394"/>
      <c r="R447" s="394"/>
      <c r="S447" s="394"/>
      <c r="T447" s="114"/>
      <c r="U447" s="114"/>
    </row>
    <row r="448" spans="4:21" ht="12.75" customHeight="1" x14ac:dyDescent="0.25">
      <c r="D448" s="143"/>
      <c r="E448" s="1640">
        <v>3200</v>
      </c>
      <c r="F448" s="115" t="s">
        <v>753</v>
      </c>
      <c r="I448" s="636">
        <f>ROUND(I447*$T$2,1)</f>
        <v>88.7</v>
      </c>
      <c r="J448" s="114"/>
      <c r="K448" s="114"/>
      <c r="L448" s="114">
        <f>$E448*$I448</f>
        <v>283840</v>
      </c>
      <c r="M448" s="114"/>
      <c r="N448" s="114"/>
      <c r="O448" s="114"/>
      <c r="P448" s="114"/>
      <c r="Q448" s="394"/>
      <c r="R448" s="394"/>
      <c r="S448" s="394"/>
      <c r="T448" s="114"/>
      <c r="U448" s="114"/>
    </row>
    <row r="449" spans="4:21" ht="12.75" customHeight="1" x14ac:dyDescent="0.25">
      <c r="D449" s="143"/>
      <c r="E449" s="1640">
        <v>3200</v>
      </c>
      <c r="F449" s="115" t="s">
        <v>754</v>
      </c>
      <c r="I449" s="636">
        <f>ROUND(I448*$U$2,1)</f>
        <v>90.7</v>
      </c>
      <c r="J449" s="114"/>
      <c r="K449" s="114"/>
      <c r="L449" s="114"/>
      <c r="M449" s="114">
        <f>$E449*$I449</f>
        <v>290240</v>
      </c>
      <c r="P449" s="114"/>
      <c r="Q449" s="394"/>
      <c r="R449" s="394"/>
      <c r="S449" s="394"/>
      <c r="T449" s="114"/>
      <c r="U449" s="114"/>
    </row>
    <row r="450" spans="4:21" ht="12.75" customHeight="1" x14ac:dyDescent="0.25">
      <c r="D450" s="143"/>
      <c r="E450" s="1640">
        <v>3200</v>
      </c>
      <c r="F450" s="115" t="s">
        <v>755</v>
      </c>
      <c r="I450" s="636">
        <f>ROUND(I449*$V$2,1)</f>
        <v>92.8</v>
      </c>
      <c r="J450" s="114"/>
      <c r="K450" s="114"/>
      <c r="L450" s="114"/>
      <c r="M450" s="114"/>
      <c r="N450" s="114">
        <f>$E450*$I450</f>
        <v>296960</v>
      </c>
      <c r="O450" s="114"/>
      <c r="P450" s="114"/>
      <c r="Q450" s="394"/>
      <c r="R450" s="394"/>
      <c r="S450" s="394"/>
      <c r="T450" s="114"/>
      <c r="U450" s="114"/>
    </row>
    <row r="451" spans="4:21" ht="12.75" customHeight="1" x14ac:dyDescent="0.25">
      <c r="D451" s="143"/>
      <c r="E451" s="2033">
        <v>3200</v>
      </c>
      <c r="F451" s="358" t="s">
        <v>5256</v>
      </c>
      <c r="G451" s="358"/>
      <c r="H451" s="358"/>
      <c r="I451" s="2028">
        <f>ROUND(I450*$W$2,1)</f>
        <v>94.9</v>
      </c>
      <c r="J451" s="114"/>
      <c r="K451" s="114"/>
      <c r="L451" s="114"/>
      <c r="M451" s="114"/>
      <c r="N451" s="114"/>
      <c r="O451" s="114">
        <f>$E451*$I451</f>
        <v>303680</v>
      </c>
      <c r="P451" s="114"/>
      <c r="Q451" s="394"/>
      <c r="R451" s="394"/>
      <c r="S451" s="394"/>
      <c r="T451" s="114"/>
      <c r="U451" s="114"/>
    </row>
    <row r="452" spans="4:21" ht="12.75" customHeight="1" x14ac:dyDescent="0.25">
      <c r="D452" s="143"/>
      <c r="E452" s="151"/>
      <c r="F452" s="115"/>
      <c r="I452" s="636"/>
      <c r="J452" s="114"/>
      <c r="K452" s="114"/>
      <c r="L452" s="114"/>
      <c r="M452" s="114"/>
      <c r="N452" s="114"/>
      <c r="O452" s="114"/>
      <c r="P452" s="114"/>
      <c r="Q452" s="394"/>
      <c r="R452" s="394"/>
      <c r="S452" s="394"/>
      <c r="T452" s="114"/>
      <c r="U452" s="114"/>
    </row>
    <row r="453" spans="4:21" ht="12.75" customHeight="1" x14ac:dyDescent="0.25">
      <c r="E453" s="563" t="s">
        <v>862</v>
      </c>
      <c r="F453" s="399"/>
      <c r="I453" s="561"/>
      <c r="J453" s="405"/>
      <c r="K453" s="405"/>
      <c r="L453" s="405"/>
      <c r="M453" s="405"/>
      <c r="N453" s="405"/>
      <c r="O453" s="405"/>
      <c r="P453" s="405"/>
      <c r="Q453" s="394"/>
      <c r="R453" s="394"/>
      <c r="S453" s="394"/>
      <c r="T453" s="114"/>
      <c r="U453" s="114"/>
    </row>
    <row r="454" spans="4:21" ht="12.75" customHeight="1" x14ac:dyDescent="0.25">
      <c r="E454" s="1640">
        <v>1340</v>
      </c>
      <c r="F454" s="115" t="s">
        <v>751</v>
      </c>
      <c r="I454" s="636">
        <v>65.2</v>
      </c>
      <c r="J454" s="114">
        <v>87368</v>
      </c>
      <c r="K454" s="114"/>
      <c r="L454" s="114"/>
      <c r="M454" s="114"/>
      <c r="N454" s="114"/>
      <c r="O454" s="114"/>
      <c r="P454" s="114"/>
      <c r="Q454" s="394"/>
      <c r="R454" s="394"/>
      <c r="S454" s="394"/>
      <c r="T454" s="114"/>
      <c r="U454" s="114"/>
    </row>
    <row r="455" spans="4:21" ht="12.75" customHeight="1" x14ac:dyDescent="0.25">
      <c r="E455" s="1640">
        <v>775</v>
      </c>
      <c r="F455" s="115" t="s">
        <v>752</v>
      </c>
      <c r="I455" s="636">
        <v>65.7</v>
      </c>
      <c r="J455" s="114"/>
      <c r="K455" s="114">
        <v>50917.5</v>
      </c>
      <c r="L455" s="114"/>
      <c r="M455" s="114"/>
      <c r="N455" s="114"/>
      <c r="O455" s="114"/>
      <c r="P455" s="114"/>
      <c r="Q455" s="394"/>
      <c r="R455" s="394"/>
      <c r="S455" s="394"/>
      <c r="T455" s="114"/>
      <c r="U455" s="114"/>
    </row>
    <row r="456" spans="4:21" ht="12.75" customHeight="1" x14ac:dyDescent="0.25">
      <c r="E456" s="1640">
        <v>775</v>
      </c>
      <c r="F456" s="115" t="s">
        <v>753</v>
      </c>
      <c r="I456" s="636">
        <f>ROUND(I455*$T$2,1)</f>
        <v>67.099999999999994</v>
      </c>
      <c r="J456" s="114"/>
      <c r="K456" s="114"/>
      <c r="L456" s="114">
        <f>$E456*$I456</f>
        <v>52002.499999999993</v>
      </c>
      <c r="M456" s="114"/>
      <c r="N456" s="114"/>
      <c r="O456" s="114"/>
      <c r="P456" s="114"/>
      <c r="Q456" s="394"/>
      <c r="R456" s="394"/>
      <c r="S456" s="394"/>
      <c r="T456" s="114"/>
      <c r="U456" s="114"/>
    </row>
    <row r="457" spans="4:21" ht="12.75" customHeight="1" x14ac:dyDescent="0.25">
      <c r="E457" s="1640">
        <v>775</v>
      </c>
      <c r="F457" s="115" t="s">
        <v>754</v>
      </c>
      <c r="I457" s="636">
        <f>ROUND(I456*$U$2,1)</f>
        <v>68.599999999999994</v>
      </c>
      <c r="J457" s="114"/>
      <c r="K457" s="114"/>
      <c r="L457" s="114"/>
      <c r="M457" s="114">
        <f>$E457*$I457</f>
        <v>53164.999999999993</v>
      </c>
      <c r="P457" s="114"/>
      <c r="Q457" s="394"/>
      <c r="R457" s="394"/>
      <c r="S457" s="394"/>
      <c r="T457" s="114"/>
      <c r="U457" s="114"/>
    </row>
    <row r="458" spans="4:21" ht="12.75" customHeight="1" x14ac:dyDescent="0.25">
      <c r="E458" s="1640">
        <v>775</v>
      </c>
      <c r="F458" s="115" t="s">
        <v>755</v>
      </c>
      <c r="I458" s="636">
        <f>ROUND(I457*$V$2,1)</f>
        <v>70.2</v>
      </c>
      <c r="J458" s="114"/>
      <c r="K458" s="114"/>
      <c r="L458" s="114"/>
      <c r="M458" s="114"/>
      <c r="N458" s="114">
        <f>$E458*$I458</f>
        <v>54405</v>
      </c>
      <c r="O458" s="114"/>
      <c r="P458" s="114"/>
      <c r="Q458" s="394"/>
      <c r="R458" s="394"/>
      <c r="S458" s="394"/>
      <c r="T458" s="114"/>
      <c r="U458" s="114"/>
    </row>
    <row r="459" spans="4:21" ht="12.75" customHeight="1" x14ac:dyDescent="0.25">
      <c r="E459" s="2033">
        <v>775</v>
      </c>
      <c r="F459" s="358" t="s">
        <v>5256</v>
      </c>
      <c r="G459" s="358"/>
      <c r="H459" s="358"/>
      <c r="I459" s="2028">
        <f>ROUND(I458*$W$2,1)</f>
        <v>71.8</v>
      </c>
      <c r="J459" s="114"/>
      <c r="K459" s="114"/>
      <c r="L459" s="114"/>
      <c r="M459" s="114"/>
      <c r="N459" s="114"/>
      <c r="O459" s="114">
        <f>$E459*$I459</f>
        <v>55645</v>
      </c>
      <c r="P459" s="114"/>
      <c r="Q459" s="394"/>
      <c r="R459" s="394"/>
      <c r="S459" s="394"/>
      <c r="T459" s="114"/>
      <c r="U459" s="114"/>
    </row>
    <row r="460" spans="4:21" ht="12.75" customHeight="1" x14ac:dyDescent="0.25">
      <c r="E460" s="151"/>
      <c r="F460" s="115"/>
      <c r="I460" s="636"/>
      <c r="J460" s="114"/>
      <c r="K460" s="114"/>
      <c r="L460" s="114"/>
      <c r="M460" s="114"/>
      <c r="N460" s="114"/>
      <c r="O460" s="114"/>
      <c r="P460" s="114"/>
      <c r="Q460" s="394"/>
      <c r="R460" s="394"/>
      <c r="S460" s="394"/>
      <c r="T460" s="114"/>
      <c r="U460" s="114"/>
    </row>
    <row r="461" spans="4:21" ht="12.75" customHeight="1" x14ac:dyDescent="0.25">
      <c r="E461" s="1640">
        <v>65</v>
      </c>
      <c r="F461" s="115" t="s">
        <v>757</v>
      </c>
      <c r="I461" s="636">
        <f>ROUND(59.1*S2,1)</f>
        <v>60.6</v>
      </c>
      <c r="J461" s="114">
        <v>2616</v>
      </c>
      <c r="K461" s="114">
        <v>3939</v>
      </c>
      <c r="L461" s="114">
        <f>ROUND(K461*T$2,0)</f>
        <v>4022</v>
      </c>
      <c r="M461" s="114">
        <f>ROUND(L461*U$2,0)</f>
        <v>4115</v>
      </c>
      <c r="N461" s="114">
        <f>ROUND(M461*V$2,0)</f>
        <v>4210</v>
      </c>
      <c r="O461" s="114">
        <f>ROUND(N461*W$2,0)</f>
        <v>4307</v>
      </c>
      <c r="P461" s="114"/>
      <c r="Q461" s="394"/>
      <c r="R461" s="394"/>
      <c r="S461" s="394"/>
      <c r="T461" s="114"/>
      <c r="U461" s="114"/>
    </row>
    <row r="462" spans="4:21" ht="12.75" customHeight="1" x14ac:dyDescent="0.25">
      <c r="E462" s="151"/>
      <c r="F462" s="115"/>
      <c r="I462" s="114"/>
      <c r="J462" s="114"/>
      <c r="K462" s="114"/>
      <c r="L462" s="114"/>
      <c r="M462" s="114"/>
      <c r="N462" s="114"/>
      <c r="O462" s="114"/>
      <c r="Q462" s="394"/>
      <c r="R462" s="394"/>
      <c r="S462" s="394"/>
      <c r="T462" s="114"/>
      <c r="U462" s="114"/>
    </row>
    <row r="463" spans="4:21" ht="12.75" customHeight="1" x14ac:dyDescent="0.25">
      <c r="D463" s="115"/>
      <c r="E463" s="563" t="s">
        <v>863</v>
      </c>
      <c r="F463" s="484"/>
      <c r="I463" s="1632"/>
      <c r="J463" s="1632"/>
      <c r="K463" s="1632"/>
      <c r="L463" s="1632"/>
      <c r="M463" s="1632"/>
      <c r="N463" s="1632"/>
      <c r="O463" s="1632"/>
      <c r="Q463" s="394"/>
      <c r="R463" s="394"/>
      <c r="S463" s="394"/>
      <c r="T463" s="114"/>
      <c r="U463" s="114"/>
    </row>
    <row r="464" spans="4:21" ht="12.75" customHeight="1" x14ac:dyDescent="0.25">
      <c r="D464" s="115"/>
      <c r="E464" s="1640">
        <v>610</v>
      </c>
      <c r="F464" s="115" t="s">
        <v>864</v>
      </c>
      <c r="I464" s="636">
        <v>77.900000000000006</v>
      </c>
      <c r="J464" s="114">
        <v>47519</v>
      </c>
      <c r="K464" s="114"/>
      <c r="L464" s="114"/>
      <c r="M464" s="114"/>
      <c r="N464" s="114"/>
      <c r="O464" s="114"/>
      <c r="Q464" s="394"/>
      <c r="R464" s="394"/>
      <c r="S464" s="394"/>
      <c r="T464" s="114"/>
      <c r="U464" s="114"/>
    </row>
    <row r="465" spans="4:21" ht="12.75" customHeight="1" x14ac:dyDescent="0.25">
      <c r="D465" s="115"/>
      <c r="E465" s="1640">
        <v>1300</v>
      </c>
      <c r="F465" s="115" t="s">
        <v>865</v>
      </c>
      <c r="I465" s="636">
        <v>78.5</v>
      </c>
      <c r="J465" s="114"/>
      <c r="K465" s="114">
        <v>102050</v>
      </c>
      <c r="L465" s="114"/>
      <c r="M465" s="114"/>
      <c r="N465" s="114"/>
      <c r="O465" s="114"/>
      <c r="Q465" s="394"/>
      <c r="R465" s="394"/>
      <c r="S465" s="394"/>
      <c r="T465" s="114"/>
      <c r="U465" s="114"/>
    </row>
    <row r="466" spans="4:21" ht="12.75" customHeight="1" x14ac:dyDescent="0.25">
      <c r="D466" s="115"/>
      <c r="E466" s="1640">
        <v>1300</v>
      </c>
      <c r="F466" s="115" t="s">
        <v>866</v>
      </c>
      <c r="I466" s="636">
        <f>ROUND(I465*$T$2,1)</f>
        <v>80.099999999999994</v>
      </c>
      <c r="J466" s="114"/>
      <c r="K466" s="114"/>
      <c r="L466" s="114">
        <f>$E466*$I466</f>
        <v>104129.99999999999</v>
      </c>
      <c r="M466" s="114"/>
      <c r="N466" s="114"/>
      <c r="O466" s="114"/>
      <c r="Q466" s="394"/>
      <c r="R466" s="394"/>
      <c r="S466" s="394"/>
      <c r="T466" s="114"/>
      <c r="U466" s="114"/>
    </row>
    <row r="467" spans="4:21" ht="12.75" customHeight="1" x14ac:dyDescent="0.25">
      <c r="D467" s="115"/>
      <c r="E467" s="1640">
        <v>1300</v>
      </c>
      <c r="F467" s="115" t="s">
        <v>867</v>
      </c>
      <c r="I467" s="636">
        <f>ROUND(I466*$U$2,1)</f>
        <v>81.900000000000006</v>
      </c>
      <c r="J467" s="114"/>
      <c r="K467" s="114"/>
      <c r="L467" s="114"/>
      <c r="M467" s="114">
        <f>$E467*$I467</f>
        <v>106470.00000000001</v>
      </c>
      <c r="Q467" s="394"/>
      <c r="R467" s="394"/>
      <c r="S467" s="394"/>
      <c r="T467" s="114"/>
      <c r="U467" s="114"/>
    </row>
    <row r="468" spans="4:21" ht="12.75" customHeight="1" x14ac:dyDescent="0.25">
      <c r="D468" s="115"/>
      <c r="E468" s="1640">
        <v>1300</v>
      </c>
      <c r="F468" s="115" t="s">
        <v>868</v>
      </c>
      <c r="I468" s="636">
        <f>ROUND(I467*$V$2,1)</f>
        <v>83.8</v>
      </c>
      <c r="J468" s="114"/>
      <c r="K468" s="114"/>
      <c r="L468" s="114"/>
      <c r="M468" s="114"/>
      <c r="N468" s="114">
        <f>$E468*$I468</f>
        <v>108940</v>
      </c>
      <c r="O468" s="114"/>
      <c r="Q468" s="394"/>
      <c r="R468" s="394"/>
      <c r="S468" s="394"/>
      <c r="T468" s="114"/>
      <c r="U468" s="114"/>
    </row>
    <row r="469" spans="4:21" ht="12.75" customHeight="1" x14ac:dyDescent="0.25">
      <c r="D469" s="115"/>
      <c r="E469" s="2033">
        <v>1300</v>
      </c>
      <c r="F469" s="358" t="s">
        <v>5264</v>
      </c>
      <c r="G469" s="358"/>
      <c r="H469" s="358"/>
      <c r="I469" s="2028">
        <f>ROUND(I468*$W$2,1)</f>
        <v>85.7</v>
      </c>
      <c r="J469" s="114"/>
      <c r="K469" s="114"/>
      <c r="L469" s="114"/>
      <c r="M469" s="114"/>
      <c r="N469" s="114"/>
      <c r="O469" s="114">
        <f>$E469*$I469</f>
        <v>111410</v>
      </c>
      <c r="Q469" s="394"/>
      <c r="R469" s="394"/>
      <c r="S469" s="394"/>
      <c r="T469" s="114"/>
      <c r="U469" s="114"/>
    </row>
    <row r="470" spans="4:21" ht="12.75" customHeight="1" x14ac:dyDescent="0.25">
      <c r="D470" s="143"/>
      <c r="E470" s="151"/>
      <c r="F470" s="115"/>
      <c r="I470" s="114"/>
      <c r="J470" s="114"/>
      <c r="K470" s="114"/>
      <c r="L470" s="114"/>
      <c r="M470" s="114"/>
      <c r="N470" s="114"/>
      <c r="O470" s="114"/>
      <c r="Q470" s="394"/>
      <c r="R470" s="394"/>
      <c r="S470" s="394"/>
      <c r="T470" s="114"/>
      <c r="U470" s="114"/>
    </row>
    <row r="471" spans="4:21" ht="12.75" customHeight="1" x14ac:dyDescent="0.25">
      <c r="D471" s="143"/>
      <c r="E471" s="563" t="s">
        <v>869</v>
      </c>
      <c r="F471" s="115"/>
      <c r="I471" s="114"/>
      <c r="J471" s="114"/>
      <c r="K471" s="114"/>
      <c r="L471" s="114"/>
      <c r="M471" s="114"/>
      <c r="N471" s="114"/>
      <c r="O471" s="114"/>
      <c r="Q471" s="394"/>
      <c r="R471" s="394"/>
      <c r="S471" s="394"/>
      <c r="T471" s="114"/>
      <c r="U471" s="114"/>
    </row>
    <row r="472" spans="4:21" ht="12.75" customHeight="1" x14ac:dyDescent="0.25">
      <c r="D472" s="143"/>
      <c r="E472" s="1640">
        <v>1280</v>
      </c>
      <c r="F472" s="115" t="s">
        <v>870</v>
      </c>
      <c r="I472" s="636">
        <v>42</v>
      </c>
      <c r="J472" s="114">
        <v>53760</v>
      </c>
      <c r="K472" s="114"/>
      <c r="L472" s="114"/>
      <c r="M472" s="114"/>
      <c r="N472" s="114"/>
      <c r="O472" s="114"/>
      <c r="Q472" s="394"/>
      <c r="R472" s="394"/>
      <c r="S472" s="394"/>
      <c r="T472" s="114"/>
      <c r="U472" s="114"/>
    </row>
    <row r="473" spans="4:21" ht="12.75" customHeight="1" x14ac:dyDescent="0.25">
      <c r="D473" s="143"/>
      <c r="E473" s="1640">
        <v>600</v>
      </c>
      <c r="F473" s="115" t="s">
        <v>871</v>
      </c>
      <c r="I473" s="636">
        <v>42.35</v>
      </c>
      <c r="J473" s="114"/>
      <c r="K473" s="114">
        <v>25410</v>
      </c>
      <c r="L473" s="114"/>
      <c r="M473" s="114"/>
      <c r="N473" s="114"/>
      <c r="O473" s="114"/>
      <c r="Q473" s="394"/>
      <c r="R473" s="394"/>
      <c r="S473" s="394"/>
      <c r="T473" s="114"/>
      <c r="U473" s="114"/>
    </row>
    <row r="474" spans="4:21" ht="12.75" customHeight="1" x14ac:dyDescent="0.25">
      <c r="D474" s="143"/>
      <c r="E474" s="1640">
        <v>600</v>
      </c>
      <c r="F474" s="115" t="s">
        <v>872</v>
      </c>
      <c r="I474" s="636">
        <f>ROUND(I473*$T$2,1)</f>
        <v>43.2</v>
      </c>
      <c r="J474" s="114"/>
      <c r="K474" s="114"/>
      <c r="L474" s="114">
        <f>$E474*$I474</f>
        <v>25920</v>
      </c>
      <c r="M474" s="114"/>
      <c r="N474" s="114"/>
      <c r="O474" s="114"/>
      <c r="Q474" s="394"/>
      <c r="R474" s="394"/>
      <c r="S474" s="394"/>
      <c r="T474" s="114"/>
      <c r="U474" s="114"/>
    </row>
    <row r="475" spans="4:21" ht="12.75" customHeight="1" x14ac:dyDescent="0.25">
      <c r="D475" s="143"/>
      <c r="E475" s="1640">
        <v>600</v>
      </c>
      <c r="F475" s="115" t="s">
        <v>873</v>
      </c>
      <c r="I475" s="636">
        <f>ROUND(I474*$U$2,1)</f>
        <v>44.2</v>
      </c>
      <c r="J475" s="114"/>
      <c r="K475" s="114"/>
      <c r="L475" s="114"/>
      <c r="M475" s="114">
        <f>$E475*$I475</f>
        <v>26520</v>
      </c>
      <c r="Q475" s="394"/>
      <c r="R475" s="394"/>
      <c r="S475" s="394"/>
      <c r="T475" s="114"/>
      <c r="U475" s="114"/>
    </row>
    <row r="476" spans="4:21" ht="12.75" customHeight="1" x14ac:dyDescent="0.25">
      <c r="D476" s="143"/>
      <c r="E476" s="1640">
        <v>600</v>
      </c>
      <c r="F476" s="115" t="s">
        <v>874</v>
      </c>
      <c r="I476" s="636">
        <f>ROUND(I475*$V$2,1)</f>
        <v>45.2</v>
      </c>
      <c r="J476" s="114"/>
      <c r="K476" s="114"/>
      <c r="L476" s="114"/>
      <c r="M476" s="114"/>
      <c r="N476" s="114">
        <f>$E476*$I476</f>
        <v>27120</v>
      </c>
      <c r="O476" s="114"/>
      <c r="Q476" s="394"/>
      <c r="R476" s="394"/>
      <c r="S476" s="394"/>
      <c r="T476" s="114"/>
      <c r="U476" s="114"/>
    </row>
    <row r="477" spans="4:21" ht="12.75" customHeight="1" x14ac:dyDescent="0.25">
      <c r="D477" s="143"/>
      <c r="E477" s="2033">
        <v>600</v>
      </c>
      <c r="F477" s="358" t="s">
        <v>5265</v>
      </c>
      <c r="G477" s="358"/>
      <c r="H477" s="358"/>
      <c r="I477" s="2028">
        <f>ROUND(I476*$W$2,1)</f>
        <v>46.2</v>
      </c>
      <c r="J477" s="114"/>
      <c r="K477" s="114"/>
      <c r="L477" s="114"/>
      <c r="M477" s="114"/>
      <c r="N477" s="114"/>
      <c r="O477" s="114">
        <f>$E477*$I477</f>
        <v>27720</v>
      </c>
      <c r="Q477" s="394"/>
      <c r="R477" s="394"/>
      <c r="S477" s="394"/>
      <c r="T477" s="114"/>
      <c r="U477" s="114"/>
    </row>
    <row r="478" spans="4:21" ht="12.75" customHeight="1" x14ac:dyDescent="0.25">
      <c r="D478" s="143"/>
      <c r="E478" s="400"/>
      <c r="F478" s="115"/>
      <c r="J478" s="114"/>
      <c r="K478" s="114"/>
      <c r="L478" s="114"/>
      <c r="M478" s="114"/>
      <c r="N478" s="114"/>
      <c r="O478" s="114"/>
      <c r="P478" s="114"/>
      <c r="Q478" s="394"/>
      <c r="R478" s="394"/>
      <c r="S478" s="394"/>
      <c r="T478" s="114"/>
      <c r="U478" s="114"/>
    </row>
    <row r="479" spans="4:21" ht="12.75" customHeight="1" x14ac:dyDescent="0.25">
      <c r="D479" s="143"/>
      <c r="E479" s="1640">
        <v>65</v>
      </c>
      <c r="F479" s="115" t="s">
        <v>875</v>
      </c>
      <c r="I479" s="636">
        <f>ROUND(59.1*S2,1)</f>
        <v>60.6</v>
      </c>
      <c r="J479" s="114">
        <v>2930</v>
      </c>
      <c r="K479" s="114">
        <v>3939</v>
      </c>
      <c r="L479" s="114">
        <f>ROUND(K479*T$2,0)</f>
        <v>4022</v>
      </c>
      <c r="M479" s="114">
        <f>ROUND(L479*U$2,0)</f>
        <v>4115</v>
      </c>
      <c r="N479" s="114">
        <f>ROUND(M479*V$2,0)</f>
        <v>4210</v>
      </c>
      <c r="O479" s="114">
        <f>ROUND(N479*W$2,0)</f>
        <v>4307</v>
      </c>
      <c r="P479" s="114"/>
      <c r="Q479" s="394"/>
      <c r="R479" s="394"/>
      <c r="S479" s="394"/>
      <c r="T479" s="114"/>
      <c r="U479" s="114"/>
    </row>
    <row r="480" spans="4:21" ht="12.75" customHeight="1" x14ac:dyDescent="0.25">
      <c r="D480" s="143"/>
      <c r="E480" s="151"/>
      <c r="Q480" s="394"/>
      <c r="R480" s="394"/>
      <c r="S480" s="394"/>
      <c r="T480" s="114"/>
      <c r="U480" s="114"/>
    </row>
    <row r="481" spans="4:21" ht="12.75" customHeight="1" thickBot="1" x14ac:dyDescent="0.3">
      <c r="D481" s="143"/>
      <c r="E481" s="115" t="s">
        <v>876</v>
      </c>
      <c r="I481" s="114"/>
      <c r="J481" s="1744">
        <v>312150</v>
      </c>
      <c r="K481" s="1744">
        <v>464175.5</v>
      </c>
      <c r="L481" s="1744">
        <f>SUM(L443:L480)</f>
        <v>473936.5</v>
      </c>
      <c r="M481" s="1744">
        <f>SUM(M443:M480)</f>
        <v>484625</v>
      </c>
      <c r="N481" s="1744">
        <f>SUM(N443:N480)</f>
        <v>495845</v>
      </c>
      <c r="O481" s="1744">
        <f>SUM(O443:O480)</f>
        <v>507069</v>
      </c>
      <c r="P481" s="114"/>
      <c r="Q481" s="394"/>
      <c r="R481" s="394"/>
      <c r="S481" s="394"/>
      <c r="T481" s="114"/>
      <c r="U481" s="114"/>
    </row>
    <row r="482" spans="4:21" ht="12.75" customHeight="1" thickTop="1" x14ac:dyDescent="0.25">
      <c r="D482" s="143"/>
      <c r="E482" s="143"/>
      <c r="Q482" s="394"/>
      <c r="R482" s="394"/>
      <c r="S482" s="394"/>
      <c r="T482" s="114"/>
      <c r="U482" s="114"/>
    </row>
    <row r="483" spans="4:21" ht="12.75" customHeight="1" x14ac:dyDescent="0.25">
      <c r="D483" s="143"/>
      <c r="E483" s="143"/>
      <c r="Q483" s="394"/>
      <c r="R483" s="394"/>
      <c r="S483" s="394"/>
      <c r="T483" s="114"/>
      <c r="U483" s="114"/>
    </row>
    <row r="484" spans="4:21" ht="12.75" customHeight="1" x14ac:dyDescent="0.25">
      <c r="D484" s="143"/>
      <c r="E484" s="143"/>
      <c r="Q484" s="394"/>
      <c r="R484" s="394"/>
      <c r="S484" s="394"/>
      <c r="T484" s="114"/>
      <c r="U484" s="114"/>
    </row>
    <row r="485" spans="4:21" ht="12.75" customHeight="1" x14ac:dyDescent="0.25">
      <c r="D485" s="393">
        <v>602003</v>
      </c>
      <c r="E485" s="410" t="s">
        <v>723</v>
      </c>
      <c r="F485" s="115"/>
      <c r="I485" s="1630"/>
      <c r="J485" s="1629">
        <v>2025</v>
      </c>
      <c r="K485" s="1629">
        <v>2026</v>
      </c>
      <c r="L485" s="1629">
        <v>2027</v>
      </c>
      <c r="M485" s="1629">
        <v>2028</v>
      </c>
      <c r="N485" s="1629">
        <v>2029</v>
      </c>
      <c r="O485" s="1629">
        <v>2030</v>
      </c>
      <c r="P485" s="1192"/>
      <c r="Q485" s="394"/>
      <c r="R485" s="394"/>
      <c r="S485" s="394"/>
      <c r="T485" s="114"/>
      <c r="U485" s="114"/>
    </row>
    <row r="486" spans="4:21" ht="12.75" customHeight="1" x14ac:dyDescent="0.25">
      <c r="D486" s="393"/>
      <c r="E486" s="410"/>
      <c r="F486" s="115"/>
      <c r="I486" s="1630"/>
      <c r="J486" s="1192"/>
      <c r="K486" s="1192"/>
      <c r="L486" s="1192"/>
      <c r="M486" s="1192"/>
      <c r="N486" s="1192"/>
      <c r="O486" s="1192"/>
      <c r="P486" s="1192"/>
      <c r="Q486" s="394"/>
      <c r="R486" s="394"/>
      <c r="S486" s="394"/>
      <c r="T486" s="114"/>
      <c r="U486" s="114"/>
    </row>
    <row r="487" spans="4:21" ht="12.75" customHeight="1" x14ac:dyDescent="0.25">
      <c r="D487" s="557">
        <v>83700</v>
      </c>
      <c r="E487" s="401" t="s">
        <v>877</v>
      </c>
      <c r="F487" s="115"/>
      <c r="I487" s="1630"/>
      <c r="J487" s="1630"/>
      <c r="K487" s="1630"/>
      <c r="L487" s="1630"/>
      <c r="M487" s="1630"/>
      <c r="N487" s="1630"/>
      <c r="O487" s="1630"/>
      <c r="P487" s="1630"/>
      <c r="Q487" s="394"/>
      <c r="R487" s="394"/>
      <c r="S487" s="394"/>
      <c r="T487" s="114"/>
      <c r="U487" s="114"/>
    </row>
    <row r="488" spans="4:21" ht="12.75" customHeight="1" x14ac:dyDescent="0.25">
      <c r="D488" s="557"/>
      <c r="E488" s="1633" t="s">
        <v>878</v>
      </c>
      <c r="F488" s="115"/>
      <c r="I488" s="1630"/>
      <c r="J488" s="1630"/>
      <c r="K488" s="1630"/>
      <c r="L488" s="1630"/>
      <c r="M488" s="1630"/>
      <c r="N488" s="1630"/>
      <c r="O488" s="1630"/>
      <c r="P488" s="1630"/>
      <c r="Q488" s="394"/>
      <c r="R488" s="394"/>
      <c r="S488" s="394"/>
      <c r="T488" s="114"/>
      <c r="U488" s="114"/>
    </row>
    <row r="489" spans="4:21" ht="12.75" customHeight="1" x14ac:dyDescent="0.25">
      <c r="D489" s="557"/>
      <c r="E489" s="401"/>
      <c r="F489" s="115"/>
      <c r="I489" s="1630"/>
      <c r="J489" s="1630"/>
      <c r="K489" s="1630"/>
      <c r="L489" s="1630"/>
      <c r="M489" s="1630"/>
      <c r="N489" s="1630"/>
      <c r="O489" s="1630"/>
      <c r="P489" s="1630"/>
      <c r="Q489" s="394"/>
      <c r="R489" s="394"/>
      <c r="S489" s="394"/>
      <c r="T489" s="114"/>
      <c r="U489" s="114"/>
    </row>
    <row r="490" spans="4:21" ht="12.75" customHeight="1" x14ac:dyDescent="0.25">
      <c r="D490" s="143"/>
      <c r="E490" s="303">
        <v>2970</v>
      </c>
      <c r="F490" s="115" t="s">
        <v>879</v>
      </c>
      <c r="I490" s="636">
        <v>49.4</v>
      </c>
      <c r="J490" s="114">
        <v>146718</v>
      </c>
      <c r="K490" s="114"/>
      <c r="L490" s="114"/>
      <c r="M490" s="114"/>
      <c r="N490" s="114"/>
      <c r="O490" s="114"/>
      <c r="P490" s="114"/>
      <c r="Q490" s="394"/>
      <c r="R490" s="394"/>
      <c r="S490" s="394"/>
      <c r="T490" s="114"/>
      <c r="U490" s="114"/>
    </row>
    <row r="491" spans="4:21" ht="12.75" customHeight="1" x14ac:dyDescent="0.25">
      <c r="D491" s="143"/>
      <c r="E491" s="303">
        <v>2000</v>
      </c>
      <c r="F491" s="115" t="s">
        <v>880</v>
      </c>
      <c r="I491" s="636">
        <v>52.1</v>
      </c>
      <c r="J491" s="114"/>
      <c r="K491" s="114">
        <v>104200</v>
      </c>
      <c r="L491" s="114"/>
      <c r="M491" s="114"/>
      <c r="N491" s="114"/>
      <c r="O491" s="114"/>
      <c r="P491" s="114"/>
      <c r="Q491" s="394"/>
      <c r="R491" s="394"/>
      <c r="S491" s="394"/>
      <c r="T491" s="114"/>
      <c r="U491" s="114"/>
    </row>
    <row r="492" spans="4:21" ht="12.75" customHeight="1" x14ac:dyDescent="0.25">
      <c r="D492" s="143"/>
      <c r="E492" s="303">
        <v>2000</v>
      </c>
      <c r="F492" s="115" t="s">
        <v>881</v>
      </c>
      <c r="I492" s="636">
        <f>ROUND(I491*$T$2,1)</f>
        <v>53.2</v>
      </c>
      <c r="J492" s="114"/>
      <c r="K492" s="114"/>
      <c r="L492" s="114">
        <f>$E492*$I492</f>
        <v>106400</v>
      </c>
      <c r="M492" s="114"/>
      <c r="N492" s="114"/>
      <c r="O492" s="114"/>
      <c r="P492" s="114"/>
      <c r="Q492" s="394"/>
      <c r="R492" s="394"/>
      <c r="S492" s="394"/>
      <c r="T492" s="114"/>
      <c r="U492" s="114"/>
    </row>
    <row r="493" spans="4:21" ht="12.75" customHeight="1" x14ac:dyDescent="0.25">
      <c r="D493" s="143"/>
      <c r="E493" s="303">
        <v>2000</v>
      </c>
      <c r="F493" s="115" t="s">
        <v>882</v>
      </c>
      <c r="I493" s="636">
        <f>ROUND(I492*$U$2,1)</f>
        <v>54.4</v>
      </c>
      <c r="J493" s="114"/>
      <c r="K493" s="114"/>
      <c r="L493" s="114"/>
      <c r="M493" s="114">
        <f>$E493*$I493</f>
        <v>108800</v>
      </c>
      <c r="P493" s="114"/>
      <c r="Q493" s="394"/>
      <c r="R493" s="394"/>
      <c r="S493" s="394"/>
      <c r="T493" s="114"/>
      <c r="U493" s="114"/>
    </row>
    <row r="494" spans="4:21" ht="12.75" customHeight="1" x14ac:dyDescent="0.25">
      <c r="D494" s="143"/>
      <c r="E494" s="303">
        <v>2000</v>
      </c>
      <c r="F494" s="115" t="s">
        <v>883</v>
      </c>
      <c r="I494" s="636">
        <f>ROUND(I493*$V$2,1)</f>
        <v>55.7</v>
      </c>
      <c r="J494" s="114"/>
      <c r="K494" s="114"/>
      <c r="L494" s="114"/>
      <c r="M494" s="114"/>
      <c r="N494" s="114">
        <f>$E494*$I494</f>
        <v>111400</v>
      </c>
      <c r="O494" s="114"/>
      <c r="P494" s="114"/>
      <c r="Q494" s="394"/>
      <c r="R494" s="394"/>
      <c r="S494" s="394"/>
      <c r="T494" s="114"/>
      <c r="U494" s="114"/>
    </row>
    <row r="495" spans="4:21" ht="12.75" customHeight="1" x14ac:dyDescent="0.25">
      <c r="D495" s="143"/>
      <c r="E495" s="2027">
        <v>2000</v>
      </c>
      <c r="F495" s="358" t="s">
        <v>5266</v>
      </c>
      <c r="G495" s="358"/>
      <c r="H495" s="358"/>
      <c r="I495" s="2028">
        <f>ROUND(I494*$W$2,1)</f>
        <v>57</v>
      </c>
      <c r="J495" s="114"/>
      <c r="K495" s="114"/>
      <c r="L495" s="114"/>
      <c r="M495" s="114"/>
      <c r="N495" s="114"/>
      <c r="O495" s="114">
        <f>$E495*$I495</f>
        <v>114000</v>
      </c>
      <c r="P495" s="114"/>
      <c r="Q495" s="394"/>
      <c r="R495" s="394"/>
      <c r="S495" s="394"/>
      <c r="T495" s="114"/>
      <c r="U495" s="114"/>
    </row>
    <row r="496" spans="4:21" ht="12.75" customHeight="1" x14ac:dyDescent="0.25">
      <c r="D496" s="143"/>
      <c r="E496" s="1640"/>
      <c r="F496" s="115"/>
      <c r="I496" s="636"/>
      <c r="J496" s="114"/>
      <c r="K496" s="114"/>
      <c r="L496" s="114"/>
      <c r="M496" s="114"/>
      <c r="N496" s="114"/>
      <c r="O496" s="114"/>
      <c r="P496" s="114"/>
      <c r="Q496" s="394"/>
      <c r="R496" s="394"/>
      <c r="S496" s="394"/>
      <c r="T496" s="114"/>
      <c r="U496" s="114"/>
    </row>
    <row r="497" spans="4:21" ht="12.75" customHeight="1" x14ac:dyDescent="0.25">
      <c r="D497" s="143"/>
      <c r="E497" s="1641">
        <v>200</v>
      </c>
      <c r="F497" s="115" t="s">
        <v>884</v>
      </c>
      <c r="I497" s="636">
        <f>ROUND(39.65*S2,1)</f>
        <v>40.700000000000003</v>
      </c>
      <c r="J497" s="114">
        <v>7011</v>
      </c>
      <c r="K497" s="114">
        <v>8140.0000000000009</v>
      </c>
      <c r="L497" s="114">
        <f>ROUND(K497*T$2,0)</f>
        <v>8311</v>
      </c>
      <c r="M497" s="114">
        <f>ROUND(L497*U$2,0)</f>
        <v>8502</v>
      </c>
      <c r="N497" s="114">
        <f>ROUND(M497*V$2,0)</f>
        <v>8698</v>
      </c>
      <c r="O497" s="114">
        <f>ROUND(N497*W$2,0)</f>
        <v>8898</v>
      </c>
      <c r="P497" s="114"/>
      <c r="Q497" s="394"/>
      <c r="R497" s="394"/>
      <c r="S497" s="394"/>
      <c r="T497" s="114"/>
      <c r="U497" s="114"/>
    </row>
    <row r="498" spans="4:21" ht="12.75" customHeight="1" x14ac:dyDescent="0.25">
      <c r="F498" s="301"/>
      <c r="G498" s="1641"/>
      <c r="I498" s="114"/>
      <c r="J498" s="114"/>
      <c r="K498" s="114"/>
      <c r="L498" s="114"/>
      <c r="M498" s="114"/>
      <c r="N498" s="114"/>
      <c r="O498" s="114"/>
      <c r="P498" s="114"/>
      <c r="Q498" s="394"/>
      <c r="R498" s="394"/>
      <c r="S498" s="394"/>
      <c r="T498" s="114"/>
      <c r="U498" s="114"/>
    </row>
    <row r="499" spans="4:21" ht="12.75" customHeight="1" thickBot="1" x14ac:dyDescent="0.3">
      <c r="E499" s="115" t="s">
        <v>885</v>
      </c>
      <c r="F499" s="301"/>
      <c r="I499" s="114"/>
      <c r="J499" s="1744">
        <v>153729</v>
      </c>
      <c r="K499" s="1744">
        <v>112340</v>
      </c>
      <c r="L499" s="1744">
        <f>SUM(L490:L498)</f>
        <v>114711</v>
      </c>
      <c r="M499" s="1744">
        <f>SUM(M490:M498)</f>
        <v>117302</v>
      </c>
      <c r="N499" s="1744">
        <f>SUM(N490:N498)</f>
        <v>120098</v>
      </c>
      <c r="O499" s="1744">
        <f>SUM(O490:O498)</f>
        <v>122898</v>
      </c>
      <c r="P499" s="114"/>
      <c r="Q499" s="394"/>
      <c r="R499" s="394"/>
      <c r="S499" s="394"/>
      <c r="T499" s="114"/>
      <c r="U499" s="114"/>
    </row>
    <row r="500" spans="4:21" ht="12.75" customHeight="1" thickTop="1" x14ac:dyDescent="0.25">
      <c r="D500" s="143"/>
      <c r="E500" s="143"/>
      <c r="Q500" s="394"/>
      <c r="R500" s="394"/>
      <c r="S500" s="394"/>
      <c r="T500" s="114"/>
      <c r="U500" s="114"/>
    </row>
    <row r="501" spans="4:21" ht="12.75" customHeight="1" x14ac:dyDescent="0.25">
      <c r="D501" s="393">
        <v>602004</v>
      </c>
      <c r="E501" s="410" t="s">
        <v>739</v>
      </c>
      <c r="F501" s="393"/>
      <c r="I501" s="396"/>
      <c r="J501" s="1629">
        <v>2025</v>
      </c>
      <c r="K501" s="1629">
        <v>2026</v>
      </c>
      <c r="L501" s="1629">
        <v>2027</v>
      </c>
      <c r="M501" s="1629">
        <v>2028</v>
      </c>
      <c r="N501" s="1629">
        <v>2029</v>
      </c>
      <c r="O501" s="1629">
        <v>2030</v>
      </c>
      <c r="P501" s="1192"/>
      <c r="Q501" s="394"/>
      <c r="R501" s="394"/>
      <c r="S501" s="394"/>
      <c r="T501" s="114"/>
      <c r="U501" s="114"/>
    </row>
    <row r="502" spans="4:21" ht="12.75" customHeight="1" x14ac:dyDescent="0.25">
      <c r="D502" s="557">
        <v>83700</v>
      </c>
      <c r="E502" s="1642" t="s">
        <v>886</v>
      </c>
      <c r="F502" s="393"/>
      <c r="G502" s="405"/>
      <c r="H502" s="405"/>
      <c r="I502" s="405"/>
      <c r="J502" s="399"/>
      <c r="K502" s="399"/>
      <c r="L502" s="399"/>
      <c r="M502" s="399"/>
      <c r="N502" s="399"/>
      <c r="O502" s="399"/>
      <c r="P502" s="399"/>
      <c r="Q502" s="394"/>
      <c r="R502" s="394"/>
      <c r="S502" s="394"/>
      <c r="T502" s="114"/>
      <c r="U502" s="114"/>
    </row>
    <row r="503" spans="4:21" ht="12.75" customHeight="1" x14ac:dyDescent="0.25">
      <c r="D503" s="557"/>
      <c r="E503" s="1643" t="s">
        <v>887</v>
      </c>
      <c r="F503" s="393"/>
      <c r="G503" s="405"/>
      <c r="H503" s="405"/>
      <c r="I503" s="405"/>
      <c r="J503" s="399"/>
      <c r="K503" s="399"/>
      <c r="L503" s="399"/>
      <c r="M503" s="399"/>
      <c r="N503" s="399"/>
      <c r="O503" s="399"/>
      <c r="P503" s="399"/>
      <c r="Q503" s="394"/>
      <c r="R503" s="394"/>
      <c r="S503" s="394"/>
      <c r="T503" s="114"/>
      <c r="U503" s="114"/>
    </row>
    <row r="504" spans="4:21" ht="12.75" customHeight="1" x14ac:dyDescent="0.25">
      <c r="D504" s="557"/>
      <c r="E504" s="1643" t="s">
        <v>888</v>
      </c>
      <c r="F504" s="393"/>
      <c r="G504" s="405"/>
      <c r="H504" s="405"/>
      <c r="I504" s="405"/>
      <c r="J504" s="399"/>
      <c r="K504" s="399"/>
      <c r="L504" s="399"/>
      <c r="M504" s="399"/>
      <c r="N504" s="399"/>
      <c r="O504" s="399"/>
      <c r="P504" s="399"/>
      <c r="Q504" s="394"/>
      <c r="R504" s="394"/>
      <c r="S504" s="394"/>
      <c r="T504" s="114"/>
      <c r="U504" s="114"/>
    </row>
    <row r="505" spans="4:21" ht="12.75" customHeight="1" x14ac:dyDescent="0.25">
      <c r="D505" s="143"/>
      <c r="E505" s="1643" t="s">
        <v>889</v>
      </c>
      <c r="F505" s="393"/>
      <c r="H505" s="399"/>
      <c r="I505" s="399"/>
      <c r="J505" s="399"/>
      <c r="K505" s="399"/>
      <c r="L505" s="399"/>
      <c r="M505" s="399"/>
      <c r="N505" s="399"/>
      <c r="O505" s="399"/>
      <c r="P505" s="399"/>
      <c r="Q505" s="394"/>
      <c r="R505" s="394"/>
      <c r="S505" s="394"/>
      <c r="T505" s="114"/>
      <c r="U505" s="114"/>
    </row>
    <row r="506" spans="4:21" ht="12.75" customHeight="1" x14ac:dyDescent="0.25">
      <c r="D506" s="143"/>
      <c r="E506" s="1643" t="s">
        <v>890</v>
      </c>
      <c r="F506" s="393"/>
      <c r="H506" s="399"/>
      <c r="I506" s="399"/>
      <c r="J506" s="399"/>
      <c r="K506" s="399"/>
      <c r="L506" s="399"/>
      <c r="M506" s="399"/>
      <c r="N506" s="399"/>
      <c r="O506" s="399"/>
      <c r="P506" s="399"/>
      <c r="Q506" s="394"/>
      <c r="R506" s="394"/>
      <c r="S506" s="394"/>
      <c r="T506" s="114"/>
      <c r="U506" s="114"/>
    </row>
    <row r="507" spans="4:21" ht="12.75" customHeight="1" x14ac:dyDescent="0.25">
      <c r="D507" s="143"/>
      <c r="E507" s="1643" t="s">
        <v>891</v>
      </c>
      <c r="F507" s="393"/>
      <c r="H507" s="399"/>
      <c r="I507" s="399"/>
      <c r="J507" s="399"/>
      <c r="K507" s="399"/>
      <c r="L507" s="399"/>
      <c r="M507" s="399"/>
      <c r="N507" s="399"/>
      <c r="O507" s="399"/>
      <c r="P507" s="399"/>
      <c r="Q507" s="394"/>
      <c r="R507" s="394"/>
      <c r="S507" s="394"/>
      <c r="T507" s="114"/>
      <c r="U507" s="114"/>
    </row>
    <row r="508" spans="4:21" ht="12.75" customHeight="1" x14ac:dyDescent="0.25">
      <c r="D508" s="143"/>
      <c r="E508" s="1643" t="s">
        <v>892</v>
      </c>
      <c r="F508" s="393"/>
      <c r="H508" s="399"/>
      <c r="I508" s="399"/>
      <c r="J508" s="399"/>
      <c r="K508" s="399"/>
      <c r="L508" s="399"/>
      <c r="M508" s="399"/>
      <c r="N508" s="399"/>
      <c r="O508" s="399"/>
      <c r="P508" s="399"/>
      <c r="Q508" s="394"/>
      <c r="R508" s="394"/>
      <c r="S508" s="394"/>
      <c r="T508" s="114"/>
      <c r="U508" s="114"/>
    </row>
    <row r="509" spans="4:21" ht="12.75" customHeight="1" x14ac:dyDescent="0.25">
      <c r="D509" s="393"/>
      <c r="E509" s="115"/>
      <c r="F509" s="115"/>
      <c r="G509" s="401"/>
      <c r="H509" s="399"/>
      <c r="I509" s="399"/>
      <c r="J509" s="114"/>
      <c r="K509" s="114"/>
      <c r="L509" s="114"/>
      <c r="M509" s="114"/>
      <c r="N509" s="114"/>
      <c r="O509" s="114"/>
      <c r="P509" s="114"/>
      <c r="Q509" s="394"/>
      <c r="R509" s="394"/>
      <c r="S509" s="394"/>
      <c r="T509" s="114"/>
      <c r="U509" s="114"/>
    </row>
    <row r="510" spans="4:21" ht="12.75" customHeight="1" x14ac:dyDescent="0.25">
      <c r="D510" s="143"/>
      <c r="E510" s="303">
        <v>250</v>
      </c>
      <c r="F510" s="115" t="s">
        <v>893</v>
      </c>
      <c r="I510" s="636">
        <v>17.2</v>
      </c>
      <c r="J510" s="114">
        <v>4300</v>
      </c>
      <c r="K510" s="114"/>
      <c r="L510" s="114"/>
      <c r="M510" s="114"/>
      <c r="N510" s="114"/>
      <c r="O510" s="114"/>
      <c r="Q510" s="394"/>
      <c r="R510" s="394"/>
      <c r="S510" s="394"/>
      <c r="T510" s="114"/>
      <c r="U510" s="114"/>
    </row>
    <row r="511" spans="4:21" ht="12.75" customHeight="1" x14ac:dyDescent="0.25">
      <c r="D511" s="143"/>
      <c r="E511" s="303">
        <v>250</v>
      </c>
      <c r="F511" s="115" t="s">
        <v>894</v>
      </c>
      <c r="I511" s="636">
        <f>ROUND(17.1*R2,1)</f>
        <v>17.600000000000001</v>
      </c>
      <c r="J511" s="114"/>
      <c r="K511" s="114">
        <v>4400</v>
      </c>
      <c r="L511" s="114"/>
      <c r="M511" s="114"/>
      <c r="N511" s="114"/>
      <c r="O511" s="114"/>
      <c r="Q511" s="394"/>
      <c r="R511" s="394"/>
      <c r="S511" s="394"/>
      <c r="T511" s="114"/>
      <c r="U511" s="114"/>
    </row>
    <row r="512" spans="4:21" ht="12.75" customHeight="1" x14ac:dyDescent="0.25">
      <c r="D512" s="143"/>
      <c r="E512" s="303">
        <v>250</v>
      </c>
      <c r="F512" s="115" t="s">
        <v>895</v>
      </c>
      <c r="I512" s="2028">
        <f>ROUND(I511*$T$2,1)+0.1</f>
        <v>18.100000000000001</v>
      </c>
      <c r="J512" s="114"/>
      <c r="K512" s="114"/>
      <c r="L512" s="114">
        <f>E512*I512</f>
        <v>4525</v>
      </c>
      <c r="M512" s="114"/>
      <c r="N512" s="114"/>
      <c r="O512" s="114"/>
      <c r="Q512" s="394"/>
      <c r="R512" s="394"/>
      <c r="S512" s="394"/>
      <c r="T512" s="114"/>
      <c r="U512" s="114"/>
    </row>
    <row r="513" spans="4:21" ht="12.75" customHeight="1" x14ac:dyDescent="0.25">
      <c r="D513" s="143"/>
      <c r="E513" s="303">
        <v>250</v>
      </c>
      <c r="F513" s="115" t="s">
        <v>896</v>
      </c>
      <c r="I513" s="2028">
        <f>ROUND(I512*$U$2,1)+0.1</f>
        <v>18.600000000000001</v>
      </c>
      <c r="J513" s="114"/>
      <c r="K513" s="114"/>
      <c r="M513" s="114">
        <f>E513*I513</f>
        <v>4650</v>
      </c>
      <c r="Q513" s="394"/>
      <c r="R513" s="394"/>
      <c r="S513" s="394"/>
      <c r="T513" s="114"/>
      <c r="U513" s="114"/>
    </row>
    <row r="514" spans="4:21" ht="12.75" customHeight="1" x14ac:dyDescent="0.25">
      <c r="D514" s="143"/>
      <c r="E514" s="303">
        <v>250</v>
      </c>
      <c r="F514" s="115" t="s">
        <v>897</v>
      </c>
      <c r="I514" s="2028">
        <f>ROUND(I513*$V$2,1)+0.1</f>
        <v>19.100000000000001</v>
      </c>
      <c r="J514" s="114"/>
      <c r="K514" s="114"/>
      <c r="M514" s="114"/>
      <c r="N514" s="114">
        <f>+E514*I514</f>
        <v>4775</v>
      </c>
      <c r="O514" s="114"/>
      <c r="Q514" s="394"/>
      <c r="R514" s="394"/>
      <c r="S514" s="394"/>
      <c r="T514" s="114"/>
      <c r="U514" s="114"/>
    </row>
    <row r="515" spans="4:21" ht="12.75" customHeight="1" x14ac:dyDescent="0.25">
      <c r="D515" s="143"/>
      <c r="E515" s="2027">
        <v>250</v>
      </c>
      <c r="F515" s="358" t="s">
        <v>897</v>
      </c>
      <c r="G515" s="358"/>
      <c r="H515" s="358"/>
      <c r="I515" s="2028">
        <f>ROUND(I514*$W$2,1)</f>
        <v>19.5</v>
      </c>
      <c r="J515" s="114"/>
      <c r="K515" s="114"/>
      <c r="M515" s="114"/>
      <c r="N515" s="114"/>
      <c r="O515" s="114">
        <f>+E515*I515</f>
        <v>4875</v>
      </c>
      <c r="Q515" s="394"/>
      <c r="R515" s="394"/>
      <c r="S515" s="394"/>
      <c r="T515" s="114"/>
      <c r="U515" s="114"/>
    </row>
    <row r="516" spans="4:21" ht="12.75" customHeight="1" x14ac:dyDescent="0.25">
      <c r="D516" s="143"/>
      <c r="E516" s="303"/>
      <c r="F516" s="115"/>
      <c r="I516" s="636"/>
      <c r="J516" s="114"/>
      <c r="K516" s="114"/>
      <c r="L516" s="114"/>
      <c r="M516" s="114"/>
      <c r="N516" s="114"/>
      <c r="O516" s="114"/>
      <c r="Q516" s="394"/>
      <c r="R516" s="394"/>
      <c r="S516" s="394"/>
      <c r="T516" s="114"/>
      <c r="U516" s="114"/>
    </row>
    <row r="517" spans="4:21" ht="12.75" customHeight="1" x14ac:dyDescent="0.25">
      <c r="D517" s="143"/>
      <c r="E517" s="392">
        <v>600</v>
      </c>
      <c r="F517" s="115" t="s">
        <v>898</v>
      </c>
      <c r="I517" s="636">
        <v>11</v>
      </c>
      <c r="J517" s="114">
        <v>5400</v>
      </c>
      <c r="K517" s="114"/>
      <c r="L517" s="114"/>
      <c r="M517" s="114"/>
      <c r="N517" s="114"/>
      <c r="O517" s="114"/>
      <c r="Q517" s="394"/>
      <c r="R517" s="394"/>
      <c r="S517" s="394"/>
      <c r="T517" s="114"/>
      <c r="U517" s="114"/>
    </row>
    <row r="518" spans="4:21" ht="12.75" customHeight="1" x14ac:dyDescent="0.25">
      <c r="D518" s="143"/>
      <c r="E518" s="392">
        <v>175</v>
      </c>
      <c r="F518" s="115" t="s">
        <v>899</v>
      </c>
      <c r="I518" s="636">
        <f>ROUND(I517*$R$2,1)</f>
        <v>11.3</v>
      </c>
      <c r="J518" s="114"/>
      <c r="K518" s="114">
        <v>1977.5000000000002</v>
      </c>
      <c r="L518" s="114"/>
      <c r="M518" s="114"/>
      <c r="N518" s="114"/>
      <c r="O518" s="114"/>
      <c r="Q518" s="394"/>
      <c r="R518" s="394"/>
      <c r="S518" s="394"/>
      <c r="T518" s="114"/>
      <c r="U518" s="114"/>
    </row>
    <row r="519" spans="4:21" ht="12.75" customHeight="1" x14ac:dyDescent="0.25">
      <c r="D519" s="143"/>
      <c r="E519" s="392">
        <v>175</v>
      </c>
      <c r="F519" s="115" t="s">
        <v>900</v>
      </c>
      <c r="I519" s="2028">
        <f>ROUND(I518*$T$2,1)+0.1</f>
        <v>11.6</v>
      </c>
      <c r="J519" s="114"/>
      <c r="K519" s="114"/>
      <c r="L519" s="114">
        <f>E519*I519</f>
        <v>2030</v>
      </c>
      <c r="M519" s="114"/>
      <c r="N519" s="114"/>
      <c r="O519" s="114"/>
      <c r="Q519" s="394"/>
      <c r="R519" s="394"/>
      <c r="S519" s="394"/>
      <c r="T519" s="114"/>
      <c r="U519" s="114"/>
    </row>
    <row r="520" spans="4:21" ht="12.75" customHeight="1" x14ac:dyDescent="0.25">
      <c r="D520" s="384"/>
      <c r="E520" s="392">
        <v>175</v>
      </c>
      <c r="F520" s="115" t="s">
        <v>901</v>
      </c>
      <c r="I520" s="636">
        <f>ROUND(I519*$U$2,1)</f>
        <v>11.9</v>
      </c>
      <c r="J520" s="114"/>
      <c r="K520" s="114"/>
      <c r="M520" s="114">
        <f>E520*I520</f>
        <v>2082.5</v>
      </c>
      <c r="Q520" s="394"/>
      <c r="R520" s="394"/>
      <c r="S520" s="394"/>
      <c r="T520" s="114"/>
      <c r="U520" s="114"/>
    </row>
    <row r="521" spans="4:21" ht="12.75" customHeight="1" x14ac:dyDescent="0.25">
      <c r="D521" s="384"/>
      <c r="E521" s="392">
        <v>175</v>
      </c>
      <c r="F521" s="115" t="s">
        <v>902</v>
      </c>
      <c r="I521" s="636">
        <f>ROUND(I520*$V$2,1)</f>
        <v>12.2</v>
      </c>
      <c r="J521" s="114"/>
      <c r="K521" s="114"/>
      <c r="M521" s="114"/>
      <c r="N521" s="114">
        <f>+E521*I521</f>
        <v>2135</v>
      </c>
      <c r="O521" s="114"/>
      <c r="Q521" s="394"/>
      <c r="R521" s="394"/>
      <c r="S521" s="394"/>
      <c r="T521" s="114"/>
      <c r="U521" s="114"/>
    </row>
    <row r="522" spans="4:21" ht="12.75" customHeight="1" x14ac:dyDescent="0.25">
      <c r="D522" s="384"/>
      <c r="E522" s="2029">
        <v>175</v>
      </c>
      <c r="F522" s="358" t="s">
        <v>902</v>
      </c>
      <c r="G522" s="358"/>
      <c r="H522" s="358"/>
      <c r="I522" s="2028">
        <f>ROUND(I521*$W$2,1)</f>
        <v>12.5</v>
      </c>
      <c r="J522" s="114"/>
      <c r="K522" s="114"/>
      <c r="M522" s="114"/>
      <c r="N522" s="114"/>
      <c r="O522" s="114">
        <f>+E522*I522</f>
        <v>2187.5</v>
      </c>
      <c r="Q522" s="394"/>
      <c r="R522" s="394"/>
      <c r="S522" s="394"/>
      <c r="T522" s="114"/>
      <c r="U522" s="114"/>
    </row>
    <row r="523" spans="4:21" ht="12.75" customHeight="1" x14ac:dyDescent="0.25">
      <c r="D523" s="384"/>
      <c r="E523" s="392"/>
      <c r="F523" s="115"/>
      <c r="I523" s="636"/>
      <c r="J523" s="114"/>
      <c r="K523" s="114"/>
      <c r="M523" s="114"/>
      <c r="N523" s="114"/>
      <c r="O523" s="114"/>
      <c r="Q523" s="394"/>
      <c r="R523" s="394"/>
      <c r="S523" s="394"/>
      <c r="T523" s="114"/>
      <c r="U523" s="114"/>
    </row>
    <row r="524" spans="4:21" ht="12.75" customHeight="1" x14ac:dyDescent="0.25">
      <c r="D524" s="384"/>
      <c r="E524" s="392">
        <v>800</v>
      </c>
      <c r="F524" s="115" t="s">
        <v>903</v>
      </c>
      <c r="I524" s="636">
        <v>9.65</v>
      </c>
      <c r="J524" s="114">
        <v>0</v>
      </c>
      <c r="K524" s="114"/>
      <c r="L524" s="114"/>
      <c r="M524" s="114"/>
      <c r="N524" s="114"/>
      <c r="O524" s="114"/>
      <c r="Q524" s="394"/>
      <c r="R524" s="394"/>
      <c r="S524" s="394"/>
      <c r="T524" s="114"/>
      <c r="U524" s="114"/>
    </row>
    <row r="525" spans="4:21" ht="12.75" customHeight="1" x14ac:dyDescent="0.25">
      <c r="D525" s="384"/>
      <c r="E525" s="392">
        <v>800</v>
      </c>
      <c r="F525" s="115" t="s">
        <v>904</v>
      </c>
      <c r="I525" s="636">
        <f>ROUND(I524*$R$2,1)</f>
        <v>9.9</v>
      </c>
      <c r="J525" s="114"/>
      <c r="K525" s="114">
        <v>7920</v>
      </c>
      <c r="L525" s="114"/>
      <c r="M525" s="114"/>
      <c r="N525" s="114"/>
      <c r="O525" s="114"/>
      <c r="Q525" s="394"/>
      <c r="R525" s="394"/>
      <c r="S525" s="394"/>
      <c r="T525" s="114"/>
      <c r="U525" s="114"/>
    </row>
    <row r="526" spans="4:21" ht="12.75" customHeight="1" x14ac:dyDescent="0.25">
      <c r="D526" s="384"/>
      <c r="E526" s="392">
        <v>800</v>
      </c>
      <c r="F526" s="115" t="s">
        <v>905</v>
      </c>
      <c r="I526" s="2028">
        <f>ROUND(I525*$T$2,1)+0.1</f>
        <v>10.199999999999999</v>
      </c>
      <c r="J526" s="114"/>
      <c r="K526" s="114"/>
      <c r="L526" s="114">
        <f>E526*I526</f>
        <v>8159.9999999999991</v>
      </c>
      <c r="M526" s="114"/>
      <c r="N526" s="114"/>
      <c r="O526" s="114"/>
      <c r="Q526" s="394"/>
      <c r="R526" s="394"/>
      <c r="S526" s="394"/>
      <c r="T526" s="114"/>
      <c r="U526" s="114"/>
    </row>
    <row r="527" spans="4:21" ht="12.75" customHeight="1" x14ac:dyDescent="0.25">
      <c r="D527" s="384"/>
      <c r="E527" s="392">
        <v>800</v>
      </c>
      <c r="F527" s="115" t="s">
        <v>906</v>
      </c>
      <c r="I527" s="2028">
        <f>ROUND(I526*$U$2,1)+0.1</f>
        <v>10.5</v>
      </c>
      <c r="J527" s="114"/>
      <c r="K527" s="114"/>
      <c r="M527" s="114">
        <f>E527*I527</f>
        <v>8400</v>
      </c>
      <c r="Q527" s="394"/>
      <c r="R527" s="394"/>
      <c r="S527" s="394"/>
      <c r="T527" s="114"/>
      <c r="U527" s="114"/>
    </row>
    <row r="528" spans="4:21" ht="12.75" customHeight="1" x14ac:dyDescent="0.25">
      <c r="D528" s="384"/>
      <c r="E528" s="392">
        <v>800</v>
      </c>
      <c r="F528" s="115" t="s">
        <v>907</v>
      </c>
      <c r="I528" s="2028">
        <f>ROUND(I527*$V$2,1)+0.1</f>
        <v>10.799999999999999</v>
      </c>
      <c r="J528" s="114"/>
      <c r="K528" s="114"/>
      <c r="M528" s="114"/>
      <c r="N528" s="114">
        <f>+E528*I528</f>
        <v>8640</v>
      </c>
      <c r="O528" s="114"/>
      <c r="Q528" s="394"/>
      <c r="R528" s="394"/>
      <c r="S528" s="394"/>
      <c r="T528" s="114"/>
      <c r="U528" s="114"/>
    </row>
    <row r="529" spans="4:21" ht="12.75" customHeight="1" x14ac:dyDescent="0.25">
      <c r="D529" s="384"/>
      <c r="E529" s="2029">
        <v>800</v>
      </c>
      <c r="F529" s="358" t="s">
        <v>907</v>
      </c>
      <c r="G529" s="358"/>
      <c r="H529" s="358"/>
      <c r="I529" s="2028">
        <f>ROUND(I528*$W$2,1)</f>
        <v>11</v>
      </c>
      <c r="J529" s="114"/>
      <c r="K529" s="114"/>
      <c r="M529" s="114"/>
      <c r="N529" s="114"/>
      <c r="O529" s="114">
        <f>+E529*I529</f>
        <v>8800</v>
      </c>
      <c r="Q529" s="394"/>
      <c r="R529" s="394"/>
      <c r="S529" s="394"/>
      <c r="T529" s="114"/>
      <c r="U529" s="114"/>
    </row>
    <row r="530" spans="4:21" ht="12.75" customHeight="1" x14ac:dyDescent="0.25">
      <c r="D530" s="384"/>
      <c r="E530" s="392"/>
      <c r="F530" s="115"/>
      <c r="I530" s="636"/>
      <c r="J530" s="114"/>
      <c r="K530" s="114"/>
      <c r="M530" s="114"/>
      <c r="N530" s="114"/>
      <c r="O530" s="114"/>
      <c r="Q530" s="394"/>
      <c r="R530" s="394"/>
      <c r="S530" s="394"/>
      <c r="T530" s="114"/>
      <c r="U530" s="114"/>
    </row>
    <row r="531" spans="4:21" ht="12.75" customHeight="1" x14ac:dyDescent="0.25">
      <c r="D531" s="384"/>
      <c r="E531" s="384"/>
      <c r="F531" s="392"/>
      <c r="H531" s="114"/>
      <c r="J531" s="114"/>
      <c r="K531" s="114"/>
      <c r="L531" s="114"/>
      <c r="M531" s="114"/>
      <c r="N531" s="114"/>
      <c r="O531" s="114"/>
      <c r="Q531" s="394"/>
      <c r="R531" s="394"/>
      <c r="S531" s="394"/>
      <c r="T531" s="114"/>
      <c r="U531" s="114"/>
    </row>
    <row r="532" spans="4:21" ht="12.75" customHeight="1" thickBot="1" x14ac:dyDescent="0.3">
      <c r="D532" s="143"/>
      <c r="E532" s="115" t="s">
        <v>908</v>
      </c>
      <c r="F532" s="115"/>
      <c r="G532" s="401"/>
      <c r="H532" s="114"/>
      <c r="J532" s="1744">
        <f>SUM(J508:J530)</f>
        <v>9700</v>
      </c>
      <c r="K532" s="1744">
        <v>14297.5</v>
      </c>
      <c r="L532" s="1744">
        <f>SUM(L508:L530)</f>
        <v>14715</v>
      </c>
      <c r="M532" s="1744">
        <f>SUM(M508:M530)</f>
        <v>15132.5</v>
      </c>
      <c r="N532" s="1744">
        <f>SUM(N508:N530)</f>
        <v>15550</v>
      </c>
      <c r="O532" s="1744">
        <f>SUM(O508:O530)</f>
        <v>15862.5</v>
      </c>
      <c r="Q532" s="394"/>
      <c r="R532" s="394"/>
      <c r="S532" s="394"/>
      <c r="T532" s="114"/>
      <c r="U532" s="114"/>
    </row>
    <row r="533" spans="4:21" ht="12.75" customHeight="1" thickTop="1" x14ac:dyDescent="0.25">
      <c r="D533" s="384"/>
      <c r="E533" s="384"/>
      <c r="F533" s="384"/>
      <c r="G533" s="303"/>
      <c r="Q533" s="394"/>
      <c r="R533" s="394"/>
    </row>
    <row r="534" spans="4:21" ht="12.75" customHeight="1" x14ac:dyDescent="0.25">
      <c r="D534" s="393">
        <v>602005</v>
      </c>
      <c r="E534" s="381" t="s">
        <v>909</v>
      </c>
      <c r="F534" s="393"/>
      <c r="J534" s="1629">
        <v>2025</v>
      </c>
      <c r="K534" s="1629">
        <v>2026</v>
      </c>
      <c r="L534" s="1629">
        <v>2027</v>
      </c>
      <c r="M534" s="1629">
        <v>2028</v>
      </c>
      <c r="N534" s="1629">
        <v>2029</v>
      </c>
      <c r="O534" s="1629">
        <v>2030</v>
      </c>
      <c r="Q534" s="394"/>
      <c r="R534" s="394"/>
    </row>
    <row r="535" spans="4:21" ht="12.75" customHeight="1" x14ac:dyDescent="0.25">
      <c r="D535" s="143"/>
      <c r="E535" s="401" t="s">
        <v>910</v>
      </c>
      <c r="Q535" s="394"/>
      <c r="R535" s="394"/>
    </row>
    <row r="536" spans="4:21" ht="12.75" customHeight="1" x14ac:dyDescent="0.25">
      <c r="D536" s="393"/>
      <c r="E536" s="530" t="s">
        <v>911</v>
      </c>
      <c r="F536" s="393"/>
      <c r="Q536" s="394"/>
      <c r="R536" s="394"/>
    </row>
    <row r="537" spans="4:21" ht="12.75" customHeight="1" x14ac:dyDescent="0.25">
      <c r="D537" s="393"/>
      <c r="E537" s="530" t="s">
        <v>912</v>
      </c>
      <c r="F537" s="393"/>
      <c r="Q537" s="394"/>
      <c r="R537" s="394"/>
    </row>
    <row r="538" spans="4:21" ht="12.75" customHeight="1" x14ac:dyDescent="0.25">
      <c r="D538" s="393"/>
      <c r="E538" s="530" t="s">
        <v>913</v>
      </c>
      <c r="F538" s="393"/>
      <c r="Q538" s="394"/>
      <c r="R538" s="394"/>
    </row>
    <row r="539" spans="4:21" ht="12.75" customHeight="1" x14ac:dyDescent="0.25">
      <c r="D539" s="393"/>
      <c r="E539" s="530" t="s">
        <v>914</v>
      </c>
      <c r="F539" s="393"/>
      <c r="Q539" s="394"/>
      <c r="R539" s="394"/>
    </row>
    <row r="540" spans="4:21" ht="12.75" customHeight="1" x14ac:dyDescent="0.25">
      <c r="D540" s="393"/>
      <c r="E540" s="393"/>
      <c r="F540" s="393"/>
      <c r="G540" s="381"/>
      <c r="I540" s="381"/>
      <c r="Q540" s="394"/>
      <c r="R540" s="394"/>
    </row>
    <row r="541" spans="4:21" ht="12.75" customHeight="1" x14ac:dyDescent="0.25">
      <c r="D541" s="557">
        <v>83700</v>
      </c>
      <c r="E541" s="423" t="s">
        <v>915</v>
      </c>
      <c r="F541" s="115"/>
      <c r="I541" s="381"/>
      <c r="Q541" s="394"/>
      <c r="R541" s="394"/>
    </row>
    <row r="542" spans="4:21" ht="12.75" customHeight="1" x14ac:dyDescent="0.25">
      <c r="E542" s="1037">
        <v>100</v>
      </c>
      <c r="F542" s="115" t="s">
        <v>800</v>
      </c>
      <c r="I542" s="636">
        <v>41.35</v>
      </c>
      <c r="J542" s="114">
        <v>4250</v>
      </c>
      <c r="K542" s="114"/>
      <c r="L542" s="114"/>
      <c r="M542" s="114"/>
      <c r="N542" s="114"/>
      <c r="O542" s="114"/>
      <c r="Q542" s="394"/>
      <c r="R542" s="394"/>
    </row>
    <row r="543" spans="4:21" ht="12.75" customHeight="1" x14ac:dyDescent="0.25">
      <c r="E543" s="1037">
        <v>100</v>
      </c>
      <c r="F543" s="115" t="s">
        <v>916</v>
      </c>
      <c r="I543" s="636">
        <f>ROUND(I542*$T$3,1)</f>
        <v>43.1</v>
      </c>
      <c r="J543" s="114"/>
      <c r="K543" s="114">
        <v>4330</v>
      </c>
      <c r="L543" s="114"/>
      <c r="M543" s="114"/>
      <c r="N543" s="114"/>
      <c r="O543" s="114"/>
      <c r="Q543" s="394"/>
      <c r="R543" s="394"/>
    </row>
    <row r="544" spans="4:21" ht="12.75" customHeight="1" x14ac:dyDescent="0.25">
      <c r="E544" s="1037">
        <v>100</v>
      </c>
      <c r="F544" s="115" t="s">
        <v>802</v>
      </c>
      <c r="I544" s="636">
        <f>ROUND(I543*$T$3,1)</f>
        <v>44.9</v>
      </c>
      <c r="J544" s="114"/>
      <c r="K544" s="114"/>
      <c r="L544" s="114">
        <f>$E544*$I544</f>
        <v>4490</v>
      </c>
      <c r="M544" s="114"/>
      <c r="N544" s="114"/>
      <c r="O544" s="114"/>
      <c r="Q544" s="394"/>
      <c r="R544" s="394"/>
    </row>
    <row r="545" spans="4:18" ht="12.75" customHeight="1" x14ac:dyDescent="0.25">
      <c r="E545" s="1037">
        <v>100</v>
      </c>
      <c r="F545" s="115" t="s">
        <v>803</v>
      </c>
      <c r="I545" s="636">
        <f>ROUND(I544*$U$3,1)</f>
        <v>46.6</v>
      </c>
      <c r="J545" s="114"/>
      <c r="K545" s="114"/>
      <c r="L545" s="114"/>
      <c r="M545" s="114">
        <f>$E545*$I545</f>
        <v>4660</v>
      </c>
      <c r="Q545" s="394"/>
      <c r="R545" s="394"/>
    </row>
    <row r="546" spans="4:18" ht="12.75" customHeight="1" x14ac:dyDescent="0.25">
      <c r="E546" s="1037">
        <v>100</v>
      </c>
      <c r="F546" s="115" t="s">
        <v>804</v>
      </c>
      <c r="I546" s="636">
        <f>ROUND(I545*$V$3,1)</f>
        <v>48.3</v>
      </c>
      <c r="J546" s="114"/>
      <c r="K546" s="114"/>
      <c r="L546" s="114"/>
      <c r="M546" s="114"/>
      <c r="N546" s="114">
        <f>$E546*$I546</f>
        <v>4830</v>
      </c>
      <c r="Q546" s="394"/>
      <c r="R546" s="394"/>
    </row>
    <row r="547" spans="4:18" ht="12.75" customHeight="1" x14ac:dyDescent="0.25">
      <c r="E547" s="2030">
        <v>100</v>
      </c>
      <c r="F547" s="358" t="s">
        <v>804</v>
      </c>
      <c r="G547" s="358"/>
      <c r="H547" s="358"/>
      <c r="I547" s="2028">
        <f>ROUND(I546*$W$3,1)</f>
        <v>50.1</v>
      </c>
      <c r="J547" s="114"/>
      <c r="K547" s="114"/>
      <c r="L547" s="114"/>
      <c r="M547" s="114"/>
      <c r="N547" s="114"/>
      <c r="O547" s="114">
        <f>$E546*$I546</f>
        <v>4830</v>
      </c>
      <c r="Q547" s="394"/>
      <c r="R547" s="394"/>
    </row>
    <row r="548" spans="4:18" ht="12.75" customHeight="1" x14ac:dyDescent="0.25">
      <c r="E548" s="1037"/>
      <c r="F548" s="115"/>
      <c r="I548" s="636"/>
      <c r="J548" s="151"/>
      <c r="K548" s="151"/>
      <c r="L548" s="151"/>
      <c r="M548" s="151"/>
      <c r="N548" s="151"/>
      <c r="O548" s="151"/>
      <c r="Q548" s="394"/>
      <c r="R548" s="394"/>
    </row>
    <row r="549" spans="4:18" ht="12.75" customHeight="1" x14ac:dyDescent="0.25">
      <c r="D549" s="557">
        <v>83700</v>
      </c>
      <c r="E549" s="423" t="s">
        <v>917</v>
      </c>
      <c r="F549" s="115"/>
      <c r="I549" s="636"/>
      <c r="J549" s="151"/>
      <c r="K549" s="151"/>
      <c r="L549" s="151"/>
      <c r="M549" s="151"/>
      <c r="N549" s="151"/>
      <c r="O549" s="151"/>
      <c r="Q549" s="394"/>
      <c r="R549" s="394"/>
    </row>
    <row r="550" spans="4:18" ht="12.75" customHeight="1" x14ac:dyDescent="0.25">
      <c r="E550" s="1037"/>
      <c r="F550" s="115"/>
      <c r="I550" s="636"/>
      <c r="J550" s="151"/>
      <c r="K550" s="151"/>
      <c r="L550" s="151"/>
      <c r="M550" s="151"/>
      <c r="N550" s="151"/>
      <c r="O550" s="151"/>
      <c r="Q550" s="394"/>
      <c r="R550" s="394"/>
    </row>
    <row r="551" spans="4:18" ht="12.75" customHeight="1" x14ac:dyDescent="0.25">
      <c r="E551" s="392">
        <v>400</v>
      </c>
      <c r="F551" s="115" t="s">
        <v>918</v>
      </c>
      <c r="I551" s="636">
        <v>10.5</v>
      </c>
      <c r="J551" s="114">
        <v>4240</v>
      </c>
      <c r="K551" s="114"/>
      <c r="L551" s="114"/>
      <c r="M551" s="114"/>
      <c r="N551" s="114"/>
      <c r="O551" s="114"/>
      <c r="Q551" s="394"/>
      <c r="R551" s="394"/>
    </row>
    <row r="552" spans="4:18" ht="12.75" customHeight="1" x14ac:dyDescent="0.25">
      <c r="E552" s="392">
        <v>400</v>
      </c>
      <c r="F552" s="115" t="s">
        <v>919</v>
      </c>
      <c r="I552" s="636">
        <f>ROUND(I551*$T$3,1)</f>
        <v>10.9</v>
      </c>
      <c r="J552" s="114"/>
      <c r="K552" s="114">
        <v>4400</v>
      </c>
      <c r="L552" s="114"/>
      <c r="M552" s="114"/>
      <c r="N552" s="114"/>
      <c r="O552" s="114"/>
      <c r="Q552" s="394"/>
      <c r="R552" s="394"/>
    </row>
    <row r="553" spans="4:18" ht="12.75" customHeight="1" x14ac:dyDescent="0.25">
      <c r="E553" s="392">
        <v>400</v>
      </c>
      <c r="F553" s="115" t="s">
        <v>918</v>
      </c>
      <c r="I553" s="636">
        <f>ROUND(I552*$T$3,1)</f>
        <v>11.4</v>
      </c>
      <c r="J553" s="114"/>
      <c r="K553" s="114"/>
      <c r="L553" s="114">
        <f>$E553*$I553</f>
        <v>4560</v>
      </c>
      <c r="M553" s="114"/>
      <c r="N553" s="114"/>
      <c r="O553" s="114"/>
      <c r="Q553" s="394"/>
      <c r="R553" s="394"/>
    </row>
    <row r="554" spans="4:18" ht="12.75" customHeight="1" x14ac:dyDescent="0.25">
      <c r="E554" s="392">
        <v>400</v>
      </c>
      <c r="F554" s="115" t="s">
        <v>918</v>
      </c>
      <c r="I554" s="636">
        <f>ROUND(I553*$U$3,1)</f>
        <v>11.8</v>
      </c>
      <c r="J554" s="114"/>
      <c r="K554" s="114"/>
      <c r="L554" s="114"/>
      <c r="M554" s="114">
        <f>$E554*$I554</f>
        <v>4720</v>
      </c>
      <c r="Q554" s="1038"/>
      <c r="R554" s="394"/>
    </row>
    <row r="555" spans="4:18" ht="12.75" customHeight="1" x14ac:dyDescent="0.25">
      <c r="E555" s="392">
        <v>400</v>
      </c>
      <c r="F555" s="115" t="s">
        <v>918</v>
      </c>
      <c r="I555" s="636">
        <f>ROUND(I554*$V$3,1)</f>
        <v>12.2</v>
      </c>
      <c r="J555" s="114"/>
      <c r="K555" s="114"/>
      <c r="L555" s="114"/>
      <c r="M555" s="114"/>
      <c r="N555" s="114">
        <f>$E555*$I555</f>
        <v>4880</v>
      </c>
      <c r="Q555" s="394"/>
      <c r="R555" s="394"/>
    </row>
    <row r="556" spans="4:18" ht="12.75" customHeight="1" x14ac:dyDescent="0.25">
      <c r="E556" s="2029">
        <v>400</v>
      </c>
      <c r="F556" s="358" t="s">
        <v>918</v>
      </c>
      <c r="G556" s="358"/>
      <c r="H556" s="358"/>
      <c r="I556" s="2028">
        <f>ROUND(I555*$W$3,1)</f>
        <v>12.7</v>
      </c>
      <c r="J556" s="114"/>
      <c r="K556" s="114"/>
      <c r="L556" s="114"/>
      <c r="M556" s="114"/>
      <c r="N556" s="114"/>
      <c r="O556" s="114">
        <f>$E555*$I555</f>
        <v>4880</v>
      </c>
      <c r="Q556" s="394"/>
      <c r="R556" s="394"/>
    </row>
    <row r="557" spans="4:18" ht="12.75" customHeight="1" x14ac:dyDescent="0.25">
      <c r="E557" s="1037"/>
      <c r="F557" s="115"/>
      <c r="I557" s="151"/>
      <c r="J557" s="151"/>
      <c r="K557" s="151"/>
      <c r="L557" s="151"/>
      <c r="M557" s="151"/>
      <c r="N557" s="151"/>
      <c r="O557" s="151"/>
      <c r="Q557" s="394"/>
      <c r="R557" s="394"/>
    </row>
    <row r="558" spans="4:18" ht="12.75" customHeight="1" x14ac:dyDescent="0.25">
      <c r="E558" s="1644" t="s">
        <v>920</v>
      </c>
      <c r="F558" s="115"/>
      <c r="I558" s="151"/>
      <c r="J558" s="151"/>
      <c r="K558" s="151"/>
      <c r="L558" s="151"/>
      <c r="M558" s="151"/>
      <c r="N558" s="151"/>
      <c r="O558" s="151"/>
      <c r="Q558" s="394"/>
      <c r="R558" s="394"/>
    </row>
    <row r="559" spans="4:18" ht="12.75" customHeight="1" x14ac:dyDescent="0.25">
      <c r="E559" s="490" t="s">
        <v>805</v>
      </c>
      <c r="F559" s="115"/>
      <c r="I559" s="151"/>
      <c r="J559" s="151"/>
      <c r="K559" s="151"/>
      <c r="L559" s="151"/>
      <c r="M559" s="151"/>
      <c r="N559" s="151"/>
      <c r="O559" s="151"/>
      <c r="Q559" s="394"/>
      <c r="R559" s="394"/>
    </row>
    <row r="560" spans="4:18" ht="12.75" customHeight="1" x14ac:dyDescent="0.25">
      <c r="E560" s="1037"/>
      <c r="F560" s="115"/>
      <c r="I560" s="636"/>
      <c r="J560" s="114"/>
      <c r="K560" s="114"/>
      <c r="L560" s="114"/>
      <c r="M560" s="114"/>
      <c r="N560" s="114"/>
      <c r="O560" s="114"/>
      <c r="Q560" s="394"/>
      <c r="R560" s="394"/>
    </row>
    <row r="561" spans="4:18" ht="12.75" customHeight="1" x14ac:dyDescent="0.25">
      <c r="D561" s="143">
        <v>83700</v>
      </c>
      <c r="E561" s="1037">
        <v>175</v>
      </c>
      <c r="F561" s="115" t="s">
        <v>806</v>
      </c>
      <c r="I561" s="636">
        <v>45.25</v>
      </c>
      <c r="J561" s="114">
        <v>7647.5000000000009</v>
      </c>
      <c r="K561" s="114"/>
      <c r="L561" s="114"/>
      <c r="M561" s="114"/>
      <c r="N561" s="114"/>
      <c r="O561" s="114"/>
      <c r="Q561" s="394"/>
      <c r="R561" s="394"/>
    </row>
    <row r="562" spans="4:18" ht="12.75" customHeight="1" x14ac:dyDescent="0.25">
      <c r="E562" s="1037">
        <v>175</v>
      </c>
      <c r="F562" s="115" t="s">
        <v>921</v>
      </c>
      <c r="I562" s="636">
        <f>ROUND(I561*$T$3,1)</f>
        <v>47.2</v>
      </c>
      <c r="J562" s="114"/>
      <c r="K562" s="114">
        <v>8277.5</v>
      </c>
      <c r="L562" s="114"/>
      <c r="M562" s="114"/>
      <c r="N562" s="114"/>
      <c r="O562" s="114"/>
      <c r="Q562" s="394"/>
      <c r="R562" s="394"/>
    </row>
    <row r="563" spans="4:18" ht="12.75" customHeight="1" x14ac:dyDescent="0.25">
      <c r="E563" s="1037">
        <v>175</v>
      </c>
      <c r="F563" s="115" t="s">
        <v>806</v>
      </c>
      <c r="I563" s="636">
        <f>ROUND(I562*$T$3,1)</f>
        <v>49.2</v>
      </c>
      <c r="J563" s="114"/>
      <c r="K563" s="114"/>
      <c r="L563" s="114">
        <f>$E563*$I563</f>
        <v>8610</v>
      </c>
      <c r="M563" s="114"/>
      <c r="N563" s="114"/>
      <c r="O563" s="114"/>
      <c r="Q563" s="394"/>
      <c r="R563" s="1038"/>
    </row>
    <row r="564" spans="4:18" ht="12.75" customHeight="1" x14ac:dyDescent="0.25">
      <c r="E564" s="1037">
        <v>175</v>
      </c>
      <c r="F564" s="115" t="s">
        <v>806</v>
      </c>
      <c r="I564" s="636">
        <f>ROUND(I563*$U$3,1)</f>
        <v>51</v>
      </c>
      <c r="J564" s="114"/>
      <c r="K564" s="114"/>
      <c r="L564" s="114"/>
      <c r="M564" s="114">
        <f>$E564*$I564</f>
        <v>8925</v>
      </c>
      <c r="Q564" s="394"/>
      <c r="R564" s="394"/>
    </row>
    <row r="565" spans="4:18" ht="12.75" customHeight="1" x14ac:dyDescent="0.25">
      <c r="E565" s="1037">
        <v>175</v>
      </c>
      <c r="F565" s="115" t="s">
        <v>806</v>
      </c>
      <c r="I565" s="636">
        <f>ROUND(I564*$V$3,1)</f>
        <v>52.9</v>
      </c>
      <c r="J565" s="151"/>
      <c r="K565" s="151"/>
      <c r="L565" s="151"/>
      <c r="M565" s="151"/>
      <c r="N565" s="114">
        <f>$E565*$I565</f>
        <v>9257.5</v>
      </c>
      <c r="Q565" s="394"/>
      <c r="R565" s="394"/>
    </row>
    <row r="566" spans="4:18" ht="12.75" customHeight="1" x14ac:dyDescent="0.25">
      <c r="E566" s="2030">
        <v>175</v>
      </c>
      <c r="F566" s="358" t="s">
        <v>806</v>
      </c>
      <c r="G566" s="358"/>
      <c r="H566" s="358"/>
      <c r="I566" s="2028">
        <f>ROUND(I565*$W$3,1)</f>
        <v>54.9</v>
      </c>
      <c r="J566" s="151"/>
      <c r="K566" s="151"/>
      <c r="L566" s="151"/>
      <c r="M566" s="151"/>
      <c r="N566" s="114"/>
      <c r="O566" s="114">
        <f>$E565*$I565</f>
        <v>9257.5</v>
      </c>
      <c r="Q566" s="394"/>
      <c r="R566" s="394"/>
    </row>
    <row r="567" spans="4:18" ht="12.75" customHeight="1" x14ac:dyDescent="0.25">
      <c r="E567" s="1037"/>
      <c r="F567" s="115"/>
      <c r="I567" s="151"/>
      <c r="J567" s="151"/>
      <c r="K567" s="151"/>
      <c r="L567" s="151"/>
      <c r="M567" s="151"/>
      <c r="N567" s="151"/>
      <c r="O567" s="151"/>
      <c r="Q567" s="394"/>
      <c r="R567" s="394"/>
    </row>
    <row r="568" spans="4:18" s="414" customFormat="1" ht="12.75" customHeight="1" x14ac:dyDescent="0.25">
      <c r="D568" s="557">
        <v>83700</v>
      </c>
      <c r="E568" s="1645" t="s">
        <v>922</v>
      </c>
      <c r="F568" s="601"/>
      <c r="I568" s="601"/>
      <c r="J568" s="484"/>
      <c r="K568" s="484"/>
      <c r="L568" s="484"/>
      <c r="M568" s="484"/>
      <c r="N568" s="484"/>
      <c r="O568" s="484"/>
    </row>
    <row r="569" spans="4:18" s="414" customFormat="1" ht="12.75" customHeight="1" x14ac:dyDescent="0.25">
      <c r="D569" s="557"/>
      <c r="E569" s="601" t="s">
        <v>788</v>
      </c>
      <c r="F569" s="601"/>
      <c r="I569" s="601"/>
      <c r="J569" s="484"/>
      <c r="K569" s="484"/>
      <c r="L569" s="484"/>
      <c r="M569" s="484"/>
      <c r="N569" s="484"/>
      <c r="O569" s="484"/>
    </row>
    <row r="570" spans="4:18" s="414" customFormat="1" ht="12.75" customHeight="1" x14ac:dyDescent="0.25">
      <c r="D570" s="557"/>
      <c r="E570" s="601" t="s">
        <v>789</v>
      </c>
      <c r="F570" s="601"/>
      <c r="I570" s="601"/>
      <c r="J570" s="484"/>
      <c r="K570" s="484"/>
      <c r="L570" s="484"/>
      <c r="M570" s="484"/>
      <c r="N570" s="484"/>
      <c r="O570" s="484"/>
    </row>
    <row r="571" spans="4:18" s="414" customFormat="1" ht="12.75" customHeight="1" x14ac:dyDescent="0.25">
      <c r="D571" s="1290"/>
      <c r="E571" s="601"/>
      <c r="F571" s="601"/>
      <c r="I571" s="601"/>
      <c r="J571" s="484"/>
      <c r="K571" s="484"/>
      <c r="L571" s="484"/>
      <c r="M571" s="484"/>
      <c r="N571" s="484"/>
      <c r="O571" s="484"/>
    </row>
    <row r="572" spans="4:18" ht="12.75" customHeight="1" x14ac:dyDescent="0.25">
      <c r="D572" s="115"/>
      <c r="E572" s="1037">
        <v>45</v>
      </c>
      <c r="F572" s="115" t="s">
        <v>790</v>
      </c>
      <c r="I572" s="636">
        <v>1091</v>
      </c>
      <c r="J572" s="114">
        <v>24929</v>
      </c>
      <c r="K572" s="114">
        <v>49095</v>
      </c>
      <c r="L572" s="114">
        <f t="shared" ref="L572:O579" si="88">ROUND(K572*T$2,0)</f>
        <v>50126</v>
      </c>
      <c r="M572" s="114">
        <f t="shared" si="88"/>
        <v>51279</v>
      </c>
      <c r="N572" s="114">
        <f t="shared" si="88"/>
        <v>52458</v>
      </c>
      <c r="O572" s="114">
        <f t="shared" si="88"/>
        <v>53665</v>
      </c>
    </row>
    <row r="573" spans="4:18" ht="12.75" customHeight="1" x14ac:dyDescent="0.25">
      <c r="D573" s="143" t="s">
        <v>923</v>
      </c>
      <c r="E573" s="1037">
        <v>15</v>
      </c>
      <c r="F573" s="115" t="s">
        <v>791</v>
      </c>
      <c r="I573" s="636">
        <v>811</v>
      </c>
      <c r="J573" s="114">
        <v>18555</v>
      </c>
      <c r="K573" s="114">
        <v>12165</v>
      </c>
      <c r="L573" s="114">
        <f t="shared" si="88"/>
        <v>12420</v>
      </c>
      <c r="M573" s="114">
        <f t="shared" si="88"/>
        <v>12706</v>
      </c>
      <c r="N573" s="114">
        <f t="shared" si="88"/>
        <v>12998</v>
      </c>
      <c r="O573" s="114">
        <f t="shared" si="88"/>
        <v>13297</v>
      </c>
    </row>
    <row r="574" spans="4:18" ht="12.75" customHeight="1" x14ac:dyDescent="0.25">
      <c r="D574" s="143"/>
      <c r="E574" s="1037">
        <v>8</v>
      </c>
      <c r="F574" s="115" t="s">
        <v>924</v>
      </c>
      <c r="I574" s="636">
        <v>1393</v>
      </c>
      <c r="J574" s="114">
        <v>6363</v>
      </c>
      <c r="K574" s="114">
        <v>11144</v>
      </c>
      <c r="L574" s="114">
        <f t="shared" si="88"/>
        <v>11378</v>
      </c>
      <c r="M574" s="114">
        <f t="shared" si="88"/>
        <v>11640</v>
      </c>
      <c r="N574" s="114">
        <f t="shared" si="88"/>
        <v>11908</v>
      </c>
      <c r="O574" s="114">
        <f t="shared" si="88"/>
        <v>12182</v>
      </c>
    </row>
    <row r="575" spans="4:18" ht="12.75" customHeight="1" x14ac:dyDescent="0.25">
      <c r="D575" s="143"/>
      <c r="E575" s="1037">
        <v>1</v>
      </c>
      <c r="F575" s="115" t="s">
        <v>925</v>
      </c>
      <c r="I575" s="636">
        <v>1114</v>
      </c>
      <c r="J575" s="114">
        <v>1019</v>
      </c>
      <c r="K575" s="114">
        <v>1114</v>
      </c>
      <c r="L575" s="114">
        <f t="shared" si="88"/>
        <v>1137</v>
      </c>
      <c r="M575" s="114">
        <f t="shared" si="88"/>
        <v>1163</v>
      </c>
      <c r="N575" s="114">
        <f t="shared" si="88"/>
        <v>1190</v>
      </c>
      <c r="O575" s="114">
        <f t="shared" si="88"/>
        <v>1217</v>
      </c>
    </row>
    <row r="576" spans="4:18" ht="12.75" customHeight="1" x14ac:dyDescent="0.25">
      <c r="D576" s="143"/>
      <c r="E576" s="1037">
        <v>30</v>
      </c>
      <c r="F576" s="115" t="s">
        <v>794</v>
      </c>
      <c r="I576" s="636">
        <v>161</v>
      </c>
      <c r="J576" s="114">
        <v>3675</v>
      </c>
      <c r="K576" s="114">
        <v>4830</v>
      </c>
      <c r="L576" s="114">
        <f t="shared" si="88"/>
        <v>4931</v>
      </c>
      <c r="M576" s="114">
        <f t="shared" si="88"/>
        <v>5044</v>
      </c>
      <c r="N576" s="114">
        <f t="shared" si="88"/>
        <v>5160</v>
      </c>
      <c r="O576" s="114">
        <f t="shared" si="88"/>
        <v>5279</v>
      </c>
    </row>
    <row r="577" spans="4:22" ht="12.75" customHeight="1" x14ac:dyDescent="0.25">
      <c r="D577" s="143"/>
      <c r="E577" s="1037">
        <v>1</v>
      </c>
      <c r="F577" s="115" t="s">
        <v>926</v>
      </c>
      <c r="I577" s="636">
        <v>395</v>
      </c>
      <c r="J577" s="114">
        <v>361</v>
      </c>
      <c r="K577" s="114">
        <v>395</v>
      </c>
      <c r="L577" s="114">
        <f t="shared" si="88"/>
        <v>403</v>
      </c>
      <c r="M577" s="114">
        <f t="shared" si="88"/>
        <v>412</v>
      </c>
      <c r="N577" s="114">
        <f t="shared" si="88"/>
        <v>421</v>
      </c>
      <c r="O577" s="114">
        <f t="shared" si="88"/>
        <v>431</v>
      </c>
    </row>
    <row r="578" spans="4:22" ht="12.75" customHeight="1" x14ac:dyDescent="0.25">
      <c r="D578" s="143"/>
      <c r="E578" s="1037">
        <v>5</v>
      </c>
      <c r="F578" s="115" t="s">
        <v>927</v>
      </c>
      <c r="I578" s="636">
        <v>231</v>
      </c>
      <c r="J578" s="114">
        <v>1059</v>
      </c>
      <c r="K578" s="114">
        <v>1155</v>
      </c>
      <c r="L578" s="114">
        <f t="shared" si="88"/>
        <v>1179</v>
      </c>
      <c r="M578" s="114">
        <f t="shared" si="88"/>
        <v>1206</v>
      </c>
      <c r="N578" s="114">
        <f t="shared" si="88"/>
        <v>1234</v>
      </c>
      <c r="O578" s="114">
        <f t="shared" si="88"/>
        <v>1262</v>
      </c>
    </row>
    <row r="579" spans="4:22" ht="12.75" customHeight="1" x14ac:dyDescent="0.25">
      <c r="D579" s="143"/>
      <c r="E579" s="1037">
        <v>1</v>
      </c>
      <c r="F579" s="115" t="s">
        <v>928</v>
      </c>
      <c r="I579" s="636">
        <v>26</v>
      </c>
      <c r="J579" s="114">
        <v>23</v>
      </c>
      <c r="K579" s="114">
        <v>26</v>
      </c>
      <c r="L579" s="114">
        <f t="shared" si="88"/>
        <v>27</v>
      </c>
      <c r="M579" s="114">
        <f t="shared" si="88"/>
        <v>28</v>
      </c>
      <c r="N579" s="114">
        <f t="shared" si="88"/>
        <v>29</v>
      </c>
      <c r="O579" s="114">
        <f t="shared" si="88"/>
        <v>30</v>
      </c>
    </row>
    <row r="580" spans="4:22" ht="12.75" customHeight="1" x14ac:dyDescent="0.25">
      <c r="E580" s="400"/>
      <c r="F580" s="115"/>
      <c r="I580" s="636"/>
      <c r="J580" s="415"/>
      <c r="K580" s="415"/>
      <c r="L580" s="415"/>
      <c r="M580" s="415"/>
      <c r="N580" s="415"/>
      <c r="O580" s="415"/>
    </row>
    <row r="581" spans="4:22" ht="12.75" customHeight="1" thickBot="1" x14ac:dyDescent="0.3">
      <c r="E581" s="115" t="s">
        <v>929</v>
      </c>
      <c r="F581" s="301"/>
      <c r="I581" s="114"/>
      <c r="J581" s="1744">
        <v>72121.5</v>
      </c>
      <c r="K581" s="1744">
        <v>96931.5</v>
      </c>
      <c r="L581" s="1744">
        <f>SUM(L542:L580)</f>
        <v>99261</v>
      </c>
      <c r="M581" s="1744">
        <f>SUM(M542:M580)</f>
        <v>101783</v>
      </c>
      <c r="N581" s="1744">
        <f>SUM(N542:N580)</f>
        <v>104365.5</v>
      </c>
      <c r="O581" s="1744">
        <f>SUM(O542:O580)</f>
        <v>106330.5</v>
      </c>
    </row>
    <row r="582" spans="4:22" ht="12.75" customHeight="1" thickTop="1" x14ac:dyDescent="0.25">
      <c r="D582" s="143"/>
      <c r="E582" s="115"/>
    </row>
    <row r="583" spans="4:22" ht="12.75" customHeight="1" x14ac:dyDescent="0.25">
      <c r="D583" s="393">
        <v>602906</v>
      </c>
      <c r="E583" s="381" t="s">
        <v>733</v>
      </c>
      <c r="F583" s="393"/>
      <c r="I583" s="1190"/>
      <c r="J583" s="1629">
        <v>2025</v>
      </c>
      <c r="K583" s="1629">
        <v>2026</v>
      </c>
      <c r="L583" s="1629">
        <v>2027</v>
      </c>
      <c r="M583" s="1629">
        <v>2028</v>
      </c>
      <c r="N583" s="1629">
        <v>2029</v>
      </c>
      <c r="O583" s="1629">
        <v>2030</v>
      </c>
    </row>
    <row r="584" spans="4:22" ht="12.75" customHeight="1" x14ac:dyDescent="0.25">
      <c r="D584" s="143">
        <v>41100</v>
      </c>
      <c r="E584" s="115" t="s">
        <v>541</v>
      </c>
      <c r="I584" s="114"/>
      <c r="J584" s="114"/>
      <c r="K584" s="114"/>
      <c r="L584" s="114"/>
      <c r="M584" s="114"/>
      <c r="N584" s="114"/>
      <c r="O584" s="114"/>
      <c r="Q584" s="394"/>
      <c r="R584" s="394"/>
      <c r="S584" s="394"/>
      <c r="T584" s="114"/>
      <c r="U584" s="114"/>
      <c r="V584" s="114"/>
    </row>
    <row r="585" spans="4:22" ht="12.75" customHeight="1" x14ac:dyDescent="0.25">
      <c r="E585" s="115"/>
      <c r="F585" s="301"/>
      <c r="Q585" s="394"/>
      <c r="R585" s="394"/>
      <c r="S585" s="394"/>
      <c r="T585" s="114"/>
      <c r="U585" s="114"/>
      <c r="V585" s="114"/>
    </row>
    <row r="586" spans="4:22" ht="12.75" customHeight="1" x14ac:dyDescent="0.25">
      <c r="E586" s="308" t="s">
        <v>930</v>
      </c>
      <c r="F586" s="301"/>
      <c r="I586" s="114"/>
      <c r="J586" s="114">
        <v>150517.95000000001</v>
      </c>
      <c r="K586" s="114">
        <v>153528</v>
      </c>
      <c r="L586" s="114">
        <f>ROUND(K586*T$3,0)</f>
        <v>159976</v>
      </c>
      <c r="M586" s="114">
        <f>ROUND(L586*U$3,0)</f>
        <v>165895</v>
      </c>
      <c r="N586" s="114">
        <f>ROUND(M586*V$3,0)</f>
        <v>172033</v>
      </c>
      <c r="O586" s="114">
        <f>ROUND(N586*W$3,0)</f>
        <v>178398</v>
      </c>
      <c r="Q586" s="394"/>
      <c r="R586" s="394"/>
      <c r="S586" s="394"/>
      <c r="T586" s="114"/>
      <c r="U586" s="114"/>
      <c r="V586" s="114"/>
    </row>
    <row r="587" spans="4:22" ht="12.75" customHeight="1" thickBot="1" x14ac:dyDescent="0.3">
      <c r="E587" s="308"/>
      <c r="F587" s="301"/>
      <c r="I587" s="114"/>
      <c r="J587" s="1744">
        <v>150517.95000000001</v>
      </c>
      <c r="K587" s="1744">
        <v>153528</v>
      </c>
      <c r="L587" s="1744">
        <f>SUM(L586:L586)</f>
        <v>159976</v>
      </c>
      <c r="M587" s="1744">
        <f>SUM(M586:M586)</f>
        <v>165895</v>
      </c>
      <c r="N587" s="1744">
        <f>SUM(N586:N586)</f>
        <v>172033</v>
      </c>
      <c r="O587" s="1744">
        <f>SUM(O586:O586)</f>
        <v>178398</v>
      </c>
      <c r="Q587" s="394"/>
      <c r="R587" s="394"/>
      <c r="S587" s="394"/>
      <c r="T587" s="114"/>
      <c r="U587" s="114"/>
      <c r="V587" s="114"/>
    </row>
    <row r="588" spans="4:22" ht="12.75" customHeight="1" thickTop="1" x14ac:dyDescent="0.25">
      <c r="E588" s="308"/>
      <c r="F588" s="301"/>
      <c r="I588" s="114"/>
      <c r="J588" s="114"/>
      <c r="K588" s="114"/>
      <c r="L588" s="114"/>
      <c r="M588" s="114"/>
      <c r="N588" s="114"/>
      <c r="O588" s="114"/>
      <c r="Q588" s="394"/>
      <c r="R588" s="394"/>
      <c r="S588" s="394"/>
      <c r="T588" s="114"/>
      <c r="U588" s="114"/>
      <c r="V588" s="114"/>
    </row>
    <row r="589" spans="4:22" ht="12.75" customHeight="1" x14ac:dyDescent="0.25">
      <c r="E589" s="308"/>
      <c r="F589" s="301"/>
      <c r="I589" s="114"/>
      <c r="J589" s="114"/>
      <c r="K589" s="114"/>
      <c r="L589" s="114"/>
      <c r="M589" s="114"/>
      <c r="N589" s="114"/>
      <c r="O589" s="114"/>
      <c r="Q589" s="394"/>
      <c r="R589" s="394"/>
      <c r="S589" s="394"/>
      <c r="T589" s="114"/>
      <c r="U589" s="114"/>
      <c r="V589" s="114"/>
    </row>
    <row r="590" spans="4:22" ht="12.75" customHeight="1" x14ac:dyDescent="0.25">
      <c r="E590" s="308"/>
      <c r="F590" s="301"/>
      <c r="I590" s="114"/>
      <c r="J590" s="114"/>
      <c r="K590" s="114"/>
      <c r="L590" s="114"/>
      <c r="M590" s="114"/>
      <c r="N590" s="114"/>
      <c r="O590" s="114"/>
      <c r="Q590" s="394"/>
      <c r="R590" s="394"/>
      <c r="S590" s="394"/>
      <c r="T590" s="114"/>
      <c r="U590" s="114"/>
      <c r="V590" s="114"/>
    </row>
    <row r="591" spans="4:22" ht="12.75" customHeight="1" x14ac:dyDescent="0.25">
      <c r="D591" s="143">
        <v>43511</v>
      </c>
      <c r="E591" s="308" t="s">
        <v>931</v>
      </c>
      <c r="F591" s="301"/>
      <c r="I591" s="114"/>
      <c r="J591" s="114">
        <v>10400</v>
      </c>
      <c r="K591" s="114">
        <v>0</v>
      </c>
      <c r="L591" s="114">
        <v>0</v>
      </c>
      <c r="M591" s="114">
        <v>0</v>
      </c>
      <c r="N591" s="114">
        <v>0</v>
      </c>
      <c r="O591" s="114">
        <v>0</v>
      </c>
      <c r="Q591" s="394"/>
      <c r="R591" s="394"/>
      <c r="S591" s="394"/>
      <c r="T591" s="114"/>
      <c r="U591" s="114"/>
      <c r="V591" s="114"/>
    </row>
    <row r="592" spans="4:22" ht="12.75" customHeight="1" thickBot="1" x14ac:dyDescent="0.3">
      <c r="E592" s="115"/>
      <c r="F592" s="301"/>
      <c r="I592" s="114"/>
      <c r="J592" s="1744">
        <v>10400</v>
      </c>
      <c r="K592" s="1744">
        <v>0</v>
      </c>
      <c r="L592" s="1744">
        <f t="shared" ref="L592:N592" si="89">SUM(L591)</f>
        <v>0</v>
      </c>
      <c r="M592" s="1744">
        <f t="shared" si="89"/>
        <v>0</v>
      </c>
      <c r="N592" s="1744">
        <f t="shared" si="89"/>
        <v>0</v>
      </c>
      <c r="O592" s="1744">
        <f t="shared" ref="O592" si="90">SUM(O591)</f>
        <v>0</v>
      </c>
      <c r="Q592" s="394"/>
      <c r="R592" s="394"/>
      <c r="S592" s="394"/>
      <c r="T592" s="114"/>
      <c r="U592" s="114"/>
      <c r="V592" s="114"/>
    </row>
    <row r="593" spans="4:23" ht="12.75" customHeight="1" thickTop="1" x14ac:dyDescent="0.25">
      <c r="F593" s="301"/>
      <c r="I593" s="114"/>
      <c r="J593" s="114"/>
      <c r="K593" s="114"/>
      <c r="L593" s="114"/>
      <c r="M593" s="114"/>
      <c r="N593" s="114"/>
      <c r="O593" s="114"/>
      <c r="Q593" s="394"/>
      <c r="R593" s="394"/>
      <c r="S593" s="394"/>
      <c r="T593" s="114"/>
      <c r="U593" s="114"/>
      <c r="V593" s="114"/>
    </row>
    <row r="594" spans="4:23" ht="12.75" customHeight="1" x14ac:dyDescent="0.25">
      <c r="F594" s="301"/>
      <c r="I594" s="114"/>
      <c r="J594" s="114"/>
      <c r="K594" s="114"/>
      <c r="L594" s="114"/>
      <c r="M594" s="114"/>
      <c r="N594" s="114"/>
      <c r="O594" s="114"/>
      <c r="Q594" s="394"/>
      <c r="R594" s="394"/>
      <c r="S594" s="394"/>
      <c r="T594" s="114"/>
      <c r="U594" s="114"/>
      <c r="V594" s="114"/>
    </row>
    <row r="595" spans="4:23" ht="12.75" customHeight="1" x14ac:dyDescent="0.25">
      <c r="D595" s="312" t="s">
        <v>932</v>
      </c>
      <c r="F595" s="301"/>
      <c r="I595" s="114"/>
      <c r="J595" s="114"/>
      <c r="K595" s="114"/>
      <c r="L595" s="114"/>
      <c r="M595" s="114"/>
      <c r="N595" s="114"/>
      <c r="O595" s="114"/>
      <c r="Q595" s="394"/>
      <c r="R595" s="394"/>
      <c r="S595" s="394"/>
      <c r="T595" s="114"/>
      <c r="U595" s="114"/>
      <c r="V595" s="114"/>
    </row>
    <row r="596" spans="4:23" ht="12.75" customHeight="1" x14ac:dyDescent="0.25">
      <c r="F596" s="301"/>
      <c r="I596" s="114"/>
      <c r="J596" s="114"/>
      <c r="K596" s="114"/>
      <c r="L596" s="114"/>
      <c r="M596" s="114"/>
      <c r="N596" s="114"/>
      <c r="O596" s="114"/>
      <c r="Q596" s="394"/>
      <c r="R596" s="394"/>
      <c r="S596" s="394"/>
      <c r="T596" s="114"/>
      <c r="U596" s="114"/>
      <c r="V596" s="114"/>
    </row>
    <row r="597" spans="4:23" ht="12.75" customHeight="1" x14ac:dyDescent="0.25">
      <c r="E597" s="301" t="str">
        <f>G165</f>
        <v>Huwelijken (1)</v>
      </c>
      <c r="F597" s="301"/>
      <c r="I597" s="114"/>
      <c r="J597" s="114">
        <v>-67872.7</v>
      </c>
      <c r="K597" s="114">
        <v>-81724.78</v>
      </c>
      <c r="L597" s="114">
        <f>L168</f>
        <v>-85081.4</v>
      </c>
      <c r="M597" s="114">
        <f>M168</f>
        <v>-88154.4</v>
      </c>
      <c r="N597" s="114">
        <f>N168</f>
        <v>-91346.9</v>
      </c>
      <c r="O597" s="114">
        <f>O168</f>
        <v>-94661.8</v>
      </c>
      <c r="Q597" s="394"/>
      <c r="R597" s="394"/>
      <c r="S597" s="394"/>
      <c r="T597" s="114"/>
      <c r="U597" s="114"/>
      <c r="V597" s="114"/>
    </row>
    <row r="598" spans="4:23" ht="12.75" customHeight="1" x14ac:dyDescent="0.25">
      <c r="E598" s="301" t="str">
        <f>G170</f>
        <v>Reisdocumenten (2)</v>
      </c>
      <c r="F598" s="301"/>
      <c r="I598" s="114"/>
      <c r="J598" s="114">
        <v>-312150</v>
      </c>
      <c r="K598" s="114">
        <v>-464175.5</v>
      </c>
      <c r="L598" s="114">
        <f>L173</f>
        <v>-473936.5</v>
      </c>
      <c r="M598" s="114">
        <f>M173</f>
        <v>-484625</v>
      </c>
      <c r="N598" s="114">
        <f>N173</f>
        <v>-495845</v>
      </c>
      <c r="O598" s="114">
        <f>O173</f>
        <v>-507069</v>
      </c>
      <c r="Q598" s="394"/>
      <c r="R598" s="394"/>
      <c r="S598" s="394"/>
      <c r="T598" s="114"/>
      <c r="U598" s="114"/>
      <c r="V598" s="114"/>
    </row>
    <row r="599" spans="4:23" ht="12.75" customHeight="1" x14ac:dyDescent="0.25">
      <c r="E599" s="301" t="str">
        <f>G175</f>
        <v>Rijbewijzen  (3)</v>
      </c>
      <c r="F599" s="301"/>
      <c r="I599" s="114"/>
      <c r="J599" s="114">
        <v>-153729</v>
      </c>
      <c r="K599" s="114">
        <v>-112340</v>
      </c>
      <c r="L599" s="114">
        <f>L178</f>
        <v>-114711</v>
      </c>
      <c r="M599" s="114">
        <f>M178</f>
        <v>-117302</v>
      </c>
      <c r="N599" s="114">
        <f>N178</f>
        <v>-120098</v>
      </c>
      <c r="O599" s="114">
        <f>O178</f>
        <v>-122898</v>
      </c>
      <c r="Q599" s="394"/>
      <c r="R599" s="394"/>
      <c r="S599" s="394"/>
      <c r="T599" s="114"/>
      <c r="U599" s="114"/>
      <c r="V599" s="114"/>
    </row>
    <row r="600" spans="4:23" ht="12.75" customHeight="1" x14ac:dyDescent="0.25">
      <c r="E600" s="301" t="str">
        <f>G180</f>
        <v>(Uitreksels uit de) brp (4)</v>
      </c>
      <c r="F600" s="301"/>
      <c r="I600" s="114"/>
      <c r="J600" s="114">
        <v>-9700</v>
      </c>
      <c r="K600" s="114">
        <v>-14297.5</v>
      </c>
      <c r="L600" s="114">
        <f>L183</f>
        <v>-14715</v>
      </c>
      <c r="M600" s="114">
        <f>M183</f>
        <v>-15132.5</v>
      </c>
      <c r="N600" s="114">
        <f>N183</f>
        <v>-15550</v>
      </c>
      <c r="O600" s="114">
        <f>O183</f>
        <v>-15862.5</v>
      </c>
      <c r="Q600" s="394"/>
      <c r="R600" s="394"/>
      <c r="S600" s="394"/>
      <c r="T600" s="114"/>
      <c r="U600" s="114"/>
      <c r="V600" s="114"/>
      <c r="W600" s="508"/>
    </row>
    <row r="601" spans="4:23" ht="12.75" customHeight="1" x14ac:dyDescent="0.25">
      <c r="E601" s="301" t="str">
        <f>G185</f>
        <v>Leges overige publiekszaken (5)</v>
      </c>
      <c r="F601" s="301"/>
      <c r="I601" s="114"/>
      <c r="J601" s="114">
        <v>-72121.5</v>
      </c>
      <c r="K601" s="114">
        <v>-96931.5</v>
      </c>
      <c r="L601" s="114">
        <f>L188</f>
        <v>-99261</v>
      </c>
      <c r="M601" s="114">
        <f>M188</f>
        <v>-101783</v>
      </c>
      <c r="N601" s="114">
        <f>N188</f>
        <v>-104365.5</v>
      </c>
      <c r="O601" s="114">
        <f>O188</f>
        <v>-106330.5</v>
      </c>
      <c r="Q601" s="394"/>
      <c r="R601" s="394"/>
      <c r="S601" s="394"/>
      <c r="T601" s="114"/>
      <c r="U601" s="114"/>
      <c r="V601" s="114"/>
      <c r="W601" s="508"/>
    </row>
    <row r="602" spans="4:23" ht="12.75" customHeight="1" thickBot="1" x14ac:dyDescent="0.3">
      <c r="E602" s="312" t="s">
        <v>933</v>
      </c>
      <c r="F602" s="301"/>
      <c r="I602" s="114"/>
      <c r="J602" s="1800">
        <v>-615573.19999999995</v>
      </c>
      <c r="K602" s="1800">
        <v>-769469.28</v>
      </c>
      <c r="L602" s="1800">
        <f>SUM(L597:L601)</f>
        <v>-787704.9</v>
      </c>
      <c r="M602" s="1800">
        <f>SUM(M597:M601)</f>
        <v>-806996.9</v>
      </c>
      <c r="N602" s="1800">
        <f>SUM(N597:N601)</f>
        <v>-827205.4</v>
      </c>
      <c r="O602" s="1800">
        <f>SUM(O597:O601)</f>
        <v>-846821.8</v>
      </c>
      <c r="Q602" s="394"/>
      <c r="R602" s="394"/>
      <c r="S602" s="394"/>
      <c r="T602" s="114"/>
      <c r="U602" s="114"/>
      <c r="V602" s="114"/>
      <c r="W602" s="508"/>
    </row>
    <row r="603" spans="4:23" ht="12.75" customHeight="1" thickTop="1" x14ac:dyDescent="0.25">
      <c r="F603" s="301"/>
      <c r="I603" s="114"/>
      <c r="J603" s="114"/>
      <c r="K603" s="114"/>
      <c r="L603" s="114"/>
      <c r="M603" s="114"/>
      <c r="N603" s="114"/>
      <c r="O603" s="114"/>
      <c r="Q603" s="394"/>
      <c r="R603" s="394"/>
      <c r="S603" s="394"/>
      <c r="T603" s="114"/>
      <c r="U603" s="114"/>
      <c r="V603" s="114"/>
      <c r="W603" s="508"/>
    </row>
    <row r="604" spans="4:23" ht="12.75" customHeight="1" x14ac:dyDescent="0.25">
      <c r="F604" s="301"/>
      <c r="I604" s="114"/>
      <c r="J604" s="114"/>
      <c r="K604" s="114"/>
      <c r="L604" s="114"/>
      <c r="M604" s="114"/>
      <c r="N604" s="114"/>
      <c r="O604" s="114"/>
      <c r="Q604" s="394"/>
      <c r="R604" s="394"/>
      <c r="S604" s="394"/>
      <c r="T604" s="114"/>
      <c r="U604" s="114"/>
      <c r="V604" s="114"/>
      <c r="W604" s="508"/>
    </row>
    <row r="605" spans="4:23" s="359" customFormat="1" ht="12.75" customHeight="1" x14ac:dyDescent="0.25">
      <c r="D605" s="500" t="s">
        <v>934</v>
      </c>
      <c r="E605" s="500"/>
      <c r="F605" s="500"/>
      <c r="J605" s="609"/>
      <c r="K605" s="501">
        <v>2026</v>
      </c>
      <c r="L605" s="501">
        <v>2027</v>
      </c>
      <c r="M605" s="501">
        <v>2028</v>
      </c>
      <c r="N605" s="501">
        <v>2029</v>
      </c>
      <c r="O605" s="501">
        <v>2030</v>
      </c>
    </row>
    <row r="606" spans="4:23" s="359" customFormat="1" ht="12.75" customHeight="1" x14ac:dyDescent="0.25">
      <c r="D606" s="502"/>
      <c r="E606" s="502"/>
      <c r="F606" s="502"/>
      <c r="I606" s="510"/>
      <c r="J606" s="510"/>
      <c r="K606" s="510"/>
      <c r="L606" s="510"/>
      <c r="M606" s="510"/>
      <c r="N606" s="510"/>
      <c r="O606" s="510"/>
    </row>
    <row r="607" spans="4:23" s="359" customFormat="1" ht="12.75" customHeight="1" x14ac:dyDescent="0.25">
      <c r="D607" s="504" t="s">
        <v>935</v>
      </c>
      <c r="E607" s="504"/>
      <c r="F607" s="504"/>
      <c r="I607" s="510"/>
      <c r="J607" s="510"/>
      <c r="K607" s="510"/>
      <c r="L607" s="510"/>
      <c r="M607" s="510"/>
      <c r="N607" s="510"/>
      <c r="O607" s="510"/>
      <c r="P607" s="510"/>
      <c r="Q607" s="706"/>
      <c r="R607" s="706"/>
      <c r="S607" s="706"/>
      <c r="T607" s="114"/>
      <c r="U607" s="114"/>
      <c r="V607" s="510"/>
    </row>
    <row r="608" spans="4:23" s="359" customFormat="1" ht="12.75" customHeight="1" x14ac:dyDescent="0.25">
      <c r="D608" s="502" t="s">
        <v>936</v>
      </c>
      <c r="E608" s="502"/>
      <c r="F608" s="502"/>
      <c r="I608" s="510"/>
      <c r="J608" s="503"/>
      <c r="K608" s="503">
        <v>100258.11</v>
      </c>
      <c r="L608" s="503">
        <f>+L99</f>
        <v>104469</v>
      </c>
      <c r="M608" s="503">
        <f>+M99</f>
        <v>108334</v>
      </c>
      <c r="N608" s="503">
        <f>+N99</f>
        <v>112342</v>
      </c>
      <c r="O608" s="503">
        <f>+O99</f>
        <v>116499</v>
      </c>
      <c r="P608" s="503"/>
      <c r="Q608" s="706"/>
      <c r="R608" s="706"/>
      <c r="S608" s="706"/>
      <c r="T608" s="114"/>
      <c r="U608" s="114"/>
      <c r="V608" s="510"/>
    </row>
    <row r="609" spans="4:24" s="359" customFormat="1" ht="12.75" customHeight="1" x14ac:dyDescent="0.25">
      <c r="D609" s="115" t="s">
        <v>937</v>
      </c>
      <c r="E609" s="115"/>
      <c r="F609" s="114"/>
      <c r="G609" s="114"/>
      <c r="H609" s="114"/>
      <c r="I609" s="114"/>
      <c r="J609" s="151"/>
      <c r="K609" s="151">
        <v>2762</v>
      </c>
      <c r="L609" s="151">
        <f>+L95</f>
        <v>2824</v>
      </c>
      <c r="M609" s="151">
        <f>+M95</f>
        <v>2888</v>
      </c>
      <c r="N609" s="151">
        <f>+N95</f>
        <v>2953</v>
      </c>
      <c r="O609" s="151">
        <f>+O95</f>
        <v>2978</v>
      </c>
      <c r="P609" s="151"/>
      <c r="Q609" s="706"/>
      <c r="R609" s="706"/>
      <c r="S609" s="706"/>
      <c r="T609" s="114"/>
      <c r="U609" s="114"/>
      <c r="V609" s="510"/>
    </row>
    <row r="610" spans="4:24" s="359" customFormat="1" ht="12.75" customHeight="1" thickBot="1" x14ac:dyDescent="0.3">
      <c r="D610" s="502" t="s">
        <v>938</v>
      </c>
      <c r="E610" s="502"/>
      <c r="F610" s="502"/>
      <c r="I610" s="510"/>
      <c r="J610" s="503"/>
      <c r="K610" s="1745">
        <v>103020.11</v>
      </c>
      <c r="L610" s="1745">
        <f>SUM(L608:L609)</f>
        <v>107293</v>
      </c>
      <c r="M610" s="1745">
        <f>SUM(M608:M609)</f>
        <v>111222</v>
      </c>
      <c r="N610" s="1745">
        <f>SUM(N608:N609)</f>
        <v>115295</v>
      </c>
      <c r="O610" s="1745">
        <f>SUM(O608:O609)</f>
        <v>119477</v>
      </c>
      <c r="P610" s="503"/>
      <c r="Q610" s="706"/>
      <c r="R610" s="706"/>
      <c r="S610" s="706"/>
      <c r="T610" s="114"/>
      <c r="U610" s="114"/>
      <c r="V610" s="510"/>
    </row>
    <row r="611" spans="4:24" s="359" customFormat="1" ht="12.75" customHeight="1" thickTop="1" x14ac:dyDescent="0.25">
      <c r="D611" s="502"/>
      <c r="E611" s="502"/>
      <c r="F611" s="502"/>
      <c r="I611" s="510"/>
      <c r="J611" s="503"/>
      <c r="K611" s="503"/>
      <c r="L611" s="503"/>
      <c r="M611" s="503"/>
      <c r="N611" s="503"/>
      <c r="O611" s="503"/>
      <c r="P611" s="503"/>
      <c r="Q611" s="706"/>
      <c r="R611" s="706"/>
      <c r="S611" s="706"/>
      <c r="T611" s="114"/>
      <c r="U611" s="114"/>
      <c r="V611" s="510"/>
    </row>
    <row r="612" spans="4:24" s="359" customFormat="1" ht="12.75" customHeight="1" x14ac:dyDescent="0.25">
      <c r="D612" s="301"/>
      <c r="E612" s="301"/>
      <c r="F612" s="301"/>
      <c r="G612" s="301"/>
      <c r="H612" s="301"/>
      <c r="I612" s="114"/>
      <c r="J612" s="151"/>
      <c r="K612" s="151"/>
      <c r="L612" s="151"/>
      <c r="M612" s="151"/>
      <c r="N612" s="151"/>
      <c r="O612" s="151"/>
      <c r="P612" s="151"/>
      <c r="Q612" s="706"/>
      <c r="R612" s="706"/>
      <c r="S612" s="114"/>
      <c r="T612" s="510"/>
      <c r="U612" s="510"/>
      <c r="V612" s="510"/>
    </row>
    <row r="613" spans="4:24" s="359" customFormat="1" ht="12.75" customHeight="1" x14ac:dyDescent="0.25">
      <c r="D613" s="505" t="s">
        <v>939</v>
      </c>
      <c r="E613" s="396"/>
      <c r="F613" s="396"/>
      <c r="G613" s="301"/>
      <c r="H613" s="301"/>
      <c r="I613" s="114"/>
      <c r="J613" s="151"/>
      <c r="K613" s="151"/>
      <c r="L613" s="151"/>
      <c r="M613" s="151"/>
      <c r="N613" s="151"/>
      <c r="O613" s="151"/>
      <c r="P613" s="151"/>
      <c r="Q613" s="1646"/>
      <c r="S613" s="571" t="s">
        <v>940</v>
      </c>
      <c r="T613" s="571" t="s">
        <v>941</v>
      </c>
      <c r="U613" s="571" t="s">
        <v>942</v>
      </c>
      <c r="V613" s="571" t="s">
        <v>943</v>
      </c>
      <c r="W613" s="571" t="s">
        <v>944</v>
      </c>
      <c r="X613" s="2097" t="s">
        <v>5284</v>
      </c>
    </row>
    <row r="614" spans="4:24" s="359" customFormat="1" ht="12.75" customHeight="1" x14ac:dyDescent="0.3">
      <c r="D614" s="507" t="s">
        <v>945</v>
      </c>
      <c r="E614" s="115"/>
      <c r="F614" s="115"/>
      <c r="G614" s="115"/>
      <c r="H614" s="115"/>
      <c r="I614" s="508"/>
      <c r="J614" s="508"/>
      <c r="K614" s="508"/>
      <c r="L614" s="151"/>
      <c r="M614" s="151"/>
      <c r="N614" s="151"/>
      <c r="O614" s="151"/>
      <c r="P614" s="151"/>
      <c r="Q614" s="1348"/>
      <c r="S614" s="11"/>
      <c r="T614" s="1349"/>
      <c r="U614" s="1349"/>
      <c r="V614" s="1349"/>
      <c r="X614" s="358"/>
    </row>
    <row r="615" spans="4:24" s="359" customFormat="1" ht="12.75" customHeight="1" x14ac:dyDescent="0.3">
      <c r="D615" s="115" t="s">
        <v>946</v>
      </c>
      <c r="E615" s="115"/>
      <c r="F615" s="115"/>
      <c r="G615" s="115"/>
      <c r="H615" s="115"/>
      <c r="J615" s="151"/>
      <c r="K615" s="151">
        <v>9037.2675523063881</v>
      </c>
      <c r="L615" s="151">
        <f t="shared" ref="L615:O619" si="91">L$608*U615</f>
        <v>9832.20975786688</v>
      </c>
      <c r="M615" s="151">
        <f t="shared" si="91"/>
        <v>10756.700401985445</v>
      </c>
      <c r="N615" s="151">
        <f t="shared" si="91"/>
        <v>11727.16503986078</v>
      </c>
      <c r="O615" s="547">
        <f t="shared" si="91"/>
        <v>12161.106264609327</v>
      </c>
      <c r="P615" s="151"/>
      <c r="Q615" s="1348"/>
      <c r="S615" s="508">
        <v>0.10002862957699615</v>
      </c>
      <c r="T615" s="509">
        <v>9.0140015130011811E-2</v>
      </c>
      <c r="U615" s="509">
        <v>9.4116051248378754E-2</v>
      </c>
      <c r="V615" s="509">
        <v>9.9292008067508306E-2</v>
      </c>
      <c r="W615" s="509">
        <v>0.10438807427196223</v>
      </c>
      <c r="X615" s="2083">
        <v>0.10438807427196223</v>
      </c>
    </row>
    <row r="616" spans="4:24" s="359" customFormat="1" ht="12.75" customHeight="1" x14ac:dyDescent="0.3">
      <c r="D616" s="115" t="s">
        <v>947</v>
      </c>
      <c r="E616" s="115"/>
      <c r="F616" s="115"/>
      <c r="G616" s="115"/>
      <c r="H616" s="115"/>
      <c r="J616" s="151"/>
      <c r="K616" s="151">
        <v>219.36189998496849</v>
      </c>
      <c r="L616" s="151">
        <f t="shared" si="91"/>
        <v>227.83331015739336</v>
      </c>
      <c r="M616" s="151">
        <f t="shared" si="91"/>
        <v>235.49926312298749</v>
      </c>
      <c r="N616" s="151">
        <f t="shared" si="91"/>
        <v>243.42002119137121</v>
      </c>
      <c r="O616" s="547">
        <f t="shared" si="91"/>
        <v>252.42731168016908</v>
      </c>
      <c r="P616" s="151"/>
      <c r="Q616" s="1348"/>
      <c r="S616" s="508">
        <v>2.3306659189979155E-3</v>
      </c>
      <c r="T616" s="509">
        <v>2.1879716262850806E-3</v>
      </c>
      <c r="U616" s="509">
        <v>2.1808700203638722E-3</v>
      </c>
      <c r="V616" s="509">
        <v>2.1738259745138874E-3</v>
      </c>
      <c r="W616" s="509">
        <v>2.1667766391142334E-3</v>
      </c>
      <c r="X616" s="2083">
        <v>2.1667766391142334E-3</v>
      </c>
    </row>
    <row r="617" spans="4:24" s="359" customFormat="1" ht="12.75" customHeight="1" x14ac:dyDescent="0.3">
      <c r="D617" s="115" t="s">
        <v>948</v>
      </c>
      <c r="E617" s="115"/>
      <c r="F617" s="115"/>
      <c r="G617" s="115"/>
      <c r="H617" s="115"/>
      <c r="J617" s="151"/>
      <c r="K617" s="151">
        <v>17533.806555551058</v>
      </c>
      <c r="L617" s="151">
        <f t="shared" si="91"/>
        <v>18217.986197210033</v>
      </c>
      <c r="M617" s="151">
        <f t="shared" si="91"/>
        <v>18837.960726140678</v>
      </c>
      <c r="N617" s="151">
        <f t="shared" si="91"/>
        <v>19479.034001861055</v>
      </c>
      <c r="O617" s="547">
        <f t="shared" si="91"/>
        <v>20199.818253038145</v>
      </c>
      <c r="P617" s="151"/>
      <c r="Q617" s="1348"/>
      <c r="S617" s="508">
        <v>0.19135684371635128</v>
      </c>
      <c r="T617" s="509">
        <v>0.17488666558297436</v>
      </c>
      <c r="U617" s="509">
        <v>0.17438652803424973</v>
      </c>
      <c r="V617" s="509">
        <v>0.17388779816254066</v>
      </c>
      <c r="W617" s="509">
        <v>0.17339048621050948</v>
      </c>
      <c r="X617" s="2083">
        <v>0.17339048621050948</v>
      </c>
    </row>
    <row r="618" spans="4:24" s="359" customFormat="1" ht="12.75" customHeight="1" x14ac:dyDescent="0.3">
      <c r="D618" s="115" t="s">
        <v>949</v>
      </c>
      <c r="E618" s="115"/>
      <c r="F618" s="115"/>
      <c r="G618" s="115"/>
      <c r="H618" s="115"/>
      <c r="J618" s="151"/>
      <c r="K618" s="151">
        <v>22758.189937560001</v>
      </c>
      <c r="L618" s="151">
        <f t="shared" si="91"/>
        <v>23206.639190999998</v>
      </c>
      <c r="M618" s="151">
        <f t="shared" si="91"/>
        <v>23901.947088000001</v>
      </c>
      <c r="N618" s="151">
        <f t="shared" si="91"/>
        <v>24617.390118000003</v>
      </c>
      <c r="O618" s="547">
        <f t="shared" si="91"/>
        <v>25528.309371000003</v>
      </c>
      <c r="P618" s="151"/>
      <c r="Q618" s="1348"/>
      <c r="S618" s="508">
        <v>0.2538065744000943</v>
      </c>
      <c r="T618" s="509">
        <v>0.226996</v>
      </c>
      <c r="U618" s="509">
        <v>0.22213899999999998</v>
      </c>
      <c r="V618" s="509">
        <v>0.22063199999999999</v>
      </c>
      <c r="W618" s="509">
        <v>0.21912900000000002</v>
      </c>
      <c r="X618" s="2083">
        <v>0.21912900000000002</v>
      </c>
    </row>
    <row r="619" spans="4:24" s="359" customFormat="1" ht="12.75" customHeight="1" x14ac:dyDescent="0.3">
      <c r="D619" s="308" t="s">
        <v>950</v>
      </c>
      <c r="E619" s="115"/>
      <c r="F619" s="115"/>
      <c r="G619" s="115"/>
      <c r="H619" s="115"/>
      <c r="J619" s="151"/>
      <c r="K619" s="151">
        <v>3097.4758907248461</v>
      </c>
      <c r="L619" s="151">
        <f t="shared" si="91"/>
        <v>3214.1368976226026</v>
      </c>
      <c r="M619" s="151">
        <f t="shared" si="91"/>
        <v>3319.2563848581726</v>
      </c>
      <c r="N619" s="151">
        <f t="shared" si="91"/>
        <v>3427.9168254058523</v>
      </c>
      <c r="O619" s="547">
        <f t="shared" si="91"/>
        <v>3554.7603055220343</v>
      </c>
      <c r="P619" s="151"/>
      <c r="Q619" s="1348"/>
      <c r="S619" s="508">
        <v>3.513702303285287E-2</v>
      </c>
      <c r="T619" s="509">
        <v>3.0895015782013507E-2</v>
      </c>
      <c r="U619" s="509">
        <v>3.0766417766252215E-2</v>
      </c>
      <c r="V619" s="509">
        <v>3.0639101158068314E-2</v>
      </c>
      <c r="W619" s="509">
        <v>3.051322591199954E-2</v>
      </c>
      <c r="X619" s="2083">
        <v>3.051322591199954E-2</v>
      </c>
    </row>
    <row r="620" spans="4:24" s="359" customFormat="1" ht="12.75" customHeight="1" x14ac:dyDescent="0.3">
      <c r="D620" s="308" t="s">
        <v>951</v>
      </c>
      <c r="E620" s="115"/>
      <c r="F620" s="115"/>
      <c r="G620" s="115"/>
      <c r="H620" s="115"/>
      <c r="J620" s="151"/>
      <c r="K620" s="151">
        <v>0</v>
      </c>
      <c r="L620" s="151">
        <v>0</v>
      </c>
      <c r="M620" s="151">
        <v>0</v>
      </c>
      <c r="N620" s="151">
        <v>0</v>
      </c>
      <c r="O620" s="547">
        <v>0</v>
      </c>
      <c r="P620" s="151"/>
      <c r="Q620" s="1348"/>
      <c r="S620" s="508">
        <v>0</v>
      </c>
      <c r="T620" s="509">
        <v>0</v>
      </c>
      <c r="U620" s="509">
        <v>0</v>
      </c>
      <c r="V620" s="509">
        <v>0</v>
      </c>
      <c r="W620" s="509">
        <v>0</v>
      </c>
      <c r="X620" s="2083">
        <v>0</v>
      </c>
    </row>
    <row r="621" spans="4:24" s="359" customFormat="1" ht="12.75" customHeight="1" x14ac:dyDescent="0.3">
      <c r="D621" s="308" t="s">
        <v>952</v>
      </c>
      <c r="E621" s="115"/>
      <c r="F621" s="115"/>
      <c r="G621" s="115"/>
      <c r="H621" s="115"/>
      <c r="J621" s="151"/>
      <c r="K621" s="151">
        <v>0</v>
      </c>
      <c r="L621" s="151">
        <v>0</v>
      </c>
      <c r="M621" s="151">
        <v>0</v>
      </c>
      <c r="N621" s="151">
        <v>0</v>
      </c>
      <c r="O621" s="547">
        <v>0</v>
      </c>
      <c r="P621" s="151"/>
      <c r="Q621" s="1348"/>
      <c r="S621" s="508">
        <v>0</v>
      </c>
      <c r="T621" s="509">
        <v>0</v>
      </c>
      <c r="U621" s="509">
        <v>0</v>
      </c>
      <c r="V621" s="509">
        <v>0</v>
      </c>
      <c r="W621" s="509">
        <v>0</v>
      </c>
      <c r="X621" s="2083">
        <v>0</v>
      </c>
    </row>
    <row r="622" spans="4:24" s="359" customFormat="1" ht="12.75" customHeight="1" x14ac:dyDescent="0.3">
      <c r="D622" s="308" t="s">
        <v>953</v>
      </c>
      <c r="E622" s="115"/>
      <c r="F622" s="115"/>
      <c r="G622" s="115"/>
      <c r="H622" s="115"/>
      <c r="J622" s="151"/>
      <c r="K622" s="151">
        <v>16610.706570679104</v>
      </c>
      <c r="L622" s="151">
        <f>L$608*U622</f>
        <v>15374.169001408858</v>
      </c>
      <c r="M622" s="151">
        <f>M$608*V622</f>
        <v>15942.971069704081</v>
      </c>
      <c r="N622" s="151">
        <f>N$608*W622</f>
        <v>16532.812252778658</v>
      </c>
      <c r="O622" s="547">
        <f>O$608*X622</f>
        <v>17144.57722522708</v>
      </c>
      <c r="P622" s="151"/>
      <c r="Q622" s="1348"/>
      <c r="S622" s="508">
        <v>0.15785132854527636</v>
      </c>
      <c r="T622" s="509">
        <v>0.16567943052865353</v>
      </c>
      <c r="U622" s="509">
        <v>0.14716489103378858</v>
      </c>
      <c r="V622" s="509">
        <v>0.14716498116661511</v>
      </c>
      <c r="W622" s="509">
        <v>0.14716501622526443</v>
      </c>
      <c r="X622" s="2083">
        <v>0.14716501622526443</v>
      </c>
    </row>
    <row r="623" spans="4:24" s="359" customFormat="1" ht="12.75" customHeight="1" x14ac:dyDescent="0.25">
      <c r="D623" s="115"/>
      <c r="E623" s="115"/>
      <c r="F623" s="115"/>
      <c r="G623" s="115"/>
      <c r="H623" s="115"/>
      <c r="L623" s="151"/>
      <c r="M623" s="151"/>
      <c r="N623" s="151"/>
      <c r="O623" s="547"/>
      <c r="P623" s="151"/>
      <c r="Q623" s="1348"/>
      <c r="S623" s="508"/>
      <c r="T623" s="508"/>
      <c r="U623" s="508"/>
      <c r="V623" s="508"/>
      <c r="W623" s="508"/>
      <c r="X623" s="2090"/>
    </row>
    <row r="624" spans="4:24" s="359" customFormat="1" ht="12.75" customHeight="1" x14ac:dyDescent="0.3">
      <c r="D624" s="507" t="s">
        <v>954</v>
      </c>
      <c r="E624" s="115"/>
      <c r="F624" s="115"/>
      <c r="G624" s="115"/>
      <c r="H624" s="115"/>
      <c r="L624" s="151"/>
      <c r="M624" s="151"/>
      <c r="N624" s="151"/>
      <c r="O624" s="547"/>
      <c r="P624" s="151"/>
      <c r="Q624" s="1348"/>
      <c r="S624" s="508"/>
      <c r="T624" s="508"/>
      <c r="U624" s="508"/>
      <c r="V624" s="508"/>
      <c r="W624" s="508"/>
      <c r="X624" s="2090"/>
    </row>
    <row r="625" spans="4:24" s="359" customFormat="1" ht="12.75" customHeight="1" x14ac:dyDescent="0.3">
      <c r="D625" s="115" t="s">
        <v>955</v>
      </c>
      <c r="E625" s="115"/>
      <c r="F625" s="115"/>
      <c r="G625" s="115"/>
      <c r="H625" s="115"/>
      <c r="J625" s="151"/>
      <c r="K625" s="151">
        <v>3234.6732956883852</v>
      </c>
      <c r="L625" s="151">
        <f t="shared" ref="L625:O626" si="92">L$608*U625</f>
        <v>4970.574003820223</v>
      </c>
      <c r="M625" s="151">
        <f t="shared" si="92"/>
        <v>4940.8827087855443</v>
      </c>
      <c r="N625" s="151">
        <f t="shared" si="92"/>
        <v>4964.2365693454331</v>
      </c>
      <c r="O625" s="547">
        <f t="shared" si="92"/>
        <v>5147.9286116694875</v>
      </c>
      <c r="P625" s="151"/>
      <c r="Q625" s="1348"/>
      <c r="S625" s="508">
        <v>4.085646064597323E-2</v>
      </c>
      <c r="T625" s="509">
        <v>3.2263457746095403E-2</v>
      </c>
      <c r="U625" s="509">
        <v>4.7579415939850316E-2</v>
      </c>
      <c r="V625" s="509">
        <v>4.5607867417297838E-2</v>
      </c>
      <c r="W625" s="509">
        <v>4.4188607727701418E-2</v>
      </c>
      <c r="X625" s="2083">
        <v>4.4188607727701418E-2</v>
      </c>
    </row>
    <row r="626" spans="4:24" s="359" customFormat="1" ht="12.75" customHeight="1" x14ac:dyDescent="0.3">
      <c r="D626" s="115" t="s">
        <v>956</v>
      </c>
      <c r="E626" s="115"/>
      <c r="F626" s="115"/>
      <c r="G626" s="115"/>
      <c r="H626" s="115"/>
      <c r="J626" s="151"/>
      <c r="K626" s="151">
        <v>16862.211004680001</v>
      </c>
      <c r="L626" s="151">
        <f t="shared" si="92"/>
        <v>16900.576944000004</v>
      </c>
      <c r="M626" s="151">
        <f t="shared" si="92"/>
        <v>14140.078681999999</v>
      </c>
      <c r="N626" s="151">
        <f t="shared" si="92"/>
        <v>14114.087169999999</v>
      </c>
      <c r="O626" s="547">
        <f t="shared" si="92"/>
        <v>14636.351864999999</v>
      </c>
      <c r="P626" s="151"/>
      <c r="Q626" s="1348"/>
      <c r="S626" s="508">
        <v>0.16666163569987213</v>
      </c>
      <c r="T626" s="509">
        <v>0.168188</v>
      </c>
      <c r="U626" s="509">
        <v>0.16177600000000003</v>
      </c>
      <c r="V626" s="509">
        <v>0.130523</v>
      </c>
      <c r="W626" s="509">
        <v>0.125635</v>
      </c>
      <c r="X626" s="2083">
        <v>0.125635</v>
      </c>
    </row>
    <row r="627" spans="4:24" s="359" customFormat="1" ht="12.75" customHeight="1" x14ac:dyDescent="0.25">
      <c r="D627" s="411"/>
      <c r="E627" s="301"/>
      <c r="F627" s="301"/>
      <c r="I627" s="510"/>
      <c r="J627" s="151"/>
      <c r="K627" s="151"/>
      <c r="L627" s="151"/>
      <c r="M627" s="151"/>
      <c r="N627" s="151"/>
      <c r="O627" s="547"/>
      <c r="P627" s="151"/>
      <c r="Q627" s="1348"/>
      <c r="S627" s="12"/>
      <c r="T627" s="1647"/>
      <c r="U627" s="1647"/>
      <c r="V627" s="1647"/>
      <c r="W627" s="1647"/>
      <c r="X627" s="2140"/>
    </row>
    <row r="628" spans="4:24" s="359" customFormat="1" ht="12.75" customHeight="1" thickBot="1" x14ac:dyDescent="0.3">
      <c r="D628" s="301" t="s">
        <v>957</v>
      </c>
      <c r="E628" s="301"/>
      <c r="F628" s="301"/>
      <c r="I628" s="510"/>
      <c r="J628" s="503"/>
      <c r="K628" s="1745">
        <v>89353.692707174749</v>
      </c>
      <c r="L628" s="1745">
        <f>SUM(L615:L627)</f>
        <v>91944.125303085981</v>
      </c>
      <c r="M628" s="1745">
        <f>SUM(M615:M627)</f>
        <v>92075.296324596915</v>
      </c>
      <c r="N628" s="1745">
        <f>SUM(N615:N627)</f>
        <v>95106.061998443154</v>
      </c>
      <c r="O628" s="2110">
        <f>SUM(O615:O627)</f>
        <v>98625.279207746251</v>
      </c>
      <c r="P628" s="503"/>
      <c r="Q628" s="706"/>
      <c r="S628" s="706"/>
      <c r="T628" s="394"/>
      <c r="U628" s="706"/>
      <c r="V628" s="706"/>
      <c r="W628" s="706"/>
      <c r="X628" s="2141"/>
    </row>
    <row r="629" spans="4:24" s="359" customFormat="1" ht="12.75" customHeight="1" thickTop="1" x14ac:dyDescent="0.25">
      <c r="D629" s="301"/>
      <c r="E629" s="301"/>
      <c r="F629" s="301"/>
      <c r="I629" s="510"/>
      <c r="J629" s="503"/>
      <c r="K629" s="503"/>
      <c r="L629" s="503"/>
      <c r="M629" s="503"/>
      <c r="N629" s="503"/>
      <c r="O629" s="503"/>
      <c r="P629" s="503"/>
      <c r="Q629" s="1648" t="s">
        <v>958</v>
      </c>
      <c r="S629" s="1649">
        <f t="shared" ref="S629:X629" si="93">SUM(S615:S628)</f>
        <v>0.94802916153641426</v>
      </c>
      <c r="T629" s="1649">
        <f t="shared" si="93"/>
        <v>0.89123655639603361</v>
      </c>
      <c r="U629" s="1649">
        <f t="shared" si="93"/>
        <v>0.88010917404288347</v>
      </c>
      <c r="V629" s="1649">
        <f t="shared" si="93"/>
        <v>0.84992058194654407</v>
      </c>
      <c r="W629" s="1649">
        <f t="shared" si="93"/>
        <v>0.84657618698655135</v>
      </c>
      <c r="X629" s="2142">
        <f t="shared" si="93"/>
        <v>0.84657618698655135</v>
      </c>
    </row>
    <row r="630" spans="4:24" s="359" customFormat="1" ht="12.75" customHeight="1" x14ac:dyDescent="0.25">
      <c r="D630" s="301" t="s">
        <v>959</v>
      </c>
      <c r="E630" s="301"/>
      <c r="F630" s="301"/>
      <c r="I630" s="510"/>
      <c r="J630" s="503"/>
      <c r="K630" s="503">
        <v>103020.11</v>
      </c>
      <c r="L630" s="503">
        <f>L610</f>
        <v>107293</v>
      </c>
      <c r="M630" s="503">
        <f>M610</f>
        <v>111222</v>
      </c>
      <c r="N630" s="503">
        <f>N610</f>
        <v>115295</v>
      </c>
      <c r="O630" s="503">
        <f>O610</f>
        <v>119477</v>
      </c>
      <c r="P630" s="503"/>
      <c r="Q630" s="706"/>
      <c r="R630" s="706"/>
      <c r="S630" s="706"/>
      <c r="T630" s="114"/>
      <c r="U630" s="114"/>
      <c r="V630" s="510"/>
      <c r="W630" s="510"/>
    </row>
    <row r="631" spans="4:24" s="359" customFormat="1" ht="12.75" customHeight="1" x14ac:dyDescent="0.25">
      <c r="D631" s="301" t="s">
        <v>960</v>
      </c>
      <c r="E631" s="301"/>
      <c r="F631" s="301"/>
      <c r="I631" s="510"/>
      <c r="J631" s="503"/>
      <c r="K631" s="503">
        <v>89353.692707174749</v>
      </c>
      <c r="L631" s="503">
        <f t="shared" ref="L631:M631" si="94">L628</f>
        <v>91944.125303085981</v>
      </c>
      <c r="M631" s="503">
        <f t="shared" si="94"/>
        <v>92075.296324596915</v>
      </c>
      <c r="N631" s="503">
        <f t="shared" ref="N631:O631" si="95">N628</f>
        <v>95106.061998443154</v>
      </c>
      <c r="O631" s="503">
        <f t="shared" si="95"/>
        <v>98625.279207746251</v>
      </c>
      <c r="P631" s="503"/>
      <c r="Q631" s="706"/>
      <c r="R631" s="706"/>
      <c r="S631" s="706"/>
      <c r="T631" s="114"/>
      <c r="U631" s="114"/>
      <c r="V631" s="510"/>
      <c r="W631" s="510"/>
    </row>
    <row r="632" spans="4:24" s="359" customFormat="1" ht="12.75" customHeight="1" x14ac:dyDescent="0.25">
      <c r="D632" s="301" t="s">
        <v>961</v>
      </c>
      <c r="E632" s="301"/>
      <c r="F632" s="301"/>
      <c r="I632" s="510"/>
      <c r="J632" s="503"/>
      <c r="K632" s="511">
        <v>-81724.78</v>
      </c>
      <c r="L632" s="511">
        <f>L44</f>
        <v>-85081.4</v>
      </c>
      <c r="M632" s="511">
        <f>M44</f>
        <v>-88154.4</v>
      </c>
      <c r="N632" s="511">
        <f>N44</f>
        <v>-91346.9</v>
      </c>
      <c r="O632" s="511">
        <f>O44</f>
        <v>-94661.8</v>
      </c>
      <c r="P632" s="503"/>
      <c r="Q632" s="706"/>
      <c r="R632" s="706"/>
      <c r="S632" s="706"/>
      <c r="T632" s="114"/>
      <c r="U632" s="114"/>
      <c r="V632" s="510"/>
    </row>
    <row r="633" spans="4:24" s="359" customFormat="1" ht="12.75" customHeight="1" x14ac:dyDescent="0.25">
      <c r="D633" s="301"/>
      <c r="E633" s="301"/>
      <c r="F633" s="301"/>
      <c r="I633" s="510"/>
      <c r="J633" s="503"/>
      <c r="K633" s="503"/>
      <c r="L633" s="503"/>
      <c r="M633" s="503"/>
      <c r="N633" s="503"/>
      <c r="O633" s="503"/>
      <c r="P633" s="503"/>
      <c r="Q633" s="706"/>
      <c r="R633" s="706"/>
      <c r="S633" s="706"/>
      <c r="T633" s="114"/>
      <c r="U633" s="114"/>
      <c r="V633" s="510"/>
    </row>
    <row r="634" spans="4:24" s="359" customFormat="1" ht="12.75" customHeight="1" x14ac:dyDescent="0.25">
      <c r="D634" s="301"/>
      <c r="E634" s="301"/>
      <c r="F634" s="301"/>
      <c r="I634" s="510"/>
      <c r="J634" s="503"/>
      <c r="K634" s="503"/>
      <c r="L634" s="503"/>
      <c r="M634" s="503"/>
      <c r="N634" s="503"/>
      <c r="O634" s="503"/>
      <c r="P634" s="503"/>
      <c r="Q634" s="706"/>
      <c r="R634" s="706"/>
      <c r="S634" s="706"/>
      <c r="T634" s="114"/>
      <c r="U634" s="114"/>
      <c r="V634" s="510"/>
    </row>
    <row r="635" spans="4:24" s="359" customFormat="1" ht="12.75" customHeight="1" x14ac:dyDescent="0.25">
      <c r="D635" s="301" t="s">
        <v>962</v>
      </c>
      <c r="E635" s="301"/>
      <c r="F635" s="301"/>
      <c r="I635" s="510"/>
      <c r="J635" s="510"/>
      <c r="K635" s="510">
        <v>110649.02270717474</v>
      </c>
      <c r="L635" s="510">
        <f t="shared" ref="L635:M635" si="96">SUM(L630:L634)</f>
        <v>114155.72530308599</v>
      </c>
      <c r="M635" s="510">
        <f t="shared" si="96"/>
        <v>115142.89632459692</v>
      </c>
      <c r="N635" s="510">
        <f t="shared" ref="N635:O635" si="97">SUM(N630:N634)</f>
        <v>119054.16199844316</v>
      </c>
      <c r="O635" s="510">
        <f t="shared" si="97"/>
        <v>123440.47920774626</v>
      </c>
      <c r="P635" s="510"/>
      <c r="Q635" s="706"/>
      <c r="R635" s="394"/>
      <c r="S635" s="394"/>
      <c r="T635" s="114"/>
      <c r="U635" s="114"/>
      <c r="V635" s="510"/>
    </row>
    <row r="636" spans="4:24" ht="12.75" customHeight="1" x14ac:dyDescent="0.25">
      <c r="D636" s="301" t="s">
        <v>963</v>
      </c>
      <c r="F636" s="301"/>
      <c r="G636" s="359"/>
      <c r="H636" s="359"/>
      <c r="I636" s="512"/>
      <c r="J636" s="512"/>
      <c r="K636" s="512">
        <v>0.4248228129294655</v>
      </c>
      <c r="L636" s="512">
        <f t="shared" ref="L636:M636" si="98">IF((-L632/(L630+L631))&gt;0,-L632/(L630+L631),L632/(L630+L631))</f>
        <v>0.42703587431595097</v>
      </c>
      <c r="M636" s="512">
        <f t="shared" si="98"/>
        <v>0.43362308104308128</v>
      </c>
      <c r="N636" s="512">
        <f t="shared" ref="N636:O636" si="99">IF((-N632/(N630+N631))&gt;0,-N632/(N630+N631),N632/(N630+N631))</f>
        <v>0.43415607855000232</v>
      </c>
      <c r="O636" s="512">
        <f t="shared" si="99"/>
        <v>0.43402480865334275</v>
      </c>
      <c r="P636" s="512"/>
      <c r="Q636" s="706"/>
      <c r="R636" s="706"/>
      <c r="S636" s="706"/>
      <c r="T636" s="114"/>
      <c r="U636" s="114"/>
      <c r="V636" s="114"/>
      <c r="W636" s="508"/>
    </row>
    <row r="637" spans="4:24" ht="12.75" customHeight="1" x14ac:dyDescent="0.25">
      <c r="F637" s="301"/>
      <c r="I637" s="114"/>
      <c r="J637" s="114"/>
      <c r="K637" s="114"/>
      <c r="L637" s="114"/>
      <c r="M637" s="114"/>
      <c r="N637" s="114"/>
      <c r="O637" s="114"/>
      <c r="P637" s="114"/>
      <c r="Q637" s="706"/>
      <c r="R637" s="706"/>
      <c r="S637" s="706"/>
      <c r="T637" s="114"/>
      <c r="U637" s="114"/>
      <c r="V637" s="114"/>
      <c r="W637" s="508"/>
    </row>
    <row r="638" spans="4:24" ht="12.75" customHeight="1" x14ac:dyDescent="0.25">
      <c r="F638" s="301"/>
      <c r="I638" s="114"/>
      <c r="J638" s="114"/>
      <c r="K638" s="114"/>
      <c r="L638" s="114"/>
      <c r="M638" s="114"/>
      <c r="N638" s="114"/>
      <c r="O638" s="114"/>
      <c r="P638" s="114"/>
      <c r="Q638" s="706"/>
      <c r="R638" s="706"/>
      <c r="S638" s="706"/>
      <c r="T638" s="114"/>
      <c r="U638" s="114"/>
      <c r="V638" s="114"/>
      <c r="W638" s="508"/>
    </row>
    <row r="639" spans="4:24" s="359" customFormat="1" ht="12.75" customHeight="1" x14ac:dyDescent="0.25">
      <c r="D639" s="500" t="s">
        <v>964</v>
      </c>
      <c r="E639" s="500"/>
      <c r="F639" s="500"/>
      <c r="J639" s="609"/>
      <c r="K639" s="501">
        <v>2026</v>
      </c>
      <c r="L639" s="501">
        <v>2027</v>
      </c>
      <c r="M639" s="501">
        <v>2028</v>
      </c>
      <c r="N639" s="501">
        <v>2029</v>
      </c>
      <c r="O639" s="501">
        <v>2030</v>
      </c>
      <c r="P639" s="609"/>
      <c r="Q639" s="394"/>
      <c r="R639" s="706"/>
      <c r="S639" s="706"/>
      <c r="T639" s="706"/>
      <c r="U639" s="706"/>
      <c r="V639" s="510"/>
    </row>
    <row r="640" spans="4:24" s="359" customFormat="1" ht="12.75" customHeight="1" x14ac:dyDescent="0.25">
      <c r="D640" s="502"/>
      <c r="E640" s="502"/>
      <c r="F640" s="502"/>
      <c r="I640" s="510"/>
      <c r="J640" s="510"/>
      <c r="K640" s="510"/>
      <c r="L640" s="510"/>
      <c r="M640" s="510"/>
      <c r="N640" s="510"/>
      <c r="O640" s="510"/>
      <c r="P640" s="510"/>
      <c r="Q640" s="706"/>
      <c r="R640" s="706"/>
      <c r="S640" s="706"/>
      <c r="T640" s="394"/>
      <c r="U640" s="394"/>
      <c r="V640" s="510"/>
    </row>
    <row r="641" spans="4:24" s="359" customFormat="1" ht="12.75" customHeight="1" x14ac:dyDescent="0.25">
      <c r="D641" s="504" t="s">
        <v>935</v>
      </c>
      <c r="E641" s="504"/>
      <c r="F641" s="504"/>
      <c r="I641" s="510"/>
      <c r="J641" s="510"/>
      <c r="K641" s="510"/>
      <c r="L641" s="510"/>
      <c r="M641" s="510"/>
      <c r="N641" s="510"/>
      <c r="O641" s="510"/>
      <c r="P641" s="510"/>
      <c r="Q641" s="706"/>
      <c r="R641" s="706"/>
      <c r="S641" s="706"/>
      <c r="T641" s="394"/>
      <c r="U641" s="394"/>
      <c r="V641" s="510"/>
    </row>
    <row r="642" spans="4:24" s="359" customFormat="1" ht="12.75" customHeight="1" x14ac:dyDescent="0.25">
      <c r="D642" s="502" t="s">
        <v>936</v>
      </c>
      <c r="E642" s="502"/>
      <c r="F642" s="502"/>
      <c r="I642" s="510"/>
      <c r="J642" s="503"/>
      <c r="K642" s="503">
        <v>118349.84</v>
      </c>
      <c r="L642" s="503">
        <f t="shared" ref="L642:O643" si="100">L109</f>
        <v>123321</v>
      </c>
      <c r="M642" s="503">
        <f t="shared" si="100"/>
        <v>127884</v>
      </c>
      <c r="N642" s="503">
        <f t="shared" si="100"/>
        <v>132616</v>
      </c>
      <c r="O642" s="503">
        <f t="shared" si="100"/>
        <v>137523</v>
      </c>
      <c r="P642" s="503"/>
      <c r="Q642" s="1650">
        <f>81700/188800</f>
        <v>0.43273305084745761</v>
      </c>
      <c r="R642" s="706"/>
      <c r="S642" s="706"/>
      <c r="T642" s="1651"/>
      <c r="U642" s="394"/>
      <c r="V642" s="510"/>
    </row>
    <row r="643" spans="4:24" s="359" customFormat="1" ht="12.75" customHeight="1" x14ac:dyDescent="0.25">
      <c r="D643" s="502" t="s">
        <v>965</v>
      </c>
      <c r="E643" s="502"/>
      <c r="F643" s="502"/>
      <c r="I643" s="510"/>
      <c r="J643" s="503"/>
      <c r="K643" s="503">
        <v>14786</v>
      </c>
      <c r="L643" s="503">
        <f t="shared" si="100"/>
        <v>15407</v>
      </c>
      <c r="M643" s="503">
        <f t="shared" si="100"/>
        <v>15977</v>
      </c>
      <c r="N643" s="503">
        <f t="shared" si="100"/>
        <v>16568</v>
      </c>
      <c r="O643" s="503">
        <f t="shared" si="100"/>
        <v>17181</v>
      </c>
      <c r="P643" s="503"/>
      <c r="Q643" s="706"/>
      <c r="R643" s="706"/>
      <c r="S643" s="706"/>
      <c r="T643" s="394"/>
      <c r="U643" s="394"/>
      <c r="V643" s="510"/>
    </row>
    <row r="644" spans="4:24" s="359" customFormat="1" ht="12.75" customHeight="1" x14ac:dyDescent="0.25">
      <c r="D644" s="115" t="s">
        <v>937</v>
      </c>
      <c r="E644" s="115"/>
      <c r="F644" s="114"/>
      <c r="G644" s="114"/>
      <c r="H644" s="114"/>
      <c r="I644" s="114"/>
      <c r="J644" s="151"/>
      <c r="K644" s="151">
        <v>259645.5</v>
      </c>
      <c r="L644" s="151">
        <f>L104</f>
        <v>268069</v>
      </c>
      <c r="M644" s="151">
        <f>M104</f>
        <v>277732.5</v>
      </c>
      <c r="N644" s="151">
        <f>N104</f>
        <v>287720</v>
      </c>
      <c r="O644" s="151">
        <f>O104</f>
        <v>298109</v>
      </c>
      <c r="P644" s="151"/>
      <c r="Q644" s="706"/>
      <c r="R644" s="706"/>
      <c r="S644" s="706"/>
      <c r="T644" s="394"/>
      <c r="U644" s="394"/>
      <c r="V644" s="510"/>
    </row>
    <row r="645" spans="4:24" s="359" customFormat="1" ht="12.75" customHeight="1" thickBot="1" x14ac:dyDescent="0.3">
      <c r="D645" s="502" t="s">
        <v>938</v>
      </c>
      <c r="E645" s="502"/>
      <c r="F645" s="502"/>
      <c r="I645" s="510"/>
      <c r="J645" s="503"/>
      <c r="K645" s="1745">
        <v>392781.33999999997</v>
      </c>
      <c r="L645" s="1745">
        <f>SUM(L642:L644)</f>
        <v>406797</v>
      </c>
      <c r="M645" s="1745">
        <f>SUM(M642:M644)</f>
        <v>421593.5</v>
      </c>
      <c r="N645" s="1745">
        <f>SUM(N642:N644)</f>
        <v>436904</v>
      </c>
      <c r="O645" s="1745">
        <f>SUM(O642:O644)</f>
        <v>452813</v>
      </c>
      <c r="P645" s="503"/>
      <c r="Q645" s="706"/>
      <c r="R645" s="706"/>
      <c r="S645" s="706"/>
      <c r="T645" s="394"/>
      <c r="U645" s="394"/>
      <c r="V645" s="510"/>
    </row>
    <row r="646" spans="4:24" s="359" customFormat="1" ht="12.75" customHeight="1" thickTop="1" x14ac:dyDescent="0.25">
      <c r="D646" s="502"/>
      <c r="E646" s="502"/>
      <c r="F646" s="502"/>
      <c r="I646" s="510"/>
      <c r="J646" s="503"/>
      <c r="K646" s="503"/>
      <c r="L646" s="503"/>
      <c r="M646" s="503"/>
      <c r="N646" s="503"/>
      <c r="O646" s="503"/>
      <c r="P646" s="503"/>
      <c r="Q646" s="706"/>
      <c r="R646" s="706"/>
      <c r="S646" s="706"/>
      <c r="T646" s="394"/>
      <c r="U646" s="394"/>
      <c r="V646" s="510"/>
    </row>
    <row r="647" spans="4:24" s="359" customFormat="1" ht="12.75" customHeight="1" x14ac:dyDescent="0.25">
      <c r="D647" s="301"/>
      <c r="E647" s="301"/>
      <c r="F647" s="301"/>
      <c r="G647" s="301"/>
      <c r="H647" s="301"/>
      <c r="I647" s="114"/>
      <c r="J647" s="151"/>
      <c r="K647" s="151"/>
      <c r="L647" s="151"/>
      <c r="M647" s="151"/>
      <c r="N647" s="151"/>
      <c r="O647" s="151"/>
      <c r="P647" s="151"/>
      <c r="Q647" s="706"/>
      <c r="R647" s="706"/>
      <c r="S647" s="706"/>
      <c r="T647" s="394"/>
      <c r="U647" s="394"/>
      <c r="V647" s="510"/>
    </row>
    <row r="648" spans="4:24" s="359" customFormat="1" ht="12.75" customHeight="1" x14ac:dyDescent="0.25">
      <c r="D648" s="505" t="s">
        <v>939</v>
      </c>
      <c r="E648" s="396"/>
      <c r="F648" s="396"/>
      <c r="G648" s="301"/>
      <c r="H648" s="301"/>
      <c r="I648" s="114"/>
      <c r="J648" s="151"/>
      <c r="K648" s="151"/>
      <c r="L648" s="151"/>
      <c r="M648" s="151"/>
      <c r="N648" s="151"/>
      <c r="O648" s="151"/>
      <c r="P648" s="151"/>
      <c r="Q648" s="1646"/>
      <c r="S648" s="571" t="s">
        <v>940</v>
      </c>
      <c r="T648" s="571" t="s">
        <v>941</v>
      </c>
      <c r="U648" s="571" t="s">
        <v>942</v>
      </c>
      <c r="V648" s="571" t="s">
        <v>943</v>
      </c>
      <c r="W648" s="571" t="s">
        <v>944</v>
      </c>
      <c r="X648" s="2097" t="s">
        <v>5284</v>
      </c>
    </row>
    <row r="649" spans="4:24" s="359" customFormat="1" ht="12.75" customHeight="1" x14ac:dyDescent="0.3">
      <c r="D649" s="507" t="s">
        <v>945</v>
      </c>
      <c r="E649" s="115"/>
      <c r="F649" s="115"/>
      <c r="G649" s="115"/>
      <c r="H649" s="115"/>
      <c r="I649" s="508"/>
      <c r="J649" s="508"/>
      <c r="K649" s="508"/>
      <c r="L649" s="151"/>
      <c r="M649" s="151"/>
      <c r="N649" s="151"/>
      <c r="O649" s="151"/>
      <c r="P649" s="151"/>
      <c r="Q649" s="1348"/>
      <c r="S649" s="11"/>
      <c r="T649" s="1349"/>
      <c r="U649" s="1349"/>
      <c r="V649" s="1349"/>
      <c r="W649" s="1349"/>
      <c r="X649" s="2089"/>
    </row>
    <row r="650" spans="4:24" s="359" customFormat="1" ht="12.75" customHeight="1" x14ac:dyDescent="0.3">
      <c r="D650" s="115" t="s">
        <v>946</v>
      </c>
      <c r="E650" s="115"/>
      <c r="F650" s="115"/>
      <c r="G650" s="115"/>
      <c r="H650" s="115"/>
      <c r="J650" s="151"/>
      <c r="K650" s="151">
        <v>10668.056368234476</v>
      </c>
      <c r="L650" s="151">
        <f t="shared" ref="L650:O654" si="101">L$642*U650</f>
        <v>11606.485556001317</v>
      </c>
      <c r="M650" s="151">
        <f t="shared" si="101"/>
        <v>12697.859159705233</v>
      </c>
      <c r="N650" s="151">
        <f t="shared" si="101"/>
        <v>13843.528857650543</v>
      </c>
      <c r="O650" s="547">
        <f t="shared" si="101"/>
        <v>14355.761138103062</v>
      </c>
      <c r="P650" s="151"/>
      <c r="Q650" s="1348"/>
      <c r="S650" s="508">
        <v>0.10002862957699615</v>
      </c>
      <c r="T650" s="509">
        <v>9.0140015130011811E-2</v>
      </c>
      <c r="U650" s="509">
        <v>9.4116051248378754E-2</v>
      </c>
      <c r="V650" s="509">
        <v>9.9292008067508306E-2</v>
      </c>
      <c r="W650" s="509">
        <v>0.10438807427196223</v>
      </c>
      <c r="X650" s="2083">
        <v>0.10438807427196223</v>
      </c>
    </row>
    <row r="651" spans="4:24" s="359" customFormat="1" ht="12.75" customHeight="1" x14ac:dyDescent="0.3">
      <c r="D651" s="115" t="s">
        <v>947</v>
      </c>
      <c r="E651" s="115"/>
      <c r="F651" s="115"/>
      <c r="G651" s="115"/>
      <c r="H651" s="115"/>
      <c r="J651" s="151"/>
      <c r="K651" s="151">
        <v>258.94609189537908</v>
      </c>
      <c r="L651" s="151">
        <f t="shared" si="101"/>
        <v>268.94707178129306</v>
      </c>
      <c r="M651" s="151">
        <f t="shared" si="101"/>
        <v>277.99756092473399</v>
      </c>
      <c r="N651" s="151">
        <f t="shared" si="101"/>
        <v>287.34925077277319</v>
      </c>
      <c r="O651" s="547">
        <f t="shared" si="101"/>
        <v>297.98162374090674</v>
      </c>
      <c r="P651" s="151"/>
      <c r="Q651" s="1348"/>
      <c r="S651" s="508">
        <v>2.3306659189979155E-3</v>
      </c>
      <c r="T651" s="509">
        <v>2.1879716262850806E-3</v>
      </c>
      <c r="U651" s="509">
        <v>2.1808700203638722E-3</v>
      </c>
      <c r="V651" s="509">
        <v>2.1738259745138874E-3</v>
      </c>
      <c r="W651" s="509">
        <v>2.1667766391142334E-3</v>
      </c>
      <c r="X651" s="2083">
        <v>2.1667766391142334E-3</v>
      </c>
    </row>
    <row r="652" spans="4:24" s="359" customFormat="1" ht="12.75" customHeight="1" x14ac:dyDescent="0.3">
      <c r="D652" s="115" t="s">
        <v>948</v>
      </c>
      <c r="E652" s="115"/>
      <c r="F652" s="115"/>
      <c r="G652" s="115"/>
      <c r="H652" s="115"/>
      <c r="J652" s="151"/>
      <c r="K652" s="151">
        <v>20697.808889878521</v>
      </c>
      <c r="L652" s="151">
        <f t="shared" si="101"/>
        <v>21505.52102371171</v>
      </c>
      <c r="M652" s="151">
        <f t="shared" si="101"/>
        <v>22237.467180218351</v>
      </c>
      <c r="N652" s="151">
        <f t="shared" si="101"/>
        <v>22994.352719292925</v>
      </c>
      <c r="O652" s="547">
        <f t="shared" si="101"/>
        <v>23845.179835127896</v>
      </c>
      <c r="P652" s="151"/>
      <c r="Q652" s="1348"/>
      <c r="S652" s="508">
        <v>0.19135684371635128</v>
      </c>
      <c r="T652" s="509">
        <v>0.17488666558297436</v>
      </c>
      <c r="U652" s="509">
        <v>0.17438652803424973</v>
      </c>
      <c r="V652" s="509">
        <v>0.17388779816254066</v>
      </c>
      <c r="W652" s="509">
        <v>0.17339048621050948</v>
      </c>
      <c r="X652" s="2083">
        <v>0.17339048621050948</v>
      </c>
    </row>
    <row r="653" spans="4:24" s="359" customFormat="1" ht="12.75" customHeight="1" x14ac:dyDescent="0.3">
      <c r="D653" s="115" t="s">
        <v>949</v>
      </c>
      <c r="E653" s="115"/>
      <c r="F653" s="115"/>
      <c r="G653" s="115"/>
      <c r="H653" s="115"/>
      <c r="J653" s="151"/>
      <c r="K653" s="151">
        <v>25942.036084278458</v>
      </c>
      <c r="L653" s="151">
        <f t="shared" si="101"/>
        <v>27477.413921580443</v>
      </c>
      <c r="M653" s="151">
        <f t="shared" si="101"/>
        <v>27765.358681907092</v>
      </c>
      <c r="N653" s="151">
        <f t="shared" si="101"/>
        <v>28589.150544985114</v>
      </c>
      <c r="O653" s="547">
        <f t="shared" si="101"/>
        <v>29646.99395546531</v>
      </c>
      <c r="P653" s="151"/>
      <c r="Q653" s="1348"/>
      <c r="S653" s="508">
        <v>0.2538065744000943</v>
      </c>
      <c r="T653" s="509">
        <v>0.2191978973886104</v>
      </c>
      <c r="U653" s="509">
        <v>0.22281212381979096</v>
      </c>
      <c r="V653" s="509">
        <v>0.21711362392408035</v>
      </c>
      <c r="W653" s="509">
        <v>0.21557844110050908</v>
      </c>
      <c r="X653" s="2083">
        <v>0.21557844110050908</v>
      </c>
    </row>
    <row r="654" spans="4:24" s="359" customFormat="1" ht="12.75" customHeight="1" x14ac:dyDescent="0.3">
      <c r="D654" s="308" t="s">
        <v>950</v>
      </c>
      <c r="E654" s="115"/>
      <c r="F654" s="115"/>
      <c r="G654" s="115"/>
      <c r="H654" s="115"/>
      <c r="J654" s="151"/>
      <c r="K654" s="151">
        <v>3656.4201745987734</v>
      </c>
      <c r="L654" s="151">
        <f t="shared" si="101"/>
        <v>3794.1454053519892</v>
      </c>
      <c r="M654" s="151">
        <f t="shared" si="101"/>
        <v>3918.2508124984083</v>
      </c>
      <c r="N654" s="151">
        <f t="shared" si="101"/>
        <v>4046.541967545731</v>
      </c>
      <c r="O654" s="547">
        <f t="shared" si="101"/>
        <v>4196.2703670959127</v>
      </c>
      <c r="P654" s="151"/>
      <c r="Q654" s="1348"/>
      <c r="S654" s="508">
        <v>3.513702303285287E-2</v>
      </c>
      <c r="T654" s="509">
        <v>3.0895015782013507E-2</v>
      </c>
      <c r="U654" s="509">
        <v>3.0766417766252215E-2</v>
      </c>
      <c r="V654" s="509">
        <v>3.0639101158068314E-2</v>
      </c>
      <c r="W654" s="509">
        <v>3.051322591199954E-2</v>
      </c>
      <c r="X654" s="2083">
        <v>3.051322591199954E-2</v>
      </c>
    </row>
    <row r="655" spans="4:24" s="359" customFormat="1" ht="12.75" customHeight="1" x14ac:dyDescent="0.3">
      <c r="D655" s="308" t="s">
        <v>951</v>
      </c>
      <c r="E655" s="115"/>
      <c r="F655" s="115"/>
      <c r="G655" s="115"/>
      <c r="H655" s="115"/>
      <c r="J655" s="151"/>
      <c r="K655" s="151">
        <v>0</v>
      </c>
      <c r="L655" s="151">
        <v>0</v>
      </c>
      <c r="M655" s="151">
        <v>0</v>
      </c>
      <c r="N655" s="151">
        <v>0</v>
      </c>
      <c r="O655" s="547">
        <v>0</v>
      </c>
      <c r="P655" s="151"/>
      <c r="Q655" s="1348"/>
      <c r="S655" s="508">
        <v>0</v>
      </c>
      <c r="T655" s="509">
        <v>0</v>
      </c>
      <c r="U655" s="509">
        <v>0</v>
      </c>
      <c r="V655" s="509">
        <v>0</v>
      </c>
      <c r="W655" s="509">
        <v>0</v>
      </c>
      <c r="X655" s="2083">
        <v>0</v>
      </c>
    </row>
    <row r="656" spans="4:24" s="359" customFormat="1" ht="12.75" customHeight="1" x14ac:dyDescent="0.3">
      <c r="D656" s="308" t="s">
        <v>952</v>
      </c>
      <c r="E656" s="115"/>
      <c r="F656" s="115"/>
      <c r="G656" s="115"/>
      <c r="H656" s="115"/>
      <c r="J656" s="151"/>
      <c r="K656" s="151">
        <v>0</v>
      </c>
      <c r="L656" s="151">
        <v>0</v>
      </c>
      <c r="M656" s="151">
        <v>0</v>
      </c>
      <c r="N656" s="151">
        <v>0</v>
      </c>
      <c r="O656" s="547">
        <v>0</v>
      </c>
      <c r="P656" s="151"/>
      <c r="Q656" s="1348"/>
      <c r="S656" s="508">
        <v>0</v>
      </c>
      <c r="T656" s="509">
        <v>0</v>
      </c>
      <c r="U656" s="509">
        <v>0</v>
      </c>
      <c r="V656" s="509">
        <v>0</v>
      </c>
      <c r="W656" s="509">
        <v>0</v>
      </c>
      <c r="X656" s="2083">
        <v>0</v>
      </c>
    </row>
    <row r="657" spans="4:24" s="359" customFormat="1" ht="12.75" customHeight="1" x14ac:dyDescent="0.3">
      <c r="D657" s="308" t="s">
        <v>953</v>
      </c>
      <c r="E657" s="115"/>
      <c r="F657" s="115"/>
      <c r="G657" s="115"/>
      <c r="H657" s="115"/>
      <c r="J657" s="151"/>
      <c r="K657" s="151">
        <v>19608.134094357261</v>
      </c>
      <c r="L657" s="151">
        <f>L$642*U657</f>
        <v>18148.52152717784</v>
      </c>
      <c r="M657" s="151">
        <f>M$642*V657</f>
        <v>18820.046451511407</v>
      </c>
      <c r="N657" s="151">
        <f>N$642*W657</f>
        <v>19516.435791729666</v>
      </c>
      <c r="O657" s="547">
        <f>O$642*X657</f>
        <v>20238.574526347042</v>
      </c>
      <c r="P657" s="151"/>
      <c r="Q657" s="1348"/>
      <c r="S657" s="508">
        <v>0.15785132854527636</v>
      </c>
      <c r="T657" s="509">
        <v>0.16567943052865353</v>
      </c>
      <c r="U657" s="509">
        <v>0.14716489103378858</v>
      </c>
      <c r="V657" s="509">
        <v>0.14716498116661511</v>
      </c>
      <c r="W657" s="509">
        <v>0.14716501622526443</v>
      </c>
      <c r="X657" s="2083">
        <v>0.14716501622526443</v>
      </c>
    </row>
    <row r="658" spans="4:24" s="359" customFormat="1" ht="12.75" customHeight="1" x14ac:dyDescent="0.25">
      <c r="D658" s="115"/>
      <c r="E658" s="115"/>
      <c r="F658" s="115"/>
      <c r="G658" s="115"/>
      <c r="H658" s="115"/>
      <c r="L658" s="151"/>
      <c r="M658" s="151"/>
      <c r="N658" s="151"/>
      <c r="O658" s="547"/>
      <c r="P658" s="151"/>
      <c r="Q658" s="1348"/>
      <c r="S658" s="508"/>
      <c r="T658" s="508"/>
      <c r="U658" s="508"/>
      <c r="V658" s="508"/>
      <c r="W658" s="508"/>
      <c r="X658" s="2090"/>
    </row>
    <row r="659" spans="4:24" s="359" customFormat="1" ht="12.75" customHeight="1" x14ac:dyDescent="0.3">
      <c r="D659" s="507" t="s">
        <v>954</v>
      </c>
      <c r="E659" s="115"/>
      <c r="F659" s="115"/>
      <c r="G659" s="115"/>
      <c r="H659" s="115"/>
      <c r="L659" s="151"/>
      <c r="M659" s="151"/>
      <c r="N659" s="151"/>
      <c r="O659" s="547"/>
      <c r="P659" s="151"/>
      <c r="Q659" s="1348"/>
      <c r="S659" s="508"/>
      <c r="T659" s="508"/>
      <c r="U659" s="508"/>
      <c r="V659" s="508"/>
      <c r="W659" s="508"/>
      <c r="X659" s="2090"/>
    </row>
    <row r="660" spans="4:24" s="359" customFormat="1" ht="12.75" customHeight="1" x14ac:dyDescent="0.3">
      <c r="D660" s="115" t="s">
        <v>955</v>
      </c>
      <c r="E660" s="115"/>
      <c r="F660" s="115"/>
      <c r="G660" s="115"/>
      <c r="H660" s="115"/>
      <c r="J660" s="151"/>
      <c r="K660" s="151">
        <v>3818.3750620971514</v>
      </c>
      <c r="L660" s="151">
        <f t="shared" ref="L660:O661" si="102">L$642*U660</f>
        <v>5867.5411531182808</v>
      </c>
      <c r="M660" s="151">
        <f t="shared" si="102"/>
        <v>5832.5165167937166</v>
      </c>
      <c r="N660" s="151">
        <f t="shared" si="102"/>
        <v>5860.1164024168511</v>
      </c>
      <c r="O660" s="547">
        <f t="shared" si="102"/>
        <v>6076.9499005366824</v>
      </c>
      <c r="P660" s="151"/>
      <c r="Q660" s="1348"/>
      <c r="S660" s="508">
        <v>4.085646064597323E-2</v>
      </c>
      <c r="T660" s="509">
        <v>3.2263457746095403E-2</v>
      </c>
      <c r="U660" s="509">
        <v>4.7579415939850316E-2</v>
      </c>
      <c r="V660" s="509">
        <v>4.5607867417297838E-2</v>
      </c>
      <c r="W660" s="509">
        <v>4.4188607727701418E-2</v>
      </c>
      <c r="X660" s="2083">
        <v>4.4188607727701418E-2</v>
      </c>
    </row>
    <row r="661" spans="4:24" s="359" customFormat="1" ht="12.75" customHeight="1" x14ac:dyDescent="0.3">
      <c r="D661" s="115" t="s">
        <v>956</v>
      </c>
      <c r="E661" s="115"/>
      <c r="F661" s="115"/>
      <c r="G661" s="115"/>
      <c r="H661" s="115"/>
      <c r="J661" s="151"/>
      <c r="K661" s="151">
        <v>16601.739478885102</v>
      </c>
      <c r="L661" s="151">
        <f t="shared" si="102"/>
        <v>16669.154867437497</v>
      </c>
      <c r="M661" s="151">
        <f t="shared" si="102"/>
        <v>16691.787489480816</v>
      </c>
      <c r="N661" s="151">
        <f t="shared" si="102"/>
        <v>16661.201126599932</v>
      </c>
      <c r="O661" s="547">
        <f t="shared" si="102"/>
        <v>17277.69170034839</v>
      </c>
      <c r="P661" s="151"/>
      <c r="Q661" s="1348"/>
      <c r="S661" s="508">
        <v>0.16666163569987213</v>
      </c>
      <c r="T661" s="509">
        <v>0.14027682233355873</v>
      </c>
      <c r="U661" s="509">
        <v>0.13516882661864157</v>
      </c>
      <c r="V661" s="509">
        <v>0.13052287611805086</v>
      </c>
      <c r="W661" s="509">
        <v>0.12563492434246193</v>
      </c>
      <c r="X661" s="2083">
        <v>0.12563492434246193</v>
      </c>
    </row>
    <row r="662" spans="4:24" s="359" customFormat="1" ht="12.75" customHeight="1" x14ac:dyDescent="0.25">
      <c r="D662" s="411"/>
      <c r="E662" s="301"/>
      <c r="F662" s="301"/>
      <c r="I662" s="510"/>
      <c r="J662" s="151"/>
      <c r="K662" s="151"/>
      <c r="L662" s="151"/>
      <c r="M662" s="151"/>
      <c r="N662" s="151"/>
      <c r="O662" s="547"/>
      <c r="P662" s="151"/>
      <c r="Q662" s="1348"/>
      <c r="S662" s="12"/>
      <c r="T662" s="1647"/>
      <c r="U662" s="1647"/>
      <c r="V662" s="1647"/>
      <c r="W662" s="1647"/>
      <c r="X662" s="2140"/>
    </row>
    <row r="663" spans="4:24" s="359" customFormat="1" ht="12.75" customHeight="1" thickBot="1" x14ac:dyDescent="0.3">
      <c r="D663" s="301" t="s">
        <v>957</v>
      </c>
      <c r="E663" s="301"/>
      <c r="F663" s="301"/>
      <c r="I663" s="510"/>
      <c r="J663" s="503"/>
      <c r="K663" s="1745">
        <v>101251.51624422512</v>
      </c>
      <c r="L663" s="1745">
        <f>SUM(L649:L661)</f>
        <v>105337.73052616036</v>
      </c>
      <c r="M663" s="1745">
        <f>SUM(M649:M661)</f>
        <v>108241.28385303977</v>
      </c>
      <c r="N663" s="1745">
        <f>SUM(N649:N661)</f>
        <v>111798.67666099354</v>
      </c>
      <c r="O663" s="2110">
        <f>SUM(O649:O661)</f>
        <v>115935.40304676522</v>
      </c>
      <c r="P663" s="503"/>
      <c r="Q663" s="706"/>
      <c r="S663" s="706"/>
      <c r="T663" s="394"/>
      <c r="U663" s="706"/>
      <c r="V663" s="706"/>
      <c r="W663" s="706"/>
      <c r="X663" s="2141"/>
    </row>
    <row r="664" spans="4:24" s="359" customFormat="1" ht="12.75" customHeight="1" thickTop="1" x14ac:dyDescent="0.25">
      <c r="D664" s="301"/>
      <c r="E664" s="301"/>
      <c r="F664" s="301"/>
      <c r="I664" s="510"/>
      <c r="J664" s="503"/>
      <c r="K664" s="503"/>
      <c r="L664" s="503"/>
      <c r="M664" s="503"/>
      <c r="N664" s="503"/>
      <c r="O664" s="503"/>
      <c r="P664" s="503"/>
      <c r="Q664" s="1648" t="s">
        <v>958</v>
      </c>
      <c r="S664" s="1652">
        <f t="shared" ref="S664:X664" si="103">SUM(S650:S662)</f>
        <v>0.94802916153641426</v>
      </c>
      <c r="T664" s="1652">
        <f t="shared" si="103"/>
        <v>0.85552727611820278</v>
      </c>
      <c r="U664" s="1652">
        <f t="shared" si="103"/>
        <v>0.85417512448131605</v>
      </c>
      <c r="V664" s="1652">
        <f t="shared" si="103"/>
        <v>0.84640208198867528</v>
      </c>
      <c r="W664" s="1652">
        <f t="shared" si="103"/>
        <v>0.84302555242952237</v>
      </c>
      <c r="X664" s="2143">
        <f t="shared" si="103"/>
        <v>0.84302555242952237</v>
      </c>
    </row>
    <row r="665" spans="4:24" s="359" customFormat="1" ht="12.75" customHeight="1" x14ac:dyDescent="0.25">
      <c r="D665" s="301" t="s">
        <v>959</v>
      </c>
      <c r="E665" s="301"/>
      <c r="F665" s="301"/>
      <c r="I665" s="510"/>
      <c r="J665" s="503"/>
      <c r="K665" s="503">
        <v>392781.33999999997</v>
      </c>
      <c r="L665" s="503">
        <f>L645</f>
        <v>406797</v>
      </c>
      <c r="M665" s="503">
        <f>M645</f>
        <v>421593.5</v>
      </c>
      <c r="N665" s="503">
        <f>N645</f>
        <v>436904</v>
      </c>
      <c r="O665" s="503">
        <f>O645</f>
        <v>452813</v>
      </c>
      <c r="P665" s="503"/>
      <c r="Q665" s="706"/>
      <c r="S665" s="706"/>
      <c r="T665" s="706"/>
      <c r="U665" s="114"/>
      <c r="V665" s="114"/>
      <c r="W665" s="114"/>
    </row>
    <row r="666" spans="4:24" s="359" customFormat="1" ht="12.75" customHeight="1" x14ac:dyDescent="0.25">
      <c r="D666" s="301" t="s">
        <v>960</v>
      </c>
      <c r="E666" s="301"/>
      <c r="F666" s="301"/>
      <c r="I666" s="510"/>
      <c r="J666" s="503"/>
      <c r="K666" s="503">
        <v>101251.51624422512</v>
      </c>
      <c r="L666" s="503">
        <f t="shared" ref="L666:M666" si="104">L663</f>
        <v>105337.73052616036</v>
      </c>
      <c r="M666" s="503">
        <f t="shared" si="104"/>
        <v>108241.28385303977</v>
      </c>
      <c r="N666" s="503">
        <f t="shared" ref="N666:O666" si="105">N663</f>
        <v>111798.67666099354</v>
      </c>
      <c r="O666" s="503">
        <f t="shared" si="105"/>
        <v>115935.40304676522</v>
      </c>
      <c r="P666" s="503"/>
      <c r="Q666" s="706"/>
      <c r="R666" s="706"/>
      <c r="S666" s="706"/>
      <c r="T666" s="114"/>
      <c r="U666" s="114"/>
      <c r="V666" s="510"/>
      <c r="W666" s="510"/>
    </row>
    <row r="667" spans="4:24" s="359" customFormat="1" ht="12.75" customHeight="1" x14ac:dyDescent="0.25">
      <c r="D667" s="301" t="s">
        <v>961</v>
      </c>
      <c r="E667" s="301"/>
      <c r="F667" s="301"/>
      <c r="I667" s="510"/>
      <c r="J667" s="503"/>
      <c r="K667" s="511">
        <v>-464175.5</v>
      </c>
      <c r="L667" s="511">
        <f>L45</f>
        <v>-473936.5</v>
      </c>
      <c r="M667" s="511">
        <f>M45</f>
        <v>-484625</v>
      </c>
      <c r="N667" s="511">
        <f>N45</f>
        <v>-495845</v>
      </c>
      <c r="O667" s="511">
        <f>O45</f>
        <v>-507069</v>
      </c>
    </row>
    <row r="668" spans="4:24" s="359" customFormat="1" ht="12.75" customHeight="1" x14ac:dyDescent="0.25">
      <c r="D668" s="301"/>
      <c r="E668" s="301"/>
      <c r="F668" s="301"/>
      <c r="I668" s="510"/>
      <c r="J668" s="503"/>
      <c r="K668" s="503"/>
      <c r="L668" s="503"/>
      <c r="M668" s="503"/>
      <c r="N668" s="503"/>
      <c r="O668" s="503"/>
    </row>
    <row r="669" spans="4:24" s="359" customFormat="1" ht="12.75" customHeight="1" x14ac:dyDescent="0.25">
      <c r="D669" s="301"/>
      <c r="E669" s="301"/>
      <c r="F669" s="301"/>
      <c r="I669" s="510"/>
      <c r="J669" s="503"/>
      <c r="K669" s="503"/>
      <c r="L669" s="503"/>
      <c r="M669" s="503"/>
      <c r="N669" s="503"/>
      <c r="O669" s="503"/>
    </row>
    <row r="670" spans="4:24" s="359" customFormat="1" ht="12.75" customHeight="1" x14ac:dyDescent="0.25">
      <c r="D670" s="301" t="s">
        <v>962</v>
      </c>
      <c r="E670" s="301"/>
      <c r="F670" s="301"/>
      <c r="I670" s="510"/>
      <c r="J670" s="510"/>
      <c r="K670" s="510">
        <v>29857.356244225055</v>
      </c>
      <c r="L670" s="510">
        <f t="shared" ref="L670:M670" si="106">SUM(L665:L669)</f>
        <v>38198.230526160332</v>
      </c>
      <c r="M670" s="510">
        <f t="shared" si="106"/>
        <v>45209.783853039728</v>
      </c>
      <c r="N670" s="510">
        <f t="shared" ref="N670:O670" si="107">SUM(N665:N669)</f>
        <v>52857.676660993602</v>
      </c>
      <c r="O670" s="510">
        <f t="shared" si="107"/>
        <v>61679.403046765248</v>
      </c>
    </row>
    <row r="671" spans="4:24" s="359" customFormat="1" ht="12.75" customHeight="1" x14ac:dyDescent="0.25">
      <c r="D671" s="1282" t="s">
        <v>963</v>
      </c>
      <c r="E671" s="1282"/>
      <c r="F671" s="1282"/>
      <c r="G671" s="697"/>
      <c r="H671" s="697"/>
      <c r="I671" s="1653"/>
      <c r="J671" s="512"/>
      <c r="K671" s="1653">
        <v>0.93956402723655064</v>
      </c>
      <c r="L671" s="1653">
        <f t="shared" ref="L671:M671" si="108">IF((-L667/(L665+L666))&gt;0,-L667/(L665+L666),L667/(L665+L666))</f>
        <v>0.92541370805507372</v>
      </c>
      <c r="M671" s="1653">
        <f t="shared" si="108"/>
        <v>0.91467192183142965</v>
      </c>
      <c r="N671" s="1653">
        <f t="shared" ref="N671:O671" si="109">IF((-N667/(N665+N666))&gt;0,-N667/(N665+N666),N667/(N665+N666))</f>
        <v>0.9036679081234904</v>
      </c>
      <c r="O671" s="1653">
        <f t="shared" si="109"/>
        <v>0.89155239343732506</v>
      </c>
    </row>
    <row r="672" spans="4:24" s="359" customFormat="1" ht="12.75" customHeight="1" x14ac:dyDescent="0.25">
      <c r="D672" s="301"/>
      <c r="E672" s="301"/>
      <c r="F672" s="301"/>
      <c r="I672" s="512"/>
      <c r="J672" s="503"/>
      <c r="K672" s="503"/>
      <c r="L672" s="503"/>
      <c r="M672" s="503"/>
      <c r="N672" s="503"/>
      <c r="O672" s="503"/>
    </row>
    <row r="673" spans="4:24" s="359" customFormat="1" ht="12.75" customHeight="1" x14ac:dyDescent="0.25">
      <c r="D673" s="301"/>
      <c r="E673" s="301"/>
      <c r="F673" s="301"/>
      <c r="I673" s="512"/>
      <c r="J673" s="503"/>
      <c r="K673" s="503"/>
      <c r="L673" s="503"/>
      <c r="M673" s="503"/>
      <c r="N673" s="503"/>
      <c r="O673" s="503"/>
    </row>
    <row r="674" spans="4:24" s="359" customFormat="1" ht="12.75" customHeight="1" x14ac:dyDescent="0.25">
      <c r="D674" s="500" t="s">
        <v>966</v>
      </c>
      <c r="E674" s="500"/>
      <c r="F674" s="500"/>
      <c r="J674" s="609"/>
      <c r="K674" s="501">
        <v>2026</v>
      </c>
      <c r="L674" s="501">
        <v>2027</v>
      </c>
      <c r="M674" s="501">
        <v>2028</v>
      </c>
      <c r="N674" s="501">
        <v>2029</v>
      </c>
      <c r="O674" s="501">
        <v>2030</v>
      </c>
    </row>
    <row r="675" spans="4:24" s="359" customFormat="1" ht="12.75" customHeight="1" x14ac:dyDescent="0.25">
      <c r="D675" s="502"/>
      <c r="E675" s="502"/>
      <c r="F675" s="502"/>
      <c r="I675" s="510"/>
      <c r="J675" s="510"/>
      <c r="K675" s="510"/>
      <c r="L675" s="510"/>
      <c r="M675" s="510"/>
      <c r="N675" s="510"/>
      <c r="O675" s="510"/>
    </row>
    <row r="676" spans="4:24" s="359" customFormat="1" ht="12.75" customHeight="1" x14ac:dyDescent="0.25">
      <c r="D676" s="504" t="s">
        <v>935</v>
      </c>
      <c r="E676" s="504"/>
      <c r="F676" s="504"/>
      <c r="I676" s="510"/>
      <c r="J676" s="510"/>
      <c r="K676" s="510"/>
      <c r="L676" s="510"/>
      <c r="M676" s="510"/>
      <c r="N676" s="510"/>
      <c r="O676" s="510"/>
    </row>
    <row r="677" spans="4:24" s="359" customFormat="1" ht="12.75" customHeight="1" x14ac:dyDescent="0.25">
      <c r="D677" s="502" t="s">
        <v>936</v>
      </c>
      <c r="E677" s="502"/>
      <c r="F677" s="502"/>
      <c r="I677" s="510"/>
      <c r="J677" s="503"/>
      <c r="K677" s="503">
        <v>116735.24</v>
      </c>
      <c r="L677" s="503">
        <f t="shared" ref="L677:O678" si="110">L121</f>
        <v>121638</v>
      </c>
      <c r="M677" s="503">
        <f t="shared" si="110"/>
        <v>126139</v>
      </c>
      <c r="N677" s="503">
        <f t="shared" si="110"/>
        <v>130806</v>
      </c>
      <c r="O677" s="503">
        <f t="shared" si="110"/>
        <v>135646</v>
      </c>
    </row>
    <row r="678" spans="4:24" s="359" customFormat="1" ht="12.75" customHeight="1" x14ac:dyDescent="0.25">
      <c r="D678" s="502" t="s">
        <v>965</v>
      </c>
      <c r="E678" s="502"/>
      <c r="F678" s="502"/>
      <c r="I678" s="510"/>
      <c r="J678" s="503"/>
      <c r="K678" s="503">
        <v>7064</v>
      </c>
      <c r="L678" s="503">
        <f t="shared" si="110"/>
        <v>7361</v>
      </c>
      <c r="M678" s="503">
        <f t="shared" si="110"/>
        <v>7633</v>
      </c>
      <c r="N678" s="503">
        <f t="shared" si="110"/>
        <v>7915</v>
      </c>
      <c r="O678" s="503">
        <f t="shared" si="110"/>
        <v>8208</v>
      </c>
    </row>
    <row r="679" spans="4:24" s="359" customFormat="1" ht="12.75" customHeight="1" x14ac:dyDescent="0.25">
      <c r="D679" s="115" t="s">
        <v>937</v>
      </c>
      <c r="E679" s="115"/>
      <c r="F679" s="114"/>
      <c r="G679" s="114"/>
      <c r="H679" s="114"/>
      <c r="I679" s="114"/>
      <c r="J679" s="151"/>
      <c r="K679" s="151">
        <v>37540</v>
      </c>
      <c r="L679" s="151">
        <f>L115</f>
        <v>38311</v>
      </c>
      <c r="M679" s="151">
        <f>M115</f>
        <v>39102</v>
      </c>
      <c r="N679" s="151">
        <f>N115</f>
        <v>40098</v>
      </c>
      <c r="O679" s="151">
        <f>O115</f>
        <v>40298</v>
      </c>
    </row>
    <row r="680" spans="4:24" s="359" customFormat="1" ht="12.75" customHeight="1" thickBot="1" x14ac:dyDescent="0.3">
      <c r="D680" s="502" t="s">
        <v>938</v>
      </c>
      <c r="E680" s="502"/>
      <c r="F680" s="502"/>
      <c r="I680" s="510"/>
      <c r="J680" s="503"/>
      <c r="K680" s="1745">
        <v>161339.24</v>
      </c>
      <c r="L680" s="1745">
        <f>SUM(L677:L679)</f>
        <v>167310</v>
      </c>
      <c r="M680" s="1745">
        <f>SUM(M677:M679)</f>
        <v>172874</v>
      </c>
      <c r="N680" s="1745">
        <f>SUM(N677:N679)</f>
        <v>178819</v>
      </c>
      <c r="O680" s="1745">
        <f>SUM(O677:O679)</f>
        <v>184152</v>
      </c>
    </row>
    <row r="681" spans="4:24" s="359" customFormat="1" ht="12.75" customHeight="1" thickTop="1" x14ac:dyDescent="0.25">
      <c r="D681" s="502"/>
      <c r="E681" s="502"/>
      <c r="F681" s="502"/>
      <c r="I681" s="510"/>
      <c r="J681" s="503"/>
      <c r="K681" s="503"/>
      <c r="L681" s="503"/>
      <c r="M681" s="503"/>
      <c r="N681" s="503"/>
      <c r="O681" s="503"/>
    </row>
    <row r="682" spans="4:24" s="359" customFormat="1" ht="12.75" customHeight="1" x14ac:dyDescent="0.25">
      <c r="D682" s="301"/>
      <c r="E682" s="301"/>
      <c r="F682" s="301"/>
      <c r="G682" s="301"/>
      <c r="H682" s="301"/>
      <c r="I682" s="114"/>
      <c r="J682" s="151"/>
      <c r="K682" s="151"/>
      <c r="L682" s="151"/>
      <c r="M682" s="151"/>
      <c r="N682" s="151"/>
      <c r="O682" s="151"/>
    </row>
    <row r="683" spans="4:24" s="359" customFormat="1" ht="12.75" customHeight="1" x14ac:dyDescent="0.25">
      <c r="D683" s="505" t="s">
        <v>939</v>
      </c>
      <c r="E683" s="396"/>
      <c r="F683" s="396"/>
      <c r="G683" s="301"/>
      <c r="H683" s="301"/>
      <c r="I683" s="114"/>
      <c r="J683" s="151"/>
      <c r="K683" s="151"/>
      <c r="L683" s="151"/>
      <c r="M683" s="151"/>
      <c r="N683" s="151"/>
      <c r="O683" s="151"/>
      <c r="P683" s="151"/>
      <c r="Q683" s="1646"/>
      <c r="S683" s="571" t="s">
        <v>940</v>
      </c>
      <c r="T683" s="571" t="s">
        <v>941</v>
      </c>
      <c r="U683" s="571" t="s">
        <v>942</v>
      </c>
      <c r="V683" s="571" t="s">
        <v>943</v>
      </c>
      <c r="W683" s="571" t="s">
        <v>944</v>
      </c>
      <c r="X683" s="2097" t="s">
        <v>5284</v>
      </c>
    </row>
    <row r="684" spans="4:24" s="359" customFormat="1" ht="12.75" customHeight="1" x14ac:dyDescent="0.3">
      <c r="D684" s="507" t="s">
        <v>945</v>
      </c>
      <c r="E684" s="115"/>
      <c r="F684" s="115"/>
      <c r="G684" s="115"/>
      <c r="H684" s="115"/>
      <c r="I684" s="508"/>
      <c r="J684" s="508"/>
      <c r="K684" s="508"/>
      <c r="L684" s="151"/>
      <c r="M684" s="151"/>
      <c r="N684" s="151"/>
      <c r="O684" s="151"/>
      <c r="P684" s="151"/>
      <c r="Q684" s="1348"/>
      <c r="R684" s="11"/>
      <c r="S684" s="1349"/>
      <c r="T684" s="1349"/>
      <c r="U684" s="1349"/>
      <c r="V684" s="1654"/>
      <c r="W684" s="1654"/>
      <c r="X684" s="2144"/>
    </row>
    <row r="685" spans="4:24" s="359" customFormat="1" ht="12.75" customHeight="1" x14ac:dyDescent="0.3">
      <c r="D685" s="115" t="s">
        <v>946</v>
      </c>
      <c r="E685" s="115"/>
      <c r="F685" s="115"/>
      <c r="G685" s="115"/>
      <c r="H685" s="115"/>
      <c r="J685" s="151"/>
      <c r="K685" s="151">
        <v>10522.51629980556</v>
      </c>
      <c r="L685" s="151">
        <f t="shared" ref="L685:O689" si="111">L$677*U685</f>
        <v>11448.088241750294</v>
      </c>
      <c r="M685" s="151">
        <f t="shared" si="111"/>
        <v>12524.59460562743</v>
      </c>
      <c r="N685" s="151">
        <f t="shared" si="111"/>
        <v>13654.586443218292</v>
      </c>
      <c r="O685" s="547">
        <f t="shared" si="111"/>
        <v>14159.824722694588</v>
      </c>
      <c r="P685" s="151"/>
      <c r="Q685" s="1348"/>
      <c r="S685" s="508">
        <v>0.10002862957699615</v>
      </c>
      <c r="T685" s="509">
        <v>9.0140015130011811E-2</v>
      </c>
      <c r="U685" s="509">
        <v>9.4116051248378754E-2</v>
      </c>
      <c r="V685" s="509">
        <v>9.9292008067508306E-2</v>
      </c>
      <c r="W685" s="509">
        <v>0.10438807427196223</v>
      </c>
      <c r="X685" s="2083">
        <v>0.10438807427196223</v>
      </c>
    </row>
    <row r="686" spans="4:24" s="359" customFormat="1" ht="12.75" customHeight="1" x14ac:dyDescent="0.3">
      <c r="D686" s="115" t="s">
        <v>947</v>
      </c>
      <c r="E686" s="115"/>
      <c r="F686" s="115"/>
      <c r="G686" s="115"/>
      <c r="H686" s="115"/>
      <c r="J686" s="151"/>
      <c r="K686" s="151">
        <v>255.41339290757921</v>
      </c>
      <c r="L686" s="151">
        <f t="shared" si="111"/>
        <v>265.27666753702067</v>
      </c>
      <c r="M686" s="151">
        <f t="shared" si="111"/>
        <v>274.20423459920727</v>
      </c>
      <c r="N686" s="151">
        <f t="shared" si="111"/>
        <v>283.4273850559764</v>
      </c>
      <c r="O686" s="547">
        <f t="shared" si="111"/>
        <v>293.91458398928927</v>
      </c>
      <c r="P686" s="151"/>
      <c r="Q686" s="1348"/>
      <c r="S686" s="508">
        <v>2.3306659189979155E-3</v>
      </c>
      <c r="T686" s="509">
        <v>2.1879716262850806E-3</v>
      </c>
      <c r="U686" s="509">
        <v>2.1808700203638722E-3</v>
      </c>
      <c r="V686" s="509">
        <v>2.1738259745138874E-3</v>
      </c>
      <c r="W686" s="509">
        <v>2.1667766391142334E-3</v>
      </c>
      <c r="X686" s="2083">
        <v>2.1667766391142334E-3</v>
      </c>
    </row>
    <row r="687" spans="4:24" s="359" customFormat="1" ht="12.75" customHeight="1" x14ac:dyDescent="0.3">
      <c r="D687" s="115" t="s">
        <v>948</v>
      </c>
      <c r="E687" s="115"/>
      <c r="F687" s="115"/>
      <c r="G687" s="115"/>
      <c r="H687" s="115"/>
      <c r="J687" s="151"/>
      <c r="K687" s="151">
        <v>20415.436879628254</v>
      </c>
      <c r="L687" s="151">
        <f t="shared" si="111"/>
        <v>21212.028497030067</v>
      </c>
      <c r="M687" s="151">
        <f t="shared" si="111"/>
        <v>21934.032972424717</v>
      </c>
      <c r="N687" s="151">
        <f t="shared" si="111"/>
        <v>22680.515939251902</v>
      </c>
      <c r="O687" s="547">
        <f t="shared" si="111"/>
        <v>23519.725892510771</v>
      </c>
      <c r="P687" s="151"/>
      <c r="Q687" s="1348"/>
      <c r="S687" s="508">
        <v>0.19135684371635128</v>
      </c>
      <c r="T687" s="509">
        <v>0.17488666558297436</v>
      </c>
      <c r="U687" s="509">
        <v>0.17438652803424973</v>
      </c>
      <c r="V687" s="509">
        <v>0.17388779816254066</v>
      </c>
      <c r="W687" s="509">
        <v>0.17339048621050948</v>
      </c>
      <c r="X687" s="2083">
        <v>0.17339048621050948</v>
      </c>
    </row>
    <row r="688" spans="4:24" s="359" customFormat="1" ht="12.75" customHeight="1" x14ac:dyDescent="0.3">
      <c r="D688" s="115" t="s">
        <v>949</v>
      </c>
      <c r="E688" s="115"/>
      <c r="F688" s="115"/>
      <c r="G688" s="115"/>
      <c r="H688" s="115"/>
      <c r="J688" s="151"/>
      <c r="K688" s="151">
        <v>25588.119159154809</v>
      </c>
      <c r="L688" s="151">
        <f t="shared" si="111"/>
        <v>27102.421117191734</v>
      </c>
      <c r="M688" s="151">
        <f t="shared" si="111"/>
        <v>27386.495408159572</v>
      </c>
      <c r="N688" s="151">
        <f t="shared" si="111"/>
        <v>28198.953566593191</v>
      </c>
      <c r="O688" s="547">
        <f t="shared" si="111"/>
        <v>29242.353221519654</v>
      </c>
      <c r="P688" s="151"/>
      <c r="Q688" s="1348"/>
      <c r="S688" s="508">
        <v>0.2538065744000943</v>
      </c>
      <c r="T688" s="509">
        <v>0.2191978973886104</v>
      </c>
      <c r="U688" s="509">
        <v>0.22281212381979096</v>
      </c>
      <c r="V688" s="509">
        <v>0.21711362392408035</v>
      </c>
      <c r="W688" s="509">
        <v>0.21557844110050908</v>
      </c>
      <c r="X688" s="2083">
        <v>0.21557844110050908</v>
      </c>
    </row>
    <row r="689" spans="4:24" s="359" customFormat="1" ht="12.75" customHeight="1" x14ac:dyDescent="0.3">
      <c r="D689" s="308" t="s">
        <v>950</v>
      </c>
      <c r="E689" s="115"/>
      <c r="F689" s="115"/>
      <c r="G689" s="115"/>
      <c r="H689" s="115"/>
      <c r="J689" s="151"/>
      <c r="K689" s="151">
        <v>3606.5370821171346</v>
      </c>
      <c r="L689" s="151">
        <f t="shared" si="111"/>
        <v>3742.3655242513869</v>
      </c>
      <c r="M689" s="151">
        <f t="shared" si="111"/>
        <v>3864.7855809775792</v>
      </c>
      <c r="N689" s="151">
        <f t="shared" si="111"/>
        <v>3991.3130286450119</v>
      </c>
      <c r="O689" s="547">
        <f t="shared" si="111"/>
        <v>4138.9970420590898</v>
      </c>
      <c r="P689" s="151"/>
      <c r="Q689" s="1348"/>
      <c r="S689" s="508">
        <v>3.513702303285287E-2</v>
      </c>
      <c r="T689" s="509">
        <v>3.0895015782013507E-2</v>
      </c>
      <c r="U689" s="509">
        <v>3.0766417766252215E-2</v>
      </c>
      <c r="V689" s="509">
        <v>3.0639101158068314E-2</v>
      </c>
      <c r="W689" s="509">
        <v>3.051322591199954E-2</v>
      </c>
      <c r="X689" s="2083">
        <v>3.051322591199954E-2</v>
      </c>
    </row>
    <row r="690" spans="4:24" s="359" customFormat="1" ht="12.75" customHeight="1" x14ac:dyDescent="0.3">
      <c r="D690" s="308" t="s">
        <v>951</v>
      </c>
      <c r="E690" s="115"/>
      <c r="F690" s="115"/>
      <c r="G690" s="115"/>
      <c r="H690" s="115"/>
      <c r="J690" s="151"/>
      <c r="K690" s="151">
        <v>0</v>
      </c>
      <c r="L690" s="151">
        <v>0</v>
      </c>
      <c r="M690" s="151">
        <v>0</v>
      </c>
      <c r="N690" s="151">
        <v>0</v>
      </c>
      <c r="O690" s="547">
        <v>0</v>
      </c>
      <c r="P690" s="151"/>
      <c r="Q690" s="1348"/>
      <c r="S690" s="508">
        <v>0</v>
      </c>
      <c r="T690" s="509">
        <v>0</v>
      </c>
      <c r="U690" s="509">
        <v>0</v>
      </c>
      <c r="V690" s="509">
        <v>0</v>
      </c>
      <c r="W690" s="509">
        <v>0</v>
      </c>
      <c r="X690" s="2083">
        <v>0</v>
      </c>
    </row>
    <row r="691" spans="4:24" s="359" customFormat="1" ht="12.75" customHeight="1" x14ac:dyDescent="0.3">
      <c r="D691" s="308" t="s">
        <v>952</v>
      </c>
      <c r="E691" s="115"/>
      <c r="F691" s="115"/>
      <c r="G691" s="115"/>
      <c r="H691" s="115"/>
      <c r="J691" s="151"/>
      <c r="K691" s="151">
        <v>0</v>
      </c>
      <c r="L691" s="151">
        <v>0</v>
      </c>
      <c r="M691" s="151">
        <v>0</v>
      </c>
      <c r="N691" s="151">
        <v>0</v>
      </c>
      <c r="O691" s="547">
        <v>0</v>
      </c>
      <c r="P691" s="151"/>
      <c r="Q691" s="1348"/>
      <c r="S691" s="508">
        <v>0</v>
      </c>
      <c r="T691" s="509">
        <v>0</v>
      </c>
      <c r="U691" s="509">
        <v>0</v>
      </c>
      <c r="V691" s="509">
        <v>0</v>
      </c>
      <c r="W691" s="509">
        <v>0</v>
      </c>
      <c r="X691" s="2083">
        <v>0</v>
      </c>
    </row>
    <row r="692" spans="4:24" s="359" customFormat="1" ht="12.75" customHeight="1" x14ac:dyDescent="0.3">
      <c r="D692" s="308" t="s">
        <v>953</v>
      </c>
      <c r="E692" s="115"/>
      <c r="F692" s="115"/>
      <c r="G692" s="115"/>
      <c r="H692" s="115"/>
      <c r="J692" s="151"/>
      <c r="K692" s="151">
        <v>19340.628085825698</v>
      </c>
      <c r="L692" s="151">
        <f>L$677*U692</f>
        <v>17900.843015567974</v>
      </c>
      <c r="M692" s="151">
        <f>M$677*V692</f>
        <v>18563.243559375664</v>
      </c>
      <c r="N692" s="151">
        <f>N$677*W692</f>
        <v>19250.06711236194</v>
      </c>
      <c r="O692" s="547">
        <f>O$677*X692</f>
        <v>19962.345790892217</v>
      </c>
      <c r="P692" s="151"/>
      <c r="Q692" s="1348"/>
      <c r="S692" s="508">
        <v>0.15785132854527636</v>
      </c>
      <c r="T692" s="509">
        <v>0.16567943052865353</v>
      </c>
      <c r="U692" s="509">
        <v>0.14716489103378858</v>
      </c>
      <c r="V692" s="509">
        <v>0.14716498116661511</v>
      </c>
      <c r="W692" s="509">
        <v>0.14716501622526443</v>
      </c>
      <c r="X692" s="2083">
        <v>0.14716501622526443</v>
      </c>
    </row>
    <row r="693" spans="4:24" s="359" customFormat="1" ht="12.75" customHeight="1" x14ac:dyDescent="0.25">
      <c r="D693" s="115"/>
      <c r="E693" s="115"/>
      <c r="F693" s="115"/>
      <c r="G693" s="115"/>
      <c r="H693" s="115"/>
      <c r="L693" s="151"/>
      <c r="M693" s="151"/>
      <c r="N693" s="151"/>
      <c r="O693" s="547"/>
      <c r="P693" s="151"/>
      <c r="Q693" s="1348"/>
      <c r="S693" s="508"/>
      <c r="T693" s="508"/>
      <c r="U693" s="508"/>
      <c r="V693" s="508"/>
      <c r="W693" s="508"/>
      <c r="X693" s="2090"/>
    </row>
    <row r="694" spans="4:24" s="359" customFormat="1" ht="12.75" customHeight="1" x14ac:dyDescent="0.3">
      <c r="D694" s="507" t="s">
        <v>954</v>
      </c>
      <c r="E694" s="115"/>
      <c r="F694" s="115"/>
      <c r="G694" s="115"/>
      <c r="H694" s="115"/>
      <c r="L694" s="151"/>
      <c r="M694" s="151"/>
      <c r="N694" s="151"/>
      <c r="O694" s="547"/>
      <c r="P694" s="151"/>
      <c r="Q694" s="1348"/>
      <c r="S694" s="508"/>
      <c r="T694" s="508"/>
      <c r="U694" s="508"/>
      <c r="V694" s="508"/>
      <c r="W694" s="508"/>
      <c r="X694" s="2090"/>
    </row>
    <row r="695" spans="4:24" s="359" customFormat="1" ht="12.75" customHeight="1" x14ac:dyDescent="0.3">
      <c r="D695" s="115" t="s">
        <v>955</v>
      </c>
      <c r="E695" s="115"/>
      <c r="F695" s="115"/>
      <c r="G695" s="115"/>
      <c r="H695" s="115"/>
      <c r="J695" s="151"/>
      <c r="K695" s="151">
        <v>3766.2824832203059</v>
      </c>
      <c r="L695" s="151">
        <f>L$677*U695</f>
        <v>5787.4649960915131</v>
      </c>
      <c r="M695" s="151">
        <f>M$677*V695</f>
        <v>5752.930788150532</v>
      </c>
      <c r="N695" s="151">
        <f>N$677*W695</f>
        <v>5780.1350224297121</v>
      </c>
      <c r="O695" s="547">
        <f>O$677*X695</f>
        <v>5994.0078838317868</v>
      </c>
      <c r="P695" s="151"/>
      <c r="Q695" s="1348"/>
      <c r="S695" s="508">
        <v>4.085646064597323E-2</v>
      </c>
      <c r="T695" s="509">
        <v>3.2263457746095403E-2</v>
      </c>
      <c r="U695" s="509">
        <v>4.7579415939850316E-2</v>
      </c>
      <c r="V695" s="509">
        <v>4.5607867417297838E-2</v>
      </c>
      <c r="W695" s="509">
        <v>4.4188607727701418E-2</v>
      </c>
      <c r="X695" s="2083">
        <v>4.4188607727701418E-2</v>
      </c>
    </row>
    <row r="696" spans="4:24" s="359" customFormat="1" ht="12.75" customHeight="1" x14ac:dyDescent="0.3">
      <c r="D696" s="115" t="s">
        <v>956</v>
      </c>
      <c r="E696" s="115"/>
      <c r="F696" s="115"/>
      <c r="G696" s="115"/>
      <c r="H696" s="115"/>
      <c r="J696" s="151"/>
      <c r="K696" s="151">
        <v>16375.24852154534</v>
      </c>
      <c r="L696" s="151">
        <f>L$677*U661</f>
        <v>16441.665732238325</v>
      </c>
      <c r="M696" s="151">
        <f>M$677*V661</f>
        <v>16464.025070654818</v>
      </c>
      <c r="N696" s="151">
        <f>N$677*W661</f>
        <v>16433.801913540075</v>
      </c>
      <c r="O696" s="547">
        <f>O$677*X661</f>
        <v>17041.874947357592</v>
      </c>
      <c r="P696" s="151"/>
      <c r="Q696" s="1348"/>
      <c r="S696" s="508">
        <v>0.16666163569987213</v>
      </c>
      <c r="T696" s="509">
        <v>0.14027682233355873</v>
      </c>
      <c r="U696" s="509">
        <v>0.13516882661864157</v>
      </c>
      <c r="V696" s="509">
        <v>0.13052287611805086</v>
      </c>
      <c r="W696" s="509">
        <v>0.12563492434246193</v>
      </c>
      <c r="X696" s="2083">
        <v>0.12563492434246193</v>
      </c>
    </row>
    <row r="697" spans="4:24" s="359" customFormat="1" ht="12.75" customHeight="1" x14ac:dyDescent="0.25">
      <c r="D697" s="115"/>
      <c r="E697" s="115"/>
      <c r="F697" s="115"/>
      <c r="G697" s="115"/>
      <c r="H697" s="115"/>
      <c r="L697" s="151"/>
      <c r="M697" s="151"/>
      <c r="N697" s="151"/>
      <c r="O697" s="547"/>
      <c r="P697" s="151"/>
      <c r="Q697" s="1348"/>
      <c r="R697" s="508"/>
      <c r="S697" s="1357"/>
      <c r="T697" s="1357"/>
      <c r="U697" s="1357"/>
      <c r="V697" s="1655"/>
      <c r="W697" s="1655"/>
      <c r="X697" s="2145"/>
    </row>
    <row r="698" spans="4:24" s="359" customFormat="1" ht="12.75" customHeight="1" thickBot="1" x14ac:dyDescent="0.3">
      <c r="D698" s="301" t="s">
        <v>957</v>
      </c>
      <c r="E698" s="301"/>
      <c r="F698" s="301"/>
      <c r="I698" s="510"/>
      <c r="J698" s="503"/>
      <c r="K698" s="1745">
        <v>99870.18190420467</v>
      </c>
      <c r="L698" s="1745">
        <f>SUM(L684:L697)</f>
        <v>103900.1537916583</v>
      </c>
      <c r="M698" s="1745">
        <f>SUM(M684:M697)</f>
        <v>106764.31221996952</v>
      </c>
      <c r="N698" s="1745">
        <f>SUM(N684:N697)</f>
        <v>110272.8004110961</v>
      </c>
      <c r="O698" s="2110">
        <f>SUM(O684:O697)</f>
        <v>114353.04408485496</v>
      </c>
      <c r="P698" s="503"/>
      <c r="Q698" s="706"/>
      <c r="S698" s="706"/>
      <c r="T698" s="394"/>
      <c r="U698" s="706"/>
      <c r="V698" s="706"/>
      <c r="W698" s="706"/>
      <c r="X698" s="2141"/>
    </row>
    <row r="699" spans="4:24" s="359" customFormat="1" ht="12.75" customHeight="1" thickTop="1" x14ac:dyDescent="0.25">
      <c r="D699" s="301"/>
      <c r="E699" s="301"/>
      <c r="F699" s="301"/>
      <c r="I699" s="510"/>
      <c r="J699" s="503"/>
      <c r="K699" s="503"/>
      <c r="L699" s="503"/>
      <c r="M699" s="503"/>
      <c r="N699" s="503"/>
      <c r="O699" s="503"/>
      <c r="P699" s="503"/>
      <c r="Q699" s="1648" t="s">
        <v>958</v>
      </c>
      <c r="S699" s="1649">
        <f t="shared" ref="S699:X699" si="112">SUM(S685:S697)</f>
        <v>0.94802916153641426</v>
      </c>
      <c r="T699" s="1649">
        <f t="shared" si="112"/>
        <v>0.85552727611820278</v>
      </c>
      <c r="U699" s="1649">
        <f t="shared" si="112"/>
        <v>0.85417512448131605</v>
      </c>
      <c r="V699" s="1649">
        <f t="shared" si="112"/>
        <v>0.84640208198867528</v>
      </c>
      <c r="W699" s="1649">
        <f t="shared" si="112"/>
        <v>0.84302555242952237</v>
      </c>
      <c r="X699" s="2142">
        <f t="shared" si="112"/>
        <v>0.84302555242952237</v>
      </c>
    </row>
    <row r="700" spans="4:24" s="359" customFormat="1" ht="12.75" customHeight="1" x14ac:dyDescent="0.25">
      <c r="D700" s="301" t="s">
        <v>959</v>
      </c>
      <c r="E700" s="301"/>
      <c r="F700" s="301"/>
      <c r="I700" s="510"/>
      <c r="J700" s="503"/>
      <c r="K700" s="503">
        <v>161339.24</v>
      </c>
      <c r="L700" s="503">
        <f>L680</f>
        <v>167310</v>
      </c>
      <c r="M700" s="503">
        <f>M680</f>
        <v>172874</v>
      </c>
      <c r="N700" s="503">
        <f>N680</f>
        <v>178819</v>
      </c>
      <c r="O700" s="503">
        <f>O680</f>
        <v>184152</v>
      </c>
      <c r="P700" s="503"/>
      <c r="Q700" s="706"/>
      <c r="R700" s="706"/>
      <c r="S700" s="706"/>
      <c r="T700" s="114"/>
      <c r="U700" s="114"/>
      <c r="V700" s="510"/>
      <c r="W700" s="510"/>
    </row>
    <row r="701" spans="4:24" s="359" customFormat="1" ht="12.75" customHeight="1" x14ac:dyDescent="0.25">
      <c r="D701" s="301" t="s">
        <v>960</v>
      </c>
      <c r="E701" s="301"/>
      <c r="F701" s="301"/>
      <c r="I701" s="510"/>
      <c r="J701" s="503"/>
      <c r="K701" s="503">
        <v>99870.18190420467</v>
      </c>
      <c r="L701" s="503">
        <f t="shared" ref="L701:M701" si="113">L698</f>
        <v>103900.1537916583</v>
      </c>
      <c r="M701" s="503">
        <f t="shared" si="113"/>
        <v>106764.31221996952</v>
      </c>
      <c r="N701" s="503">
        <f t="shared" ref="N701:O701" si="114">N698</f>
        <v>110272.8004110961</v>
      </c>
      <c r="O701" s="503">
        <f t="shared" si="114"/>
        <v>114353.04408485496</v>
      </c>
      <c r="P701" s="503"/>
      <c r="Q701" s="706"/>
      <c r="R701" s="706"/>
      <c r="S701" s="706"/>
      <c r="T701" s="114"/>
      <c r="U701" s="114"/>
      <c r="V701" s="510"/>
    </row>
    <row r="702" spans="4:24" s="359" customFormat="1" ht="12.75" customHeight="1" x14ac:dyDescent="0.25">
      <c r="D702" s="301" t="s">
        <v>961</v>
      </c>
      <c r="E702" s="301"/>
      <c r="F702" s="301"/>
      <c r="I702" s="510"/>
      <c r="J702" s="503"/>
      <c r="K702" s="511">
        <v>-112340</v>
      </c>
      <c r="L702" s="511">
        <f>L46</f>
        <v>-114711</v>
      </c>
      <c r="M702" s="511">
        <f>M46</f>
        <v>-117302</v>
      </c>
      <c r="N702" s="511">
        <f>N46</f>
        <v>-120098</v>
      </c>
      <c r="O702" s="511">
        <f>O46</f>
        <v>-122898</v>
      </c>
      <c r="P702" s="503"/>
      <c r="Q702" s="706"/>
      <c r="R702" s="706"/>
      <c r="S702" s="706"/>
      <c r="T702" s="114"/>
      <c r="U702" s="114"/>
      <c r="V702" s="510"/>
    </row>
    <row r="703" spans="4:24" s="359" customFormat="1" ht="12.75" customHeight="1" x14ac:dyDescent="0.25">
      <c r="D703" s="301"/>
      <c r="E703" s="301"/>
      <c r="F703" s="301"/>
      <c r="I703" s="510"/>
      <c r="J703" s="503"/>
      <c r="K703" s="503"/>
      <c r="L703" s="503"/>
      <c r="M703" s="503"/>
      <c r="N703" s="503"/>
      <c r="O703" s="503"/>
      <c r="P703" s="503"/>
      <c r="Q703" s="706"/>
      <c r="R703" s="706"/>
      <c r="S703" s="706"/>
      <c r="T703" s="114"/>
      <c r="U703" s="114"/>
      <c r="V703" s="510"/>
    </row>
    <row r="704" spans="4:24" s="359" customFormat="1" ht="12.75" customHeight="1" x14ac:dyDescent="0.25">
      <c r="D704" s="301"/>
      <c r="E704" s="301"/>
      <c r="F704" s="301"/>
      <c r="I704" s="510"/>
      <c r="J704" s="503"/>
      <c r="K704" s="503"/>
      <c r="L704" s="503"/>
      <c r="M704" s="503"/>
      <c r="N704" s="503"/>
      <c r="O704" s="503"/>
      <c r="P704" s="503"/>
      <c r="Q704" s="706"/>
      <c r="R704" s="706"/>
      <c r="S704" s="706"/>
      <c r="T704" s="114"/>
      <c r="U704" s="114"/>
      <c r="V704" s="510"/>
    </row>
    <row r="705" spans="4:24" s="359" customFormat="1" ht="12.75" customHeight="1" x14ac:dyDescent="0.25">
      <c r="D705" s="301" t="s">
        <v>962</v>
      </c>
      <c r="E705" s="301"/>
      <c r="F705" s="301"/>
      <c r="I705" s="510"/>
      <c r="J705" s="510"/>
      <c r="K705" s="510">
        <v>148869.42190420465</v>
      </c>
      <c r="L705" s="510">
        <f t="shared" ref="L705:M705" si="115">SUM(L700:L704)</f>
        <v>156499.15379165829</v>
      </c>
      <c r="M705" s="510">
        <f t="shared" si="115"/>
        <v>162336.31221996952</v>
      </c>
      <c r="N705" s="510">
        <f t="shared" ref="N705:O705" si="116">SUM(N700:N704)</f>
        <v>168993.80041109608</v>
      </c>
      <c r="O705" s="510">
        <f t="shared" si="116"/>
        <v>175607.04408485495</v>
      </c>
      <c r="P705" s="510"/>
      <c r="Q705" s="706"/>
      <c r="R705" s="706"/>
      <c r="S705" s="706"/>
      <c r="T705" s="114"/>
      <c r="U705" s="114"/>
      <c r="V705" s="510"/>
    </row>
    <row r="706" spans="4:24" s="359" customFormat="1" ht="12.75" customHeight="1" x14ac:dyDescent="0.25">
      <c r="D706" s="301" t="s">
        <v>963</v>
      </c>
      <c r="E706" s="301"/>
      <c r="F706" s="301"/>
      <c r="I706" s="512"/>
      <c r="J706" s="512"/>
      <c r="K706" s="512">
        <v>0.43007637006753652</v>
      </c>
      <c r="L706" s="512">
        <f t="shared" ref="L706:M706" si="117">IF((-L702/(L700+L701))&gt;0,-L702/(L700+L701),L702/(L700+L701))</f>
        <v>0.42295982800157317</v>
      </c>
      <c r="M706" s="512">
        <f t="shared" si="117"/>
        <v>0.41947757111238648</v>
      </c>
      <c r="N706" s="512">
        <f t="shared" ref="N706:O706" si="118">IF((-N702/(N700+N701))&gt;0,-N702/(N700+N701),N702/(N700+N701))</f>
        <v>0.4154320524802762</v>
      </c>
      <c r="O706" s="512">
        <f t="shared" si="118"/>
        <v>0.41171163581766557</v>
      </c>
      <c r="P706" s="512"/>
      <c r="Q706" s="706"/>
      <c r="R706" s="706"/>
      <c r="S706" s="706"/>
      <c r="T706" s="114"/>
      <c r="U706" s="114"/>
      <c r="V706" s="510"/>
    </row>
    <row r="707" spans="4:24" ht="12.75" customHeight="1" x14ac:dyDescent="0.25">
      <c r="F707" s="301"/>
      <c r="Q707" s="706"/>
      <c r="R707" s="706"/>
      <c r="S707" s="706"/>
      <c r="T707" s="114"/>
      <c r="U707" s="114"/>
      <c r="V707" s="114"/>
      <c r="W707" s="508"/>
    </row>
    <row r="708" spans="4:24" ht="12.75" customHeight="1" x14ac:dyDescent="0.25">
      <c r="F708" s="301"/>
      <c r="Q708" s="706"/>
      <c r="R708" s="706"/>
      <c r="S708" s="706"/>
      <c r="T708" s="114"/>
      <c r="U708" s="114"/>
      <c r="V708" s="114"/>
      <c r="W708" s="508"/>
    </row>
    <row r="709" spans="4:24" s="359" customFormat="1" ht="12.75" customHeight="1" x14ac:dyDescent="0.25">
      <c r="D709" s="500" t="s">
        <v>967</v>
      </c>
      <c r="E709" s="500"/>
      <c r="F709" s="500"/>
      <c r="J709" s="609"/>
      <c r="K709" s="501">
        <v>2026</v>
      </c>
      <c r="L709" s="501">
        <v>2027</v>
      </c>
      <c r="M709" s="501">
        <v>2028</v>
      </c>
      <c r="N709" s="501">
        <v>2029</v>
      </c>
      <c r="O709" s="501">
        <v>2030</v>
      </c>
      <c r="P709" s="609"/>
      <c r="Q709" s="394"/>
      <c r="R709" s="706"/>
      <c r="S709" s="706"/>
      <c r="T709" s="706"/>
      <c r="U709" s="706"/>
      <c r="V709" s="510"/>
    </row>
    <row r="710" spans="4:24" s="359" customFormat="1" ht="12.75" customHeight="1" x14ac:dyDescent="0.25">
      <c r="D710" s="502"/>
      <c r="E710" s="502"/>
      <c r="F710" s="502"/>
      <c r="I710" s="510"/>
      <c r="J710" s="510"/>
      <c r="K710" s="510"/>
      <c r="L710" s="510"/>
      <c r="M710" s="510"/>
      <c r="N710" s="510"/>
      <c r="O710" s="510"/>
      <c r="P710" s="510"/>
      <c r="Q710" s="706"/>
      <c r="R710" s="706"/>
      <c r="S710" s="706"/>
      <c r="T710" s="394"/>
      <c r="U710" s="394"/>
      <c r="V710" s="510"/>
    </row>
    <row r="711" spans="4:24" s="359" customFormat="1" ht="12.75" customHeight="1" x14ac:dyDescent="0.25">
      <c r="D711" s="504" t="s">
        <v>935</v>
      </c>
      <c r="E711" s="504"/>
      <c r="F711" s="504"/>
      <c r="I711" s="510"/>
      <c r="J711" s="510"/>
      <c r="K711" s="510"/>
      <c r="L711" s="510"/>
      <c r="M711" s="510"/>
      <c r="N711" s="510"/>
      <c r="O711" s="510"/>
      <c r="P711" s="510"/>
      <c r="Q711" s="706"/>
      <c r="R711" s="706"/>
      <c r="S711" s="706"/>
      <c r="T711" s="394"/>
      <c r="U711" s="394"/>
      <c r="V711" s="510"/>
    </row>
    <row r="712" spans="4:24" s="359" customFormat="1" ht="12.75" customHeight="1" x14ac:dyDescent="0.25">
      <c r="D712" s="502" t="s">
        <v>936</v>
      </c>
      <c r="E712" s="502"/>
      <c r="F712" s="502"/>
      <c r="I712" s="510"/>
      <c r="J712" s="503"/>
      <c r="K712" s="503">
        <v>119739.37</v>
      </c>
      <c r="L712" s="503">
        <f t="shared" ref="L712:O713" si="119">L127</f>
        <v>124768</v>
      </c>
      <c r="M712" s="503">
        <f t="shared" si="119"/>
        <v>129384</v>
      </c>
      <c r="N712" s="503">
        <f t="shared" si="119"/>
        <v>134171</v>
      </c>
      <c r="O712" s="503">
        <f t="shared" si="119"/>
        <v>139135</v>
      </c>
      <c r="P712" s="503"/>
      <c r="Q712" s="706"/>
      <c r="R712" s="706"/>
      <c r="S712" s="706"/>
      <c r="T712" s="394"/>
      <c r="U712" s="394"/>
      <c r="V712" s="510"/>
    </row>
    <row r="713" spans="4:24" s="359" customFormat="1" ht="12.75" customHeight="1" x14ac:dyDescent="0.25">
      <c r="D713" s="502" t="s">
        <v>965</v>
      </c>
      <c r="E713" s="502"/>
      <c r="F713" s="502"/>
      <c r="I713" s="510"/>
      <c r="J713" s="503"/>
      <c r="K713" s="503">
        <v>144474</v>
      </c>
      <c r="L713" s="503">
        <f t="shared" si="119"/>
        <v>147508</v>
      </c>
      <c r="M713" s="503">
        <f t="shared" si="119"/>
        <v>150901</v>
      </c>
      <c r="N713" s="503">
        <f t="shared" si="119"/>
        <v>154372</v>
      </c>
      <c r="O713" s="503">
        <f t="shared" si="119"/>
        <v>157923</v>
      </c>
      <c r="P713" s="503"/>
      <c r="Q713" s="706"/>
      <c r="R713" s="706"/>
      <c r="S713" s="706"/>
      <c r="T713" s="394"/>
      <c r="U713" s="394"/>
      <c r="V713" s="510"/>
    </row>
    <row r="714" spans="4:24" s="359" customFormat="1" ht="12.75" customHeight="1" x14ac:dyDescent="0.25">
      <c r="D714" s="115" t="s">
        <v>937</v>
      </c>
      <c r="E714" s="115"/>
      <c r="F714" s="114"/>
      <c r="G714" s="114"/>
      <c r="H714" s="114"/>
      <c r="I714" s="114"/>
      <c r="J714" s="151"/>
      <c r="K714" s="151">
        <v>0</v>
      </c>
      <c r="L714" s="151">
        <v>0</v>
      </c>
      <c r="M714" s="151">
        <v>0</v>
      </c>
      <c r="N714" s="151">
        <v>0</v>
      </c>
      <c r="O714" s="151">
        <v>0</v>
      </c>
      <c r="P714" s="151"/>
      <c r="Q714" s="706"/>
      <c r="R714" s="706"/>
      <c r="S714" s="706"/>
      <c r="T714" s="394"/>
      <c r="U714" s="394"/>
      <c r="V714" s="510"/>
    </row>
    <row r="715" spans="4:24" s="359" customFormat="1" ht="12.75" customHeight="1" thickBot="1" x14ac:dyDescent="0.3">
      <c r="D715" s="502" t="s">
        <v>938</v>
      </c>
      <c r="E715" s="502"/>
      <c r="F715" s="502"/>
      <c r="I715" s="510"/>
      <c r="J715" s="503"/>
      <c r="K715" s="1745">
        <v>264213.37</v>
      </c>
      <c r="L715" s="1745">
        <f>SUM(L712:L714)</f>
        <v>272276</v>
      </c>
      <c r="M715" s="1745">
        <f>SUM(M712:M714)</f>
        <v>280285</v>
      </c>
      <c r="N715" s="1745">
        <f>SUM(N712:N714)</f>
        <v>288543</v>
      </c>
      <c r="O715" s="1745">
        <f>SUM(O712:O714)</f>
        <v>297058</v>
      </c>
      <c r="P715" s="503"/>
      <c r="Q715" s="706"/>
      <c r="R715" s="706"/>
      <c r="S715" s="706"/>
      <c r="T715" s="394"/>
      <c r="U715" s="394"/>
      <c r="V715" s="510"/>
    </row>
    <row r="716" spans="4:24" s="359" customFormat="1" ht="12.75" customHeight="1" thickTop="1" x14ac:dyDescent="0.25">
      <c r="D716" s="502"/>
      <c r="E716" s="502"/>
      <c r="F716" s="502"/>
      <c r="I716" s="510"/>
      <c r="J716" s="503"/>
      <c r="K716" s="503"/>
      <c r="L716" s="503"/>
      <c r="M716" s="503"/>
      <c r="N716" s="503"/>
      <c r="O716" s="503"/>
      <c r="P716" s="503"/>
      <c r="Q716" s="706"/>
      <c r="R716" s="706"/>
      <c r="S716" s="706"/>
      <c r="T716" s="394"/>
      <c r="U716" s="394"/>
      <c r="V716" s="510"/>
      <c r="W716" s="510"/>
    </row>
    <row r="717" spans="4:24" s="359" customFormat="1" ht="12.75" customHeight="1" x14ac:dyDescent="0.25">
      <c r="D717" s="301"/>
      <c r="E717" s="301"/>
      <c r="F717" s="301"/>
      <c r="G717" s="301"/>
      <c r="H717" s="301"/>
      <c r="I717" s="114"/>
      <c r="J717" s="151"/>
      <c r="K717" s="151"/>
      <c r="L717" s="151"/>
      <c r="M717" s="151"/>
      <c r="N717" s="151"/>
      <c r="O717" s="151"/>
      <c r="P717" s="151"/>
      <c r="Q717" s="706"/>
      <c r="S717" s="1656"/>
      <c r="T717" s="1656"/>
      <c r="U717" s="1657"/>
      <c r="V717" s="1657"/>
      <c r="W717" s="1657"/>
    </row>
    <row r="718" spans="4:24" s="359" customFormat="1" ht="12.75" customHeight="1" x14ac:dyDescent="0.25">
      <c r="D718" s="505" t="s">
        <v>939</v>
      </c>
      <c r="E718" s="396"/>
      <c r="F718" s="396"/>
      <c r="G718" s="301"/>
      <c r="H718" s="301"/>
      <c r="I718" s="114"/>
      <c r="J718" s="151"/>
      <c r="K718" s="151"/>
      <c r="L718" s="151"/>
      <c r="M718" s="151"/>
      <c r="N718" s="151"/>
      <c r="O718" s="151"/>
      <c r="P718" s="151"/>
      <c r="Q718" s="1646"/>
      <c r="S718" s="571" t="s">
        <v>940</v>
      </c>
      <c r="T718" s="571" t="s">
        <v>941</v>
      </c>
      <c r="U718" s="571" t="s">
        <v>942</v>
      </c>
      <c r="V718" s="571" t="s">
        <v>943</v>
      </c>
      <c r="W718" s="571" t="s">
        <v>944</v>
      </c>
      <c r="X718" s="2097" t="s">
        <v>5284</v>
      </c>
    </row>
    <row r="719" spans="4:24" s="359" customFormat="1" ht="12.75" customHeight="1" x14ac:dyDescent="0.3">
      <c r="D719" s="507" t="s">
        <v>945</v>
      </c>
      <c r="E719" s="115"/>
      <c r="F719" s="115"/>
      <c r="G719" s="115"/>
      <c r="H719" s="115"/>
      <c r="I719" s="508"/>
      <c r="J719" s="508"/>
      <c r="K719" s="508"/>
      <c r="L719" s="151"/>
      <c r="M719" s="151"/>
      <c r="N719" s="151"/>
      <c r="O719" s="151"/>
      <c r="P719" s="151"/>
      <c r="Q719" s="1348"/>
      <c r="S719" s="11"/>
      <c r="T719" s="1349"/>
      <c r="U719" s="1349"/>
      <c r="V719" s="1349"/>
      <c r="W719" s="1349"/>
      <c r="X719" s="2089"/>
    </row>
    <row r="720" spans="4:24" s="359" customFormat="1" ht="12.75" customHeight="1" x14ac:dyDescent="0.3">
      <c r="D720" s="115" t="s">
        <v>946</v>
      </c>
      <c r="E720" s="115"/>
      <c r="F720" s="115"/>
      <c r="G720" s="115"/>
      <c r="H720" s="115"/>
      <c r="J720" s="151"/>
      <c r="K720" s="151">
        <v>10793.308623458082</v>
      </c>
      <c r="L720" s="151">
        <f t="shared" ref="L720:O724" si="120">L$712*U720</f>
        <v>11742.671482157721</v>
      </c>
      <c r="M720" s="151">
        <f t="shared" si="120"/>
        <v>12846.797171806495</v>
      </c>
      <c r="N720" s="151">
        <f t="shared" si="120"/>
        <v>14005.852313143445</v>
      </c>
      <c r="O720" s="547">
        <f t="shared" si="120"/>
        <v>14524.034713829464</v>
      </c>
      <c r="P720" s="151"/>
      <c r="Q720" s="1348"/>
      <c r="S720" s="508">
        <v>0.10002862957699615</v>
      </c>
      <c r="T720" s="509">
        <v>9.0140015130011811E-2</v>
      </c>
      <c r="U720" s="509">
        <v>9.4116051248378754E-2</v>
      </c>
      <c r="V720" s="509">
        <v>9.9292008067508306E-2</v>
      </c>
      <c r="W720" s="509">
        <v>0.10438807427196223</v>
      </c>
      <c r="X720" s="2083">
        <v>0.10438807427196223</v>
      </c>
    </row>
    <row r="721" spans="4:24" s="359" customFormat="1" ht="12.75" customHeight="1" x14ac:dyDescent="0.3">
      <c r="D721" s="115" t="s">
        <v>947</v>
      </c>
      <c r="E721" s="115"/>
      <c r="F721" s="115"/>
      <c r="G721" s="115"/>
      <c r="H721" s="115"/>
      <c r="J721" s="151"/>
      <c r="K721" s="151">
        <v>261.98634410925098</v>
      </c>
      <c r="L721" s="151">
        <f t="shared" si="120"/>
        <v>272.10279070075961</v>
      </c>
      <c r="M721" s="151">
        <f t="shared" si="120"/>
        <v>281.2582998865048</v>
      </c>
      <c r="N721" s="151">
        <f t="shared" si="120"/>
        <v>290.71858844659579</v>
      </c>
      <c r="O721" s="547">
        <f t="shared" si="120"/>
        <v>301.47446768315888</v>
      </c>
      <c r="P721" s="151"/>
      <c r="Q721" s="1348"/>
      <c r="S721" s="508">
        <v>2.3306659189979155E-3</v>
      </c>
      <c r="T721" s="509">
        <v>2.1879716262850806E-3</v>
      </c>
      <c r="U721" s="509">
        <v>2.1808700203638722E-3</v>
      </c>
      <c r="V721" s="509">
        <v>2.1738259745138874E-3</v>
      </c>
      <c r="W721" s="509">
        <v>2.1667766391142334E-3</v>
      </c>
      <c r="X721" s="2083">
        <v>2.1667766391142334E-3</v>
      </c>
    </row>
    <row r="722" spans="4:24" s="359" customFormat="1" ht="12.75" customHeight="1" x14ac:dyDescent="0.3">
      <c r="D722" s="115" t="s">
        <v>948</v>
      </c>
      <c r="E722" s="115"/>
      <c r="F722" s="115"/>
      <c r="G722" s="115"/>
      <c r="H722" s="115"/>
      <c r="J722" s="151"/>
      <c r="K722" s="151">
        <v>20940.819158306032</v>
      </c>
      <c r="L722" s="151">
        <f t="shared" si="120"/>
        <v>21757.858329777271</v>
      </c>
      <c r="M722" s="151">
        <f t="shared" si="120"/>
        <v>22498.298877462159</v>
      </c>
      <c r="N722" s="151">
        <f t="shared" si="120"/>
        <v>23263.974925350267</v>
      </c>
      <c r="O722" s="547">
        <f t="shared" si="120"/>
        <v>24124.685298899236</v>
      </c>
      <c r="P722" s="151"/>
      <c r="Q722" s="1348"/>
      <c r="S722" s="508">
        <v>0.19135684371635128</v>
      </c>
      <c r="T722" s="509">
        <v>0.17488666558297436</v>
      </c>
      <c r="U722" s="509">
        <v>0.17438652803424973</v>
      </c>
      <c r="V722" s="509">
        <v>0.17388779816254066</v>
      </c>
      <c r="W722" s="509">
        <v>0.17339048621050948</v>
      </c>
      <c r="X722" s="2083">
        <v>0.17339048621050948</v>
      </c>
    </row>
    <row r="723" spans="4:24" s="359" customFormat="1" ht="12.75" customHeight="1" x14ac:dyDescent="0.3">
      <c r="D723" s="115" t="s">
        <v>949</v>
      </c>
      <c r="E723" s="115"/>
      <c r="F723" s="115"/>
      <c r="G723" s="115"/>
      <c r="H723" s="115"/>
      <c r="J723" s="151"/>
      <c r="K723" s="151">
        <v>26246.618138636852</v>
      </c>
      <c r="L723" s="151">
        <f t="shared" si="120"/>
        <v>27799.823064747678</v>
      </c>
      <c r="M723" s="151">
        <f t="shared" si="120"/>
        <v>28091.029117793212</v>
      </c>
      <c r="N723" s="151">
        <f t="shared" si="120"/>
        <v>28924.375020896405</v>
      </c>
      <c r="O723" s="547">
        <f t="shared" si="120"/>
        <v>29994.506402519331</v>
      </c>
      <c r="P723" s="151"/>
      <c r="Q723" s="1348"/>
      <c r="S723" s="508">
        <v>0.2538065744000943</v>
      </c>
      <c r="T723" s="509">
        <v>0.2191978973886104</v>
      </c>
      <c r="U723" s="509">
        <v>0.22281212381979096</v>
      </c>
      <c r="V723" s="509">
        <v>0.21711362392408035</v>
      </c>
      <c r="W723" s="509">
        <v>0.21557844110050908</v>
      </c>
      <c r="X723" s="2083">
        <v>0.21557844110050908</v>
      </c>
    </row>
    <row r="724" spans="4:24" s="359" customFormat="1" ht="12.75" customHeight="1" x14ac:dyDescent="0.3">
      <c r="D724" s="308" t="s">
        <v>950</v>
      </c>
      <c r="E724" s="115"/>
      <c r="F724" s="115"/>
      <c r="G724" s="115"/>
      <c r="H724" s="115"/>
      <c r="J724" s="151"/>
      <c r="K724" s="151">
        <v>3699.3497258783545</v>
      </c>
      <c r="L724" s="151">
        <f t="shared" si="120"/>
        <v>3838.6644118597565</v>
      </c>
      <c r="M724" s="151">
        <f t="shared" si="120"/>
        <v>3964.2094642355105</v>
      </c>
      <c r="N724" s="151">
        <f t="shared" si="120"/>
        <v>4093.9900338388902</v>
      </c>
      <c r="O724" s="547">
        <f t="shared" si="120"/>
        <v>4245.4576872660564</v>
      </c>
      <c r="P724" s="151"/>
      <c r="Q724" s="1348"/>
      <c r="S724" s="508">
        <v>3.513702303285287E-2</v>
      </c>
      <c r="T724" s="509">
        <v>3.0895015782013507E-2</v>
      </c>
      <c r="U724" s="509">
        <v>3.0766417766252215E-2</v>
      </c>
      <c r="V724" s="509">
        <v>3.0639101158068314E-2</v>
      </c>
      <c r="W724" s="509">
        <v>3.051322591199954E-2</v>
      </c>
      <c r="X724" s="2083">
        <v>3.051322591199954E-2</v>
      </c>
    </row>
    <row r="725" spans="4:24" s="359" customFormat="1" ht="12.75" customHeight="1" x14ac:dyDescent="0.3">
      <c r="D725" s="308" t="s">
        <v>951</v>
      </c>
      <c r="E725" s="115"/>
      <c r="F725" s="115"/>
      <c r="G725" s="115"/>
      <c r="H725" s="115"/>
      <c r="J725" s="151"/>
      <c r="K725" s="151">
        <v>0</v>
      </c>
      <c r="L725" s="151">
        <v>0</v>
      </c>
      <c r="M725" s="151">
        <v>0</v>
      </c>
      <c r="N725" s="151">
        <v>0</v>
      </c>
      <c r="O725" s="547">
        <v>0</v>
      </c>
      <c r="P725" s="151"/>
      <c r="Q725" s="1348"/>
      <c r="S725" s="508">
        <v>0</v>
      </c>
      <c r="T725" s="509">
        <v>0</v>
      </c>
      <c r="U725" s="509">
        <v>0</v>
      </c>
      <c r="V725" s="509">
        <v>0</v>
      </c>
      <c r="W725" s="509">
        <v>0</v>
      </c>
      <c r="X725" s="2083">
        <v>0</v>
      </c>
    </row>
    <row r="726" spans="4:24" s="359" customFormat="1" ht="12.75" customHeight="1" x14ac:dyDescent="0.3">
      <c r="D726" s="308" t="s">
        <v>952</v>
      </c>
      <c r="E726" s="115"/>
      <c r="F726" s="115"/>
      <c r="G726" s="115"/>
      <c r="H726" s="115"/>
      <c r="J726" s="151"/>
      <c r="K726" s="151">
        <v>0</v>
      </c>
      <c r="L726" s="151">
        <v>0</v>
      </c>
      <c r="M726" s="151">
        <v>0</v>
      </c>
      <c r="N726" s="151">
        <v>0</v>
      </c>
      <c r="O726" s="547">
        <v>0</v>
      </c>
      <c r="P726" s="151"/>
      <c r="Q726" s="1348"/>
      <c r="S726" s="508">
        <v>0</v>
      </c>
      <c r="T726" s="509">
        <v>0</v>
      </c>
      <c r="U726" s="509">
        <v>0</v>
      </c>
      <c r="V726" s="509">
        <v>0</v>
      </c>
      <c r="W726" s="509">
        <v>0</v>
      </c>
      <c r="X726" s="2083">
        <v>0</v>
      </c>
    </row>
    <row r="727" spans="4:24" s="359" customFormat="1" ht="12.75" customHeight="1" x14ac:dyDescent="0.3">
      <c r="D727" s="308" t="s">
        <v>953</v>
      </c>
      <c r="E727" s="115"/>
      <c r="F727" s="115"/>
      <c r="G727" s="115"/>
      <c r="H727" s="115"/>
      <c r="J727" s="151"/>
      <c r="K727" s="151">
        <v>19838.35063345974</v>
      </c>
      <c r="L727" s="151">
        <f>L$712*U727</f>
        <v>18361.469124503732</v>
      </c>
      <c r="M727" s="151">
        <f>M$712*V727</f>
        <v>19040.793923261328</v>
      </c>
      <c r="N727" s="151">
        <f>N$712*W727</f>
        <v>19745.277391959953</v>
      </c>
      <c r="O727" s="547">
        <f>O$712*X727</f>
        <v>20475.804532502167</v>
      </c>
      <c r="P727" s="151"/>
      <c r="Q727" s="1348"/>
      <c r="S727" s="508">
        <v>0.15785132854527636</v>
      </c>
      <c r="T727" s="509">
        <v>0.16567943052865353</v>
      </c>
      <c r="U727" s="509">
        <v>0.14716489103378858</v>
      </c>
      <c r="V727" s="509">
        <v>0.14716498116661511</v>
      </c>
      <c r="W727" s="509">
        <v>0.14716501622526443</v>
      </c>
      <c r="X727" s="2083">
        <v>0.14716501622526443</v>
      </c>
    </row>
    <row r="728" spans="4:24" s="359" customFormat="1" ht="12.75" customHeight="1" x14ac:dyDescent="0.25">
      <c r="D728" s="115"/>
      <c r="E728" s="115"/>
      <c r="F728" s="115"/>
      <c r="G728" s="115"/>
      <c r="H728" s="115"/>
      <c r="L728" s="151"/>
      <c r="M728" s="151"/>
      <c r="N728" s="151"/>
      <c r="O728" s="547"/>
      <c r="P728" s="151"/>
      <c r="Q728" s="1348"/>
      <c r="S728" s="508"/>
      <c r="T728" s="508"/>
      <c r="U728" s="508"/>
      <c r="V728" s="508"/>
      <c r="W728" s="508"/>
      <c r="X728" s="2090"/>
    </row>
    <row r="729" spans="4:24" s="359" customFormat="1" ht="12.75" customHeight="1" x14ac:dyDescent="0.3">
      <c r="D729" s="507" t="s">
        <v>954</v>
      </c>
      <c r="E729" s="115"/>
      <c r="F729" s="115"/>
      <c r="G729" s="115"/>
      <c r="H729" s="115"/>
      <c r="L729" s="151"/>
      <c r="M729" s="151"/>
      <c r="N729" s="151"/>
      <c r="O729" s="547"/>
      <c r="P729" s="151"/>
      <c r="Q729" s="1348"/>
      <c r="S729" s="508"/>
      <c r="T729" s="508"/>
      <c r="U729" s="508"/>
      <c r="V729" s="508"/>
      <c r="W729" s="508"/>
      <c r="X729" s="2090"/>
    </row>
    <row r="730" spans="4:24" s="359" customFormat="1" ht="12.75" customHeight="1" x14ac:dyDescent="0.3">
      <c r="D730" s="115" t="s">
        <v>955</v>
      </c>
      <c r="E730" s="115"/>
      <c r="F730" s="115"/>
      <c r="G730" s="115"/>
      <c r="H730" s="115"/>
      <c r="J730" s="151"/>
      <c r="K730" s="151">
        <v>3863.2061045390833</v>
      </c>
      <c r="L730" s="151">
        <f t="shared" ref="L730:O731" si="121">L$712*U730</f>
        <v>5936.3885679832438</v>
      </c>
      <c r="M730" s="151">
        <f t="shared" si="121"/>
        <v>5900.9283179196636</v>
      </c>
      <c r="N730" s="151">
        <f t="shared" si="121"/>
        <v>5928.8296874334274</v>
      </c>
      <c r="O730" s="547">
        <f t="shared" si="121"/>
        <v>6148.1819361937369</v>
      </c>
      <c r="P730" s="151"/>
      <c r="Q730" s="1348"/>
      <c r="S730" s="508">
        <v>4.085646064597323E-2</v>
      </c>
      <c r="T730" s="509">
        <v>3.2263457746095403E-2</v>
      </c>
      <c r="U730" s="509">
        <v>4.7579415939850316E-2</v>
      </c>
      <c r="V730" s="509">
        <v>4.5607867417297838E-2</v>
      </c>
      <c r="W730" s="509">
        <v>4.4188607727701418E-2</v>
      </c>
      <c r="X730" s="2083">
        <v>4.4188607727701418E-2</v>
      </c>
    </row>
    <row r="731" spans="4:24" s="359" customFormat="1" ht="12.75" customHeight="1" x14ac:dyDescent="0.3">
      <c r="D731" s="115" t="s">
        <v>956</v>
      </c>
      <c r="E731" s="115"/>
      <c r="F731" s="115"/>
      <c r="G731" s="115"/>
      <c r="H731" s="115"/>
      <c r="J731" s="151"/>
      <c r="K731" s="151">
        <v>16796.658331822251</v>
      </c>
      <c r="L731" s="151">
        <f t="shared" si="121"/>
        <v>16864.744159554673</v>
      </c>
      <c r="M731" s="151">
        <f t="shared" si="121"/>
        <v>16887.571803657891</v>
      </c>
      <c r="N731" s="151">
        <f t="shared" si="121"/>
        <v>16856.563433952459</v>
      </c>
      <c r="O731" s="547">
        <f t="shared" si="121"/>
        <v>17480.21519838844</v>
      </c>
      <c r="P731" s="151"/>
      <c r="Q731" s="1348"/>
      <c r="S731" s="508">
        <v>0.16666163569987213</v>
      </c>
      <c r="T731" s="509">
        <v>0.14027682233355873</v>
      </c>
      <c r="U731" s="509">
        <v>0.13516882661864157</v>
      </c>
      <c r="V731" s="509">
        <v>0.13052287611805086</v>
      </c>
      <c r="W731" s="509">
        <v>0.12563492434246193</v>
      </c>
      <c r="X731" s="2083">
        <v>0.12563492434246193</v>
      </c>
    </row>
    <row r="732" spans="4:24" s="359" customFormat="1" ht="12.75" customHeight="1" x14ac:dyDescent="0.25">
      <c r="D732" s="115"/>
      <c r="E732" s="115"/>
      <c r="F732" s="115"/>
      <c r="G732" s="115"/>
      <c r="H732" s="115"/>
      <c r="L732" s="151"/>
      <c r="M732" s="151"/>
      <c r="N732" s="151"/>
      <c r="O732" s="547"/>
      <c r="P732" s="151"/>
      <c r="Q732" s="1348"/>
      <c r="S732" s="1357"/>
      <c r="T732" s="1357"/>
      <c r="U732" s="1357"/>
      <c r="V732" s="1357"/>
      <c r="W732" s="1357"/>
      <c r="X732" s="2146"/>
    </row>
    <row r="733" spans="4:24" s="359" customFormat="1" ht="12.75" customHeight="1" thickBot="1" x14ac:dyDescent="0.3">
      <c r="D733" s="301" t="s">
        <v>957</v>
      </c>
      <c r="E733" s="301"/>
      <c r="F733" s="301"/>
      <c r="I733" s="510"/>
      <c r="J733" s="503"/>
      <c r="K733" s="1745">
        <v>102440.29706020966</v>
      </c>
      <c r="L733" s="1745">
        <f>SUM(L719:L731)</f>
        <v>106573.72193128483</v>
      </c>
      <c r="M733" s="1745">
        <f>SUM(M719:M731)</f>
        <v>109510.88697602277</v>
      </c>
      <c r="N733" s="1745">
        <f>SUM(N719:N731)</f>
        <v>113109.58139502144</v>
      </c>
      <c r="O733" s="2110">
        <f>SUM(O719:O731)</f>
        <v>117294.36023728159</v>
      </c>
      <c r="P733" s="503"/>
      <c r="Q733" s="706"/>
      <c r="S733" s="706"/>
      <c r="T733" s="394"/>
      <c r="U733" s="706"/>
      <c r="V733" s="706"/>
      <c r="W733" s="706"/>
      <c r="X733" s="2141"/>
    </row>
    <row r="734" spans="4:24" s="359" customFormat="1" ht="12.75" customHeight="1" thickTop="1" x14ac:dyDescent="0.25">
      <c r="D734" s="301"/>
      <c r="E734" s="301"/>
      <c r="F734" s="301"/>
      <c r="I734" s="510"/>
      <c r="J734" s="503"/>
      <c r="K734" s="503"/>
      <c r="L734" s="503"/>
      <c r="M734" s="503"/>
      <c r="N734" s="503"/>
      <c r="O734" s="503"/>
      <c r="P734" s="503"/>
      <c r="Q734" s="1648" t="s">
        <v>958</v>
      </c>
      <c r="S734" s="1649">
        <f t="shared" ref="S734:X734" si="122">SUM(S720:S732)</f>
        <v>0.94802916153641426</v>
      </c>
      <c r="T734" s="1649">
        <f t="shared" si="122"/>
        <v>0.85552727611820278</v>
      </c>
      <c r="U734" s="1649">
        <f t="shared" si="122"/>
        <v>0.85417512448131605</v>
      </c>
      <c r="V734" s="1649">
        <f t="shared" si="122"/>
        <v>0.84640208198867528</v>
      </c>
      <c r="W734" s="1649">
        <f t="shared" si="122"/>
        <v>0.84302555242952237</v>
      </c>
      <c r="X734" s="2142">
        <f t="shared" si="122"/>
        <v>0.84302555242952237</v>
      </c>
    </row>
    <row r="735" spans="4:24" s="359" customFormat="1" ht="12.75" customHeight="1" x14ac:dyDescent="0.25">
      <c r="D735" s="301" t="s">
        <v>959</v>
      </c>
      <c r="E735" s="301"/>
      <c r="F735" s="301"/>
      <c r="I735" s="510"/>
      <c r="J735" s="503"/>
      <c r="K735" s="503">
        <v>264213.37</v>
      </c>
      <c r="L735" s="503">
        <f>L715</f>
        <v>272276</v>
      </c>
      <c r="M735" s="503">
        <f>M715</f>
        <v>280285</v>
      </c>
      <c r="N735" s="503">
        <f>N715</f>
        <v>288543</v>
      </c>
      <c r="O735" s="503">
        <f>O715</f>
        <v>297058</v>
      </c>
      <c r="P735" s="503"/>
      <c r="Q735" s="706"/>
      <c r="R735" s="706"/>
      <c r="S735" s="706"/>
      <c r="T735" s="114"/>
      <c r="U735" s="114"/>
      <c r="V735" s="510"/>
      <c r="W735" s="510"/>
    </row>
    <row r="736" spans="4:24" s="359" customFormat="1" ht="12.75" customHeight="1" x14ac:dyDescent="0.25">
      <c r="D736" s="301" t="s">
        <v>960</v>
      </c>
      <c r="E736" s="301"/>
      <c r="F736" s="301"/>
      <c r="I736" s="510"/>
      <c r="J736" s="503"/>
      <c r="K736" s="503">
        <v>102440.29706020966</v>
      </c>
      <c r="L736" s="503">
        <f t="shared" ref="L736:M736" si="123">L733</f>
        <v>106573.72193128483</v>
      </c>
      <c r="M736" s="503">
        <f t="shared" si="123"/>
        <v>109510.88697602277</v>
      </c>
      <c r="N736" s="503">
        <f t="shared" ref="N736:O736" si="124">N733</f>
        <v>113109.58139502144</v>
      </c>
      <c r="O736" s="503">
        <f t="shared" si="124"/>
        <v>117294.36023728159</v>
      </c>
      <c r="P736" s="503"/>
      <c r="Q736" s="706"/>
      <c r="R736" s="706"/>
      <c r="S736" s="706"/>
      <c r="T736" s="114"/>
      <c r="U736" s="114"/>
      <c r="V736" s="510"/>
      <c r="W736" s="510"/>
    </row>
    <row r="737" spans="4:22" s="359" customFormat="1" ht="12.75" customHeight="1" x14ac:dyDescent="0.25">
      <c r="D737" s="301" t="s">
        <v>961</v>
      </c>
      <c r="E737" s="301"/>
      <c r="F737" s="301"/>
      <c r="I737" s="510"/>
      <c r="J737" s="503"/>
      <c r="K737" s="511">
        <v>-14297.5</v>
      </c>
      <c r="L737" s="511">
        <f>L47</f>
        <v>-14715</v>
      </c>
      <c r="M737" s="511">
        <f>M47</f>
        <v>-15132.5</v>
      </c>
      <c r="N737" s="511">
        <f>N47</f>
        <v>-15550</v>
      </c>
      <c r="O737" s="511">
        <f>O47</f>
        <v>-15862.5</v>
      </c>
      <c r="P737" s="503"/>
      <c r="Q737" s="706"/>
      <c r="R737" s="706"/>
      <c r="S737" s="706"/>
      <c r="T737" s="114"/>
      <c r="U737" s="114"/>
      <c r="V737" s="510"/>
    </row>
    <row r="738" spans="4:22" s="359" customFormat="1" ht="12.75" customHeight="1" x14ac:dyDescent="0.25">
      <c r="D738" s="301"/>
      <c r="E738" s="301"/>
      <c r="F738" s="301"/>
      <c r="I738" s="510"/>
      <c r="J738" s="503"/>
      <c r="K738" s="503"/>
      <c r="L738" s="503"/>
      <c r="M738" s="503"/>
      <c r="N738" s="503"/>
      <c r="O738" s="503"/>
      <c r="P738" s="503"/>
      <c r="Q738" s="706"/>
      <c r="R738" s="706"/>
      <c r="S738" s="706"/>
      <c r="T738" s="114"/>
      <c r="U738" s="114"/>
      <c r="V738" s="510"/>
    </row>
    <row r="739" spans="4:22" s="359" customFormat="1" ht="12.75" customHeight="1" x14ac:dyDescent="0.25">
      <c r="D739" s="301"/>
      <c r="E739" s="301"/>
      <c r="F739" s="301"/>
      <c r="I739" s="510"/>
      <c r="J739" s="503"/>
      <c r="K739" s="503"/>
      <c r="L739" s="503"/>
      <c r="M739" s="503"/>
      <c r="N739" s="503"/>
      <c r="O739" s="503"/>
      <c r="P739" s="503"/>
      <c r="Q739" s="706"/>
      <c r="R739" s="706"/>
      <c r="S739" s="706"/>
      <c r="T739" s="114"/>
      <c r="U739" s="114"/>
      <c r="V739" s="510"/>
    </row>
    <row r="740" spans="4:22" s="359" customFormat="1" ht="12.75" customHeight="1" x14ac:dyDescent="0.25">
      <c r="D740" s="301" t="s">
        <v>962</v>
      </c>
      <c r="E740" s="301"/>
      <c r="F740" s="301"/>
      <c r="I740" s="510"/>
      <c r="J740" s="510"/>
      <c r="K740" s="510">
        <v>352356.16706020967</v>
      </c>
      <c r="L740" s="510">
        <f t="shared" ref="L740:M740" si="125">SUM(L735:L739)</f>
        <v>364134.72193128482</v>
      </c>
      <c r="M740" s="510">
        <f t="shared" si="125"/>
        <v>374663.38697602274</v>
      </c>
      <c r="N740" s="510">
        <f t="shared" ref="N740:O740" si="126">SUM(N735:N739)</f>
        <v>386102.58139502141</v>
      </c>
      <c r="O740" s="510">
        <f t="shared" si="126"/>
        <v>398489.86023728159</v>
      </c>
      <c r="P740" s="510"/>
      <c r="Q740" s="706"/>
      <c r="R740" s="706"/>
      <c r="S740" s="706"/>
      <c r="T740" s="114"/>
      <c r="U740" s="114"/>
      <c r="V740" s="510"/>
    </row>
    <row r="741" spans="4:22" s="359" customFormat="1" ht="12.75" customHeight="1" x14ac:dyDescent="0.25">
      <c r="D741" s="301" t="s">
        <v>963</v>
      </c>
      <c r="E741" s="301"/>
      <c r="F741" s="301"/>
      <c r="I741" s="512"/>
      <c r="J741" s="512"/>
      <c r="K741" s="512">
        <v>3.899456431088183E-2</v>
      </c>
      <c r="L741" s="512">
        <f t="shared" ref="L741:M741" si="127">IF((-L737/(L735+L736))&gt;0,-L737/(L735+L736),L737/(L735+L736))</f>
        <v>3.8841258547020877E-2</v>
      </c>
      <c r="M741" s="512">
        <f t="shared" si="127"/>
        <v>3.8821599985047653E-2</v>
      </c>
      <c r="N741" s="512">
        <f t="shared" ref="N741:O741" si="128">IF((-N737/(N735+N736))&gt;0,-N737/(N735+N736),N737/(N735+N736))</f>
        <v>3.8715050569304639E-2</v>
      </c>
      <c r="O741" s="512">
        <f t="shared" si="128"/>
        <v>3.8282634593697587E-2</v>
      </c>
      <c r="P741" s="512"/>
      <c r="Q741" s="706"/>
      <c r="R741" s="706"/>
      <c r="S741" s="706"/>
      <c r="T741" s="114"/>
      <c r="U741" s="114"/>
      <c r="V741" s="510"/>
    </row>
    <row r="742" spans="4:22" s="359" customFormat="1" ht="12.75" customHeight="1" x14ac:dyDescent="0.25">
      <c r="D742" s="301"/>
      <c r="E742" s="301"/>
      <c r="F742" s="301"/>
      <c r="I742" s="512"/>
      <c r="J742" s="503"/>
      <c r="K742" s="503"/>
      <c r="L742" s="503"/>
      <c r="M742" s="503"/>
      <c r="N742" s="503"/>
      <c r="O742" s="503"/>
      <c r="P742" s="503"/>
      <c r="Q742" s="706"/>
      <c r="R742" s="706"/>
      <c r="S742" s="706"/>
      <c r="T742" s="114"/>
      <c r="U742" s="114"/>
      <c r="V742" s="510"/>
    </row>
    <row r="743" spans="4:22" s="359" customFormat="1" ht="12.75" customHeight="1" x14ac:dyDescent="0.25">
      <c r="D743" s="301"/>
      <c r="E743" s="301"/>
      <c r="F743" s="301"/>
      <c r="I743" s="512"/>
      <c r="J743" s="503"/>
      <c r="K743" s="503"/>
      <c r="L743" s="503"/>
      <c r="M743" s="503"/>
      <c r="N743" s="503"/>
      <c r="O743" s="503"/>
      <c r="P743" s="503"/>
      <c r="Q743" s="706"/>
      <c r="R743" s="706"/>
      <c r="S743" s="706"/>
      <c r="T743" s="114"/>
      <c r="U743" s="114"/>
      <c r="V743" s="510"/>
    </row>
    <row r="744" spans="4:22" s="359" customFormat="1" ht="12.75" customHeight="1" x14ac:dyDescent="0.25">
      <c r="D744" s="500" t="s">
        <v>968</v>
      </c>
      <c r="E744" s="500"/>
      <c r="F744" s="500"/>
      <c r="J744" s="609"/>
      <c r="K744" s="501">
        <v>2026</v>
      </c>
      <c r="L744" s="501">
        <v>2027</v>
      </c>
      <c r="M744" s="501">
        <v>2028</v>
      </c>
      <c r="N744" s="501">
        <v>2029</v>
      </c>
      <c r="O744" s="501">
        <v>2030</v>
      </c>
      <c r="P744" s="609"/>
      <c r="Q744" s="394"/>
      <c r="R744" s="706"/>
      <c r="S744" s="706"/>
      <c r="T744" s="114"/>
      <c r="U744" s="114"/>
      <c r="V744" s="510"/>
    </row>
    <row r="745" spans="4:22" s="359" customFormat="1" ht="12.75" customHeight="1" x14ac:dyDescent="0.25">
      <c r="D745" s="502"/>
      <c r="E745" s="502"/>
      <c r="F745" s="502"/>
      <c r="I745" s="510"/>
      <c r="J745" s="503"/>
      <c r="K745" s="503"/>
      <c r="L745" s="503"/>
      <c r="M745" s="503"/>
      <c r="N745" s="503"/>
      <c r="O745" s="503"/>
      <c r="P745" s="503"/>
      <c r="Q745" s="706"/>
      <c r="R745" s="706"/>
      <c r="S745" s="706"/>
      <c r="T745" s="114"/>
      <c r="U745" s="114"/>
      <c r="V745" s="510"/>
    </row>
    <row r="746" spans="4:22" s="359" customFormat="1" ht="12.75" customHeight="1" x14ac:dyDescent="0.25">
      <c r="D746" s="504" t="s">
        <v>935</v>
      </c>
      <c r="E746" s="504"/>
      <c r="F746" s="504"/>
      <c r="I746" s="510"/>
      <c r="J746" s="503"/>
      <c r="K746" s="503"/>
      <c r="L746" s="503"/>
      <c r="M746" s="503"/>
      <c r="N746" s="503"/>
      <c r="O746" s="503"/>
      <c r="P746" s="503"/>
      <c r="Q746" s="706"/>
      <c r="R746" s="706"/>
      <c r="S746" s="706"/>
      <c r="T746" s="114"/>
      <c r="U746" s="114"/>
      <c r="V746" s="510"/>
    </row>
    <row r="747" spans="4:22" s="359" customFormat="1" ht="12.75" customHeight="1" x14ac:dyDescent="0.25">
      <c r="D747" s="502" t="s">
        <v>936</v>
      </c>
      <c r="E747" s="502"/>
      <c r="F747" s="502"/>
      <c r="I747" s="510"/>
      <c r="J747" s="503"/>
      <c r="K747" s="503">
        <v>40461.449999999997</v>
      </c>
      <c r="L747" s="503">
        <f>L140</f>
        <v>42161</v>
      </c>
      <c r="M747" s="503">
        <f>M140</f>
        <v>43721</v>
      </c>
      <c r="N747" s="503">
        <f>N140</f>
        <v>45339</v>
      </c>
      <c r="O747" s="503">
        <f>O140</f>
        <v>47017</v>
      </c>
      <c r="P747" s="503"/>
      <c r="Q747" s="706"/>
      <c r="R747" s="706"/>
      <c r="S747" s="706"/>
      <c r="T747" s="114"/>
      <c r="U747" s="114"/>
      <c r="V747" s="510"/>
    </row>
    <row r="748" spans="4:22" s="359" customFormat="1" ht="12.75" customHeight="1" x14ac:dyDescent="0.25">
      <c r="D748" s="502" t="s">
        <v>965</v>
      </c>
      <c r="E748" s="502"/>
      <c r="F748" s="502"/>
      <c r="I748" s="510"/>
      <c r="J748" s="503"/>
      <c r="K748" s="503">
        <v>0</v>
      </c>
      <c r="L748" s="503">
        <v>0</v>
      </c>
      <c r="M748" s="503">
        <v>0</v>
      </c>
      <c r="N748" s="503">
        <v>0</v>
      </c>
      <c r="O748" s="503">
        <v>0</v>
      </c>
      <c r="P748" s="503"/>
      <c r="Q748" s="706"/>
      <c r="R748" s="706"/>
      <c r="S748" s="706"/>
      <c r="T748" s="114"/>
      <c r="U748" s="114"/>
      <c r="V748" s="510"/>
    </row>
    <row r="749" spans="4:22" s="359" customFormat="1" ht="12.75" customHeight="1" x14ac:dyDescent="0.25">
      <c r="D749" s="115" t="s">
        <v>937</v>
      </c>
      <c r="E749" s="115"/>
      <c r="F749" s="114"/>
      <c r="G749" s="114"/>
      <c r="H749" s="114"/>
      <c r="I749" s="114"/>
      <c r="J749" s="503"/>
      <c r="K749" s="503">
        <v>67673</v>
      </c>
      <c r="L749" s="503">
        <f>L136</f>
        <v>69177</v>
      </c>
      <c r="M749" s="503">
        <f>M136</f>
        <v>70823</v>
      </c>
      <c r="N749" s="503">
        <f>N136</f>
        <v>72515</v>
      </c>
      <c r="O749" s="503">
        <f>O136</f>
        <v>74125</v>
      </c>
      <c r="P749" s="503"/>
      <c r="Q749" s="706"/>
      <c r="R749" s="706"/>
      <c r="S749" s="706"/>
      <c r="T749" s="114"/>
      <c r="U749" s="114"/>
      <c r="V749" s="510"/>
    </row>
    <row r="750" spans="4:22" s="359" customFormat="1" ht="12.75" customHeight="1" thickBot="1" x14ac:dyDescent="0.3">
      <c r="D750" s="502" t="s">
        <v>938</v>
      </c>
      <c r="E750" s="502"/>
      <c r="F750" s="502"/>
      <c r="I750" s="510"/>
      <c r="J750" s="503"/>
      <c r="K750" s="1745">
        <v>108134.45</v>
      </c>
      <c r="L750" s="1745">
        <f>SUM(L747:L749)</f>
        <v>111338</v>
      </c>
      <c r="M750" s="1745">
        <f>SUM(M747:M749)</f>
        <v>114544</v>
      </c>
      <c r="N750" s="1745">
        <f>SUM(N747:N749)</f>
        <v>117854</v>
      </c>
      <c r="O750" s="1745">
        <f>SUM(O747:O749)</f>
        <v>121142</v>
      </c>
      <c r="P750" s="503"/>
      <c r="Q750" s="706"/>
      <c r="R750" s="706"/>
      <c r="S750" s="706"/>
      <c r="T750" s="114"/>
      <c r="U750" s="114"/>
      <c r="V750" s="510"/>
    </row>
    <row r="751" spans="4:22" s="359" customFormat="1" ht="12.75" customHeight="1" thickTop="1" x14ac:dyDescent="0.25">
      <c r="D751" s="502"/>
      <c r="E751" s="502"/>
      <c r="F751" s="502"/>
      <c r="I751" s="510"/>
      <c r="J751" s="503"/>
      <c r="K751" s="503"/>
      <c r="L751" s="503"/>
      <c r="M751" s="503"/>
      <c r="N751" s="503"/>
      <c r="O751" s="503"/>
      <c r="P751" s="503"/>
      <c r="Q751" s="706"/>
      <c r="R751" s="706"/>
      <c r="S751" s="706"/>
      <c r="T751" s="114"/>
      <c r="U751" s="114"/>
      <c r="V751" s="510"/>
    </row>
    <row r="752" spans="4:22" s="359" customFormat="1" ht="12.75" customHeight="1" x14ac:dyDescent="0.25">
      <c r="D752" s="301"/>
      <c r="E752" s="301"/>
      <c r="F752" s="301"/>
      <c r="G752" s="301"/>
      <c r="H752" s="301"/>
      <c r="I752" s="114"/>
      <c r="J752" s="151"/>
      <c r="K752" s="151"/>
      <c r="L752" s="151"/>
      <c r="M752" s="151"/>
      <c r="N752" s="151"/>
      <c r="O752" s="151"/>
      <c r="P752" s="151"/>
      <c r="Q752" s="706"/>
      <c r="R752" s="706"/>
      <c r="S752" s="1656"/>
      <c r="T752" s="410"/>
      <c r="U752" s="410"/>
      <c r="V752" s="1648"/>
    </row>
    <row r="753" spans="4:24" s="359" customFormat="1" ht="12.75" customHeight="1" x14ac:dyDescent="0.25">
      <c r="D753" s="505" t="s">
        <v>939</v>
      </c>
      <c r="E753" s="396"/>
      <c r="F753" s="396"/>
      <c r="G753" s="301"/>
      <c r="H753" s="301"/>
      <c r="I753" s="114"/>
      <c r="J753" s="151"/>
      <c r="K753" s="151"/>
      <c r="L753" s="151"/>
      <c r="M753" s="151"/>
      <c r="N753" s="151"/>
      <c r="O753" s="151"/>
      <c r="P753" s="151"/>
      <c r="Q753" s="1646"/>
      <c r="S753" s="571" t="s">
        <v>940</v>
      </c>
      <c r="T753" s="571" t="s">
        <v>941</v>
      </c>
      <c r="U753" s="571" t="s">
        <v>942</v>
      </c>
      <c r="V753" s="571" t="s">
        <v>943</v>
      </c>
      <c r="W753" s="571" t="s">
        <v>944</v>
      </c>
      <c r="X753" s="2097" t="s">
        <v>5284</v>
      </c>
    </row>
    <row r="754" spans="4:24" s="359" customFormat="1" ht="12.75" customHeight="1" x14ac:dyDescent="0.3">
      <c r="D754" s="507" t="s">
        <v>945</v>
      </c>
      <c r="E754" s="115"/>
      <c r="F754" s="115"/>
      <c r="G754" s="115"/>
      <c r="H754" s="115"/>
      <c r="I754" s="508"/>
      <c r="J754" s="508"/>
      <c r="K754" s="508"/>
      <c r="L754" s="151"/>
      <c r="M754" s="151"/>
      <c r="N754" s="151"/>
      <c r="O754" s="151"/>
      <c r="P754" s="151"/>
      <c r="Q754" s="1348"/>
      <c r="S754" s="11"/>
      <c r="T754" s="1349"/>
      <c r="U754" s="1349"/>
      <c r="V754" s="1349"/>
      <c r="W754" s="1349"/>
      <c r="X754" s="2089"/>
    </row>
    <row r="755" spans="4:24" s="359" customFormat="1" ht="12.75" customHeight="1" x14ac:dyDescent="0.3">
      <c r="D755" s="507"/>
      <c r="E755" s="115"/>
      <c r="F755" s="115"/>
      <c r="G755" s="115"/>
      <c r="H755" s="115"/>
      <c r="I755" s="508"/>
      <c r="J755" s="508"/>
      <c r="K755" s="508"/>
      <c r="L755" s="151"/>
      <c r="M755" s="151"/>
      <c r="N755" s="151"/>
      <c r="O755" s="151"/>
      <c r="P755" s="151"/>
      <c r="Q755" s="1348"/>
      <c r="S755" s="11"/>
      <c r="T755" s="1349"/>
      <c r="U755" s="1349"/>
      <c r="V755" s="1349"/>
      <c r="W755" s="1349"/>
      <c r="X755" s="2089"/>
    </row>
    <row r="756" spans="4:24" s="359" customFormat="1" ht="12.75" customHeight="1" x14ac:dyDescent="0.3">
      <c r="D756" s="115" t="s">
        <v>946</v>
      </c>
      <c r="E756" s="115"/>
      <c r="F756" s="115"/>
      <c r="G756" s="115"/>
      <c r="H756" s="115"/>
      <c r="J756" s="151"/>
      <c r="K756" s="151">
        <v>3647.1957151822162</v>
      </c>
      <c r="L756" s="151">
        <f t="shared" ref="L756:O760" si="129">L$747*U756</f>
        <v>3968.0268366828968</v>
      </c>
      <c r="M756" s="151">
        <f t="shared" si="129"/>
        <v>4341.1458847195308</v>
      </c>
      <c r="N756" s="151">
        <f t="shared" si="129"/>
        <v>4732.8508994164958</v>
      </c>
      <c r="O756" s="547">
        <f t="shared" si="129"/>
        <v>4908.014088044848</v>
      </c>
      <c r="P756" s="151"/>
      <c r="Q756" s="1348"/>
      <c r="S756" s="508">
        <v>0.10002862957699615</v>
      </c>
      <c r="T756" s="509">
        <v>9.0140015130011811E-2</v>
      </c>
      <c r="U756" s="509">
        <v>9.4116051248378754E-2</v>
      </c>
      <c r="V756" s="509">
        <v>9.9292008067508306E-2</v>
      </c>
      <c r="W756" s="509">
        <v>0.10438807427196223</v>
      </c>
      <c r="X756" s="2083">
        <v>0.10438807427196223</v>
      </c>
    </row>
    <row r="757" spans="4:24" s="359" customFormat="1" ht="12.75" customHeight="1" x14ac:dyDescent="0.3">
      <c r="D757" s="115" t="s">
        <v>947</v>
      </c>
      <c r="E757" s="115"/>
      <c r="F757" s="115"/>
      <c r="G757" s="115"/>
      <c r="H757" s="115"/>
      <c r="J757" s="151"/>
      <c r="K757" s="151">
        <v>88.528504558352466</v>
      </c>
      <c r="L757" s="151">
        <f t="shared" si="129"/>
        <v>91.94766092856122</v>
      </c>
      <c r="M757" s="151">
        <f t="shared" si="129"/>
        <v>95.041845431721669</v>
      </c>
      <c r="N757" s="151">
        <f t="shared" si="129"/>
        <v>98.23948604080023</v>
      </c>
      <c r="O757" s="547">
        <f t="shared" si="129"/>
        <v>101.87533724123391</v>
      </c>
      <c r="P757" s="151"/>
      <c r="Q757" s="1348"/>
      <c r="S757" s="508">
        <v>2.3306659189979155E-3</v>
      </c>
      <c r="T757" s="509">
        <v>2.1879716262850806E-3</v>
      </c>
      <c r="U757" s="509">
        <v>2.1808700203638722E-3</v>
      </c>
      <c r="V757" s="509">
        <v>2.1738259745138874E-3</v>
      </c>
      <c r="W757" s="509">
        <v>2.1667766391142334E-3</v>
      </c>
      <c r="X757" s="2083">
        <v>2.1667766391142334E-3</v>
      </c>
    </row>
    <row r="758" spans="4:24" s="359" customFormat="1" ht="12.75" customHeight="1" x14ac:dyDescent="0.3">
      <c r="D758" s="115" t="s">
        <v>948</v>
      </c>
      <c r="E758" s="115"/>
      <c r="F758" s="115"/>
      <c r="G758" s="115"/>
      <c r="H758" s="115"/>
      <c r="J758" s="151"/>
      <c r="K758" s="151">
        <v>7076.1680751522372</v>
      </c>
      <c r="L758" s="151">
        <f t="shared" si="129"/>
        <v>7352.3104084520028</v>
      </c>
      <c r="M758" s="151">
        <f t="shared" si="129"/>
        <v>7602.54842346444</v>
      </c>
      <c r="N758" s="151">
        <f t="shared" si="129"/>
        <v>7861.3512542982889</v>
      </c>
      <c r="O758" s="547">
        <f t="shared" si="129"/>
        <v>8152.3004901595241</v>
      </c>
      <c r="P758" s="151"/>
      <c r="Q758" s="1348"/>
      <c r="S758" s="508">
        <v>0.19135684371635128</v>
      </c>
      <c r="T758" s="509">
        <v>0.17488666558297436</v>
      </c>
      <c r="U758" s="509">
        <v>0.17438652803424973</v>
      </c>
      <c r="V758" s="509">
        <v>0.17388779816254066</v>
      </c>
      <c r="W758" s="509">
        <v>0.17339048621050948</v>
      </c>
      <c r="X758" s="2083">
        <v>0.17339048621050948</v>
      </c>
    </row>
    <row r="759" spans="4:24" s="359" customFormat="1" ht="12.75" customHeight="1" x14ac:dyDescent="0.3">
      <c r="D759" s="115" t="s">
        <v>949</v>
      </c>
      <c r="E759" s="115"/>
      <c r="F759" s="115"/>
      <c r="G759" s="115"/>
      <c r="H759" s="115"/>
      <c r="J759" s="151"/>
      <c r="K759" s="151">
        <v>8869.0647652943899</v>
      </c>
      <c r="L759" s="151">
        <f t="shared" si="129"/>
        <v>9393.9819523662063</v>
      </c>
      <c r="M759" s="151">
        <f t="shared" si="129"/>
        <v>9492.4247515847164</v>
      </c>
      <c r="N759" s="151">
        <f t="shared" si="129"/>
        <v>9774.110941055982</v>
      </c>
      <c r="O759" s="547">
        <f t="shared" si="129"/>
        <v>10135.851565222636</v>
      </c>
      <c r="P759" s="151"/>
      <c r="Q759" s="1348"/>
      <c r="S759" s="508">
        <v>0.2538065744000943</v>
      </c>
      <c r="T759" s="509">
        <v>0.2191978973886104</v>
      </c>
      <c r="U759" s="509">
        <v>0.22281212381979096</v>
      </c>
      <c r="V759" s="509">
        <v>0.21711362392408035</v>
      </c>
      <c r="W759" s="509">
        <v>0.21557844110050908</v>
      </c>
      <c r="X759" s="2083">
        <v>0.21557844110050908</v>
      </c>
    </row>
    <row r="760" spans="4:24" s="359" customFormat="1" ht="12.75" customHeight="1" x14ac:dyDescent="0.3">
      <c r="D760" s="308" t="s">
        <v>950</v>
      </c>
      <c r="E760" s="115"/>
      <c r="F760" s="115"/>
      <c r="G760" s="115"/>
      <c r="H760" s="115"/>
      <c r="J760" s="151"/>
      <c r="K760" s="151">
        <v>1250.0571363131503</v>
      </c>
      <c r="L760" s="151">
        <f t="shared" si="129"/>
        <v>1297.1429394429597</v>
      </c>
      <c r="M760" s="151">
        <f t="shared" si="129"/>
        <v>1339.5721417319048</v>
      </c>
      <c r="N760" s="151">
        <f t="shared" si="129"/>
        <v>1383.4391496241471</v>
      </c>
      <c r="O760" s="547">
        <f t="shared" si="129"/>
        <v>1434.6403427044825</v>
      </c>
      <c r="P760" s="151"/>
      <c r="Q760" s="1348"/>
      <c r="S760" s="508">
        <v>3.513702303285287E-2</v>
      </c>
      <c r="T760" s="509">
        <v>3.0895015782013507E-2</v>
      </c>
      <c r="U760" s="509">
        <v>3.0766417766252215E-2</v>
      </c>
      <c r="V760" s="509">
        <v>3.0639101158068314E-2</v>
      </c>
      <c r="W760" s="509">
        <v>3.051322591199954E-2</v>
      </c>
      <c r="X760" s="2083">
        <v>3.051322591199954E-2</v>
      </c>
    </row>
    <row r="761" spans="4:24" s="359" customFormat="1" ht="12.75" customHeight="1" x14ac:dyDescent="0.3">
      <c r="D761" s="308" t="s">
        <v>951</v>
      </c>
      <c r="E761" s="115"/>
      <c r="F761" s="115"/>
      <c r="G761" s="115"/>
      <c r="H761" s="115"/>
      <c r="J761" s="151"/>
      <c r="K761" s="151">
        <v>0</v>
      </c>
      <c r="L761" s="151">
        <v>0</v>
      </c>
      <c r="M761" s="151">
        <v>0</v>
      </c>
      <c r="N761" s="151">
        <v>0</v>
      </c>
      <c r="O761" s="547">
        <v>0</v>
      </c>
      <c r="P761" s="151"/>
      <c r="Q761" s="1348"/>
      <c r="S761" s="508">
        <v>0</v>
      </c>
      <c r="T761" s="509">
        <v>0</v>
      </c>
      <c r="U761" s="509">
        <v>0</v>
      </c>
      <c r="V761" s="509">
        <v>0</v>
      </c>
      <c r="W761" s="509">
        <v>0</v>
      </c>
      <c r="X761" s="2083">
        <v>0</v>
      </c>
    </row>
    <row r="762" spans="4:24" s="359" customFormat="1" ht="12.75" customHeight="1" x14ac:dyDescent="0.3">
      <c r="D762" s="308" t="s">
        <v>952</v>
      </c>
      <c r="E762" s="115"/>
      <c r="F762" s="115"/>
      <c r="G762" s="115"/>
      <c r="H762" s="115"/>
      <c r="J762" s="151"/>
      <c r="K762" s="151">
        <v>0</v>
      </c>
      <c r="L762" s="151">
        <v>0</v>
      </c>
      <c r="M762" s="151">
        <v>0</v>
      </c>
      <c r="N762" s="151">
        <v>0</v>
      </c>
      <c r="O762" s="547">
        <v>0</v>
      </c>
      <c r="P762" s="151"/>
      <c r="Q762" s="1348"/>
      <c r="S762" s="508">
        <v>0</v>
      </c>
      <c r="T762" s="509">
        <v>0</v>
      </c>
      <c r="U762" s="509">
        <v>0</v>
      </c>
      <c r="V762" s="509">
        <v>0</v>
      </c>
      <c r="W762" s="509">
        <v>0</v>
      </c>
      <c r="X762" s="2083">
        <v>0</v>
      </c>
    </row>
    <row r="763" spans="4:24" s="359" customFormat="1" ht="12.75" customHeight="1" x14ac:dyDescent="0.3">
      <c r="D763" s="308" t="s">
        <v>953</v>
      </c>
      <c r="E763" s="115"/>
      <c r="F763" s="115"/>
      <c r="G763" s="115"/>
      <c r="H763" s="115"/>
      <c r="J763" s="151"/>
      <c r="K763" s="151">
        <v>6703.6299943635877</v>
      </c>
      <c r="L763" s="151">
        <f>L$747*U763</f>
        <v>6204.6189708755601</v>
      </c>
      <c r="M763" s="151">
        <f>M$747*V763</f>
        <v>6434.2001415855793</v>
      </c>
      <c r="N763" s="151">
        <f>N$747*W763</f>
        <v>6672.3146706372636</v>
      </c>
      <c r="O763" s="547">
        <f>O$747*X763</f>
        <v>6919.2575678632575</v>
      </c>
      <c r="P763" s="151"/>
      <c r="Q763" s="1348"/>
      <c r="S763" s="508">
        <v>0.15785132854527636</v>
      </c>
      <c r="T763" s="509">
        <v>0.16567943052865353</v>
      </c>
      <c r="U763" s="509">
        <v>0.14716489103378858</v>
      </c>
      <c r="V763" s="509">
        <v>0.14716498116661511</v>
      </c>
      <c r="W763" s="509">
        <v>0.14716501622526443</v>
      </c>
      <c r="X763" s="2083">
        <v>0.14716501622526443</v>
      </c>
    </row>
    <row r="764" spans="4:24" s="359" customFormat="1" ht="12.75" customHeight="1" x14ac:dyDescent="0.25">
      <c r="D764" s="115"/>
      <c r="E764" s="115"/>
      <c r="F764" s="115"/>
      <c r="G764" s="115"/>
      <c r="H764" s="115"/>
      <c r="L764" s="151"/>
      <c r="M764" s="151"/>
      <c r="N764" s="151"/>
      <c r="O764" s="547"/>
      <c r="P764" s="151"/>
      <c r="Q764" s="1348"/>
      <c r="S764" s="508"/>
      <c r="T764" s="508"/>
      <c r="U764" s="508"/>
      <c r="V764" s="508"/>
      <c r="W764" s="508"/>
      <c r="X764" s="2090"/>
    </row>
    <row r="765" spans="4:24" s="359" customFormat="1" ht="12.75" customHeight="1" x14ac:dyDescent="0.3">
      <c r="D765" s="507" t="s">
        <v>954</v>
      </c>
      <c r="E765" s="115"/>
      <c r="F765" s="115"/>
      <c r="G765" s="115"/>
      <c r="H765" s="115"/>
      <c r="L765" s="151"/>
      <c r="M765" s="151"/>
      <c r="N765" s="151"/>
      <c r="O765" s="547"/>
      <c r="P765" s="151"/>
      <c r="Q765" s="1348"/>
      <c r="S765" s="508"/>
      <c r="T765" s="508"/>
      <c r="U765" s="508"/>
      <c r="V765" s="508"/>
      <c r="W765" s="508"/>
      <c r="X765" s="2090"/>
    </row>
    <row r="766" spans="4:24" s="359" customFormat="1" ht="12.75" customHeight="1" x14ac:dyDescent="0.25">
      <c r="D766" s="115"/>
      <c r="E766" s="115"/>
      <c r="F766" s="115"/>
      <c r="G766" s="115"/>
      <c r="H766" s="115"/>
      <c r="L766" s="151"/>
      <c r="M766" s="151"/>
      <c r="N766" s="151"/>
      <c r="O766" s="547"/>
      <c r="P766" s="151"/>
      <c r="Q766" s="1348"/>
      <c r="S766" s="508"/>
      <c r="X766" s="358"/>
    </row>
    <row r="767" spans="4:24" s="359" customFormat="1" ht="12.75" customHeight="1" x14ac:dyDescent="0.3">
      <c r="D767" s="115" t="s">
        <v>955</v>
      </c>
      <c r="E767" s="115"/>
      <c r="F767" s="115"/>
      <c r="G767" s="115"/>
      <c r="H767" s="115"/>
      <c r="J767" s="151"/>
      <c r="K767" s="151">
        <v>1305.4262824207517</v>
      </c>
      <c r="L767" s="151">
        <f t="shared" ref="L767:O768" si="130">L$747*U767</f>
        <v>2005.9957554400291</v>
      </c>
      <c r="M767" s="151">
        <f t="shared" si="130"/>
        <v>1994.0215713516789</v>
      </c>
      <c r="N767" s="151">
        <f t="shared" si="130"/>
        <v>2003.4672857662547</v>
      </c>
      <c r="O767" s="547">
        <f t="shared" si="130"/>
        <v>2077.6157695333377</v>
      </c>
      <c r="P767" s="151"/>
      <c r="Q767" s="1348"/>
      <c r="S767" s="508">
        <v>4.085646064597323E-2</v>
      </c>
      <c r="T767" s="509">
        <v>3.2263457746095403E-2</v>
      </c>
      <c r="U767" s="509">
        <v>4.7579415939850316E-2</v>
      </c>
      <c r="V767" s="509">
        <v>4.5607867417297838E-2</v>
      </c>
      <c r="W767" s="509">
        <v>4.4188607727701418E-2</v>
      </c>
      <c r="X767" s="2083">
        <v>4.4188607727701418E-2</v>
      </c>
    </row>
    <row r="768" spans="4:24" s="359" customFormat="1" ht="12.75" customHeight="1" x14ac:dyDescent="0.3">
      <c r="D768" s="115" t="s">
        <v>956</v>
      </c>
      <c r="E768" s="115"/>
      <c r="F768" s="115"/>
      <c r="G768" s="115"/>
      <c r="H768" s="115"/>
      <c r="J768" s="151"/>
      <c r="K768" s="151">
        <v>5675.8036330081695</v>
      </c>
      <c r="L768" s="151">
        <f t="shared" si="130"/>
        <v>5698.8528990685472</v>
      </c>
      <c r="M768" s="151">
        <f t="shared" si="130"/>
        <v>5706.5906667573017</v>
      </c>
      <c r="N768" s="151">
        <f t="shared" si="130"/>
        <v>5696.161834762881</v>
      </c>
      <c r="O768" s="547">
        <f t="shared" si="130"/>
        <v>5906.9772378095322</v>
      </c>
      <c r="P768" s="151"/>
      <c r="Q768" s="1348"/>
      <c r="S768" s="508">
        <v>0.16666163569987213</v>
      </c>
      <c r="T768" s="509">
        <v>0.14027682233355873</v>
      </c>
      <c r="U768" s="509">
        <v>0.13516882661864157</v>
      </c>
      <c r="V768" s="509">
        <v>0.13052287611805086</v>
      </c>
      <c r="W768" s="509">
        <v>0.12563492434246193</v>
      </c>
      <c r="X768" s="2083">
        <v>0.12563492434246193</v>
      </c>
    </row>
    <row r="769" spans="4:24" s="359" customFormat="1" ht="12.75" customHeight="1" x14ac:dyDescent="0.25">
      <c r="D769" s="115"/>
      <c r="E769" s="115"/>
      <c r="F769" s="115"/>
      <c r="G769" s="115"/>
      <c r="H769" s="115"/>
      <c r="L769" s="151"/>
      <c r="M769" s="151"/>
      <c r="N769" s="151"/>
      <c r="O769" s="547"/>
      <c r="P769" s="151"/>
      <c r="Q769" s="1348"/>
      <c r="S769" s="1357"/>
      <c r="T769" s="1357"/>
      <c r="U769" s="1357"/>
      <c r="V769" s="1357"/>
      <c r="W769" s="1357"/>
      <c r="X769" s="2146"/>
    </row>
    <row r="770" spans="4:24" s="359" customFormat="1" ht="12.75" customHeight="1" thickBot="1" x14ac:dyDescent="0.3">
      <c r="D770" s="301" t="s">
        <v>957</v>
      </c>
      <c r="E770" s="301"/>
      <c r="F770" s="301"/>
      <c r="I770" s="510"/>
      <c r="J770" s="503"/>
      <c r="K770" s="1745">
        <v>34615.874106292853</v>
      </c>
      <c r="L770" s="1745">
        <f>SUM(L754:L769)</f>
        <v>36012.877423256759</v>
      </c>
      <c r="M770" s="1745">
        <f>SUM(M754:M769)</f>
        <v>37005.545426626872</v>
      </c>
      <c r="N770" s="1745">
        <f>SUM(N754:N769)</f>
        <v>38221.935521602114</v>
      </c>
      <c r="O770" s="2110">
        <f>SUM(O754:O769)</f>
        <v>39636.532398578849</v>
      </c>
      <c r="P770" s="503"/>
      <c r="Q770" s="706"/>
      <c r="S770" s="706"/>
      <c r="T770" s="394"/>
      <c r="U770" s="706"/>
      <c r="V770" s="706"/>
      <c r="W770" s="706"/>
      <c r="X770" s="2141"/>
    </row>
    <row r="771" spans="4:24" s="359" customFormat="1" ht="12.75" customHeight="1" thickTop="1" x14ac:dyDescent="0.25">
      <c r="D771" s="301"/>
      <c r="E771" s="301"/>
      <c r="F771" s="301"/>
      <c r="I771" s="510"/>
      <c r="J771" s="503"/>
      <c r="K771" s="503"/>
      <c r="L771" s="503"/>
      <c r="M771" s="503"/>
      <c r="N771" s="503"/>
      <c r="O771" s="503"/>
      <c r="P771" s="503"/>
      <c r="Q771" s="1648" t="s">
        <v>958</v>
      </c>
      <c r="S771" s="1649">
        <f>SUM(S756:S769)</f>
        <v>0.94802916153641426</v>
      </c>
      <c r="T771" s="1649">
        <f t="shared" ref="T771:U771" si="131">SUM(T756:T769)</f>
        <v>0.85552727611820278</v>
      </c>
      <c r="U771" s="1649">
        <f t="shared" si="131"/>
        <v>0.85417512448131605</v>
      </c>
      <c r="V771" s="1649">
        <f>SUM(V756:V769)</f>
        <v>0.84640208198867528</v>
      </c>
      <c r="W771" s="1649">
        <f>SUM(W756:W769)</f>
        <v>0.84302555242952237</v>
      </c>
      <c r="X771" s="2142">
        <f>SUM(X756:X769)</f>
        <v>0.84302555242952237</v>
      </c>
    </row>
    <row r="772" spans="4:24" s="359" customFormat="1" ht="12.75" customHeight="1" x14ac:dyDescent="0.25">
      <c r="D772" s="301" t="s">
        <v>959</v>
      </c>
      <c r="E772" s="301"/>
      <c r="F772" s="301"/>
      <c r="I772" s="510"/>
      <c r="J772" s="503"/>
      <c r="K772" s="503">
        <v>108134.45</v>
      </c>
      <c r="L772" s="503">
        <f>L750</f>
        <v>111338</v>
      </c>
      <c r="M772" s="503">
        <f>M750</f>
        <v>114544</v>
      </c>
      <c r="N772" s="503">
        <f>N750</f>
        <v>117854</v>
      </c>
      <c r="O772" s="503">
        <f>O750</f>
        <v>121142</v>
      </c>
      <c r="P772" s="503"/>
      <c r="Q772" s="1652"/>
      <c r="R772" s="1652"/>
      <c r="S772" s="1652"/>
      <c r="T772" s="508"/>
      <c r="U772" s="508"/>
      <c r="V772" s="510"/>
    </row>
    <row r="773" spans="4:24" s="359" customFormat="1" ht="12.75" customHeight="1" x14ac:dyDescent="0.25">
      <c r="D773" s="301" t="s">
        <v>960</v>
      </c>
      <c r="E773" s="301"/>
      <c r="F773" s="301"/>
      <c r="I773" s="510"/>
      <c r="J773" s="503"/>
      <c r="K773" s="503">
        <v>34615.874106292853</v>
      </c>
      <c r="L773" s="503">
        <f t="shared" ref="L773:M773" si="132">L770</f>
        <v>36012.877423256759</v>
      </c>
      <c r="M773" s="503">
        <f t="shared" si="132"/>
        <v>37005.545426626872</v>
      </c>
      <c r="N773" s="503">
        <f t="shared" ref="N773:O773" si="133">N770</f>
        <v>38221.935521602114</v>
      </c>
      <c r="O773" s="503">
        <f t="shared" si="133"/>
        <v>39636.532398578849</v>
      </c>
      <c r="P773" s="503"/>
      <c r="Q773" s="1652"/>
      <c r="R773" s="1652"/>
      <c r="S773" s="1652"/>
      <c r="T773" s="508"/>
      <c r="U773" s="508"/>
      <c r="V773" s="510"/>
    </row>
    <row r="774" spans="4:24" s="359" customFormat="1" ht="12.75" customHeight="1" x14ac:dyDescent="0.25">
      <c r="D774" s="301" t="s">
        <v>961</v>
      </c>
      <c r="E774" s="301"/>
      <c r="F774" s="301"/>
      <c r="I774" s="510"/>
      <c r="J774" s="503"/>
      <c r="K774" s="511">
        <v>-96931.5</v>
      </c>
      <c r="L774" s="511">
        <f>L48</f>
        <v>-99261</v>
      </c>
      <c r="M774" s="511">
        <f>M48</f>
        <v>-101783</v>
      </c>
      <c r="N774" s="511">
        <f>N48</f>
        <v>-104365.5</v>
      </c>
      <c r="O774" s="511">
        <f>O48</f>
        <v>-106330.5</v>
      </c>
      <c r="P774" s="503"/>
      <c r="Q774" s="706"/>
      <c r="R774" s="706"/>
      <c r="S774" s="706"/>
      <c r="T774" s="114"/>
      <c r="U774" s="114"/>
      <c r="V774" s="510"/>
    </row>
    <row r="775" spans="4:24" s="359" customFormat="1" ht="12.75" customHeight="1" x14ac:dyDescent="0.25">
      <c r="D775" s="301"/>
      <c r="E775" s="301"/>
      <c r="F775" s="301"/>
      <c r="I775" s="510"/>
      <c r="J775" s="503"/>
      <c r="K775" s="503"/>
      <c r="L775" s="503"/>
      <c r="M775" s="503"/>
      <c r="N775" s="503"/>
      <c r="O775" s="503"/>
      <c r="P775" s="503"/>
      <c r="Q775" s="706"/>
      <c r="R775" s="706"/>
      <c r="S775" s="706"/>
      <c r="T775" s="114"/>
      <c r="U775" s="114"/>
      <c r="V775" s="510"/>
    </row>
    <row r="776" spans="4:24" s="359" customFormat="1" ht="12.75" customHeight="1" x14ac:dyDescent="0.25">
      <c r="D776" s="301"/>
      <c r="E776" s="301"/>
      <c r="F776" s="301"/>
      <c r="I776" s="510"/>
      <c r="J776" s="503"/>
      <c r="K776" s="503"/>
      <c r="L776" s="503"/>
      <c r="M776" s="503"/>
      <c r="N776" s="503"/>
      <c r="O776" s="503"/>
      <c r="P776" s="503"/>
      <c r="Q776" s="706"/>
      <c r="R776" s="706"/>
      <c r="S776" s="706"/>
      <c r="T776" s="114"/>
      <c r="U776" s="114"/>
      <c r="V776" s="510"/>
    </row>
    <row r="777" spans="4:24" s="359" customFormat="1" ht="12.75" customHeight="1" x14ac:dyDescent="0.25">
      <c r="D777" s="301" t="s">
        <v>962</v>
      </c>
      <c r="E777" s="301"/>
      <c r="F777" s="301"/>
      <c r="I777" s="510"/>
      <c r="J777" s="510"/>
      <c r="K777" s="510">
        <v>45818.824106292857</v>
      </c>
      <c r="L777" s="510">
        <f t="shared" ref="L777:M777" si="134">SUM(L772:L776)</f>
        <v>48089.877423256752</v>
      </c>
      <c r="M777" s="510">
        <f t="shared" si="134"/>
        <v>49766.545426626864</v>
      </c>
      <c r="N777" s="510">
        <f t="shared" ref="N777:O777" si="135">SUM(N772:N776)</f>
        <v>51710.435521602107</v>
      </c>
      <c r="O777" s="510">
        <f t="shared" si="135"/>
        <v>54448.032398578856</v>
      </c>
      <c r="P777" s="510"/>
      <c r="Q777" s="706"/>
      <c r="R777" s="706"/>
      <c r="S777" s="706"/>
      <c r="T777" s="114"/>
      <c r="U777" s="114"/>
      <c r="V777" s="510"/>
    </row>
    <row r="778" spans="4:24" s="359" customFormat="1" ht="12.75" customHeight="1" x14ac:dyDescent="0.25">
      <c r="D778" s="301" t="s">
        <v>963</v>
      </c>
      <c r="E778" s="301"/>
      <c r="F778" s="301"/>
      <c r="I778" s="512"/>
      <c r="J778" s="512"/>
      <c r="K778" s="512">
        <v>0.6790282306317158</v>
      </c>
      <c r="L778" s="512">
        <f t="shared" ref="L778:M778" si="136">IF((-L774/(L772+L773))&gt;0,-L774/(L772+L773),L774/(L772+L773))</f>
        <v>0.67363697954019375</v>
      </c>
      <c r="M778" s="512">
        <f t="shared" si="136"/>
        <v>0.67161534344079254</v>
      </c>
      <c r="N778" s="512">
        <f t="shared" ref="N778:O778" si="137">IF((-N774/(N772+N773))&gt;0,-N774/(N772+N773),N774/(N772+N773))</f>
        <v>0.66868412257926213</v>
      </c>
      <c r="O778" s="512">
        <f t="shared" si="137"/>
        <v>0.66134762156181914</v>
      </c>
      <c r="P778" s="512"/>
      <c r="Q778" s="706"/>
      <c r="R778" s="706"/>
      <c r="S778" s="706"/>
      <c r="T778" s="114"/>
      <c r="U778" s="114"/>
      <c r="V778" s="510"/>
    </row>
    <row r="779" spans="4:24" ht="12.75" customHeight="1" x14ac:dyDescent="0.25">
      <c r="F779" s="301"/>
      <c r="Q779" s="706"/>
      <c r="R779" s="394"/>
      <c r="S779" s="394"/>
      <c r="T779" s="114"/>
      <c r="U779" s="114"/>
      <c r="V779" s="114"/>
      <c r="W779" s="508"/>
    </row>
    <row r="780" spans="4:24" ht="12.75" customHeight="1" x14ac:dyDescent="0.25">
      <c r="F780" s="301"/>
      <c r="Q780" s="394"/>
      <c r="R780" s="394"/>
      <c r="S780" s="394"/>
      <c r="T780" s="114"/>
      <c r="U780" s="114"/>
      <c r="V780" s="114"/>
      <c r="W780" s="508"/>
    </row>
    <row r="781" spans="4:24" ht="12.75" customHeight="1" x14ac:dyDescent="0.25">
      <c r="F781" s="301"/>
      <c r="Q781" s="394"/>
      <c r="R781" s="394"/>
      <c r="S781" s="394"/>
      <c r="T781" s="114"/>
      <c r="U781" s="114"/>
      <c r="V781" s="114"/>
      <c r="W781" s="508"/>
    </row>
    <row r="791" spans="4:23" ht="12.75" customHeight="1" x14ac:dyDescent="0.25">
      <c r="D791" s="301">
        <v>5000</v>
      </c>
      <c r="Q791" s="394"/>
      <c r="R791" s="394"/>
      <c r="S791" s="394"/>
      <c r="T791" s="114"/>
      <c r="U791" s="114"/>
      <c r="V791" s="114"/>
      <c r="W791" s="508"/>
    </row>
    <row r="792" spans="4:23" ht="12.75" customHeight="1" x14ac:dyDescent="0.25">
      <c r="D792" s="301">
        <v>137000</v>
      </c>
      <c r="Q792" s="394"/>
      <c r="R792" s="394"/>
      <c r="S792" s="394"/>
      <c r="T792" s="114"/>
      <c r="U792" s="114"/>
      <c r="V792" s="114"/>
    </row>
    <row r="793" spans="4:23" ht="12.75" customHeight="1" x14ac:dyDescent="0.25">
      <c r="D793" s="301">
        <v>321000</v>
      </c>
      <c r="Q793" s="394"/>
      <c r="R793" s="394"/>
      <c r="S793" s="394"/>
      <c r="T793" s="114"/>
      <c r="U793" s="114"/>
      <c r="V793" s="114"/>
    </row>
    <row r="802" spans="6:22" ht="12.75" customHeight="1" x14ac:dyDescent="0.25">
      <c r="F802" s="1658">
        <f>1182000/1572000</f>
        <v>0.75190839694656486</v>
      </c>
      <c r="Q802" s="394"/>
      <c r="R802" s="394"/>
      <c r="S802" s="394"/>
      <c r="T802" s="114"/>
      <c r="U802" s="114"/>
      <c r="V802" s="114"/>
    </row>
  </sheetData>
  <mergeCells count="6">
    <mergeCell ref="D89:D90"/>
    <mergeCell ref="F89:F90"/>
    <mergeCell ref="G89:H90"/>
    <mergeCell ref="E333:I334"/>
    <mergeCell ref="E200:J201"/>
    <mergeCell ref="E196:N197"/>
  </mergeCells>
  <phoneticPr fontId="52" type="noConversion"/>
  <pageMargins left="0.59055118110236227" right="0.39370078740157483" top="0.39370078740157483" bottom="0.39370078740157483" header="0.51181102362204722" footer="0.51181102362204722"/>
  <pageSetup paperSize="9" scale="65" orientation="portrait" useFirstPageNumber="1" r:id="rId1"/>
  <headerFooter alignWithMargins="0"/>
  <rowBreaks count="8" manualBreakCount="8">
    <brk id="164" min="3" max="14" man="1"/>
    <brk id="193" min="3" max="14" man="1"/>
    <brk id="284" min="3" max="14" man="1"/>
    <brk id="371" min="3" max="14" man="1"/>
    <brk id="439" min="3" max="14" man="1"/>
    <brk id="604" min="3" max="14" man="1"/>
    <brk id="673" min="3" max="14" man="1"/>
    <brk id="743" min="3"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1536-5EB4-4B8E-B4B3-E742E566CB54}">
  <sheetPr codeName="Blad3"/>
  <dimension ref="A1:W410"/>
  <sheetViews>
    <sheetView showGridLines="0" view="pageBreakPreview" topLeftCell="D206" zoomScaleNormal="100" zoomScaleSheetLayoutView="100" workbookViewId="0">
      <selection activeCell="L221" sqref="L221"/>
    </sheetView>
  </sheetViews>
  <sheetFormatPr defaultColWidth="9.109375" defaultRowHeight="12.75" customHeight="1" x14ac:dyDescent="0.25"/>
  <cols>
    <col min="1" max="1" width="8.33203125" style="306" bestFit="1" customWidth="1"/>
    <col min="2" max="3" width="22.33203125" style="115" customWidth="1"/>
    <col min="4" max="4" width="9.6640625" style="301" customWidth="1"/>
    <col min="5" max="6" width="9.6640625" style="143" customWidth="1"/>
    <col min="7" max="9" width="12.6640625" style="115" customWidth="1"/>
    <col min="10" max="15" width="11.6640625" style="115" customWidth="1"/>
    <col min="16" max="16" width="13" style="115" customWidth="1"/>
    <col min="17" max="17" width="11.6640625" style="115" customWidth="1"/>
    <col min="18"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25">
      <c r="D2" s="301" t="s">
        <v>504</v>
      </c>
      <c r="H2" s="115" t="s">
        <v>712</v>
      </c>
      <c r="P2" s="115"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P3" s="115"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25">
      <c r="D6" s="301" t="s">
        <v>66</v>
      </c>
      <c r="H6" s="115" t="s">
        <v>971</v>
      </c>
    </row>
    <row r="9" spans="1:23" ht="12.75" customHeight="1" x14ac:dyDescent="0.25">
      <c r="D9" s="1613" t="s">
        <v>972</v>
      </c>
    </row>
    <row r="10" spans="1:23" ht="12.75" customHeight="1" x14ac:dyDescent="0.25">
      <c r="D10" s="115"/>
    </row>
    <row r="11" spans="1:23" ht="12.75" customHeight="1" x14ac:dyDescent="0.25">
      <c r="D11" s="1614" t="s">
        <v>973</v>
      </c>
    </row>
    <row r="12" spans="1:23" ht="12.75" customHeight="1" x14ac:dyDescent="0.25">
      <c r="D12" s="1614" t="s">
        <v>974</v>
      </c>
    </row>
    <row r="19" spans="4:15" ht="12.75" customHeight="1" x14ac:dyDescent="0.25">
      <c r="D19" s="452" t="s">
        <v>507</v>
      </c>
      <c r="E19" s="438"/>
      <c r="F19" s="438"/>
      <c r="G19" s="453"/>
      <c r="H19" s="453"/>
      <c r="I19" s="453"/>
      <c r="J19" s="453"/>
      <c r="K19" s="453"/>
      <c r="L19" s="453"/>
      <c r="M19" s="453"/>
      <c r="N19" s="453"/>
      <c r="O19" s="453"/>
    </row>
    <row r="20" spans="4:15" ht="12.75" customHeight="1" x14ac:dyDescent="0.25">
      <c r="D20" s="438"/>
      <c r="E20" s="438"/>
      <c r="F20" s="438"/>
      <c r="G20" s="453"/>
      <c r="H20" s="453"/>
      <c r="I20" s="453"/>
      <c r="J20" s="453"/>
      <c r="K20" s="453"/>
      <c r="L20" s="453"/>
      <c r="M20" s="453"/>
      <c r="N20" s="453"/>
      <c r="O20" s="453"/>
    </row>
    <row r="21" spans="4:15" ht="12.75" customHeight="1" x14ac:dyDescent="0.25">
      <c r="D21" s="1746" t="s">
        <v>508</v>
      </c>
      <c r="E21" s="1747"/>
      <c r="F21" s="1806"/>
      <c r="G21" s="1748"/>
      <c r="H21" s="1748"/>
      <c r="I21" s="1749"/>
      <c r="J21" s="1749">
        <v>2025</v>
      </c>
      <c r="K21" s="1749">
        <v>2026</v>
      </c>
      <c r="L21" s="1749">
        <v>2027</v>
      </c>
      <c r="M21" s="1749">
        <v>2028</v>
      </c>
      <c r="N21" s="1749">
        <v>2029</v>
      </c>
      <c r="O21" s="1749">
        <v>2030</v>
      </c>
    </row>
    <row r="22" spans="4:15" ht="12.75" customHeight="1" x14ac:dyDescent="0.25">
      <c r="D22" s="454" t="str">
        <f>G73</f>
        <v>Strategische gronden</v>
      </c>
      <c r="E22" s="455"/>
      <c r="F22" s="456"/>
      <c r="G22" s="453"/>
      <c r="H22" s="453"/>
      <c r="I22" s="518"/>
      <c r="J22" s="457">
        <v>14373</v>
      </c>
      <c r="K22" s="457">
        <f>K80</f>
        <v>192347</v>
      </c>
      <c r="L22" s="457">
        <f>L80</f>
        <v>17711</v>
      </c>
      <c r="M22" s="457">
        <f>M80</f>
        <v>18103</v>
      </c>
      <c r="N22" s="457">
        <f>N80</f>
        <v>18503</v>
      </c>
      <c r="O22" s="457">
        <f>O80</f>
        <v>18913</v>
      </c>
    </row>
    <row r="23" spans="4:15" ht="12.75" customHeight="1" x14ac:dyDescent="0.25">
      <c r="D23" s="454" t="str">
        <f>G82</f>
        <v>Garageboxen</v>
      </c>
      <c r="E23" s="455"/>
      <c r="F23" s="456"/>
      <c r="G23" s="453"/>
      <c r="H23" s="453"/>
      <c r="I23" s="518"/>
      <c r="J23" s="457">
        <v>690</v>
      </c>
      <c r="K23" s="457">
        <f>K87</f>
        <v>708</v>
      </c>
      <c r="L23" s="457">
        <f>L87</f>
        <v>723</v>
      </c>
      <c r="M23" s="457">
        <f>M87</f>
        <v>740</v>
      </c>
      <c r="N23" s="457">
        <f>N87</f>
        <v>758</v>
      </c>
      <c r="O23" s="457">
        <f>O87</f>
        <v>776</v>
      </c>
    </row>
    <row r="24" spans="4:15" ht="12.75" customHeight="1" x14ac:dyDescent="0.25">
      <c r="D24" s="454" t="str">
        <f>G89</f>
        <v>Hartenvier 2</v>
      </c>
      <c r="E24" s="455"/>
      <c r="F24" s="456"/>
      <c r="G24" s="453"/>
      <c r="H24" s="453"/>
      <c r="I24" s="518"/>
      <c r="J24" s="15">
        <v>535</v>
      </c>
      <c r="K24" s="15">
        <f>K92</f>
        <v>549</v>
      </c>
      <c r="L24" s="15">
        <f>L92</f>
        <v>561</v>
      </c>
      <c r="M24" s="15">
        <f>M92</f>
        <v>573</v>
      </c>
      <c r="N24" s="15">
        <f>N92</f>
        <v>585</v>
      </c>
      <c r="O24" s="15">
        <f>O92</f>
        <v>597</v>
      </c>
    </row>
    <row r="25" spans="4:15" ht="12.75" customHeight="1" x14ac:dyDescent="0.25">
      <c r="D25" s="454" t="str">
        <f>G94</f>
        <v>I. van de Boschstraat 2A</v>
      </c>
      <c r="E25" s="455"/>
      <c r="F25" s="456"/>
      <c r="G25" s="453"/>
      <c r="H25" s="453"/>
      <c r="I25" s="518"/>
      <c r="J25" s="15">
        <v>7679</v>
      </c>
      <c r="K25" s="15">
        <f>K100</f>
        <v>7680</v>
      </c>
      <c r="L25" s="15">
        <f>L100</f>
        <v>7842</v>
      </c>
      <c r="M25" s="15">
        <f>M100</f>
        <v>8022</v>
      </c>
      <c r="N25" s="15">
        <f>N100</f>
        <v>8206</v>
      </c>
      <c r="O25" s="15">
        <f>O100</f>
        <v>8395</v>
      </c>
    </row>
    <row r="26" spans="4:15" ht="12.75" customHeight="1" x14ac:dyDescent="0.25">
      <c r="D26" s="454" t="str">
        <f>G102</f>
        <v>Algemene lasten gebouwenbeheer</v>
      </c>
      <c r="E26" s="455"/>
      <c r="F26" s="456"/>
      <c r="G26" s="453"/>
      <c r="H26" s="453"/>
      <c r="I26" s="518"/>
      <c r="J26" s="457">
        <v>59007</v>
      </c>
      <c r="K26" s="457">
        <f>K105</f>
        <v>9221</v>
      </c>
      <c r="L26" s="457">
        <f>L105</f>
        <v>9415</v>
      </c>
      <c r="M26" s="457">
        <f>M105</f>
        <v>9632</v>
      </c>
      <c r="N26" s="457">
        <f>N105</f>
        <v>9854</v>
      </c>
      <c r="O26" s="457">
        <f>O105</f>
        <v>10080</v>
      </c>
    </row>
    <row r="27" spans="4:15" ht="12.75" customHeight="1" x14ac:dyDescent="0.25">
      <c r="D27" s="454" t="str">
        <f>G193</f>
        <v>Directe toerekening vastgoed</v>
      </c>
      <c r="E27" s="455"/>
      <c r="F27" s="456"/>
      <c r="G27" s="453"/>
      <c r="H27" s="453"/>
      <c r="I27" s="518"/>
      <c r="J27" s="15">
        <v>179716</v>
      </c>
      <c r="K27" s="15">
        <f>K197</f>
        <v>208752.05</v>
      </c>
      <c r="L27" s="15">
        <f>L197</f>
        <v>203845</v>
      </c>
      <c r="M27" s="15">
        <f>M197</f>
        <v>209958</v>
      </c>
      <c r="N27" s="15">
        <f>N197</f>
        <v>216298</v>
      </c>
      <c r="O27" s="15">
        <f>O197</f>
        <v>222872</v>
      </c>
    </row>
    <row r="28" spans="4:15" ht="12.75" customHeight="1" x14ac:dyDescent="0.25">
      <c r="D28" s="454" t="s">
        <v>975</v>
      </c>
      <c r="E28" s="455"/>
      <c r="F28" s="456"/>
      <c r="G28" s="453"/>
      <c r="H28" s="453"/>
      <c r="I28" s="518"/>
      <c r="J28" s="15">
        <v>21559</v>
      </c>
      <c r="K28" s="15">
        <f>+K115</f>
        <v>8759</v>
      </c>
      <c r="L28" s="15">
        <f>+L115</f>
        <v>8943</v>
      </c>
      <c r="M28" s="15">
        <f>+M115</f>
        <v>9149</v>
      </c>
      <c r="N28" s="15">
        <f>+N115</f>
        <v>9360</v>
      </c>
      <c r="O28" s="15">
        <f>+O115</f>
        <v>9575</v>
      </c>
    </row>
    <row r="29" spans="4:15" ht="12.75" customHeight="1" x14ac:dyDescent="0.25">
      <c r="D29" s="454" t="str">
        <f>G117</f>
        <v>Molenstraat 1b</v>
      </c>
      <c r="E29" s="455"/>
      <c r="F29" s="456"/>
      <c r="G29" s="453"/>
      <c r="H29" s="453"/>
      <c r="I29" s="518"/>
      <c r="J29" s="15">
        <v>27044</v>
      </c>
      <c r="K29" s="15">
        <f>K126</f>
        <v>27933.465225074873</v>
      </c>
      <c r="L29" s="15">
        <f>L126</f>
        <v>28827.953438402641</v>
      </c>
      <c r="M29" s="15">
        <f>M126</f>
        <v>29761.733715623537</v>
      </c>
      <c r="N29" s="15">
        <f>N126</f>
        <v>30726.630863101607</v>
      </c>
      <c r="O29" s="15">
        <f>O126</f>
        <v>12894</v>
      </c>
    </row>
    <row r="30" spans="4:15" ht="12.75" customHeight="1" x14ac:dyDescent="0.25">
      <c r="D30" s="454" t="str">
        <f>G128</f>
        <v>H. Hartstraat 1</v>
      </c>
      <c r="E30" s="455"/>
      <c r="F30" s="456"/>
      <c r="G30" s="453"/>
      <c r="H30" s="453"/>
      <c r="I30" s="518"/>
      <c r="J30" s="15">
        <v>1057</v>
      </c>
      <c r="K30" s="15">
        <f>K135</f>
        <v>7585</v>
      </c>
      <c r="L30" s="15">
        <f>L135</f>
        <v>7754</v>
      </c>
      <c r="M30" s="15">
        <f>M135</f>
        <v>7940</v>
      </c>
      <c r="N30" s="15">
        <f>N135</f>
        <v>8131</v>
      </c>
      <c r="O30" s="15">
        <f>O135</f>
        <v>8318</v>
      </c>
    </row>
    <row r="31" spans="4:15" ht="12.75" customHeight="1" x14ac:dyDescent="0.25">
      <c r="D31" s="454" t="str">
        <f>G137</f>
        <v>Spoorstraat 1</v>
      </c>
      <c r="E31" s="455"/>
      <c r="F31" s="456"/>
      <c r="G31" s="453"/>
      <c r="H31" s="453"/>
      <c r="I31" s="518"/>
      <c r="J31" s="15">
        <v>1083</v>
      </c>
      <c r="K31" s="15">
        <f>K141</f>
        <v>1111</v>
      </c>
      <c r="L31" s="15">
        <f>L141</f>
        <v>1135</v>
      </c>
      <c r="M31" s="15">
        <f>M141</f>
        <v>1161</v>
      </c>
      <c r="N31" s="15">
        <f>N141</f>
        <v>1187</v>
      </c>
      <c r="O31" s="15">
        <f>O141</f>
        <v>1214</v>
      </c>
    </row>
    <row r="32" spans="4:15" ht="12.75" customHeight="1" x14ac:dyDescent="0.25">
      <c r="D32" s="454" t="str">
        <f>G143</f>
        <v>Stationsstraat 19a</v>
      </c>
      <c r="E32" s="455"/>
      <c r="F32" s="456"/>
      <c r="G32" s="453"/>
      <c r="H32" s="453"/>
      <c r="I32" s="518"/>
      <c r="J32" s="15">
        <v>1017</v>
      </c>
      <c r="K32" s="15">
        <f>K147</f>
        <v>1044</v>
      </c>
      <c r="L32" s="15">
        <f>L147</f>
        <v>1065</v>
      </c>
      <c r="M32" s="15">
        <f>M147</f>
        <v>1090</v>
      </c>
      <c r="N32" s="15">
        <f>N147</f>
        <v>1115</v>
      </c>
      <c r="O32" s="15">
        <f>O147</f>
        <v>1141</v>
      </c>
    </row>
    <row r="33" spans="4:15" ht="12.75" customHeight="1" x14ac:dyDescent="0.25">
      <c r="D33" s="454" t="str">
        <f>G149</f>
        <v>Veldweg 14 en 16</v>
      </c>
      <c r="E33" s="455"/>
      <c r="F33" s="456"/>
      <c r="G33" s="453"/>
      <c r="H33" s="453"/>
      <c r="I33" s="518"/>
      <c r="J33" s="15">
        <v>6088</v>
      </c>
      <c r="K33" s="15">
        <f>K154</f>
        <v>6247</v>
      </c>
      <c r="L33" s="15">
        <f>L154</f>
        <v>6377</v>
      </c>
      <c r="M33" s="15">
        <f>M154</f>
        <v>6523</v>
      </c>
      <c r="N33" s="15">
        <f>N154</f>
        <v>6673</v>
      </c>
      <c r="O33" s="15">
        <f>O154</f>
        <v>6826</v>
      </c>
    </row>
    <row r="34" spans="4:15" ht="12.75" customHeight="1" x14ac:dyDescent="0.25">
      <c r="D34" s="454" t="str">
        <f>G156</f>
        <v>Afgewikkelde complexen</v>
      </c>
      <c r="E34" s="455"/>
      <c r="F34" s="456"/>
      <c r="G34" s="453"/>
      <c r="H34" s="453"/>
      <c r="I34" s="518"/>
      <c r="J34" s="15">
        <v>58433</v>
      </c>
      <c r="K34" s="15">
        <f>K163</f>
        <v>27416</v>
      </c>
      <c r="L34" s="15">
        <f>L163</f>
        <v>27899</v>
      </c>
      <c r="M34" s="15">
        <f>M163</f>
        <v>28439</v>
      </c>
      <c r="N34" s="15">
        <f>N163</f>
        <v>28992</v>
      </c>
      <c r="O34" s="15">
        <f>O163</f>
        <v>29558</v>
      </c>
    </row>
    <row r="35" spans="4:15" ht="12.75" customHeight="1" x14ac:dyDescent="0.25">
      <c r="D35" s="454" t="str">
        <f>G165</f>
        <v>Johannes Vermeerstraat 21</v>
      </c>
      <c r="E35" s="455"/>
      <c r="F35" s="516"/>
      <c r="G35" s="453"/>
      <c r="H35" s="453"/>
      <c r="I35" s="518"/>
      <c r="J35" s="14">
        <v>4773</v>
      </c>
      <c r="K35" s="14">
        <f>K169</f>
        <v>10897</v>
      </c>
      <c r="L35" s="14">
        <f>L169</f>
        <v>11126</v>
      </c>
      <c r="M35" s="14">
        <f>M169</f>
        <v>11381</v>
      </c>
      <c r="N35" s="14">
        <f>N169</f>
        <v>11643</v>
      </c>
      <c r="O35" s="14">
        <f>O169</f>
        <v>11911</v>
      </c>
    </row>
    <row r="36" spans="4:15" ht="12.75" customHeight="1" x14ac:dyDescent="0.25">
      <c r="D36" s="454" t="str">
        <f>G171</f>
        <v>Wildheuvel 21-23 (leegstand)</v>
      </c>
      <c r="E36" s="455"/>
      <c r="F36" s="516"/>
      <c r="G36" s="453"/>
      <c r="H36" s="453"/>
      <c r="I36" s="518"/>
      <c r="J36" s="14">
        <v>1964</v>
      </c>
      <c r="K36" s="14">
        <f>K175</f>
        <v>2015</v>
      </c>
      <c r="L36" s="14">
        <f>L175</f>
        <v>2058</v>
      </c>
      <c r="M36" s="14">
        <f>M175</f>
        <v>2106</v>
      </c>
      <c r="N36" s="14">
        <f>N175</f>
        <v>2154</v>
      </c>
      <c r="O36" s="14">
        <f>O175</f>
        <v>2204</v>
      </c>
    </row>
    <row r="37" spans="4:15" ht="12.75" customHeight="1" x14ac:dyDescent="0.25">
      <c r="D37" s="454" t="str">
        <f>G177</f>
        <v>Burgemeester Notermanstraat 27/29/29A</v>
      </c>
      <c r="E37" s="455"/>
      <c r="F37" s="516"/>
      <c r="G37" s="453"/>
      <c r="H37" s="453"/>
      <c r="I37" s="518"/>
      <c r="J37" s="14">
        <f t="shared" ref="J37:O37" si="0">J181</f>
        <v>0</v>
      </c>
      <c r="K37" s="14">
        <f t="shared" si="0"/>
        <v>4000</v>
      </c>
      <c r="L37" s="14">
        <f t="shared" si="0"/>
        <v>4084</v>
      </c>
      <c r="M37" s="14">
        <f t="shared" si="0"/>
        <v>4177</v>
      </c>
      <c r="N37" s="14">
        <f t="shared" si="0"/>
        <v>4273</v>
      </c>
      <c r="O37" s="14">
        <f t="shared" si="0"/>
        <v>4372</v>
      </c>
    </row>
    <row r="38" spans="4:15" ht="12.75" customHeight="1" x14ac:dyDescent="0.25">
      <c r="D38" s="461" t="str">
        <f>G183</f>
        <v>Sportlaan 10</v>
      </c>
      <c r="E38" s="455"/>
      <c r="F38" s="516"/>
      <c r="G38" s="453"/>
      <c r="H38" s="453"/>
      <c r="I38" s="518"/>
      <c r="J38" s="14">
        <f>J185</f>
        <v>0</v>
      </c>
      <c r="K38" s="14">
        <f t="shared" ref="K38" si="1">K185</f>
        <v>136981</v>
      </c>
      <c r="L38" s="14">
        <f t="shared" ref="L38:O38" si="2">L185</f>
        <v>0</v>
      </c>
      <c r="M38" s="14">
        <f t="shared" si="2"/>
        <v>0</v>
      </c>
      <c r="N38" s="14">
        <f t="shared" si="2"/>
        <v>0</v>
      </c>
      <c r="O38" s="14">
        <f t="shared" si="2"/>
        <v>0</v>
      </c>
    </row>
    <row r="39" spans="4:15" ht="12.75" customHeight="1" x14ac:dyDescent="0.25">
      <c r="D39" s="454"/>
      <c r="E39" s="455"/>
      <c r="F39" s="516"/>
      <c r="G39" s="453"/>
      <c r="H39" s="453"/>
      <c r="I39" s="518"/>
      <c r="J39" s="14"/>
      <c r="K39" s="14"/>
      <c r="L39" s="14"/>
      <c r="M39" s="14"/>
      <c r="N39" s="14"/>
      <c r="O39" s="14"/>
    </row>
    <row r="40" spans="4:15" ht="12.75" customHeight="1" x14ac:dyDescent="0.25">
      <c r="D40" s="454"/>
      <c r="E40" s="455"/>
      <c r="F40" s="516"/>
      <c r="G40" s="453"/>
      <c r="H40" s="453"/>
      <c r="I40" s="518"/>
      <c r="J40" s="14"/>
      <c r="K40" s="14"/>
      <c r="L40" s="14"/>
      <c r="M40" s="14"/>
      <c r="N40" s="14"/>
      <c r="O40" s="14"/>
    </row>
    <row r="41" spans="4:15" ht="12.75" customHeight="1" x14ac:dyDescent="0.25">
      <c r="D41" s="454"/>
      <c r="E41" s="455"/>
      <c r="F41" s="516"/>
      <c r="G41" s="453"/>
      <c r="H41" s="453"/>
      <c r="I41" s="518"/>
      <c r="J41" s="14"/>
      <c r="K41" s="14"/>
      <c r="L41" s="14"/>
      <c r="M41" s="14"/>
      <c r="N41" s="14"/>
      <c r="O41" s="14"/>
    </row>
    <row r="42" spans="4:15" ht="12.75" customHeight="1" x14ac:dyDescent="0.25">
      <c r="D42" s="454"/>
      <c r="E42" s="455"/>
      <c r="F42" s="516"/>
      <c r="G42" s="453"/>
      <c r="H42" s="453"/>
      <c r="I42" s="518"/>
      <c r="J42" s="14"/>
      <c r="K42" s="14"/>
      <c r="L42" s="14"/>
      <c r="M42" s="14"/>
      <c r="N42" s="14"/>
      <c r="O42" s="14"/>
    </row>
    <row r="43" spans="4:15" ht="12.75" customHeight="1" x14ac:dyDescent="0.25">
      <c r="D43" s="454"/>
      <c r="E43" s="455"/>
      <c r="F43" s="516"/>
      <c r="G43" s="453"/>
      <c r="H43" s="453"/>
      <c r="I43" s="518"/>
      <c r="J43" s="14"/>
      <c r="K43" s="14"/>
      <c r="L43" s="14"/>
      <c r="M43" s="14"/>
      <c r="N43" s="14"/>
      <c r="O43" s="14"/>
    </row>
    <row r="44" spans="4:15" ht="12.75" customHeight="1" x14ac:dyDescent="0.25">
      <c r="D44" s="454"/>
      <c r="E44" s="455"/>
      <c r="F44" s="516"/>
      <c r="G44" s="453"/>
      <c r="H44" s="453"/>
      <c r="I44" s="518"/>
      <c r="J44" s="14"/>
      <c r="K44" s="14"/>
      <c r="L44" s="14"/>
      <c r="M44" s="14"/>
      <c r="N44" s="14"/>
      <c r="O44" s="14"/>
    </row>
    <row r="45" spans="4:15" ht="12.75" customHeight="1" x14ac:dyDescent="0.25">
      <c r="D45" s="454"/>
      <c r="E45" s="455"/>
      <c r="F45" s="516"/>
      <c r="G45" s="453"/>
      <c r="H45" s="453"/>
      <c r="I45" s="518"/>
      <c r="J45" s="14"/>
      <c r="K45" s="14"/>
      <c r="L45" s="14"/>
      <c r="M45" s="14"/>
      <c r="N45" s="14"/>
      <c r="O45" s="14"/>
    </row>
    <row r="46" spans="4:15" ht="12.75" customHeight="1" x14ac:dyDescent="0.25">
      <c r="D46" s="454"/>
      <c r="E46" s="455"/>
      <c r="F46" s="516"/>
      <c r="G46" s="453"/>
      <c r="H46" s="453"/>
      <c r="I46" s="518"/>
      <c r="J46" s="13"/>
      <c r="K46" s="13"/>
      <c r="L46" s="13"/>
      <c r="M46" s="13"/>
      <c r="N46" s="13"/>
      <c r="O46" s="13"/>
    </row>
    <row r="47" spans="4:15" ht="12.75" customHeight="1" x14ac:dyDescent="0.25">
      <c r="D47" s="1751" t="s">
        <v>525</v>
      </c>
      <c r="E47" s="1752"/>
      <c r="F47" s="1771"/>
      <c r="G47" s="1754"/>
      <c r="H47" s="1754"/>
      <c r="I47" s="1757"/>
      <c r="J47" s="1807">
        <v>385018</v>
      </c>
      <c r="K47" s="1807">
        <f>SUM(K22:K46)</f>
        <v>653245.51522507484</v>
      </c>
      <c r="L47" s="1807">
        <f>SUM(L22:L46)</f>
        <v>339365.95343840262</v>
      </c>
      <c r="M47" s="1807">
        <f>SUM(M22:M46)</f>
        <v>348755.73371562356</v>
      </c>
      <c r="N47" s="1807">
        <f>SUM(N22:N46)</f>
        <v>358458.63086310163</v>
      </c>
      <c r="O47" s="1807">
        <f>SUM(O22:O46)</f>
        <v>349646</v>
      </c>
    </row>
    <row r="48" spans="4:15" ht="12.75" customHeight="1" x14ac:dyDescent="0.25">
      <c r="D48" s="438"/>
      <c r="E48" s="455"/>
      <c r="F48" s="516"/>
      <c r="G48" s="453"/>
      <c r="H48" s="453"/>
      <c r="I48" s="453"/>
      <c r="J48" s="453"/>
      <c r="K48" s="453"/>
      <c r="L48" s="453"/>
      <c r="M48" s="453"/>
      <c r="N48" s="453"/>
      <c r="O48" s="453"/>
    </row>
    <row r="49" spans="4:15" ht="12.75" customHeight="1" x14ac:dyDescent="0.25">
      <c r="D49" s="1746" t="s">
        <v>526</v>
      </c>
      <c r="E49" s="1747"/>
      <c r="F49" s="1806"/>
      <c r="G49" s="1748"/>
      <c r="H49" s="1748"/>
      <c r="I49" s="1749"/>
      <c r="J49" s="1749">
        <v>2025</v>
      </c>
      <c r="K49" s="1749">
        <v>2026</v>
      </c>
      <c r="L49" s="1749">
        <v>2027</v>
      </c>
      <c r="M49" s="1749">
        <v>2028</v>
      </c>
      <c r="N49" s="1749">
        <v>2029</v>
      </c>
      <c r="O49" s="1749">
        <v>2030</v>
      </c>
    </row>
    <row r="50" spans="4:15" ht="12.75" customHeight="1" x14ac:dyDescent="0.25">
      <c r="D50" s="1808" t="str">
        <f>G187</f>
        <v>Strategische gronden</v>
      </c>
      <c r="E50" s="616"/>
      <c r="F50" s="617"/>
      <c r="G50" s="618"/>
      <c r="H50" s="618"/>
      <c r="I50" s="518"/>
      <c r="J50" s="457">
        <v>-161150.22999999998</v>
      </c>
      <c r="K50" s="457">
        <f>K191</f>
        <v>-166088</v>
      </c>
      <c r="L50" s="457">
        <f>L191</f>
        <v>-173584.83000000007</v>
      </c>
      <c r="M50" s="457">
        <f>M191</f>
        <v>-177488.98</v>
      </c>
      <c r="N50" s="457">
        <f>N191</f>
        <v>-181482.98</v>
      </c>
      <c r="O50" s="457">
        <f>O191</f>
        <v>-185566.98</v>
      </c>
    </row>
    <row r="51" spans="4:15" ht="12.75" customHeight="1" x14ac:dyDescent="0.25">
      <c r="D51" s="454" t="str">
        <f>G199</f>
        <v>Garageboxen</v>
      </c>
      <c r="E51" s="455"/>
      <c r="F51" s="456"/>
      <c r="G51" s="453"/>
      <c r="H51" s="453"/>
      <c r="I51" s="518"/>
      <c r="J51" s="457">
        <v>2779.8</v>
      </c>
      <c r="K51" s="457">
        <f>K202</f>
        <v>-2880</v>
      </c>
      <c r="L51" s="457">
        <f>L202</f>
        <v>-2960.39</v>
      </c>
      <c r="M51" s="457">
        <f>M202</f>
        <v>-3028</v>
      </c>
      <c r="N51" s="457">
        <f>N202</f>
        <v>-3098</v>
      </c>
      <c r="O51" s="457">
        <f>O202</f>
        <v>-3169</v>
      </c>
    </row>
    <row r="52" spans="4:15" ht="12.75" customHeight="1" x14ac:dyDescent="0.25">
      <c r="D52" s="454" t="str">
        <f>G204</f>
        <v>Hartevier 2</v>
      </c>
      <c r="E52" s="455"/>
      <c r="F52" s="456"/>
      <c r="G52" s="453"/>
      <c r="H52" s="453"/>
      <c r="I52" s="518"/>
      <c r="J52" s="457">
        <v>-37365</v>
      </c>
      <c r="K52" s="457">
        <f>K207</f>
        <v>-39678</v>
      </c>
      <c r="L52" s="457">
        <f>L207</f>
        <v>-40787.480000000003</v>
      </c>
      <c r="M52" s="457">
        <f>M207</f>
        <v>-41726</v>
      </c>
      <c r="N52" s="457">
        <f>N207</f>
        <v>-42686</v>
      </c>
      <c r="O52" s="457">
        <f>O207</f>
        <v>-43668</v>
      </c>
    </row>
    <row r="53" spans="4:15" ht="12.75" customHeight="1" x14ac:dyDescent="0.25">
      <c r="D53" s="454" t="str">
        <f>G209</f>
        <v>Erfpachtovereenkomst Best Zoo</v>
      </c>
      <c r="E53" s="455"/>
      <c r="F53" s="456"/>
      <c r="G53" s="453"/>
      <c r="H53" s="453"/>
      <c r="I53" s="518"/>
      <c r="J53" s="457">
        <v>-13954</v>
      </c>
      <c r="K53" s="457">
        <f>K212</f>
        <v>-13927</v>
      </c>
      <c r="L53" s="457">
        <f>L212</f>
        <v>-13859.26</v>
      </c>
      <c r="M53" s="457">
        <f>M212</f>
        <v>-14178</v>
      </c>
      <c r="N53" s="457">
        <f>N212</f>
        <v>-14504</v>
      </c>
      <c r="O53" s="457">
        <f>O212</f>
        <v>-14838</v>
      </c>
    </row>
    <row r="54" spans="4:15" ht="12.75" customHeight="1" x14ac:dyDescent="0.25">
      <c r="D54" s="454" t="str">
        <f>G214</f>
        <v>H. Hartstraat 1</v>
      </c>
      <c r="E54" s="455"/>
      <c r="F54" s="456"/>
      <c r="G54" s="453"/>
      <c r="H54" s="453"/>
      <c r="I54" s="518"/>
      <c r="J54" s="457">
        <v>-3252.02</v>
      </c>
      <c r="K54" s="457">
        <f>K217</f>
        <v>-3359</v>
      </c>
      <c r="L54" s="457">
        <f>L217</f>
        <v>-3453.23</v>
      </c>
      <c r="M54" s="457">
        <f>M217</f>
        <v>-3533</v>
      </c>
      <c r="N54" s="457">
        <f>N217</f>
        <v>-3614</v>
      </c>
      <c r="O54" s="457">
        <f>O217</f>
        <v>-3697</v>
      </c>
    </row>
    <row r="55" spans="4:15" ht="12.75" customHeight="1" x14ac:dyDescent="0.25">
      <c r="D55" s="454" t="str">
        <f>G219</f>
        <v>Spoorstraat 1</v>
      </c>
      <c r="E55" s="455"/>
      <c r="F55" s="456"/>
      <c r="G55" s="453"/>
      <c r="H55" s="453"/>
      <c r="I55" s="518"/>
      <c r="J55" s="457">
        <v>-16859</v>
      </c>
      <c r="K55" s="457">
        <f>K222</f>
        <v>-17297</v>
      </c>
      <c r="L55" s="457">
        <f>L222</f>
        <v>-11236.37</v>
      </c>
      <c r="M55" s="457">
        <f>M222</f>
        <v>-11495</v>
      </c>
      <c r="N55" s="457">
        <f>N222</f>
        <v>-11759</v>
      </c>
      <c r="O55" s="457">
        <f>O222</f>
        <v>-12029</v>
      </c>
    </row>
    <row r="56" spans="4:15" ht="12.75" customHeight="1" x14ac:dyDescent="0.25">
      <c r="D56" s="454" t="str">
        <f>G225</f>
        <v>Veldweg 14 en 16</v>
      </c>
      <c r="E56" s="455"/>
      <c r="F56" s="456"/>
      <c r="G56" s="453"/>
      <c r="H56" s="453"/>
      <c r="I56" s="518"/>
      <c r="J56" s="457">
        <v>-30866</v>
      </c>
      <c r="K56" s="457">
        <f>K228</f>
        <v>-30782</v>
      </c>
      <c r="L56" s="457">
        <f>L228</f>
        <v>-22279.22</v>
      </c>
      <c r="M56" s="457">
        <f>M228</f>
        <v>-22792</v>
      </c>
      <c r="N56" s="457">
        <f>N228</f>
        <v>-23316</v>
      </c>
      <c r="O56" s="457">
        <f>O228</f>
        <v>-23852</v>
      </c>
    </row>
    <row r="57" spans="4:15" ht="12.75" customHeight="1" x14ac:dyDescent="0.25">
      <c r="D57" s="454" t="str">
        <f>G230</f>
        <v>Afgewikkelde complexen</v>
      </c>
      <c r="E57" s="455"/>
      <c r="F57" s="456"/>
      <c r="G57" s="453"/>
      <c r="H57" s="453"/>
      <c r="I57" s="518"/>
      <c r="J57" s="457">
        <v>-95900</v>
      </c>
      <c r="K57" s="457">
        <f>K233</f>
        <v>-98400</v>
      </c>
      <c r="L57" s="457">
        <f>L233</f>
        <v>-100500</v>
      </c>
      <c r="M57" s="457">
        <f>M233</f>
        <v>-102800</v>
      </c>
      <c r="N57" s="457">
        <f>N233</f>
        <v>-105200</v>
      </c>
      <c r="O57" s="457">
        <f>O233</f>
        <v>-107600</v>
      </c>
    </row>
    <row r="58" spans="4:15" ht="12.75" customHeight="1" x14ac:dyDescent="0.25">
      <c r="D58" s="461" t="s">
        <v>5431</v>
      </c>
      <c r="E58" s="455"/>
      <c r="F58" s="456"/>
      <c r="G58" s="453"/>
      <c r="H58" s="453"/>
      <c r="I58" s="518"/>
      <c r="J58" s="463">
        <v>0</v>
      </c>
      <c r="K58" s="463">
        <v>0</v>
      </c>
      <c r="L58" s="463">
        <f>L237</f>
        <v>-6042.69</v>
      </c>
      <c r="M58" s="463">
        <f t="shared" ref="M58:O58" si="3">M237</f>
        <v>-6182</v>
      </c>
      <c r="N58" s="463">
        <f t="shared" si="3"/>
        <v>-6324</v>
      </c>
      <c r="O58" s="463">
        <f t="shared" si="3"/>
        <v>-6469</v>
      </c>
    </row>
    <row r="59" spans="4:15" ht="12.75" customHeight="1" x14ac:dyDescent="0.25">
      <c r="D59" s="454" t="str">
        <f>G240</f>
        <v>Sportlaan 10</v>
      </c>
      <c r="E59" s="455"/>
      <c r="F59" s="516"/>
      <c r="G59" s="453"/>
      <c r="H59" s="453"/>
      <c r="I59" s="518"/>
      <c r="J59" s="463">
        <f>J242</f>
        <v>0</v>
      </c>
      <c r="K59" s="463">
        <f t="shared" ref="K59" si="4">K242</f>
        <v>-94164</v>
      </c>
      <c r="L59" s="463">
        <f t="shared" ref="L59:O59" si="5">L242</f>
        <v>0</v>
      </c>
      <c r="M59" s="463">
        <f t="shared" si="5"/>
        <v>0</v>
      </c>
      <c r="N59" s="463">
        <f t="shared" si="5"/>
        <v>0</v>
      </c>
      <c r="O59" s="463">
        <f t="shared" si="5"/>
        <v>0</v>
      </c>
    </row>
    <row r="60" spans="4:15" ht="12.75" customHeight="1" x14ac:dyDescent="0.25">
      <c r="D60" s="454"/>
      <c r="E60" s="455"/>
      <c r="F60" s="516"/>
      <c r="G60" s="453"/>
      <c r="H60" s="453"/>
      <c r="I60" s="518"/>
      <c r="J60" s="463"/>
      <c r="K60" s="463"/>
      <c r="L60" s="463"/>
      <c r="M60" s="463"/>
      <c r="N60" s="463"/>
      <c r="O60" s="463"/>
    </row>
    <row r="61" spans="4:15" ht="12.75" customHeight="1" x14ac:dyDescent="0.25">
      <c r="D61" s="464"/>
      <c r="E61" s="465"/>
      <c r="F61" s="1015"/>
      <c r="G61" s="467"/>
      <c r="H61" s="467"/>
      <c r="I61" s="518"/>
      <c r="J61" s="463"/>
      <c r="K61" s="463"/>
      <c r="L61" s="463"/>
      <c r="M61" s="463"/>
      <c r="N61" s="463"/>
      <c r="O61" s="463"/>
    </row>
    <row r="62" spans="4:15" ht="12.75" customHeight="1" x14ac:dyDescent="0.25">
      <c r="D62" s="1751" t="s">
        <v>328</v>
      </c>
      <c r="E62" s="1752"/>
      <c r="F62" s="1771"/>
      <c r="G62" s="1754"/>
      <c r="H62" s="1754"/>
      <c r="I62" s="1757"/>
      <c r="J62" s="1807">
        <v>-356566.44999999995</v>
      </c>
      <c r="K62" s="1807">
        <f>SUM(K50:K61)</f>
        <v>-466575</v>
      </c>
      <c r="L62" s="1807">
        <f>SUM(L50:L61)</f>
        <v>-374703.47000000015</v>
      </c>
      <c r="M62" s="1807">
        <f>SUM(M50:M61)</f>
        <v>-383222.98</v>
      </c>
      <c r="N62" s="1807">
        <f>SUM(N50:N61)</f>
        <v>-391983.98</v>
      </c>
      <c r="O62" s="1807">
        <f>SUM(O50:O61)</f>
        <v>-400888.98</v>
      </c>
    </row>
    <row r="63" spans="4:15" ht="12.75" customHeight="1" x14ac:dyDescent="0.25">
      <c r="D63" s="438"/>
      <c r="E63" s="455"/>
      <c r="F63" s="516"/>
      <c r="G63" s="453"/>
      <c r="H63" s="453"/>
      <c r="I63" s="453"/>
      <c r="J63" s="469"/>
      <c r="K63" s="469"/>
      <c r="L63" s="469"/>
      <c r="M63" s="469"/>
      <c r="N63" s="469"/>
      <c r="O63" s="469"/>
    </row>
    <row r="64" spans="4:15" ht="12.75" customHeight="1" x14ac:dyDescent="0.25">
      <c r="D64" s="1751" t="s">
        <v>976</v>
      </c>
      <c r="E64" s="1756"/>
      <c r="F64" s="1756"/>
      <c r="G64" s="1754"/>
      <c r="H64" s="1754"/>
      <c r="I64" s="1754"/>
      <c r="J64" s="1758">
        <v>28451.550000000047</v>
      </c>
      <c r="K64" s="1758">
        <f>K47+K62</f>
        <v>186670.51522507484</v>
      </c>
      <c r="L64" s="1758">
        <f>L47+L62</f>
        <v>-35337.516561597527</v>
      </c>
      <c r="M64" s="1758">
        <f>M47+M62</f>
        <v>-34467.246284376422</v>
      </c>
      <c r="N64" s="1758">
        <f>N47+N62</f>
        <v>-33525.349136898352</v>
      </c>
      <c r="O64" s="1758">
        <f>O47+O62</f>
        <v>-51242.979999999981</v>
      </c>
    </row>
    <row r="65" spans="1:15" ht="12.75" customHeight="1" x14ac:dyDescent="0.25">
      <c r="D65" s="438"/>
      <c r="E65" s="455"/>
      <c r="F65" s="516"/>
      <c r="G65" s="453"/>
      <c r="H65" s="453"/>
      <c r="I65" s="453"/>
      <c r="J65" s="469"/>
      <c r="K65" s="469"/>
      <c r="L65" s="469"/>
      <c r="M65" s="469"/>
      <c r="N65" s="469"/>
      <c r="O65" s="469"/>
    </row>
    <row r="66" spans="1:15" ht="12.75" customHeight="1" x14ac:dyDescent="0.25">
      <c r="D66" s="438"/>
      <c r="E66" s="455"/>
      <c r="F66" s="516"/>
      <c r="G66" s="453"/>
      <c r="H66" s="453"/>
      <c r="I66" s="453"/>
      <c r="J66" s="469"/>
      <c r="K66" s="469"/>
      <c r="L66" s="469"/>
      <c r="M66" s="469"/>
      <c r="N66" s="469"/>
      <c r="O66" s="469"/>
    </row>
    <row r="67" spans="1:15" ht="12.75" customHeight="1" x14ac:dyDescent="0.25">
      <c r="D67" s="453"/>
      <c r="E67" s="453"/>
      <c r="F67" s="438"/>
      <c r="G67" s="453"/>
      <c r="H67" s="453"/>
      <c r="I67" s="453"/>
      <c r="J67" s="469"/>
      <c r="K67" s="469"/>
      <c r="L67" s="469"/>
      <c r="M67" s="469"/>
      <c r="N67" s="469"/>
      <c r="O67" s="469"/>
    </row>
    <row r="68" spans="1:15" ht="12.75" customHeight="1" x14ac:dyDescent="0.25">
      <c r="D68" s="438"/>
      <c r="E68" s="438"/>
      <c r="F68" s="438"/>
      <c r="G68" s="453"/>
      <c r="H68" s="453"/>
      <c r="I68" s="453"/>
      <c r="J68" s="469"/>
      <c r="K68" s="469"/>
      <c r="L68" s="469"/>
      <c r="M68" s="469"/>
      <c r="N68" s="469"/>
      <c r="O68" s="469"/>
    </row>
    <row r="69" spans="1:15" ht="12.75" customHeight="1" x14ac:dyDescent="0.25">
      <c r="D69" s="312" t="s">
        <v>528</v>
      </c>
      <c r="E69" s="382"/>
      <c r="F69" s="382"/>
    </row>
    <row r="71" spans="1:15" ht="12.75" customHeight="1" x14ac:dyDescent="0.25">
      <c r="A71" s="470"/>
      <c r="B71" s="453"/>
      <c r="C71" s="453"/>
      <c r="D71" s="2523" t="s">
        <v>529</v>
      </c>
      <c r="E71" s="1761" t="s">
        <v>530</v>
      </c>
      <c r="F71" s="2523" t="s">
        <v>531</v>
      </c>
      <c r="G71" s="2525" t="s">
        <v>206</v>
      </c>
      <c r="H71" s="2526"/>
      <c r="I71" s="1773"/>
      <c r="J71" s="1763"/>
      <c r="K71" s="1763"/>
      <c r="L71" s="1763"/>
      <c r="M71" s="1763"/>
      <c r="N71" s="1763"/>
      <c r="O71" s="1763"/>
    </row>
    <row r="72" spans="1:15" ht="12.75" customHeight="1" x14ac:dyDescent="0.25">
      <c r="A72" s="470"/>
      <c r="B72" s="453"/>
      <c r="C72" s="453"/>
      <c r="D72" s="2524"/>
      <c r="E72" s="472" t="s">
        <v>532</v>
      </c>
      <c r="F72" s="2524"/>
      <c r="G72" s="2527"/>
      <c r="H72" s="2528"/>
      <c r="I72" s="521"/>
      <c r="J72" s="1764">
        <v>2025</v>
      </c>
      <c r="K72" s="1764">
        <v>2026</v>
      </c>
      <c r="L72" s="1764">
        <v>2027</v>
      </c>
      <c r="M72" s="1764">
        <v>2028</v>
      </c>
      <c r="N72" s="1764">
        <v>2029</v>
      </c>
      <c r="O72" s="1764">
        <v>2030</v>
      </c>
    </row>
    <row r="73" spans="1:15" ht="12.75" customHeight="1" x14ac:dyDescent="0.25">
      <c r="A73" s="336"/>
      <c r="D73" s="1780">
        <v>603001</v>
      </c>
      <c r="E73" s="1809"/>
      <c r="F73" s="1809"/>
      <c r="G73" s="1781" t="s">
        <v>977</v>
      </c>
      <c r="H73" s="322"/>
      <c r="I73" s="1775"/>
      <c r="J73" s="1776"/>
      <c r="K73" s="1776"/>
      <c r="L73" s="1776"/>
      <c r="M73" s="1776"/>
      <c r="N73" s="1776"/>
      <c r="O73" s="1776"/>
    </row>
    <row r="74" spans="1:15" ht="12.75" customHeight="1" x14ac:dyDescent="0.25">
      <c r="A74" s="336"/>
      <c r="D74" s="333"/>
      <c r="E74" s="331"/>
      <c r="F74" s="331"/>
      <c r="G74" s="334" t="s">
        <v>533</v>
      </c>
      <c r="I74" s="316"/>
      <c r="J74" s="335"/>
      <c r="K74" s="335"/>
      <c r="L74" s="335"/>
      <c r="M74" s="335"/>
      <c r="N74" s="335"/>
      <c r="O74" s="335"/>
    </row>
    <row r="75" spans="1:15" ht="12.75" customHeight="1" x14ac:dyDescent="0.25">
      <c r="A75" s="336">
        <f>+D73</f>
        <v>603001</v>
      </c>
      <c r="B75" s="336" t="str">
        <f>G73</f>
        <v>Strategische gronden</v>
      </c>
      <c r="D75" s="337">
        <v>42100</v>
      </c>
      <c r="E75" s="337"/>
      <c r="F75" s="337"/>
      <c r="G75" s="319" t="s">
        <v>978</v>
      </c>
      <c r="I75" s="318"/>
      <c r="J75" s="317">
        <v>5133</v>
      </c>
      <c r="K75" s="317">
        <v>7866</v>
      </c>
      <c r="L75" s="317">
        <f>ROUND(K75*$T$2,0)</f>
        <v>8031</v>
      </c>
      <c r="M75" s="317">
        <f>ROUND(L75*$T$2,0)</f>
        <v>8200</v>
      </c>
      <c r="N75" s="317">
        <f>ROUND(M75*$T$2,0)</f>
        <v>8372</v>
      </c>
      <c r="O75" s="317">
        <f>ROUND(N75*$T$2,0)</f>
        <v>8548</v>
      </c>
    </row>
    <row r="76" spans="1:15" ht="12.75" customHeight="1" x14ac:dyDescent="0.25">
      <c r="A76" s="336">
        <v>603001</v>
      </c>
      <c r="B76" s="336" t="str">
        <f>G73</f>
        <v>Strategische gronden</v>
      </c>
      <c r="D76" s="337">
        <v>42100</v>
      </c>
      <c r="E76" s="337"/>
      <c r="F76" s="337"/>
      <c r="G76" s="319" t="s">
        <v>979</v>
      </c>
      <c r="I76" s="318"/>
      <c r="J76" s="317">
        <v>6447</v>
      </c>
      <c r="K76" s="317">
        <v>6615</v>
      </c>
      <c r="L76" s="317">
        <f t="shared" ref="L76:O77" si="6">ROUND(K76*T$2,0)</f>
        <v>6754</v>
      </c>
      <c r="M76" s="317">
        <f t="shared" si="6"/>
        <v>6909</v>
      </c>
      <c r="N76" s="317">
        <f t="shared" si="6"/>
        <v>7068</v>
      </c>
      <c r="O76" s="317">
        <f t="shared" si="6"/>
        <v>7231</v>
      </c>
    </row>
    <row r="77" spans="1:15" ht="12.75" customHeight="1" x14ac:dyDescent="0.25">
      <c r="A77" s="336">
        <v>603001</v>
      </c>
      <c r="B77" s="336" t="s">
        <v>977</v>
      </c>
      <c r="D77" s="337">
        <v>43806</v>
      </c>
      <c r="E77" s="337"/>
      <c r="F77" s="337"/>
      <c r="G77" s="319" t="s">
        <v>980</v>
      </c>
      <c r="I77" s="318"/>
      <c r="J77" s="317">
        <v>69</v>
      </c>
      <c r="K77" s="317">
        <v>71</v>
      </c>
      <c r="L77" s="317">
        <f t="shared" si="6"/>
        <v>72</v>
      </c>
      <c r="M77" s="317">
        <f t="shared" si="6"/>
        <v>74</v>
      </c>
      <c r="N77" s="317">
        <f t="shared" si="6"/>
        <v>76</v>
      </c>
      <c r="O77" s="317">
        <f t="shared" si="6"/>
        <v>78</v>
      </c>
    </row>
    <row r="78" spans="1:15" ht="12.75" customHeight="1" x14ac:dyDescent="0.25">
      <c r="A78" s="336">
        <v>603001</v>
      </c>
      <c r="B78" s="336" t="str">
        <f>G73</f>
        <v>Strategische gronden</v>
      </c>
      <c r="D78" s="337">
        <v>43812</v>
      </c>
      <c r="E78" s="337"/>
      <c r="F78" s="337"/>
      <c r="G78" s="319" t="s">
        <v>535</v>
      </c>
      <c r="I78" s="318"/>
      <c r="J78" s="317">
        <v>2724</v>
      </c>
      <c r="K78" s="317">
        <f>K260</f>
        <v>177795</v>
      </c>
      <c r="L78" s="317">
        <f>L260</f>
        <v>2854</v>
      </c>
      <c r="M78" s="317">
        <f>M260</f>
        <v>2920</v>
      </c>
      <c r="N78" s="317">
        <f>N260</f>
        <v>2987</v>
      </c>
      <c r="O78" s="317">
        <f>O260</f>
        <v>3056</v>
      </c>
    </row>
    <row r="79" spans="1:15" ht="12.75" customHeight="1" x14ac:dyDescent="0.25">
      <c r="A79" s="336">
        <v>603001</v>
      </c>
      <c r="B79" s="336" t="str">
        <f>G73</f>
        <v>Strategische gronden</v>
      </c>
      <c r="D79" s="337">
        <v>42100</v>
      </c>
      <c r="E79" s="337"/>
      <c r="F79" s="337"/>
      <c r="G79" s="319" t="s">
        <v>981</v>
      </c>
      <c r="I79" s="318"/>
      <c r="J79" s="317">
        <v>0</v>
      </c>
      <c r="K79" s="317">
        <v>0</v>
      </c>
      <c r="L79" s="317">
        <f>ROUND(K79*$T$2,0)</f>
        <v>0</v>
      </c>
      <c r="M79" s="317">
        <f>ROUND(L79*$T$2,0)</f>
        <v>0</v>
      </c>
      <c r="N79" s="317">
        <f>ROUND(M79*$T$2,0)</f>
        <v>0</v>
      </c>
      <c r="O79" s="317">
        <f>ROUND(N79*$T$2,0)</f>
        <v>0</v>
      </c>
    </row>
    <row r="80" spans="1:15" ht="12.75" customHeight="1" thickBot="1" x14ac:dyDescent="0.3">
      <c r="A80" s="336"/>
      <c r="D80" s="340"/>
      <c r="E80" s="340"/>
      <c r="F80" s="340"/>
      <c r="G80" s="319" t="s">
        <v>536</v>
      </c>
      <c r="I80" s="318"/>
      <c r="J80" s="480">
        <v>14373</v>
      </c>
      <c r="K80" s="480">
        <f>SUM(K75:K79)</f>
        <v>192347</v>
      </c>
      <c r="L80" s="480">
        <f>SUM(L75:L79)</f>
        <v>17711</v>
      </c>
      <c r="M80" s="480">
        <f>SUM(M75:M79)</f>
        <v>18103</v>
      </c>
      <c r="N80" s="480">
        <f>SUM(N75:N79)</f>
        <v>18503</v>
      </c>
      <c r="O80" s="480">
        <f>SUM(O75:O79)</f>
        <v>18913</v>
      </c>
    </row>
    <row r="81" spans="1:15" ht="12.75" customHeight="1" thickTop="1" x14ac:dyDescent="0.25">
      <c r="A81" s="336"/>
      <c r="D81" s="340"/>
      <c r="E81" s="340"/>
      <c r="F81" s="340"/>
      <c r="G81" s="319"/>
      <c r="I81" s="318"/>
      <c r="J81" s="318"/>
      <c r="K81" s="318"/>
      <c r="L81" s="318"/>
      <c r="M81" s="318"/>
      <c r="N81" s="318"/>
      <c r="O81" s="318"/>
    </row>
    <row r="82" spans="1:15" ht="12.75" customHeight="1" x14ac:dyDescent="0.25">
      <c r="A82" s="336"/>
      <c r="D82" s="333">
        <v>603002</v>
      </c>
      <c r="E82" s="331"/>
      <c r="F82" s="331"/>
      <c r="G82" s="332" t="s">
        <v>982</v>
      </c>
      <c r="I82" s="316"/>
      <c r="J82" s="316"/>
      <c r="K82" s="316"/>
      <c r="L82" s="316"/>
      <c r="M82" s="316"/>
      <c r="N82" s="316"/>
      <c r="O82" s="316"/>
    </row>
    <row r="83" spans="1:15" ht="12.75" customHeight="1" x14ac:dyDescent="0.25">
      <c r="A83" s="336"/>
      <c r="D83" s="333"/>
      <c r="E83" s="331"/>
      <c r="F83" s="331"/>
      <c r="G83" s="334" t="s">
        <v>533</v>
      </c>
      <c r="I83" s="316"/>
      <c r="J83" s="316"/>
      <c r="K83" s="316"/>
      <c r="L83" s="316"/>
      <c r="M83" s="316"/>
      <c r="N83" s="316"/>
      <c r="O83" s="316"/>
    </row>
    <row r="84" spans="1:15" ht="12.75" customHeight="1" x14ac:dyDescent="0.25">
      <c r="A84" s="336">
        <f>+D82</f>
        <v>603002</v>
      </c>
      <c r="B84" s="336" t="str">
        <f>G82</f>
        <v>Garageboxen</v>
      </c>
      <c r="D84" s="337">
        <v>42100</v>
      </c>
      <c r="E84" s="337"/>
      <c r="F84" s="337"/>
      <c r="G84" s="319" t="s">
        <v>978</v>
      </c>
      <c r="I84" s="318"/>
      <c r="J84" s="317">
        <v>74</v>
      </c>
      <c r="K84" s="317">
        <v>76</v>
      </c>
      <c r="L84" s="317">
        <f t="shared" ref="L84:O85" si="7">ROUND(K84*T$2,0)</f>
        <v>78</v>
      </c>
      <c r="M84" s="317">
        <f t="shared" si="7"/>
        <v>80</v>
      </c>
      <c r="N84" s="317">
        <f t="shared" si="7"/>
        <v>82</v>
      </c>
      <c r="O84" s="317">
        <f t="shared" si="7"/>
        <v>84</v>
      </c>
    </row>
    <row r="85" spans="1:15" ht="12.75" customHeight="1" x14ac:dyDescent="0.25">
      <c r="A85" s="336">
        <v>603002</v>
      </c>
      <c r="B85" s="336" t="str">
        <f>G82</f>
        <v>Garageboxen</v>
      </c>
      <c r="D85" s="337">
        <v>43806</v>
      </c>
      <c r="E85" s="337"/>
      <c r="F85" s="337"/>
      <c r="G85" s="319" t="s">
        <v>980</v>
      </c>
      <c r="I85" s="318"/>
      <c r="J85" s="317">
        <v>22</v>
      </c>
      <c r="K85" s="317">
        <v>23</v>
      </c>
      <c r="L85" s="317">
        <f t="shared" si="7"/>
        <v>23</v>
      </c>
      <c r="M85" s="317">
        <f t="shared" si="7"/>
        <v>24</v>
      </c>
      <c r="N85" s="317">
        <f t="shared" si="7"/>
        <v>25</v>
      </c>
      <c r="O85" s="317">
        <f t="shared" si="7"/>
        <v>26</v>
      </c>
    </row>
    <row r="86" spans="1:15" ht="12.75" customHeight="1" x14ac:dyDescent="0.25">
      <c r="A86" s="336">
        <v>603002</v>
      </c>
      <c r="B86" s="336" t="str">
        <f>G82</f>
        <v>Garageboxen</v>
      </c>
      <c r="D86" s="340">
        <v>43812</v>
      </c>
      <c r="E86" s="340"/>
      <c r="F86" s="340"/>
      <c r="G86" s="319" t="s">
        <v>535</v>
      </c>
      <c r="I86" s="318"/>
      <c r="J86" s="318">
        <v>594</v>
      </c>
      <c r="K86" s="318">
        <v>609</v>
      </c>
      <c r="L86" s="318">
        <f>L267</f>
        <v>622</v>
      </c>
      <c r="M86" s="318">
        <f>M267</f>
        <v>636</v>
      </c>
      <c r="N86" s="318">
        <f>N267</f>
        <v>651</v>
      </c>
      <c r="O86" s="318">
        <f>O267</f>
        <v>666</v>
      </c>
    </row>
    <row r="87" spans="1:15" ht="12.75" customHeight="1" thickBot="1" x14ac:dyDescent="0.3">
      <c r="A87" s="336"/>
      <c r="D87" s="340"/>
      <c r="E87" s="340"/>
      <c r="F87" s="340"/>
      <c r="G87" s="319" t="s">
        <v>536</v>
      </c>
      <c r="I87" s="318"/>
      <c r="J87" s="342">
        <v>690</v>
      </c>
      <c r="K87" s="342">
        <v>708</v>
      </c>
      <c r="L87" s="342">
        <f>SUM(L83:L86)</f>
        <v>723</v>
      </c>
      <c r="M87" s="342">
        <f>SUM(M83:M86)</f>
        <v>740</v>
      </c>
      <c r="N87" s="342">
        <f>SUM(N83:N86)</f>
        <v>758</v>
      </c>
      <c r="O87" s="342">
        <f>SUM(O83:O86)</f>
        <v>776</v>
      </c>
    </row>
    <row r="88" spans="1:15" ht="12.75" customHeight="1" thickTop="1" x14ac:dyDescent="0.25">
      <c r="A88" s="336"/>
      <c r="D88" s="340"/>
      <c r="E88" s="340"/>
      <c r="F88" s="340"/>
      <c r="G88" s="319"/>
      <c r="I88" s="318"/>
      <c r="J88" s="318"/>
      <c r="K88" s="318"/>
      <c r="L88" s="318"/>
      <c r="M88" s="318"/>
      <c r="N88" s="318"/>
      <c r="O88" s="318"/>
    </row>
    <row r="89" spans="1:15" ht="12.75" customHeight="1" x14ac:dyDescent="0.25">
      <c r="A89" s="336"/>
      <c r="D89" s="333">
        <v>603003</v>
      </c>
      <c r="E89" s="331"/>
      <c r="F89" s="331"/>
      <c r="G89" s="332" t="s">
        <v>983</v>
      </c>
      <c r="I89" s="318"/>
      <c r="J89" s="318"/>
      <c r="K89" s="318"/>
      <c r="L89" s="318"/>
      <c r="M89" s="318"/>
      <c r="N89" s="318"/>
      <c r="O89" s="318"/>
    </row>
    <row r="90" spans="1:15" ht="12.75" customHeight="1" x14ac:dyDescent="0.25">
      <c r="A90" s="336"/>
      <c r="D90" s="333"/>
      <c r="E90" s="331"/>
      <c r="F90" s="331"/>
      <c r="G90" s="334" t="s">
        <v>533</v>
      </c>
      <c r="I90" s="318"/>
      <c r="J90" s="318"/>
      <c r="K90" s="318"/>
      <c r="L90" s="318"/>
      <c r="M90" s="318"/>
      <c r="N90" s="318"/>
      <c r="O90" s="318"/>
    </row>
    <row r="91" spans="1:15" ht="12.75" customHeight="1" x14ac:dyDescent="0.25">
      <c r="A91" s="336">
        <f>+D89</f>
        <v>603003</v>
      </c>
      <c r="B91" s="336" t="str">
        <f>G89</f>
        <v>Hartenvier 2</v>
      </c>
      <c r="D91" s="337">
        <v>42100</v>
      </c>
      <c r="E91" s="337"/>
      <c r="F91" s="337"/>
      <c r="G91" s="319" t="s">
        <v>978</v>
      </c>
      <c r="I91" s="318"/>
      <c r="J91" s="317">
        <v>535</v>
      </c>
      <c r="K91" s="317">
        <v>549</v>
      </c>
      <c r="L91" s="317">
        <f>ROUND(K91*$T$2,0)</f>
        <v>561</v>
      </c>
      <c r="M91" s="317">
        <f>ROUND(L91*$T$2,0)</f>
        <v>573</v>
      </c>
      <c r="N91" s="317">
        <f>ROUND(M91*$T$2,0)</f>
        <v>585</v>
      </c>
      <c r="O91" s="317">
        <f>ROUND(N91*$T$2,0)</f>
        <v>597</v>
      </c>
    </row>
    <row r="92" spans="1:15" ht="12.75" customHeight="1" thickBot="1" x14ac:dyDescent="0.3">
      <c r="A92" s="336"/>
      <c r="D92" s="340" t="s">
        <v>984</v>
      </c>
      <c r="E92" s="340"/>
      <c r="F92" s="340"/>
      <c r="G92" s="319" t="s">
        <v>985</v>
      </c>
      <c r="I92" s="318"/>
      <c r="J92" s="480">
        <v>535</v>
      </c>
      <c r="K92" s="480">
        <v>549</v>
      </c>
      <c r="L92" s="480">
        <f>SUM(L91:L91)</f>
        <v>561</v>
      </c>
      <c r="M92" s="480">
        <f>SUM(M91:M91)</f>
        <v>573</v>
      </c>
      <c r="N92" s="480">
        <f>SUM(N91:N91)</f>
        <v>585</v>
      </c>
      <c r="O92" s="480">
        <f>SUM(O91:O91)</f>
        <v>597</v>
      </c>
    </row>
    <row r="93" spans="1:15" ht="12.75" customHeight="1" thickTop="1" x14ac:dyDescent="0.25">
      <c r="A93" s="336"/>
      <c r="D93" s="340"/>
      <c r="E93" s="340"/>
      <c r="F93" s="340"/>
      <c r="G93" s="319"/>
      <c r="I93" s="318"/>
      <c r="J93" s="318"/>
      <c r="K93" s="318"/>
      <c r="L93" s="318"/>
      <c r="M93" s="318"/>
      <c r="N93" s="318"/>
      <c r="O93" s="318"/>
    </row>
    <row r="94" spans="1:15" ht="12.75" customHeight="1" x14ac:dyDescent="0.25">
      <c r="A94" s="336"/>
      <c r="D94" s="347">
        <v>603004</v>
      </c>
      <c r="E94" s="331"/>
      <c r="F94" s="476"/>
      <c r="G94" s="332" t="s">
        <v>986</v>
      </c>
      <c r="I94" s="318"/>
      <c r="J94" s="318"/>
      <c r="K94" s="318"/>
      <c r="L94" s="318"/>
      <c r="M94" s="318"/>
      <c r="N94" s="318"/>
      <c r="O94" s="318"/>
    </row>
    <row r="95" spans="1:15" ht="12.75" customHeight="1" x14ac:dyDescent="0.25">
      <c r="A95" s="336"/>
      <c r="D95" s="340"/>
      <c r="E95" s="340"/>
      <c r="F95" s="340"/>
      <c r="G95" s="334" t="s">
        <v>533</v>
      </c>
      <c r="I95" s="318"/>
      <c r="J95" s="318"/>
      <c r="K95" s="318"/>
      <c r="L95" s="318"/>
      <c r="M95" s="318"/>
      <c r="N95" s="318"/>
      <c r="O95" s="318"/>
    </row>
    <row r="96" spans="1:15" ht="12.75" customHeight="1" x14ac:dyDescent="0.25">
      <c r="A96" s="336">
        <v>603004</v>
      </c>
      <c r="B96" s="336" t="str">
        <f>G94</f>
        <v>I. van de Boschstraat 2A</v>
      </c>
      <c r="D96" s="337">
        <v>42100</v>
      </c>
      <c r="E96" s="337"/>
      <c r="F96" s="337"/>
      <c r="G96" s="319" t="s">
        <v>978</v>
      </c>
      <c r="I96" s="318"/>
      <c r="J96" s="317">
        <v>1574</v>
      </c>
      <c r="K96" s="317">
        <v>1615</v>
      </c>
      <c r="L96" s="317">
        <f t="shared" ref="L96:O98" si="8">ROUND(K96*T$2,0)</f>
        <v>1649</v>
      </c>
      <c r="M96" s="317">
        <f t="shared" si="8"/>
        <v>1687</v>
      </c>
      <c r="N96" s="317">
        <f t="shared" si="8"/>
        <v>1726</v>
      </c>
      <c r="O96" s="317">
        <f t="shared" si="8"/>
        <v>1766</v>
      </c>
    </row>
    <row r="97" spans="1:16" ht="12.75" customHeight="1" x14ac:dyDescent="0.25">
      <c r="A97" s="336">
        <v>603004</v>
      </c>
      <c r="B97" s="336" t="str">
        <f>G94</f>
        <v>I. van de Boschstraat 2A</v>
      </c>
      <c r="D97" s="337">
        <v>43806</v>
      </c>
      <c r="E97" s="337"/>
      <c r="F97" s="337"/>
      <c r="G97" s="319" t="s">
        <v>980</v>
      </c>
      <c r="I97" s="318"/>
      <c r="J97" s="317">
        <v>2125</v>
      </c>
      <c r="K97" s="317">
        <v>2180</v>
      </c>
      <c r="L97" s="317">
        <f t="shared" si="8"/>
        <v>2226</v>
      </c>
      <c r="M97" s="317">
        <f t="shared" si="8"/>
        <v>2277</v>
      </c>
      <c r="N97" s="317">
        <f t="shared" si="8"/>
        <v>2329</v>
      </c>
      <c r="O97" s="317">
        <f t="shared" si="8"/>
        <v>2383</v>
      </c>
    </row>
    <row r="98" spans="1:16" ht="12.75" customHeight="1" x14ac:dyDescent="0.25">
      <c r="A98" s="336">
        <v>603004</v>
      </c>
      <c r="B98" s="336" t="str">
        <f>G94</f>
        <v>I. van de Boschstraat 2A</v>
      </c>
      <c r="D98" s="337">
        <v>43812</v>
      </c>
      <c r="E98" s="337"/>
      <c r="F98" s="337"/>
      <c r="G98" s="319" t="s">
        <v>535</v>
      </c>
      <c r="I98" s="318"/>
      <c r="J98" s="317">
        <v>3787</v>
      </c>
      <c r="K98" s="317">
        <v>3885</v>
      </c>
      <c r="L98" s="317">
        <f t="shared" si="8"/>
        <v>3967</v>
      </c>
      <c r="M98" s="317">
        <f t="shared" si="8"/>
        <v>4058</v>
      </c>
      <c r="N98" s="317">
        <f t="shared" si="8"/>
        <v>4151</v>
      </c>
      <c r="O98" s="317">
        <f t="shared" si="8"/>
        <v>4246</v>
      </c>
    </row>
    <row r="99" spans="1:16" ht="12.75" customHeight="1" x14ac:dyDescent="0.25">
      <c r="A99" s="336">
        <v>603004</v>
      </c>
      <c r="B99" s="336" t="str">
        <f>G94</f>
        <v>I. van de Boschstraat 2A</v>
      </c>
      <c r="D99" s="337">
        <v>47201</v>
      </c>
      <c r="E99" s="337"/>
      <c r="F99" s="337"/>
      <c r="G99" s="319" t="s">
        <v>987</v>
      </c>
      <c r="I99" s="318"/>
      <c r="J99" s="317">
        <v>193</v>
      </c>
      <c r="K99" s="317">
        <v>0</v>
      </c>
      <c r="L99" s="317">
        <v>0</v>
      </c>
      <c r="M99" s="317">
        <v>0</v>
      </c>
      <c r="N99" s="317">
        <v>0</v>
      </c>
      <c r="O99" s="317">
        <v>0</v>
      </c>
    </row>
    <row r="100" spans="1:16" ht="12.75" customHeight="1" thickBot="1" x14ac:dyDescent="0.3">
      <c r="A100" s="336"/>
      <c r="D100" s="340"/>
      <c r="E100" s="340"/>
      <c r="F100" s="340"/>
      <c r="G100" s="319" t="s">
        <v>536</v>
      </c>
      <c r="I100" s="318"/>
      <c r="J100" s="480">
        <v>7679</v>
      </c>
      <c r="K100" s="480">
        <v>7680</v>
      </c>
      <c r="L100" s="480">
        <f>SUM(L95:L99)</f>
        <v>7842</v>
      </c>
      <c r="M100" s="480">
        <f>SUM(M95:M99)</f>
        <v>8022</v>
      </c>
      <c r="N100" s="480">
        <f>SUM(N95:N99)</f>
        <v>8206</v>
      </c>
      <c r="O100" s="480">
        <f>SUM(O95:O99)</f>
        <v>8395</v>
      </c>
    </row>
    <row r="101" spans="1:16" ht="12.75" customHeight="1" thickTop="1" x14ac:dyDescent="0.25">
      <c r="A101" s="336"/>
      <c r="D101" s="340"/>
      <c r="E101" s="340"/>
      <c r="F101" s="340"/>
      <c r="G101" s="319"/>
      <c r="I101" s="318"/>
      <c r="J101" s="318"/>
      <c r="K101" s="318"/>
      <c r="L101" s="318"/>
      <c r="M101" s="318"/>
      <c r="N101" s="318"/>
      <c r="O101" s="318"/>
    </row>
    <row r="102" spans="1:16" ht="12.75" customHeight="1" x14ac:dyDescent="0.25">
      <c r="A102" s="336"/>
      <c r="D102" s="333">
        <v>603005</v>
      </c>
      <c r="E102" s="331"/>
      <c r="F102" s="331"/>
      <c r="G102" s="332" t="s">
        <v>988</v>
      </c>
      <c r="I102" s="318"/>
      <c r="J102" s="318"/>
      <c r="K102" s="318"/>
      <c r="L102" s="318"/>
      <c r="M102" s="318"/>
      <c r="N102" s="318"/>
      <c r="O102" s="318"/>
    </row>
    <row r="103" spans="1:16" ht="12.75" customHeight="1" x14ac:dyDescent="0.25">
      <c r="A103" s="336"/>
      <c r="D103" s="340"/>
      <c r="E103" s="340"/>
      <c r="F103" s="340"/>
      <c r="G103" s="334" t="s">
        <v>533</v>
      </c>
      <c r="I103" s="318"/>
      <c r="J103" s="318"/>
      <c r="K103" s="318"/>
      <c r="L103" s="318"/>
      <c r="M103" s="318"/>
      <c r="N103" s="318"/>
      <c r="O103" s="318"/>
    </row>
    <row r="104" spans="1:16" ht="12.75" customHeight="1" x14ac:dyDescent="0.25">
      <c r="A104" s="336">
        <f>+D102</f>
        <v>603005</v>
      </c>
      <c r="B104" s="336" t="str">
        <f>G102</f>
        <v>Algemene lasten gebouwenbeheer</v>
      </c>
      <c r="D104" s="337">
        <v>43812</v>
      </c>
      <c r="E104" s="337"/>
      <c r="F104" s="337"/>
      <c r="G104" s="319" t="s">
        <v>535</v>
      </c>
      <c r="I104" s="318"/>
      <c r="J104" s="317">
        <v>59007</v>
      </c>
      <c r="K104" s="317">
        <v>9221</v>
      </c>
      <c r="L104" s="317">
        <f>L279</f>
        <v>9415</v>
      </c>
      <c r="M104" s="317">
        <f>M279</f>
        <v>9632</v>
      </c>
      <c r="N104" s="317">
        <f>N279</f>
        <v>9854</v>
      </c>
      <c r="O104" s="317">
        <f>O279</f>
        <v>10080</v>
      </c>
    </row>
    <row r="105" spans="1:16" ht="12.75" customHeight="1" thickBot="1" x14ac:dyDescent="0.3">
      <c r="A105" s="336"/>
      <c r="D105" s="340"/>
      <c r="E105" s="340"/>
      <c r="F105" s="340"/>
      <c r="G105" s="319" t="s">
        <v>536</v>
      </c>
      <c r="I105" s="318"/>
      <c r="J105" s="480">
        <v>59007</v>
      </c>
      <c r="K105" s="480">
        <v>9221</v>
      </c>
      <c r="L105" s="480">
        <f>SUM(L103:L104)</f>
        <v>9415</v>
      </c>
      <c r="M105" s="480">
        <f>SUM(M103:M104)</f>
        <v>9632</v>
      </c>
      <c r="N105" s="480">
        <f>SUM(N103:N104)</f>
        <v>9854</v>
      </c>
      <c r="O105" s="480">
        <f>SUM(O103:O104)</f>
        <v>10080</v>
      </c>
    </row>
    <row r="106" spans="1:16" ht="12.75" customHeight="1" thickTop="1" x14ac:dyDescent="0.25">
      <c r="A106" s="336"/>
      <c r="D106" s="340"/>
      <c r="E106" s="340"/>
      <c r="F106" s="340"/>
      <c r="G106" s="319"/>
      <c r="I106" s="318"/>
      <c r="J106" s="317"/>
      <c r="K106" s="317"/>
      <c r="L106" s="317"/>
      <c r="M106" s="317"/>
      <c r="N106" s="317"/>
      <c r="O106" s="317"/>
    </row>
    <row r="107" spans="1:16" ht="12.75" customHeight="1" x14ac:dyDescent="0.25">
      <c r="A107" s="336"/>
      <c r="D107" s="333">
        <v>603007</v>
      </c>
      <c r="E107" s="331"/>
      <c r="F107" s="331"/>
      <c r="G107" s="381" t="s">
        <v>975</v>
      </c>
      <c r="I107" s="318"/>
      <c r="J107" s="317"/>
      <c r="K107" s="317"/>
      <c r="L107" s="317"/>
      <c r="M107" s="317"/>
      <c r="N107" s="317"/>
      <c r="O107" s="317"/>
    </row>
    <row r="108" spans="1:16" ht="12.75" customHeight="1" x14ac:dyDescent="0.25">
      <c r="A108" s="336"/>
      <c r="D108" s="340"/>
      <c r="E108" s="340"/>
      <c r="F108" s="340"/>
      <c r="G108" s="383" t="s">
        <v>533</v>
      </c>
      <c r="I108" s="318"/>
      <c r="J108" s="317"/>
      <c r="K108" s="317"/>
      <c r="L108" s="317"/>
      <c r="M108" s="317"/>
      <c r="N108" s="317"/>
      <c r="O108" s="317"/>
    </row>
    <row r="109" spans="1:16" ht="12.75" customHeight="1" x14ac:dyDescent="0.25">
      <c r="A109" s="336">
        <v>603007</v>
      </c>
      <c r="B109" s="115" t="s">
        <v>975</v>
      </c>
      <c r="D109" s="337">
        <v>43801</v>
      </c>
      <c r="E109" s="337"/>
      <c r="F109" s="337"/>
      <c r="G109" s="115" t="s">
        <v>989</v>
      </c>
      <c r="I109" s="318"/>
      <c r="J109" s="317">
        <v>7528</v>
      </c>
      <c r="K109" s="317">
        <v>0</v>
      </c>
      <c r="L109" s="317">
        <f t="shared" ref="L109:O113" si="9">ROUND(K109*T$2,0)</f>
        <v>0</v>
      </c>
      <c r="M109" s="317">
        <f t="shared" si="9"/>
        <v>0</v>
      </c>
      <c r="N109" s="317">
        <f t="shared" si="9"/>
        <v>0</v>
      </c>
      <c r="O109" s="317">
        <f t="shared" si="9"/>
        <v>0</v>
      </c>
      <c r="P109" s="115" t="s">
        <v>990</v>
      </c>
    </row>
    <row r="110" spans="1:16" ht="12.75" customHeight="1" x14ac:dyDescent="0.25">
      <c r="A110" s="336">
        <v>603007</v>
      </c>
      <c r="B110" s="115" t="s">
        <v>975</v>
      </c>
      <c r="D110" s="337">
        <v>43802</v>
      </c>
      <c r="E110" s="337"/>
      <c r="F110" s="337"/>
      <c r="G110" s="115" t="s">
        <v>991</v>
      </c>
      <c r="I110" s="318"/>
      <c r="J110" s="317">
        <v>4494</v>
      </c>
      <c r="K110" s="317">
        <v>0</v>
      </c>
      <c r="L110" s="317">
        <f t="shared" si="9"/>
        <v>0</v>
      </c>
      <c r="M110" s="317">
        <f t="shared" si="9"/>
        <v>0</v>
      </c>
      <c r="N110" s="317">
        <f t="shared" si="9"/>
        <v>0</v>
      </c>
      <c r="O110" s="317">
        <f t="shared" si="9"/>
        <v>0</v>
      </c>
      <c r="P110" s="115" t="s">
        <v>990</v>
      </c>
    </row>
    <row r="111" spans="1:16" ht="12.75" customHeight="1" x14ac:dyDescent="0.25">
      <c r="A111" s="336">
        <v>603007</v>
      </c>
      <c r="B111" s="115" t="s">
        <v>975</v>
      </c>
      <c r="D111" s="337">
        <v>42100</v>
      </c>
      <c r="E111" s="337"/>
      <c r="F111" s="337"/>
      <c r="G111" s="115" t="s">
        <v>992</v>
      </c>
      <c r="I111" s="318"/>
      <c r="J111" s="317">
        <v>2789</v>
      </c>
      <c r="K111" s="317">
        <v>4862</v>
      </c>
      <c r="L111" s="317">
        <f t="shared" si="9"/>
        <v>4964</v>
      </c>
      <c r="M111" s="317">
        <f t="shared" si="9"/>
        <v>5078</v>
      </c>
      <c r="N111" s="317">
        <f t="shared" si="9"/>
        <v>5195</v>
      </c>
      <c r="O111" s="317">
        <f t="shared" si="9"/>
        <v>5314</v>
      </c>
    </row>
    <row r="112" spans="1:16" ht="12.75" customHeight="1" x14ac:dyDescent="0.25">
      <c r="A112" s="336">
        <v>603007</v>
      </c>
      <c r="B112" s="115" t="s">
        <v>975</v>
      </c>
      <c r="D112" s="337">
        <v>43806</v>
      </c>
      <c r="E112" s="337"/>
      <c r="F112" s="337"/>
      <c r="G112" s="115" t="s">
        <v>993</v>
      </c>
      <c r="I112" s="318"/>
      <c r="J112" s="317">
        <v>2113</v>
      </c>
      <c r="K112" s="317">
        <v>2168</v>
      </c>
      <c r="L112" s="317">
        <f t="shared" si="9"/>
        <v>2214</v>
      </c>
      <c r="M112" s="317">
        <f t="shared" si="9"/>
        <v>2265</v>
      </c>
      <c r="N112" s="317">
        <f t="shared" si="9"/>
        <v>2317</v>
      </c>
      <c r="O112" s="317">
        <f t="shared" si="9"/>
        <v>2370</v>
      </c>
    </row>
    <row r="113" spans="1:18" ht="12.75" customHeight="1" x14ac:dyDescent="0.25">
      <c r="A113" s="336">
        <v>603007</v>
      </c>
      <c r="B113" s="115" t="s">
        <v>975</v>
      </c>
      <c r="D113" s="337">
        <v>43812</v>
      </c>
      <c r="E113" s="337"/>
      <c r="F113" s="337"/>
      <c r="G113" s="115" t="s">
        <v>565</v>
      </c>
      <c r="I113" s="318"/>
      <c r="J113" s="317">
        <v>2950</v>
      </c>
      <c r="K113" s="317">
        <v>0</v>
      </c>
      <c r="L113" s="317">
        <f t="shared" si="9"/>
        <v>0</v>
      </c>
      <c r="M113" s="317">
        <f t="shared" si="9"/>
        <v>0</v>
      </c>
      <c r="N113" s="317">
        <f t="shared" si="9"/>
        <v>0</v>
      </c>
      <c r="O113" s="317">
        <f t="shared" si="9"/>
        <v>0</v>
      </c>
      <c r="P113" s="115" t="s">
        <v>990</v>
      </c>
    </row>
    <row r="114" spans="1:18" ht="12.75" customHeight="1" x14ac:dyDescent="0.25">
      <c r="A114" s="336">
        <v>603007</v>
      </c>
      <c r="B114" s="115" t="s">
        <v>975</v>
      </c>
      <c r="D114" s="337">
        <v>43817</v>
      </c>
      <c r="E114" s="337"/>
      <c r="F114" s="337"/>
      <c r="G114" s="115" t="s">
        <v>994</v>
      </c>
      <c r="I114" s="318"/>
      <c r="J114" s="318">
        <v>1685</v>
      </c>
      <c r="K114" s="318">
        <v>1729</v>
      </c>
      <c r="L114" s="318">
        <f>L306</f>
        <v>1765</v>
      </c>
      <c r="M114" s="318">
        <f>M306</f>
        <v>1806</v>
      </c>
      <c r="N114" s="318">
        <f>N306</f>
        <v>1848</v>
      </c>
      <c r="O114" s="318">
        <f>O306</f>
        <v>1891</v>
      </c>
    </row>
    <row r="115" spans="1:18" ht="12.75" customHeight="1" thickBot="1" x14ac:dyDescent="0.3">
      <c r="A115" s="336"/>
      <c r="D115" s="340"/>
      <c r="E115" s="340"/>
      <c r="F115" s="340"/>
      <c r="G115" s="115" t="s">
        <v>536</v>
      </c>
      <c r="I115" s="318"/>
      <c r="J115" s="480">
        <v>21559</v>
      </c>
      <c r="K115" s="480">
        <v>8759</v>
      </c>
      <c r="L115" s="480">
        <f>SUM(L109:L114)</f>
        <v>8943</v>
      </c>
      <c r="M115" s="480">
        <f>SUM(M109:M114)</f>
        <v>9149</v>
      </c>
      <c r="N115" s="480">
        <f>SUM(N109:N114)</f>
        <v>9360</v>
      </c>
      <c r="O115" s="480">
        <f>SUM(O109:O114)</f>
        <v>9575</v>
      </c>
    </row>
    <row r="116" spans="1:18" ht="12.75" customHeight="1" thickTop="1" x14ac:dyDescent="0.25">
      <c r="A116" s="336"/>
      <c r="D116" s="340"/>
      <c r="E116" s="340"/>
      <c r="F116" s="340"/>
      <c r="G116" s="319"/>
      <c r="I116" s="318"/>
      <c r="J116" s="317"/>
      <c r="K116" s="317"/>
      <c r="L116" s="317"/>
      <c r="M116" s="317"/>
      <c r="N116" s="317"/>
      <c r="O116" s="317"/>
    </row>
    <row r="117" spans="1:18" ht="12.75" customHeight="1" x14ac:dyDescent="0.25">
      <c r="A117" s="336"/>
      <c r="D117" s="333">
        <v>603008</v>
      </c>
      <c r="E117" s="331"/>
      <c r="F117" s="331"/>
      <c r="G117" s="1281" t="s">
        <v>995</v>
      </c>
      <c r="I117" s="318"/>
      <c r="J117" s="335"/>
      <c r="K117" s="335"/>
      <c r="L117" s="335"/>
      <c r="M117" s="335"/>
      <c r="N117" s="335"/>
      <c r="O117" s="335"/>
    </row>
    <row r="118" spans="1:18" ht="12.75" customHeight="1" x14ac:dyDescent="0.25">
      <c r="A118" s="336"/>
      <c r="D118" s="340"/>
      <c r="E118" s="340"/>
      <c r="F118" s="340"/>
      <c r="G118" s="334" t="s">
        <v>533</v>
      </c>
      <c r="I118" s="318"/>
      <c r="J118" s="335"/>
      <c r="K118" s="335"/>
      <c r="L118" s="335"/>
      <c r="M118" s="335"/>
      <c r="N118" s="335"/>
      <c r="O118" s="335"/>
    </row>
    <row r="119" spans="1:18" ht="12.75" customHeight="1" x14ac:dyDescent="0.25">
      <c r="A119" s="336">
        <v>603008</v>
      </c>
      <c r="B119" s="336" t="str">
        <f>G117</f>
        <v>Molenstraat 1b</v>
      </c>
      <c r="C119" s="301"/>
      <c r="D119" s="337">
        <v>42100</v>
      </c>
      <c r="E119" s="337"/>
      <c r="F119" s="337"/>
      <c r="G119" s="319" t="s">
        <v>978</v>
      </c>
      <c r="I119" s="318"/>
      <c r="J119" s="317">
        <v>2141</v>
      </c>
      <c r="K119" s="317">
        <v>2197</v>
      </c>
      <c r="L119" s="317">
        <f t="shared" ref="L119:O122" si="10">ROUND(K119*T$2,0)</f>
        <v>2243</v>
      </c>
      <c r="M119" s="317">
        <f t="shared" si="10"/>
        <v>2295</v>
      </c>
      <c r="N119" s="317">
        <f t="shared" si="10"/>
        <v>2348</v>
      </c>
      <c r="O119" s="317">
        <f t="shared" si="10"/>
        <v>2402</v>
      </c>
    </row>
    <row r="120" spans="1:18" ht="12.75" customHeight="1" x14ac:dyDescent="0.25">
      <c r="A120" s="336">
        <v>603008</v>
      </c>
      <c r="B120" s="336" t="str">
        <f>G117</f>
        <v>Molenstraat 1b</v>
      </c>
      <c r="C120" s="301"/>
      <c r="D120" s="337">
        <v>43801</v>
      </c>
      <c r="E120" s="337"/>
      <c r="F120" s="337"/>
      <c r="G120" s="319" t="s">
        <v>996</v>
      </c>
      <c r="I120" s="318"/>
      <c r="J120" s="317">
        <v>248</v>
      </c>
      <c r="K120" s="317">
        <v>254</v>
      </c>
      <c r="L120" s="317">
        <f t="shared" si="10"/>
        <v>259</v>
      </c>
      <c r="M120" s="317">
        <f t="shared" si="10"/>
        <v>265</v>
      </c>
      <c r="N120" s="317">
        <f t="shared" si="10"/>
        <v>271</v>
      </c>
      <c r="O120" s="317">
        <f t="shared" si="10"/>
        <v>277</v>
      </c>
    </row>
    <row r="121" spans="1:18" ht="12.75" customHeight="1" x14ac:dyDescent="0.25">
      <c r="A121" s="336">
        <v>603008</v>
      </c>
      <c r="B121" s="336" t="str">
        <f>G117</f>
        <v>Molenstraat 1b</v>
      </c>
      <c r="C121" s="301"/>
      <c r="D121" s="337">
        <v>43802</v>
      </c>
      <c r="E121" s="337"/>
      <c r="F121" s="337"/>
      <c r="G121" s="319" t="s">
        <v>991</v>
      </c>
      <c r="I121" s="318"/>
      <c r="J121" s="317">
        <v>299</v>
      </c>
      <c r="K121" s="317">
        <v>307</v>
      </c>
      <c r="L121" s="317">
        <f t="shared" si="10"/>
        <v>313</v>
      </c>
      <c r="M121" s="317">
        <f t="shared" si="10"/>
        <v>320</v>
      </c>
      <c r="N121" s="317">
        <f t="shared" si="10"/>
        <v>327</v>
      </c>
      <c r="O121" s="317">
        <f t="shared" si="10"/>
        <v>335</v>
      </c>
    </row>
    <row r="122" spans="1:18" ht="12.75" customHeight="1" x14ac:dyDescent="0.25">
      <c r="A122" s="336">
        <v>603008</v>
      </c>
      <c r="B122" s="336" t="str">
        <f>G117</f>
        <v>Molenstraat 1b</v>
      </c>
      <c r="C122" s="301"/>
      <c r="D122" s="337">
        <v>43806</v>
      </c>
      <c r="E122" s="337"/>
      <c r="F122" s="337"/>
      <c r="G122" s="319" t="s">
        <v>980</v>
      </c>
      <c r="I122" s="318"/>
      <c r="J122" s="317">
        <v>2046</v>
      </c>
      <c r="K122" s="317">
        <v>2099</v>
      </c>
      <c r="L122" s="317">
        <f t="shared" si="10"/>
        <v>2143</v>
      </c>
      <c r="M122" s="317">
        <f t="shared" si="10"/>
        <v>2192</v>
      </c>
      <c r="N122" s="317">
        <f t="shared" si="10"/>
        <v>2242</v>
      </c>
      <c r="O122" s="317">
        <f t="shared" si="10"/>
        <v>2294</v>
      </c>
    </row>
    <row r="123" spans="1:18" ht="12.75" customHeight="1" x14ac:dyDescent="0.25">
      <c r="A123" s="336">
        <v>603008</v>
      </c>
      <c r="B123" s="336" t="str">
        <f>G117</f>
        <v>Molenstraat 1b</v>
      </c>
      <c r="C123" s="301"/>
      <c r="D123" s="337">
        <v>43817</v>
      </c>
      <c r="E123" s="337"/>
      <c r="F123" s="337"/>
      <c r="G123" s="115" t="s">
        <v>994</v>
      </c>
      <c r="I123" s="318"/>
      <c r="J123" s="317">
        <v>4362</v>
      </c>
      <c r="K123" s="317">
        <v>4484</v>
      </c>
      <c r="L123" s="317">
        <f t="shared" ref="L123:O124" si="11">ROUND(K123*$R$2,0)</f>
        <v>4610</v>
      </c>
      <c r="M123" s="317">
        <f t="shared" si="11"/>
        <v>4739</v>
      </c>
      <c r="N123" s="317">
        <f t="shared" si="11"/>
        <v>4872</v>
      </c>
      <c r="O123" s="317">
        <f t="shared" si="11"/>
        <v>5008</v>
      </c>
    </row>
    <row r="124" spans="1:18" ht="12.75" customHeight="1" x14ac:dyDescent="0.25">
      <c r="A124" s="336">
        <v>603008</v>
      </c>
      <c r="B124" s="336" t="str">
        <f>+G117</f>
        <v>Molenstraat 1b</v>
      </c>
      <c r="C124" s="301"/>
      <c r="D124" s="337">
        <v>43812</v>
      </c>
      <c r="E124" s="337"/>
      <c r="F124" s="337"/>
      <c r="G124" s="319" t="s">
        <v>535</v>
      </c>
      <c r="I124" s="318"/>
      <c r="J124" s="317">
        <v>2246</v>
      </c>
      <c r="K124" s="317">
        <v>2309</v>
      </c>
      <c r="L124" s="317">
        <f t="shared" si="11"/>
        <v>2374</v>
      </c>
      <c r="M124" s="317">
        <f t="shared" si="11"/>
        <v>2440</v>
      </c>
      <c r="N124" s="317">
        <f t="shared" si="11"/>
        <v>2508</v>
      </c>
      <c r="O124" s="317">
        <f t="shared" si="11"/>
        <v>2578</v>
      </c>
    </row>
    <row r="125" spans="1:18" ht="12.75" customHeight="1" x14ac:dyDescent="0.25">
      <c r="A125" s="336">
        <v>603008</v>
      </c>
      <c r="B125" s="336" t="str">
        <f>G117</f>
        <v>Molenstraat 1b</v>
      </c>
      <c r="C125" s="301"/>
      <c r="D125" s="340">
        <v>47201</v>
      </c>
      <c r="E125" s="340"/>
      <c r="F125" s="340"/>
      <c r="G125" s="319" t="s">
        <v>997</v>
      </c>
      <c r="I125" s="318"/>
      <c r="J125" s="317">
        <v>15702</v>
      </c>
      <c r="K125" s="317">
        <v>16283.465225074873</v>
      </c>
      <c r="L125" s="317">
        <v>16885.953438402641</v>
      </c>
      <c r="M125" s="317">
        <v>17510.733715623537</v>
      </c>
      <c r="N125" s="317">
        <v>18158.630863101607</v>
      </c>
      <c r="O125" s="317">
        <v>0</v>
      </c>
      <c r="R125" s="115" t="s">
        <v>984</v>
      </c>
    </row>
    <row r="126" spans="1:18" ht="12.75" customHeight="1" thickBot="1" x14ac:dyDescent="0.3">
      <c r="A126" s="336"/>
      <c r="D126" s="340"/>
      <c r="E126" s="340"/>
      <c r="F126" s="340"/>
      <c r="G126" s="319" t="s">
        <v>536</v>
      </c>
      <c r="I126" s="318"/>
      <c r="J126" s="480">
        <v>27044</v>
      </c>
      <c r="K126" s="480">
        <v>27933.465225074873</v>
      </c>
      <c r="L126" s="480">
        <f>SUM(L119:L125)</f>
        <v>28827.953438402641</v>
      </c>
      <c r="M126" s="480">
        <f>SUM(M119:M125)</f>
        <v>29761.733715623537</v>
      </c>
      <c r="N126" s="480">
        <f>SUM(N119:N125)</f>
        <v>30726.630863101607</v>
      </c>
      <c r="O126" s="480">
        <f>SUM(O119:O125)</f>
        <v>12894</v>
      </c>
    </row>
    <row r="127" spans="1:18" ht="12.75" customHeight="1" thickTop="1" x14ac:dyDescent="0.25">
      <c r="A127" s="336"/>
      <c r="D127" s="340"/>
      <c r="E127" s="340"/>
      <c r="F127" s="340"/>
      <c r="G127" s="319"/>
      <c r="I127" s="318"/>
      <c r="J127" s="318"/>
      <c r="K127" s="318"/>
      <c r="L127" s="318"/>
      <c r="M127" s="318"/>
      <c r="N127" s="318"/>
      <c r="O127" s="318"/>
    </row>
    <row r="128" spans="1:18" ht="12.75" customHeight="1" x14ac:dyDescent="0.25">
      <c r="D128" s="347">
        <v>603009</v>
      </c>
      <c r="E128" s="331"/>
      <c r="F128" s="476"/>
      <c r="G128" s="332" t="s">
        <v>998</v>
      </c>
      <c r="I128" s="318"/>
      <c r="J128" s="316"/>
      <c r="K128" s="316"/>
      <c r="L128" s="316"/>
      <c r="M128" s="316"/>
      <c r="N128" s="316"/>
      <c r="O128" s="316"/>
    </row>
    <row r="129" spans="1:15" ht="12.75" customHeight="1" x14ac:dyDescent="0.25">
      <c r="D129" s="340"/>
      <c r="E129" s="340"/>
      <c r="F129" s="340"/>
      <c r="G129" s="334" t="s">
        <v>533</v>
      </c>
      <c r="I129" s="318"/>
      <c r="J129" s="316"/>
      <c r="K129" s="316"/>
      <c r="L129" s="316"/>
      <c r="M129" s="316"/>
      <c r="N129" s="316"/>
      <c r="O129" s="316"/>
    </row>
    <row r="130" spans="1:15" ht="12.75" customHeight="1" x14ac:dyDescent="0.25">
      <c r="A130" s="336">
        <f>+D128</f>
        <v>603009</v>
      </c>
      <c r="B130" s="336" t="str">
        <f>G128</f>
        <v>H. Hartstraat 1</v>
      </c>
      <c r="D130" s="337">
        <v>42100</v>
      </c>
      <c r="E130" s="337"/>
      <c r="F130" s="337"/>
      <c r="G130" s="319" t="s">
        <v>978</v>
      </c>
      <c r="I130" s="318"/>
      <c r="J130" s="317">
        <v>597</v>
      </c>
      <c r="K130" s="317">
        <v>613</v>
      </c>
      <c r="L130" s="317">
        <f t="shared" ref="L130:O132" si="12">ROUND(K130*T$2,0)</f>
        <v>626</v>
      </c>
      <c r="M130" s="317">
        <f t="shared" si="12"/>
        <v>640</v>
      </c>
      <c r="N130" s="317">
        <f t="shared" si="12"/>
        <v>655</v>
      </c>
      <c r="O130" s="317">
        <f t="shared" si="12"/>
        <v>670</v>
      </c>
    </row>
    <row r="131" spans="1:15" ht="12.75" customHeight="1" x14ac:dyDescent="0.25">
      <c r="A131" s="336">
        <v>603007</v>
      </c>
      <c r="B131" s="115" t="str">
        <f>G128</f>
        <v>H. Hartstraat 1</v>
      </c>
      <c r="D131" s="337">
        <v>43801</v>
      </c>
      <c r="E131" s="337"/>
      <c r="F131" s="337"/>
      <c r="G131" s="115" t="s">
        <v>989</v>
      </c>
      <c r="I131" s="318"/>
      <c r="J131" s="317">
        <v>0</v>
      </c>
      <c r="K131" s="317">
        <v>3000</v>
      </c>
      <c r="L131" s="317">
        <f t="shared" si="12"/>
        <v>3063</v>
      </c>
      <c r="M131" s="317">
        <f t="shared" si="12"/>
        <v>3133</v>
      </c>
      <c r="N131" s="317">
        <f t="shared" si="12"/>
        <v>3205</v>
      </c>
      <c r="O131" s="317">
        <f t="shared" si="12"/>
        <v>3279</v>
      </c>
    </row>
    <row r="132" spans="1:15" ht="12.75" customHeight="1" x14ac:dyDescent="0.25">
      <c r="A132" s="336">
        <v>603007</v>
      </c>
      <c r="B132" s="115" t="str">
        <f>G128</f>
        <v>H. Hartstraat 1</v>
      </c>
      <c r="D132" s="337">
        <v>43802</v>
      </c>
      <c r="E132" s="337"/>
      <c r="F132" s="337"/>
      <c r="G132" s="115" t="s">
        <v>991</v>
      </c>
      <c r="I132" s="318"/>
      <c r="J132" s="317">
        <v>0</v>
      </c>
      <c r="K132" s="317">
        <v>2000</v>
      </c>
      <c r="L132" s="317">
        <f t="shared" si="12"/>
        <v>2042</v>
      </c>
      <c r="M132" s="317">
        <f t="shared" si="12"/>
        <v>2089</v>
      </c>
      <c r="N132" s="317">
        <f t="shared" si="12"/>
        <v>2137</v>
      </c>
      <c r="O132" s="317">
        <f t="shared" si="12"/>
        <v>2186</v>
      </c>
    </row>
    <row r="133" spans="1:15" ht="12.75" customHeight="1" x14ac:dyDescent="0.25">
      <c r="A133" s="336">
        <v>603008</v>
      </c>
      <c r="B133" s="336" t="str">
        <f>G128</f>
        <v>H. Hartstraat 1</v>
      </c>
      <c r="C133" s="301"/>
      <c r="D133" s="337">
        <v>43817</v>
      </c>
      <c r="E133" s="337"/>
      <c r="F133" s="337"/>
      <c r="G133" s="115" t="s">
        <v>994</v>
      </c>
      <c r="I133" s="318"/>
      <c r="J133" s="317">
        <v>0</v>
      </c>
      <c r="K133" s="317">
        <v>1500</v>
      </c>
      <c r="L133" s="2095">
        <f>ROUND(K133*T$2,0)+9</f>
        <v>1541</v>
      </c>
      <c r="M133" s="2095">
        <f>ROUND(L133*U$2,0)+9</f>
        <v>1585</v>
      </c>
      <c r="N133" s="2095">
        <f>ROUND(M133*V$2,0)+9</f>
        <v>1630</v>
      </c>
      <c r="O133" s="317">
        <f t="shared" ref="O133" si="13">ROUND(N133*W$2,0)</f>
        <v>1667</v>
      </c>
    </row>
    <row r="134" spans="1:15" ht="12.75" customHeight="1" x14ac:dyDescent="0.25">
      <c r="A134" s="336">
        <f>+D128</f>
        <v>603009</v>
      </c>
      <c r="B134" s="336" t="str">
        <f>G128</f>
        <v>H. Hartstraat 1</v>
      </c>
      <c r="D134" s="337">
        <v>43806</v>
      </c>
      <c r="E134" s="337"/>
      <c r="F134" s="337"/>
      <c r="G134" s="319" t="s">
        <v>546</v>
      </c>
      <c r="I134" s="318"/>
      <c r="J134" s="317">
        <v>460</v>
      </c>
      <c r="K134" s="317">
        <v>472</v>
      </c>
      <c r="L134" s="317">
        <f>ROUND(K134*T$2,0)</f>
        <v>482</v>
      </c>
      <c r="M134" s="317">
        <f>ROUND(L134*U$2,0)</f>
        <v>493</v>
      </c>
      <c r="N134" s="317">
        <f>ROUND(M134*V$2,0)</f>
        <v>504</v>
      </c>
      <c r="O134" s="317">
        <f>ROUND(N134*W$2,0)</f>
        <v>516</v>
      </c>
    </row>
    <row r="135" spans="1:15" ht="12.75" customHeight="1" thickBot="1" x14ac:dyDescent="0.3">
      <c r="D135" s="340"/>
      <c r="E135" s="340"/>
      <c r="F135" s="340"/>
      <c r="G135" s="319" t="s">
        <v>536</v>
      </c>
      <c r="I135" s="318"/>
      <c r="J135" s="342">
        <v>1057</v>
      </c>
      <c r="K135" s="342">
        <v>7585</v>
      </c>
      <c r="L135" s="342">
        <f>SUM(L130:L134)</f>
        <v>7754</v>
      </c>
      <c r="M135" s="342">
        <f>SUM(M130:M134)</f>
        <v>7940</v>
      </c>
      <c r="N135" s="342">
        <f>SUM(N130:N134)</f>
        <v>8131</v>
      </c>
      <c r="O135" s="342">
        <f>SUM(O130:O134)</f>
        <v>8318</v>
      </c>
    </row>
    <row r="136" spans="1:15" ht="12.75" customHeight="1" thickTop="1" x14ac:dyDescent="0.25">
      <c r="A136" s="336"/>
      <c r="D136" s="340"/>
      <c r="E136" s="340"/>
      <c r="F136" s="340"/>
      <c r="G136" s="319"/>
      <c r="I136" s="318"/>
      <c r="J136" s="318"/>
      <c r="K136" s="318"/>
      <c r="L136" s="318"/>
      <c r="M136" s="318"/>
      <c r="N136" s="318"/>
      <c r="O136" s="318"/>
    </row>
    <row r="137" spans="1:15" ht="12.75" customHeight="1" x14ac:dyDescent="0.25">
      <c r="A137" s="336"/>
      <c r="D137" s="333">
        <v>603010</v>
      </c>
      <c r="E137" s="331"/>
      <c r="F137" s="331"/>
      <c r="G137" s="332" t="s">
        <v>999</v>
      </c>
      <c r="I137" s="318"/>
      <c r="J137" s="318"/>
      <c r="K137" s="318"/>
      <c r="L137" s="318"/>
      <c r="M137" s="318"/>
      <c r="N137" s="318"/>
      <c r="O137" s="318"/>
    </row>
    <row r="138" spans="1:15" ht="12.75" customHeight="1" x14ac:dyDescent="0.25">
      <c r="A138" s="336"/>
      <c r="D138" s="340"/>
      <c r="E138" s="340"/>
      <c r="F138" s="340"/>
      <c r="G138" s="334" t="s">
        <v>533</v>
      </c>
      <c r="I138" s="318"/>
      <c r="J138" s="317"/>
      <c r="K138" s="317"/>
      <c r="L138" s="317"/>
      <c r="M138" s="317"/>
      <c r="N138" s="317"/>
      <c r="O138" s="317"/>
    </row>
    <row r="139" spans="1:15" ht="12.75" customHeight="1" x14ac:dyDescent="0.25">
      <c r="A139" s="336">
        <f>+D137</f>
        <v>603010</v>
      </c>
      <c r="B139" s="336" t="str">
        <f>G137</f>
        <v>Spoorstraat 1</v>
      </c>
      <c r="D139" s="337">
        <v>42100</v>
      </c>
      <c r="E139" s="337"/>
      <c r="F139" s="337"/>
      <c r="G139" s="319" t="s">
        <v>978</v>
      </c>
      <c r="I139" s="318"/>
      <c r="J139" s="317">
        <v>495</v>
      </c>
      <c r="K139" s="317">
        <v>508</v>
      </c>
      <c r="L139" s="317">
        <f t="shared" ref="L139:O140" si="14">ROUND(K139*T$2,0)</f>
        <v>519</v>
      </c>
      <c r="M139" s="317">
        <f t="shared" si="14"/>
        <v>531</v>
      </c>
      <c r="N139" s="317">
        <f t="shared" si="14"/>
        <v>543</v>
      </c>
      <c r="O139" s="317">
        <f t="shared" si="14"/>
        <v>555</v>
      </c>
    </row>
    <row r="140" spans="1:15" ht="12.75" customHeight="1" x14ac:dyDescent="0.25">
      <c r="A140" s="336">
        <f>+D137</f>
        <v>603010</v>
      </c>
      <c r="B140" s="336" t="str">
        <f>G137</f>
        <v>Spoorstraat 1</v>
      </c>
      <c r="D140" s="337">
        <v>43806</v>
      </c>
      <c r="E140" s="337"/>
      <c r="F140" s="337"/>
      <c r="G140" s="319" t="s">
        <v>546</v>
      </c>
      <c r="I140" s="318"/>
      <c r="J140" s="317">
        <v>588</v>
      </c>
      <c r="K140" s="317">
        <v>603</v>
      </c>
      <c r="L140" s="317">
        <f t="shared" si="14"/>
        <v>616</v>
      </c>
      <c r="M140" s="317">
        <f t="shared" si="14"/>
        <v>630</v>
      </c>
      <c r="N140" s="317">
        <f t="shared" si="14"/>
        <v>644</v>
      </c>
      <c r="O140" s="317">
        <f t="shared" si="14"/>
        <v>659</v>
      </c>
    </row>
    <row r="141" spans="1:15" ht="12.75" customHeight="1" thickBot="1" x14ac:dyDescent="0.3">
      <c r="A141" s="336"/>
      <c r="D141" s="340"/>
      <c r="E141" s="340"/>
      <c r="F141" s="340"/>
      <c r="G141" s="319" t="s">
        <v>536</v>
      </c>
      <c r="I141" s="318"/>
      <c r="J141" s="342">
        <v>1083</v>
      </c>
      <c r="K141" s="342">
        <v>1111</v>
      </c>
      <c r="L141" s="342">
        <f>SUM(L138:L140)</f>
        <v>1135</v>
      </c>
      <c r="M141" s="342">
        <f>SUM(M138:M140)</f>
        <v>1161</v>
      </c>
      <c r="N141" s="342">
        <f>SUM(N138:N140)</f>
        <v>1187</v>
      </c>
      <c r="O141" s="342">
        <f>SUM(O138:O140)</f>
        <v>1214</v>
      </c>
    </row>
    <row r="142" spans="1:15" ht="12.75" customHeight="1" thickTop="1" x14ac:dyDescent="0.25">
      <c r="A142" s="336"/>
      <c r="D142" s="340"/>
      <c r="E142" s="340"/>
      <c r="F142" s="340"/>
      <c r="G142" s="319"/>
      <c r="I142" s="318"/>
      <c r="J142" s="318"/>
      <c r="K142" s="318"/>
      <c r="L142" s="318"/>
      <c r="M142" s="318"/>
      <c r="N142" s="318"/>
      <c r="O142" s="318"/>
    </row>
    <row r="143" spans="1:15" ht="12.75" customHeight="1" x14ac:dyDescent="0.25">
      <c r="A143" s="336"/>
      <c r="D143" s="333">
        <v>603013</v>
      </c>
      <c r="E143" s="331"/>
      <c r="F143" s="331"/>
      <c r="G143" s="332" t="s">
        <v>1000</v>
      </c>
      <c r="I143" s="318"/>
      <c r="J143" s="318"/>
      <c r="K143" s="318"/>
      <c r="L143" s="318"/>
      <c r="M143" s="318"/>
      <c r="N143" s="318"/>
      <c r="O143" s="318"/>
    </row>
    <row r="144" spans="1:15" ht="12.75" customHeight="1" x14ac:dyDescent="0.25">
      <c r="A144" s="336"/>
      <c r="D144" s="340"/>
      <c r="E144" s="340"/>
      <c r="F144" s="340"/>
      <c r="G144" s="334" t="s">
        <v>533</v>
      </c>
      <c r="I144" s="318"/>
      <c r="J144" s="317"/>
      <c r="K144" s="317"/>
      <c r="L144" s="317"/>
      <c r="M144" s="317"/>
      <c r="N144" s="317"/>
      <c r="O144" s="317"/>
    </row>
    <row r="145" spans="1:15" ht="12.75" customHeight="1" x14ac:dyDescent="0.25">
      <c r="A145" s="336">
        <f>+D143</f>
        <v>603013</v>
      </c>
      <c r="B145" s="336" t="str">
        <f>G143</f>
        <v>Stationsstraat 19a</v>
      </c>
      <c r="D145" s="337">
        <v>42100</v>
      </c>
      <c r="E145" s="337"/>
      <c r="F145" s="337"/>
      <c r="G145" s="319" t="s">
        <v>978</v>
      </c>
      <c r="I145" s="318"/>
      <c r="J145" s="317">
        <v>948</v>
      </c>
      <c r="K145" s="317">
        <v>973</v>
      </c>
      <c r="L145" s="317">
        <f t="shared" ref="L145:O146" si="15">ROUND(K145*T$2,0)</f>
        <v>993</v>
      </c>
      <c r="M145" s="317">
        <f t="shared" si="15"/>
        <v>1016</v>
      </c>
      <c r="N145" s="317">
        <f t="shared" si="15"/>
        <v>1039</v>
      </c>
      <c r="O145" s="317">
        <f t="shared" si="15"/>
        <v>1063</v>
      </c>
    </row>
    <row r="146" spans="1:15" ht="12.75" customHeight="1" x14ac:dyDescent="0.25">
      <c r="A146" s="336">
        <f>+D143</f>
        <v>603013</v>
      </c>
      <c r="B146" s="336" t="str">
        <f>G143</f>
        <v>Stationsstraat 19a</v>
      </c>
      <c r="D146" s="337">
        <v>43806</v>
      </c>
      <c r="E146" s="337"/>
      <c r="F146" s="337"/>
      <c r="G146" s="319" t="s">
        <v>546</v>
      </c>
      <c r="I146" s="318"/>
      <c r="J146" s="317">
        <v>69</v>
      </c>
      <c r="K146" s="317">
        <v>71</v>
      </c>
      <c r="L146" s="317">
        <f t="shared" si="15"/>
        <v>72</v>
      </c>
      <c r="M146" s="317">
        <f t="shared" si="15"/>
        <v>74</v>
      </c>
      <c r="N146" s="317">
        <f t="shared" si="15"/>
        <v>76</v>
      </c>
      <c r="O146" s="317">
        <f t="shared" si="15"/>
        <v>78</v>
      </c>
    </row>
    <row r="147" spans="1:15" ht="12.75" customHeight="1" thickBot="1" x14ac:dyDescent="0.3">
      <c r="A147" s="336"/>
      <c r="D147" s="340"/>
      <c r="E147" s="340"/>
      <c r="F147" s="340"/>
      <c r="G147" s="319" t="s">
        <v>536</v>
      </c>
      <c r="I147" s="318"/>
      <c r="J147" s="342">
        <v>1017</v>
      </c>
      <c r="K147" s="342">
        <v>1044</v>
      </c>
      <c r="L147" s="342">
        <f>SUM(L144:L146)</f>
        <v>1065</v>
      </c>
      <c r="M147" s="342">
        <f>SUM(M144:M146)</f>
        <v>1090</v>
      </c>
      <c r="N147" s="342">
        <f>SUM(N144:N146)</f>
        <v>1115</v>
      </c>
      <c r="O147" s="342">
        <f>SUM(O144:O146)</f>
        <v>1141</v>
      </c>
    </row>
    <row r="148" spans="1:15" ht="12.75" customHeight="1" thickTop="1" x14ac:dyDescent="0.25">
      <c r="A148" s="336"/>
      <c r="D148" s="340"/>
      <c r="E148" s="340"/>
      <c r="F148" s="340"/>
      <c r="G148" s="319"/>
      <c r="I148" s="318"/>
      <c r="J148" s="318"/>
      <c r="K148" s="318"/>
      <c r="L148" s="318"/>
      <c r="M148" s="318"/>
      <c r="N148" s="318"/>
      <c r="O148" s="318"/>
    </row>
    <row r="149" spans="1:15" ht="12.75" customHeight="1" x14ac:dyDescent="0.25">
      <c r="A149" s="336"/>
      <c r="D149" s="347">
        <v>603014</v>
      </c>
      <c r="E149" s="331"/>
      <c r="F149" s="476"/>
      <c r="G149" s="332" t="s">
        <v>1001</v>
      </c>
      <c r="H149" s="381"/>
      <c r="I149" s="318"/>
      <c r="J149" s="318"/>
      <c r="K149" s="318"/>
      <c r="L149" s="318"/>
      <c r="M149" s="318"/>
      <c r="N149" s="318"/>
      <c r="O149" s="318"/>
    </row>
    <row r="150" spans="1:15" ht="12.75" customHeight="1" x14ac:dyDescent="0.25">
      <c r="A150" s="336"/>
      <c r="D150" s="340"/>
      <c r="E150" s="340"/>
      <c r="F150" s="340"/>
      <c r="G150" s="334" t="s">
        <v>533</v>
      </c>
      <c r="I150" s="318"/>
      <c r="J150" s="318"/>
      <c r="K150" s="318"/>
      <c r="L150" s="318"/>
      <c r="M150" s="318"/>
      <c r="N150" s="318"/>
      <c r="O150" s="318"/>
    </row>
    <row r="151" spans="1:15" ht="12.75" customHeight="1" x14ac:dyDescent="0.25">
      <c r="A151" s="336">
        <v>603014</v>
      </c>
      <c r="B151" s="336" t="str">
        <f>G149</f>
        <v>Veldweg 14 en 16</v>
      </c>
      <c r="D151" s="337">
        <v>42100</v>
      </c>
      <c r="E151" s="337"/>
      <c r="F151" s="337"/>
      <c r="G151" s="319" t="s">
        <v>978</v>
      </c>
      <c r="I151" s="318"/>
      <c r="J151" s="317">
        <v>3501</v>
      </c>
      <c r="K151" s="317">
        <v>3592</v>
      </c>
      <c r="L151" s="317">
        <f t="shared" ref="L151:O153" si="16">ROUND(K151*T$2,0)</f>
        <v>3667</v>
      </c>
      <c r="M151" s="317">
        <f t="shared" si="16"/>
        <v>3751</v>
      </c>
      <c r="N151" s="317">
        <f t="shared" si="16"/>
        <v>3837</v>
      </c>
      <c r="O151" s="317">
        <f t="shared" si="16"/>
        <v>3925</v>
      </c>
    </row>
    <row r="152" spans="1:15" ht="12.75" customHeight="1" x14ac:dyDescent="0.25">
      <c r="A152" s="336">
        <f>D149</f>
        <v>603014</v>
      </c>
      <c r="B152" s="336" t="str">
        <f>G149</f>
        <v>Veldweg 14 en 16</v>
      </c>
      <c r="C152" s="316"/>
      <c r="D152" s="337">
        <v>43806</v>
      </c>
      <c r="E152" s="337"/>
      <c r="F152" s="337"/>
      <c r="G152" s="319" t="s">
        <v>980</v>
      </c>
      <c r="I152" s="318"/>
      <c r="J152" s="317">
        <v>253</v>
      </c>
      <c r="K152" s="317">
        <v>260</v>
      </c>
      <c r="L152" s="317">
        <f t="shared" si="16"/>
        <v>265</v>
      </c>
      <c r="M152" s="317">
        <f t="shared" si="16"/>
        <v>271</v>
      </c>
      <c r="N152" s="317">
        <f t="shared" si="16"/>
        <v>277</v>
      </c>
      <c r="O152" s="317">
        <f t="shared" si="16"/>
        <v>283</v>
      </c>
    </row>
    <row r="153" spans="1:15" ht="12.75" customHeight="1" x14ac:dyDescent="0.25">
      <c r="A153" s="336">
        <v>603014</v>
      </c>
      <c r="B153" s="336" t="str">
        <f>G149</f>
        <v>Veldweg 14 en 16</v>
      </c>
      <c r="D153" s="337">
        <v>43812</v>
      </c>
      <c r="E153" s="337"/>
      <c r="F153" s="1615"/>
      <c r="G153" s="1616" t="s">
        <v>1002</v>
      </c>
      <c r="H153" s="1617"/>
      <c r="I153" s="318"/>
      <c r="J153" s="317">
        <v>2334</v>
      </c>
      <c r="K153" s="317">
        <v>2395</v>
      </c>
      <c r="L153" s="317">
        <f t="shared" si="16"/>
        <v>2445</v>
      </c>
      <c r="M153" s="317">
        <f t="shared" si="16"/>
        <v>2501</v>
      </c>
      <c r="N153" s="317">
        <f t="shared" si="16"/>
        <v>2559</v>
      </c>
      <c r="O153" s="317">
        <f t="shared" si="16"/>
        <v>2618</v>
      </c>
    </row>
    <row r="154" spans="1:15" ht="12.75" customHeight="1" thickBot="1" x14ac:dyDescent="0.3">
      <c r="A154" s="336"/>
      <c r="D154" s="340"/>
      <c r="E154" s="340"/>
      <c r="F154" s="340"/>
      <c r="G154" s="319" t="s">
        <v>536</v>
      </c>
      <c r="I154" s="318"/>
      <c r="J154" s="480">
        <v>6088</v>
      </c>
      <c r="K154" s="480">
        <v>6247</v>
      </c>
      <c r="L154" s="480">
        <f>SUM(L151:L153)</f>
        <v>6377</v>
      </c>
      <c r="M154" s="480">
        <f>SUM(M151:M153)</f>
        <v>6523</v>
      </c>
      <c r="N154" s="480">
        <f>SUM(N151:N153)</f>
        <v>6673</v>
      </c>
      <c r="O154" s="480">
        <f>SUM(O151:O153)</f>
        <v>6826</v>
      </c>
    </row>
    <row r="155" spans="1:15" ht="12.75" customHeight="1" thickTop="1" x14ac:dyDescent="0.25">
      <c r="A155" s="336"/>
      <c r="D155" s="340"/>
      <c r="E155" s="340"/>
      <c r="F155" s="340"/>
      <c r="G155" s="319"/>
      <c r="I155" s="318"/>
      <c r="J155" s="318"/>
      <c r="K155" s="318"/>
      <c r="L155" s="318"/>
      <c r="M155" s="318"/>
      <c r="N155" s="318"/>
      <c r="O155" s="318"/>
    </row>
    <row r="156" spans="1:15" ht="12.75" customHeight="1" x14ac:dyDescent="0.25">
      <c r="A156" s="336"/>
      <c r="D156" s="333">
        <v>603015</v>
      </c>
      <c r="E156" s="331"/>
      <c r="F156" s="331"/>
      <c r="G156" s="332" t="s">
        <v>1003</v>
      </c>
      <c r="I156" s="316"/>
      <c r="J156" s="335"/>
      <c r="K156" s="335"/>
      <c r="L156" s="335"/>
      <c r="M156" s="335"/>
      <c r="N156" s="335"/>
      <c r="O156" s="335"/>
    </row>
    <row r="157" spans="1:15" ht="12.75" customHeight="1" x14ac:dyDescent="0.25">
      <c r="A157" s="336"/>
      <c r="D157" s="333"/>
      <c r="E157" s="331"/>
      <c r="F157" s="331"/>
      <c r="G157" s="334" t="s">
        <v>533</v>
      </c>
      <c r="I157" s="316"/>
      <c r="J157" s="335"/>
      <c r="K157" s="335"/>
      <c r="L157" s="335"/>
      <c r="M157" s="335"/>
      <c r="N157" s="335"/>
      <c r="O157" s="335"/>
    </row>
    <row r="158" spans="1:15" ht="12.75" customHeight="1" x14ac:dyDescent="0.25">
      <c r="A158" s="336">
        <v>603015</v>
      </c>
      <c r="B158" s="115" t="s">
        <v>1003</v>
      </c>
      <c r="D158" s="337">
        <v>42100</v>
      </c>
      <c r="E158" s="331"/>
      <c r="F158" s="331"/>
      <c r="G158" s="319" t="s">
        <v>978</v>
      </c>
      <c r="I158" s="316"/>
      <c r="J158" s="317">
        <v>36000</v>
      </c>
      <c r="K158" s="317">
        <v>4400</v>
      </c>
      <c r="L158" s="317">
        <f t="shared" ref="L158:N158" si="17">+L315</f>
        <v>4400</v>
      </c>
      <c r="M158" s="317">
        <f t="shared" si="17"/>
        <v>4400</v>
      </c>
      <c r="N158" s="317">
        <f t="shared" si="17"/>
        <v>4400</v>
      </c>
      <c r="O158" s="317">
        <f t="shared" ref="O158" si="18">+O315</f>
        <v>4400</v>
      </c>
    </row>
    <row r="159" spans="1:15" ht="12.75" customHeight="1" x14ac:dyDescent="0.25">
      <c r="A159" s="336">
        <f>+D156</f>
        <v>603015</v>
      </c>
      <c r="B159" s="336" t="str">
        <f>G156</f>
        <v>Afgewikkelde complexen</v>
      </c>
      <c r="D159" s="337">
        <v>43100</v>
      </c>
      <c r="E159" s="337"/>
      <c r="F159" s="337"/>
      <c r="G159" s="319" t="s">
        <v>1004</v>
      </c>
      <c r="I159" s="318"/>
      <c r="J159" s="317">
        <v>2369</v>
      </c>
      <c r="K159" s="317">
        <v>2431</v>
      </c>
      <c r="L159" s="317">
        <f t="shared" ref="L159:O160" si="19">ROUND(K159*T$2,0)</f>
        <v>2482</v>
      </c>
      <c r="M159" s="317">
        <f t="shared" si="19"/>
        <v>2539</v>
      </c>
      <c r="N159" s="317">
        <f t="shared" si="19"/>
        <v>2597</v>
      </c>
      <c r="O159" s="317">
        <f t="shared" si="19"/>
        <v>2657</v>
      </c>
    </row>
    <row r="160" spans="1:15" ht="12.75" customHeight="1" x14ac:dyDescent="0.25">
      <c r="A160" s="336">
        <v>603015</v>
      </c>
      <c r="B160" s="336" t="s">
        <v>1003</v>
      </c>
      <c r="C160" s="316"/>
      <c r="D160" s="337">
        <v>43806</v>
      </c>
      <c r="E160" s="337"/>
      <c r="F160" s="337"/>
      <c r="G160" s="319" t="s">
        <v>980</v>
      </c>
      <c r="I160" s="318"/>
      <c r="J160" s="317">
        <v>205</v>
      </c>
      <c r="K160" s="317">
        <v>210</v>
      </c>
      <c r="L160" s="317">
        <f t="shared" si="19"/>
        <v>214</v>
      </c>
      <c r="M160" s="317">
        <f t="shared" si="19"/>
        <v>219</v>
      </c>
      <c r="N160" s="317">
        <f t="shared" si="19"/>
        <v>224</v>
      </c>
      <c r="O160" s="317">
        <f t="shared" si="19"/>
        <v>229</v>
      </c>
    </row>
    <row r="161" spans="1:15" ht="12.75" customHeight="1" x14ac:dyDescent="0.25">
      <c r="A161" s="336">
        <f>+D156</f>
        <v>603015</v>
      </c>
      <c r="B161" s="336" t="str">
        <f>G156</f>
        <v>Afgewikkelde complexen</v>
      </c>
      <c r="D161" s="337">
        <v>43812</v>
      </c>
      <c r="E161" s="337"/>
      <c r="F161" s="337"/>
      <c r="G161" s="319" t="s">
        <v>535</v>
      </c>
      <c r="I161" s="318"/>
      <c r="J161" s="317">
        <v>8943</v>
      </c>
      <c r="K161" s="317">
        <v>9175</v>
      </c>
      <c r="L161" s="317">
        <f>L321</f>
        <v>9368</v>
      </c>
      <c r="M161" s="317">
        <f>M321</f>
        <v>9583</v>
      </c>
      <c r="N161" s="317">
        <f>N321</f>
        <v>9804</v>
      </c>
      <c r="O161" s="317">
        <f>O321</f>
        <v>10030</v>
      </c>
    </row>
    <row r="162" spans="1:15" ht="12.75" customHeight="1" x14ac:dyDescent="0.25">
      <c r="A162" s="336">
        <f>+D156</f>
        <v>603015</v>
      </c>
      <c r="B162" s="336" t="str">
        <f>G156</f>
        <v>Afgewikkelde complexen</v>
      </c>
      <c r="D162" s="337">
        <v>43813</v>
      </c>
      <c r="E162" s="337"/>
      <c r="F162" s="337"/>
      <c r="G162" s="319" t="s">
        <v>1005</v>
      </c>
      <c r="I162" s="318"/>
      <c r="J162" s="317">
        <v>10916</v>
      </c>
      <c r="K162" s="317">
        <v>11200</v>
      </c>
      <c r="L162" s="317">
        <f>ROUND(K162*T$2,0)</f>
        <v>11435</v>
      </c>
      <c r="M162" s="317">
        <f>ROUND(L162*U$2,0)</f>
        <v>11698</v>
      </c>
      <c r="N162" s="317">
        <f>ROUND(M162*V$2,0)</f>
        <v>11967</v>
      </c>
      <c r="O162" s="317">
        <f>ROUND(N162*W$2,0)</f>
        <v>12242</v>
      </c>
    </row>
    <row r="163" spans="1:15" ht="12.75" customHeight="1" thickBot="1" x14ac:dyDescent="0.3">
      <c r="A163" s="336"/>
      <c r="D163" s="340"/>
      <c r="E163" s="340"/>
      <c r="F163" s="340"/>
      <c r="G163" s="319" t="s">
        <v>536</v>
      </c>
      <c r="I163" s="318"/>
      <c r="J163" s="342">
        <v>58433</v>
      </c>
      <c r="K163" s="342">
        <v>27416</v>
      </c>
      <c r="L163" s="342">
        <f>SUM(L157:L162)</f>
        <v>27899</v>
      </c>
      <c r="M163" s="342">
        <f>SUM(M157:M162)</f>
        <v>28439</v>
      </c>
      <c r="N163" s="342">
        <f>SUM(N157:N162)</f>
        <v>28992</v>
      </c>
      <c r="O163" s="342">
        <f>SUM(O157:O162)</f>
        <v>29558</v>
      </c>
    </row>
    <row r="164" spans="1:15" ht="12.75" customHeight="1" thickTop="1" x14ac:dyDescent="0.25">
      <c r="A164" s="336"/>
      <c r="D164" s="340"/>
      <c r="E164" s="340"/>
      <c r="F164" s="340"/>
      <c r="G164" s="319"/>
      <c r="I164" s="318"/>
      <c r="J164" s="344"/>
      <c r="K164" s="344"/>
      <c r="L164" s="344"/>
      <c r="M164" s="344"/>
      <c r="N164" s="344"/>
      <c r="O164" s="344"/>
    </row>
    <row r="165" spans="1:15" ht="12.75" customHeight="1" x14ac:dyDescent="0.25">
      <c r="A165" s="336"/>
      <c r="D165" s="347">
        <v>603017</v>
      </c>
      <c r="E165" s="340"/>
      <c r="F165" s="340"/>
      <c r="G165" s="332" t="s">
        <v>1006</v>
      </c>
      <c r="I165" s="318"/>
      <c r="J165" s="318"/>
      <c r="K165" s="318"/>
      <c r="L165" s="318"/>
      <c r="M165" s="318"/>
      <c r="N165" s="318"/>
      <c r="O165" s="318"/>
    </row>
    <row r="166" spans="1:15" ht="12.75" customHeight="1" x14ac:dyDescent="0.25">
      <c r="A166" s="336"/>
      <c r="D166" s="340"/>
      <c r="E166" s="340"/>
      <c r="F166" s="340"/>
      <c r="G166" s="334" t="s">
        <v>533</v>
      </c>
      <c r="I166" s="318"/>
      <c r="J166" s="318"/>
      <c r="K166" s="318"/>
      <c r="L166" s="318"/>
      <c r="M166" s="318"/>
      <c r="N166" s="318"/>
      <c r="O166" s="318"/>
    </row>
    <row r="167" spans="1:15" ht="12.75" customHeight="1" x14ac:dyDescent="0.25">
      <c r="A167" s="347">
        <v>603017</v>
      </c>
      <c r="B167" s="319" t="str">
        <f>G165</f>
        <v>Johannes Vermeerstraat 21</v>
      </c>
      <c r="D167" s="337">
        <v>42100</v>
      </c>
      <c r="E167" s="340"/>
      <c r="F167" s="340"/>
      <c r="G167" s="319" t="s">
        <v>978</v>
      </c>
      <c r="I167" s="318"/>
      <c r="J167" s="317">
        <v>2056</v>
      </c>
      <c r="K167" s="317">
        <v>8109</v>
      </c>
      <c r="L167" s="317">
        <f t="shared" ref="L167:O168" si="20">ROUND(K167*T$2,0)</f>
        <v>8279</v>
      </c>
      <c r="M167" s="317">
        <f t="shared" si="20"/>
        <v>8469</v>
      </c>
      <c r="N167" s="317">
        <f t="shared" si="20"/>
        <v>8664</v>
      </c>
      <c r="O167" s="317">
        <f t="shared" si="20"/>
        <v>8863</v>
      </c>
    </row>
    <row r="168" spans="1:15" ht="12.75" customHeight="1" x14ac:dyDescent="0.25">
      <c r="A168" s="347">
        <v>603017</v>
      </c>
      <c r="B168" s="319" t="str">
        <f>G165</f>
        <v>Johannes Vermeerstraat 21</v>
      </c>
      <c r="D168" s="337">
        <v>43806</v>
      </c>
      <c r="E168" s="340"/>
      <c r="F168" s="340"/>
      <c r="G168" s="319" t="s">
        <v>980</v>
      </c>
      <c r="I168" s="318"/>
      <c r="J168" s="317">
        <v>2717</v>
      </c>
      <c r="K168" s="317">
        <v>2788</v>
      </c>
      <c r="L168" s="317">
        <f t="shared" si="20"/>
        <v>2847</v>
      </c>
      <c r="M168" s="317">
        <f t="shared" si="20"/>
        <v>2912</v>
      </c>
      <c r="N168" s="317">
        <f t="shared" si="20"/>
        <v>2979</v>
      </c>
      <c r="O168" s="317">
        <f t="shared" si="20"/>
        <v>3048</v>
      </c>
    </row>
    <row r="169" spans="1:15" ht="12.75" customHeight="1" thickBot="1" x14ac:dyDescent="0.3">
      <c r="A169" s="336"/>
      <c r="D169" s="340"/>
      <c r="E169" s="340"/>
      <c r="F169" s="340"/>
      <c r="G169" s="319"/>
      <c r="I169" s="318"/>
      <c r="J169" s="342">
        <v>4773</v>
      </c>
      <c r="K169" s="342">
        <v>10897</v>
      </c>
      <c r="L169" s="342">
        <f>SUM(L167:L168)</f>
        <v>11126</v>
      </c>
      <c r="M169" s="342">
        <f>SUM(M167:M168)</f>
        <v>11381</v>
      </c>
      <c r="N169" s="342">
        <f>SUM(N167:N168)</f>
        <v>11643</v>
      </c>
      <c r="O169" s="342">
        <f>SUM(O167:O168)</f>
        <v>11911</v>
      </c>
    </row>
    <row r="170" spans="1:15" ht="12.75" customHeight="1" thickTop="1" x14ac:dyDescent="0.25">
      <c r="A170" s="336"/>
      <c r="D170" s="340"/>
      <c r="E170" s="340"/>
      <c r="F170" s="340"/>
      <c r="G170" s="319"/>
      <c r="I170" s="318"/>
      <c r="J170" s="344"/>
      <c r="K170" s="344"/>
      <c r="L170" s="344"/>
      <c r="M170" s="344"/>
      <c r="N170" s="344"/>
      <c r="O170" s="344"/>
    </row>
    <row r="171" spans="1:15" ht="12.75" customHeight="1" x14ac:dyDescent="0.25">
      <c r="A171" s="336"/>
      <c r="D171" s="347">
        <v>603018</v>
      </c>
      <c r="E171" s="340"/>
      <c r="F171" s="340"/>
      <c r="G171" s="332" t="s">
        <v>1007</v>
      </c>
      <c r="I171" s="318"/>
      <c r="J171" s="318"/>
      <c r="K171" s="318"/>
      <c r="L171" s="318"/>
      <c r="M171" s="318"/>
      <c r="N171" s="318"/>
      <c r="O171" s="318"/>
    </row>
    <row r="172" spans="1:15" ht="12.75" customHeight="1" x14ac:dyDescent="0.25">
      <c r="A172" s="336"/>
      <c r="D172" s="340"/>
      <c r="E172" s="340"/>
      <c r="F172" s="340"/>
      <c r="G172" s="334" t="s">
        <v>533</v>
      </c>
      <c r="I172" s="318"/>
      <c r="J172" s="318"/>
      <c r="K172" s="318"/>
      <c r="L172" s="318"/>
      <c r="M172" s="318"/>
      <c r="N172" s="318"/>
      <c r="O172" s="318"/>
    </row>
    <row r="173" spans="1:15" ht="12.75" customHeight="1" x14ac:dyDescent="0.25">
      <c r="A173" s="347">
        <f>D171</f>
        <v>603018</v>
      </c>
      <c r="B173" s="319" t="str">
        <f>G171</f>
        <v>Wildheuvel 21-23 (leegstand)</v>
      </c>
      <c r="D173" s="337">
        <v>42100</v>
      </c>
      <c r="E173" s="340"/>
      <c r="F173" s="340"/>
      <c r="G173" s="319" t="s">
        <v>978</v>
      </c>
      <c r="I173" s="318"/>
      <c r="J173" s="317">
        <v>1105</v>
      </c>
      <c r="K173" s="317">
        <v>1134</v>
      </c>
      <c r="L173" s="317">
        <f t="shared" ref="L173:O174" si="21">ROUND(K173*T$2,0)</f>
        <v>1158</v>
      </c>
      <c r="M173" s="317">
        <f t="shared" si="21"/>
        <v>1185</v>
      </c>
      <c r="N173" s="317">
        <f t="shared" si="21"/>
        <v>1212</v>
      </c>
      <c r="O173" s="317">
        <f t="shared" si="21"/>
        <v>1240</v>
      </c>
    </row>
    <row r="174" spans="1:15" ht="12.75" customHeight="1" x14ac:dyDescent="0.25">
      <c r="A174" s="347">
        <f>D171</f>
        <v>603018</v>
      </c>
      <c r="B174" s="319" t="str">
        <f>G171</f>
        <v>Wildheuvel 21-23 (leegstand)</v>
      </c>
      <c r="D174" s="337">
        <v>43806</v>
      </c>
      <c r="E174" s="340"/>
      <c r="F174" s="340"/>
      <c r="G174" s="319" t="s">
        <v>980</v>
      </c>
      <c r="I174" s="318"/>
      <c r="J174" s="317">
        <v>859</v>
      </c>
      <c r="K174" s="317">
        <v>881</v>
      </c>
      <c r="L174" s="317">
        <f t="shared" si="21"/>
        <v>900</v>
      </c>
      <c r="M174" s="317">
        <f t="shared" si="21"/>
        <v>921</v>
      </c>
      <c r="N174" s="317">
        <f t="shared" si="21"/>
        <v>942</v>
      </c>
      <c r="O174" s="317">
        <f t="shared" si="21"/>
        <v>964</v>
      </c>
    </row>
    <row r="175" spans="1:15" ht="12.75" customHeight="1" thickBot="1" x14ac:dyDescent="0.3">
      <c r="A175" s="336"/>
      <c r="D175" s="340"/>
      <c r="E175" s="340"/>
      <c r="F175" s="340"/>
      <c r="G175" s="319"/>
      <c r="I175" s="318"/>
      <c r="J175" s="342">
        <v>1964</v>
      </c>
      <c r="K175" s="342">
        <v>2015</v>
      </c>
      <c r="L175" s="342">
        <f>SUM(L173:L174)</f>
        <v>2058</v>
      </c>
      <c r="M175" s="342">
        <f>SUM(M173:M174)</f>
        <v>2106</v>
      </c>
      <c r="N175" s="342">
        <f>SUM(N173:N174)</f>
        <v>2154</v>
      </c>
      <c r="O175" s="342">
        <f>SUM(O173:O174)</f>
        <v>2204</v>
      </c>
    </row>
    <row r="176" spans="1:15" ht="12.75" customHeight="1" thickTop="1" x14ac:dyDescent="0.25">
      <c r="A176" s="336"/>
      <c r="D176" s="340"/>
      <c r="E176" s="340"/>
      <c r="F176" s="340"/>
      <c r="G176" s="319"/>
      <c r="I176" s="318"/>
      <c r="J176" s="344"/>
      <c r="K176" s="344"/>
      <c r="L176" s="344"/>
      <c r="M176" s="344"/>
      <c r="N176" s="344"/>
      <c r="O176" s="344"/>
    </row>
    <row r="177" spans="1:15" ht="12.75" customHeight="1" x14ac:dyDescent="0.25">
      <c r="A177" s="336"/>
      <c r="D177" s="333">
        <v>603020</v>
      </c>
      <c r="E177" s="340"/>
      <c r="F177" s="340"/>
      <c r="G177" s="332" t="s">
        <v>1008</v>
      </c>
      <c r="I177" s="318"/>
      <c r="J177" s="318"/>
      <c r="K177" s="318"/>
      <c r="L177" s="318"/>
      <c r="M177" s="318"/>
      <c r="N177" s="318"/>
      <c r="O177" s="318"/>
    </row>
    <row r="178" spans="1:15" ht="12.75" customHeight="1" x14ac:dyDescent="0.25">
      <c r="A178" s="336"/>
      <c r="D178" s="340"/>
      <c r="E178" s="340"/>
      <c r="F178" s="340"/>
      <c r="G178" s="334" t="s">
        <v>533</v>
      </c>
      <c r="I178" s="318"/>
      <c r="J178" s="318"/>
      <c r="K178" s="318"/>
      <c r="L178" s="318"/>
      <c r="M178" s="318"/>
      <c r="N178" s="318"/>
      <c r="O178" s="318"/>
    </row>
    <row r="179" spans="1:15" ht="12.75" customHeight="1" x14ac:dyDescent="0.25">
      <c r="A179" s="333">
        <f>D177</f>
        <v>603020</v>
      </c>
      <c r="B179" s="319" t="str">
        <f>G177</f>
        <v>Burgemeester Notermanstraat 27/29/29A</v>
      </c>
      <c r="D179" s="337">
        <v>42100</v>
      </c>
      <c r="E179" s="340"/>
      <c r="F179" s="340"/>
      <c r="G179" s="319" t="s">
        <v>978</v>
      </c>
      <c r="I179" s="318"/>
      <c r="J179" s="317">
        <v>0</v>
      </c>
      <c r="K179" s="317">
        <v>3000</v>
      </c>
      <c r="L179" s="317">
        <f t="shared" ref="L179:O180" si="22">ROUND(K179*T$2,0)</f>
        <v>3063</v>
      </c>
      <c r="M179" s="317">
        <f t="shared" si="22"/>
        <v>3133</v>
      </c>
      <c r="N179" s="317">
        <f t="shared" si="22"/>
        <v>3205</v>
      </c>
      <c r="O179" s="317">
        <f t="shared" si="22"/>
        <v>3279</v>
      </c>
    </row>
    <row r="180" spans="1:15" ht="12.75" customHeight="1" x14ac:dyDescent="0.25">
      <c r="A180" s="333">
        <f>D177</f>
        <v>603020</v>
      </c>
      <c r="B180" s="319" t="str">
        <f>G177</f>
        <v>Burgemeester Notermanstraat 27/29/29A</v>
      </c>
      <c r="D180" s="337">
        <v>43806</v>
      </c>
      <c r="E180" s="340"/>
      <c r="F180" s="340"/>
      <c r="G180" s="319" t="s">
        <v>980</v>
      </c>
      <c r="I180" s="318"/>
      <c r="J180" s="317">
        <v>0</v>
      </c>
      <c r="K180" s="317">
        <v>1000</v>
      </c>
      <c r="L180" s="317">
        <f t="shared" si="22"/>
        <v>1021</v>
      </c>
      <c r="M180" s="317">
        <f t="shared" si="22"/>
        <v>1044</v>
      </c>
      <c r="N180" s="317">
        <f t="shared" si="22"/>
        <v>1068</v>
      </c>
      <c r="O180" s="317">
        <f t="shared" si="22"/>
        <v>1093</v>
      </c>
    </row>
    <row r="181" spans="1:15" ht="12.75" customHeight="1" thickBot="1" x14ac:dyDescent="0.3">
      <c r="A181" s="336"/>
      <c r="D181" s="340"/>
      <c r="E181" s="340"/>
      <c r="F181" s="340"/>
      <c r="G181" s="319"/>
      <c r="I181" s="318"/>
      <c r="J181" s="342">
        <v>0</v>
      </c>
      <c r="K181" s="342">
        <v>4000</v>
      </c>
      <c r="L181" s="342">
        <f>SUM(L179:L180)</f>
        <v>4084</v>
      </c>
      <c r="M181" s="342">
        <f>SUM(M179:M180)</f>
        <v>4177</v>
      </c>
      <c r="N181" s="342">
        <f>SUM(N179:N180)</f>
        <v>4273</v>
      </c>
      <c r="O181" s="342">
        <f>SUM(O179:O180)</f>
        <v>4372</v>
      </c>
    </row>
    <row r="182" spans="1:15" ht="12.75" customHeight="1" thickTop="1" x14ac:dyDescent="0.25">
      <c r="A182" s="336"/>
      <c r="D182" s="340"/>
      <c r="E182" s="340"/>
      <c r="F182" s="340"/>
      <c r="G182" s="319"/>
      <c r="I182" s="318"/>
      <c r="J182" s="318"/>
      <c r="K182" s="318"/>
      <c r="L182" s="318"/>
      <c r="M182" s="318"/>
      <c r="N182" s="318"/>
      <c r="O182" s="318"/>
    </row>
    <row r="183" spans="1:15" ht="12.75" customHeight="1" x14ac:dyDescent="0.25">
      <c r="A183" s="336"/>
      <c r="D183" s="347">
        <v>603021</v>
      </c>
      <c r="E183" s="340"/>
      <c r="F183" s="340"/>
      <c r="G183" s="332" t="s">
        <v>5313</v>
      </c>
      <c r="I183" s="318"/>
      <c r="J183" s="318"/>
      <c r="K183" s="318"/>
      <c r="L183" s="318"/>
      <c r="M183" s="318"/>
      <c r="N183" s="318"/>
      <c r="O183" s="318"/>
    </row>
    <row r="184" spans="1:15" ht="12.75" customHeight="1" x14ac:dyDescent="0.25">
      <c r="A184" s="336"/>
      <c r="D184" s="340">
        <v>47501</v>
      </c>
      <c r="E184" s="340"/>
      <c r="F184" s="340"/>
      <c r="G184" s="319" t="s">
        <v>5312</v>
      </c>
      <c r="I184" s="318"/>
      <c r="J184" s="318"/>
      <c r="K184" s="318">
        <v>136981</v>
      </c>
      <c r="L184" s="318"/>
      <c r="M184" s="318"/>
      <c r="N184" s="318"/>
      <c r="O184" s="318"/>
    </row>
    <row r="185" spans="1:15" ht="12.75" customHeight="1" thickBot="1" x14ac:dyDescent="0.3">
      <c r="A185" s="336"/>
      <c r="D185" s="340"/>
      <c r="E185" s="340"/>
      <c r="F185" s="340"/>
      <c r="G185" s="319"/>
      <c r="I185" s="318"/>
      <c r="J185" s="342">
        <f>SUM(J183:J184)</f>
        <v>0</v>
      </c>
      <c r="K185" s="342">
        <f t="shared" ref="K185:O185" si="23">SUM(K183:K184)</f>
        <v>136981</v>
      </c>
      <c r="L185" s="342">
        <f t="shared" si="23"/>
        <v>0</v>
      </c>
      <c r="M185" s="342">
        <f t="shared" si="23"/>
        <v>0</v>
      </c>
      <c r="N185" s="342">
        <f t="shared" si="23"/>
        <v>0</v>
      </c>
      <c r="O185" s="342">
        <f t="shared" si="23"/>
        <v>0</v>
      </c>
    </row>
    <row r="186" spans="1:15" ht="12.75" customHeight="1" thickTop="1" x14ac:dyDescent="0.25">
      <c r="A186" s="336"/>
      <c r="D186" s="340"/>
      <c r="E186" s="340"/>
      <c r="F186" s="340"/>
      <c r="G186" s="319"/>
      <c r="I186" s="318"/>
      <c r="J186" s="318"/>
      <c r="K186" s="318"/>
      <c r="L186" s="318"/>
      <c r="M186" s="318"/>
      <c r="N186" s="318"/>
      <c r="O186" s="318"/>
    </row>
    <row r="187" spans="1:15" ht="12.75" customHeight="1" x14ac:dyDescent="0.25">
      <c r="A187" s="336"/>
      <c r="D187" s="333">
        <v>603001</v>
      </c>
      <c r="E187" s="331"/>
      <c r="F187" s="331"/>
      <c r="G187" s="332" t="s">
        <v>977</v>
      </c>
      <c r="I187" s="318"/>
      <c r="J187" s="318"/>
      <c r="K187" s="318"/>
      <c r="L187" s="318"/>
      <c r="M187" s="318"/>
      <c r="N187" s="318"/>
      <c r="O187" s="318"/>
    </row>
    <row r="188" spans="1:15" ht="12.75" customHeight="1" x14ac:dyDescent="0.25">
      <c r="A188" s="336"/>
      <c r="D188" s="340"/>
      <c r="E188" s="340"/>
      <c r="F188" s="340"/>
      <c r="G188" s="334" t="s">
        <v>554</v>
      </c>
      <c r="I188" s="318"/>
      <c r="J188" s="318"/>
      <c r="K188" s="318"/>
      <c r="L188" s="318"/>
      <c r="M188" s="318"/>
      <c r="N188" s="318"/>
      <c r="O188" s="318"/>
    </row>
    <row r="189" spans="1:15" ht="12.75" customHeight="1" x14ac:dyDescent="0.25">
      <c r="A189" s="336">
        <f>+D187</f>
        <v>603001</v>
      </c>
      <c r="B189" s="336" t="str">
        <f>G187</f>
        <v>Strategische gronden</v>
      </c>
      <c r="D189" s="337">
        <v>83300</v>
      </c>
      <c r="E189" s="337"/>
      <c r="F189" s="337"/>
      <c r="G189" s="319" t="s">
        <v>1009</v>
      </c>
      <c r="I189" s="318"/>
      <c r="J189" s="317">
        <v>-16107</v>
      </c>
      <c r="K189" s="317">
        <v>-5514</v>
      </c>
      <c r="L189" s="317">
        <f>L381</f>
        <v>-11511.01</v>
      </c>
      <c r="M189" s="317">
        <f>M381</f>
        <v>-11731</v>
      </c>
      <c r="N189" s="317">
        <f>N381</f>
        <v>-11956</v>
      </c>
      <c r="O189" s="317">
        <f>O381</f>
        <v>-12186</v>
      </c>
    </row>
    <row r="190" spans="1:15" ht="12.75" customHeight="1" x14ac:dyDescent="0.25">
      <c r="A190" s="336">
        <f>+D187</f>
        <v>603001</v>
      </c>
      <c r="B190" s="336" t="str">
        <f>G187</f>
        <v>Strategische gronden</v>
      </c>
      <c r="D190" s="340">
        <v>83600</v>
      </c>
      <c r="E190" s="340"/>
      <c r="F190" s="340"/>
      <c r="G190" s="319" t="s">
        <v>1010</v>
      </c>
      <c r="I190" s="318"/>
      <c r="J190" s="317">
        <v>-145043.22999999998</v>
      </c>
      <c r="K190" s="317">
        <v>-160574</v>
      </c>
      <c r="L190" s="317">
        <f>L373</f>
        <v>-162073.82000000007</v>
      </c>
      <c r="M190" s="317">
        <f>M373</f>
        <v>-165757.98000000001</v>
      </c>
      <c r="N190" s="317">
        <f>N373</f>
        <v>-169526.98</v>
      </c>
      <c r="O190" s="317">
        <f>O373</f>
        <v>-173380.98</v>
      </c>
    </row>
    <row r="191" spans="1:15" ht="12.75" customHeight="1" thickBot="1" x14ac:dyDescent="0.3">
      <c r="A191" s="336"/>
      <c r="D191" s="340"/>
      <c r="E191" s="340"/>
      <c r="F191" s="340"/>
      <c r="G191" s="319" t="s">
        <v>536</v>
      </c>
      <c r="I191" s="318"/>
      <c r="J191" s="480">
        <v>-161150.22999999998</v>
      </c>
      <c r="K191" s="480">
        <v>-166088</v>
      </c>
      <c r="L191" s="480">
        <f>SUM(L189:L190)</f>
        <v>-173584.83000000007</v>
      </c>
      <c r="M191" s="480">
        <f>SUM(M189:M190)</f>
        <v>-177488.98</v>
      </c>
      <c r="N191" s="480">
        <f>SUM(N189:N190)</f>
        <v>-181482.98</v>
      </c>
      <c r="O191" s="480">
        <f>SUM(O189:O190)</f>
        <v>-185566.98</v>
      </c>
    </row>
    <row r="192" spans="1:15" ht="12.75" customHeight="1" thickTop="1" x14ac:dyDescent="0.25">
      <c r="A192" s="336"/>
      <c r="D192" s="340"/>
      <c r="E192" s="340"/>
      <c r="F192" s="340"/>
      <c r="G192" s="319"/>
      <c r="I192" s="318"/>
      <c r="J192" s="317"/>
      <c r="K192" s="317"/>
      <c r="L192" s="317"/>
      <c r="M192" s="317"/>
      <c r="N192" s="317"/>
      <c r="O192" s="317"/>
    </row>
    <row r="193" spans="1:15" ht="12.75" customHeight="1" x14ac:dyDescent="0.25">
      <c r="A193" s="336"/>
      <c r="D193" s="333">
        <v>603901</v>
      </c>
      <c r="E193" s="331"/>
      <c r="F193" s="331"/>
      <c r="G193" s="332" t="s">
        <v>1011</v>
      </c>
      <c r="I193" s="318"/>
      <c r="J193" s="318"/>
      <c r="K193" s="318"/>
      <c r="L193" s="318"/>
      <c r="M193" s="318"/>
      <c r="N193" s="318"/>
      <c r="O193" s="318"/>
    </row>
    <row r="194" spans="1:15" ht="12.75" customHeight="1" x14ac:dyDescent="0.25">
      <c r="A194" s="336"/>
      <c r="D194" s="340"/>
      <c r="E194" s="340"/>
      <c r="F194" s="340"/>
      <c r="G194" s="334" t="s">
        <v>533</v>
      </c>
      <c r="I194" s="318"/>
      <c r="J194" s="318"/>
      <c r="K194" s="318"/>
      <c r="L194" s="318"/>
      <c r="M194" s="318"/>
      <c r="N194" s="318"/>
      <c r="O194" s="318"/>
    </row>
    <row r="195" spans="1:15" ht="12.75" customHeight="1" x14ac:dyDescent="0.25">
      <c r="A195" s="336">
        <v>603901</v>
      </c>
      <c r="B195" s="336" t="s">
        <v>1011</v>
      </c>
      <c r="D195" s="337">
        <v>41100</v>
      </c>
      <c r="E195" s="337"/>
      <c r="F195" s="337"/>
      <c r="G195" s="319" t="s">
        <v>541</v>
      </c>
      <c r="I195" s="318"/>
      <c r="J195" s="317">
        <v>139737</v>
      </c>
      <c r="K195" s="317">
        <v>158580.04999999999</v>
      </c>
      <c r="L195" s="317">
        <f>L289</f>
        <v>165241</v>
      </c>
      <c r="M195" s="317">
        <f>M289</f>
        <v>171354</v>
      </c>
      <c r="N195" s="317">
        <f>N289</f>
        <v>177694</v>
      </c>
      <c r="O195" s="317">
        <f>O289</f>
        <v>184268</v>
      </c>
    </row>
    <row r="196" spans="1:15" ht="12.75" customHeight="1" x14ac:dyDescent="0.25">
      <c r="A196" s="336">
        <v>603901</v>
      </c>
      <c r="B196" s="115" t="s">
        <v>1011</v>
      </c>
      <c r="D196" s="337">
        <v>47300</v>
      </c>
      <c r="E196" s="337"/>
      <c r="F196" s="337"/>
      <c r="G196" s="115" t="s">
        <v>1012</v>
      </c>
      <c r="I196" s="318"/>
      <c r="J196" s="317">
        <v>39979</v>
      </c>
      <c r="K196" s="317">
        <v>50172</v>
      </c>
      <c r="L196" s="317">
        <v>38604</v>
      </c>
      <c r="M196" s="317">
        <v>38604</v>
      </c>
      <c r="N196" s="317">
        <v>38604</v>
      </c>
      <c r="O196" s="317">
        <v>38604</v>
      </c>
    </row>
    <row r="197" spans="1:15" ht="12.75" customHeight="1" thickBot="1" x14ac:dyDescent="0.3">
      <c r="A197" s="336"/>
      <c r="D197" s="340"/>
      <c r="E197" s="340"/>
      <c r="F197" s="340"/>
      <c r="G197" s="319" t="s">
        <v>1013</v>
      </c>
      <c r="I197" s="318"/>
      <c r="J197" s="480">
        <v>179716</v>
      </c>
      <c r="K197" s="480">
        <v>208752.05</v>
      </c>
      <c r="L197" s="480">
        <f>SUM(L195:L196)</f>
        <v>203845</v>
      </c>
      <c r="M197" s="480">
        <f>SUM(M195:M196)</f>
        <v>209958</v>
      </c>
      <c r="N197" s="480">
        <f>SUM(N195:N196)</f>
        <v>216298</v>
      </c>
      <c r="O197" s="480">
        <f>SUM(O195:O196)</f>
        <v>222872</v>
      </c>
    </row>
    <row r="198" spans="1:15" ht="12.75" customHeight="1" thickTop="1" x14ac:dyDescent="0.25">
      <c r="A198" s="336"/>
      <c r="D198" s="340"/>
      <c r="E198" s="340"/>
      <c r="F198" s="340"/>
      <c r="G198" s="319"/>
      <c r="I198" s="318"/>
      <c r="J198" s="318"/>
      <c r="K198" s="318"/>
      <c r="L198" s="318"/>
      <c r="M198" s="318"/>
      <c r="N198" s="318"/>
      <c r="O198" s="318"/>
    </row>
    <row r="199" spans="1:15" ht="12.75" customHeight="1" x14ac:dyDescent="0.25">
      <c r="A199" s="336"/>
      <c r="D199" s="333">
        <v>603002</v>
      </c>
      <c r="E199" s="331"/>
      <c r="F199" s="331"/>
      <c r="G199" s="332" t="s">
        <v>982</v>
      </c>
      <c r="I199" s="318"/>
      <c r="J199" s="317"/>
      <c r="K199" s="317"/>
      <c r="L199" s="317"/>
      <c r="M199" s="317"/>
      <c r="N199" s="317"/>
      <c r="O199" s="317"/>
    </row>
    <row r="200" spans="1:15" ht="12.75" customHeight="1" x14ac:dyDescent="0.25">
      <c r="A200" s="336"/>
      <c r="D200" s="340"/>
      <c r="E200" s="340"/>
      <c r="F200" s="340"/>
      <c r="G200" s="334" t="s">
        <v>554</v>
      </c>
      <c r="I200" s="318"/>
      <c r="J200" s="317"/>
      <c r="K200" s="317"/>
      <c r="L200" s="317"/>
      <c r="M200" s="317"/>
      <c r="N200" s="317"/>
      <c r="O200" s="317"/>
    </row>
    <row r="201" spans="1:15" ht="12.75" customHeight="1" x14ac:dyDescent="0.25">
      <c r="A201" s="336">
        <f>+D199</f>
        <v>603002</v>
      </c>
      <c r="B201" s="336" t="str">
        <f>G199</f>
        <v>Garageboxen</v>
      </c>
      <c r="D201" s="337">
        <v>83600</v>
      </c>
      <c r="E201" s="337"/>
      <c r="F201" s="337"/>
      <c r="G201" s="319" t="s">
        <v>1010</v>
      </c>
      <c r="I201" s="318"/>
      <c r="J201" s="317">
        <v>2779.8</v>
      </c>
      <c r="K201" s="317">
        <v>-2880</v>
      </c>
      <c r="L201" s="317">
        <f>L387</f>
        <v>-2960.39</v>
      </c>
      <c r="M201" s="317">
        <f>M387</f>
        <v>-3028</v>
      </c>
      <c r="N201" s="317">
        <f>N387</f>
        <v>-3098</v>
      </c>
      <c r="O201" s="317">
        <f>O387</f>
        <v>-3169</v>
      </c>
    </row>
    <row r="202" spans="1:15" ht="12.75" customHeight="1" thickBot="1" x14ac:dyDescent="0.3">
      <c r="A202" s="336"/>
      <c r="D202" s="340"/>
      <c r="E202" s="340"/>
      <c r="F202" s="340"/>
      <c r="G202" s="319" t="s">
        <v>536</v>
      </c>
      <c r="I202" s="318"/>
      <c r="J202" s="342">
        <v>2779.8</v>
      </c>
      <c r="K202" s="342">
        <v>-2880</v>
      </c>
      <c r="L202" s="342">
        <f>SUM(L200:L201)</f>
        <v>-2960.39</v>
      </c>
      <c r="M202" s="342">
        <f>SUM(M200:M201)</f>
        <v>-3028</v>
      </c>
      <c r="N202" s="342">
        <f>SUM(N200:N201)</f>
        <v>-3098</v>
      </c>
      <c r="O202" s="342">
        <f>SUM(O200:O201)</f>
        <v>-3169</v>
      </c>
    </row>
    <row r="203" spans="1:15" ht="12.75" customHeight="1" thickTop="1" x14ac:dyDescent="0.25">
      <c r="A203" s="336"/>
      <c r="D203" s="340"/>
      <c r="E203" s="340"/>
      <c r="F203" s="340"/>
      <c r="G203" s="319"/>
      <c r="I203" s="318"/>
      <c r="J203" s="317"/>
      <c r="K203" s="317"/>
      <c r="L203" s="317"/>
      <c r="M203" s="317"/>
      <c r="N203" s="317"/>
      <c r="O203" s="317"/>
    </row>
    <row r="204" spans="1:15" ht="12.75" customHeight="1" x14ac:dyDescent="0.25">
      <c r="A204" s="336"/>
      <c r="D204" s="333">
        <v>603003</v>
      </c>
      <c r="E204" s="331"/>
      <c r="F204" s="331"/>
      <c r="G204" s="332" t="s">
        <v>1014</v>
      </c>
      <c r="I204" s="318"/>
      <c r="J204" s="318"/>
      <c r="K204" s="318"/>
      <c r="L204" s="318"/>
      <c r="M204" s="318"/>
      <c r="N204" s="318"/>
      <c r="O204" s="318"/>
    </row>
    <row r="205" spans="1:15" ht="12.75" customHeight="1" x14ac:dyDescent="0.25">
      <c r="A205" s="336"/>
      <c r="D205" s="340"/>
      <c r="E205" s="340"/>
      <c r="F205" s="340"/>
      <c r="G205" s="334" t="s">
        <v>554</v>
      </c>
      <c r="I205" s="318"/>
      <c r="J205" s="318"/>
      <c r="K205" s="318"/>
      <c r="L205" s="318"/>
      <c r="M205" s="318"/>
      <c r="N205" s="318"/>
      <c r="O205" s="318"/>
    </row>
    <row r="206" spans="1:15" ht="12.75" customHeight="1" x14ac:dyDescent="0.25">
      <c r="A206" s="336">
        <f>+D204</f>
        <v>603003</v>
      </c>
      <c r="B206" s="336" t="str">
        <f>G204</f>
        <v>Hartevier 2</v>
      </c>
      <c r="D206" s="337">
        <v>83600</v>
      </c>
      <c r="E206" s="337"/>
      <c r="F206" s="337"/>
      <c r="G206" s="319" t="s">
        <v>1015</v>
      </c>
      <c r="I206" s="318"/>
      <c r="J206" s="317">
        <v>-37365</v>
      </c>
      <c r="K206" s="317">
        <v>-39678</v>
      </c>
      <c r="L206" s="317">
        <v>-40787.480000000003</v>
      </c>
      <c r="M206" s="317">
        <f>ROUND(L206*U$2,0)</f>
        <v>-41726</v>
      </c>
      <c r="N206" s="317">
        <f>ROUND(M206*V$2,0)</f>
        <v>-42686</v>
      </c>
      <c r="O206" s="317">
        <f>ROUND(N206*W$2,0)</f>
        <v>-43668</v>
      </c>
    </row>
    <row r="207" spans="1:15" ht="12.75" customHeight="1" thickBot="1" x14ac:dyDescent="0.3">
      <c r="A207" s="336"/>
      <c r="D207" s="340"/>
      <c r="E207" s="340"/>
      <c r="F207" s="340"/>
      <c r="G207" s="319" t="s">
        <v>536</v>
      </c>
      <c r="I207" s="318"/>
      <c r="J207" s="480">
        <v>-37365</v>
      </c>
      <c r="K207" s="480">
        <v>-39678</v>
      </c>
      <c r="L207" s="480">
        <f>SUM(L206)</f>
        <v>-40787.480000000003</v>
      </c>
      <c r="M207" s="480">
        <f>SUM(M206)</f>
        <v>-41726</v>
      </c>
      <c r="N207" s="480">
        <f>SUM(N206)</f>
        <v>-42686</v>
      </c>
      <c r="O207" s="480">
        <f>SUM(O206)</f>
        <v>-43668</v>
      </c>
    </row>
    <row r="208" spans="1:15" ht="12.75" customHeight="1" thickTop="1" x14ac:dyDescent="0.25">
      <c r="A208" s="336"/>
      <c r="D208" s="340"/>
      <c r="E208" s="340"/>
      <c r="F208" s="340"/>
      <c r="G208" s="319"/>
      <c r="I208" s="318"/>
      <c r="J208" s="318"/>
      <c r="K208" s="318"/>
      <c r="L208" s="318"/>
      <c r="M208" s="318"/>
      <c r="N208" s="318"/>
      <c r="O208" s="318"/>
    </row>
    <row r="209" spans="1:15" ht="12.75" customHeight="1" x14ac:dyDescent="0.25">
      <c r="A209" s="336"/>
      <c r="D209" s="333">
        <v>603006</v>
      </c>
      <c r="E209" s="331"/>
      <c r="F209" s="331"/>
      <c r="G209" s="332" t="s">
        <v>1016</v>
      </c>
      <c r="I209" s="318"/>
      <c r="J209" s="318"/>
      <c r="K209" s="318"/>
      <c r="L209" s="318"/>
      <c r="M209" s="318"/>
      <c r="N209" s="318"/>
      <c r="O209" s="318"/>
    </row>
    <row r="210" spans="1:15" ht="12.75" customHeight="1" x14ac:dyDescent="0.25">
      <c r="A210" s="336"/>
      <c r="D210" s="340"/>
      <c r="E210" s="340"/>
      <c r="F210" s="340"/>
      <c r="G210" s="334" t="s">
        <v>554</v>
      </c>
      <c r="I210" s="318"/>
      <c r="J210" s="318"/>
      <c r="K210" s="318"/>
      <c r="L210" s="318"/>
      <c r="M210" s="318"/>
      <c r="N210" s="318"/>
      <c r="O210" s="318"/>
    </row>
    <row r="211" spans="1:15" ht="12.75" customHeight="1" x14ac:dyDescent="0.25">
      <c r="A211" s="336">
        <f>+D209</f>
        <v>603006</v>
      </c>
      <c r="B211" s="336" t="str">
        <f>G209</f>
        <v>Erfpachtovereenkomst Best Zoo</v>
      </c>
      <c r="D211" s="337">
        <v>83600</v>
      </c>
      <c r="E211" s="337"/>
      <c r="F211" s="337"/>
      <c r="G211" s="319" t="s">
        <v>1010</v>
      </c>
      <c r="I211" s="318"/>
      <c r="J211" s="317">
        <v>-13954</v>
      </c>
      <c r="K211" s="317">
        <v>-13927</v>
      </c>
      <c r="L211" s="317">
        <v>-13859.26</v>
      </c>
      <c r="M211" s="317">
        <f>ROUND(L211*U$2,0)</f>
        <v>-14178</v>
      </c>
      <c r="N211" s="317">
        <f>ROUND(M211*V$2,0)</f>
        <v>-14504</v>
      </c>
      <c r="O211" s="317">
        <f>ROUND(N211*W$2,0)</f>
        <v>-14838</v>
      </c>
    </row>
    <row r="212" spans="1:15" ht="12.75" customHeight="1" thickBot="1" x14ac:dyDescent="0.3">
      <c r="A212" s="336"/>
      <c r="D212" s="340"/>
      <c r="E212" s="340"/>
      <c r="F212" s="340"/>
      <c r="G212" s="319" t="s">
        <v>536</v>
      </c>
      <c r="I212" s="318"/>
      <c r="J212" s="480">
        <v>-13954</v>
      </c>
      <c r="K212" s="480">
        <v>-13927</v>
      </c>
      <c r="L212" s="480">
        <f>SUM(L210:L211)</f>
        <v>-13859.26</v>
      </c>
      <c r="M212" s="480">
        <f>SUM(M210:M211)</f>
        <v>-14178</v>
      </c>
      <c r="N212" s="480">
        <f>SUM(N210:N211)</f>
        <v>-14504</v>
      </c>
      <c r="O212" s="480">
        <f>SUM(O210:O211)</f>
        <v>-14838</v>
      </c>
    </row>
    <row r="213" spans="1:15" ht="12.75" customHeight="1" thickTop="1" x14ac:dyDescent="0.25">
      <c r="A213" s="336"/>
      <c r="D213" s="340"/>
      <c r="E213" s="340"/>
      <c r="F213" s="340"/>
      <c r="G213" s="319"/>
      <c r="I213" s="318"/>
      <c r="J213" s="344"/>
      <c r="K213" s="344"/>
      <c r="L213" s="344"/>
      <c r="M213" s="344"/>
      <c r="N213" s="344"/>
      <c r="O213" s="344"/>
    </row>
    <row r="214" spans="1:15" ht="12.75" customHeight="1" x14ac:dyDescent="0.25">
      <c r="A214" s="336"/>
      <c r="D214" s="347">
        <v>603009</v>
      </c>
      <c r="E214" s="331"/>
      <c r="F214" s="476"/>
      <c r="G214" s="332" t="s">
        <v>998</v>
      </c>
      <c r="I214" s="318"/>
      <c r="J214" s="318"/>
      <c r="K214" s="318"/>
      <c r="L214" s="318"/>
      <c r="M214" s="318"/>
      <c r="N214" s="318"/>
      <c r="O214" s="318"/>
    </row>
    <row r="215" spans="1:15" ht="12.75" customHeight="1" x14ac:dyDescent="0.25">
      <c r="A215" s="336"/>
      <c r="D215" s="340"/>
      <c r="E215" s="340"/>
      <c r="F215" s="340"/>
      <c r="G215" s="334" t="s">
        <v>554</v>
      </c>
      <c r="I215" s="318"/>
      <c r="J215" s="318"/>
      <c r="K215" s="318"/>
      <c r="L215" s="318"/>
      <c r="M215" s="318"/>
      <c r="N215" s="318"/>
      <c r="O215" s="318"/>
    </row>
    <row r="216" spans="1:15" ht="12.75" customHeight="1" x14ac:dyDescent="0.25">
      <c r="A216" s="336">
        <f>+D214</f>
        <v>603009</v>
      </c>
      <c r="B216" s="336" t="str">
        <f>G214</f>
        <v>H. Hartstraat 1</v>
      </c>
      <c r="C216" s="316"/>
      <c r="D216" s="337">
        <v>83600</v>
      </c>
      <c r="E216" s="337"/>
      <c r="F216" s="337"/>
      <c r="G216" s="319" t="s">
        <v>1015</v>
      </c>
      <c r="I216" s="318"/>
      <c r="J216" s="317">
        <v>-3252.02</v>
      </c>
      <c r="K216" s="317">
        <v>-3359</v>
      </c>
      <c r="L216" s="317">
        <v>-3453.23</v>
      </c>
      <c r="M216" s="317">
        <f>ROUND(L216*U$2,0)</f>
        <v>-3533</v>
      </c>
      <c r="N216" s="317">
        <f>ROUND(M216*V$2,0)</f>
        <v>-3614</v>
      </c>
      <c r="O216" s="317">
        <f>ROUND(N216*W$2,0)</f>
        <v>-3697</v>
      </c>
    </row>
    <row r="217" spans="1:15" ht="12.75" customHeight="1" thickBot="1" x14ac:dyDescent="0.3">
      <c r="A217" s="336"/>
      <c r="D217" s="340"/>
      <c r="E217" s="340"/>
      <c r="F217" s="340"/>
      <c r="G217" s="319" t="s">
        <v>536</v>
      </c>
      <c r="I217" s="318"/>
      <c r="J217" s="480">
        <v>-3252.02</v>
      </c>
      <c r="K217" s="480">
        <v>-3359</v>
      </c>
      <c r="L217" s="480">
        <f>SUM(L216)</f>
        <v>-3453.23</v>
      </c>
      <c r="M217" s="480">
        <f>SUM(M216)</f>
        <v>-3533</v>
      </c>
      <c r="N217" s="480">
        <f>SUM(N216)</f>
        <v>-3614</v>
      </c>
      <c r="O217" s="480">
        <f>SUM(O216)</f>
        <v>-3697</v>
      </c>
    </row>
    <row r="218" spans="1:15" ht="12.75" customHeight="1" thickTop="1" x14ac:dyDescent="0.25">
      <c r="A218" s="336"/>
      <c r="D218" s="340"/>
      <c r="E218" s="340"/>
      <c r="F218" s="340"/>
      <c r="G218" s="319"/>
      <c r="I218" s="318"/>
      <c r="J218" s="317"/>
      <c r="K218" s="317"/>
      <c r="L218" s="317"/>
      <c r="M218" s="317"/>
      <c r="N218" s="317"/>
      <c r="O218" s="317"/>
    </row>
    <row r="219" spans="1:15" ht="12.75" customHeight="1" x14ac:dyDescent="0.25">
      <c r="A219" s="336"/>
      <c r="D219" s="333">
        <v>603010</v>
      </c>
      <c r="E219" s="331"/>
      <c r="F219" s="331"/>
      <c r="G219" s="332" t="s">
        <v>999</v>
      </c>
      <c r="I219" s="318"/>
      <c r="J219" s="317"/>
      <c r="K219" s="317"/>
      <c r="L219" s="317"/>
      <c r="M219" s="317"/>
      <c r="N219" s="317"/>
      <c r="O219" s="317"/>
    </row>
    <row r="220" spans="1:15" ht="12.75" customHeight="1" x14ac:dyDescent="0.25">
      <c r="A220" s="336"/>
      <c r="D220" s="340"/>
      <c r="E220" s="340"/>
      <c r="F220" s="340"/>
      <c r="G220" s="334" t="s">
        <v>554</v>
      </c>
      <c r="I220" s="318"/>
      <c r="J220" s="318"/>
      <c r="K220" s="318"/>
      <c r="L220" s="318"/>
      <c r="M220" s="318"/>
      <c r="N220" s="318"/>
      <c r="O220" s="318"/>
    </row>
    <row r="221" spans="1:15" ht="12.75" customHeight="1" x14ac:dyDescent="0.25">
      <c r="A221" s="336">
        <f>+D219</f>
        <v>603010</v>
      </c>
      <c r="B221" s="336" t="str">
        <f>G219</f>
        <v>Spoorstraat 1</v>
      </c>
      <c r="D221" s="337">
        <v>83600</v>
      </c>
      <c r="E221" s="337"/>
      <c r="F221" s="337"/>
      <c r="G221" s="319" t="s">
        <v>1015</v>
      </c>
      <c r="I221" s="318"/>
      <c r="J221" s="317">
        <v>-16859</v>
      </c>
      <c r="K221" s="317">
        <v>-17297</v>
      </c>
      <c r="L221" s="317">
        <v>-11236.37</v>
      </c>
      <c r="M221" s="317">
        <f>ROUND(L221*U$2,0)</f>
        <v>-11495</v>
      </c>
      <c r="N221" s="317">
        <f>ROUND(M221*V$2,0)</f>
        <v>-11759</v>
      </c>
      <c r="O221" s="317">
        <f>ROUND(N221*W$2,0)</f>
        <v>-12029</v>
      </c>
    </row>
    <row r="222" spans="1:15" ht="12.75" customHeight="1" thickBot="1" x14ac:dyDescent="0.3">
      <c r="A222" s="336"/>
      <c r="D222" s="340"/>
      <c r="E222" s="340"/>
      <c r="F222" s="340"/>
      <c r="G222" s="319" t="s">
        <v>536</v>
      </c>
      <c r="I222" s="318"/>
      <c r="J222" s="342">
        <v>-16859</v>
      </c>
      <c r="K222" s="342">
        <v>-17297</v>
      </c>
      <c r="L222" s="342">
        <f>SUM(L220:L221)</f>
        <v>-11236.37</v>
      </c>
      <c r="M222" s="342">
        <f>SUM(M220:M221)</f>
        <v>-11495</v>
      </c>
      <c r="N222" s="342">
        <f>SUM(N220:N221)</f>
        <v>-11759</v>
      </c>
      <c r="O222" s="342">
        <f>SUM(O220:O221)</f>
        <v>-12029</v>
      </c>
    </row>
    <row r="223" spans="1:15" ht="12.75" customHeight="1" thickTop="1" x14ac:dyDescent="0.25">
      <c r="A223" s="336"/>
      <c r="D223" s="340"/>
      <c r="E223" s="340"/>
      <c r="F223" s="340"/>
      <c r="G223" s="319"/>
      <c r="I223" s="318"/>
      <c r="J223" s="317"/>
      <c r="K223" s="317"/>
      <c r="L223" s="317"/>
      <c r="M223" s="317"/>
      <c r="N223" s="317"/>
      <c r="O223" s="317"/>
    </row>
    <row r="224" spans="1:15" ht="12.75" customHeight="1" x14ac:dyDescent="0.25">
      <c r="A224" s="336"/>
      <c r="D224" s="340"/>
      <c r="E224" s="340"/>
      <c r="F224" s="340"/>
      <c r="G224" s="319"/>
      <c r="I224" s="318"/>
      <c r="J224" s="317"/>
      <c r="K224" s="317"/>
      <c r="L224" s="317"/>
      <c r="M224" s="317"/>
      <c r="N224" s="317"/>
      <c r="O224" s="317"/>
    </row>
    <row r="225" spans="1:16" ht="12.75" customHeight="1" x14ac:dyDescent="0.25">
      <c r="A225" s="336"/>
      <c r="D225" s="333">
        <v>603014</v>
      </c>
      <c r="E225" s="331"/>
      <c r="F225" s="331"/>
      <c r="G225" s="332" t="s">
        <v>1001</v>
      </c>
      <c r="I225" s="318"/>
      <c r="J225" s="317"/>
      <c r="K225" s="317"/>
      <c r="L225" s="317"/>
      <c r="M225" s="317"/>
      <c r="N225" s="317"/>
      <c r="O225" s="317"/>
    </row>
    <row r="226" spans="1:16" ht="12.75" customHeight="1" x14ac:dyDescent="0.25">
      <c r="A226" s="336"/>
      <c r="D226" s="340"/>
      <c r="E226" s="340"/>
      <c r="F226" s="340"/>
      <c r="G226" s="334" t="s">
        <v>554</v>
      </c>
      <c r="I226" s="318"/>
      <c r="J226" s="317"/>
      <c r="K226" s="317"/>
      <c r="L226" s="317"/>
      <c r="M226" s="317"/>
      <c r="N226" s="317"/>
      <c r="O226" s="317"/>
    </row>
    <row r="227" spans="1:16" ht="12.75" customHeight="1" x14ac:dyDescent="0.25">
      <c r="A227" s="336">
        <f>+D225</f>
        <v>603014</v>
      </c>
      <c r="B227" s="336" t="str">
        <f>G225</f>
        <v>Veldweg 14 en 16</v>
      </c>
      <c r="D227" s="337">
        <v>83600</v>
      </c>
      <c r="E227" s="337"/>
      <c r="F227" s="337"/>
      <c r="G227" s="319" t="s">
        <v>1010</v>
      </c>
      <c r="I227" s="318"/>
      <c r="J227" s="317">
        <v>-30866</v>
      </c>
      <c r="K227" s="317">
        <v>-30782</v>
      </c>
      <c r="L227" s="317">
        <v>-22279.22</v>
      </c>
      <c r="M227" s="317">
        <f>ROUND(L227*U$2,0)</f>
        <v>-22792</v>
      </c>
      <c r="N227" s="317">
        <f>ROUND(M227*V$2,0)</f>
        <v>-23316</v>
      </c>
      <c r="O227" s="317">
        <f>ROUND(N227*W$2,0)</f>
        <v>-23852</v>
      </c>
    </row>
    <row r="228" spans="1:16" ht="12.75" customHeight="1" thickBot="1" x14ac:dyDescent="0.3">
      <c r="A228" s="336"/>
      <c r="D228" s="340"/>
      <c r="E228" s="340"/>
      <c r="F228" s="340"/>
      <c r="G228" s="319" t="s">
        <v>536</v>
      </c>
      <c r="I228" s="318"/>
      <c r="J228" s="342">
        <v>-30866</v>
      </c>
      <c r="K228" s="342">
        <v>-30782</v>
      </c>
      <c r="L228" s="342">
        <f>SUM(L226:L227)</f>
        <v>-22279.22</v>
      </c>
      <c r="M228" s="342">
        <f>SUM(M226:M227)</f>
        <v>-22792</v>
      </c>
      <c r="N228" s="342">
        <f>SUM(N226:N227)</f>
        <v>-23316</v>
      </c>
      <c r="O228" s="342">
        <f>SUM(O226:O227)</f>
        <v>-23852</v>
      </c>
    </row>
    <row r="229" spans="1:16" ht="12.75" customHeight="1" thickTop="1" x14ac:dyDescent="0.25">
      <c r="A229" s="336"/>
      <c r="D229" s="340"/>
      <c r="E229" s="340"/>
      <c r="F229" s="340"/>
      <c r="G229" s="319"/>
      <c r="I229" s="318"/>
      <c r="J229" s="317"/>
      <c r="K229" s="317"/>
      <c r="L229" s="317"/>
      <c r="M229" s="317"/>
      <c r="N229" s="317"/>
      <c r="O229" s="317"/>
    </row>
    <row r="230" spans="1:16" ht="12.75" customHeight="1" x14ac:dyDescent="0.25">
      <c r="A230" s="336"/>
      <c r="D230" s="333">
        <v>603015</v>
      </c>
      <c r="E230" s="331"/>
      <c r="F230" s="331"/>
      <c r="G230" s="332" t="s">
        <v>1003</v>
      </c>
      <c r="I230" s="318"/>
      <c r="J230" s="317"/>
      <c r="K230" s="317"/>
      <c r="L230" s="317"/>
      <c r="M230" s="317"/>
      <c r="N230" s="317"/>
      <c r="O230" s="317"/>
    </row>
    <row r="231" spans="1:16" ht="12.75" customHeight="1" x14ac:dyDescent="0.25">
      <c r="A231" s="336"/>
      <c r="D231" s="340"/>
      <c r="E231" s="340"/>
      <c r="F231" s="340"/>
      <c r="G231" s="334" t="s">
        <v>554</v>
      </c>
      <c r="I231" s="318"/>
      <c r="J231" s="317"/>
      <c r="K231" s="317"/>
      <c r="L231" s="317"/>
      <c r="M231" s="317"/>
      <c r="N231" s="317"/>
      <c r="O231" s="317"/>
    </row>
    <row r="232" spans="1:16" ht="12.75" customHeight="1" x14ac:dyDescent="0.25">
      <c r="A232" s="336">
        <f>+D230</f>
        <v>603015</v>
      </c>
      <c r="B232" s="336" t="str">
        <f>G230</f>
        <v>Afgewikkelde complexen</v>
      </c>
      <c r="D232" s="337">
        <v>83100</v>
      </c>
      <c r="E232" s="337"/>
      <c r="F232" s="337"/>
      <c r="G232" s="319" t="s">
        <v>1017</v>
      </c>
      <c r="I232" s="318"/>
      <c r="J232" s="317">
        <v>-95900</v>
      </c>
      <c r="K232" s="317">
        <v>-98400</v>
      </c>
      <c r="L232" s="317">
        <f>L406</f>
        <v>-100500</v>
      </c>
      <c r="M232" s="317">
        <f>M406</f>
        <v>-102800</v>
      </c>
      <c r="N232" s="317">
        <f>N406</f>
        <v>-105200</v>
      </c>
      <c r="O232" s="317">
        <f>O406</f>
        <v>-107600</v>
      </c>
    </row>
    <row r="233" spans="1:16" ht="12.75" customHeight="1" thickBot="1" x14ac:dyDescent="0.3">
      <c r="A233" s="336"/>
      <c r="D233" s="340"/>
      <c r="E233" s="340"/>
      <c r="F233" s="340"/>
      <c r="G233" s="319" t="s">
        <v>536</v>
      </c>
      <c r="I233" s="318"/>
      <c r="J233" s="342">
        <v>-95900</v>
      </c>
      <c r="K233" s="342">
        <v>-98400</v>
      </c>
      <c r="L233" s="342">
        <f>SUM(L232:L232)</f>
        <v>-100500</v>
      </c>
      <c r="M233" s="342">
        <f>SUM(M232:M232)</f>
        <v>-102800</v>
      </c>
      <c r="N233" s="342">
        <f>SUM(N232:N232)</f>
        <v>-105200</v>
      </c>
      <c r="O233" s="342">
        <f>SUM(O232:O232)</f>
        <v>-107600</v>
      </c>
    </row>
    <row r="234" spans="1:16" ht="12.75" customHeight="1" thickTop="1" x14ac:dyDescent="0.25">
      <c r="A234" s="336"/>
      <c r="D234" s="340"/>
      <c r="E234" s="340"/>
      <c r="F234" s="340"/>
      <c r="G234" s="319"/>
      <c r="I234" s="318"/>
      <c r="J234" s="318"/>
      <c r="K234" s="318"/>
      <c r="L234" s="318"/>
      <c r="M234" s="318"/>
      <c r="N234" s="318"/>
      <c r="O234" s="318"/>
    </row>
    <row r="235" spans="1:16" ht="12.75" customHeight="1" x14ac:dyDescent="0.25">
      <c r="A235" s="336"/>
      <c r="D235" s="347">
        <v>603020</v>
      </c>
      <c r="E235" s="340"/>
      <c r="F235" s="340"/>
      <c r="G235" s="319"/>
      <c r="I235" s="318"/>
      <c r="J235" s="318"/>
      <c r="K235" s="318"/>
      <c r="L235" s="318"/>
      <c r="M235" s="318"/>
      <c r="N235" s="318"/>
      <c r="O235" s="318"/>
    </row>
    <row r="236" spans="1:16" ht="12.75" customHeight="1" x14ac:dyDescent="0.25">
      <c r="A236" s="336"/>
      <c r="D236" s="340"/>
      <c r="E236" s="340"/>
      <c r="F236" s="340"/>
      <c r="G236" s="319"/>
      <c r="I236" s="318"/>
      <c r="J236" s="318"/>
      <c r="K236" s="318"/>
      <c r="L236" s="318"/>
      <c r="M236" s="318"/>
      <c r="N236" s="318"/>
      <c r="O236" s="318"/>
    </row>
    <row r="237" spans="1:16" ht="12.75" customHeight="1" x14ac:dyDescent="0.25">
      <c r="A237" s="336"/>
      <c r="D237" s="340">
        <v>83600</v>
      </c>
      <c r="E237" s="340"/>
      <c r="F237" s="340"/>
      <c r="G237" s="319"/>
      <c r="I237" s="318"/>
      <c r="J237" s="318"/>
      <c r="K237" s="318"/>
      <c r="L237" s="318">
        <v>-6042.69</v>
      </c>
      <c r="M237" s="318">
        <f>ROUND(L237*U$2,0)</f>
        <v>-6182</v>
      </c>
      <c r="N237" s="318">
        <f t="shared" ref="N237:O237" si="24">ROUND(M237*V$2,0)</f>
        <v>-6324</v>
      </c>
      <c r="O237" s="318">
        <f t="shared" si="24"/>
        <v>-6469</v>
      </c>
      <c r="P237" s="115" t="s">
        <v>5430</v>
      </c>
    </row>
    <row r="238" spans="1:16" ht="12.75" customHeight="1" thickBot="1" x14ac:dyDescent="0.3">
      <c r="A238" s="336"/>
      <c r="D238" s="340"/>
      <c r="E238" s="340"/>
      <c r="F238" s="340"/>
      <c r="G238" s="319"/>
      <c r="I238" s="318"/>
      <c r="J238" s="342">
        <f>SUM(J237)</f>
        <v>0</v>
      </c>
      <c r="K238" s="342">
        <f t="shared" ref="K238:O238" si="25">SUM(K237)</f>
        <v>0</v>
      </c>
      <c r="L238" s="342">
        <f t="shared" si="25"/>
        <v>-6042.69</v>
      </c>
      <c r="M238" s="342">
        <f t="shared" si="25"/>
        <v>-6182</v>
      </c>
      <c r="N238" s="342">
        <f t="shared" si="25"/>
        <v>-6324</v>
      </c>
      <c r="O238" s="342">
        <f t="shared" si="25"/>
        <v>-6469</v>
      </c>
    </row>
    <row r="239" spans="1:16" ht="12.75" customHeight="1" thickTop="1" x14ac:dyDescent="0.25">
      <c r="A239" s="336"/>
      <c r="D239" s="340"/>
      <c r="E239" s="340"/>
      <c r="F239" s="340"/>
      <c r="G239" s="319"/>
      <c r="I239" s="318"/>
      <c r="J239" s="318"/>
      <c r="K239" s="318"/>
      <c r="L239" s="318"/>
      <c r="M239" s="318"/>
      <c r="N239" s="318"/>
      <c r="O239" s="318"/>
    </row>
    <row r="240" spans="1:16" ht="12.75" customHeight="1" x14ac:dyDescent="0.25">
      <c r="A240" s="336"/>
      <c r="D240" s="476">
        <v>603021</v>
      </c>
      <c r="E240" s="340"/>
      <c r="F240" s="340"/>
      <c r="G240" s="332" t="s">
        <v>5313</v>
      </c>
      <c r="I240" s="318"/>
      <c r="J240" s="318"/>
      <c r="K240" s="318"/>
      <c r="L240" s="318"/>
      <c r="M240" s="318"/>
      <c r="N240" s="318"/>
      <c r="O240" s="318"/>
    </row>
    <row r="241" spans="1:15" ht="12.75" customHeight="1" x14ac:dyDescent="0.25">
      <c r="A241" s="336"/>
      <c r="D241" s="340">
        <v>83200</v>
      </c>
      <c r="E241" s="340"/>
      <c r="F241" s="340"/>
      <c r="G241" s="319" t="s">
        <v>5311</v>
      </c>
      <c r="I241" s="318"/>
      <c r="J241" s="318"/>
      <c r="K241" s="318">
        <v>-94164</v>
      </c>
      <c r="L241" s="318"/>
      <c r="M241" s="318"/>
      <c r="N241" s="318"/>
      <c r="O241" s="318"/>
    </row>
    <row r="242" spans="1:15" ht="12.75" customHeight="1" thickBot="1" x14ac:dyDescent="0.3">
      <c r="A242" s="336"/>
      <c r="D242" s="340"/>
      <c r="E242" s="340"/>
      <c r="F242" s="340"/>
      <c r="G242" s="319" t="s">
        <v>536</v>
      </c>
      <c r="I242" s="318"/>
      <c r="J242" s="342">
        <f>SUM(J240:J241)</f>
        <v>0</v>
      </c>
      <c r="K242" s="342">
        <f t="shared" ref="K242:O242" si="26">SUM(K240:K241)</f>
        <v>-94164</v>
      </c>
      <c r="L242" s="342">
        <f t="shared" si="26"/>
        <v>0</v>
      </c>
      <c r="M242" s="342">
        <f t="shared" si="26"/>
        <v>0</v>
      </c>
      <c r="N242" s="342">
        <f t="shared" si="26"/>
        <v>0</v>
      </c>
      <c r="O242" s="342">
        <f t="shared" si="26"/>
        <v>0</v>
      </c>
    </row>
    <row r="243" spans="1:15" ht="12.75" customHeight="1" thickTop="1" x14ac:dyDescent="0.25">
      <c r="A243" s="336"/>
      <c r="D243" s="167"/>
      <c r="E243" s="167"/>
      <c r="F243" s="167"/>
      <c r="G243" s="168"/>
      <c r="H243" s="149"/>
      <c r="I243" s="156"/>
      <c r="J243" s="142"/>
      <c r="K243" s="431"/>
      <c r="L243" s="431"/>
      <c r="M243" s="431"/>
      <c r="N243" s="431"/>
      <c r="O243" s="431"/>
    </row>
    <row r="244" spans="1:15" ht="12.75" customHeight="1" x14ac:dyDescent="0.25">
      <c r="A244" s="336"/>
      <c r="D244" s="1186"/>
      <c r="E244" s="1186"/>
      <c r="F244" s="1186"/>
      <c r="G244" s="355"/>
      <c r="H244" s="355"/>
    </row>
    <row r="245" spans="1:15" ht="12.75" customHeight="1" x14ac:dyDescent="0.25">
      <c r="A245" s="336"/>
      <c r="D245" s="1186"/>
      <c r="E245" s="1186"/>
      <c r="F245" s="1186"/>
      <c r="G245" s="355"/>
      <c r="H245" s="355"/>
    </row>
    <row r="246" spans="1:15" ht="12.75" customHeight="1" x14ac:dyDescent="0.25">
      <c r="D246" s="1186"/>
      <c r="E246" s="1186"/>
      <c r="F246" s="1186"/>
      <c r="G246" s="355"/>
      <c r="H246" s="355"/>
    </row>
    <row r="247" spans="1:15" ht="12.75" customHeight="1" x14ac:dyDescent="0.25">
      <c r="D247" s="428" t="s">
        <v>561</v>
      </c>
      <c r="E247" s="1186"/>
      <c r="F247" s="1186"/>
      <c r="G247" s="1187"/>
      <c r="H247" s="355"/>
    </row>
    <row r="248" spans="1:15" ht="12.75" customHeight="1" x14ac:dyDescent="0.25">
      <c r="D248" s="1188"/>
      <c r="E248" s="1186"/>
      <c r="F248" s="1186"/>
      <c r="G248" s="1187"/>
      <c r="H248" s="355"/>
    </row>
    <row r="249" spans="1:15" ht="12.75" customHeight="1" x14ac:dyDescent="0.25">
      <c r="D249" s="1188"/>
      <c r="E249" s="563" t="s">
        <v>1018</v>
      </c>
      <c r="F249" s="401"/>
    </row>
    <row r="250" spans="1:15" ht="12.75" customHeight="1" x14ac:dyDescent="0.25">
      <c r="D250" s="1188"/>
      <c r="E250" s="399"/>
      <c r="F250" s="399"/>
      <c r="G250" s="399"/>
      <c r="H250" s="399"/>
      <c r="I250" s="399"/>
    </row>
    <row r="251" spans="1:15" ht="12.75" customHeight="1" x14ac:dyDescent="0.25">
      <c r="D251" s="1188"/>
      <c r="E251" s="2530" t="s">
        <v>1019</v>
      </c>
      <c r="F251" s="2530"/>
      <c r="G251" s="2530"/>
      <c r="H251" s="2530"/>
      <c r="I251" s="2530"/>
      <c r="J251" s="2530"/>
      <c r="K251" s="2531"/>
      <c r="L251" s="2531"/>
      <c r="M251" s="2531"/>
    </row>
    <row r="252" spans="1:15" ht="12.75" customHeight="1" x14ac:dyDescent="0.25">
      <c r="D252" s="1188"/>
      <c r="E252" s="2530"/>
      <c r="F252" s="2530"/>
      <c r="G252" s="2530"/>
      <c r="H252" s="2530"/>
      <c r="I252" s="2530"/>
      <c r="J252" s="2530"/>
      <c r="K252" s="2531"/>
      <c r="L252" s="2531"/>
      <c r="M252" s="2531"/>
    </row>
    <row r="253" spans="1:15" ht="12.75" customHeight="1" x14ac:dyDescent="0.25">
      <c r="D253" s="1188"/>
      <c r="E253" s="2530"/>
      <c r="F253" s="2530"/>
      <c r="G253" s="2530"/>
      <c r="H253" s="2530"/>
      <c r="I253" s="2530"/>
      <c r="J253" s="2530"/>
      <c r="K253" s="2531"/>
      <c r="L253" s="2531"/>
      <c r="M253" s="2531"/>
    </row>
    <row r="254" spans="1:15" ht="12.75" customHeight="1" x14ac:dyDescent="0.25">
      <c r="D254" s="1188"/>
      <c r="E254" s="2530"/>
      <c r="F254" s="2530"/>
      <c r="G254" s="2530"/>
      <c r="H254" s="2530"/>
      <c r="I254" s="2530"/>
      <c r="J254" s="2530"/>
      <c r="K254" s="2531"/>
      <c r="L254" s="2531"/>
      <c r="M254" s="2531"/>
    </row>
    <row r="255" spans="1:15" ht="12.75" customHeight="1" x14ac:dyDescent="0.25">
      <c r="D255" s="1188"/>
      <c r="E255" s="1186"/>
      <c r="F255" s="1186"/>
      <c r="G255" s="1187"/>
      <c r="H255" s="355"/>
    </row>
    <row r="256" spans="1:15" ht="12.75" customHeight="1" x14ac:dyDescent="0.25">
      <c r="D256" s="393">
        <v>603001</v>
      </c>
      <c r="E256" s="381" t="s">
        <v>977</v>
      </c>
      <c r="F256" s="115"/>
      <c r="G256" s="1618"/>
      <c r="H256" s="1618"/>
      <c r="I256" s="1618"/>
      <c r="J256" s="1618"/>
      <c r="K256" s="1276">
        <v>2026</v>
      </c>
      <c r="L256" s="1276">
        <v>2027</v>
      </c>
      <c r="M256" s="1276">
        <v>2028</v>
      </c>
      <c r="N256" s="1276">
        <v>2029</v>
      </c>
      <c r="O256" s="1276">
        <v>2030</v>
      </c>
    </row>
    <row r="257" spans="4:15" ht="12.75" customHeight="1" x14ac:dyDescent="0.25">
      <c r="D257" s="393"/>
      <c r="E257" s="383" t="s">
        <v>533</v>
      </c>
      <c r="F257" s="115"/>
      <c r="G257" s="1618"/>
      <c r="H257" s="1618"/>
      <c r="I257" s="1618"/>
      <c r="J257" s="1618"/>
      <c r="K257" s="1618"/>
      <c r="L257" s="1618"/>
      <c r="M257" s="1618"/>
      <c r="N257" s="1618"/>
      <c r="O257" s="1618"/>
    </row>
    <row r="258" spans="4:15" ht="12.75" customHeight="1" x14ac:dyDescent="0.25">
      <c r="D258" s="384">
        <v>43812</v>
      </c>
      <c r="E258" s="115" t="s">
        <v>1020</v>
      </c>
      <c r="F258" s="399"/>
      <c r="G258" s="415"/>
      <c r="H258" s="415"/>
      <c r="I258" s="415"/>
      <c r="J258" s="114"/>
      <c r="K258" s="114">
        <v>2795</v>
      </c>
      <c r="L258" s="114">
        <f>ROUND(K258*T$2,0)</f>
        <v>2854</v>
      </c>
      <c r="M258" s="114">
        <f>ROUND(L258*U$2,0)</f>
        <v>2920</v>
      </c>
      <c r="N258" s="114">
        <f>ROUND(M258*V$2,0)</f>
        <v>2987</v>
      </c>
      <c r="O258" s="114">
        <f>ROUND(N258*W$2,0)</f>
        <v>3056</v>
      </c>
    </row>
    <row r="259" spans="4:15" ht="12.75" customHeight="1" x14ac:dyDescent="0.25">
      <c r="D259" s="384"/>
      <c r="E259" s="1720" t="s">
        <v>5358</v>
      </c>
      <c r="F259" s="2175"/>
      <c r="G259" s="2261"/>
      <c r="H259" s="2261"/>
      <c r="I259" s="2261"/>
      <c r="J259" s="2177"/>
      <c r="K259" s="2177">
        <v>175000</v>
      </c>
      <c r="L259" s="2177"/>
      <c r="M259" s="2177"/>
      <c r="N259" s="2177"/>
      <c r="O259" s="2177"/>
    </row>
    <row r="260" spans="4:15" ht="10.95" customHeight="1" thickBot="1" x14ac:dyDescent="0.3">
      <c r="D260" s="384"/>
      <c r="E260" s="601" t="str">
        <f>"Totaal "&amp;D258</f>
        <v>Totaal 43812</v>
      </c>
      <c r="F260" s="399"/>
      <c r="G260" s="114"/>
      <c r="H260" s="114"/>
      <c r="I260" s="114"/>
      <c r="J260" s="114"/>
      <c r="K260" s="1744">
        <f>SUM(K258:K259)</f>
        <v>177795</v>
      </c>
      <c r="L260" s="1744">
        <f t="shared" ref="L260:O260" si="27">SUM(L258:L259)</f>
        <v>2854</v>
      </c>
      <c r="M260" s="1744">
        <f t="shared" si="27"/>
        <v>2920</v>
      </c>
      <c r="N260" s="1744">
        <f t="shared" si="27"/>
        <v>2987</v>
      </c>
      <c r="O260" s="1744">
        <f t="shared" si="27"/>
        <v>3056</v>
      </c>
    </row>
    <row r="261" spans="4:15" ht="12.75" customHeight="1" thickTop="1" x14ac:dyDescent="0.25">
      <c r="D261" s="384"/>
      <c r="E261" s="601"/>
      <c r="F261" s="399"/>
      <c r="G261" s="114"/>
      <c r="H261" s="114"/>
      <c r="I261" s="114"/>
      <c r="J261" s="114"/>
      <c r="K261" s="114"/>
      <c r="L261" s="114"/>
      <c r="M261" s="114"/>
      <c r="N261" s="114"/>
      <c r="O261" s="114"/>
    </row>
    <row r="262" spans="4:15" ht="12.75" customHeight="1" x14ac:dyDescent="0.25">
      <c r="D262" s="384"/>
      <c r="E262" s="115"/>
      <c r="F262" s="399"/>
      <c r="G262" s="114"/>
      <c r="H262" s="114"/>
      <c r="I262" s="114"/>
      <c r="J262" s="114"/>
      <c r="K262" s="114"/>
      <c r="L262" s="114"/>
      <c r="M262" s="114"/>
      <c r="N262" s="114"/>
      <c r="O262" s="114"/>
    </row>
    <row r="263" spans="4:15" ht="12.75" customHeight="1" x14ac:dyDescent="0.25">
      <c r="D263" s="393">
        <v>603002</v>
      </c>
      <c r="E263" s="381" t="s">
        <v>982</v>
      </c>
      <c r="F263" s="115"/>
      <c r="G263" s="1618"/>
      <c r="H263" s="1618"/>
      <c r="I263" s="1618"/>
      <c r="J263" s="1618"/>
      <c r="K263" s="1276">
        <v>2026</v>
      </c>
      <c r="L263" s="1276">
        <v>2027</v>
      </c>
      <c r="M263" s="1276">
        <v>2028</v>
      </c>
      <c r="N263" s="1276">
        <v>2028</v>
      </c>
      <c r="O263" s="1276">
        <v>2028</v>
      </c>
    </row>
    <row r="264" spans="4:15" ht="12.75" customHeight="1" x14ac:dyDescent="0.25">
      <c r="D264" s="393"/>
      <c r="E264" s="383" t="s">
        <v>533</v>
      </c>
      <c r="F264" s="115"/>
      <c r="G264" s="1618"/>
      <c r="H264" s="1618"/>
      <c r="I264" s="1618"/>
      <c r="J264" s="1618"/>
      <c r="K264" s="1618"/>
      <c r="L264" s="1618"/>
      <c r="M264" s="1618"/>
      <c r="N264" s="1618"/>
      <c r="O264" s="1618"/>
    </row>
    <row r="265" spans="4:15" ht="12.75" customHeight="1" x14ac:dyDescent="0.25">
      <c r="D265" s="384"/>
      <c r="E265" s="115"/>
      <c r="F265" s="399"/>
      <c r="G265" s="631"/>
      <c r="H265" s="631"/>
      <c r="I265" s="631"/>
      <c r="J265" s="631"/>
      <c r="K265" s="631"/>
      <c r="L265" s="631"/>
      <c r="M265" s="631"/>
      <c r="N265" s="631"/>
      <c r="O265" s="631"/>
    </row>
    <row r="266" spans="4:15" ht="12.75" customHeight="1" x14ac:dyDescent="0.25">
      <c r="D266" s="384">
        <v>43812</v>
      </c>
      <c r="E266" s="115" t="s">
        <v>994</v>
      </c>
      <c r="F266" s="399"/>
      <c r="G266" s="114"/>
      <c r="H266" s="114"/>
      <c r="I266" s="114"/>
      <c r="J266" s="114"/>
      <c r="K266" s="114">
        <v>609</v>
      </c>
      <c r="L266" s="114">
        <f>ROUND(K266*T$2,0)</f>
        <v>622</v>
      </c>
      <c r="M266" s="114">
        <f>ROUND(L266*U$2,0)</f>
        <v>636</v>
      </c>
      <c r="N266" s="114">
        <f>ROUND(M266*V$2,0)</f>
        <v>651</v>
      </c>
      <c r="O266" s="114">
        <f>ROUND(N266*W$2,0)</f>
        <v>666</v>
      </c>
    </row>
    <row r="267" spans="4:15" ht="12.75" customHeight="1" thickBot="1" x14ac:dyDescent="0.3">
      <c r="D267" s="384"/>
      <c r="E267" s="601" t="str">
        <f>"Totaal "&amp;D266</f>
        <v>Totaal 43812</v>
      </c>
      <c r="F267" s="399"/>
      <c r="G267" s="114"/>
      <c r="H267" s="114"/>
      <c r="I267" s="114"/>
      <c r="J267" s="114"/>
      <c r="K267" s="1744">
        <v>609</v>
      </c>
      <c r="L267" s="1744">
        <f>SUM(L266:L266)</f>
        <v>622</v>
      </c>
      <c r="M267" s="1744">
        <f>SUM(M266:M266)</f>
        <v>636</v>
      </c>
      <c r="N267" s="1744">
        <f>SUM(N266:N266)</f>
        <v>651</v>
      </c>
      <c r="O267" s="1744">
        <f>SUM(O266:O266)</f>
        <v>666</v>
      </c>
    </row>
    <row r="268" spans="4:15" ht="12.75" customHeight="1" thickTop="1" x14ac:dyDescent="0.25">
      <c r="D268" s="384"/>
      <c r="E268" s="601"/>
      <c r="F268" s="399"/>
      <c r="G268" s="114"/>
      <c r="H268" s="114"/>
      <c r="I268" s="114"/>
      <c r="J268" s="114"/>
      <c r="K268" s="114"/>
      <c r="L268" s="114"/>
      <c r="M268" s="114"/>
      <c r="N268" s="114"/>
      <c r="O268" s="114"/>
    </row>
    <row r="269" spans="4:15" ht="12.75" customHeight="1" x14ac:dyDescent="0.25">
      <c r="D269" s="384"/>
      <c r="E269" s="601" t="s">
        <v>1021</v>
      </c>
      <c r="F269" s="399"/>
      <c r="G269" s="114"/>
      <c r="H269" s="114"/>
      <c r="I269" s="114"/>
      <c r="J269" s="114"/>
      <c r="K269" s="114"/>
      <c r="L269" s="114"/>
      <c r="M269" s="114"/>
      <c r="N269" s="114"/>
      <c r="O269" s="114"/>
    </row>
    <row r="270" spans="4:15" ht="12.75" customHeight="1" x14ac:dyDescent="0.25">
      <c r="D270" s="384"/>
      <c r="E270" s="1619" t="s">
        <v>1022</v>
      </c>
      <c r="F270" s="399"/>
      <c r="G270" s="114"/>
      <c r="H270" s="114"/>
      <c r="I270" s="114"/>
      <c r="J270" s="114"/>
      <c r="K270" s="114"/>
      <c r="L270" s="114"/>
      <c r="M270" s="114"/>
      <c r="N270" s="114"/>
      <c r="O270" s="114"/>
    </row>
    <row r="271" spans="4:15" ht="12.75" customHeight="1" x14ac:dyDescent="0.25">
      <c r="D271" s="384"/>
      <c r="E271" s="1619" t="s">
        <v>1023</v>
      </c>
      <c r="F271" s="399"/>
      <c r="G271" s="114"/>
      <c r="H271" s="114"/>
      <c r="I271" s="114"/>
      <c r="J271" s="114"/>
      <c r="K271" s="114"/>
      <c r="L271" s="114"/>
      <c r="M271" s="114"/>
      <c r="N271" s="114"/>
      <c r="O271" s="114"/>
    </row>
    <row r="272" spans="4:15" ht="12.75" customHeight="1" x14ac:dyDescent="0.25">
      <c r="D272" s="384"/>
      <c r="E272" s="1619" t="s">
        <v>1024</v>
      </c>
      <c r="F272" s="399"/>
      <c r="G272" s="114"/>
      <c r="H272" s="114"/>
      <c r="I272" s="114"/>
      <c r="J272" s="114"/>
      <c r="K272" s="114"/>
      <c r="L272" s="114"/>
      <c r="M272" s="114"/>
      <c r="N272" s="114"/>
      <c r="O272" s="114"/>
    </row>
    <row r="273" spans="4:15" ht="12.75" customHeight="1" x14ac:dyDescent="0.25">
      <c r="D273" s="384"/>
      <c r="E273" s="1619"/>
      <c r="F273" s="399"/>
      <c r="G273" s="114"/>
      <c r="H273" s="114"/>
      <c r="I273" s="114"/>
      <c r="J273" s="114"/>
      <c r="K273" s="114"/>
      <c r="L273" s="114"/>
      <c r="M273" s="114"/>
      <c r="N273" s="114"/>
      <c r="O273" s="114"/>
    </row>
    <row r="274" spans="4:15" ht="12.75" customHeight="1" x14ac:dyDescent="0.25">
      <c r="D274" s="384"/>
      <c r="E274" s="601"/>
      <c r="F274" s="399"/>
      <c r="G274" s="114"/>
      <c r="H274" s="114"/>
      <c r="I274" s="114"/>
      <c r="J274" s="114"/>
      <c r="K274" s="114"/>
      <c r="L274" s="114"/>
      <c r="M274" s="114"/>
      <c r="N274" s="114"/>
      <c r="O274" s="114"/>
    </row>
    <row r="275" spans="4:15" ht="12.75" customHeight="1" x14ac:dyDescent="0.25">
      <c r="D275" s="433">
        <v>603005</v>
      </c>
      <c r="E275" s="1620" t="s">
        <v>988</v>
      </c>
      <c r="F275" s="562"/>
      <c r="G275" s="1618"/>
      <c r="H275" s="1618"/>
      <c r="I275" s="1618"/>
      <c r="J275" s="1618"/>
      <c r="K275" s="1276">
        <v>2026</v>
      </c>
      <c r="L275" s="1276">
        <v>2027</v>
      </c>
      <c r="M275" s="1276">
        <v>2028</v>
      </c>
      <c r="N275" s="1276">
        <v>2029</v>
      </c>
      <c r="O275" s="1276">
        <v>2030</v>
      </c>
    </row>
    <row r="276" spans="4:15" ht="12.75" customHeight="1" x14ac:dyDescent="0.25">
      <c r="D276" s="648"/>
      <c r="E276" s="383" t="s">
        <v>533</v>
      </c>
      <c r="F276" s="562"/>
      <c r="G276" s="1618"/>
      <c r="H276" s="1618"/>
      <c r="I276" s="1618"/>
      <c r="J276" s="1618"/>
      <c r="K276" s="1618"/>
      <c r="L276" s="1618"/>
      <c r="M276" s="1618"/>
      <c r="N276" s="1618"/>
      <c r="O276" s="1618"/>
    </row>
    <row r="277" spans="4:15" ht="12.75" customHeight="1" x14ac:dyDescent="0.25">
      <c r="D277" s="384">
        <v>43812</v>
      </c>
      <c r="E277" s="601" t="s">
        <v>1025</v>
      </c>
      <c r="F277" s="399"/>
      <c r="G277" s="114"/>
      <c r="H277" s="114"/>
      <c r="I277" s="114"/>
      <c r="J277" s="114"/>
      <c r="K277" s="114">
        <v>6074</v>
      </c>
      <c r="L277" s="114">
        <f t="shared" ref="L277:O278" si="28">ROUND(K277*T$2,0)</f>
        <v>6202</v>
      </c>
      <c r="M277" s="114">
        <f t="shared" si="28"/>
        <v>6345</v>
      </c>
      <c r="N277" s="114">
        <f t="shared" si="28"/>
        <v>6491</v>
      </c>
      <c r="O277" s="114">
        <f t="shared" si="28"/>
        <v>6640</v>
      </c>
    </row>
    <row r="278" spans="4:15" ht="12.75" customHeight="1" x14ac:dyDescent="0.25">
      <c r="D278" s="384"/>
      <c r="E278" s="601" t="s">
        <v>1026</v>
      </c>
      <c r="F278" s="399"/>
      <c r="G278" s="114"/>
      <c r="H278" s="114"/>
      <c r="I278" s="114"/>
      <c r="J278" s="114"/>
      <c r="K278" s="114">
        <v>3147</v>
      </c>
      <c r="L278" s="114">
        <f t="shared" si="28"/>
        <v>3213</v>
      </c>
      <c r="M278" s="114">
        <f t="shared" si="28"/>
        <v>3287</v>
      </c>
      <c r="N278" s="114">
        <f t="shared" si="28"/>
        <v>3363</v>
      </c>
      <c r="O278" s="114">
        <f t="shared" si="28"/>
        <v>3440</v>
      </c>
    </row>
    <row r="279" spans="4:15" ht="12.75" customHeight="1" thickBot="1" x14ac:dyDescent="0.3">
      <c r="E279" s="411" t="s">
        <v>619</v>
      </c>
      <c r="F279" s="399"/>
      <c r="G279" s="114"/>
      <c r="H279" s="114"/>
      <c r="I279" s="114"/>
      <c r="J279" s="114"/>
      <c r="K279" s="1744">
        <v>9221</v>
      </c>
      <c r="L279" s="1744">
        <f>SUM(L277:L278)</f>
        <v>9415</v>
      </c>
      <c r="M279" s="1744">
        <f>SUM(M277:M278)</f>
        <v>9632</v>
      </c>
      <c r="N279" s="1744">
        <f>SUM(N277:N278)</f>
        <v>9854</v>
      </c>
      <c r="O279" s="1744">
        <f>SUM(O277:O278)</f>
        <v>10080</v>
      </c>
    </row>
    <row r="280" spans="4:15" ht="12.75" customHeight="1" thickTop="1" x14ac:dyDescent="0.25">
      <c r="D280" s="384"/>
      <c r="E280" s="601"/>
      <c r="F280" s="399"/>
      <c r="G280" s="114"/>
      <c r="H280" s="114"/>
      <c r="I280" s="114"/>
      <c r="J280" s="114"/>
      <c r="K280" s="114"/>
      <c r="L280" s="114"/>
      <c r="M280" s="114"/>
      <c r="N280" s="114"/>
      <c r="O280" s="114"/>
    </row>
    <row r="281" spans="4:15" ht="12.75" customHeight="1" x14ac:dyDescent="0.25">
      <c r="D281" s="384"/>
      <c r="E281" s="601"/>
      <c r="F281" s="399"/>
      <c r="G281" s="114"/>
      <c r="H281" s="114"/>
      <c r="I281" s="114"/>
      <c r="J281" s="114"/>
      <c r="K281" s="114"/>
      <c r="L281" s="114"/>
      <c r="M281" s="114"/>
      <c r="N281" s="114"/>
      <c r="O281" s="114"/>
    </row>
    <row r="282" spans="4:15" ht="12.75" customHeight="1" x14ac:dyDescent="0.25">
      <c r="D282" s="393">
        <v>603901</v>
      </c>
      <c r="E282" s="381" t="s">
        <v>1011</v>
      </c>
      <c r="F282" s="115"/>
      <c r="G282" s="1618"/>
      <c r="H282" s="1618"/>
      <c r="I282" s="1618"/>
      <c r="J282" s="1618"/>
      <c r="K282" s="1276">
        <v>2026</v>
      </c>
      <c r="L282" s="1276">
        <v>2027</v>
      </c>
      <c r="M282" s="1276">
        <v>2028</v>
      </c>
      <c r="N282" s="1276">
        <v>2029</v>
      </c>
      <c r="O282" s="1276">
        <v>2030</v>
      </c>
    </row>
    <row r="283" spans="4:15" ht="12.75" customHeight="1" x14ac:dyDescent="0.25">
      <c r="D283" s="384"/>
      <c r="E283" s="383" t="s">
        <v>533</v>
      </c>
      <c r="F283" s="115"/>
      <c r="G283" s="114"/>
      <c r="H283" s="114"/>
      <c r="I283" s="114"/>
      <c r="J283" s="114"/>
      <c r="K283" s="114"/>
      <c r="L283" s="114"/>
      <c r="M283" s="114"/>
      <c r="N283" s="114"/>
      <c r="O283" s="114"/>
    </row>
    <row r="284" spans="4:15" ht="12.75" customHeight="1" x14ac:dyDescent="0.25">
      <c r="D284" s="143">
        <v>41100</v>
      </c>
      <c r="E284" s="115" t="s">
        <v>541</v>
      </c>
      <c r="F284" s="115"/>
    </row>
    <row r="285" spans="4:15" ht="12.75" customHeight="1" x14ac:dyDescent="0.25">
      <c r="D285" s="384"/>
      <c r="E285" s="1619" t="s">
        <v>1027</v>
      </c>
      <c r="F285" s="399"/>
      <c r="G285" s="114"/>
      <c r="H285" s="114"/>
      <c r="I285" s="114"/>
      <c r="J285" s="114"/>
      <c r="K285" s="114">
        <v>87229.05</v>
      </c>
      <c r="L285" s="114">
        <f t="shared" ref="L285:O288" si="29">ROUND(K285*T$3,0)</f>
        <v>90893</v>
      </c>
      <c r="M285" s="114">
        <f t="shared" si="29"/>
        <v>94256</v>
      </c>
      <c r="N285" s="114">
        <f t="shared" si="29"/>
        <v>97743</v>
      </c>
      <c r="O285" s="114">
        <f t="shared" si="29"/>
        <v>101359</v>
      </c>
    </row>
    <row r="286" spans="4:15" ht="12.75" customHeight="1" x14ac:dyDescent="0.25">
      <c r="D286" s="384"/>
      <c r="E286" s="1619" t="s">
        <v>1028</v>
      </c>
      <c r="F286" s="399"/>
      <c r="G286" s="114"/>
      <c r="H286" s="114"/>
      <c r="I286" s="114"/>
      <c r="J286" s="114"/>
      <c r="K286" s="114">
        <v>12329</v>
      </c>
      <c r="L286" s="114">
        <f t="shared" si="29"/>
        <v>12847</v>
      </c>
      <c r="M286" s="114">
        <f t="shared" si="29"/>
        <v>13322</v>
      </c>
      <c r="N286" s="114">
        <f t="shared" si="29"/>
        <v>13815</v>
      </c>
      <c r="O286" s="114">
        <f t="shared" si="29"/>
        <v>14326</v>
      </c>
    </row>
    <row r="287" spans="4:15" ht="12.75" customHeight="1" x14ac:dyDescent="0.25">
      <c r="D287" s="384"/>
      <c r="E287" s="1619" t="s">
        <v>1029</v>
      </c>
      <c r="F287" s="399"/>
      <c r="G287" s="114"/>
      <c r="H287" s="114"/>
      <c r="I287" s="114"/>
      <c r="J287" s="114"/>
      <c r="K287" s="114">
        <v>25639</v>
      </c>
      <c r="L287" s="114">
        <f t="shared" si="29"/>
        <v>26716</v>
      </c>
      <c r="M287" s="114">
        <f t="shared" si="29"/>
        <v>27704</v>
      </c>
      <c r="N287" s="114">
        <f t="shared" si="29"/>
        <v>28729</v>
      </c>
      <c r="O287" s="114">
        <f t="shared" si="29"/>
        <v>29792</v>
      </c>
    </row>
    <row r="288" spans="4:15" ht="12.75" customHeight="1" x14ac:dyDescent="0.25">
      <c r="D288" s="384"/>
      <c r="E288" s="1619" t="s">
        <v>1030</v>
      </c>
      <c r="F288" s="399"/>
      <c r="G288" s="114"/>
      <c r="H288" s="114"/>
      <c r="I288" s="114"/>
      <c r="J288" s="114"/>
      <c r="K288" s="114">
        <v>33383</v>
      </c>
      <c r="L288" s="114">
        <f t="shared" si="29"/>
        <v>34785</v>
      </c>
      <c r="M288" s="114">
        <f t="shared" si="29"/>
        <v>36072</v>
      </c>
      <c r="N288" s="114">
        <f t="shared" si="29"/>
        <v>37407</v>
      </c>
      <c r="O288" s="114">
        <f t="shared" si="29"/>
        <v>38791</v>
      </c>
    </row>
    <row r="289" spans="4:15" ht="12.75" customHeight="1" thickBot="1" x14ac:dyDescent="0.3">
      <c r="D289" s="384"/>
      <c r="E289" s="601" t="str">
        <f>"Totaal "&amp;D284</f>
        <v>Totaal 41100</v>
      </c>
      <c r="F289" s="399"/>
      <c r="G289" s="114"/>
      <c r="H289" s="114"/>
      <c r="I289" s="114"/>
      <c r="J289" s="114"/>
      <c r="K289" s="1744">
        <v>158580.04999999999</v>
      </c>
      <c r="L289" s="1744">
        <f>SUM(L284:L288)</f>
        <v>165241</v>
      </c>
      <c r="M289" s="1744">
        <f>SUM(M284:M288)</f>
        <v>171354</v>
      </c>
      <c r="N289" s="1744">
        <f>SUM(N284:N288)</f>
        <v>177694</v>
      </c>
      <c r="O289" s="1744">
        <f>SUM(O284:O288)</f>
        <v>184268</v>
      </c>
    </row>
    <row r="290" spans="4:15" ht="12.75" customHeight="1" thickTop="1" x14ac:dyDescent="0.25">
      <c r="D290" s="384"/>
      <c r="E290" s="601"/>
      <c r="F290" s="399"/>
      <c r="G290" s="114"/>
      <c r="H290" s="114"/>
      <c r="I290" s="114"/>
      <c r="J290" s="114"/>
      <c r="K290" s="114"/>
      <c r="L290" s="114"/>
      <c r="M290" s="114"/>
      <c r="N290" s="114"/>
      <c r="O290" s="114"/>
    </row>
    <row r="291" spans="4:15" ht="12.75" customHeight="1" x14ac:dyDescent="0.25">
      <c r="D291" s="115"/>
      <c r="E291" s="115"/>
      <c r="F291" s="115"/>
      <c r="G291" s="114"/>
      <c r="H291" s="114"/>
      <c r="I291" s="114"/>
      <c r="J291" s="1618"/>
      <c r="K291" s="1276">
        <v>2026</v>
      </c>
      <c r="L291" s="1276">
        <v>2027</v>
      </c>
      <c r="M291" s="1276">
        <v>2028</v>
      </c>
      <c r="N291" s="1276">
        <v>2029</v>
      </c>
      <c r="O291" s="1276">
        <v>2030</v>
      </c>
    </row>
    <row r="292" spans="4:15" ht="12.75" customHeight="1" x14ac:dyDescent="0.25">
      <c r="D292" s="384"/>
      <c r="E292" s="601"/>
      <c r="F292" s="399"/>
      <c r="G292" s="114"/>
      <c r="H292" s="114"/>
      <c r="I292" s="114"/>
      <c r="J292" s="114"/>
      <c r="K292" s="114"/>
      <c r="L292" s="114"/>
      <c r="M292" s="114"/>
      <c r="N292" s="114"/>
      <c r="O292" s="114"/>
    </row>
    <row r="293" spans="4:15" ht="12.75" customHeight="1" x14ac:dyDescent="0.25">
      <c r="D293" s="384"/>
      <c r="E293" s="2529" t="s">
        <v>1031</v>
      </c>
      <c r="F293" s="2529"/>
      <c r="G293" s="2529"/>
      <c r="H293" s="2529"/>
      <c r="I293" s="114"/>
      <c r="J293" s="114"/>
      <c r="K293" s="114">
        <v>16700</v>
      </c>
      <c r="L293" s="114">
        <v>16700</v>
      </c>
      <c r="M293" s="114">
        <v>16701</v>
      </c>
      <c r="N293" s="114">
        <v>16701</v>
      </c>
      <c r="O293" s="114">
        <v>16701</v>
      </c>
    </row>
    <row r="294" spans="4:15" ht="12.75" customHeight="1" x14ac:dyDescent="0.25">
      <c r="D294" s="384"/>
      <c r="E294" s="2529"/>
      <c r="F294" s="2529"/>
      <c r="G294" s="2529"/>
      <c r="H294" s="2529"/>
      <c r="I294" s="114"/>
      <c r="J294" s="114"/>
      <c r="K294" s="114"/>
      <c r="L294" s="114"/>
      <c r="M294" s="114"/>
      <c r="N294" s="114"/>
      <c r="O294" s="114"/>
    </row>
    <row r="295" spans="4:15" ht="12.75" customHeight="1" x14ac:dyDescent="0.25">
      <c r="D295" s="384"/>
      <c r="E295" s="1033" t="s">
        <v>1032</v>
      </c>
      <c r="F295" s="399"/>
      <c r="G295" s="114"/>
      <c r="H295" s="114"/>
      <c r="I295" s="114"/>
      <c r="J295" s="114"/>
      <c r="K295" s="114">
        <v>23279</v>
      </c>
      <c r="L295" s="114">
        <f>28411-16700</f>
        <v>11711</v>
      </c>
      <c r="M295" s="114">
        <v>11710</v>
      </c>
      <c r="N295" s="114">
        <v>11710</v>
      </c>
      <c r="O295" s="114">
        <v>11710</v>
      </c>
    </row>
    <row r="296" spans="4:15" ht="12.75" customHeight="1" x14ac:dyDescent="0.25">
      <c r="D296" s="384"/>
      <c r="E296" s="115"/>
      <c r="F296" s="399"/>
      <c r="G296" s="114"/>
      <c r="H296" s="114"/>
      <c r="I296" s="114"/>
      <c r="J296" s="114"/>
      <c r="K296" s="431"/>
      <c r="L296" s="431"/>
      <c r="M296" s="431"/>
      <c r="N296" s="431"/>
      <c r="O296" s="431"/>
    </row>
    <row r="297" spans="4:15" ht="12.75" customHeight="1" thickBot="1" x14ac:dyDescent="0.3">
      <c r="D297" s="384">
        <v>47300</v>
      </c>
      <c r="E297" s="601" t="s">
        <v>1033</v>
      </c>
      <c r="F297" s="399"/>
      <c r="G297" s="114"/>
      <c r="H297" s="114"/>
      <c r="I297" s="114"/>
      <c r="J297" s="114"/>
      <c r="K297" s="1744">
        <v>39979</v>
      </c>
      <c r="L297" s="1744">
        <f>SUM(L293:L296)</f>
        <v>28411</v>
      </c>
      <c r="M297" s="1744">
        <f>SUM(M293:M296)</f>
        <v>28411</v>
      </c>
      <c r="N297" s="1744">
        <f>SUM(N293:N296)</f>
        <v>28411</v>
      </c>
      <c r="O297" s="1744">
        <f>SUM(O293:O296)</f>
        <v>28411</v>
      </c>
    </row>
    <row r="298" spans="4:15" ht="12.75" customHeight="1" thickTop="1" x14ac:dyDescent="0.25">
      <c r="D298" s="384"/>
      <c r="E298" s="601"/>
      <c r="F298" s="399"/>
      <c r="G298" s="114"/>
      <c r="H298" s="114"/>
      <c r="I298" s="114"/>
      <c r="J298" s="114"/>
      <c r="K298" s="114"/>
      <c r="L298" s="114"/>
      <c r="M298" s="114"/>
      <c r="N298" s="114"/>
      <c r="O298" s="114"/>
    </row>
    <row r="299" spans="4:15" ht="12.75" customHeight="1" x14ac:dyDescent="0.25">
      <c r="D299" s="648">
        <v>603007</v>
      </c>
      <c r="E299" s="381" t="s">
        <v>1034</v>
      </c>
      <c r="F299" s="384"/>
      <c r="H299" s="114"/>
      <c r="I299" s="114"/>
      <c r="J299" s="114"/>
      <c r="K299" s="114"/>
      <c r="L299" s="114"/>
      <c r="M299" s="114"/>
      <c r="N299" s="114"/>
      <c r="O299" s="114"/>
    </row>
    <row r="300" spans="4:15" ht="12.75" customHeight="1" x14ac:dyDescent="0.25">
      <c r="D300" s="384"/>
      <c r="E300" s="601" t="s">
        <v>533</v>
      </c>
      <c r="F300" s="399"/>
      <c r="G300" s="114"/>
      <c r="H300" s="114"/>
      <c r="I300" s="114"/>
      <c r="J300" s="1618"/>
      <c r="K300" s="1276">
        <v>2026</v>
      </c>
      <c r="L300" s="1276">
        <v>2027</v>
      </c>
      <c r="M300" s="1276">
        <v>2028</v>
      </c>
      <c r="N300" s="1276">
        <v>2029</v>
      </c>
      <c r="O300" s="1276">
        <v>2030</v>
      </c>
    </row>
    <row r="301" spans="4:15" ht="12.75" customHeight="1" x14ac:dyDescent="0.25">
      <c r="D301" s="384"/>
      <c r="E301" s="2510" t="s">
        <v>1035</v>
      </c>
      <c r="F301" s="2510"/>
      <c r="G301" s="2510"/>
      <c r="H301" s="2510"/>
      <c r="I301" s="2510"/>
      <c r="J301" s="114"/>
      <c r="K301" s="114"/>
      <c r="L301" s="114"/>
      <c r="M301" s="114"/>
      <c r="N301" s="114"/>
      <c r="O301" s="114"/>
    </row>
    <row r="302" spans="4:15" ht="12.75" customHeight="1" x14ac:dyDescent="0.25">
      <c r="D302" s="384"/>
      <c r="E302" s="2510"/>
      <c r="F302" s="2510"/>
      <c r="G302" s="2510"/>
      <c r="H302" s="2510"/>
      <c r="I302" s="2510"/>
      <c r="J302" s="114"/>
      <c r="K302" s="114"/>
      <c r="L302" s="114"/>
      <c r="M302" s="114"/>
      <c r="N302" s="114"/>
      <c r="O302" s="114"/>
    </row>
    <row r="303" spans="4:15" ht="12.75" customHeight="1" x14ac:dyDescent="0.25">
      <c r="D303" s="384"/>
      <c r="E303" s="2521" t="s">
        <v>1036</v>
      </c>
      <c r="F303" s="2521"/>
      <c r="G303" s="2521"/>
      <c r="H303" s="2521"/>
      <c r="I303" s="2521"/>
      <c r="J303" s="114"/>
      <c r="K303" s="114"/>
      <c r="L303" s="114"/>
      <c r="M303" s="114"/>
      <c r="N303" s="114"/>
      <c r="O303" s="114"/>
    </row>
    <row r="304" spans="4:15" ht="12.75" customHeight="1" x14ac:dyDescent="0.25">
      <c r="D304" s="384"/>
      <c r="E304" s="601"/>
      <c r="F304" s="399"/>
      <c r="G304" s="114"/>
      <c r="H304" s="114"/>
      <c r="I304" s="114"/>
      <c r="J304" s="114"/>
      <c r="K304" s="114"/>
      <c r="L304" s="114"/>
      <c r="M304" s="114"/>
      <c r="N304" s="114"/>
      <c r="O304" s="114"/>
    </row>
    <row r="305" spans="4:15" ht="12.75" customHeight="1" x14ac:dyDescent="0.25">
      <c r="D305" s="384">
        <v>43817</v>
      </c>
      <c r="E305" s="601" t="s">
        <v>994</v>
      </c>
      <c r="F305" s="399"/>
      <c r="G305" s="114"/>
      <c r="H305" s="114"/>
      <c r="I305" s="114"/>
      <c r="J305" s="114"/>
      <c r="K305" s="114">
        <v>1729</v>
      </c>
      <c r="L305" s="114">
        <f>ROUND(K305*T$2,0)</f>
        <v>1765</v>
      </c>
      <c r="M305" s="114">
        <f>ROUND(L305*U$2,0)</f>
        <v>1806</v>
      </c>
      <c r="N305" s="114">
        <f>ROUND(M305*V$2,0)</f>
        <v>1848</v>
      </c>
      <c r="O305" s="114">
        <f>ROUND(N305*W$2,0)</f>
        <v>1891</v>
      </c>
    </row>
    <row r="306" spans="4:15" ht="12.75" customHeight="1" thickBot="1" x14ac:dyDescent="0.3">
      <c r="D306" s="384"/>
      <c r="E306" s="601"/>
      <c r="F306" s="399"/>
      <c r="G306" s="114"/>
      <c r="H306" s="114"/>
      <c r="I306" s="114"/>
      <c r="J306" s="114"/>
      <c r="K306" s="1744">
        <v>1729</v>
      </c>
      <c r="L306" s="1744">
        <f>SUM(L305:L305)</f>
        <v>1765</v>
      </c>
      <c r="M306" s="1744">
        <f>SUM(M305:M305)</f>
        <v>1806</v>
      </c>
      <c r="N306" s="1744">
        <f>SUM(N305:N305)</f>
        <v>1848</v>
      </c>
      <c r="O306" s="1744">
        <f>SUM(O305:O305)</f>
        <v>1891</v>
      </c>
    </row>
    <row r="307" spans="4:15" ht="12.75" customHeight="1" thickTop="1" x14ac:dyDescent="0.25">
      <c r="D307" s="384"/>
      <c r="E307" s="601"/>
      <c r="F307" s="399"/>
      <c r="G307" s="114"/>
      <c r="H307" s="114"/>
      <c r="I307" s="114"/>
      <c r="J307" s="114"/>
      <c r="K307" s="114"/>
      <c r="L307" s="114"/>
      <c r="M307" s="114"/>
      <c r="N307" s="114"/>
      <c r="O307" s="114"/>
    </row>
    <row r="308" spans="4:15" ht="12.75" customHeight="1" x14ac:dyDescent="0.25">
      <c r="D308" s="393">
        <v>603014</v>
      </c>
      <c r="E308" s="381" t="s">
        <v>1001</v>
      </c>
      <c r="F308" s="115"/>
      <c r="G308" s="114"/>
      <c r="H308" s="114"/>
      <c r="I308" s="114"/>
      <c r="J308" s="114"/>
      <c r="K308" s="114"/>
      <c r="L308" s="114"/>
      <c r="M308" s="114"/>
      <c r="N308" s="114"/>
      <c r="O308" s="114"/>
    </row>
    <row r="309" spans="4:15" ht="12.75" customHeight="1" x14ac:dyDescent="0.25">
      <c r="D309" s="393"/>
      <c r="E309" s="383" t="s">
        <v>533</v>
      </c>
      <c r="F309" s="115"/>
      <c r="G309" s="114"/>
      <c r="H309" s="114"/>
      <c r="I309" s="114"/>
      <c r="J309" s="114"/>
      <c r="K309" s="114"/>
      <c r="L309" s="114"/>
      <c r="M309" s="114"/>
      <c r="N309" s="114"/>
      <c r="O309" s="114"/>
    </row>
    <row r="310" spans="4:15" ht="12.75" customHeight="1" x14ac:dyDescent="0.25">
      <c r="D310" s="143"/>
      <c r="E310" s="115" t="s">
        <v>1037</v>
      </c>
      <c r="F310" s="115"/>
      <c r="G310" s="114"/>
      <c r="H310" s="114"/>
      <c r="I310" s="114"/>
      <c r="J310" s="114"/>
      <c r="K310" s="114"/>
      <c r="L310" s="114"/>
      <c r="M310" s="114"/>
      <c r="N310" s="114"/>
      <c r="O310" s="114"/>
    </row>
    <row r="311" spans="4:15" ht="12.75" customHeight="1" x14ac:dyDescent="0.25">
      <c r="D311" s="143"/>
      <c r="E311" s="308"/>
      <c r="F311" s="115"/>
      <c r="G311" s="114"/>
      <c r="H311" s="114"/>
      <c r="I311" s="114"/>
      <c r="J311" s="114"/>
      <c r="K311" s="114"/>
      <c r="L311" s="114"/>
      <c r="M311" s="114"/>
      <c r="N311" s="114"/>
      <c r="O311" s="114"/>
    </row>
    <row r="312" spans="4:15" ht="12.75" customHeight="1" x14ac:dyDescent="0.25">
      <c r="D312" s="393">
        <v>603015</v>
      </c>
      <c r="E312" s="381" t="s">
        <v>1003</v>
      </c>
      <c r="F312" s="115"/>
      <c r="G312" s="1618"/>
      <c r="H312" s="1618"/>
      <c r="I312" s="1618"/>
      <c r="J312" s="1618"/>
      <c r="K312" s="1276">
        <v>2026</v>
      </c>
      <c r="L312" s="1276">
        <v>2027</v>
      </c>
      <c r="M312" s="1276">
        <v>2028</v>
      </c>
      <c r="N312" s="1276">
        <v>2029</v>
      </c>
      <c r="O312" s="1276">
        <v>2030</v>
      </c>
    </row>
    <row r="313" spans="4:15" ht="12.75" customHeight="1" x14ac:dyDescent="0.25">
      <c r="D313" s="393"/>
      <c r="E313" s="383" t="s">
        <v>533</v>
      </c>
      <c r="F313" s="115"/>
      <c r="G313" s="399"/>
      <c r="H313" s="399"/>
      <c r="I313" s="399"/>
      <c r="J313" s="399"/>
      <c r="K313" s="399"/>
      <c r="L313" s="399"/>
      <c r="M313" s="399"/>
      <c r="N313" s="399"/>
      <c r="O313" s="399"/>
    </row>
    <row r="314" spans="4:15" ht="12.75" customHeight="1" x14ac:dyDescent="0.25">
      <c r="D314" s="143">
        <v>42100</v>
      </c>
      <c r="E314" s="115" t="s">
        <v>1038</v>
      </c>
      <c r="F314" s="115"/>
      <c r="G314" s="399"/>
      <c r="H314" s="399"/>
      <c r="I314" s="399"/>
      <c r="J314" s="114"/>
      <c r="K314" s="114">
        <v>4400</v>
      </c>
      <c r="L314" s="114">
        <f>K314</f>
        <v>4400</v>
      </c>
      <c r="M314" s="114">
        <f>L314</f>
        <v>4400</v>
      </c>
      <c r="N314" s="114">
        <f>M314</f>
        <v>4400</v>
      </c>
      <c r="O314" s="114">
        <f>N314</f>
        <v>4400</v>
      </c>
    </row>
    <row r="315" spans="4:15" ht="12.75" customHeight="1" thickBot="1" x14ac:dyDescent="0.3">
      <c r="D315" s="143"/>
      <c r="E315" s="115" t="s">
        <v>1039</v>
      </c>
      <c r="F315" s="115"/>
      <c r="G315" s="399"/>
      <c r="H315" s="399"/>
      <c r="I315" s="399"/>
      <c r="J315" s="114"/>
      <c r="K315" s="1744">
        <v>4400</v>
      </c>
      <c r="L315" s="1744">
        <f>SUM(L313:L314)</f>
        <v>4400</v>
      </c>
      <c r="M315" s="1744">
        <f>SUM(M313:M314)</f>
        <v>4400</v>
      </c>
      <c r="N315" s="1744">
        <f>SUM(N313:N314)</f>
        <v>4400</v>
      </c>
      <c r="O315" s="1744">
        <f>SUM(O313:O314)</f>
        <v>4400</v>
      </c>
    </row>
    <row r="316" spans="4:15" ht="12.75" customHeight="1" thickTop="1" x14ac:dyDescent="0.25">
      <c r="D316" s="143"/>
      <c r="E316" s="115"/>
      <c r="F316" s="115"/>
      <c r="G316" s="399"/>
      <c r="H316" s="399"/>
      <c r="I316" s="399"/>
      <c r="J316" s="114"/>
      <c r="K316" s="114"/>
      <c r="L316" s="114"/>
      <c r="M316" s="114"/>
      <c r="N316" s="114"/>
      <c r="O316" s="114"/>
    </row>
    <row r="317" spans="4:15" ht="12.75" customHeight="1" x14ac:dyDescent="0.25">
      <c r="D317" s="143">
        <v>43813</v>
      </c>
      <c r="E317" s="115" t="s">
        <v>1040</v>
      </c>
      <c r="F317" s="115"/>
      <c r="G317" s="399"/>
      <c r="H317" s="399"/>
      <c r="I317" s="399"/>
      <c r="J317" s="399"/>
      <c r="K317" s="399"/>
      <c r="L317" s="399"/>
      <c r="M317" s="399"/>
      <c r="N317" s="399"/>
      <c r="O317" s="399"/>
    </row>
    <row r="318" spans="4:15" ht="12.75" customHeight="1" x14ac:dyDescent="0.25">
      <c r="D318" s="143">
        <v>43812</v>
      </c>
      <c r="E318" s="115" t="s">
        <v>1041</v>
      </c>
      <c r="F318" s="399"/>
    </row>
    <row r="319" spans="4:15" ht="12.75" customHeight="1" x14ac:dyDescent="0.25">
      <c r="D319" s="143"/>
      <c r="E319" s="308" t="s">
        <v>1042</v>
      </c>
      <c r="F319" s="399"/>
      <c r="G319" s="114"/>
      <c r="H319" s="114"/>
      <c r="I319" s="114"/>
      <c r="J319" s="114"/>
      <c r="K319" s="114">
        <v>609</v>
      </c>
      <c r="L319" s="114">
        <f t="shared" ref="L319:O320" si="30">ROUND(K319*T$2,0)</f>
        <v>622</v>
      </c>
      <c r="M319" s="114">
        <f t="shared" si="30"/>
        <v>636</v>
      </c>
      <c r="N319" s="114">
        <f t="shared" si="30"/>
        <v>651</v>
      </c>
      <c r="O319" s="114">
        <f t="shared" si="30"/>
        <v>666</v>
      </c>
    </row>
    <row r="320" spans="4:15" ht="12.75" customHeight="1" x14ac:dyDescent="0.25">
      <c r="D320" s="143"/>
      <c r="E320" s="308" t="s">
        <v>1043</v>
      </c>
      <c r="F320" s="399"/>
      <c r="G320" s="114"/>
      <c r="H320" s="114"/>
      <c r="I320" s="114"/>
      <c r="J320" s="114"/>
      <c r="K320" s="114">
        <v>8566</v>
      </c>
      <c r="L320" s="114">
        <f t="shared" si="30"/>
        <v>8746</v>
      </c>
      <c r="M320" s="114">
        <f t="shared" si="30"/>
        <v>8947</v>
      </c>
      <c r="N320" s="114">
        <f t="shared" si="30"/>
        <v>9153</v>
      </c>
      <c r="O320" s="114">
        <f t="shared" si="30"/>
        <v>9364</v>
      </c>
    </row>
    <row r="321" spans="1:15" ht="12.75" customHeight="1" thickBot="1" x14ac:dyDescent="0.3">
      <c r="D321" s="143"/>
      <c r="E321" s="115"/>
      <c r="F321" s="399"/>
      <c r="G321" s="114"/>
      <c r="H321" s="114"/>
      <c r="I321" s="114"/>
      <c r="J321" s="114"/>
      <c r="K321" s="1744">
        <v>9175</v>
      </c>
      <c r="L321" s="1744">
        <f>SUM(L319:L320)</f>
        <v>9368</v>
      </c>
      <c r="M321" s="1744">
        <f>SUM(M319:M320)</f>
        <v>9583</v>
      </c>
      <c r="N321" s="1744">
        <f>SUM(N319:N320)</f>
        <v>9804</v>
      </c>
      <c r="O321" s="1744">
        <f>SUM(O319:O320)</f>
        <v>10030</v>
      </c>
    </row>
    <row r="322" spans="1:15" ht="12.75" customHeight="1" thickTop="1" x14ac:dyDescent="0.25">
      <c r="D322" s="143"/>
      <c r="E322" s="115"/>
      <c r="F322" s="399"/>
      <c r="G322" s="114"/>
      <c r="H322" s="114"/>
      <c r="I322" s="114"/>
      <c r="J322" s="114"/>
      <c r="K322" s="114"/>
      <c r="L322" s="114"/>
      <c r="M322" s="114"/>
      <c r="N322" s="114"/>
      <c r="O322" s="114"/>
    </row>
    <row r="323" spans="1:15" ht="12.75" customHeight="1" x14ac:dyDescent="0.25">
      <c r="D323" s="382">
        <v>603021</v>
      </c>
      <c r="E323" s="381" t="s">
        <v>5313</v>
      </c>
      <c r="F323" s="562"/>
      <c r="G323" s="114"/>
      <c r="H323" s="114"/>
      <c r="I323" s="114"/>
      <c r="J323" s="114"/>
      <c r="K323" s="114"/>
      <c r="L323" s="114"/>
      <c r="M323" s="114"/>
      <c r="N323" s="114"/>
      <c r="O323" s="114"/>
    </row>
    <row r="324" spans="1:15" s="1720" customFormat="1" ht="12.75" customHeight="1" x14ac:dyDescent="0.25">
      <c r="A324" s="2195"/>
      <c r="D324" s="1723"/>
      <c r="E324" s="1720" t="s">
        <v>5314</v>
      </c>
      <c r="F324" s="2175"/>
      <c r="G324" s="2177"/>
      <c r="H324" s="2177"/>
      <c r="I324" s="2177"/>
      <c r="J324" s="2177"/>
      <c r="K324" s="2177"/>
      <c r="L324" s="2177"/>
      <c r="M324" s="2177"/>
      <c r="N324" s="2177"/>
      <c r="O324" s="2177"/>
    </row>
    <row r="325" spans="1:15" ht="12.75" customHeight="1" x14ac:dyDescent="0.25">
      <c r="D325" s="143"/>
      <c r="E325" s="115"/>
      <c r="F325" s="399"/>
      <c r="G325" s="114"/>
      <c r="H325" s="114"/>
      <c r="I325" s="114"/>
      <c r="J325" s="114"/>
      <c r="K325" s="114"/>
      <c r="L325" s="114"/>
      <c r="M325" s="114"/>
      <c r="N325" s="114"/>
      <c r="O325" s="114"/>
    </row>
    <row r="326" spans="1:15" ht="12.75" customHeight="1" x14ac:dyDescent="0.25">
      <c r="D326" s="143"/>
      <c r="E326" s="115"/>
      <c r="F326" s="399"/>
      <c r="G326" s="114"/>
      <c r="H326" s="114"/>
      <c r="I326" s="114"/>
      <c r="J326" s="114"/>
      <c r="K326" s="114"/>
      <c r="L326" s="114"/>
      <c r="M326" s="114"/>
      <c r="N326" s="114"/>
      <c r="O326" s="114"/>
    </row>
    <row r="327" spans="1:15" ht="12.75" customHeight="1" x14ac:dyDescent="0.25">
      <c r="D327" s="143"/>
      <c r="E327" s="115"/>
      <c r="F327" s="399"/>
      <c r="G327" s="114"/>
      <c r="H327" s="114"/>
      <c r="I327" s="114"/>
      <c r="J327" s="114"/>
      <c r="K327" s="114"/>
      <c r="L327" s="114"/>
      <c r="M327" s="114"/>
      <c r="N327" s="114"/>
      <c r="O327" s="114"/>
    </row>
    <row r="328" spans="1:15" ht="12.75" customHeight="1" x14ac:dyDescent="0.25">
      <c r="D328" s="143"/>
      <c r="E328" s="115"/>
      <c r="F328" s="399"/>
      <c r="G328" s="399"/>
      <c r="H328" s="399"/>
      <c r="I328" s="399"/>
    </row>
    <row r="329" spans="1:15" ht="12.75" customHeight="1" x14ac:dyDescent="0.25">
      <c r="D329" s="393">
        <v>603008</v>
      </c>
      <c r="E329" s="312" t="s">
        <v>995</v>
      </c>
      <c r="F329" s="115"/>
      <c r="G329" s="486"/>
      <c r="H329" s="486"/>
      <c r="I329" s="486"/>
      <c r="K329" s="1276">
        <v>2026</v>
      </c>
      <c r="L329" s="1276">
        <v>2027</v>
      </c>
      <c r="M329" s="1276">
        <v>2028</v>
      </c>
      <c r="N329" s="1276">
        <v>2029</v>
      </c>
      <c r="O329" s="1276">
        <v>2030</v>
      </c>
    </row>
    <row r="330" spans="1:15" ht="12.75" customHeight="1" x14ac:dyDescent="0.25">
      <c r="D330" s="393"/>
      <c r="E330" s="383" t="s">
        <v>533</v>
      </c>
      <c r="F330" s="115"/>
      <c r="G330" s="486"/>
      <c r="H330" s="486"/>
      <c r="I330" s="486"/>
    </row>
    <row r="331" spans="1:15" ht="12.75" customHeight="1" x14ac:dyDescent="0.25">
      <c r="D331" s="393"/>
      <c r="E331" s="115" t="s">
        <v>1044</v>
      </c>
      <c r="F331" s="115"/>
      <c r="G331" s="486"/>
      <c r="H331" s="486"/>
      <c r="I331" s="486"/>
    </row>
    <row r="332" spans="1:15" ht="12.75" customHeight="1" x14ac:dyDescent="0.25">
      <c r="D332" s="393"/>
      <c r="E332" s="383"/>
      <c r="F332" s="115"/>
      <c r="G332" s="486"/>
      <c r="H332" s="486"/>
      <c r="I332" s="486"/>
    </row>
    <row r="333" spans="1:15" ht="12.75" customHeight="1" x14ac:dyDescent="0.25">
      <c r="D333" s="143">
        <v>43817</v>
      </c>
      <c r="E333" s="115" t="s">
        <v>1045</v>
      </c>
      <c r="F333" s="115"/>
      <c r="H333" s="114"/>
      <c r="I333" s="114"/>
      <c r="J333" s="114"/>
      <c r="K333" s="114">
        <v>4475</v>
      </c>
      <c r="L333" s="114">
        <f>ROUND(K333*T$2,0)</f>
        <v>4569</v>
      </c>
      <c r="M333" s="114">
        <f>ROUND(L333*U$2,0)</f>
        <v>4674</v>
      </c>
      <c r="N333" s="114">
        <f>ROUND(M333*V$2,0)</f>
        <v>4782</v>
      </c>
      <c r="O333" s="114">
        <f>ROUND(N333*W$2,0)</f>
        <v>4892</v>
      </c>
    </row>
    <row r="334" spans="1:15" ht="12.75" customHeight="1" thickBot="1" x14ac:dyDescent="0.3">
      <c r="D334" s="143"/>
      <c r="E334" s="115" t="s">
        <v>619</v>
      </c>
      <c r="F334" s="115"/>
      <c r="H334" s="114"/>
      <c r="I334" s="114"/>
      <c r="J334" s="114"/>
      <c r="K334" s="1744">
        <v>4475</v>
      </c>
      <c r="L334" s="1744">
        <f>SUM(L333:L333)</f>
        <v>4569</v>
      </c>
      <c r="M334" s="1744">
        <f>SUM(M333:M333)</f>
        <v>4674</v>
      </c>
      <c r="N334" s="1744">
        <f>SUM(N333:N333)</f>
        <v>4782</v>
      </c>
      <c r="O334" s="1744">
        <f>SUM(O333:O333)</f>
        <v>4892</v>
      </c>
    </row>
    <row r="335" spans="1:15" ht="12.75" customHeight="1" thickTop="1" x14ac:dyDescent="0.25">
      <c r="D335" s="384"/>
      <c r="E335" s="399"/>
      <c r="F335" s="399"/>
      <c r="G335" s="399"/>
      <c r="H335" s="399"/>
      <c r="I335" s="399"/>
    </row>
    <row r="336" spans="1:15" ht="12.75" customHeight="1" x14ac:dyDescent="0.25">
      <c r="D336" s="143">
        <v>43812</v>
      </c>
      <c r="E336" s="115" t="s">
        <v>1046</v>
      </c>
      <c r="F336" s="115"/>
      <c r="H336" s="114"/>
      <c r="I336" s="114"/>
      <c r="J336" s="114"/>
      <c r="K336" s="114">
        <v>2304</v>
      </c>
      <c r="L336" s="114">
        <f>ROUND(K336*T$2,0)</f>
        <v>2352</v>
      </c>
      <c r="M336" s="114">
        <f>ROUND(L336*U$2,0)</f>
        <v>2406</v>
      </c>
      <c r="N336" s="114">
        <f>ROUND(M336*V$2,0)</f>
        <v>2461</v>
      </c>
      <c r="O336" s="114">
        <f>ROUND(N336*W$2,0)</f>
        <v>2518</v>
      </c>
    </row>
    <row r="337" spans="4:16" ht="12.75" customHeight="1" thickBot="1" x14ac:dyDescent="0.3">
      <c r="D337" s="143"/>
      <c r="E337" s="115"/>
      <c r="F337" s="115"/>
      <c r="H337" s="114"/>
      <c r="I337" s="114"/>
      <c r="J337" s="114"/>
      <c r="K337" s="1744">
        <v>2304</v>
      </c>
      <c r="L337" s="1744">
        <f>+L336</f>
        <v>2352</v>
      </c>
      <c r="M337" s="1744">
        <f>+M336</f>
        <v>2406</v>
      </c>
      <c r="N337" s="1744">
        <f>+N336</f>
        <v>2461</v>
      </c>
      <c r="O337" s="1744">
        <f>+O336</f>
        <v>2518</v>
      </c>
    </row>
    <row r="338" spans="4:16" ht="12.75" customHeight="1" thickTop="1" x14ac:dyDescent="0.25">
      <c r="D338" s="384"/>
      <c r="E338" s="399"/>
      <c r="F338" s="399"/>
      <c r="G338" s="399"/>
      <c r="H338" s="399"/>
      <c r="I338" s="399"/>
    </row>
    <row r="339" spans="4:16" ht="12.75" customHeight="1" x14ac:dyDescent="0.25">
      <c r="D339" s="433">
        <v>603009</v>
      </c>
      <c r="E339" s="381" t="s">
        <v>998</v>
      </c>
      <c r="F339" s="399"/>
      <c r="G339" s="399"/>
      <c r="H339" s="399"/>
      <c r="I339" s="399"/>
    </row>
    <row r="340" spans="4:16" ht="12.75" customHeight="1" x14ac:dyDescent="0.25">
      <c r="D340" s="384"/>
      <c r="E340" s="383" t="s">
        <v>533</v>
      </c>
      <c r="F340" s="399"/>
      <c r="G340" s="399"/>
      <c r="H340" s="399"/>
      <c r="I340" s="399"/>
    </row>
    <row r="341" spans="4:16" ht="12.75" customHeight="1" x14ac:dyDescent="0.25">
      <c r="D341" s="384"/>
      <c r="E341" s="2520" t="s">
        <v>1047</v>
      </c>
      <c r="F341" s="2520"/>
      <c r="G341" s="2520"/>
      <c r="H341" s="399"/>
      <c r="I341" s="399"/>
    </row>
    <row r="342" spans="4:16" ht="12.75" customHeight="1" x14ac:dyDescent="0.25">
      <c r="D342" s="384"/>
      <c r="E342" s="2520"/>
      <c r="F342" s="2520"/>
      <c r="G342" s="2520"/>
      <c r="H342" s="399"/>
      <c r="I342" s="399"/>
    </row>
    <row r="343" spans="4:16" ht="12.75" customHeight="1" x14ac:dyDescent="0.25">
      <c r="D343" s="384"/>
      <c r="E343" s="399"/>
      <c r="F343" s="399"/>
      <c r="G343" s="399"/>
      <c r="H343" s="399"/>
      <c r="I343" s="399"/>
      <c r="J343" s="399"/>
      <c r="K343" s="399"/>
      <c r="L343" s="399"/>
      <c r="M343" s="399"/>
      <c r="N343" s="399"/>
      <c r="O343" s="399"/>
    </row>
    <row r="344" spans="4:16" ht="12.75" customHeight="1" x14ac:dyDescent="0.25">
      <c r="D344" s="393">
        <v>603001</v>
      </c>
      <c r="E344" s="381" t="s">
        <v>977</v>
      </c>
      <c r="F344" s="115"/>
      <c r="G344" s="1618"/>
      <c r="H344" s="1618"/>
      <c r="I344" s="1618"/>
      <c r="J344" s="1618"/>
      <c r="K344" s="1276">
        <v>2026</v>
      </c>
      <c r="L344" s="1276">
        <v>2027</v>
      </c>
      <c r="M344" s="1276">
        <v>2028</v>
      </c>
      <c r="N344" s="1276">
        <v>2029</v>
      </c>
      <c r="O344" s="1276">
        <v>2030</v>
      </c>
    </row>
    <row r="345" spans="4:16" ht="12.75" customHeight="1" x14ac:dyDescent="0.25">
      <c r="D345" s="393"/>
      <c r="E345" s="383" t="s">
        <v>554</v>
      </c>
      <c r="F345" s="115"/>
      <c r="G345" s="1618"/>
      <c r="H345" s="1618"/>
      <c r="I345" s="1618"/>
      <c r="J345" s="1618"/>
      <c r="K345" s="1618"/>
      <c r="L345" s="1618"/>
      <c r="M345" s="1618"/>
      <c r="N345" s="1618"/>
      <c r="O345" s="1618"/>
    </row>
    <row r="346" spans="4:16" ht="12.75" customHeight="1" x14ac:dyDescent="0.25">
      <c r="D346" s="393"/>
      <c r="E346" s="115" t="s">
        <v>5439</v>
      </c>
      <c r="F346" s="115"/>
      <c r="G346" s="1621"/>
      <c r="H346" s="1621"/>
      <c r="I346" s="1618"/>
      <c r="J346" s="114"/>
      <c r="K346" s="114">
        <v>-1929</v>
      </c>
      <c r="L346" s="114">
        <v>0</v>
      </c>
      <c r="M346" s="114">
        <v>0</v>
      </c>
      <c r="N346" s="114">
        <v>0</v>
      </c>
      <c r="O346" s="114">
        <v>0</v>
      </c>
      <c r="P346" s="115" t="s">
        <v>1048</v>
      </c>
    </row>
    <row r="347" spans="4:16" ht="12.75" customHeight="1" x14ac:dyDescent="0.25">
      <c r="D347" s="393"/>
      <c r="E347" s="115" t="s">
        <v>1049</v>
      </c>
      <c r="F347" s="115"/>
      <c r="G347" s="1621"/>
      <c r="H347" s="1621"/>
      <c r="I347" s="1618"/>
      <c r="J347" s="114"/>
      <c r="K347" s="114">
        <v>-113</v>
      </c>
      <c r="L347" s="114">
        <v>-113.44</v>
      </c>
      <c r="M347" s="114">
        <f t="shared" ref="M347:M363" si="31">ROUND(L347*U$2,0)</f>
        <v>-116</v>
      </c>
      <c r="N347" s="114">
        <f t="shared" ref="N347:N363" si="32">ROUND(M347*V$2,0)</f>
        <v>-119</v>
      </c>
      <c r="O347" s="114">
        <f t="shared" ref="O347:O363" si="33">ROUND(N347*W$2,0)</f>
        <v>-122</v>
      </c>
    </row>
    <row r="348" spans="4:16" ht="12.75" customHeight="1" x14ac:dyDescent="0.25">
      <c r="D348" s="393"/>
      <c r="E348" s="115" t="s">
        <v>1050</v>
      </c>
      <c r="F348" s="115"/>
      <c r="G348" s="1621"/>
      <c r="H348" s="1621"/>
      <c r="I348" s="1618"/>
      <c r="J348" s="114"/>
      <c r="K348" s="114">
        <v>-2836</v>
      </c>
      <c r="L348" s="114">
        <v>-2836.12</v>
      </c>
      <c r="M348" s="114">
        <f t="shared" si="31"/>
        <v>-2901</v>
      </c>
      <c r="N348" s="114">
        <f t="shared" si="32"/>
        <v>-2968</v>
      </c>
      <c r="O348" s="114">
        <f t="shared" si="33"/>
        <v>-3036</v>
      </c>
    </row>
    <row r="349" spans="4:16" ht="12.75" customHeight="1" x14ac:dyDescent="0.25">
      <c r="D349" s="393"/>
      <c r="E349" s="115" t="s">
        <v>1051</v>
      </c>
      <c r="F349" s="115"/>
      <c r="G349" s="1621"/>
      <c r="H349" s="1621"/>
      <c r="I349" s="1618"/>
      <c r="J349" s="114"/>
      <c r="K349" s="114">
        <v>-11</v>
      </c>
      <c r="L349" s="114">
        <f t="shared" ref="L349:L363" si="34">ROUND(K349*T$2,0)</f>
        <v>-11</v>
      </c>
      <c r="M349" s="114">
        <f t="shared" si="31"/>
        <v>-11</v>
      </c>
      <c r="N349" s="114">
        <f t="shared" si="32"/>
        <v>-11</v>
      </c>
      <c r="O349" s="114">
        <f t="shared" si="33"/>
        <v>-11</v>
      </c>
    </row>
    <row r="350" spans="4:16" ht="12.75" customHeight="1" x14ac:dyDescent="0.25">
      <c r="D350" s="393"/>
      <c r="E350" s="115" t="s">
        <v>1052</v>
      </c>
      <c r="F350" s="115"/>
      <c r="G350" s="1621"/>
      <c r="H350" s="1621"/>
      <c r="I350" s="1618"/>
      <c r="J350" s="114"/>
      <c r="K350" s="114">
        <v>-83386</v>
      </c>
      <c r="L350" s="114">
        <v>-85303.53</v>
      </c>
      <c r="M350" s="114">
        <f t="shared" si="31"/>
        <v>-87266</v>
      </c>
      <c r="N350" s="114">
        <f t="shared" si="32"/>
        <v>-89273</v>
      </c>
      <c r="O350" s="114">
        <f t="shared" si="33"/>
        <v>-91326</v>
      </c>
    </row>
    <row r="351" spans="4:16" ht="12.75" customHeight="1" x14ac:dyDescent="0.25">
      <c r="D351" s="393"/>
      <c r="E351" s="115" t="s">
        <v>1053</v>
      </c>
      <c r="F351" s="115"/>
      <c r="G351" s="1621"/>
      <c r="H351" s="1621"/>
      <c r="I351" s="1618"/>
      <c r="J351" s="114"/>
      <c r="K351" s="114">
        <v>-334</v>
      </c>
      <c r="L351" s="114">
        <v>-343.39</v>
      </c>
      <c r="M351" s="114">
        <f t="shared" si="31"/>
        <v>-351</v>
      </c>
      <c r="N351" s="114">
        <f t="shared" si="32"/>
        <v>-359</v>
      </c>
      <c r="O351" s="114">
        <f t="shared" si="33"/>
        <v>-367</v>
      </c>
    </row>
    <row r="352" spans="4:16" ht="12.75" customHeight="1" x14ac:dyDescent="0.25">
      <c r="D352" s="393"/>
      <c r="E352" s="115" t="s">
        <v>1054</v>
      </c>
      <c r="F352" s="115"/>
      <c r="G352" s="1621"/>
      <c r="H352" s="1621"/>
      <c r="I352" s="1618"/>
      <c r="J352" s="114"/>
      <c r="K352" s="114">
        <v>-1601</v>
      </c>
      <c r="L352" s="114">
        <v>-1600.96</v>
      </c>
      <c r="M352" s="114">
        <f t="shared" si="31"/>
        <v>-1638</v>
      </c>
      <c r="N352" s="114">
        <f t="shared" si="32"/>
        <v>-1676</v>
      </c>
      <c r="O352" s="114">
        <f t="shared" si="33"/>
        <v>-1715</v>
      </c>
    </row>
    <row r="353" spans="4:16" ht="12.75" customHeight="1" x14ac:dyDescent="0.25">
      <c r="D353" s="393"/>
      <c r="E353" s="115" t="s">
        <v>1055</v>
      </c>
      <c r="F353" s="115" t="s">
        <v>1056</v>
      </c>
      <c r="G353" s="1621"/>
      <c r="H353" s="1621"/>
      <c r="I353" s="1618"/>
      <c r="J353" s="114"/>
      <c r="K353" s="114">
        <v>-576</v>
      </c>
      <c r="L353" s="114">
        <v>-579.39</v>
      </c>
      <c r="M353" s="114">
        <f t="shared" si="31"/>
        <v>-593</v>
      </c>
      <c r="N353" s="114">
        <f t="shared" si="32"/>
        <v>-607</v>
      </c>
      <c r="O353" s="114">
        <f t="shared" si="33"/>
        <v>-621</v>
      </c>
    </row>
    <row r="354" spans="4:16" ht="12.75" customHeight="1" x14ac:dyDescent="0.25">
      <c r="D354" s="393"/>
      <c r="E354" s="115" t="s">
        <v>1057</v>
      </c>
      <c r="F354" s="115"/>
      <c r="G354" s="1621"/>
      <c r="H354" s="1621"/>
      <c r="I354" s="1618"/>
      <c r="J354" s="114"/>
      <c r="K354" s="114">
        <v>-52</v>
      </c>
      <c r="L354" s="114">
        <v>0</v>
      </c>
      <c r="M354" s="114">
        <f t="shared" si="31"/>
        <v>0</v>
      </c>
      <c r="N354" s="114">
        <f t="shared" si="32"/>
        <v>0</v>
      </c>
      <c r="O354" s="114">
        <f t="shared" si="33"/>
        <v>0</v>
      </c>
    </row>
    <row r="355" spans="4:16" ht="12.75" customHeight="1" x14ac:dyDescent="0.25">
      <c r="D355" s="393"/>
      <c r="E355" s="115" t="s">
        <v>1058</v>
      </c>
      <c r="F355" s="115"/>
      <c r="G355" s="1621"/>
      <c r="H355" s="1621"/>
      <c r="I355" s="1618"/>
      <c r="J355" s="114"/>
      <c r="K355" s="114">
        <v>-22314</v>
      </c>
      <c r="L355" s="114">
        <v>-22937.75</v>
      </c>
      <c r="M355" s="114">
        <f t="shared" si="31"/>
        <v>-23465</v>
      </c>
      <c r="N355" s="114">
        <f t="shared" si="32"/>
        <v>-24005</v>
      </c>
      <c r="O355" s="114">
        <f t="shared" si="33"/>
        <v>-24557</v>
      </c>
    </row>
    <row r="356" spans="4:16" ht="12.75" customHeight="1" x14ac:dyDescent="0.25">
      <c r="D356" s="393"/>
      <c r="E356" s="115" t="s">
        <v>1059</v>
      </c>
      <c r="F356" s="115"/>
      <c r="G356" s="1621"/>
      <c r="H356" s="1621"/>
      <c r="I356" s="1618"/>
      <c r="J356" s="114"/>
      <c r="K356" s="114">
        <v>-23</v>
      </c>
      <c r="L356" s="114">
        <f t="shared" si="34"/>
        <v>-23</v>
      </c>
      <c r="M356" s="114">
        <f t="shared" si="31"/>
        <v>-24</v>
      </c>
      <c r="N356" s="114">
        <f t="shared" si="32"/>
        <v>-25</v>
      </c>
      <c r="O356" s="114">
        <f t="shared" si="33"/>
        <v>-26</v>
      </c>
    </row>
    <row r="357" spans="4:16" ht="12.75" customHeight="1" x14ac:dyDescent="0.25">
      <c r="D357" s="393"/>
      <c r="E357" s="115" t="s">
        <v>1060</v>
      </c>
      <c r="F357" s="115"/>
      <c r="G357" s="1621"/>
      <c r="H357" s="1621"/>
      <c r="I357" s="1618"/>
      <c r="J357" s="114"/>
      <c r="K357" s="114">
        <v>153</v>
      </c>
      <c r="L357" s="114">
        <v>-147</v>
      </c>
      <c r="M357" s="114">
        <f t="shared" si="31"/>
        <v>-150</v>
      </c>
      <c r="N357" s="114">
        <f t="shared" si="32"/>
        <v>-153</v>
      </c>
      <c r="O357" s="114">
        <f t="shared" si="33"/>
        <v>-157</v>
      </c>
    </row>
    <row r="358" spans="4:16" ht="12.75" customHeight="1" x14ac:dyDescent="0.25">
      <c r="D358" s="393"/>
      <c r="E358" s="115" t="s">
        <v>1061</v>
      </c>
      <c r="F358" s="115"/>
      <c r="G358" s="1621"/>
      <c r="H358" s="1621"/>
      <c r="I358" s="1618"/>
      <c r="J358" s="114"/>
      <c r="K358" s="114">
        <v>-14452</v>
      </c>
      <c r="L358" s="114">
        <v>-14855.68</v>
      </c>
      <c r="M358" s="114">
        <f t="shared" si="31"/>
        <v>-15197</v>
      </c>
      <c r="N358" s="114">
        <f t="shared" si="32"/>
        <v>-15547</v>
      </c>
      <c r="O358" s="114">
        <f t="shared" si="33"/>
        <v>-15905</v>
      </c>
    </row>
    <row r="359" spans="4:16" ht="12.75" customHeight="1" x14ac:dyDescent="0.25">
      <c r="D359" s="393"/>
      <c r="E359" s="115" t="s">
        <v>1062</v>
      </c>
      <c r="F359" s="115"/>
      <c r="G359" s="1621"/>
      <c r="H359" s="1621"/>
      <c r="I359" s="1618"/>
      <c r="J359" s="114"/>
      <c r="K359" s="114">
        <v>-6762</v>
      </c>
      <c r="L359" s="114">
        <v>-6950.76</v>
      </c>
      <c r="M359" s="114">
        <f t="shared" si="31"/>
        <v>-7111</v>
      </c>
      <c r="N359" s="114">
        <f t="shared" si="32"/>
        <v>-7275</v>
      </c>
      <c r="O359" s="114">
        <f t="shared" si="33"/>
        <v>-7442</v>
      </c>
    </row>
    <row r="360" spans="4:16" ht="12.75" customHeight="1" x14ac:dyDescent="0.25">
      <c r="D360" s="393"/>
      <c r="E360" s="115" t="s">
        <v>1063</v>
      </c>
      <c r="F360" s="115"/>
      <c r="G360" s="1621"/>
      <c r="H360" s="1621"/>
      <c r="I360" s="1618"/>
      <c r="J360" s="114"/>
      <c r="K360" s="114">
        <v>-11</v>
      </c>
      <c r="L360" s="114">
        <f t="shared" si="34"/>
        <v>-11</v>
      </c>
      <c r="M360" s="114">
        <f t="shared" si="31"/>
        <v>-11</v>
      </c>
      <c r="N360" s="114">
        <f t="shared" si="32"/>
        <v>-11</v>
      </c>
      <c r="O360" s="114">
        <f t="shared" si="33"/>
        <v>-11</v>
      </c>
    </row>
    <row r="361" spans="4:16" ht="12.75" customHeight="1" x14ac:dyDescent="0.25">
      <c r="D361" s="393"/>
      <c r="E361" s="115" t="s">
        <v>1064</v>
      </c>
      <c r="F361" s="115"/>
      <c r="G361" s="1621"/>
      <c r="H361" s="1621"/>
      <c r="I361" s="1618"/>
      <c r="J361" s="114"/>
      <c r="K361" s="114">
        <v>-4462</v>
      </c>
      <c r="L361" s="114">
        <v>-4586.82</v>
      </c>
      <c r="M361" s="114">
        <f t="shared" si="31"/>
        <v>-4692</v>
      </c>
      <c r="N361" s="114">
        <f t="shared" si="32"/>
        <v>-4800</v>
      </c>
      <c r="O361" s="114">
        <f t="shared" si="33"/>
        <v>-4910</v>
      </c>
    </row>
    <row r="362" spans="4:16" ht="12.75" customHeight="1" x14ac:dyDescent="0.25">
      <c r="D362" s="393"/>
      <c r="E362" s="115" t="s">
        <v>1065</v>
      </c>
      <c r="F362" s="115"/>
      <c r="G362" s="1621"/>
      <c r="H362" s="1621"/>
      <c r="I362" s="1618"/>
      <c r="J362" s="114"/>
      <c r="K362" s="114">
        <v>-1807</v>
      </c>
      <c r="L362" s="114">
        <v>0</v>
      </c>
      <c r="M362" s="114">
        <f t="shared" si="31"/>
        <v>0</v>
      </c>
      <c r="N362" s="114">
        <f t="shared" si="32"/>
        <v>0</v>
      </c>
      <c r="O362" s="114">
        <f t="shared" si="33"/>
        <v>0</v>
      </c>
    </row>
    <row r="363" spans="4:16" ht="12.75" customHeight="1" x14ac:dyDescent="0.25">
      <c r="D363" s="393"/>
      <c r="E363" s="115" t="s">
        <v>1066</v>
      </c>
      <c r="F363" s="115"/>
      <c r="G363" s="1621"/>
      <c r="H363" s="1621"/>
      <c r="I363" s="1618"/>
      <c r="J363" s="114"/>
      <c r="K363" s="114">
        <v>-23</v>
      </c>
      <c r="L363" s="114">
        <f t="shared" si="34"/>
        <v>-23</v>
      </c>
      <c r="M363" s="114">
        <f t="shared" si="31"/>
        <v>-24</v>
      </c>
      <c r="N363" s="114">
        <f t="shared" si="32"/>
        <v>-25</v>
      </c>
      <c r="O363" s="114">
        <f t="shared" si="33"/>
        <v>-26</v>
      </c>
    </row>
    <row r="364" spans="4:16" ht="12.75" customHeight="1" x14ac:dyDescent="0.25">
      <c r="D364" s="393"/>
      <c r="E364" s="115" t="s">
        <v>1067</v>
      </c>
      <c r="F364" s="115"/>
      <c r="G364" s="1621"/>
      <c r="H364" s="1621"/>
      <c r="I364" s="1618"/>
      <c r="J364" s="114"/>
      <c r="K364" s="114">
        <v>-1111</v>
      </c>
      <c r="L364" s="114">
        <f>-1428.98-500</f>
        <v>-1928.98</v>
      </c>
      <c r="M364" s="114">
        <f>-1428.98-500</f>
        <v>-1928.98</v>
      </c>
      <c r="N364" s="114">
        <f>-1428.98-500</f>
        <v>-1928.98</v>
      </c>
      <c r="O364" s="114">
        <f>-1428.98-500</f>
        <v>-1928.98</v>
      </c>
      <c r="P364" s="115" t="s">
        <v>1048</v>
      </c>
    </row>
    <row r="365" spans="4:16" ht="12.75" customHeight="1" x14ac:dyDescent="0.25">
      <c r="D365" s="393"/>
      <c r="E365" s="115" t="s">
        <v>1068</v>
      </c>
      <c r="F365" s="115"/>
      <c r="G365" s="1621"/>
      <c r="H365" s="1621"/>
      <c r="I365" s="1618"/>
      <c r="J365" s="114"/>
      <c r="K365" s="114">
        <v>-6649</v>
      </c>
      <c r="L365" s="114">
        <v>-7074.13</v>
      </c>
      <c r="M365" s="114">
        <f t="shared" ref="M365:M367" si="35">ROUND(L365*U$2,0)</f>
        <v>-7237</v>
      </c>
      <c r="N365" s="114">
        <f t="shared" ref="N365:O367" si="36">ROUND(M365*V$2,0)</f>
        <v>-7403</v>
      </c>
      <c r="O365" s="114">
        <f t="shared" si="36"/>
        <v>-7573</v>
      </c>
    </row>
    <row r="366" spans="4:16" ht="12.75" customHeight="1" x14ac:dyDescent="0.25">
      <c r="D366" s="393"/>
      <c r="E366" s="115" t="s">
        <v>1069</v>
      </c>
      <c r="F366" s="115"/>
      <c r="G366" s="1621"/>
      <c r="H366" s="1621"/>
      <c r="I366" s="1618"/>
      <c r="J366" s="114"/>
      <c r="K366" s="114">
        <v>-60</v>
      </c>
      <c r="L366" s="114">
        <v>-64.319999999999993</v>
      </c>
      <c r="M366" s="114">
        <f t="shared" si="35"/>
        <v>-66</v>
      </c>
      <c r="N366" s="114">
        <f t="shared" si="36"/>
        <v>-68</v>
      </c>
      <c r="O366" s="114">
        <f t="shared" si="36"/>
        <v>-70</v>
      </c>
    </row>
    <row r="367" spans="4:16" ht="12.75" customHeight="1" x14ac:dyDescent="0.25">
      <c r="D367" s="393"/>
      <c r="E367" s="115" t="s">
        <v>1070</v>
      </c>
      <c r="F367" s="115"/>
      <c r="G367" s="1621"/>
      <c r="H367" s="1621"/>
      <c r="I367" s="1618"/>
      <c r="J367" s="114"/>
      <c r="K367" s="114">
        <v>-3531</v>
      </c>
      <c r="L367" s="114">
        <v>-3757.17</v>
      </c>
      <c r="M367" s="114">
        <f t="shared" si="35"/>
        <v>-3844</v>
      </c>
      <c r="N367" s="114">
        <f t="shared" si="36"/>
        <v>-3932</v>
      </c>
      <c r="O367" s="114">
        <f t="shared" si="36"/>
        <v>-4022</v>
      </c>
    </row>
    <row r="368" spans="4:16" ht="12.75" customHeight="1" x14ac:dyDescent="0.25">
      <c r="D368" s="393"/>
      <c r="E368" s="115" t="s">
        <v>1071</v>
      </c>
      <c r="F368" s="115"/>
      <c r="G368" s="1621"/>
      <c r="H368" s="1621"/>
      <c r="I368" s="1618"/>
      <c r="J368" s="114"/>
      <c r="K368" s="114">
        <v>-6256</v>
      </c>
      <c r="L368" s="114">
        <v>-6431.02</v>
      </c>
      <c r="M368" s="114">
        <f t="shared" ref="L368:O372" si="37">ROUND(L368*U$2,0)</f>
        <v>-6579</v>
      </c>
      <c r="N368" s="114">
        <f t="shared" si="37"/>
        <v>-6730</v>
      </c>
      <c r="O368" s="114">
        <f t="shared" si="37"/>
        <v>-6885</v>
      </c>
    </row>
    <row r="369" spans="4:16" ht="12.75" customHeight="1" x14ac:dyDescent="0.25">
      <c r="D369" s="393"/>
      <c r="E369" s="115" t="s">
        <v>1072</v>
      </c>
      <c r="F369" s="115"/>
      <c r="G369" s="1621"/>
      <c r="H369" s="1621"/>
      <c r="I369" s="1618"/>
      <c r="J369" s="114"/>
      <c r="K369" s="114">
        <v>-626</v>
      </c>
      <c r="L369" s="114">
        <v>-643.1</v>
      </c>
      <c r="M369" s="114">
        <f t="shared" si="37"/>
        <v>-658</v>
      </c>
      <c r="N369" s="114">
        <f t="shared" si="37"/>
        <v>-673</v>
      </c>
      <c r="O369" s="114">
        <f t="shared" si="37"/>
        <v>-688</v>
      </c>
    </row>
    <row r="370" spans="4:16" ht="12.75" customHeight="1" x14ac:dyDescent="0.25">
      <c r="D370" s="393"/>
      <c r="E370" s="115" t="s">
        <v>1073</v>
      </c>
      <c r="F370" s="115"/>
      <c r="G370" s="1621"/>
      <c r="H370" s="1621"/>
      <c r="I370" s="1618"/>
      <c r="J370" s="114"/>
      <c r="K370" s="114">
        <v>-626</v>
      </c>
      <c r="L370" s="114">
        <v>-643.12</v>
      </c>
      <c r="M370" s="114">
        <f t="shared" si="37"/>
        <v>-658</v>
      </c>
      <c r="N370" s="114">
        <f t="shared" si="37"/>
        <v>-673</v>
      </c>
      <c r="O370" s="114">
        <f t="shared" si="37"/>
        <v>-688</v>
      </c>
    </row>
    <row r="371" spans="4:16" ht="12.75" customHeight="1" x14ac:dyDescent="0.25">
      <c r="D371" s="393"/>
      <c r="E371" s="115" t="s">
        <v>1074</v>
      </c>
      <c r="F371" s="115"/>
      <c r="G371" s="1621"/>
      <c r="H371" s="1621"/>
      <c r="I371" s="1618"/>
      <c r="J371" s="114"/>
      <c r="K371" s="114">
        <v>-1176</v>
      </c>
      <c r="L371" s="114">
        <v>-1209.1400000000001</v>
      </c>
      <c r="M371" s="114">
        <f t="shared" si="37"/>
        <v>-1237</v>
      </c>
      <c r="N371" s="114">
        <f t="shared" si="37"/>
        <v>-1265</v>
      </c>
      <c r="O371" s="114">
        <f t="shared" si="37"/>
        <v>-1294</v>
      </c>
    </row>
    <row r="372" spans="4:16" ht="12.75" customHeight="1" x14ac:dyDescent="0.25">
      <c r="D372" s="143">
        <v>83600</v>
      </c>
      <c r="E372" s="115" t="s">
        <v>1075</v>
      </c>
      <c r="F372" s="115"/>
      <c r="G372" s="114"/>
      <c r="H372" s="114"/>
      <c r="I372" s="114"/>
      <c r="J372" s="114"/>
      <c r="K372" s="114">
        <v>0</v>
      </c>
      <c r="L372" s="114">
        <f t="shared" si="37"/>
        <v>0</v>
      </c>
      <c r="M372" s="114">
        <f t="shared" si="37"/>
        <v>0</v>
      </c>
      <c r="N372" s="114">
        <f t="shared" si="37"/>
        <v>0</v>
      </c>
      <c r="O372" s="114">
        <f t="shared" si="37"/>
        <v>0</v>
      </c>
    </row>
    <row r="373" spans="4:16" ht="12.75" customHeight="1" thickBot="1" x14ac:dyDescent="0.3">
      <c r="D373" s="143"/>
      <c r="E373" s="115" t="str">
        <f>"Totaal "&amp;D372</f>
        <v>Totaal 83600</v>
      </c>
      <c r="F373" s="115"/>
      <c r="G373" s="114"/>
      <c r="H373" s="114"/>
      <c r="I373" s="114"/>
      <c r="J373" s="114"/>
      <c r="K373" s="1744">
        <v>-160574</v>
      </c>
      <c r="L373" s="1744">
        <f>SUM(L345:L372)</f>
        <v>-162073.82000000007</v>
      </c>
      <c r="M373" s="1744">
        <f>SUM(M345:M372)</f>
        <v>-165757.98000000001</v>
      </c>
      <c r="N373" s="1744">
        <f>SUM(N345:N372)</f>
        <v>-169526.98</v>
      </c>
      <c r="O373" s="1744">
        <f>SUM(O345:O372)</f>
        <v>-173380.98</v>
      </c>
      <c r="P373" s="114"/>
    </row>
    <row r="374" spans="4:16" ht="12.75" customHeight="1" thickTop="1" x14ac:dyDescent="0.25">
      <c r="D374" s="143"/>
      <c r="E374" s="115"/>
      <c r="F374" s="115"/>
      <c r="G374" s="114"/>
      <c r="H374" s="114"/>
      <c r="I374" s="114"/>
      <c r="J374" s="114"/>
      <c r="K374" s="114"/>
      <c r="L374" s="114"/>
      <c r="M374" s="114"/>
      <c r="N374" s="114"/>
      <c r="O374" s="114"/>
    </row>
    <row r="375" spans="4:16" ht="12.75" customHeight="1" x14ac:dyDescent="0.25">
      <c r="D375" s="143">
        <v>83300</v>
      </c>
      <c r="E375" s="115" t="s">
        <v>1076</v>
      </c>
      <c r="F375" s="115"/>
      <c r="G375" s="114"/>
      <c r="H375" s="114"/>
      <c r="I375" s="114"/>
      <c r="J375" s="114"/>
      <c r="K375" s="114">
        <v>-5514</v>
      </c>
      <c r="L375" s="114">
        <v>0</v>
      </c>
      <c r="M375" s="114">
        <f>ROUND(L375*U$2,0)</f>
        <v>0</v>
      </c>
      <c r="N375" s="114">
        <f>ROUND(M375*V$2,0)</f>
        <v>0</v>
      </c>
      <c r="O375" s="114">
        <f>ROUND(N375*W$2,0)</f>
        <v>0</v>
      </c>
    </row>
    <row r="376" spans="4:16" ht="12.75" customHeight="1" x14ac:dyDescent="0.25">
      <c r="D376" s="143"/>
      <c r="E376" s="2494" t="s">
        <v>5437</v>
      </c>
      <c r="F376" s="115"/>
      <c r="G376" s="114"/>
      <c r="H376" s="114"/>
      <c r="I376" s="114"/>
      <c r="J376" s="114"/>
      <c r="K376" s="114"/>
      <c r="L376" s="114">
        <v>-1929</v>
      </c>
      <c r="M376" s="114">
        <v>-1929</v>
      </c>
      <c r="N376" s="114">
        <v>-1929</v>
      </c>
      <c r="O376" s="114">
        <v>-1929</v>
      </c>
      <c r="P376" s="115" t="s">
        <v>5438</v>
      </c>
    </row>
    <row r="377" spans="4:16" ht="12.75" customHeight="1" x14ac:dyDescent="0.25">
      <c r="D377" s="143"/>
      <c r="E377" s="2494" t="s">
        <v>5433</v>
      </c>
      <c r="F377" s="115"/>
      <c r="G377" s="114"/>
      <c r="H377" s="114"/>
      <c r="I377" s="114"/>
      <c r="J377" s="114"/>
      <c r="K377" s="114"/>
      <c r="L377" s="114">
        <v>-1540</v>
      </c>
      <c r="M377" s="114">
        <f t="shared" ref="M377:O380" si="38">ROUND(L377*U$2,0)</f>
        <v>-1575</v>
      </c>
      <c r="N377" s="114">
        <f t="shared" si="38"/>
        <v>-1611</v>
      </c>
      <c r="O377" s="114">
        <f t="shared" si="38"/>
        <v>-1648</v>
      </c>
    </row>
    <row r="378" spans="4:16" ht="12.75" customHeight="1" x14ac:dyDescent="0.25">
      <c r="D378" s="143"/>
      <c r="E378" s="2494" t="s">
        <v>5434</v>
      </c>
      <c r="F378" s="115"/>
      <c r="G378" s="114"/>
      <c r="H378" s="114"/>
      <c r="I378" s="114"/>
      <c r="J378" s="114"/>
      <c r="K378" s="114"/>
      <c r="L378" s="114">
        <v>-1967.62</v>
      </c>
      <c r="M378" s="114">
        <f t="shared" si="38"/>
        <v>-2013</v>
      </c>
      <c r="N378" s="114">
        <f t="shared" si="38"/>
        <v>-2059</v>
      </c>
      <c r="O378" s="114">
        <f t="shared" si="38"/>
        <v>-2106</v>
      </c>
    </row>
    <row r="379" spans="4:16" ht="12.75" customHeight="1" x14ac:dyDescent="0.25">
      <c r="D379" s="143"/>
      <c r="E379" s="2494" t="s">
        <v>5435</v>
      </c>
      <c r="F379" s="115"/>
      <c r="G379" s="114"/>
      <c r="H379" s="114"/>
      <c r="I379" s="114"/>
      <c r="J379" s="114"/>
      <c r="K379" s="114"/>
      <c r="L379" s="114">
        <v>-5394.39</v>
      </c>
      <c r="M379" s="114">
        <f t="shared" si="38"/>
        <v>-5518</v>
      </c>
      <c r="N379" s="114">
        <f t="shared" si="38"/>
        <v>-5645</v>
      </c>
      <c r="O379" s="114">
        <f t="shared" si="38"/>
        <v>-5775</v>
      </c>
    </row>
    <row r="380" spans="4:16" ht="12.75" customHeight="1" x14ac:dyDescent="0.25">
      <c r="D380" s="143"/>
      <c r="E380" s="2494" t="s">
        <v>5436</v>
      </c>
      <c r="F380" s="115"/>
      <c r="G380" s="114"/>
      <c r="H380" s="114"/>
      <c r="I380" s="114"/>
      <c r="J380" s="114"/>
      <c r="K380" s="114"/>
      <c r="L380" s="114">
        <v>-680</v>
      </c>
      <c r="M380" s="114">
        <f t="shared" si="38"/>
        <v>-696</v>
      </c>
      <c r="N380" s="114">
        <f t="shared" si="38"/>
        <v>-712</v>
      </c>
      <c r="O380" s="114">
        <f t="shared" si="38"/>
        <v>-728</v>
      </c>
    </row>
    <row r="381" spans="4:16" ht="12.75" customHeight="1" thickBot="1" x14ac:dyDescent="0.3">
      <c r="D381" s="384"/>
      <c r="E381" s="601" t="str">
        <f>"Totaal "&amp;D375</f>
        <v>Totaal 83300</v>
      </c>
      <c r="F381" s="115"/>
      <c r="G381" s="114"/>
      <c r="H381" s="114"/>
      <c r="I381" s="114"/>
      <c r="J381" s="114"/>
      <c r="K381" s="1744">
        <v>-5514</v>
      </c>
      <c r="L381" s="1744">
        <f>SUM(L375:L380)</f>
        <v>-11511.01</v>
      </c>
      <c r="M381" s="1744">
        <f>+SUM(M376:M380)</f>
        <v>-11731</v>
      </c>
      <c r="N381" s="1744">
        <f t="shared" ref="N381:O381" si="39">+SUM(N376:N380)</f>
        <v>-11956</v>
      </c>
      <c r="O381" s="1744">
        <f t="shared" si="39"/>
        <v>-12186</v>
      </c>
    </row>
    <row r="382" spans="4:16" ht="12.75" customHeight="1" thickTop="1" x14ac:dyDescent="0.25">
      <c r="D382" s="384"/>
      <c r="E382" s="601"/>
      <c r="F382" s="115"/>
      <c r="G382" s="114"/>
      <c r="H382" s="114"/>
      <c r="I382" s="114"/>
      <c r="J382" s="114"/>
      <c r="K382" s="114"/>
      <c r="L382" s="114"/>
      <c r="M382" s="114"/>
      <c r="N382" s="114"/>
      <c r="O382" s="114"/>
    </row>
    <row r="383" spans="4:16" ht="12.75" customHeight="1" x14ac:dyDescent="0.25">
      <c r="D383" s="384"/>
      <c r="E383" s="601"/>
      <c r="F383" s="115"/>
      <c r="G383" s="114"/>
      <c r="H383" s="114"/>
      <c r="I383" s="114"/>
      <c r="J383" s="114"/>
      <c r="K383" s="114"/>
      <c r="L383" s="114"/>
      <c r="M383" s="114"/>
      <c r="N383" s="114"/>
      <c r="O383" s="114"/>
    </row>
    <row r="384" spans="4:16" ht="12.75" customHeight="1" x14ac:dyDescent="0.25">
      <c r="D384" s="393">
        <v>603002</v>
      </c>
      <c r="E384" s="381" t="s">
        <v>982</v>
      </c>
      <c r="F384" s="115"/>
      <c r="G384" s="1618"/>
      <c r="H384" s="1618"/>
      <c r="I384" s="1618"/>
      <c r="J384" s="1618"/>
      <c r="K384" s="1276">
        <v>2026</v>
      </c>
      <c r="L384" s="1276">
        <v>2027</v>
      </c>
      <c r="M384" s="1276">
        <v>2028</v>
      </c>
      <c r="N384" s="1276">
        <v>2029</v>
      </c>
      <c r="O384" s="1276">
        <v>2030</v>
      </c>
    </row>
    <row r="385" spans="4:15" ht="12.75" customHeight="1" x14ac:dyDescent="0.25">
      <c r="D385" s="393"/>
      <c r="E385" s="383" t="s">
        <v>554</v>
      </c>
      <c r="F385" s="115"/>
      <c r="G385" s="1618"/>
      <c r="H385" s="1618"/>
      <c r="I385" s="1618"/>
      <c r="J385" s="1618"/>
      <c r="K385" s="1618"/>
      <c r="L385" s="1618"/>
      <c r="M385" s="1618"/>
      <c r="N385" s="1618"/>
      <c r="O385" s="1618"/>
    </row>
    <row r="386" spans="4:15" ht="12.75" customHeight="1" x14ac:dyDescent="0.25">
      <c r="D386" s="143">
        <v>83600</v>
      </c>
      <c r="E386" s="490" t="s">
        <v>1077</v>
      </c>
      <c r="F386" s="115"/>
      <c r="G386" s="114"/>
      <c r="H386" s="114"/>
      <c r="I386" s="114"/>
      <c r="J386" s="114"/>
      <c r="K386" s="114">
        <v>-2880</v>
      </c>
      <c r="L386" s="114">
        <v>-2960.39</v>
      </c>
      <c r="M386" s="114">
        <f>ROUND(L386*U$2,0)</f>
        <v>-3028</v>
      </c>
      <c r="N386" s="114">
        <f>ROUND(M386*V$2,0)</f>
        <v>-3098</v>
      </c>
      <c r="O386" s="114">
        <f>ROUND(N386*W$2,0)</f>
        <v>-3169</v>
      </c>
    </row>
    <row r="387" spans="4:15" ht="12.75" customHeight="1" thickBot="1" x14ac:dyDescent="0.3">
      <c r="D387" s="143"/>
      <c r="E387" s="306" t="s">
        <v>1078</v>
      </c>
      <c r="F387" s="115"/>
      <c r="G387" s="114"/>
      <c r="H387" s="114"/>
      <c r="I387" s="114"/>
      <c r="J387" s="114"/>
      <c r="K387" s="1744">
        <v>-2880</v>
      </c>
      <c r="L387" s="1744">
        <f>SUM(L386)</f>
        <v>-2960.39</v>
      </c>
      <c r="M387" s="1744">
        <f>SUM(M386)</f>
        <v>-3028</v>
      </c>
      <c r="N387" s="1744">
        <f>SUM(N386)</f>
        <v>-3098</v>
      </c>
      <c r="O387" s="1744">
        <f>SUM(O386)</f>
        <v>-3169</v>
      </c>
    </row>
    <row r="388" spans="4:15" ht="12.75" customHeight="1" thickTop="1" x14ac:dyDescent="0.25">
      <c r="D388" s="143"/>
      <c r="E388" s="306"/>
      <c r="F388" s="115"/>
      <c r="G388" s="114"/>
      <c r="H388" s="114"/>
      <c r="I388" s="114"/>
      <c r="J388" s="114"/>
      <c r="K388" s="114"/>
      <c r="L388" s="114"/>
      <c r="M388" s="114"/>
      <c r="N388" s="114"/>
      <c r="O388" s="114"/>
    </row>
    <row r="389" spans="4:15" ht="12.75" customHeight="1" x14ac:dyDescent="0.25">
      <c r="D389" s="143"/>
      <c r="E389" s="601" t="s">
        <v>1079</v>
      </c>
      <c r="F389" s="399"/>
      <c r="G389" s="114"/>
      <c r="H389" s="114"/>
      <c r="I389" s="114"/>
    </row>
    <row r="390" spans="4:15" ht="12.75" customHeight="1" x14ac:dyDescent="0.25">
      <c r="D390" s="143"/>
      <c r="E390" s="1619" t="s">
        <v>1022</v>
      </c>
      <c r="F390" s="399"/>
      <c r="G390" s="114"/>
      <c r="H390" s="114"/>
      <c r="I390" s="114"/>
    </row>
    <row r="391" spans="4:15" ht="12.75" customHeight="1" x14ac:dyDescent="0.25">
      <c r="D391" s="143"/>
      <c r="E391" s="1619" t="s">
        <v>1023</v>
      </c>
      <c r="F391" s="399"/>
      <c r="G391" s="114"/>
      <c r="H391" s="114"/>
      <c r="I391" s="114"/>
    </row>
    <row r="392" spans="4:15" ht="12.75" customHeight="1" x14ac:dyDescent="0.25">
      <c r="D392" s="143"/>
      <c r="E392" s="1619" t="s">
        <v>1024</v>
      </c>
      <c r="F392" s="399"/>
      <c r="G392" s="114"/>
      <c r="H392" s="114"/>
      <c r="I392" s="114"/>
    </row>
    <row r="393" spans="4:15" ht="12.75" customHeight="1" x14ac:dyDescent="0.25">
      <c r="D393" s="143"/>
      <c r="E393" s="306"/>
      <c r="F393" s="115"/>
      <c r="G393" s="114"/>
      <c r="H393" s="114"/>
      <c r="I393" s="114"/>
    </row>
    <row r="394" spans="4:15" ht="12.75" customHeight="1" x14ac:dyDescent="0.25">
      <c r="D394" s="393">
        <v>603004</v>
      </c>
      <c r="E394" s="410" t="s">
        <v>986</v>
      </c>
      <c r="F394" s="115"/>
      <c r="G394" s="114"/>
      <c r="H394" s="114"/>
      <c r="I394" s="114"/>
    </row>
    <row r="395" spans="4:15" ht="12.75" customHeight="1" x14ac:dyDescent="0.25">
      <c r="D395" s="393"/>
      <c r="E395" s="397" t="s">
        <v>554</v>
      </c>
      <c r="F395" s="115"/>
      <c r="G395" s="114"/>
      <c r="H395" s="114"/>
      <c r="I395" s="114"/>
    </row>
    <row r="396" spans="4:15" ht="12.75" customHeight="1" x14ac:dyDescent="0.25">
      <c r="D396" s="143">
        <v>83600</v>
      </c>
      <c r="E396" s="115" t="s">
        <v>1080</v>
      </c>
      <c r="F396" s="115"/>
      <c r="G396" s="114"/>
      <c r="H396" s="114"/>
      <c r="I396" s="114"/>
    </row>
    <row r="397" spans="4:15" ht="12.75" customHeight="1" x14ac:dyDescent="0.25">
      <c r="D397" s="143"/>
      <c r="E397" s="115"/>
      <c r="F397" s="115"/>
      <c r="G397" s="114"/>
      <c r="H397" s="114"/>
      <c r="I397" s="114"/>
    </row>
    <row r="398" spans="4:15" ht="12.75" customHeight="1" x14ac:dyDescent="0.25">
      <c r="D398" s="393">
        <v>603006</v>
      </c>
      <c r="E398" s="381" t="s">
        <v>1016</v>
      </c>
      <c r="F398" s="381"/>
      <c r="G398" s="114"/>
      <c r="H398" s="114"/>
      <c r="I398" s="114"/>
    </row>
    <row r="399" spans="4:15" ht="12.75" customHeight="1" x14ac:dyDescent="0.25">
      <c r="D399" s="143"/>
      <c r="E399" s="383" t="s">
        <v>554</v>
      </c>
      <c r="F399" s="115"/>
      <c r="G399" s="114"/>
      <c r="H399" s="114"/>
      <c r="I399" s="114"/>
    </row>
    <row r="400" spans="4:15" ht="12.75" customHeight="1" x14ac:dyDescent="0.25">
      <c r="D400" s="143"/>
      <c r="E400" s="115" t="s">
        <v>1081</v>
      </c>
      <c r="F400" s="115"/>
      <c r="G400" s="114"/>
      <c r="H400" s="114"/>
      <c r="I400" s="114"/>
    </row>
    <row r="401" spans="4:15" ht="12.75" customHeight="1" x14ac:dyDescent="0.25">
      <c r="D401" s="143"/>
      <c r="E401" s="115" t="s">
        <v>1082</v>
      </c>
      <c r="F401" s="115"/>
      <c r="G401" s="114"/>
      <c r="H401" s="114"/>
      <c r="I401" s="114"/>
    </row>
    <row r="402" spans="4:15" ht="12.75" customHeight="1" x14ac:dyDescent="0.25">
      <c r="D402" s="143"/>
      <c r="E402" s="115"/>
      <c r="F402" s="115"/>
      <c r="G402" s="114"/>
      <c r="H402" s="114"/>
      <c r="I402" s="114"/>
    </row>
    <row r="403" spans="4:15" ht="12.75" customHeight="1" x14ac:dyDescent="0.25">
      <c r="D403" s="393">
        <v>603015</v>
      </c>
      <c r="E403" s="381" t="s">
        <v>1003</v>
      </c>
      <c r="F403" s="115"/>
      <c r="G403" s="1618"/>
      <c r="H403" s="1618"/>
      <c r="I403" s="1618"/>
      <c r="J403" s="1618"/>
      <c r="K403" s="1276">
        <v>2026</v>
      </c>
      <c r="L403" s="1276">
        <v>2027</v>
      </c>
      <c r="M403" s="1276">
        <v>2028</v>
      </c>
      <c r="N403" s="1276">
        <v>2029</v>
      </c>
      <c r="O403" s="1276">
        <v>2030</v>
      </c>
    </row>
    <row r="404" spans="4:15" ht="12.75" customHeight="1" x14ac:dyDescent="0.25">
      <c r="D404" s="393"/>
      <c r="E404" s="383" t="s">
        <v>554</v>
      </c>
      <c r="F404" s="115"/>
      <c r="G404" s="114"/>
      <c r="H404" s="114"/>
      <c r="I404" s="114"/>
      <c r="J404" s="114"/>
      <c r="K404" s="114"/>
      <c r="L404" s="114"/>
      <c r="M404" s="114"/>
      <c r="N404" s="114"/>
      <c r="O404" s="114"/>
    </row>
    <row r="405" spans="4:15" ht="12.75" customHeight="1" x14ac:dyDescent="0.25">
      <c r="D405" s="143">
        <v>83100</v>
      </c>
      <c r="E405" s="115" t="s">
        <v>1083</v>
      </c>
      <c r="F405" s="115"/>
      <c r="G405" s="114"/>
      <c r="H405" s="114"/>
      <c r="I405" s="114"/>
      <c r="J405" s="114"/>
      <c r="K405" s="114">
        <v>-98400</v>
      </c>
      <c r="L405" s="114">
        <f>ROUND(K405*T$2,-2)</f>
        <v>-100500</v>
      </c>
      <c r="M405" s="114">
        <f>ROUND(L405*U$2,-2)</f>
        <v>-102800</v>
      </c>
      <c r="N405" s="114">
        <f>ROUND(M405*V$2,-2)</f>
        <v>-105200</v>
      </c>
      <c r="O405" s="114">
        <f>ROUND(N405*W$2,-2)</f>
        <v>-107600</v>
      </c>
    </row>
    <row r="406" spans="4:15" ht="12.75" customHeight="1" thickBot="1" x14ac:dyDescent="0.3">
      <c r="E406" s="115" t="str">
        <f>"Totaal "&amp;D405</f>
        <v>Totaal 83100</v>
      </c>
      <c r="F406" s="115"/>
      <c r="G406" s="114"/>
      <c r="H406" s="114"/>
      <c r="I406" s="114"/>
      <c r="J406" s="114"/>
      <c r="K406" s="1744">
        <v>-98400</v>
      </c>
      <c r="L406" s="1744">
        <f>SUM(L405:L405)</f>
        <v>-100500</v>
      </c>
      <c r="M406" s="1744">
        <f>SUM(M405:M405)</f>
        <v>-102800</v>
      </c>
      <c r="N406" s="1744">
        <f>SUM(N405:N405)</f>
        <v>-105200</v>
      </c>
      <c r="O406" s="1744">
        <f>SUM(O405:O405)</f>
        <v>-107600</v>
      </c>
    </row>
    <row r="407" spans="4:15" ht="12.75" customHeight="1" thickTop="1" x14ac:dyDescent="0.25">
      <c r="E407" s="399"/>
      <c r="F407" s="399"/>
      <c r="G407" s="399"/>
      <c r="H407" s="399"/>
      <c r="I407" s="399"/>
    </row>
    <row r="408" spans="4:15" ht="12.75" customHeight="1" x14ac:dyDescent="0.25">
      <c r="E408" s="2522" t="s">
        <v>1084</v>
      </c>
      <c r="F408" s="2522"/>
      <c r="G408" s="2522"/>
      <c r="H408" s="2522"/>
      <c r="I408" s="2522"/>
      <c r="J408" s="2522"/>
    </row>
    <row r="409" spans="4:15" ht="12.75" customHeight="1" x14ac:dyDescent="0.25">
      <c r="E409" s="2522"/>
      <c r="F409" s="2522"/>
      <c r="G409" s="2522"/>
      <c r="H409" s="2522"/>
      <c r="I409" s="2522"/>
      <c r="J409" s="2522"/>
    </row>
    <row r="410" spans="4:15" ht="12.75" customHeight="1" x14ac:dyDescent="0.25">
      <c r="E410" s="2522"/>
      <c r="F410" s="2522"/>
      <c r="G410" s="2522"/>
      <c r="H410" s="2522"/>
      <c r="I410" s="2522"/>
      <c r="J410" s="2522"/>
    </row>
  </sheetData>
  <mergeCells count="9">
    <mergeCell ref="E341:G342"/>
    <mergeCell ref="E303:I303"/>
    <mergeCell ref="E408:J410"/>
    <mergeCell ref="D71:D72"/>
    <mergeCell ref="G71:H72"/>
    <mergeCell ref="F71:F72"/>
    <mergeCell ref="E301:I302"/>
    <mergeCell ref="E293:H294"/>
    <mergeCell ref="E251:M254"/>
  </mergeCells>
  <hyperlinks>
    <hyperlink ref="A1" location="Inhoudsopgave!A1" display="Inhoudsopgave" xr:uid="{7FADB149-BABE-4640-A489-2C16D613A567}"/>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4" manualBreakCount="4">
    <brk id="68" min="3" max="14" man="1"/>
    <brk id="148" min="3" max="14" man="1"/>
    <brk id="244" min="3" max="14" man="1"/>
    <brk id="328" min="3" max="14" man="1"/>
  </rowBreaks>
  <ignoredErrors>
    <ignoredError sqref="L161:M161"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19C0-9FE2-4715-9BF9-9BE338E778C6}">
  <sheetPr codeName="Blad5"/>
  <dimension ref="A1:AF1310"/>
  <sheetViews>
    <sheetView showGridLines="0" view="pageBreakPreview" topLeftCell="A801" zoomScaleNormal="100" zoomScaleSheetLayoutView="100" workbookViewId="0">
      <selection activeCell="G36" sqref="G36:O36"/>
    </sheetView>
  </sheetViews>
  <sheetFormatPr defaultColWidth="9.109375" defaultRowHeight="12.75" customHeight="1" x14ac:dyDescent="0.25"/>
  <cols>
    <col min="1" max="1" width="10.109375" style="1440" bestFit="1" customWidth="1"/>
    <col min="2" max="2" width="9.109375" style="1434"/>
    <col min="3" max="3" width="16.33203125" style="1435" customWidth="1"/>
    <col min="4" max="4" width="9.6640625" style="1436" customWidth="1"/>
    <col min="5" max="6" width="9.6640625" style="1437" customWidth="1"/>
    <col min="7" max="9" width="12.6640625" style="1434" customWidth="1"/>
    <col min="10" max="14" width="11.6640625" style="1434" customWidth="1"/>
    <col min="15" max="15" width="11.33203125" style="1434" customWidth="1"/>
    <col min="16" max="16" width="12.88671875" style="1434" customWidth="1"/>
    <col min="17" max="19" width="16.5546875" style="117" customWidth="1"/>
    <col min="20" max="20" width="10.44140625" style="117" customWidth="1"/>
    <col min="21" max="21" width="14" style="117" bestFit="1" customWidth="1"/>
    <col min="22" max="26" width="12.88671875" style="117" bestFit="1" customWidth="1"/>
    <col min="27" max="27" width="9.109375" style="117"/>
    <col min="28" max="29" width="9.109375" style="1434"/>
    <col min="30" max="30" width="12.6640625" style="1434" customWidth="1"/>
    <col min="31" max="32" width="11.88671875" style="1434" customWidth="1"/>
    <col min="33" max="16384" width="9.109375" style="1434"/>
  </cols>
  <sheetData>
    <row r="1" spans="1:23" ht="12.75" customHeight="1" x14ac:dyDescent="0.25">
      <c r="A1" s="165" t="s">
        <v>0</v>
      </c>
      <c r="P1" s="17"/>
      <c r="Q1" s="18">
        <v>2024</v>
      </c>
      <c r="R1" s="794">
        <v>2025</v>
      </c>
      <c r="S1" s="794">
        <v>2026</v>
      </c>
      <c r="T1" s="794">
        <v>2027</v>
      </c>
      <c r="U1" s="794">
        <v>2028</v>
      </c>
      <c r="V1" s="794">
        <v>2029</v>
      </c>
      <c r="W1" s="794">
        <v>2030</v>
      </c>
    </row>
    <row r="2" spans="1:23" ht="12.75" customHeight="1" x14ac:dyDescent="0.25">
      <c r="A2" s="1438"/>
      <c r="B2" s="1439"/>
      <c r="D2" s="1436" t="s">
        <v>504</v>
      </c>
      <c r="H2" s="1434" t="s">
        <v>1085</v>
      </c>
      <c r="P2" s="117"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A3" s="1438"/>
      <c r="B3" s="1439"/>
      <c r="P3" s="117"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D4" s="1436" t="s">
        <v>66</v>
      </c>
      <c r="H4" s="1434" t="s">
        <v>1086</v>
      </c>
      <c r="S4" s="307">
        <f>+Indexering!I6</f>
        <v>1.0228200000000001</v>
      </c>
      <c r="T4" s="307">
        <f>+Indexering!J6</f>
        <v>1.03213</v>
      </c>
      <c r="U4" s="307">
        <f>+Indexering!K6</f>
        <v>1.0304199999999999</v>
      </c>
      <c r="V4" s="307">
        <f>+Indexering!L6</f>
        <v>1.0304199999999999</v>
      </c>
      <c r="W4" s="307">
        <f>+Indexering!M6</f>
        <v>1.0304199999999999</v>
      </c>
    </row>
    <row r="5" spans="1:23" ht="12.75" customHeight="1" x14ac:dyDescent="0.25">
      <c r="H5" s="1441"/>
    </row>
    <row r="31" spans="4:16" ht="12.75" customHeight="1" x14ac:dyDescent="0.25">
      <c r="D31" s="452" t="s">
        <v>507</v>
      </c>
      <c r="E31" s="652"/>
      <c r="F31" s="652"/>
      <c r="G31" s="653"/>
      <c r="H31" s="653"/>
      <c r="I31" s="653"/>
      <c r="J31" s="653"/>
      <c r="K31" s="653"/>
      <c r="L31" s="653"/>
      <c r="M31" s="653"/>
      <c r="N31" s="653"/>
      <c r="O31" s="653"/>
      <c r="P31" s="653"/>
    </row>
    <row r="32" spans="4:16" ht="12.75" customHeight="1" x14ac:dyDescent="0.25">
      <c r="D32" s="652"/>
      <c r="E32" s="652"/>
      <c r="F32" s="652"/>
      <c r="G32" s="653"/>
      <c r="H32" s="653"/>
      <c r="I32" s="653"/>
      <c r="J32" s="653"/>
      <c r="K32" s="653"/>
      <c r="L32" s="653"/>
      <c r="M32" s="653"/>
      <c r="N32" s="653"/>
      <c r="O32" s="653"/>
      <c r="P32" s="653"/>
    </row>
    <row r="33" spans="1:32" ht="12.75" customHeight="1" x14ac:dyDescent="0.25">
      <c r="D33" s="1746" t="s">
        <v>508</v>
      </c>
      <c r="E33" s="1747"/>
      <c r="F33" s="1747"/>
      <c r="G33" s="1748"/>
      <c r="H33" s="1748"/>
      <c r="I33" s="1749"/>
      <c r="J33" s="1749">
        <v>2025</v>
      </c>
      <c r="K33" s="1749">
        <v>2026</v>
      </c>
      <c r="L33" s="1749">
        <v>2027</v>
      </c>
      <c r="M33" s="1749">
        <v>2028</v>
      </c>
      <c r="N33" s="1749">
        <v>2029</v>
      </c>
      <c r="O33" s="1749">
        <v>2030</v>
      </c>
      <c r="P33" s="527"/>
      <c r="Q33" s="549">
        <v>2026</v>
      </c>
      <c r="R33" s="549">
        <v>2027</v>
      </c>
      <c r="S33" s="549">
        <v>2028</v>
      </c>
      <c r="T33" s="549"/>
      <c r="U33" s="20"/>
      <c r="V33" s="20"/>
      <c r="W33" s="20"/>
      <c r="X33" s="20"/>
      <c r="Y33" s="20"/>
      <c r="Z33" s="20"/>
    </row>
    <row r="34" spans="1:32" ht="12.75" customHeight="1" x14ac:dyDescent="0.25">
      <c r="C34" s="1435">
        <v>1</v>
      </c>
      <c r="D34" s="1482" t="str">
        <f>G78</f>
        <v>Uitkeringen voormalig personeel</v>
      </c>
      <c r="E34" s="613"/>
      <c r="F34" s="613"/>
      <c r="G34" s="527"/>
      <c r="H34" s="527"/>
      <c r="I34" s="614"/>
      <c r="J34" s="658">
        <v>12252</v>
      </c>
      <c r="K34" s="658">
        <v>12497</v>
      </c>
      <c r="L34" s="658">
        <f>L81</f>
        <v>13022</v>
      </c>
      <c r="M34" s="658">
        <f>M81</f>
        <v>13504</v>
      </c>
      <c r="N34" s="658">
        <f>N81</f>
        <v>14004</v>
      </c>
      <c r="O34" s="658">
        <f>O81</f>
        <v>14522</v>
      </c>
      <c r="P34" s="666"/>
      <c r="AB34" s="117"/>
      <c r="AC34" s="117"/>
      <c r="AD34" s="117"/>
      <c r="AE34" s="21"/>
      <c r="AF34" s="117"/>
    </row>
    <row r="35" spans="1:32" ht="12.75" customHeight="1" x14ac:dyDescent="0.25">
      <c r="C35" s="1435">
        <v>1</v>
      </c>
      <c r="D35" s="1482" t="str">
        <f>G83</f>
        <v>Overige personeelslasten - niet direct toewijsbaar</v>
      </c>
      <c r="E35" s="613"/>
      <c r="F35" s="613"/>
      <c r="G35" s="527"/>
      <c r="H35" s="527"/>
      <c r="I35" s="614"/>
      <c r="J35" s="658">
        <v>1533016</v>
      </c>
      <c r="K35" s="658">
        <v>1560677</v>
      </c>
      <c r="L35" s="658">
        <f>L108</f>
        <v>1703684</v>
      </c>
      <c r="M35" s="658">
        <f>M108</f>
        <v>1864227</v>
      </c>
      <c r="N35" s="658">
        <f>N108</f>
        <v>2034638</v>
      </c>
      <c r="O35" s="658">
        <f>O108</f>
        <v>2178921.5</v>
      </c>
      <c r="P35" s="666"/>
      <c r="AB35" s="117"/>
      <c r="AC35" s="117"/>
      <c r="AD35" s="117"/>
      <c r="AE35" s="21"/>
      <c r="AF35" s="117"/>
    </row>
    <row r="36" spans="1:32" ht="12.75" customHeight="1" x14ac:dyDescent="0.25">
      <c r="C36" s="1435">
        <v>1</v>
      </c>
      <c r="D36" s="654" t="str">
        <f>G110</f>
        <v>Lokaal arbeidsvoorwaardenbeleid</v>
      </c>
      <c r="E36" s="655"/>
      <c r="F36" s="656"/>
      <c r="G36" s="2306"/>
      <c r="H36" s="2306"/>
      <c r="I36" s="2307"/>
      <c r="J36" s="2308">
        <v>431904</v>
      </c>
      <c r="K36" s="2308">
        <v>392217</v>
      </c>
      <c r="L36" s="2308">
        <f>L113</f>
        <v>410906</v>
      </c>
      <c r="M36" s="2308">
        <f>M113</f>
        <v>428229</v>
      </c>
      <c r="N36" s="2308">
        <f>N113</f>
        <v>446205.51855026698</v>
      </c>
      <c r="O36" s="2308">
        <f>O113</f>
        <v>464860.60451877041</v>
      </c>
      <c r="P36" s="666"/>
      <c r="AB36" s="117"/>
      <c r="AC36" s="117"/>
      <c r="AD36" s="117"/>
      <c r="AE36" s="21"/>
      <c r="AF36" s="117"/>
    </row>
    <row r="37" spans="1:32" ht="12.75" customHeight="1" x14ac:dyDescent="0.25">
      <c r="C37" s="1435">
        <v>1</v>
      </c>
      <c r="D37" s="1443" t="s">
        <v>1087</v>
      </c>
      <c r="E37" s="655"/>
      <c r="F37" s="656"/>
      <c r="G37" s="653"/>
      <c r="H37" s="653"/>
      <c r="I37" s="657"/>
      <c r="J37" s="118">
        <v>8504040.7630144469</v>
      </c>
      <c r="K37" s="118">
        <f>K227</f>
        <v>8105954.0152907763</v>
      </c>
      <c r="L37" s="118">
        <f t="shared" ref="L37:O37" si="0">L227</f>
        <v>8436434.025284905</v>
      </c>
      <c r="M37" s="118">
        <f t="shared" si="0"/>
        <v>8966401.1745469645</v>
      </c>
      <c r="N37" s="118">
        <f t="shared" si="0"/>
        <v>9301096.9182289355</v>
      </c>
      <c r="O37" s="118">
        <f t="shared" si="0"/>
        <v>9795314.8670814373</v>
      </c>
      <c r="P37" s="119"/>
      <c r="Q37" s="117">
        <v>8970431</v>
      </c>
      <c r="R37" s="117">
        <v>9214340</v>
      </c>
      <c r="S37" s="117">
        <v>9573708</v>
      </c>
      <c r="AB37" s="117"/>
      <c r="AC37" s="117"/>
      <c r="AD37" s="117"/>
      <c r="AE37" s="21"/>
      <c r="AF37" s="21"/>
    </row>
    <row r="38" spans="1:32" ht="12.75" customHeight="1" x14ac:dyDescent="0.25">
      <c r="C38" s="1435">
        <v>1</v>
      </c>
      <c r="D38" s="654" t="s">
        <v>1088</v>
      </c>
      <c r="E38" s="655"/>
      <c r="F38" s="656"/>
      <c r="G38" s="653"/>
      <c r="H38" s="653"/>
      <c r="I38" s="657"/>
      <c r="J38" s="120">
        <v>97524</v>
      </c>
      <c r="K38" s="120">
        <v>81255</v>
      </c>
      <c r="L38" s="120">
        <f>+L124</f>
        <v>82961</v>
      </c>
      <c r="M38" s="120">
        <f>+M124</f>
        <v>84869</v>
      </c>
      <c r="N38" s="120">
        <f>+N124</f>
        <v>86821</v>
      </c>
      <c r="O38" s="120">
        <f>+O124</f>
        <v>88818</v>
      </c>
      <c r="P38" s="121"/>
      <c r="Q38" s="133">
        <f>+Q37-K37</f>
        <v>864476.98470922373</v>
      </c>
      <c r="R38" s="133">
        <f>+R37-L37</f>
        <v>777905.97471509501</v>
      </c>
      <c r="S38" s="133">
        <f>+S37-M37</f>
        <v>607306.82545303553</v>
      </c>
      <c r="V38" s="21"/>
      <c r="W38" s="21"/>
    </row>
    <row r="39" spans="1:32" ht="12.75" customHeight="1" x14ac:dyDescent="0.25">
      <c r="C39" s="1435">
        <v>1</v>
      </c>
      <c r="D39" s="654" t="str">
        <f>G127</f>
        <v>Financiele administratie</v>
      </c>
      <c r="E39" s="655"/>
      <c r="F39" s="656"/>
      <c r="G39" s="653"/>
      <c r="H39" s="653"/>
      <c r="I39" s="657"/>
      <c r="J39" s="120">
        <v>89292</v>
      </c>
      <c r="K39" s="120">
        <v>87016</v>
      </c>
      <c r="L39" s="120">
        <f>L131</f>
        <v>89368</v>
      </c>
      <c r="M39" s="120">
        <f>M131</f>
        <v>91788</v>
      </c>
      <c r="N39" s="120">
        <f>N131</f>
        <v>94278</v>
      </c>
      <c r="O39" s="120">
        <f>O131</f>
        <v>96839</v>
      </c>
      <c r="P39" s="121"/>
      <c r="Q39" s="133"/>
      <c r="R39" s="133"/>
      <c r="S39" s="133"/>
      <c r="T39" s="133"/>
      <c r="U39" s="133"/>
      <c r="V39" s="21"/>
      <c r="W39" s="21"/>
      <c r="AA39" s="133"/>
    </row>
    <row r="40" spans="1:32" ht="12.75" customHeight="1" x14ac:dyDescent="0.25">
      <c r="C40" s="1435">
        <v>1</v>
      </c>
      <c r="D40" s="654" t="str">
        <f>G133</f>
        <v>Financieel Beleid</v>
      </c>
      <c r="E40" s="655"/>
      <c r="F40" s="656"/>
      <c r="G40" s="653"/>
      <c r="H40" s="653"/>
      <c r="I40" s="657"/>
      <c r="J40" s="120">
        <v>13701</v>
      </c>
      <c r="K40" s="120">
        <v>10000</v>
      </c>
      <c r="L40" s="120">
        <f>L136</f>
        <v>10420</v>
      </c>
      <c r="M40" s="120">
        <f>M136</f>
        <v>10806</v>
      </c>
      <c r="N40" s="120">
        <f>N136</f>
        <v>11206</v>
      </c>
      <c r="O40" s="120">
        <f>O136</f>
        <v>11621</v>
      </c>
      <c r="P40" s="121"/>
      <c r="Q40" s="133"/>
      <c r="R40" s="133"/>
      <c r="S40" s="133"/>
      <c r="T40" s="133"/>
      <c r="U40" s="133"/>
      <c r="V40" s="21"/>
      <c r="W40" s="21"/>
      <c r="AA40" s="133"/>
      <c r="AB40" s="117"/>
      <c r="AC40" s="117"/>
      <c r="AD40" s="117"/>
      <c r="AE40" s="21"/>
      <c r="AF40" s="21"/>
    </row>
    <row r="41" spans="1:32" ht="12.75" customHeight="1" x14ac:dyDescent="0.25">
      <c r="C41" s="1435">
        <v>1</v>
      </c>
      <c r="D41" s="654" t="str">
        <f>G138</f>
        <v>Communicatie</v>
      </c>
      <c r="E41" s="655"/>
      <c r="F41" s="656"/>
      <c r="G41" s="653"/>
      <c r="H41" s="653"/>
      <c r="I41" s="661"/>
      <c r="J41" s="120">
        <v>177867</v>
      </c>
      <c r="K41" s="120">
        <v>168830</v>
      </c>
      <c r="L41" s="120">
        <f>L141</f>
        <v>171703</v>
      </c>
      <c r="M41" s="120">
        <f>M141</f>
        <v>175183</v>
      </c>
      <c r="N41" s="120">
        <f>N141</f>
        <v>178727</v>
      </c>
      <c r="O41" s="120">
        <f>O141</f>
        <v>182334</v>
      </c>
      <c r="P41" s="121"/>
      <c r="Q41" s="20"/>
      <c r="R41" s="20"/>
      <c r="S41" s="20"/>
      <c r="T41" s="20"/>
      <c r="V41" s="21"/>
      <c r="W41" s="21"/>
      <c r="AA41" s="133"/>
      <c r="AB41" s="117"/>
      <c r="AC41" s="117"/>
      <c r="AD41" s="117"/>
      <c r="AE41" s="21"/>
      <c r="AF41" s="21"/>
    </row>
    <row r="42" spans="1:32" ht="12.75" customHeight="1" x14ac:dyDescent="0.25">
      <c r="C42" s="1435">
        <v>1</v>
      </c>
      <c r="D42" s="654" t="str">
        <f>G143</f>
        <v>Advertentiekosten</v>
      </c>
      <c r="E42" s="655"/>
      <c r="F42" s="656"/>
      <c r="G42" s="653"/>
      <c r="H42" s="653"/>
      <c r="I42" s="657"/>
      <c r="J42" s="120">
        <v>9388</v>
      </c>
      <c r="K42" s="120">
        <v>6765</v>
      </c>
      <c r="L42" s="120">
        <f>L146</f>
        <v>6933</v>
      </c>
      <c r="M42" s="120">
        <f>M146</f>
        <v>6969</v>
      </c>
      <c r="N42" s="120">
        <f>N146</f>
        <v>7319</v>
      </c>
      <c r="O42" s="120">
        <f>O146</f>
        <v>7384</v>
      </c>
      <c r="P42" s="121"/>
      <c r="U42" s="135"/>
      <c r="V42" s="21"/>
      <c r="W42" s="21"/>
      <c r="AA42" s="133"/>
      <c r="AB42" s="117"/>
      <c r="AC42" s="117"/>
      <c r="AD42" s="117"/>
      <c r="AE42" s="21"/>
      <c r="AF42" s="21"/>
    </row>
    <row r="43" spans="1:32" ht="12.75" customHeight="1" x14ac:dyDescent="0.25">
      <c r="C43" s="1435">
        <v>1</v>
      </c>
      <c r="D43" s="654" t="str">
        <f>G153</f>
        <v>Juridische Zaken</v>
      </c>
      <c r="E43" s="655"/>
      <c r="F43" s="656"/>
      <c r="G43" s="653"/>
      <c r="H43" s="653"/>
      <c r="I43" s="657"/>
      <c r="J43" s="120">
        <v>56624.786749999999</v>
      </c>
      <c r="K43" s="120">
        <v>49116.542484999998</v>
      </c>
      <c r="L43" s="120">
        <f>L157</f>
        <v>50390.535269369997</v>
      </c>
      <c r="M43" s="120">
        <f>M157</f>
        <v>51777.842324336692</v>
      </c>
      <c r="N43" s="120">
        <f>N157</f>
        <v>52592.14611750617</v>
      </c>
      <c r="O43" s="120">
        <f>O157</f>
        <v>53987.717273853901</v>
      </c>
      <c r="P43" s="121"/>
      <c r="V43" s="21"/>
      <c r="W43" s="21"/>
      <c r="AA43" s="133"/>
      <c r="AB43" s="117"/>
      <c r="AC43" s="117"/>
      <c r="AD43" s="117"/>
      <c r="AE43" s="21"/>
      <c r="AF43" s="21"/>
    </row>
    <row r="44" spans="1:32" ht="12.75" customHeight="1" x14ac:dyDescent="0.25">
      <c r="C44" s="1435">
        <v>1</v>
      </c>
      <c r="D44" s="654" t="str">
        <f>G159</f>
        <v>Control &amp; Kwaliteit</v>
      </c>
      <c r="E44" s="655"/>
      <c r="F44" s="656"/>
      <c r="G44" s="653"/>
      <c r="H44" s="653"/>
      <c r="I44" s="657"/>
      <c r="J44" s="120">
        <v>250524</v>
      </c>
      <c r="K44" s="120">
        <v>312262</v>
      </c>
      <c r="L44" s="120">
        <f>L163</f>
        <v>318819</v>
      </c>
      <c r="M44" s="120">
        <f>M163</f>
        <v>326152</v>
      </c>
      <c r="N44" s="120">
        <f>N163</f>
        <v>333654</v>
      </c>
      <c r="O44" s="120">
        <f>O163</f>
        <v>341328</v>
      </c>
      <c r="P44" s="121"/>
      <c r="V44" s="21"/>
      <c r="W44" s="21"/>
      <c r="AA44" s="133"/>
      <c r="AE44" s="1444"/>
      <c r="AF44" s="1444"/>
    </row>
    <row r="45" spans="1:32" ht="12.75" customHeight="1" x14ac:dyDescent="0.25">
      <c r="C45" s="1435">
        <v>1</v>
      </c>
      <c r="D45" s="654" t="str">
        <f>G165</f>
        <v>Directie</v>
      </c>
      <c r="E45" s="655"/>
      <c r="F45" s="656"/>
      <c r="G45" s="653"/>
      <c r="H45" s="653"/>
      <c r="I45" s="657"/>
      <c r="J45" s="658">
        <v>12111</v>
      </c>
      <c r="K45" s="658">
        <v>10465</v>
      </c>
      <c r="L45" s="658">
        <f>L170</f>
        <v>10685</v>
      </c>
      <c r="M45" s="658">
        <f>M170</f>
        <v>10931</v>
      </c>
      <c r="N45" s="658">
        <f>N170</f>
        <v>11182</v>
      </c>
      <c r="O45" s="658">
        <f>O170</f>
        <v>11440</v>
      </c>
      <c r="P45" s="666"/>
      <c r="V45" s="21"/>
      <c r="W45" s="21"/>
    </row>
    <row r="46" spans="1:32" ht="12.75" customHeight="1" x14ac:dyDescent="0.25">
      <c r="C46" s="1435">
        <v>1</v>
      </c>
      <c r="D46" s="654" t="str">
        <f>G172</f>
        <v>Ondernemingsraad</v>
      </c>
      <c r="E46" s="655"/>
      <c r="F46" s="656"/>
      <c r="G46" s="653"/>
      <c r="H46" s="653"/>
      <c r="I46" s="657"/>
      <c r="J46" s="120">
        <v>20567</v>
      </c>
      <c r="K46" s="120">
        <v>21102</v>
      </c>
      <c r="L46" s="120">
        <f>L175</f>
        <v>21545</v>
      </c>
      <c r="M46" s="120">
        <f>M175</f>
        <v>22041</v>
      </c>
      <c r="N46" s="120">
        <f>N175</f>
        <v>22548</v>
      </c>
      <c r="O46" s="120">
        <f>O175</f>
        <v>23067</v>
      </c>
      <c r="P46" s="121"/>
      <c r="S46" s="20"/>
      <c r="T46" s="20"/>
      <c r="U46" s="20"/>
      <c r="V46" s="21"/>
      <c r="W46" s="21"/>
    </row>
    <row r="47" spans="1:32" ht="12.75" customHeight="1" x14ac:dyDescent="0.25">
      <c r="A47" s="1442"/>
      <c r="C47" s="1435">
        <v>1</v>
      </c>
      <c r="D47" s="654" t="str">
        <f>G182</f>
        <v>Vastgoedbeheer</v>
      </c>
      <c r="E47" s="655"/>
      <c r="F47" s="656"/>
      <c r="G47" s="653"/>
      <c r="H47" s="653"/>
      <c r="I47" s="657"/>
      <c r="J47" s="120">
        <v>5007</v>
      </c>
      <c r="K47" s="120">
        <v>5147</v>
      </c>
      <c r="L47" s="120">
        <f>L185</f>
        <v>5286</v>
      </c>
      <c r="M47" s="120">
        <f>M185</f>
        <v>5440</v>
      </c>
      <c r="N47" s="120">
        <f>N185</f>
        <v>5597</v>
      </c>
      <c r="O47" s="120">
        <f>O185</f>
        <v>5726</v>
      </c>
      <c r="P47" s="121"/>
    </row>
    <row r="48" spans="1:32" ht="12.75" customHeight="1" x14ac:dyDescent="0.25">
      <c r="C48" s="1435">
        <v>1</v>
      </c>
      <c r="D48" s="654" t="s">
        <v>1089</v>
      </c>
      <c r="E48" s="655"/>
      <c r="F48" s="656"/>
      <c r="G48" s="653"/>
      <c r="H48" s="653"/>
      <c r="I48" s="657"/>
      <c r="J48" s="118">
        <v>96693</v>
      </c>
      <c r="K48" s="118">
        <v>122117</v>
      </c>
      <c r="L48" s="118">
        <f>+L191</f>
        <v>124681</v>
      </c>
      <c r="M48" s="118">
        <f>+M191</f>
        <v>127549</v>
      </c>
      <c r="N48" s="118">
        <f>+N191</f>
        <v>130483</v>
      </c>
      <c r="O48" s="118">
        <f>+O191</f>
        <v>133484</v>
      </c>
      <c r="P48" s="119"/>
      <c r="U48" s="135"/>
      <c r="AB48" s="117"/>
      <c r="AC48" s="117"/>
      <c r="AD48" s="117"/>
      <c r="AE48" s="21"/>
      <c r="AF48" s="21"/>
    </row>
    <row r="49" spans="1:32" ht="12.75" customHeight="1" x14ac:dyDescent="0.25">
      <c r="A49" s="1442"/>
      <c r="C49" s="1435">
        <v>1</v>
      </c>
      <c r="D49" s="654" t="s">
        <v>1090</v>
      </c>
      <c r="E49" s="655"/>
      <c r="F49" s="656"/>
      <c r="G49" s="653"/>
      <c r="H49" s="653"/>
      <c r="I49" s="657"/>
      <c r="J49" s="658">
        <v>106955</v>
      </c>
      <c r="K49" s="658">
        <v>132521</v>
      </c>
      <c r="L49" s="658">
        <f>+L202</f>
        <v>135304</v>
      </c>
      <c r="M49" s="658">
        <f>+M202</f>
        <v>138416</v>
      </c>
      <c r="N49" s="658">
        <f>+N202</f>
        <v>141599</v>
      </c>
      <c r="O49" s="658">
        <f>+O202</f>
        <v>144856</v>
      </c>
      <c r="P49" s="666"/>
      <c r="V49" s="21"/>
      <c r="W49" s="21"/>
    </row>
    <row r="50" spans="1:32" ht="12.75" customHeight="1" x14ac:dyDescent="0.25">
      <c r="A50" s="1442"/>
      <c r="C50" s="1435">
        <v>1</v>
      </c>
      <c r="D50" s="654" t="s">
        <v>1091</v>
      </c>
      <c r="E50" s="655"/>
      <c r="F50" s="656"/>
      <c r="G50" s="653"/>
      <c r="H50" s="653"/>
      <c r="I50" s="657"/>
      <c r="J50" s="658">
        <v>20000</v>
      </c>
      <c r="K50" s="658">
        <v>31806</v>
      </c>
      <c r="L50" s="658">
        <f t="shared" ref="L50:M50" si="1">+L196</f>
        <v>20951</v>
      </c>
      <c r="M50" s="658">
        <f t="shared" si="1"/>
        <v>42916</v>
      </c>
      <c r="N50" s="658">
        <f t="shared" ref="N50:O50" si="2">+N196</f>
        <v>21926</v>
      </c>
      <c r="O50" s="658">
        <f t="shared" si="2"/>
        <v>22430</v>
      </c>
      <c r="P50" s="666"/>
      <c r="V50" s="21"/>
      <c r="W50" s="21"/>
    </row>
    <row r="51" spans="1:32" ht="12.75" customHeight="1" x14ac:dyDescent="0.25">
      <c r="A51" s="1442"/>
      <c r="C51" s="1435">
        <v>1</v>
      </c>
      <c r="D51" s="654" t="s">
        <v>1092</v>
      </c>
      <c r="E51" s="655"/>
      <c r="F51" s="656"/>
      <c r="G51" s="653"/>
      <c r="H51" s="653"/>
      <c r="I51" s="657"/>
      <c r="J51" s="120">
        <v>154451</v>
      </c>
      <c r="K51" s="120">
        <f t="shared" ref="K51:N51" si="3">+K208</f>
        <v>258003</v>
      </c>
      <c r="L51" s="120">
        <f t="shared" si="3"/>
        <v>96232</v>
      </c>
      <c r="M51" s="120">
        <f t="shared" si="3"/>
        <v>98445</v>
      </c>
      <c r="N51" s="120">
        <f t="shared" si="3"/>
        <v>100709</v>
      </c>
      <c r="O51" s="120">
        <f t="shared" ref="O51" si="4">+O208</f>
        <v>103025</v>
      </c>
      <c r="P51" s="121"/>
      <c r="AE51" s="1444"/>
      <c r="AF51" s="1444"/>
    </row>
    <row r="52" spans="1:32" ht="12.75" customHeight="1" x14ac:dyDescent="0.25">
      <c r="D52" s="1810" t="s">
        <v>525</v>
      </c>
      <c r="E52" s="1811"/>
      <c r="F52" s="1812"/>
      <c r="G52" s="1813"/>
      <c r="H52" s="1813"/>
      <c r="I52" s="1814"/>
      <c r="J52" s="1815">
        <v>11591917.549764447</v>
      </c>
      <c r="K52" s="1815">
        <f>SUM(K34:K51)</f>
        <v>11367750.557775777</v>
      </c>
      <c r="L52" s="1815">
        <f t="shared" ref="L52:O52" si="5">SUM(L34:L51)</f>
        <v>11709324.560554275</v>
      </c>
      <c r="M52" s="1815">
        <f t="shared" si="5"/>
        <v>12465644.016871301</v>
      </c>
      <c r="N52" s="1815">
        <f t="shared" si="5"/>
        <v>12994585.582896709</v>
      </c>
      <c r="O52" s="1815">
        <f t="shared" si="5"/>
        <v>13679958.688874062</v>
      </c>
      <c r="P52" s="119"/>
    </row>
    <row r="53" spans="1:32" ht="12.75" customHeight="1" x14ac:dyDescent="0.25">
      <c r="D53" s="652"/>
      <c r="E53" s="655"/>
      <c r="F53" s="656"/>
      <c r="G53" s="653"/>
      <c r="H53" s="653"/>
      <c r="I53" s="653"/>
      <c r="J53" s="653"/>
      <c r="K53" s="653"/>
      <c r="L53" s="653"/>
      <c r="M53" s="653"/>
      <c r="N53" s="653"/>
      <c r="O53" s="653"/>
      <c r="P53" s="653"/>
    </row>
    <row r="54" spans="1:32" ht="12.75" customHeight="1" x14ac:dyDescent="0.25">
      <c r="D54" s="1746" t="s">
        <v>526</v>
      </c>
      <c r="E54" s="1747"/>
      <c r="F54" s="1747"/>
      <c r="G54" s="1748"/>
      <c r="H54" s="1748"/>
      <c r="I54" s="1749"/>
      <c r="J54" s="1749">
        <v>2025</v>
      </c>
      <c r="K54" s="1749">
        <v>2026</v>
      </c>
      <c r="L54" s="1749">
        <f>+L33</f>
        <v>2027</v>
      </c>
      <c r="M54" s="1749">
        <f>+M33</f>
        <v>2028</v>
      </c>
      <c r="N54" s="1749">
        <f>+N33</f>
        <v>2029</v>
      </c>
      <c r="O54" s="1749">
        <f>+O33</f>
        <v>2030</v>
      </c>
      <c r="P54" s="527"/>
    </row>
    <row r="55" spans="1:32" ht="12.75" customHeight="1" x14ac:dyDescent="0.25">
      <c r="C55" s="1435">
        <v>1</v>
      </c>
      <c r="D55" s="1816" t="str">
        <f>G115</f>
        <v xml:space="preserve">Terugontvangst salarissen en uitkeringen </v>
      </c>
      <c r="E55" s="1483"/>
      <c r="F55" s="1484"/>
      <c r="G55" s="1485"/>
      <c r="H55" s="1485"/>
      <c r="I55" s="657"/>
      <c r="J55" s="658">
        <v>-11404</v>
      </c>
      <c r="K55" s="658">
        <v>-11701</v>
      </c>
      <c r="L55" s="658">
        <f>L118</f>
        <v>-11947</v>
      </c>
      <c r="M55" s="658">
        <f>M118</f>
        <v>-12222</v>
      </c>
      <c r="N55" s="658">
        <f>N118</f>
        <v>-12503</v>
      </c>
      <c r="O55" s="658">
        <f>O118</f>
        <v>-12791</v>
      </c>
      <c r="P55" s="666"/>
    </row>
    <row r="56" spans="1:32" ht="12.75" customHeight="1" x14ac:dyDescent="0.25">
      <c r="D56" s="654"/>
      <c r="E56" s="655"/>
      <c r="F56" s="656"/>
      <c r="G56" s="653"/>
      <c r="H56" s="653"/>
      <c r="I56" s="657"/>
      <c r="J56" s="658"/>
      <c r="K56" s="658"/>
      <c r="L56" s="658"/>
      <c r="M56" s="658"/>
      <c r="N56" s="658"/>
      <c r="O56" s="658"/>
      <c r="P56" s="666"/>
    </row>
    <row r="57" spans="1:32" ht="12.75" customHeight="1" x14ac:dyDescent="0.25">
      <c r="A57" s="1442"/>
      <c r="D57" s="654"/>
      <c r="E57" s="655"/>
      <c r="F57" s="656"/>
      <c r="G57" s="653"/>
      <c r="H57" s="653"/>
      <c r="I57" s="657"/>
      <c r="J57" s="658"/>
      <c r="K57" s="658"/>
      <c r="L57" s="658"/>
      <c r="M57" s="658"/>
      <c r="N57" s="658"/>
      <c r="O57" s="658"/>
      <c r="P57" s="666"/>
    </row>
    <row r="58" spans="1:32" ht="12.75" customHeight="1" x14ac:dyDescent="0.25">
      <c r="D58" s="654"/>
      <c r="E58" s="655"/>
      <c r="F58" s="656"/>
      <c r="G58" s="653"/>
      <c r="H58" s="653"/>
      <c r="I58" s="657"/>
      <c r="J58" s="658"/>
      <c r="K58" s="658"/>
      <c r="L58" s="658"/>
      <c r="M58" s="658"/>
      <c r="N58" s="658"/>
      <c r="O58" s="658"/>
      <c r="P58" s="666"/>
    </row>
    <row r="59" spans="1:32" ht="12.75" customHeight="1" x14ac:dyDescent="0.25">
      <c r="D59" s="654"/>
      <c r="E59" s="655"/>
      <c r="F59" s="656"/>
      <c r="G59" s="653"/>
      <c r="H59" s="653"/>
      <c r="I59" s="657"/>
      <c r="J59" s="658"/>
      <c r="K59" s="658"/>
      <c r="L59" s="658"/>
      <c r="M59" s="658"/>
      <c r="N59" s="658"/>
      <c r="O59" s="658"/>
      <c r="P59" s="666"/>
    </row>
    <row r="60" spans="1:32" ht="12.75" customHeight="1" x14ac:dyDescent="0.25">
      <c r="D60" s="654"/>
      <c r="E60" s="655"/>
      <c r="F60" s="656"/>
      <c r="G60" s="653"/>
      <c r="H60" s="653"/>
      <c r="I60" s="657"/>
      <c r="J60" s="658"/>
      <c r="K60" s="658"/>
      <c r="L60" s="658"/>
      <c r="M60" s="658"/>
      <c r="N60" s="658"/>
      <c r="O60" s="658"/>
      <c r="P60" s="666"/>
    </row>
    <row r="61" spans="1:32" ht="12.75" customHeight="1" x14ac:dyDescent="0.25">
      <c r="D61" s="654"/>
      <c r="E61" s="655"/>
      <c r="F61" s="656"/>
      <c r="G61" s="653"/>
      <c r="H61" s="653"/>
      <c r="I61" s="657"/>
      <c r="J61" s="661"/>
      <c r="K61" s="661"/>
      <c r="L61" s="661"/>
      <c r="M61" s="661"/>
      <c r="N61" s="661"/>
      <c r="O61" s="661"/>
      <c r="P61" s="666"/>
    </row>
    <row r="62" spans="1:32" ht="12.75" customHeight="1" x14ac:dyDescent="0.25">
      <c r="D62" s="654"/>
      <c r="E62" s="655"/>
      <c r="F62" s="656"/>
      <c r="G62" s="653"/>
      <c r="H62" s="653"/>
      <c r="I62" s="657"/>
      <c r="J62" s="661"/>
      <c r="K62" s="661"/>
      <c r="L62" s="661"/>
      <c r="M62" s="661"/>
      <c r="N62" s="661"/>
      <c r="O62" s="661"/>
      <c r="P62" s="666"/>
    </row>
    <row r="63" spans="1:32" ht="12.75" customHeight="1" x14ac:dyDescent="0.25">
      <c r="D63" s="654"/>
      <c r="E63" s="655"/>
      <c r="F63" s="656"/>
      <c r="G63" s="653"/>
      <c r="H63" s="653"/>
      <c r="I63" s="657"/>
      <c r="J63" s="661"/>
      <c r="K63" s="661"/>
      <c r="L63" s="661"/>
      <c r="M63" s="661"/>
      <c r="N63" s="661"/>
      <c r="O63" s="661"/>
      <c r="P63" s="666"/>
    </row>
    <row r="64" spans="1:32" ht="12.75" customHeight="1" x14ac:dyDescent="0.25">
      <c r="D64" s="654"/>
      <c r="E64" s="655"/>
      <c r="F64" s="656"/>
      <c r="G64" s="653"/>
      <c r="H64" s="653"/>
      <c r="I64" s="657"/>
      <c r="J64" s="661"/>
      <c r="K64" s="661"/>
      <c r="L64" s="661"/>
      <c r="M64" s="661"/>
      <c r="N64" s="661"/>
      <c r="O64" s="661"/>
      <c r="P64" s="666"/>
    </row>
    <row r="65" spans="1:19" ht="12.75" customHeight="1" x14ac:dyDescent="0.25">
      <c r="D65" s="654"/>
      <c r="E65" s="655"/>
      <c r="F65" s="656"/>
      <c r="G65" s="653"/>
      <c r="H65" s="653"/>
      <c r="I65" s="657"/>
      <c r="J65" s="661"/>
      <c r="K65" s="661"/>
      <c r="L65" s="661"/>
      <c r="M65" s="661"/>
      <c r="N65" s="661"/>
      <c r="O65" s="661"/>
      <c r="P65" s="666"/>
    </row>
    <row r="66" spans="1:19" ht="12.75" customHeight="1" x14ac:dyDescent="0.25">
      <c r="D66" s="662"/>
      <c r="E66" s="663"/>
      <c r="F66" s="664"/>
      <c r="G66" s="665"/>
      <c r="H66" s="665"/>
      <c r="I66" s="657"/>
      <c r="J66" s="661"/>
      <c r="K66" s="661"/>
      <c r="L66" s="661"/>
      <c r="M66" s="661"/>
      <c r="N66" s="661"/>
      <c r="O66" s="661"/>
      <c r="P66" s="666"/>
    </row>
    <row r="67" spans="1:19" ht="12.75" customHeight="1" x14ac:dyDescent="0.25">
      <c r="D67" s="1810" t="s">
        <v>328</v>
      </c>
      <c r="E67" s="1811"/>
      <c r="F67" s="1812"/>
      <c r="G67" s="1813"/>
      <c r="H67" s="1813"/>
      <c r="I67" s="1814"/>
      <c r="J67" s="1815">
        <v>-11404</v>
      </c>
      <c r="K67" s="1815">
        <f>SUM(K55:K66)</f>
        <v>-11701</v>
      </c>
      <c r="L67" s="1815">
        <f>SUM(L55:L66)</f>
        <v>-11947</v>
      </c>
      <c r="M67" s="1815">
        <f>SUM(M55:M66)</f>
        <v>-12222</v>
      </c>
      <c r="N67" s="1815">
        <f>SUM(N55:N66)</f>
        <v>-12503</v>
      </c>
      <c r="O67" s="1815">
        <f>SUM(O55:O66)</f>
        <v>-12791</v>
      </c>
      <c r="P67" s="119"/>
      <c r="Q67" s="117">
        <f>K52+K67</f>
        <v>11356049.557775777</v>
      </c>
      <c r="R67" s="117">
        <f>L52+L67</f>
        <v>11697377.560554275</v>
      </c>
      <c r="S67" s="117">
        <f>M52+M67</f>
        <v>12453422.016871301</v>
      </c>
    </row>
    <row r="68" spans="1:19" ht="12.75" customHeight="1" x14ac:dyDescent="0.25">
      <c r="D68" s="652"/>
      <c r="E68" s="655"/>
      <c r="F68" s="656"/>
      <c r="G68" s="653"/>
      <c r="H68" s="653"/>
      <c r="I68" s="653"/>
      <c r="J68" s="666"/>
      <c r="K68" s="666"/>
      <c r="L68" s="666"/>
      <c r="M68" s="666"/>
      <c r="N68" s="666"/>
      <c r="O68" s="666"/>
      <c r="P68" s="666"/>
    </row>
    <row r="69" spans="1:19" ht="12.75" customHeight="1" x14ac:dyDescent="0.25">
      <c r="D69" s="1810" t="s">
        <v>527</v>
      </c>
      <c r="E69" s="1817"/>
      <c r="F69" s="1817"/>
      <c r="G69" s="1813"/>
      <c r="H69" s="1813"/>
      <c r="I69" s="1813"/>
      <c r="J69" s="1818">
        <v>11580513.549764447</v>
      </c>
      <c r="K69" s="1818">
        <f>K52+K67</f>
        <v>11356049.557775777</v>
      </c>
      <c r="L69" s="1818">
        <f t="shared" ref="L69:O69" si="6">L52+L67</f>
        <v>11697377.560554275</v>
      </c>
      <c r="M69" s="1818">
        <f t="shared" si="6"/>
        <v>12453422.016871301</v>
      </c>
      <c r="N69" s="1818">
        <f t="shared" si="6"/>
        <v>12982082.582896709</v>
      </c>
      <c r="O69" s="1818">
        <f t="shared" si="6"/>
        <v>13667167.688874062</v>
      </c>
      <c r="P69" s="666"/>
    </row>
    <row r="70" spans="1:19" ht="12.75" customHeight="1" x14ac:dyDescent="0.25">
      <c r="D70" s="652"/>
      <c r="E70" s="655"/>
      <c r="F70" s="656"/>
      <c r="G70" s="653"/>
      <c r="H70" s="653"/>
      <c r="I70" s="653"/>
      <c r="J70" s="666"/>
      <c r="K70" s="666"/>
      <c r="L70" s="666"/>
      <c r="M70" s="666"/>
      <c r="N70" s="666"/>
      <c r="O70" s="666"/>
      <c r="P70" s="666"/>
    </row>
    <row r="71" spans="1:19" ht="12.75" customHeight="1" x14ac:dyDescent="0.25">
      <c r="D71" s="652"/>
      <c r="E71" s="655"/>
      <c r="F71" s="656"/>
      <c r="G71" s="653"/>
      <c r="H71" s="653"/>
      <c r="I71" s="653"/>
      <c r="J71" s="666"/>
      <c r="K71" s="666"/>
      <c r="L71" s="666"/>
      <c r="M71" s="666"/>
      <c r="N71" s="666"/>
      <c r="O71" s="666"/>
      <c r="P71" s="666"/>
    </row>
    <row r="72" spans="1:19" ht="12.75" customHeight="1" x14ac:dyDescent="0.25">
      <c r="D72" s="652"/>
      <c r="E72" s="652"/>
      <c r="F72" s="652"/>
      <c r="G72" s="653"/>
      <c r="H72" s="653"/>
      <c r="I72" s="653"/>
      <c r="J72" s="666">
        <v>3076472.78675</v>
      </c>
      <c r="K72" s="666">
        <v>3150095.5424850006</v>
      </c>
      <c r="L72" s="666">
        <f t="shared" ref="L72:M72" si="7">+L69-L37</f>
        <v>3260943.5352693703</v>
      </c>
      <c r="M72" s="666">
        <f t="shared" si="7"/>
        <v>3487020.842324337</v>
      </c>
      <c r="N72" s="666">
        <f t="shared" ref="N72:O72" si="8">+N69-N37</f>
        <v>3680985.664667774</v>
      </c>
      <c r="O72" s="666">
        <f t="shared" si="8"/>
        <v>3871852.8217926249</v>
      </c>
      <c r="P72" s="666"/>
    </row>
    <row r="73" spans="1:19" ht="12.75" customHeight="1" x14ac:dyDescent="0.25">
      <c r="D73" s="1445" t="s">
        <v>528</v>
      </c>
      <c r="E73" s="155"/>
      <c r="F73" s="155"/>
      <c r="I73" s="134"/>
      <c r="J73" s="134"/>
      <c r="K73" s="134"/>
      <c r="L73" s="134"/>
      <c r="M73" s="134"/>
      <c r="N73" s="134"/>
      <c r="O73" s="134"/>
      <c r="P73" s="134"/>
    </row>
    <row r="74" spans="1:19" ht="12.75" customHeight="1" x14ac:dyDescent="0.25">
      <c r="J74" s="134"/>
      <c r="K74" s="134"/>
      <c r="L74" s="134"/>
      <c r="M74" s="134"/>
      <c r="N74" s="134"/>
      <c r="O74" s="134"/>
    </row>
    <row r="75" spans="1:19" ht="12.75" customHeight="1" x14ac:dyDescent="0.25">
      <c r="A75" s="1442"/>
      <c r="D75" s="2533" t="s">
        <v>529</v>
      </c>
      <c r="E75" s="1819" t="s">
        <v>530</v>
      </c>
      <c r="F75" s="2534" t="s">
        <v>531</v>
      </c>
      <c r="G75" s="2535" t="s">
        <v>206</v>
      </c>
      <c r="H75" s="2535"/>
      <c r="I75" s="1820"/>
      <c r="J75" s="1821"/>
      <c r="K75" s="1821"/>
      <c r="L75" s="1821"/>
      <c r="M75" s="1821"/>
      <c r="N75" s="1821"/>
      <c r="O75" s="1821"/>
    </row>
    <row r="76" spans="1:19" ht="12.75" customHeight="1" x14ac:dyDescent="0.25">
      <c r="A76" s="1442"/>
      <c r="D76" s="2533"/>
      <c r="E76" s="1446" t="s">
        <v>532</v>
      </c>
      <c r="F76" s="2534"/>
      <c r="G76" s="2535"/>
      <c r="H76" s="2535"/>
      <c r="I76" s="122"/>
      <c r="J76" s="1822">
        <v>2025</v>
      </c>
      <c r="K76" s="1822">
        <v>2026</v>
      </c>
      <c r="L76" s="1822">
        <v>2027</v>
      </c>
      <c r="M76" s="1822">
        <v>2028</v>
      </c>
      <c r="N76" s="1822">
        <v>2029</v>
      </c>
      <c r="O76" s="1822">
        <v>2030</v>
      </c>
      <c r="P76" s="123"/>
    </row>
    <row r="77" spans="1:19" ht="12.75" customHeight="1" x14ac:dyDescent="0.25">
      <c r="D77" s="1447"/>
      <c r="E77" s="1823"/>
      <c r="F77" s="1823"/>
      <c r="G77" s="1824"/>
      <c r="H77" s="1448"/>
      <c r="I77" s="1825"/>
      <c r="J77" s="1486"/>
      <c r="K77" s="1486"/>
      <c r="L77" s="1486"/>
      <c r="M77" s="1486"/>
      <c r="N77" s="1486"/>
      <c r="O77" s="1486"/>
      <c r="P77" s="134"/>
    </row>
    <row r="78" spans="1:19" ht="12.75" customHeight="1" x14ac:dyDescent="0.25">
      <c r="D78" s="1450">
        <v>604001</v>
      </c>
      <c r="E78" s="1451"/>
      <c r="F78" s="1451"/>
      <c r="G78" s="1453" t="s">
        <v>1093</v>
      </c>
      <c r="I78" s="1452"/>
      <c r="J78" s="1486"/>
      <c r="K78" s="1486"/>
      <c r="L78" s="1486"/>
      <c r="M78" s="1486"/>
      <c r="N78" s="1486"/>
      <c r="O78" s="1486"/>
      <c r="P78" s="134"/>
    </row>
    <row r="79" spans="1:19" ht="12.75" customHeight="1" x14ac:dyDescent="0.25">
      <c r="D79" s="1447"/>
      <c r="E79" s="1447"/>
      <c r="F79" s="1447"/>
      <c r="G79" s="1456" t="s">
        <v>533</v>
      </c>
      <c r="I79" s="1452"/>
      <c r="J79" s="1486"/>
      <c r="K79" s="1486"/>
      <c r="L79" s="1486"/>
      <c r="M79" s="1486"/>
      <c r="N79" s="1486"/>
      <c r="O79" s="1486"/>
      <c r="P79" s="134"/>
    </row>
    <row r="80" spans="1:19" ht="12.75" customHeight="1" x14ac:dyDescent="0.25">
      <c r="A80" s="1442">
        <f>+D78</f>
        <v>604001</v>
      </c>
      <c r="B80" s="1442" t="str">
        <f>G78</f>
        <v>Uitkeringen voormalig personeel</v>
      </c>
      <c r="D80" s="1458">
        <v>41101</v>
      </c>
      <c r="E80" s="1458"/>
      <c r="F80" s="1458"/>
      <c r="G80" s="1443" t="s">
        <v>1093</v>
      </c>
      <c r="I80" s="1452"/>
      <c r="J80" s="1487">
        <v>12252</v>
      </c>
      <c r="K80" s="1487">
        <v>12497</v>
      </c>
      <c r="L80" s="1487">
        <f>+L243</f>
        <v>13022</v>
      </c>
      <c r="M80" s="1487">
        <f>+M243</f>
        <v>13504</v>
      </c>
      <c r="N80" s="1487">
        <f>+N243</f>
        <v>14004</v>
      </c>
      <c r="O80" s="1487">
        <f>+O243</f>
        <v>14522</v>
      </c>
      <c r="P80" s="134"/>
    </row>
    <row r="81" spans="1:19" ht="12.75" customHeight="1" x14ac:dyDescent="0.25">
      <c r="D81" s="1447"/>
      <c r="E81" s="1447"/>
      <c r="F81" s="1447"/>
      <c r="G81" s="1453" t="s">
        <v>536</v>
      </c>
      <c r="H81" s="549"/>
      <c r="I81" s="1454"/>
      <c r="J81" s="1826">
        <v>12252</v>
      </c>
      <c r="K81" s="1826">
        <v>12497</v>
      </c>
      <c r="L81" s="1826">
        <f>SUM(L80)</f>
        <v>13022</v>
      </c>
      <c r="M81" s="1826">
        <f>SUM(M80)</f>
        <v>13504</v>
      </c>
      <c r="N81" s="1826">
        <f>SUM(N80)</f>
        <v>14004</v>
      </c>
      <c r="O81" s="1826">
        <f>SUM(O80)</f>
        <v>14522</v>
      </c>
      <c r="P81" s="1455"/>
    </row>
    <row r="82" spans="1:19" ht="12.75" customHeight="1" x14ac:dyDescent="0.25">
      <c r="D82" s="1447"/>
      <c r="E82" s="1447"/>
      <c r="F82" s="1447"/>
      <c r="G82" s="1443"/>
      <c r="I82" s="1452"/>
      <c r="J82" s="1486"/>
      <c r="K82" s="1486"/>
      <c r="L82" s="1486"/>
      <c r="M82" s="1486"/>
      <c r="N82" s="1486"/>
      <c r="O82" s="1486"/>
      <c r="P82" s="134"/>
    </row>
    <row r="83" spans="1:19" ht="12.75" customHeight="1" x14ac:dyDescent="0.25">
      <c r="D83" s="1450">
        <v>604002</v>
      </c>
      <c r="E83" s="1451"/>
      <c r="F83" s="1451"/>
      <c r="G83" s="1453" t="s">
        <v>1094</v>
      </c>
      <c r="I83" s="1452"/>
      <c r="J83" s="1486"/>
      <c r="K83" s="1486"/>
      <c r="L83" s="1486"/>
      <c r="M83" s="1486"/>
      <c r="N83" s="1486"/>
      <c r="O83" s="1486"/>
      <c r="P83" s="134"/>
    </row>
    <row r="84" spans="1:19" ht="12.75" customHeight="1" x14ac:dyDescent="0.25">
      <c r="D84" s="1488"/>
      <c r="E84" s="1447"/>
      <c r="F84" s="1447"/>
      <c r="G84" s="1456" t="s">
        <v>533</v>
      </c>
      <c r="I84" s="1452"/>
      <c r="J84" s="1486"/>
      <c r="K84" s="1486"/>
      <c r="L84" s="1486"/>
      <c r="M84" s="1486"/>
      <c r="N84" s="1486"/>
      <c r="O84" s="1486"/>
      <c r="P84" s="134"/>
      <c r="S84" s="117" t="s">
        <v>923</v>
      </c>
    </row>
    <row r="85" spans="1:19" ht="12.75" customHeight="1" x14ac:dyDescent="0.25">
      <c r="A85" s="1442">
        <v>604002</v>
      </c>
      <c r="B85" s="1442" t="str">
        <f>G83</f>
        <v>Overige personeelslasten - niet direct toewijsbaar</v>
      </c>
      <c r="D85" s="1447">
        <v>41100</v>
      </c>
      <c r="E85" s="1447"/>
      <c r="F85" s="1447"/>
      <c r="G85" s="1443" t="s">
        <v>700</v>
      </c>
      <c r="I85" s="1452"/>
      <c r="J85" s="1486">
        <v>300000</v>
      </c>
      <c r="K85" s="1486">
        <v>300000</v>
      </c>
      <c r="L85" s="1486">
        <f>+L295</f>
        <v>397980</v>
      </c>
      <c r="M85" s="1486">
        <f>+M295</f>
        <v>526868</v>
      </c>
      <c r="N85" s="1486">
        <f>+N295</f>
        <v>666666</v>
      </c>
      <c r="O85" s="1486">
        <f>+O295</f>
        <v>806771</v>
      </c>
      <c r="P85" s="134"/>
    </row>
    <row r="86" spans="1:19" ht="12.75" customHeight="1" x14ac:dyDescent="0.25">
      <c r="A86" s="1442">
        <v>604002</v>
      </c>
      <c r="B86" s="1442" t="str">
        <f>G83</f>
        <v>Overige personeelslasten - niet direct toewijsbaar</v>
      </c>
      <c r="D86" s="1458">
        <v>41104</v>
      </c>
      <c r="E86" s="1458"/>
      <c r="F86" s="1458"/>
      <c r="G86" s="1443" t="s">
        <v>1095</v>
      </c>
      <c r="I86" s="1489"/>
      <c r="J86" s="1490">
        <v>11796</v>
      </c>
      <c r="K86" s="1490">
        <v>12032</v>
      </c>
      <c r="L86" s="1490">
        <f>+L307</f>
        <v>12537</v>
      </c>
      <c r="M86" s="1490">
        <f>+M307</f>
        <v>13001</v>
      </c>
      <c r="N86" s="1490">
        <f>+N307</f>
        <v>13482</v>
      </c>
      <c r="O86" s="1490">
        <f>+O307</f>
        <v>13981</v>
      </c>
      <c r="P86" s="1474"/>
    </row>
    <row r="87" spans="1:19" ht="12.75" customHeight="1" x14ac:dyDescent="0.25">
      <c r="A87" s="1442">
        <v>604002</v>
      </c>
      <c r="B87" s="1442" t="str">
        <f>G83</f>
        <v>Overige personeelslasten - niet direct toewijsbaar</v>
      </c>
      <c r="D87" s="1458">
        <v>43511</v>
      </c>
      <c r="E87" s="1458"/>
      <c r="F87" s="1458"/>
      <c r="G87" s="1443" t="s">
        <v>560</v>
      </c>
      <c r="I87" s="1452"/>
      <c r="J87" s="1486">
        <v>363055</v>
      </c>
      <c r="K87" s="1486">
        <v>370316</v>
      </c>
      <c r="L87" s="1486">
        <f>+L317</f>
        <v>385869</v>
      </c>
      <c r="M87" s="1486">
        <f>+M317</f>
        <v>400146</v>
      </c>
      <c r="N87" s="1486">
        <f>+N317</f>
        <v>414952</v>
      </c>
      <c r="O87" s="1486">
        <f>+O317</f>
        <v>430305</v>
      </c>
      <c r="P87" s="134"/>
    </row>
    <row r="88" spans="1:19" ht="12.75" customHeight="1" x14ac:dyDescent="0.25">
      <c r="A88" s="1442">
        <v>604002</v>
      </c>
      <c r="B88" s="1442" t="str">
        <f>G83</f>
        <v>Overige personeelslasten - niet direct toewijsbaar</v>
      </c>
      <c r="D88" s="1458">
        <v>43806</v>
      </c>
      <c r="E88" s="1458"/>
      <c r="F88" s="1458"/>
      <c r="G88" s="1443" t="s">
        <v>546</v>
      </c>
      <c r="I88" s="1452"/>
      <c r="J88" s="1486">
        <v>259157</v>
      </c>
      <c r="K88" s="1486">
        <v>276699</v>
      </c>
      <c r="L88" s="1486">
        <f>L332</f>
        <v>281543</v>
      </c>
      <c r="M88" s="1486">
        <f>M332</f>
        <v>286961</v>
      </c>
      <c r="N88" s="1486">
        <f>N332</f>
        <v>292503</v>
      </c>
      <c r="O88" s="1486">
        <f>O332</f>
        <v>298174</v>
      </c>
      <c r="P88" s="134"/>
    </row>
    <row r="89" spans="1:19" ht="12.75" customHeight="1" x14ac:dyDescent="0.25">
      <c r="A89" s="1442">
        <v>604002</v>
      </c>
      <c r="B89" s="1442" t="str">
        <f>G83</f>
        <v>Overige personeelslasten - niet direct toewijsbaar</v>
      </c>
      <c r="D89" s="1458">
        <v>43806</v>
      </c>
      <c r="E89" s="1458"/>
      <c r="F89" s="1458"/>
      <c r="G89" s="1443" t="s">
        <v>1096</v>
      </c>
      <c r="I89" s="1452"/>
      <c r="J89" s="1486">
        <v>0</v>
      </c>
      <c r="K89" s="1486">
        <v>0</v>
      </c>
      <c r="L89" s="1486">
        <v>0</v>
      </c>
      <c r="M89" s="1486">
        <v>0</v>
      </c>
      <c r="N89" s="1486">
        <v>0</v>
      </c>
      <c r="O89" s="1486">
        <v>0</v>
      </c>
      <c r="P89" s="134"/>
    </row>
    <row r="90" spans="1:19" ht="12.75" customHeight="1" x14ac:dyDescent="0.25">
      <c r="A90" s="1442">
        <v>604002</v>
      </c>
      <c r="B90" s="1442" t="str">
        <f>G83</f>
        <v>Overige personeelslasten - niet direct toewijsbaar</v>
      </c>
      <c r="D90" s="1458">
        <v>43806</v>
      </c>
      <c r="E90" s="1458"/>
      <c r="F90" s="1458"/>
      <c r="G90" s="1443" t="s">
        <v>1097</v>
      </c>
      <c r="I90" s="1452"/>
      <c r="J90" s="1486">
        <v>0</v>
      </c>
      <c r="K90" s="1486">
        <v>0</v>
      </c>
      <c r="L90" s="1486">
        <v>0</v>
      </c>
      <c r="M90" s="1486">
        <v>0</v>
      </c>
      <c r="N90" s="1486">
        <v>0</v>
      </c>
      <c r="O90" s="1486">
        <v>0</v>
      </c>
      <c r="P90" s="134"/>
    </row>
    <row r="91" spans="1:19" ht="12.75" customHeight="1" x14ac:dyDescent="0.25">
      <c r="A91" s="1442">
        <v>604002</v>
      </c>
      <c r="B91" s="1442" t="str">
        <f>G83</f>
        <v>Overige personeelslasten - niet direct toewijsbaar</v>
      </c>
      <c r="D91" s="1458">
        <v>43806</v>
      </c>
      <c r="E91" s="1458"/>
      <c r="F91" s="1458"/>
      <c r="G91" s="1443" t="s">
        <v>1098</v>
      </c>
      <c r="I91" s="1452"/>
      <c r="J91" s="1486">
        <v>0</v>
      </c>
      <c r="K91" s="1486">
        <v>0</v>
      </c>
      <c r="L91" s="1486">
        <v>0</v>
      </c>
      <c r="M91" s="1486">
        <v>0</v>
      </c>
      <c r="N91" s="1486">
        <v>0</v>
      </c>
      <c r="O91" s="1486">
        <v>0</v>
      </c>
      <c r="P91" s="134"/>
    </row>
    <row r="92" spans="1:19" ht="12.75" customHeight="1" x14ac:dyDescent="0.25">
      <c r="A92" s="1442">
        <v>604002</v>
      </c>
      <c r="B92" s="1442" t="str">
        <f>G83</f>
        <v>Overige personeelslasten - niet direct toewijsbaar</v>
      </c>
      <c r="D92" s="1458">
        <v>43806</v>
      </c>
      <c r="E92" s="1458"/>
      <c r="F92" s="1458"/>
      <c r="G92" s="1443" t="s">
        <v>1099</v>
      </c>
      <c r="I92" s="1452"/>
      <c r="J92" s="1486">
        <v>0</v>
      </c>
      <c r="K92" s="1486">
        <v>0</v>
      </c>
      <c r="L92" s="1486">
        <v>0</v>
      </c>
      <c r="M92" s="1486">
        <v>0</v>
      </c>
      <c r="N92" s="1486">
        <v>0</v>
      </c>
      <c r="O92" s="1486">
        <v>0</v>
      </c>
      <c r="P92" s="134"/>
    </row>
    <row r="93" spans="1:19" ht="12.75" customHeight="1" x14ac:dyDescent="0.25">
      <c r="A93" s="1442">
        <v>604002</v>
      </c>
      <c r="B93" s="1442" t="str">
        <f>G83</f>
        <v>Overige personeelslasten - niet direct toewijsbaar</v>
      </c>
      <c r="D93" s="1458">
        <v>43807</v>
      </c>
      <c r="E93" s="1458"/>
      <c r="F93" s="1458"/>
      <c r="G93" s="1443" t="s">
        <v>1100</v>
      </c>
      <c r="I93" s="1452"/>
      <c r="J93" s="1486">
        <v>96749</v>
      </c>
      <c r="K93" s="1486">
        <v>98514</v>
      </c>
      <c r="L93" s="1486">
        <f>+L338</f>
        <v>100319</v>
      </c>
      <c r="M93" s="1486">
        <f>+M338</f>
        <v>102167</v>
      </c>
      <c r="N93" s="1486">
        <f>+N338</f>
        <v>102167</v>
      </c>
      <c r="O93" s="1486">
        <f>+O338</f>
        <v>102167</v>
      </c>
      <c r="P93" s="134"/>
    </row>
    <row r="94" spans="1:19" ht="12.75" customHeight="1" x14ac:dyDescent="0.25">
      <c r="A94" s="1442">
        <v>604002</v>
      </c>
      <c r="B94" s="1442" t="str">
        <f>G83</f>
        <v>Overige personeelslasten - niet direct toewijsbaar</v>
      </c>
      <c r="D94" s="1458">
        <v>43808</v>
      </c>
      <c r="E94" s="1458"/>
      <c r="F94" s="1458"/>
      <c r="G94" s="1443" t="s">
        <v>1101</v>
      </c>
      <c r="I94" s="1452"/>
      <c r="J94" s="1486">
        <v>46014</v>
      </c>
      <c r="K94" s="1486">
        <v>47337</v>
      </c>
      <c r="L94" s="1486">
        <f>+L349</f>
        <v>48275</v>
      </c>
      <c r="M94" s="1486">
        <f>+M349</f>
        <v>49136</v>
      </c>
      <c r="N94" s="1486">
        <f>+N349</f>
        <v>50032</v>
      </c>
      <c r="O94" s="1486">
        <f>+O349</f>
        <v>50606</v>
      </c>
      <c r="P94" s="134"/>
    </row>
    <row r="95" spans="1:19" ht="12.75" customHeight="1" x14ac:dyDescent="0.25">
      <c r="A95" s="1442">
        <v>604002</v>
      </c>
      <c r="B95" s="1442" t="str">
        <f>G83</f>
        <v>Overige personeelslasten - niet direct toewijsbaar</v>
      </c>
      <c r="D95" s="1458">
        <v>43809</v>
      </c>
      <c r="E95" s="1458"/>
      <c r="F95" s="1458"/>
      <c r="G95" s="1443" t="s">
        <v>1102</v>
      </c>
      <c r="I95" s="1452"/>
      <c r="J95" s="1486">
        <v>53614</v>
      </c>
      <c r="K95" s="1486">
        <v>55008</v>
      </c>
      <c r="L95" s="1486">
        <f>+L353</f>
        <v>56163</v>
      </c>
      <c r="M95" s="1486">
        <f>+M353</f>
        <v>57455</v>
      </c>
      <c r="N95" s="1486">
        <f>+N353</f>
        <v>58776</v>
      </c>
      <c r="O95" s="1486">
        <f>+O353</f>
        <v>60128</v>
      </c>
      <c r="P95" s="134"/>
    </row>
    <row r="96" spans="1:19" ht="12.75" customHeight="1" x14ac:dyDescent="0.25">
      <c r="A96" s="1442">
        <v>604002</v>
      </c>
      <c r="B96" s="1442" t="str">
        <f>G83</f>
        <v>Overige personeelslasten - niet direct toewijsbaar</v>
      </c>
      <c r="D96" s="1458">
        <v>43812</v>
      </c>
      <c r="E96" s="1458"/>
      <c r="F96" s="1458"/>
      <c r="G96" s="1443" t="s">
        <v>535</v>
      </c>
      <c r="I96" s="1452"/>
      <c r="J96" s="1486">
        <v>100178</v>
      </c>
      <c r="K96" s="1486">
        <v>102434</v>
      </c>
      <c r="L96" s="1486">
        <f>+L366</f>
        <v>105827</v>
      </c>
      <c r="M96" s="1486">
        <f>+M366</f>
        <v>109124</v>
      </c>
      <c r="N96" s="1486">
        <f>+N366</f>
        <v>112529</v>
      </c>
      <c r="O96" s="1486">
        <f>+O366</f>
        <v>116046</v>
      </c>
      <c r="P96" s="134"/>
    </row>
    <row r="97" spans="1:21" ht="12.75" customHeight="1" x14ac:dyDescent="0.25">
      <c r="A97" s="1442">
        <v>604002</v>
      </c>
      <c r="B97" s="1442" t="str">
        <f>G83</f>
        <v>Overige personeelslasten - niet direct toewijsbaar</v>
      </c>
      <c r="D97" s="1458">
        <v>43818</v>
      </c>
      <c r="E97" s="1458"/>
      <c r="F97" s="1458"/>
      <c r="G97" s="1443" t="s">
        <v>1103</v>
      </c>
      <c r="I97" s="1452"/>
      <c r="J97" s="1490">
        <v>3538</v>
      </c>
      <c r="K97" s="1490">
        <v>3630</v>
      </c>
      <c r="L97" s="1490">
        <f>+L370</f>
        <v>3706</v>
      </c>
      <c r="M97" s="1490">
        <f>+M370</f>
        <v>3791</v>
      </c>
      <c r="N97" s="1490">
        <f>+N370</f>
        <v>3878</v>
      </c>
      <c r="O97" s="1490">
        <f>+O370</f>
        <v>3967</v>
      </c>
      <c r="P97" s="1474"/>
      <c r="Q97" s="117">
        <v>85045</v>
      </c>
    </row>
    <row r="98" spans="1:21" ht="12.75" customHeight="1" x14ac:dyDescent="0.25">
      <c r="A98" s="1442">
        <v>604002</v>
      </c>
      <c r="B98" s="1442" t="str">
        <f>G83</f>
        <v>Overige personeelslasten - niet direct toewijsbaar</v>
      </c>
      <c r="D98" s="1458">
        <v>43818</v>
      </c>
      <c r="E98" s="1458"/>
      <c r="F98" s="1458"/>
      <c r="G98" s="1443" t="s">
        <v>1104</v>
      </c>
      <c r="I98" s="1452"/>
      <c r="J98" s="1486">
        <v>14253</v>
      </c>
      <c r="K98" s="1486">
        <v>14326</v>
      </c>
      <c r="L98" s="1486">
        <f>+L377</f>
        <v>14386</v>
      </c>
      <c r="M98" s="1486">
        <f>+M377</f>
        <v>14454</v>
      </c>
      <c r="N98" s="1486">
        <f>+N377</f>
        <v>14523</v>
      </c>
      <c r="O98" s="1486">
        <f>+O377</f>
        <v>14594</v>
      </c>
      <c r="P98" s="134"/>
      <c r="Q98" s="117">
        <v>85980</v>
      </c>
    </row>
    <row r="99" spans="1:21" ht="12.75" customHeight="1" x14ac:dyDescent="0.25">
      <c r="A99" s="1442">
        <v>604002</v>
      </c>
      <c r="B99" s="1442" t="str">
        <f>G83</f>
        <v>Overige personeelslasten - niet direct toewijsbaar</v>
      </c>
      <c r="D99" s="1458">
        <v>43818</v>
      </c>
      <c r="E99" s="1458"/>
      <c r="F99" s="1458"/>
      <c r="G99" s="1443" t="s">
        <v>1105</v>
      </c>
      <c r="I99" s="1452"/>
      <c r="J99" s="1487">
        <v>4561</v>
      </c>
      <c r="K99" s="1487">
        <v>4680</v>
      </c>
      <c r="L99" s="1487">
        <f>+L382</f>
        <v>4778</v>
      </c>
      <c r="M99" s="1487">
        <f>+M382</f>
        <v>4888</v>
      </c>
      <c r="N99" s="1487">
        <f>+N382</f>
        <v>5000</v>
      </c>
      <c r="O99" s="1487">
        <f>+O382</f>
        <v>5115</v>
      </c>
      <c r="P99" s="134"/>
    </row>
    <row r="100" spans="1:21" ht="12.75" customHeight="1" x14ac:dyDescent="0.25">
      <c r="A100" s="1442">
        <v>604002</v>
      </c>
      <c r="B100" s="1442" t="str">
        <f>G83</f>
        <v>Overige personeelslasten - niet direct toewijsbaar</v>
      </c>
      <c r="D100" s="1458">
        <v>43818</v>
      </c>
      <c r="E100" s="1458"/>
      <c r="F100" s="1458"/>
      <c r="G100" s="1443" t="s">
        <v>1106</v>
      </c>
      <c r="I100" s="1452"/>
      <c r="J100" s="1487">
        <v>14330</v>
      </c>
      <c r="K100" s="1487">
        <v>15643</v>
      </c>
      <c r="L100" s="1487">
        <f>+L392</f>
        <v>16300</v>
      </c>
      <c r="M100" s="1487">
        <f>+M392</f>
        <v>16903</v>
      </c>
      <c r="N100" s="1487">
        <f>+N392</f>
        <v>17335</v>
      </c>
      <c r="O100" s="1487">
        <f>+O392</f>
        <v>17732.5</v>
      </c>
      <c r="P100" s="134"/>
    </row>
    <row r="101" spans="1:21" ht="12.75" customHeight="1" x14ac:dyDescent="0.25">
      <c r="A101" s="1442">
        <v>604002</v>
      </c>
      <c r="B101" s="1442" t="str">
        <f>G83</f>
        <v>Overige personeelslasten - niet direct toewijsbaar</v>
      </c>
      <c r="D101" s="1458">
        <v>43818</v>
      </c>
      <c r="E101" s="1458"/>
      <c r="F101" s="1458"/>
      <c r="G101" s="1443" t="s">
        <v>1107</v>
      </c>
      <c r="I101" s="1452"/>
      <c r="J101" s="1486">
        <v>48363</v>
      </c>
      <c r="K101" s="1486">
        <v>49330</v>
      </c>
      <c r="L101" s="1486">
        <f>+L396</f>
        <v>51402</v>
      </c>
      <c r="M101" s="1486">
        <f>+M396</f>
        <v>53304</v>
      </c>
      <c r="N101" s="1486">
        <f>+N396</f>
        <v>55276</v>
      </c>
      <c r="O101" s="1486">
        <f>+O396</f>
        <v>57321</v>
      </c>
      <c r="P101" s="134"/>
    </row>
    <row r="102" spans="1:21" ht="12.75" customHeight="1" x14ac:dyDescent="0.25">
      <c r="A102" s="1442">
        <v>604002</v>
      </c>
      <c r="B102" s="1442" t="str">
        <f>G83</f>
        <v>Overige personeelslasten - niet direct toewijsbaar</v>
      </c>
      <c r="D102" s="1458">
        <v>43819</v>
      </c>
      <c r="E102" s="1458"/>
      <c r="F102" s="1458"/>
      <c r="G102" s="1443" t="s">
        <v>534</v>
      </c>
      <c r="I102" s="1452"/>
      <c r="J102" s="1486">
        <v>100000</v>
      </c>
      <c r="K102" s="1486">
        <v>100000</v>
      </c>
      <c r="L102" s="1486">
        <f>+L419</f>
        <v>100000</v>
      </c>
      <c r="M102" s="1486">
        <f>+M419</f>
        <v>100000</v>
      </c>
      <c r="N102" s="1486">
        <f>+N419</f>
        <v>100000</v>
      </c>
      <c r="O102" s="1486">
        <f>+O419</f>
        <v>100000</v>
      </c>
      <c r="P102" s="134"/>
    </row>
    <row r="103" spans="1:21" ht="12.75" customHeight="1" x14ac:dyDescent="0.25">
      <c r="A103" s="1442">
        <v>604002</v>
      </c>
      <c r="B103" s="1442" t="str">
        <f>G83</f>
        <v>Overige personeelslasten - niet direct toewijsbaar</v>
      </c>
      <c r="D103" s="1458">
        <v>43818</v>
      </c>
      <c r="E103" s="1458"/>
      <c r="F103" s="1458"/>
      <c r="G103" s="1443" t="s">
        <v>1108</v>
      </c>
      <c r="I103" s="1452"/>
      <c r="J103" s="1486">
        <v>63000</v>
      </c>
      <c r="K103" s="1486">
        <v>63000</v>
      </c>
      <c r="L103" s="1486">
        <f>L423</f>
        <v>63000</v>
      </c>
      <c r="M103" s="1486">
        <f>M423</f>
        <v>63000</v>
      </c>
      <c r="N103" s="1486">
        <f>N423</f>
        <v>63000</v>
      </c>
      <c r="O103" s="1486">
        <f>O423</f>
        <v>63000</v>
      </c>
      <c r="P103" s="134"/>
    </row>
    <row r="104" spans="1:21" ht="12.75" customHeight="1" x14ac:dyDescent="0.25">
      <c r="A104" s="1442">
        <v>604002</v>
      </c>
      <c r="B104" s="1442" t="str">
        <f>G83</f>
        <v>Overige personeelslasten - niet direct toewijsbaar</v>
      </c>
      <c r="D104" s="1458">
        <v>43818</v>
      </c>
      <c r="E104" s="1458"/>
      <c r="F104" s="1458"/>
      <c r="G104" s="1443" t="s">
        <v>1109</v>
      </c>
      <c r="I104" s="1452"/>
      <c r="J104" s="1486">
        <v>1140</v>
      </c>
      <c r="K104" s="1486">
        <v>1170</v>
      </c>
      <c r="L104" s="1486">
        <f>+L427</f>
        <v>1195</v>
      </c>
      <c r="M104" s="1486">
        <f>+M427</f>
        <v>1222</v>
      </c>
      <c r="N104" s="1486">
        <f>+N427</f>
        <v>1250</v>
      </c>
      <c r="O104" s="1486">
        <f>+O427</f>
        <v>1279</v>
      </c>
      <c r="P104" s="134"/>
    </row>
    <row r="105" spans="1:21" ht="12.75" customHeight="1" x14ac:dyDescent="0.25">
      <c r="A105" s="1442">
        <v>604002</v>
      </c>
      <c r="B105" s="1442" t="str">
        <f>G83</f>
        <v>Overige personeelslasten - niet direct toewijsbaar</v>
      </c>
      <c r="D105" s="1458">
        <v>43818</v>
      </c>
      <c r="E105" s="1458"/>
      <c r="F105" s="1458"/>
      <c r="G105" s="1443" t="s">
        <v>1110</v>
      </c>
      <c r="I105" s="1452"/>
      <c r="J105" s="1486">
        <v>21840</v>
      </c>
      <c r="K105" s="1486">
        <v>23010</v>
      </c>
      <c r="L105" s="1486">
        <f>+L433</f>
        <v>23010</v>
      </c>
      <c r="M105" s="1486">
        <f>+M433</f>
        <v>23010</v>
      </c>
      <c r="N105" s="1486">
        <f>+N433</f>
        <v>23010</v>
      </c>
      <c r="O105" s="1486">
        <f>+O433</f>
        <v>23010</v>
      </c>
      <c r="R105" s="1491"/>
      <c r="S105" s="1491"/>
      <c r="T105" s="1491"/>
      <c r="U105" s="1491"/>
    </row>
    <row r="106" spans="1:21" ht="12.75" customHeight="1" x14ac:dyDescent="0.25">
      <c r="A106" s="1442">
        <v>604002</v>
      </c>
      <c r="B106" s="1442" t="str">
        <f>G83</f>
        <v>Overige personeelslasten - niet direct toewijsbaar</v>
      </c>
      <c r="D106" s="1458">
        <v>44360</v>
      </c>
      <c r="E106" s="1458"/>
      <c r="F106" s="1458"/>
      <c r="G106" s="1443" t="s">
        <v>1111</v>
      </c>
      <c r="I106" s="1452"/>
      <c r="J106" s="1486">
        <v>13130</v>
      </c>
      <c r="K106" s="1486">
        <v>13471</v>
      </c>
      <c r="L106" s="1486">
        <f>L442</f>
        <v>13754</v>
      </c>
      <c r="M106" s="1486">
        <f>M442</f>
        <v>14070</v>
      </c>
      <c r="N106" s="1486">
        <f>N442</f>
        <v>14394</v>
      </c>
      <c r="O106" s="1486">
        <f>O442</f>
        <v>14725</v>
      </c>
      <c r="P106" s="134"/>
    </row>
    <row r="107" spans="1:21" ht="12.75" customHeight="1" x14ac:dyDescent="0.25">
      <c r="A107" s="1442">
        <v>604002</v>
      </c>
      <c r="B107" s="1442" t="str">
        <f>G83</f>
        <v>Overige personeelslasten - niet direct toewijsbaar</v>
      </c>
      <c r="D107" s="1458">
        <v>47200</v>
      </c>
      <c r="E107" s="1458"/>
      <c r="F107" s="1458"/>
      <c r="G107" s="1443" t="s">
        <v>1112</v>
      </c>
      <c r="I107" s="1452"/>
      <c r="J107" s="1486">
        <v>18298</v>
      </c>
      <c r="K107" s="1486">
        <v>10077</v>
      </c>
      <c r="L107" s="1486">
        <f>L445</f>
        <v>23640</v>
      </c>
      <c r="M107" s="1486">
        <f>M445</f>
        <v>24727</v>
      </c>
      <c r="N107" s="1486">
        <f t="shared" ref="N107:O107" si="9">N445</f>
        <v>25865</v>
      </c>
      <c r="O107" s="1486">
        <f t="shared" si="9"/>
        <v>0</v>
      </c>
      <c r="P107" s="134"/>
    </row>
    <row r="108" spans="1:21" ht="12.75" customHeight="1" x14ac:dyDescent="0.25">
      <c r="D108" s="1447"/>
      <c r="E108" s="1447"/>
      <c r="F108" s="1447"/>
      <c r="G108" s="1453" t="s">
        <v>536</v>
      </c>
      <c r="H108" s="549"/>
      <c r="I108" s="1454"/>
      <c r="J108" s="1826">
        <v>1533016</v>
      </c>
      <c r="K108" s="1826">
        <v>1560677</v>
      </c>
      <c r="L108" s="1826">
        <f t="shared" ref="L108:M108" si="10">SUM(L85:L107)</f>
        <v>1703684</v>
      </c>
      <c r="M108" s="1826">
        <f t="shared" si="10"/>
        <v>1864227</v>
      </c>
      <c r="N108" s="1826">
        <f t="shared" ref="N108:O108" si="11">SUM(N85:N107)</f>
        <v>2034638</v>
      </c>
      <c r="O108" s="1826">
        <f t="shared" si="11"/>
        <v>2178921.5</v>
      </c>
      <c r="P108" s="1455"/>
    </row>
    <row r="109" spans="1:21" ht="12.75" customHeight="1" x14ac:dyDescent="0.25">
      <c r="D109" s="1447"/>
      <c r="E109" s="1447"/>
      <c r="F109" s="1447"/>
      <c r="G109" s="1443"/>
      <c r="I109" s="1452"/>
      <c r="J109" s="1486"/>
      <c r="K109" s="1486"/>
      <c r="L109" s="1486"/>
      <c r="M109" s="1486"/>
      <c r="N109" s="1486"/>
      <c r="O109" s="1486"/>
      <c r="P109" s="134"/>
    </row>
    <row r="110" spans="1:21" ht="12.75" customHeight="1" x14ac:dyDescent="0.25">
      <c r="D110" s="1460">
        <v>604004</v>
      </c>
      <c r="E110" s="1463"/>
      <c r="F110" s="1463"/>
      <c r="G110" s="1453" t="s">
        <v>1113</v>
      </c>
      <c r="H110" s="549"/>
      <c r="I110" s="1454"/>
      <c r="J110" s="1492"/>
      <c r="K110" s="1492"/>
      <c r="L110" s="1492"/>
      <c r="M110" s="1492"/>
      <c r="N110" s="1492"/>
      <c r="O110" s="1492"/>
      <c r="P110" s="1455"/>
    </row>
    <row r="111" spans="1:21" ht="12.75" customHeight="1" x14ac:dyDescent="0.25">
      <c r="D111" s="1447"/>
      <c r="E111" s="1447"/>
      <c r="F111" s="1447"/>
      <c r="G111" s="1456" t="s">
        <v>533</v>
      </c>
      <c r="H111" s="549"/>
      <c r="I111" s="1454"/>
      <c r="J111" s="1492"/>
      <c r="K111" s="1492"/>
      <c r="L111" s="1492"/>
      <c r="M111" s="1492"/>
      <c r="N111" s="1492"/>
      <c r="O111" s="1492"/>
      <c r="P111" s="1455"/>
    </row>
    <row r="112" spans="1:21" ht="12.75" customHeight="1" x14ac:dyDescent="0.25">
      <c r="A112" s="1442">
        <f>+D110</f>
        <v>604004</v>
      </c>
      <c r="B112" s="1442" t="str">
        <f>G110</f>
        <v>Lokaal arbeidsvoorwaardenbeleid</v>
      </c>
      <c r="D112" s="1447">
        <v>43812</v>
      </c>
      <c r="E112" s="1447"/>
      <c r="F112" s="1447"/>
      <c r="G112" s="1443" t="s">
        <v>535</v>
      </c>
      <c r="H112" s="549"/>
      <c r="I112" s="1489"/>
      <c r="J112" s="1490">
        <v>431904</v>
      </c>
      <c r="K112" s="1490">
        <v>392217</v>
      </c>
      <c r="L112" s="1490">
        <f>+L474</f>
        <v>410906</v>
      </c>
      <c r="M112" s="1490">
        <f>+M474</f>
        <v>428229</v>
      </c>
      <c r="N112" s="1490">
        <f>+N474</f>
        <v>446205.51855026698</v>
      </c>
      <c r="O112" s="1490">
        <f>+O474</f>
        <v>464860.60451877041</v>
      </c>
      <c r="P112" s="1474"/>
    </row>
    <row r="113" spans="1:16" ht="12.75" customHeight="1" x14ac:dyDescent="0.25">
      <c r="D113" s="1447"/>
      <c r="E113" s="1447"/>
      <c r="F113" s="1447"/>
      <c r="G113" s="1453" t="s">
        <v>536</v>
      </c>
      <c r="H113" s="549"/>
      <c r="I113" s="1454"/>
      <c r="J113" s="1826">
        <v>431904</v>
      </c>
      <c r="K113" s="1826">
        <v>392217</v>
      </c>
      <c r="L113" s="1826">
        <f>SUM(L112)</f>
        <v>410906</v>
      </c>
      <c r="M113" s="1826">
        <f>SUM(M112)</f>
        <v>428229</v>
      </c>
      <c r="N113" s="1826">
        <f>SUM(N112)</f>
        <v>446205.51855026698</v>
      </c>
      <c r="O113" s="1826">
        <f>SUM(O112)</f>
        <v>464860.60451877041</v>
      </c>
      <c r="P113" s="1455"/>
    </row>
    <row r="114" spans="1:16" ht="12.75" customHeight="1" x14ac:dyDescent="0.25">
      <c r="D114" s="1447"/>
      <c r="E114" s="1447"/>
      <c r="F114" s="1447"/>
      <c r="G114" s="1453"/>
      <c r="H114" s="549"/>
      <c r="I114" s="1454"/>
      <c r="J114" s="1492"/>
      <c r="K114" s="1492"/>
      <c r="L114" s="1492"/>
      <c r="M114" s="1492"/>
      <c r="N114" s="1492"/>
      <c r="O114" s="1492"/>
      <c r="P114" s="1455"/>
    </row>
    <row r="115" spans="1:16" ht="12.75" customHeight="1" x14ac:dyDescent="0.25">
      <c r="D115" s="1460">
        <v>604003</v>
      </c>
      <c r="E115" s="1451"/>
      <c r="F115" s="1451"/>
      <c r="G115" s="1453" t="s">
        <v>1114</v>
      </c>
      <c r="I115" s="1452"/>
      <c r="J115" s="1486"/>
      <c r="K115" s="1486"/>
      <c r="L115" s="1486"/>
      <c r="M115" s="1486"/>
      <c r="N115" s="1486"/>
      <c r="O115" s="1486"/>
      <c r="P115" s="134"/>
    </row>
    <row r="116" spans="1:16" ht="12.75" customHeight="1" x14ac:dyDescent="0.25">
      <c r="D116" s="1447"/>
      <c r="E116" s="1447"/>
      <c r="F116" s="1447"/>
      <c r="G116" s="1456" t="s">
        <v>554</v>
      </c>
      <c r="I116" s="1452"/>
      <c r="J116" s="1486"/>
      <c r="K116" s="1486"/>
      <c r="L116" s="1486"/>
      <c r="M116" s="1486"/>
      <c r="N116" s="1486"/>
      <c r="O116" s="1486"/>
      <c r="P116" s="134"/>
    </row>
    <row r="117" spans="1:16" ht="12.75" customHeight="1" x14ac:dyDescent="0.25">
      <c r="A117" s="1442">
        <f>+D115</f>
        <v>604003</v>
      </c>
      <c r="B117" s="1442" t="str">
        <f>G115</f>
        <v xml:space="preserve">Terugontvangst salarissen en uitkeringen </v>
      </c>
      <c r="D117" s="1458">
        <v>83520</v>
      </c>
      <c r="E117" s="1458"/>
      <c r="F117" s="1458"/>
      <c r="G117" s="1443" t="s">
        <v>1115</v>
      </c>
      <c r="I117" s="1452"/>
      <c r="J117" s="1486">
        <v>-11404</v>
      </c>
      <c r="K117" s="1486">
        <v>-11701</v>
      </c>
      <c r="L117" s="1486">
        <f>L450</f>
        <v>-11947</v>
      </c>
      <c r="M117" s="1486">
        <f>M450</f>
        <v>-12222</v>
      </c>
      <c r="N117" s="1486">
        <f>N450</f>
        <v>-12503</v>
      </c>
      <c r="O117" s="1486">
        <f>O450</f>
        <v>-12791</v>
      </c>
      <c r="P117" s="134"/>
    </row>
    <row r="118" spans="1:16" ht="12.75" customHeight="1" x14ac:dyDescent="0.25">
      <c r="D118" s="1447"/>
      <c r="E118" s="1447"/>
      <c r="F118" s="1447"/>
      <c r="G118" s="1453" t="s">
        <v>536</v>
      </c>
      <c r="H118" s="549"/>
      <c r="I118" s="1454"/>
      <c r="J118" s="1827">
        <v>-11404</v>
      </c>
      <c r="K118" s="1827">
        <v>-11701</v>
      </c>
      <c r="L118" s="1827">
        <f>SUM(L117:L117)</f>
        <v>-11947</v>
      </c>
      <c r="M118" s="1827">
        <f>SUM(M117:M117)</f>
        <v>-12222</v>
      </c>
      <c r="N118" s="1827">
        <f>SUM(N117:N117)</f>
        <v>-12503</v>
      </c>
      <c r="O118" s="1827">
        <f>SUM(O117:O117)</f>
        <v>-12791</v>
      </c>
      <c r="P118" s="1455"/>
    </row>
    <row r="119" spans="1:16" ht="12.75" customHeight="1" x14ac:dyDescent="0.25">
      <c r="D119" s="1447"/>
      <c r="E119" s="1447"/>
      <c r="F119" s="1447"/>
      <c r="G119" s="1453"/>
      <c r="H119" s="549"/>
      <c r="I119" s="1454"/>
      <c r="J119" s="1828"/>
      <c r="K119" s="1828"/>
      <c r="L119" s="1828"/>
      <c r="M119" s="1828"/>
      <c r="N119" s="1828"/>
      <c r="O119" s="1828"/>
      <c r="P119" s="1455"/>
    </row>
    <row r="120" spans="1:16" ht="12.75" customHeight="1" x14ac:dyDescent="0.25">
      <c r="A120" s="1442"/>
      <c r="D120" s="1459">
        <v>604058</v>
      </c>
      <c r="E120" s="1463"/>
      <c r="F120" s="1463"/>
      <c r="G120" s="1453" t="s">
        <v>1116</v>
      </c>
      <c r="H120" s="549"/>
      <c r="I120" s="1454"/>
      <c r="J120" s="1492"/>
      <c r="K120" s="1492"/>
      <c r="L120" s="1492"/>
      <c r="M120" s="1492"/>
      <c r="N120" s="1492"/>
      <c r="O120" s="1492"/>
      <c r="P120" s="1455"/>
    </row>
    <row r="121" spans="1:16" ht="12.75" customHeight="1" x14ac:dyDescent="0.25">
      <c r="A121" s="1442"/>
      <c r="D121" s="1459"/>
      <c r="E121" s="1463"/>
      <c r="F121" s="1463"/>
      <c r="G121" s="1456" t="s">
        <v>533</v>
      </c>
      <c r="H121" s="549"/>
      <c r="I121" s="1454"/>
      <c r="J121" s="1492"/>
      <c r="K121" s="1492"/>
      <c r="L121" s="1492"/>
      <c r="M121" s="1492"/>
      <c r="N121" s="1492"/>
      <c r="O121" s="1492"/>
      <c r="P121" s="1455"/>
    </row>
    <row r="122" spans="1:16" ht="12.75" customHeight="1" x14ac:dyDescent="0.25">
      <c r="A122" s="1442">
        <v>604058</v>
      </c>
      <c r="B122" s="1434" t="s">
        <v>1088</v>
      </c>
      <c r="D122" s="1493">
        <v>43819</v>
      </c>
      <c r="E122" s="1463"/>
      <c r="F122" s="1463"/>
      <c r="G122" s="1443" t="s">
        <v>534</v>
      </c>
      <c r="H122" s="549"/>
      <c r="I122" s="1454"/>
      <c r="J122" s="1490">
        <v>95891</v>
      </c>
      <c r="K122" s="1490">
        <v>79580</v>
      </c>
      <c r="L122" s="1490">
        <f>+L479</f>
        <v>81251</v>
      </c>
      <c r="M122" s="1490">
        <f>+M479</f>
        <v>83120</v>
      </c>
      <c r="N122" s="1490">
        <f>+N479</f>
        <v>85032</v>
      </c>
      <c r="O122" s="1490">
        <f>+O479</f>
        <v>86988</v>
      </c>
      <c r="P122" s="1455"/>
    </row>
    <row r="123" spans="1:16" ht="12.75" customHeight="1" x14ac:dyDescent="0.25">
      <c r="A123" s="1442">
        <v>604058</v>
      </c>
      <c r="B123" s="1434" t="s">
        <v>1088</v>
      </c>
      <c r="D123" s="1493">
        <v>43812</v>
      </c>
      <c r="E123" s="1463"/>
      <c r="F123" s="1463"/>
      <c r="G123" s="1443" t="s">
        <v>535</v>
      </c>
      <c r="H123" s="549"/>
      <c r="I123" s="1454"/>
      <c r="J123" s="1490">
        <v>1633</v>
      </c>
      <c r="K123" s="1490">
        <v>1675</v>
      </c>
      <c r="L123" s="1490">
        <f>+L482</f>
        <v>1710</v>
      </c>
      <c r="M123" s="1490">
        <f>+M482</f>
        <v>1749</v>
      </c>
      <c r="N123" s="1490">
        <f>+N482</f>
        <v>1789</v>
      </c>
      <c r="O123" s="1490">
        <f>+O482</f>
        <v>1830</v>
      </c>
      <c r="P123" s="1455"/>
    </row>
    <row r="124" spans="1:16" ht="12.75" customHeight="1" x14ac:dyDescent="0.25">
      <c r="A124" s="1442"/>
      <c r="D124" s="1494"/>
      <c r="E124" s="1463"/>
      <c r="F124" s="1463"/>
      <c r="G124" s="1453" t="s">
        <v>536</v>
      </c>
      <c r="H124" s="549"/>
      <c r="I124" s="1454"/>
      <c r="J124" s="1826">
        <v>97524</v>
      </c>
      <c r="K124" s="1826">
        <v>81255</v>
      </c>
      <c r="L124" s="1826">
        <f>SUM(L121:L123)</f>
        <v>82961</v>
      </c>
      <c r="M124" s="1826">
        <f>SUM(M121:M123)</f>
        <v>84869</v>
      </c>
      <c r="N124" s="1826">
        <f>SUM(N121:N123)</f>
        <v>86821</v>
      </c>
      <c r="O124" s="1826">
        <f>SUM(O121:O123)</f>
        <v>88818</v>
      </c>
      <c r="P124" s="1455"/>
    </row>
    <row r="125" spans="1:16" ht="12.75" customHeight="1" x14ac:dyDescent="0.25">
      <c r="A125" s="1442"/>
      <c r="D125" s="1494"/>
      <c r="E125" s="1463"/>
      <c r="F125" s="1463"/>
      <c r="G125" s="1453"/>
      <c r="H125" s="549"/>
      <c r="I125" s="1454"/>
      <c r="J125" s="1490"/>
      <c r="K125" s="1490"/>
      <c r="L125" s="1490"/>
      <c r="M125" s="1490"/>
      <c r="N125" s="1490"/>
      <c r="O125" s="1490"/>
      <c r="P125" s="1455"/>
    </row>
    <row r="126" spans="1:16" ht="12.75" customHeight="1" x14ac:dyDescent="0.25">
      <c r="A126" s="1442"/>
      <c r="D126" s="1494"/>
      <c r="E126" s="1463"/>
      <c r="F126" s="1463"/>
      <c r="G126" s="1453"/>
      <c r="H126" s="549"/>
      <c r="I126" s="1454"/>
      <c r="J126" s="1492"/>
      <c r="K126" s="1492"/>
      <c r="L126" s="1492"/>
      <c r="M126" s="1492"/>
      <c r="N126" s="1492"/>
      <c r="O126" s="1492"/>
      <c r="P126" s="1455"/>
    </row>
    <row r="127" spans="1:16" ht="12.75" customHeight="1" x14ac:dyDescent="0.25">
      <c r="A127" s="1442"/>
      <c r="D127" s="1495">
        <v>604027</v>
      </c>
      <c r="E127" s="1451"/>
      <c r="F127" s="1451"/>
      <c r="G127" s="1453" t="s">
        <v>1117</v>
      </c>
      <c r="I127" s="1452"/>
      <c r="J127" s="1496"/>
      <c r="K127" s="1496"/>
      <c r="L127" s="1496"/>
      <c r="M127" s="1496"/>
      <c r="N127" s="1496"/>
      <c r="O127" s="1496"/>
    </row>
    <row r="128" spans="1:16" ht="12.75" customHeight="1" x14ac:dyDescent="0.25">
      <c r="A128" s="1442"/>
      <c r="D128" s="1495"/>
      <c r="E128" s="1451"/>
      <c r="F128" s="1451"/>
      <c r="G128" s="1456" t="s">
        <v>533</v>
      </c>
      <c r="I128" s="1452"/>
      <c r="J128" s="1496"/>
      <c r="K128" s="1496"/>
      <c r="L128" s="1496"/>
      <c r="M128" s="1496"/>
      <c r="N128" s="1496"/>
      <c r="O128" s="1496"/>
    </row>
    <row r="129" spans="1:16" ht="12.75" customHeight="1" x14ac:dyDescent="0.25">
      <c r="A129" s="1442">
        <f>+D127</f>
        <v>604027</v>
      </c>
      <c r="B129" s="1434" t="str">
        <f>G127</f>
        <v>Financiele administratie</v>
      </c>
      <c r="D129" s="1497">
        <v>43511</v>
      </c>
      <c r="E129" s="1458"/>
      <c r="F129" s="1458"/>
      <c r="G129" s="1443" t="s">
        <v>560</v>
      </c>
      <c r="I129" s="1452"/>
      <c r="J129" s="1486">
        <v>28848</v>
      </c>
      <c r="K129" s="1486">
        <v>25000</v>
      </c>
      <c r="L129" s="1486">
        <f>L486</f>
        <v>26050</v>
      </c>
      <c r="M129" s="1486">
        <f>M486</f>
        <v>27014</v>
      </c>
      <c r="N129" s="1486">
        <f>N486</f>
        <v>28014</v>
      </c>
      <c r="O129" s="1486">
        <f>O486</f>
        <v>29051</v>
      </c>
      <c r="P129" s="134"/>
    </row>
    <row r="130" spans="1:16" ht="12.75" customHeight="1" x14ac:dyDescent="0.25">
      <c r="A130" s="1442">
        <f>+D127</f>
        <v>604027</v>
      </c>
      <c r="B130" s="1434" t="str">
        <f>G127</f>
        <v>Financiele administratie</v>
      </c>
      <c r="D130" s="1497">
        <v>43812</v>
      </c>
      <c r="E130" s="1458"/>
      <c r="F130" s="1458"/>
      <c r="G130" s="1443" t="s">
        <v>535</v>
      </c>
      <c r="I130" s="1452"/>
      <c r="J130" s="1486">
        <v>60444</v>
      </c>
      <c r="K130" s="1486">
        <v>62016</v>
      </c>
      <c r="L130" s="1486">
        <f>L493</f>
        <v>63318</v>
      </c>
      <c r="M130" s="1486">
        <f>M493</f>
        <v>64774</v>
      </c>
      <c r="N130" s="1486">
        <f>N493</f>
        <v>66264</v>
      </c>
      <c r="O130" s="1486">
        <f>O493</f>
        <v>67788</v>
      </c>
      <c r="P130" s="134"/>
    </row>
    <row r="131" spans="1:16" ht="12.75" customHeight="1" x14ac:dyDescent="0.25">
      <c r="A131" s="1442"/>
      <c r="D131" s="1494"/>
      <c r="E131" s="1463"/>
      <c r="F131" s="1463"/>
      <c r="G131" s="1453" t="s">
        <v>536</v>
      </c>
      <c r="H131" s="549"/>
      <c r="I131" s="1454"/>
      <c r="J131" s="1826">
        <v>89292</v>
      </c>
      <c r="K131" s="1826">
        <v>87016</v>
      </c>
      <c r="L131" s="1826">
        <f>SUM(L129:L130)</f>
        <v>89368</v>
      </c>
      <c r="M131" s="1826">
        <f>SUM(M129:M130)</f>
        <v>91788</v>
      </c>
      <c r="N131" s="1826">
        <f>SUM(N129:N130)</f>
        <v>94278</v>
      </c>
      <c r="O131" s="1826">
        <f>SUM(O129:O130)</f>
        <v>96839</v>
      </c>
      <c r="P131" s="1455"/>
    </row>
    <row r="132" spans="1:16" ht="12.75" customHeight="1" x14ac:dyDescent="0.25">
      <c r="A132" s="1442"/>
      <c r="D132" s="1493"/>
      <c r="E132" s="1447"/>
      <c r="F132" s="1447"/>
      <c r="G132" s="1443"/>
      <c r="I132" s="1452"/>
      <c r="J132" s="1496"/>
      <c r="K132" s="1496"/>
      <c r="L132" s="1496"/>
      <c r="M132" s="1496"/>
      <c r="N132" s="1496"/>
      <c r="O132" s="1496"/>
    </row>
    <row r="133" spans="1:16" ht="12.75" customHeight="1" x14ac:dyDescent="0.25">
      <c r="A133" s="1442"/>
      <c r="D133" s="1495">
        <v>604028</v>
      </c>
      <c r="E133" s="1451"/>
      <c r="F133" s="1451"/>
      <c r="G133" s="1453" t="s">
        <v>1118</v>
      </c>
      <c r="I133" s="1452"/>
      <c r="J133" s="1486"/>
      <c r="K133" s="1486"/>
      <c r="L133" s="1486"/>
      <c r="M133" s="1486"/>
      <c r="N133" s="1486"/>
      <c r="O133" s="1486"/>
      <c r="P133" s="134"/>
    </row>
    <row r="134" spans="1:16" ht="12.75" customHeight="1" x14ac:dyDescent="0.25">
      <c r="A134" s="1442"/>
      <c r="D134" s="1493"/>
      <c r="E134" s="1447"/>
      <c r="F134" s="1447"/>
      <c r="G134" s="1456" t="s">
        <v>533</v>
      </c>
      <c r="I134" s="1452"/>
      <c r="J134" s="1486"/>
      <c r="K134" s="1486"/>
      <c r="L134" s="1486"/>
      <c r="M134" s="1486"/>
      <c r="N134" s="1486"/>
      <c r="O134" s="1486"/>
      <c r="P134" s="134"/>
    </row>
    <row r="135" spans="1:16" ht="12.75" customHeight="1" x14ac:dyDescent="0.25">
      <c r="A135" s="1442">
        <f>+D133</f>
        <v>604028</v>
      </c>
      <c r="B135" s="1434" t="str">
        <f>G133</f>
        <v>Financieel Beleid</v>
      </c>
      <c r="D135" s="1497">
        <v>43511</v>
      </c>
      <c r="E135" s="1458"/>
      <c r="F135" s="1458"/>
      <c r="G135" s="1443" t="s">
        <v>560</v>
      </c>
      <c r="I135" s="1452"/>
      <c r="J135" s="1486">
        <v>13701</v>
      </c>
      <c r="K135" s="1486">
        <v>10000</v>
      </c>
      <c r="L135" s="1486">
        <f>+L498</f>
        <v>10420</v>
      </c>
      <c r="M135" s="1486">
        <f>+M498</f>
        <v>10806</v>
      </c>
      <c r="N135" s="1486">
        <f>+N498</f>
        <v>11206</v>
      </c>
      <c r="O135" s="1486">
        <f>+O498</f>
        <v>11621</v>
      </c>
      <c r="P135" s="134"/>
    </row>
    <row r="136" spans="1:16" ht="12.75" customHeight="1" x14ac:dyDescent="0.25">
      <c r="A136" s="1442"/>
      <c r="D136" s="1494"/>
      <c r="E136" s="1463"/>
      <c r="F136" s="1463"/>
      <c r="G136" s="1453" t="s">
        <v>536</v>
      </c>
      <c r="H136" s="549"/>
      <c r="I136" s="1454"/>
      <c r="J136" s="1826">
        <v>13701</v>
      </c>
      <c r="K136" s="1826">
        <v>10000</v>
      </c>
      <c r="L136" s="1826">
        <f>SUM(L135:L135)</f>
        <v>10420</v>
      </c>
      <c r="M136" s="1826">
        <f>SUM(M135:M135)</f>
        <v>10806</v>
      </c>
      <c r="N136" s="1826">
        <f>SUM(N135:N135)</f>
        <v>11206</v>
      </c>
      <c r="O136" s="1826">
        <f>SUM(O135:O135)</f>
        <v>11621</v>
      </c>
      <c r="P136" s="1455"/>
    </row>
    <row r="137" spans="1:16" ht="12.75" customHeight="1" x14ac:dyDescent="0.25">
      <c r="A137" s="1442"/>
      <c r="D137" s="1493"/>
      <c r="E137" s="1447"/>
      <c r="F137" s="1447"/>
      <c r="G137" s="1443"/>
      <c r="I137" s="1452"/>
      <c r="J137" s="1486"/>
      <c r="K137" s="1486"/>
      <c r="L137" s="1486"/>
      <c r="M137" s="1486"/>
      <c r="N137" s="1486"/>
      <c r="O137" s="1486"/>
      <c r="P137" s="134"/>
    </row>
    <row r="138" spans="1:16" ht="12.75" customHeight="1" x14ac:dyDescent="0.25">
      <c r="A138" s="1442"/>
      <c r="D138" s="1495">
        <v>604029</v>
      </c>
      <c r="E138" s="1451"/>
      <c r="F138" s="1451"/>
      <c r="G138" s="1453" t="s">
        <v>1119</v>
      </c>
      <c r="I138" s="1452"/>
      <c r="J138" s="1486"/>
      <c r="K138" s="1486"/>
      <c r="L138" s="1486"/>
      <c r="M138" s="1486"/>
      <c r="N138" s="1486"/>
      <c r="O138" s="1486"/>
      <c r="P138" s="134"/>
    </row>
    <row r="139" spans="1:16" ht="12.75" customHeight="1" x14ac:dyDescent="0.25">
      <c r="A139" s="1442"/>
      <c r="D139" s="1495"/>
      <c r="E139" s="1451"/>
      <c r="F139" s="1451"/>
      <c r="G139" s="1456" t="s">
        <v>533</v>
      </c>
      <c r="I139" s="1452"/>
      <c r="J139" s="1486"/>
      <c r="K139" s="1486"/>
      <c r="L139" s="1486"/>
      <c r="M139" s="1486"/>
      <c r="N139" s="1486"/>
      <c r="O139" s="1486"/>
      <c r="P139" s="134"/>
    </row>
    <row r="140" spans="1:16" ht="12.75" customHeight="1" x14ac:dyDescent="0.25">
      <c r="A140" s="1442">
        <f>+D138</f>
        <v>604029</v>
      </c>
      <c r="B140" s="1434" t="str">
        <f>G138</f>
        <v>Communicatie</v>
      </c>
      <c r="D140" s="1497">
        <v>43812</v>
      </c>
      <c r="E140" s="1458"/>
      <c r="F140" s="1458"/>
      <c r="G140" s="1443" t="s">
        <v>535</v>
      </c>
      <c r="I140" s="1452"/>
      <c r="J140" s="1486">
        <v>177867</v>
      </c>
      <c r="K140" s="1486">
        <v>168830</v>
      </c>
      <c r="L140" s="1486">
        <f>L510</f>
        <v>171703</v>
      </c>
      <c r="M140" s="1486">
        <f>M510</f>
        <v>175183</v>
      </c>
      <c r="N140" s="1486">
        <f>N510</f>
        <v>178727</v>
      </c>
      <c r="O140" s="1486">
        <f>O510</f>
        <v>182334</v>
      </c>
      <c r="P140" s="134"/>
    </row>
    <row r="141" spans="1:16" ht="12.75" customHeight="1" x14ac:dyDescent="0.25">
      <c r="A141" s="1442"/>
      <c r="D141" s="1494"/>
      <c r="E141" s="1463"/>
      <c r="F141" s="1463"/>
      <c r="G141" s="1453" t="s">
        <v>536</v>
      </c>
      <c r="H141" s="549"/>
      <c r="I141" s="1454"/>
      <c r="J141" s="1826">
        <v>177867</v>
      </c>
      <c r="K141" s="1826">
        <v>168830</v>
      </c>
      <c r="L141" s="1826">
        <f>SUM(L140:L140)</f>
        <v>171703</v>
      </c>
      <c r="M141" s="1826">
        <f>SUM(M140:M140)</f>
        <v>175183</v>
      </c>
      <c r="N141" s="1826">
        <f>SUM(N140:N140)</f>
        <v>178727</v>
      </c>
      <c r="O141" s="1826">
        <f>SUM(O140:O140)</f>
        <v>182334</v>
      </c>
      <c r="P141" s="1455"/>
    </row>
    <row r="142" spans="1:16" ht="12.75" customHeight="1" x14ac:dyDescent="0.25">
      <c r="A142" s="1442"/>
      <c r="D142" s="1493"/>
      <c r="E142" s="1447"/>
      <c r="F142" s="1447"/>
      <c r="G142" s="1443"/>
      <c r="I142" s="1452"/>
      <c r="J142" s="1486"/>
      <c r="K142" s="1486"/>
      <c r="L142" s="1486"/>
      <c r="M142" s="1486"/>
      <c r="N142" s="1486"/>
      <c r="O142" s="1486"/>
      <c r="P142" s="134"/>
    </row>
    <row r="143" spans="1:16" ht="12.75" customHeight="1" x14ac:dyDescent="0.25">
      <c r="A143" s="1442"/>
      <c r="D143" s="1495">
        <v>604030</v>
      </c>
      <c r="E143" s="1451"/>
      <c r="F143" s="1451"/>
      <c r="G143" s="1453" t="s">
        <v>1120</v>
      </c>
      <c r="I143" s="1452"/>
      <c r="J143" s="1486"/>
      <c r="K143" s="1486"/>
      <c r="L143" s="1486"/>
      <c r="M143" s="1486"/>
      <c r="N143" s="1486"/>
      <c r="O143" s="1486"/>
      <c r="P143" s="134"/>
    </row>
    <row r="144" spans="1:16" ht="12.75" customHeight="1" x14ac:dyDescent="0.25">
      <c r="A144" s="1442"/>
      <c r="D144" s="1493"/>
      <c r="E144" s="1447"/>
      <c r="F144" s="1447"/>
      <c r="G144" s="1456" t="s">
        <v>533</v>
      </c>
      <c r="I144" s="1452"/>
      <c r="J144" s="1486"/>
      <c r="K144" s="1486"/>
      <c r="L144" s="1486"/>
      <c r="M144" s="1486"/>
      <c r="N144" s="1486"/>
      <c r="O144" s="1486"/>
      <c r="P144" s="134"/>
    </row>
    <row r="145" spans="1:16" ht="12.75" customHeight="1" x14ac:dyDescent="0.25">
      <c r="A145" s="1442">
        <f>+D143</f>
        <v>604030</v>
      </c>
      <c r="B145" s="1434" t="str">
        <f>G143</f>
        <v>Advertentiekosten</v>
      </c>
      <c r="D145" s="1497">
        <v>43812</v>
      </c>
      <c r="E145" s="1458"/>
      <c r="F145" s="1458"/>
      <c r="G145" s="1443" t="s">
        <v>535</v>
      </c>
      <c r="I145" s="1452"/>
      <c r="J145" s="1486">
        <v>9388</v>
      </c>
      <c r="K145" s="1486">
        <v>6765</v>
      </c>
      <c r="L145" s="1486">
        <f>L527</f>
        <v>6933</v>
      </c>
      <c r="M145" s="1486">
        <f>M527</f>
        <v>6969</v>
      </c>
      <c r="N145" s="1486">
        <f>N527</f>
        <v>7319</v>
      </c>
      <c r="O145" s="1486">
        <f>O527</f>
        <v>7384</v>
      </c>
      <c r="P145" s="134"/>
    </row>
    <row r="146" spans="1:16" ht="12.75" customHeight="1" x14ac:dyDescent="0.25">
      <c r="A146" s="1442"/>
      <c r="D146" s="1494"/>
      <c r="E146" s="1463"/>
      <c r="F146" s="1463"/>
      <c r="G146" s="1453" t="s">
        <v>536</v>
      </c>
      <c r="I146" s="1454"/>
      <c r="J146" s="1826">
        <v>9388</v>
      </c>
      <c r="K146" s="1826">
        <v>6765</v>
      </c>
      <c r="L146" s="1826">
        <f>SUM(L145)</f>
        <v>6933</v>
      </c>
      <c r="M146" s="1826">
        <f>SUM(M145)</f>
        <v>6969</v>
      </c>
      <c r="N146" s="1826">
        <f>SUM(N145)</f>
        <v>7319</v>
      </c>
      <c r="O146" s="1826">
        <f>SUM(O145)</f>
        <v>7384</v>
      </c>
      <c r="P146" s="1455"/>
    </row>
    <row r="147" spans="1:16" ht="12.75" customHeight="1" x14ac:dyDescent="0.25">
      <c r="A147" s="1442"/>
      <c r="D147" s="1494"/>
      <c r="E147" s="1463"/>
      <c r="F147" s="1463"/>
      <c r="G147" s="1453"/>
      <c r="I147" s="1454"/>
      <c r="J147" s="1492"/>
      <c r="K147" s="1492"/>
      <c r="L147" s="1492"/>
      <c r="M147" s="1492"/>
      <c r="N147" s="1492"/>
      <c r="O147" s="1492"/>
      <c r="P147" s="1455"/>
    </row>
    <row r="148" spans="1:16" ht="12.75" customHeight="1" x14ac:dyDescent="0.25">
      <c r="A148" s="1442"/>
      <c r="D148" s="1495">
        <v>604031</v>
      </c>
      <c r="E148" s="1451"/>
      <c r="F148" s="1451"/>
      <c r="G148" s="1453" t="s">
        <v>1121</v>
      </c>
      <c r="I148" s="1452"/>
      <c r="J148" s="1486"/>
      <c r="K148" s="1486"/>
      <c r="L148" s="1486"/>
      <c r="M148" s="1486"/>
      <c r="N148" s="1486"/>
      <c r="O148" s="1486"/>
      <c r="P148" s="134"/>
    </row>
    <row r="149" spans="1:16" ht="12.75" customHeight="1" x14ac:dyDescent="0.25">
      <c r="A149" s="1442"/>
      <c r="D149" s="1493"/>
      <c r="E149" s="1447"/>
      <c r="F149" s="1447"/>
      <c r="G149" s="1456" t="s">
        <v>533</v>
      </c>
      <c r="I149" s="1452"/>
      <c r="J149" s="1486"/>
      <c r="K149" s="1486"/>
      <c r="L149" s="1486"/>
      <c r="M149" s="1486"/>
      <c r="N149" s="1486"/>
      <c r="O149" s="1486"/>
      <c r="P149" s="134"/>
    </row>
    <row r="150" spans="1:16" ht="12.75" customHeight="1" x14ac:dyDescent="0.25">
      <c r="A150" s="1442">
        <f>+D148</f>
        <v>604031</v>
      </c>
      <c r="B150" s="1434" t="str">
        <f>G148</f>
        <v>Digitale dienstverlening</v>
      </c>
      <c r="D150" s="1497">
        <v>43812</v>
      </c>
      <c r="E150" s="1458"/>
      <c r="F150" s="1458"/>
      <c r="G150" s="1443" t="s">
        <v>535</v>
      </c>
      <c r="I150" s="1452"/>
      <c r="J150" s="1486">
        <v>0</v>
      </c>
      <c r="K150" s="1486">
        <v>0</v>
      </c>
      <c r="L150" s="1486">
        <v>0</v>
      </c>
      <c r="M150" s="1486">
        <v>0</v>
      </c>
      <c r="N150" s="1486">
        <v>0</v>
      </c>
      <c r="O150" s="1486">
        <v>0</v>
      </c>
      <c r="P150" s="134"/>
    </row>
    <row r="151" spans="1:16" ht="12.75" customHeight="1" x14ac:dyDescent="0.25">
      <c r="A151" s="1442"/>
      <c r="D151" s="1494"/>
      <c r="E151" s="1463"/>
      <c r="F151" s="1463"/>
      <c r="G151" s="1453" t="s">
        <v>536</v>
      </c>
      <c r="I151" s="1454"/>
      <c r="J151" s="1826">
        <v>0</v>
      </c>
      <c r="K151" s="1826">
        <v>0</v>
      </c>
      <c r="L151" s="1826">
        <f>SUM(L150)</f>
        <v>0</v>
      </c>
      <c r="M151" s="1826">
        <f>SUM(M150)</f>
        <v>0</v>
      </c>
      <c r="N151" s="1826">
        <f>SUM(N150)</f>
        <v>0</v>
      </c>
      <c r="O151" s="1826">
        <f>SUM(O150)</f>
        <v>0</v>
      </c>
      <c r="P151" s="1455"/>
    </row>
    <row r="152" spans="1:16" ht="12.75" customHeight="1" x14ac:dyDescent="0.25">
      <c r="A152" s="1442"/>
      <c r="D152" s="1494"/>
      <c r="E152" s="1463"/>
      <c r="F152" s="1463"/>
      <c r="G152" s="1453"/>
      <c r="I152" s="1454"/>
      <c r="J152" s="1492"/>
      <c r="K152" s="1492"/>
      <c r="L152" s="1492"/>
      <c r="M152" s="1492"/>
      <c r="N152" s="1492"/>
      <c r="O152" s="1492"/>
      <c r="P152" s="1455"/>
    </row>
    <row r="153" spans="1:16" ht="12.75" customHeight="1" x14ac:dyDescent="0.25">
      <c r="A153" s="1442"/>
      <c r="D153" s="1495">
        <v>604032</v>
      </c>
      <c r="E153" s="1451"/>
      <c r="F153" s="1451"/>
      <c r="G153" s="1453" t="s">
        <v>1122</v>
      </c>
      <c r="I153" s="1452"/>
      <c r="J153" s="1486"/>
      <c r="K153" s="1486"/>
      <c r="L153" s="1486"/>
      <c r="M153" s="1486"/>
      <c r="N153" s="1486"/>
      <c r="O153" s="1486"/>
      <c r="P153" s="134"/>
    </row>
    <row r="154" spans="1:16" ht="12.75" customHeight="1" x14ac:dyDescent="0.25">
      <c r="A154" s="1442"/>
      <c r="D154" s="1495"/>
      <c r="E154" s="1451"/>
      <c r="F154" s="1451"/>
      <c r="G154" s="1456" t="s">
        <v>533</v>
      </c>
      <c r="I154" s="1452"/>
      <c r="J154" s="1486"/>
      <c r="K154" s="1486"/>
      <c r="L154" s="1486"/>
      <c r="M154" s="1486"/>
      <c r="N154" s="1486"/>
      <c r="O154" s="1486"/>
      <c r="P154" s="134"/>
    </row>
    <row r="155" spans="1:16" ht="12.75" customHeight="1" x14ac:dyDescent="0.25">
      <c r="A155" s="1442">
        <f>+D153</f>
        <v>604032</v>
      </c>
      <c r="B155" s="1434" t="str">
        <f>G153</f>
        <v>Juridische Zaken</v>
      </c>
      <c r="D155" s="1497">
        <v>43511</v>
      </c>
      <c r="E155" s="1458"/>
      <c r="F155" s="1458"/>
      <c r="G155" s="1443" t="s">
        <v>560</v>
      </c>
      <c r="I155" s="1452"/>
      <c r="J155" s="1486">
        <v>8165</v>
      </c>
      <c r="K155" s="1486">
        <v>8377</v>
      </c>
      <c r="L155" s="1486">
        <f>+L533</f>
        <v>8553</v>
      </c>
      <c r="M155" s="1486">
        <f>+M533</f>
        <v>8750</v>
      </c>
      <c r="N155" s="1486">
        <f>+N533</f>
        <v>8951</v>
      </c>
      <c r="O155" s="1486">
        <f>+O533</f>
        <v>9157</v>
      </c>
      <c r="P155" s="134"/>
    </row>
    <row r="156" spans="1:16" ht="12.75" customHeight="1" x14ac:dyDescent="0.25">
      <c r="A156" s="1442">
        <f>+D153</f>
        <v>604032</v>
      </c>
      <c r="B156" s="1434" t="str">
        <f>G153</f>
        <v>Juridische Zaken</v>
      </c>
      <c r="D156" s="1497">
        <v>43812</v>
      </c>
      <c r="E156" s="1458"/>
      <c r="F156" s="1458"/>
      <c r="G156" s="1443" t="s">
        <v>535</v>
      </c>
      <c r="I156" s="1452"/>
      <c r="J156" s="1486">
        <v>48459.786749999999</v>
      </c>
      <c r="K156" s="1486">
        <v>40739.542484999998</v>
      </c>
      <c r="L156" s="1486">
        <f>L601</f>
        <v>41837.535269369997</v>
      </c>
      <c r="M156" s="1486">
        <f>M601</f>
        <v>43027.842324336692</v>
      </c>
      <c r="N156" s="1486">
        <f>N601</f>
        <v>43641.14611750617</v>
      </c>
      <c r="O156" s="1486">
        <f>O601</f>
        <v>44830.717273853901</v>
      </c>
      <c r="P156" s="134"/>
    </row>
    <row r="157" spans="1:16" ht="12.75" customHeight="1" x14ac:dyDescent="0.25">
      <c r="A157" s="1442"/>
      <c r="D157" s="1494"/>
      <c r="E157" s="1463"/>
      <c r="F157" s="1463"/>
      <c r="G157" s="1453" t="s">
        <v>536</v>
      </c>
      <c r="H157" s="549"/>
      <c r="I157" s="1454"/>
      <c r="J157" s="1826">
        <v>56624.786749999999</v>
      </c>
      <c r="K157" s="1826">
        <v>49116.542484999998</v>
      </c>
      <c r="L157" s="1826">
        <f>SUM(L154:L156)</f>
        <v>50390.535269369997</v>
      </c>
      <c r="M157" s="1826">
        <f>SUM(M154:M156)</f>
        <v>51777.842324336692</v>
      </c>
      <c r="N157" s="1826">
        <f>SUM(N154:N156)</f>
        <v>52592.14611750617</v>
      </c>
      <c r="O157" s="1826">
        <f>SUM(O154:O156)</f>
        <v>53987.717273853901</v>
      </c>
      <c r="P157" s="1455"/>
    </row>
    <row r="158" spans="1:16" ht="12.75" customHeight="1" x14ac:dyDescent="0.25">
      <c r="A158" s="1442"/>
      <c r="D158" s="1493"/>
      <c r="E158" s="1447"/>
      <c r="F158" s="1447"/>
      <c r="G158" s="1443"/>
      <c r="I158" s="1452"/>
      <c r="J158" s="1486"/>
      <c r="K158" s="1486"/>
      <c r="L158" s="1486"/>
      <c r="M158" s="1486"/>
      <c r="N158" s="1486"/>
      <c r="O158" s="1486"/>
      <c r="P158" s="134"/>
    </row>
    <row r="159" spans="1:16" ht="12.75" customHeight="1" x14ac:dyDescent="0.25">
      <c r="A159" s="1442"/>
      <c r="D159" s="1495">
        <v>604033</v>
      </c>
      <c r="E159" s="1451"/>
      <c r="F159" s="1451"/>
      <c r="G159" s="1453" t="s">
        <v>1123</v>
      </c>
      <c r="I159" s="1452"/>
      <c r="J159" s="1486"/>
      <c r="K159" s="1486"/>
      <c r="L159" s="1486"/>
      <c r="M159" s="1486"/>
      <c r="N159" s="1486"/>
      <c r="O159" s="1486"/>
      <c r="P159" s="134"/>
    </row>
    <row r="160" spans="1:16" ht="12.75" customHeight="1" x14ac:dyDescent="0.25">
      <c r="A160" s="1442"/>
      <c r="D160" s="1495"/>
      <c r="E160" s="1451"/>
      <c r="F160" s="1451"/>
      <c r="G160" s="1456" t="s">
        <v>533</v>
      </c>
      <c r="I160" s="1452"/>
      <c r="J160" s="1486"/>
      <c r="K160" s="1486"/>
      <c r="L160" s="1486"/>
      <c r="M160" s="1486"/>
      <c r="N160" s="1486"/>
      <c r="O160" s="1486"/>
      <c r="P160" s="134"/>
    </row>
    <row r="161" spans="1:16" ht="12.75" customHeight="1" x14ac:dyDescent="0.25">
      <c r="A161" s="1442">
        <f>+D159</f>
        <v>604033</v>
      </c>
      <c r="B161" s="1434" t="str">
        <f>G159</f>
        <v>Control &amp; Kwaliteit</v>
      </c>
      <c r="D161" s="1497">
        <v>43511</v>
      </c>
      <c r="E161" s="1458"/>
      <c r="F161" s="1458"/>
      <c r="G161" s="1443" t="s">
        <v>560</v>
      </c>
      <c r="I161" s="1452"/>
      <c r="J161" s="1486">
        <v>22472</v>
      </c>
      <c r="K161" s="1486">
        <v>23057</v>
      </c>
      <c r="L161" s="1486">
        <f>+L607</f>
        <v>23541</v>
      </c>
      <c r="M161" s="1486">
        <f>+M607</f>
        <v>24083</v>
      </c>
      <c r="N161" s="1486">
        <f>+N607</f>
        <v>24637</v>
      </c>
      <c r="O161" s="1486">
        <f>+O607</f>
        <v>25204</v>
      </c>
      <c r="P161" s="134"/>
    </row>
    <row r="162" spans="1:16" ht="12.75" customHeight="1" x14ac:dyDescent="0.25">
      <c r="A162" s="1442">
        <f>+D159</f>
        <v>604033</v>
      </c>
      <c r="B162" s="1434" t="str">
        <f>G159</f>
        <v>Control &amp; Kwaliteit</v>
      </c>
      <c r="D162" s="1497">
        <v>43812</v>
      </c>
      <c r="E162" s="1458"/>
      <c r="F162" s="1458"/>
      <c r="G162" s="1443" t="s">
        <v>535</v>
      </c>
      <c r="I162" s="1452"/>
      <c r="J162" s="1486">
        <v>228052</v>
      </c>
      <c r="K162" s="1486">
        <v>289205</v>
      </c>
      <c r="L162" s="1486">
        <f>L615</f>
        <v>295278</v>
      </c>
      <c r="M162" s="1486">
        <f>M615</f>
        <v>302069</v>
      </c>
      <c r="N162" s="1486">
        <f>N615</f>
        <v>309017</v>
      </c>
      <c r="O162" s="1486">
        <f>O615</f>
        <v>316124</v>
      </c>
      <c r="P162" s="134"/>
    </row>
    <row r="163" spans="1:16" ht="12.75" customHeight="1" x14ac:dyDescent="0.25">
      <c r="A163" s="1442"/>
      <c r="D163" s="1494"/>
      <c r="E163" s="1463"/>
      <c r="F163" s="1463"/>
      <c r="G163" s="1453" t="s">
        <v>536</v>
      </c>
      <c r="H163" s="549"/>
      <c r="I163" s="1454"/>
      <c r="J163" s="1827">
        <v>250524</v>
      </c>
      <c r="K163" s="1827">
        <v>312262</v>
      </c>
      <c r="L163" s="1827">
        <f>SUM(L161:L162)</f>
        <v>318819</v>
      </c>
      <c r="M163" s="1827">
        <f>SUM(M161:M162)</f>
        <v>326152</v>
      </c>
      <c r="N163" s="1827">
        <f>SUM(N161:N162)</f>
        <v>333654</v>
      </c>
      <c r="O163" s="1827">
        <f>SUM(O161:O162)</f>
        <v>341328</v>
      </c>
      <c r="P163" s="1455"/>
    </row>
    <row r="164" spans="1:16" ht="12.75" customHeight="1" x14ac:dyDescent="0.25">
      <c r="A164" s="1442"/>
      <c r="D164" s="1494"/>
      <c r="E164" s="1463"/>
      <c r="F164" s="1463"/>
      <c r="G164" s="1453"/>
      <c r="H164" s="549"/>
      <c r="I164" s="1454"/>
      <c r="J164" s="1492"/>
      <c r="K164" s="1492"/>
      <c r="L164" s="1492"/>
      <c r="M164" s="1492"/>
      <c r="N164" s="1492"/>
      <c r="O164" s="1492"/>
      <c r="P164" s="1455"/>
    </row>
    <row r="165" spans="1:16" ht="12.75" customHeight="1" x14ac:dyDescent="0.25">
      <c r="D165" s="1450">
        <v>604034</v>
      </c>
      <c r="E165" s="1451"/>
      <c r="F165" s="1451"/>
      <c r="G165" s="1453" t="s">
        <v>1124</v>
      </c>
      <c r="I165" s="1452"/>
      <c r="J165" s="1486"/>
      <c r="K165" s="1486"/>
      <c r="L165" s="1486"/>
      <c r="M165" s="1486"/>
      <c r="N165" s="1486"/>
      <c r="O165" s="1486"/>
      <c r="P165" s="134"/>
    </row>
    <row r="166" spans="1:16" ht="12.75" customHeight="1" x14ac:dyDescent="0.25">
      <c r="D166" s="1450"/>
      <c r="E166" s="1451"/>
      <c r="F166" s="1451"/>
      <c r="G166" s="1456" t="s">
        <v>533</v>
      </c>
      <c r="I166" s="1452"/>
      <c r="J166" s="1486"/>
      <c r="K166" s="1486"/>
      <c r="L166" s="1486"/>
      <c r="M166" s="1486"/>
      <c r="N166" s="1486"/>
      <c r="O166" s="1486"/>
      <c r="P166" s="134"/>
    </row>
    <row r="167" spans="1:16" ht="12.75" customHeight="1" x14ac:dyDescent="0.25">
      <c r="A167" s="1442">
        <f>+D165</f>
        <v>604034</v>
      </c>
      <c r="B167" s="1434" t="str">
        <f>G165</f>
        <v>Directie</v>
      </c>
      <c r="D167" s="1497">
        <v>43511</v>
      </c>
      <c r="E167" s="1451"/>
      <c r="F167" s="1451"/>
      <c r="G167" s="1443" t="s">
        <v>560</v>
      </c>
      <c r="I167" s="1452"/>
      <c r="J167" s="1487">
        <v>0</v>
      </c>
      <c r="K167" s="1487">
        <v>0</v>
      </c>
      <c r="L167" s="1487">
        <v>0</v>
      </c>
      <c r="M167" s="1487">
        <v>0</v>
      </c>
      <c r="N167" s="1487">
        <v>0</v>
      </c>
      <c r="O167" s="1487">
        <v>0</v>
      </c>
      <c r="P167" s="134"/>
    </row>
    <row r="168" spans="1:16" ht="12.75" customHeight="1" x14ac:dyDescent="0.25">
      <c r="A168" s="1442">
        <f>+D165</f>
        <v>604034</v>
      </c>
      <c r="B168" s="1434" t="str">
        <f>G165</f>
        <v>Directie</v>
      </c>
      <c r="D168" s="1458">
        <v>43812</v>
      </c>
      <c r="E168" s="1458"/>
      <c r="F168" s="1458"/>
      <c r="G168" s="1443" t="s">
        <v>535</v>
      </c>
      <c r="I168" s="1452"/>
      <c r="J168" s="1487">
        <v>2762</v>
      </c>
      <c r="K168" s="1487">
        <v>2834</v>
      </c>
      <c r="L168" s="1487">
        <f>L630</f>
        <v>2894</v>
      </c>
      <c r="M168" s="1487">
        <f>M630</f>
        <v>2961</v>
      </c>
      <c r="N168" s="1487">
        <f>N630</f>
        <v>3029</v>
      </c>
      <c r="O168" s="1487">
        <f>O630</f>
        <v>3099</v>
      </c>
      <c r="P168" s="134"/>
    </row>
    <row r="169" spans="1:16" ht="12.75" customHeight="1" x14ac:dyDescent="0.25">
      <c r="A169" s="1442">
        <f>+D165</f>
        <v>604034</v>
      </c>
      <c r="B169" s="1434" t="str">
        <f>G165</f>
        <v>Directie</v>
      </c>
      <c r="D169" s="1458">
        <v>43819</v>
      </c>
      <c r="E169" s="1458"/>
      <c r="F169" s="1458"/>
      <c r="G169" s="1443" t="s">
        <v>534</v>
      </c>
      <c r="I169" s="1452"/>
      <c r="J169" s="1486">
        <v>9349</v>
      </c>
      <c r="K169" s="1486">
        <v>7631</v>
      </c>
      <c r="L169" s="1486">
        <f>L620</f>
        <v>7791</v>
      </c>
      <c r="M169" s="1486">
        <f>M620</f>
        <v>7970</v>
      </c>
      <c r="N169" s="1486">
        <f>N620</f>
        <v>8153</v>
      </c>
      <c r="O169" s="1486">
        <f>O620</f>
        <v>8341</v>
      </c>
      <c r="P169" s="134"/>
    </row>
    <row r="170" spans="1:16" ht="12.75" customHeight="1" x14ac:dyDescent="0.25">
      <c r="D170" s="1447"/>
      <c r="E170" s="1447"/>
      <c r="F170" s="1447"/>
      <c r="G170" s="1453" t="s">
        <v>536</v>
      </c>
      <c r="H170" s="549"/>
      <c r="I170" s="1454"/>
      <c r="J170" s="1827">
        <v>12111</v>
      </c>
      <c r="K170" s="1827">
        <v>10465</v>
      </c>
      <c r="L170" s="1827">
        <f>SUM(L167:L169)</f>
        <v>10685</v>
      </c>
      <c r="M170" s="1827">
        <f>SUM(M167:M169)</f>
        <v>10931</v>
      </c>
      <c r="N170" s="1827">
        <f>SUM(N167:N169)</f>
        <v>11182</v>
      </c>
      <c r="O170" s="1827">
        <f>SUM(O167:O169)</f>
        <v>11440</v>
      </c>
      <c r="P170" s="1455"/>
    </row>
    <row r="171" spans="1:16" ht="12.75" customHeight="1" x14ac:dyDescent="0.25">
      <c r="D171" s="1447"/>
      <c r="E171" s="1447"/>
      <c r="F171" s="1447"/>
      <c r="G171" s="1443"/>
      <c r="I171" s="1452"/>
      <c r="J171" s="1486"/>
      <c r="K171" s="1486"/>
      <c r="L171" s="1486"/>
      <c r="M171" s="1486"/>
      <c r="N171" s="1486"/>
      <c r="O171" s="1486"/>
      <c r="P171" s="134"/>
    </row>
    <row r="172" spans="1:16" ht="12.75" customHeight="1" x14ac:dyDescent="0.25">
      <c r="D172" s="1450">
        <v>604035</v>
      </c>
      <c r="E172" s="1498"/>
      <c r="F172" s="1451"/>
      <c r="G172" s="1453" t="s">
        <v>1125</v>
      </c>
      <c r="I172" s="1499"/>
      <c r="J172" s="1496"/>
      <c r="K172" s="1496"/>
      <c r="L172" s="1496"/>
      <c r="M172" s="1496"/>
      <c r="N172" s="1496"/>
      <c r="O172" s="1496"/>
    </row>
    <row r="173" spans="1:16" ht="12.75" customHeight="1" x14ac:dyDescent="0.25">
      <c r="D173" s="1450"/>
      <c r="E173" s="1498"/>
      <c r="F173" s="1451"/>
      <c r="G173" s="1456" t="s">
        <v>533</v>
      </c>
      <c r="I173" s="1499"/>
      <c r="J173" s="1496"/>
      <c r="K173" s="1496"/>
      <c r="L173" s="1496"/>
      <c r="M173" s="1496"/>
      <c r="N173" s="1496"/>
      <c r="O173" s="1496"/>
    </row>
    <row r="174" spans="1:16" ht="12.75" customHeight="1" x14ac:dyDescent="0.25">
      <c r="A174" s="1442">
        <f>+D172</f>
        <v>604035</v>
      </c>
      <c r="B174" s="1434" t="str">
        <f>G172</f>
        <v>Ondernemingsraad</v>
      </c>
      <c r="D174" s="1458">
        <v>43812</v>
      </c>
      <c r="E174" s="1500"/>
      <c r="F174" s="1458"/>
      <c r="G174" s="1443" t="s">
        <v>535</v>
      </c>
      <c r="I174" s="1452"/>
      <c r="J174" s="1487">
        <v>20567</v>
      </c>
      <c r="K174" s="1487">
        <v>21102</v>
      </c>
      <c r="L174" s="1487">
        <f>L644</f>
        <v>21545</v>
      </c>
      <c r="M174" s="1487">
        <f>M644</f>
        <v>22041</v>
      </c>
      <c r="N174" s="1487">
        <f>N644</f>
        <v>22548</v>
      </c>
      <c r="O174" s="1487">
        <f>O644</f>
        <v>23067</v>
      </c>
      <c r="P174" s="134"/>
    </row>
    <row r="175" spans="1:16" ht="12.75" customHeight="1" x14ac:dyDescent="0.25">
      <c r="D175" s="1447"/>
      <c r="E175" s="1501"/>
      <c r="F175" s="1447"/>
      <c r="G175" s="1453" t="s">
        <v>536</v>
      </c>
      <c r="I175" s="1452"/>
      <c r="J175" s="1829">
        <v>20567</v>
      </c>
      <c r="K175" s="1829">
        <v>21102</v>
      </c>
      <c r="L175" s="1829">
        <f>SUM(L174)</f>
        <v>21545</v>
      </c>
      <c r="M175" s="1829">
        <f>SUM(M174)</f>
        <v>22041</v>
      </c>
      <c r="N175" s="1829">
        <f>SUM(N174)</f>
        <v>22548</v>
      </c>
      <c r="O175" s="1829">
        <f>SUM(O174)</f>
        <v>23067</v>
      </c>
      <c r="P175" s="545"/>
    </row>
    <row r="176" spans="1:16" ht="12.75" customHeight="1" x14ac:dyDescent="0.25">
      <c r="D176" s="1447"/>
      <c r="E176" s="1501"/>
      <c r="F176" s="1447"/>
      <c r="G176" s="1443"/>
      <c r="I176" s="1452"/>
      <c r="J176" s="1486"/>
      <c r="K176" s="1486"/>
      <c r="L176" s="1486"/>
      <c r="M176" s="1486"/>
      <c r="N176" s="1486"/>
      <c r="O176" s="1486"/>
      <c r="P176" s="134"/>
    </row>
    <row r="177" spans="1:16" ht="12.75" customHeight="1" x14ac:dyDescent="0.25">
      <c r="D177" s="1450">
        <v>604036</v>
      </c>
      <c r="E177" s="1501"/>
      <c r="F177" s="1447"/>
      <c r="G177" s="549" t="s">
        <v>1126</v>
      </c>
      <c r="I177" s="1452"/>
      <c r="J177" s="1486"/>
      <c r="K177" s="1486"/>
      <c r="L177" s="1486"/>
      <c r="M177" s="1486"/>
      <c r="N177" s="1486"/>
      <c r="O177" s="1486"/>
      <c r="P177" s="134"/>
    </row>
    <row r="178" spans="1:16" ht="12.75" customHeight="1" x14ac:dyDescent="0.25">
      <c r="D178" s="1450"/>
      <c r="E178" s="1501"/>
      <c r="F178" s="1447"/>
      <c r="G178" s="1502" t="s">
        <v>1127</v>
      </c>
      <c r="I178" s="1452"/>
      <c r="J178" s="1486"/>
      <c r="K178" s="1486"/>
      <c r="L178" s="1486"/>
      <c r="M178" s="1486"/>
      <c r="N178" s="1486"/>
      <c r="O178" s="1486"/>
      <c r="P178" s="134"/>
    </row>
    <row r="179" spans="1:16" ht="12.75" customHeight="1" x14ac:dyDescent="0.25">
      <c r="A179" s="1442">
        <f>+D177</f>
        <v>604036</v>
      </c>
      <c r="B179" s="1434" t="str">
        <f>+G177</f>
        <v>Terugontvangst salarissen</v>
      </c>
      <c r="D179" s="1447">
        <v>83520</v>
      </c>
      <c r="E179" s="1501"/>
      <c r="F179" s="1447"/>
      <c r="G179" s="1434" t="s">
        <v>1128</v>
      </c>
      <c r="I179" s="1452"/>
      <c r="J179" s="1486">
        <v>0</v>
      </c>
      <c r="K179" s="1486">
        <v>0</v>
      </c>
      <c r="L179" s="1486">
        <v>0</v>
      </c>
      <c r="M179" s="1486">
        <v>0</v>
      </c>
      <c r="N179" s="1486">
        <v>0</v>
      </c>
      <c r="O179" s="1486">
        <v>0</v>
      </c>
      <c r="P179" s="134"/>
    </row>
    <row r="180" spans="1:16" ht="12.75" customHeight="1" x14ac:dyDescent="0.25">
      <c r="D180" s="1447"/>
      <c r="E180" s="1501"/>
      <c r="F180" s="1447"/>
      <c r="G180" s="549" t="s">
        <v>536</v>
      </c>
      <c r="I180" s="1452"/>
      <c r="J180" s="1829">
        <v>0</v>
      </c>
      <c r="K180" s="1829">
        <v>0</v>
      </c>
      <c r="L180" s="1829">
        <f>SUM(L179:L179)</f>
        <v>0</v>
      </c>
      <c r="M180" s="1829">
        <f>SUM(M179:M179)</f>
        <v>0</v>
      </c>
      <c r="N180" s="1829">
        <f>SUM(N179:N179)</f>
        <v>0</v>
      </c>
      <c r="O180" s="1829">
        <f>SUM(O179:O179)</f>
        <v>0</v>
      </c>
      <c r="P180" s="545"/>
    </row>
    <row r="181" spans="1:16" ht="12.75" customHeight="1" x14ac:dyDescent="0.25">
      <c r="D181" s="1447"/>
      <c r="E181" s="1501"/>
      <c r="F181" s="1447"/>
      <c r="G181" s="1443"/>
      <c r="I181" s="1452"/>
      <c r="J181" s="1486"/>
      <c r="K181" s="1486"/>
      <c r="L181" s="1486"/>
      <c r="M181" s="1486"/>
      <c r="N181" s="1486"/>
      <c r="O181" s="1486"/>
      <c r="P181" s="134"/>
    </row>
    <row r="182" spans="1:16" ht="12.75" customHeight="1" x14ac:dyDescent="0.25">
      <c r="A182" s="1442"/>
      <c r="D182" s="1450">
        <v>604038</v>
      </c>
      <c r="E182" s="1451"/>
      <c r="F182" s="1451"/>
      <c r="G182" s="1453" t="s">
        <v>1129</v>
      </c>
      <c r="I182" s="1503"/>
      <c r="J182" s="1486"/>
      <c r="K182" s="1486"/>
      <c r="L182" s="1486"/>
      <c r="M182" s="1486"/>
      <c r="N182" s="1486"/>
      <c r="O182" s="1486"/>
      <c r="P182" s="134"/>
    </row>
    <row r="183" spans="1:16" ht="12.75" customHeight="1" x14ac:dyDescent="0.25">
      <c r="A183" s="1442"/>
      <c r="D183" s="1450"/>
      <c r="E183" s="1451"/>
      <c r="F183" s="1451"/>
      <c r="G183" s="1456" t="s">
        <v>533</v>
      </c>
      <c r="I183" s="1503"/>
      <c r="J183" s="1486"/>
      <c r="K183" s="1486"/>
      <c r="L183" s="1486"/>
      <c r="M183" s="1486"/>
      <c r="N183" s="1486"/>
      <c r="O183" s="1486"/>
      <c r="P183" s="134"/>
    </row>
    <row r="184" spans="1:16" ht="12.75" customHeight="1" x14ac:dyDescent="0.25">
      <c r="A184" s="1442">
        <f>+D182</f>
        <v>604038</v>
      </c>
      <c r="B184" s="1434" t="str">
        <f>G182</f>
        <v>Vastgoedbeheer</v>
      </c>
      <c r="D184" s="1458">
        <v>43812</v>
      </c>
      <c r="E184" s="1458"/>
      <c r="F184" s="1458"/>
      <c r="G184" s="1443" t="s">
        <v>535</v>
      </c>
      <c r="I184" s="1503"/>
      <c r="J184" s="1486">
        <v>5007</v>
      </c>
      <c r="K184" s="1486">
        <v>5147</v>
      </c>
      <c r="L184" s="2078">
        <f>ROUND(K184*T$2,0)+31</f>
        <v>5286</v>
      </c>
      <c r="M184" s="2078">
        <f>ROUND(L184*U$2,0)+32</f>
        <v>5440</v>
      </c>
      <c r="N184" s="2078">
        <f>ROUND(M184*V$2,0)+32</f>
        <v>5597</v>
      </c>
      <c r="O184" s="1486">
        <f t="shared" ref="O184" si="12">ROUND(N184*W$2,0)</f>
        <v>5726</v>
      </c>
      <c r="P184" s="134"/>
    </row>
    <row r="185" spans="1:16" ht="12.75" customHeight="1" x14ac:dyDescent="0.25">
      <c r="A185" s="1442"/>
      <c r="D185" s="1447"/>
      <c r="E185" s="1447"/>
      <c r="F185" s="1447"/>
      <c r="G185" s="1453" t="s">
        <v>536</v>
      </c>
      <c r="H185" s="549"/>
      <c r="I185" s="1504"/>
      <c r="J185" s="1826">
        <v>5007</v>
      </c>
      <c r="K185" s="1826">
        <v>5147</v>
      </c>
      <c r="L185" s="1826">
        <f>SUM(L182:L184)</f>
        <v>5286</v>
      </c>
      <c r="M185" s="1826">
        <f>SUM(M182:M184)</f>
        <v>5440</v>
      </c>
      <c r="N185" s="1826">
        <f>SUM(N182:N184)</f>
        <v>5597</v>
      </c>
      <c r="O185" s="1826">
        <f>SUM(O182:O184)</f>
        <v>5726</v>
      </c>
      <c r="P185" s="1455"/>
    </row>
    <row r="186" spans="1:16" ht="12.75" customHeight="1" x14ac:dyDescent="0.25">
      <c r="A186" s="1442"/>
      <c r="D186" s="1447"/>
      <c r="E186" s="1447"/>
      <c r="F186" s="1447"/>
      <c r="G186" s="1453"/>
      <c r="H186" s="549"/>
      <c r="I186" s="1504"/>
      <c r="J186" s="1492"/>
      <c r="K186" s="1492"/>
      <c r="L186" s="1492"/>
      <c r="M186" s="1492"/>
      <c r="N186" s="1492"/>
      <c r="O186" s="1492"/>
      <c r="P186" s="1455"/>
    </row>
    <row r="187" spans="1:16" ht="12.75" customHeight="1" x14ac:dyDescent="0.25">
      <c r="A187" s="1442"/>
      <c r="D187" s="1460">
        <v>604056</v>
      </c>
      <c r="E187" s="1447"/>
      <c r="F187" s="1447"/>
      <c r="G187" s="1453" t="s">
        <v>1130</v>
      </c>
      <c r="H187" s="549"/>
      <c r="I187" s="1454"/>
      <c r="J187" s="1454"/>
      <c r="K187" s="1454"/>
      <c r="L187" s="1454"/>
      <c r="M187" s="1454"/>
      <c r="N187" s="1454"/>
      <c r="O187" s="1454"/>
      <c r="P187" s="1455"/>
    </row>
    <row r="188" spans="1:16" ht="12.75" customHeight="1" x14ac:dyDescent="0.25">
      <c r="A188" s="1442"/>
      <c r="D188" s="1450"/>
      <c r="E188" s="1451"/>
      <c r="F188" s="1451"/>
      <c r="G188" s="1456" t="s">
        <v>533</v>
      </c>
      <c r="I188" s="1452"/>
      <c r="J188" s="1486"/>
      <c r="K188" s="1486"/>
      <c r="L188" s="1486"/>
      <c r="M188" s="1486"/>
      <c r="N188" s="1486"/>
      <c r="O188" s="1486"/>
      <c r="P188" s="1455"/>
    </row>
    <row r="189" spans="1:16" ht="12.75" customHeight="1" x14ac:dyDescent="0.25">
      <c r="A189" s="1442">
        <f>+D187</f>
        <v>604056</v>
      </c>
      <c r="B189" s="1434" t="str">
        <f>+G187</f>
        <v>Management Domein Omgeving</v>
      </c>
      <c r="D189" s="1458">
        <v>43819</v>
      </c>
      <c r="E189" s="1458"/>
      <c r="F189" s="1458"/>
      <c r="G189" s="1443" t="s">
        <v>534</v>
      </c>
      <c r="I189" s="1452"/>
      <c r="J189" s="1486">
        <v>95060</v>
      </c>
      <c r="K189" s="1486">
        <v>122117</v>
      </c>
      <c r="L189" s="1486">
        <f>+L655</f>
        <v>124681</v>
      </c>
      <c r="M189" s="1486">
        <f>+M655</f>
        <v>127549</v>
      </c>
      <c r="N189" s="1486">
        <f>+N655</f>
        <v>130483</v>
      </c>
      <c r="O189" s="1486">
        <f>+O655</f>
        <v>133484</v>
      </c>
      <c r="P189" s="1455"/>
    </row>
    <row r="190" spans="1:16" ht="12.75" customHeight="1" x14ac:dyDescent="0.25">
      <c r="A190" s="1442">
        <f>+A189</f>
        <v>604056</v>
      </c>
      <c r="B190" s="1434" t="str">
        <f>+G187</f>
        <v>Management Domein Omgeving</v>
      </c>
      <c r="D190" s="1458">
        <v>43812</v>
      </c>
      <c r="E190" s="1458"/>
      <c r="F190" s="1458"/>
      <c r="G190" s="1443" t="s">
        <v>535</v>
      </c>
      <c r="I190" s="1452"/>
      <c r="J190" s="1486">
        <v>1633</v>
      </c>
      <c r="K190" s="1486">
        <v>0</v>
      </c>
      <c r="L190" s="1486">
        <f>+L661</f>
        <v>0</v>
      </c>
      <c r="M190" s="1486">
        <f>+M661</f>
        <v>0</v>
      </c>
      <c r="N190" s="1486">
        <f>+N661</f>
        <v>0</v>
      </c>
      <c r="O190" s="1486">
        <f>+O661</f>
        <v>0</v>
      </c>
      <c r="P190" s="1455"/>
    </row>
    <row r="191" spans="1:16" ht="12.75" customHeight="1" x14ac:dyDescent="0.25">
      <c r="A191" s="1442"/>
      <c r="D191" s="1447"/>
      <c r="E191" s="1447"/>
      <c r="F191" s="1447"/>
      <c r="G191" s="1453" t="s">
        <v>536</v>
      </c>
      <c r="H191" s="549"/>
      <c r="I191" s="1454"/>
      <c r="J191" s="1827">
        <v>96693</v>
      </c>
      <c r="K191" s="1827">
        <v>122117</v>
      </c>
      <c r="L191" s="1827">
        <f>SUM(L189:L190)</f>
        <v>124681</v>
      </c>
      <c r="M191" s="1827">
        <f>SUM(M189:M190)</f>
        <v>127549</v>
      </c>
      <c r="N191" s="1827">
        <f>SUM(N189:N190)</f>
        <v>130483</v>
      </c>
      <c r="O191" s="1827">
        <f>SUM(O189:O190)</f>
        <v>133484</v>
      </c>
      <c r="P191" s="1455"/>
    </row>
    <row r="192" spans="1:16" ht="12.75" customHeight="1" x14ac:dyDescent="0.25">
      <c r="A192" s="1442"/>
      <c r="D192" s="1447"/>
      <c r="E192" s="1447"/>
      <c r="F192" s="1447"/>
      <c r="G192" s="1453"/>
      <c r="H192" s="549"/>
      <c r="I192" s="1454"/>
      <c r="J192" s="1454"/>
      <c r="K192" s="1454"/>
      <c r="L192" s="1454"/>
      <c r="M192" s="1454"/>
      <c r="N192" s="1454"/>
      <c r="O192" s="1454"/>
      <c r="P192" s="1455"/>
    </row>
    <row r="193" spans="1:20" ht="12.75" customHeight="1" x14ac:dyDescent="0.25">
      <c r="A193" s="1442"/>
      <c r="D193" s="1450">
        <v>604061</v>
      </c>
      <c r="E193" s="1451"/>
      <c r="F193" s="1451"/>
      <c r="G193" s="1453" t="s">
        <v>1091</v>
      </c>
      <c r="I193" s="1503"/>
      <c r="J193" s="1486"/>
      <c r="K193" s="1486"/>
      <c r="L193" s="1486"/>
      <c r="M193" s="1486"/>
      <c r="N193" s="1486"/>
      <c r="O193" s="1486"/>
      <c r="P193" s="1455"/>
    </row>
    <row r="194" spans="1:20" ht="12.75" customHeight="1" x14ac:dyDescent="0.25">
      <c r="A194" s="1442"/>
      <c r="D194" s="1450"/>
      <c r="E194" s="1451"/>
      <c r="F194" s="1451"/>
      <c r="G194" s="1456" t="s">
        <v>533</v>
      </c>
      <c r="I194" s="1503"/>
      <c r="J194" s="1486"/>
      <c r="K194" s="1486"/>
      <c r="L194" s="1486"/>
      <c r="M194" s="1486"/>
      <c r="N194" s="1486"/>
      <c r="O194" s="1486"/>
      <c r="P194" s="1455"/>
    </row>
    <row r="195" spans="1:20" ht="12.75" customHeight="1" x14ac:dyDescent="0.25">
      <c r="A195" s="1442">
        <f>D193</f>
        <v>604061</v>
      </c>
      <c r="B195" s="1434" t="str">
        <f>+E646</f>
        <v>Onderzoek inwoners</v>
      </c>
      <c r="D195" s="1458">
        <v>43812</v>
      </c>
      <c r="E195" s="1458"/>
      <c r="F195" s="1458"/>
      <c r="G195" s="1443" t="s">
        <v>535</v>
      </c>
      <c r="I195" s="1503"/>
      <c r="J195" s="1486">
        <v>20000</v>
      </c>
      <c r="K195" s="1486">
        <v>31806</v>
      </c>
      <c r="L195" s="1486">
        <f>+L650</f>
        <v>20951</v>
      </c>
      <c r="M195" s="1486">
        <f>+M650</f>
        <v>42916</v>
      </c>
      <c r="N195" s="1486">
        <f>+N650</f>
        <v>21926</v>
      </c>
      <c r="O195" s="1486">
        <f>+O650</f>
        <v>22430</v>
      </c>
      <c r="P195" s="1455"/>
    </row>
    <row r="196" spans="1:20" ht="12.75" customHeight="1" x14ac:dyDescent="0.25">
      <c r="A196" s="1442"/>
      <c r="D196" s="1447"/>
      <c r="E196" s="1447"/>
      <c r="F196" s="1447"/>
      <c r="G196" s="1453" t="s">
        <v>536</v>
      </c>
      <c r="H196" s="549"/>
      <c r="I196" s="1504"/>
      <c r="J196" s="1826">
        <v>20000</v>
      </c>
      <c r="K196" s="1826">
        <v>31806</v>
      </c>
      <c r="L196" s="1826">
        <f>SUM(L193:L195)</f>
        <v>20951</v>
      </c>
      <c r="M196" s="1826">
        <f>SUM(M193:M195)</f>
        <v>42916</v>
      </c>
      <c r="N196" s="1826">
        <f>SUM(N193:N195)</f>
        <v>21926</v>
      </c>
      <c r="O196" s="1826">
        <f>SUM(O193:O195)</f>
        <v>22430</v>
      </c>
      <c r="P196" s="1455"/>
      <c r="Q196" s="117">
        <f>+J163+J196</f>
        <v>270524</v>
      </c>
      <c r="R196" s="117">
        <f>+K163+K196</f>
        <v>344068</v>
      </c>
      <c r="S196" s="117">
        <f>+L163+L196</f>
        <v>339770</v>
      </c>
      <c r="T196" s="117">
        <f>+M163+M196</f>
        <v>369068</v>
      </c>
    </row>
    <row r="197" spans="1:20" ht="12.75" customHeight="1" x14ac:dyDescent="0.25">
      <c r="A197" s="1442"/>
      <c r="D197" s="1447"/>
      <c r="E197" s="1447"/>
      <c r="F197" s="1447"/>
      <c r="G197" s="1453"/>
      <c r="H197" s="549"/>
      <c r="I197" s="1454"/>
      <c r="J197" s="1454"/>
      <c r="K197" s="1454"/>
      <c r="L197" s="1454"/>
      <c r="M197" s="1454"/>
      <c r="N197" s="1454"/>
      <c r="O197" s="1454"/>
      <c r="P197" s="1455"/>
    </row>
    <row r="198" spans="1:20" ht="12.75" customHeight="1" x14ac:dyDescent="0.25">
      <c r="A198" s="1442"/>
      <c r="D198" s="1450">
        <v>604057</v>
      </c>
      <c r="E198" s="1451"/>
      <c r="F198" s="1451"/>
      <c r="G198" s="1453" t="s">
        <v>1090</v>
      </c>
      <c r="I198" s="1452"/>
      <c r="J198" s="1486"/>
      <c r="K198" s="1486"/>
      <c r="L198" s="1486"/>
      <c r="M198" s="1486"/>
      <c r="N198" s="1486"/>
      <c r="O198" s="1486"/>
      <c r="P198" s="1455"/>
    </row>
    <row r="199" spans="1:20" ht="12.75" customHeight="1" x14ac:dyDescent="0.25">
      <c r="A199" s="1442"/>
      <c r="D199" s="1450"/>
      <c r="E199" s="1451"/>
      <c r="F199" s="1451"/>
      <c r="G199" s="1456" t="s">
        <v>533</v>
      </c>
      <c r="I199" s="1452"/>
      <c r="J199" s="1486"/>
      <c r="K199" s="1486"/>
      <c r="L199" s="1486"/>
      <c r="M199" s="1486"/>
      <c r="N199" s="1486"/>
      <c r="O199" s="1486"/>
      <c r="P199" s="1455"/>
    </row>
    <row r="200" spans="1:20" ht="12.75" customHeight="1" x14ac:dyDescent="0.25">
      <c r="A200" s="1442">
        <f>+D198</f>
        <v>604057</v>
      </c>
      <c r="B200" s="1442" t="str">
        <f>G198</f>
        <v>Management domein samenleving</v>
      </c>
      <c r="C200" s="1437"/>
      <c r="D200" s="1458">
        <v>43819</v>
      </c>
      <c r="E200" s="1458"/>
      <c r="F200" s="1458"/>
      <c r="G200" s="1443" t="s">
        <v>534</v>
      </c>
      <c r="I200" s="1452"/>
      <c r="J200" s="1486">
        <v>78963</v>
      </c>
      <c r="K200" s="1486">
        <v>103802</v>
      </c>
      <c r="L200" s="1486">
        <f>+L664</f>
        <v>105982</v>
      </c>
      <c r="M200" s="1486">
        <f>+M664</f>
        <v>108420</v>
      </c>
      <c r="N200" s="1486">
        <f>+N664</f>
        <v>110914</v>
      </c>
      <c r="O200" s="1486">
        <f>+O664</f>
        <v>113465</v>
      </c>
      <c r="P200" s="1455"/>
    </row>
    <row r="201" spans="1:20" ht="12.75" customHeight="1" x14ac:dyDescent="0.25">
      <c r="A201" s="1442">
        <f>+D198</f>
        <v>604057</v>
      </c>
      <c r="B201" s="1442" t="str">
        <f>G198</f>
        <v>Management domein samenleving</v>
      </c>
      <c r="C201" s="1437"/>
      <c r="D201" s="1458">
        <v>43812</v>
      </c>
      <c r="E201" s="1458"/>
      <c r="F201" s="1458"/>
      <c r="G201" s="1443" t="s">
        <v>535</v>
      </c>
      <c r="I201" s="1452"/>
      <c r="J201" s="1486">
        <v>27992</v>
      </c>
      <c r="K201" s="1486">
        <v>28719</v>
      </c>
      <c r="L201" s="1486">
        <f>+L673</f>
        <v>29322</v>
      </c>
      <c r="M201" s="1486">
        <f>+M673</f>
        <v>29996</v>
      </c>
      <c r="N201" s="1486">
        <f>+N673</f>
        <v>30685</v>
      </c>
      <c r="O201" s="1486">
        <f>+O673</f>
        <v>31391</v>
      </c>
      <c r="P201" s="1455"/>
    </row>
    <row r="202" spans="1:20" ht="12.75" customHeight="1" x14ac:dyDescent="0.25">
      <c r="A202" s="1442"/>
      <c r="D202" s="1447"/>
      <c r="E202" s="1447"/>
      <c r="F202" s="1447"/>
      <c r="G202" s="1453" t="s">
        <v>536</v>
      </c>
      <c r="H202" s="549"/>
      <c r="I202" s="1454"/>
      <c r="J202" s="1826">
        <v>106955</v>
      </c>
      <c r="K202" s="1826">
        <v>132521</v>
      </c>
      <c r="L202" s="1826">
        <f>SUM(L200:L201)</f>
        <v>135304</v>
      </c>
      <c r="M202" s="1826">
        <f>SUM(M200:M201)</f>
        <v>138416</v>
      </c>
      <c r="N202" s="1826">
        <f>SUM(N200:N201)</f>
        <v>141599</v>
      </c>
      <c r="O202" s="1826">
        <f>SUM(O200:O201)</f>
        <v>144856</v>
      </c>
      <c r="P202" s="1455"/>
    </row>
    <row r="203" spans="1:20" ht="12.75" customHeight="1" x14ac:dyDescent="0.25">
      <c r="A203" s="1442"/>
      <c r="D203" s="1447"/>
      <c r="E203" s="1447"/>
      <c r="F203" s="1447"/>
      <c r="G203" s="1453"/>
      <c r="H203" s="549"/>
      <c r="I203" s="1454"/>
      <c r="J203" s="1492"/>
      <c r="K203" s="1492"/>
      <c r="L203" s="1492"/>
      <c r="M203" s="1492"/>
      <c r="N203" s="1492"/>
      <c r="O203" s="1492"/>
      <c r="P203" s="1455"/>
    </row>
    <row r="204" spans="1:20" ht="12.75" customHeight="1" x14ac:dyDescent="0.25">
      <c r="A204" s="1442"/>
      <c r="D204" s="1450">
        <v>604062</v>
      </c>
      <c r="E204" s="1451"/>
      <c r="F204" s="1451"/>
      <c r="G204" s="1453" t="s">
        <v>1092</v>
      </c>
      <c r="I204" s="1503"/>
      <c r="J204" s="1486"/>
      <c r="K204" s="1486"/>
      <c r="L204" s="1486"/>
      <c r="M204" s="1486"/>
      <c r="N204" s="1486"/>
      <c r="O204" s="1486"/>
      <c r="P204" s="1455"/>
    </row>
    <row r="205" spans="1:20" ht="12.75" customHeight="1" x14ac:dyDescent="0.25">
      <c r="A205" s="1442"/>
      <c r="D205" s="1450"/>
      <c r="E205" s="1451"/>
      <c r="F205" s="1451"/>
      <c r="G205" s="1456" t="s">
        <v>533</v>
      </c>
      <c r="I205" s="1503"/>
      <c r="J205" s="1486"/>
      <c r="K205" s="1486"/>
      <c r="L205" s="1486"/>
      <c r="M205" s="1486"/>
      <c r="N205" s="1486"/>
      <c r="O205" s="1486"/>
      <c r="P205" s="1455"/>
    </row>
    <row r="206" spans="1:20" ht="12.75" customHeight="1" x14ac:dyDescent="0.25">
      <c r="A206" s="1442">
        <f>+D204</f>
        <v>604062</v>
      </c>
      <c r="B206" s="1434" t="str">
        <f>+G204</f>
        <v>Informatievrz mbt wet Woo</v>
      </c>
      <c r="D206" s="1458">
        <v>43812</v>
      </c>
      <c r="E206" s="1458"/>
      <c r="F206" s="1458"/>
      <c r="G206" s="1443" t="s">
        <v>535</v>
      </c>
      <c r="I206" s="1503"/>
      <c r="J206" s="1486">
        <v>154451</v>
      </c>
      <c r="K206" s="1486">
        <f>+K680</f>
        <v>198003</v>
      </c>
      <c r="L206" s="1486">
        <f t="shared" ref="L206:O206" si="13">+L680</f>
        <v>96232</v>
      </c>
      <c r="M206" s="1486">
        <f t="shared" si="13"/>
        <v>98445</v>
      </c>
      <c r="N206" s="1486">
        <f t="shared" si="13"/>
        <v>100709</v>
      </c>
      <c r="O206" s="1486">
        <f t="shared" si="13"/>
        <v>103025</v>
      </c>
      <c r="P206" s="1455"/>
    </row>
    <row r="207" spans="1:20" ht="12.75" customHeight="1" x14ac:dyDescent="0.25">
      <c r="A207" s="1442">
        <f>D204</f>
        <v>604062</v>
      </c>
      <c r="B207" s="1434" t="str">
        <f>G204</f>
        <v>Informatievrz mbt wet Woo</v>
      </c>
      <c r="D207" s="1458">
        <v>43511</v>
      </c>
      <c r="E207" s="1458"/>
      <c r="F207" s="1458"/>
      <c r="G207" s="1443" t="s">
        <v>734</v>
      </c>
      <c r="I207" s="1503"/>
      <c r="J207" s="1486">
        <f>J683</f>
        <v>0</v>
      </c>
      <c r="K207" s="1486">
        <f t="shared" ref="K207:O207" si="14">K683</f>
        <v>60000</v>
      </c>
      <c r="L207" s="1486">
        <f t="shared" si="14"/>
        <v>0</v>
      </c>
      <c r="M207" s="1486">
        <f t="shared" si="14"/>
        <v>0</v>
      </c>
      <c r="N207" s="1486">
        <f t="shared" si="14"/>
        <v>0</v>
      </c>
      <c r="O207" s="1486">
        <f t="shared" si="14"/>
        <v>0</v>
      </c>
      <c r="P207" s="1455"/>
    </row>
    <row r="208" spans="1:20" ht="12.75" customHeight="1" x14ac:dyDescent="0.25">
      <c r="A208" s="1442"/>
      <c r="D208" s="1447"/>
      <c r="E208" s="1447"/>
      <c r="F208" s="1447"/>
      <c r="G208" s="1453" t="s">
        <v>536</v>
      </c>
      <c r="H208" s="549"/>
      <c r="I208" s="1504"/>
      <c r="J208" s="1826">
        <f>SUM(J206:J207)</f>
        <v>154451</v>
      </c>
      <c r="K208" s="1826">
        <f t="shared" ref="K208:O208" si="15">SUM(K206:K207)</f>
        <v>258003</v>
      </c>
      <c r="L208" s="1826">
        <f t="shared" si="15"/>
        <v>96232</v>
      </c>
      <c r="M208" s="1826">
        <f t="shared" si="15"/>
        <v>98445</v>
      </c>
      <c r="N208" s="1826">
        <f t="shared" si="15"/>
        <v>100709</v>
      </c>
      <c r="O208" s="1826">
        <f t="shared" si="15"/>
        <v>103025</v>
      </c>
      <c r="P208" s="1455"/>
    </row>
    <row r="209" spans="1:21" ht="12.75" customHeight="1" x14ac:dyDescent="0.25">
      <c r="A209" s="1442"/>
      <c r="D209" s="1447"/>
      <c r="E209" s="1447"/>
      <c r="F209" s="1447"/>
      <c r="G209" s="1453"/>
      <c r="H209" s="549"/>
      <c r="I209" s="1504"/>
      <c r="J209" s="1492"/>
      <c r="K209" s="1492"/>
      <c r="L209" s="1492"/>
      <c r="M209" s="1492"/>
      <c r="N209" s="1492"/>
      <c r="O209" s="1492"/>
      <c r="P209" s="1455"/>
    </row>
    <row r="210" spans="1:21" ht="12.75" customHeight="1" x14ac:dyDescent="0.25">
      <c r="A210" s="1442"/>
      <c r="D210" s="1450">
        <v>604041</v>
      </c>
      <c r="E210" s="1451"/>
      <c r="F210" s="1451"/>
      <c r="G210" s="2536" t="s">
        <v>1131</v>
      </c>
      <c r="H210" s="2536"/>
      <c r="I210" s="1452"/>
      <c r="J210" s="1486"/>
      <c r="K210" s="1486"/>
      <c r="L210" s="1486"/>
      <c r="M210" s="1486"/>
      <c r="N210" s="1486"/>
      <c r="O210" s="1486"/>
      <c r="P210" s="134"/>
    </row>
    <row r="211" spans="1:21" ht="12.75" customHeight="1" x14ac:dyDescent="0.25">
      <c r="A211" s="1442"/>
      <c r="D211" s="1447"/>
      <c r="E211" s="1447"/>
      <c r="F211" s="1447"/>
      <c r="G211" s="1453" t="s">
        <v>536</v>
      </c>
      <c r="H211" s="549"/>
      <c r="I211" s="1454"/>
      <c r="J211" s="1826">
        <v>0</v>
      </c>
      <c r="K211" s="1826">
        <v>0</v>
      </c>
      <c r="L211" s="1826">
        <f>+L210</f>
        <v>0</v>
      </c>
      <c r="M211" s="1826">
        <f>+M210</f>
        <v>0</v>
      </c>
      <c r="N211" s="1826">
        <f>+N210</f>
        <v>0</v>
      </c>
      <c r="O211" s="1826">
        <f>+O210</f>
        <v>0</v>
      </c>
      <c r="P211" s="1455"/>
    </row>
    <row r="212" spans="1:21" ht="12.75" customHeight="1" x14ac:dyDescent="0.25">
      <c r="A212" s="1442"/>
      <c r="D212" s="1447"/>
      <c r="E212" s="1447"/>
      <c r="F212" s="1447"/>
      <c r="G212" s="1443"/>
      <c r="I212" s="1452"/>
      <c r="J212" s="1486"/>
      <c r="K212" s="1486"/>
      <c r="L212" s="1486"/>
      <c r="M212" s="1486"/>
      <c r="N212" s="1486"/>
      <c r="O212" s="1486"/>
      <c r="P212" s="134"/>
    </row>
    <row r="213" spans="1:21" ht="12.75" customHeight="1" x14ac:dyDescent="0.25">
      <c r="A213" s="1442"/>
      <c r="D213" s="1450">
        <v>604043</v>
      </c>
      <c r="E213" s="1451"/>
      <c r="F213" s="1451"/>
      <c r="G213" s="2536" t="s">
        <v>1132</v>
      </c>
      <c r="H213" s="2536"/>
      <c r="I213" s="1452"/>
      <c r="J213" s="1486"/>
      <c r="K213" s="1486"/>
      <c r="L213" s="1486"/>
      <c r="M213" s="1486"/>
      <c r="N213" s="1486"/>
      <c r="O213" s="1486"/>
      <c r="P213" s="134"/>
    </row>
    <row r="214" spans="1:21" ht="12.75" customHeight="1" x14ac:dyDescent="0.25">
      <c r="A214" s="1442"/>
      <c r="D214" s="1447"/>
      <c r="E214" s="1447"/>
      <c r="F214" s="1447"/>
      <c r="G214" s="1456" t="s">
        <v>533</v>
      </c>
      <c r="I214" s="1452"/>
      <c r="J214" s="1486"/>
      <c r="K214" s="1486"/>
      <c r="L214" s="1486"/>
      <c r="M214" s="1486"/>
      <c r="N214" s="1486"/>
      <c r="O214" s="1486"/>
      <c r="P214" s="134"/>
    </row>
    <row r="215" spans="1:21" ht="12.75" customHeight="1" x14ac:dyDescent="0.25">
      <c r="A215" s="1442">
        <f>+D213</f>
        <v>604043</v>
      </c>
      <c r="B215" s="1434" t="str">
        <f>G213</f>
        <v xml:space="preserve">Flexibele schil 2e lijn </v>
      </c>
      <c r="C215" s="1457"/>
      <c r="D215" s="1458">
        <v>43511</v>
      </c>
      <c r="E215" s="1458"/>
      <c r="F215" s="1458"/>
      <c r="G215" s="1443" t="s">
        <v>1133</v>
      </c>
      <c r="I215" s="1452"/>
      <c r="J215" s="1486">
        <v>0</v>
      </c>
      <c r="K215" s="1486">
        <v>0</v>
      </c>
      <c r="L215" s="1486">
        <v>0</v>
      </c>
      <c r="M215" s="1486">
        <v>0</v>
      </c>
      <c r="N215" s="1486">
        <v>0</v>
      </c>
      <c r="O215" s="1486">
        <v>0</v>
      </c>
      <c r="P215" s="134"/>
    </row>
    <row r="216" spans="1:21" ht="12.75" customHeight="1" x14ac:dyDescent="0.25">
      <c r="A216" s="1442"/>
      <c r="D216" s="1447"/>
      <c r="E216" s="1447"/>
      <c r="F216" s="1447"/>
      <c r="G216" s="1453" t="s">
        <v>536</v>
      </c>
      <c r="H216" s="549"/>
      <c r="I216" s="1454"/>
      <c r="J216" s="1826">
        <v>0</v>
      </c>
      <c r="K216" s="1826">
        <v>0</v>
      </c>
      <c r="L216" s="1826">
        <f>SUM(L215)</f>
        <v>0</v>
      </c>
      <c r="M216" s="1826">
        <f>SUM(M215)</f>
        <v>0</v>
      </c>
      <c r="N216" s="1826">
        <f>SUM(N215)</f>
        <v>0</v>
      </c>
      <c r="O216" s="1826">
        <f>SUM(O215)</f>
        <v>0</v>
      </c>
      <c r="P216" s="1455"/>
    </row>
    <row r="217" spans="1:21" ht="12.75" customHeight="1" x14ac:dyDescent="0.25">
      <c r="A217" s="1442"/>
      <c r="D217" s="1447"/>
      <c r="E217" s="1447"/>
      <c r="F217" s="1447"/>
      <c r="G217" s="1443"/>
      <c r="I217" s="1452"/>
      <c r="J217" s="1486"/>
      <c r="K217" s="1486"/>
      <c r="L217" s="1486"/>
      <c r="M217" s="1486"/>
      <c r="N217" s="1486"/>
      <c r="O217" s="1486"/>
      <c r="P217" s="134"/>
    </row>
    <row r="218" spans="1:21" ht="12.75" customHeight="1" x14ac:dyDescent="0.25">
      <c r="A218" s="1442"/>
      <c r="D218" s="1460">
        <v>604901</v>
      </c>
      <c r="E218" s="1447"/>
      <c r="F218" s="1447"/>
      <c r="G218" s="1453" t="s">
        <v>1134</v>
      </c>
      <c r="H218" s="549"/>
      <c r="I218" s="1454"/>
      <c r="J218" s="1454"/>
      <c r="K218" s="1454"/>
      <c r="L218" s="1454"/>
      <c r="M218" s="1454"/>
      <c r="N218" s="1454"/>
      <c r="O218" s="1454"/>
      <c r="P218" s="1455"/>
      <c r="R218" s="124"/>
      <c r="S218" s="124"/>
      <c r="T218" s="20"/>
    </row>
    <row r="219" spans="1:21" ht="12.75" customHeight="1" x14ac:dyDescent="0.25">
      <c r="A219" s="1442">
        <v>604901</v>
      </c>
      <c r="B219" s="1436" t="str">
        <f>G218</f>
        <v>Directe toerekening Overhead</v>
      </c>
      <c r="D219" s="1458">
        <v>41100</v>
      </c>
      <c r="E219" s="1458"/>
      <c r="F219" s="1447"/>
      <c r="G219" s="1443" t="s">
        <v>700</v>
      </c>
      <c r="I219" s="1489"/>
      <c r="J219" s="1505">
        <v>9206076.1600000001</v>
      </c>
      <c r="K219" s="1505">
        <v>9137962.0099999979</v>
      </c>
      <c r="L219" s="1505">
        <f>L705</f>
        <v>9604811</v>
      </c>
      <c r="M219" s="1505">
        <f>M705</f>
        <v>9804056</v>
      </c>
      <c r="N219" s="1505">
        <f>N705</f>
        <v>10174207</v>
      </c>
      <c r="O219" s="1505">
        <f>O705</f>
        <v>10558054</v>
      </c>
      <c r="P219" s="1455"/>
      <c r="S219" s="117">
        <v>9488934</v>
      </c>
      <c r="T219" s="117">
        <v>9804421</v>
      </c>
      <c r="U219" s="117">
        <v>10216209</v>
      </c>
    </row>
    <row r="220" spans="1:21" ht="12.75" customHeight="1" x14ac:dyDescent="0.25">
      <c r="A220" s="1442">
        <v>604901</v>
      </c>
      <c r="B220" s="1442" t="s">
        <v>1134</v>
      </c>
      <c r="D220" s="1458">
        <v>43812</v>
      </c>
      <c r="E220" s="1458"/>
      <c r="F220" s="1447"/>
      <c r="G220" s="1443" t="s">
        <v>535</v>
      </c>
      <c r="I220" s="1489"/>
      <c r="J220" s="1505">
        <f>J726</f>
        <v>0</v>
      </c>
      <c r="K220" s="1505">
        <f t="shared" ref="K220:O220" si="16">K726</f>
        <v>117500</v>
      </c>
      <c r="L220" s="1505">
        <f t="shared" si="16"/>
        <v>0</v>
      </c>
      <c r="M220" s="1505">
        <f t="shared" si="16"/>
        <v>0</v>
      </c>
      <c r="N220" s="1505">
        <f t="shared" si="16"/>
        <v>0</v>
      </c>
      <c r="O220" s="1505">
        <f t="shared" si="16"/>
        <v>0</v>
      </c>
      <c r="P220" s="1455"/>
    </row>
    <row r="221" spans="1:21" ht="12.75" customHeight="1" x14ac:dyDescent="0.25">
      <c r="A221" s="1442">
        <v>604901</v>
      </c>
      <c r="B221" s="1442" t="s">
        <v>1134</v>
      </c>
      <c r="D221" s="1458">
        <v>43511</v>
      </c>
      <c r="E221" s="1458"/>
      <c r="F221" s="1447"/>
      <c r="G221" s="1443" t="s">
        <v>734</v>
      </c>
      <c r="I221" s="1489"/>
      <c r="J221" s="1505">
        <v>107000</v>
      </c>
      <c r="K221" s="1505">
        <v>0</v>
      </c>
      <c r="L221" s="1505">
        <f>L723</f>
        <v>0</v>
      </c>
      <c r="M221" s="1505">
        <f>M723</f>
        <v>0</v>
      </c>
      <c r="N221" s="1505">
        <f>N723</f>
        <v>0</v>
      </c>
      <c r="O221" s="1505">
        <f>O723</f>
        <v>0</v>
      </c>
      <c r="P221" s="1455"/>
      <c r="S221" s="117">
        <v>9489069</v>
      </c>
      <c r="T221" s="117">
        <v>9804702</v>
      </c>
      <c r="U221" s="117">
        <v>10216652</v>
      </c>
    </row>
    <row r="222" spans="1:21" ht="12.75" customHeight="1" x14ac:dyDescent="0.25">
      <c r="A222" s="1442">
        <v>604901</v>
      </c>
      <c r="B222" s="1442" t="str">
        <f>G218</f>
        <v>Directe toerekening Overhead</v>
      </c>
      <c r="D222" s="1458">
        <v>47300</v>
      </c>
      <c r="E222" s="1458"/>
      <c r="F222" s="1447"/>
      <c r="G222" s="1443" t="s">
        <v>559</v>
      </c>
      <c r="I222" s="1452"/>
      <c r="J222" s="1486">
        <v>0</v>
      </c>
      <c r="K222" s="1486">
        <v>0</v>
      </c>
      <c r="L222" s="1486">
        <v>0</v>
      </c>
      <c r="M222" s="1486">
        <v>0</v>
      </c>
      <c r="N222" s="1486">
        <v>0</v>
      </c>
      <c r="O222" s="1486">
        <v>0</v>
      </c>
      <c r="P222" s="545" t="s">
        <v>1135</v>
      </c>
      <c r="S222" s="117">
        <f t="shared" ref="S222:T222" si="17">+S219-S221</f>
        <v>-135</v>
      </c>
      <c r="T222" s="117">
        <f t="shared" si="17"/>
        <v>-281</v>
      </c>
      <c r="U222" s="117">
        <f>+U219-U221</f>
        <v>-443</v>
      </c>
    </row>
    <row r="223" spans="1:21" ht="12.75" customHeight="1" x14ac:dyDescent="0.25">
      <c r="A223" s="1442">
        <f>+D218</f>
        <v>604901</v>
      </c>
      <c r="B223" s="1442" t="s">
        <v>1134</v>
      </c>
      <c r="D223" s="1458">
        <v>47501</v>
      </c>
      <c r="E223" s="1458"/>
      <c r="F223" s="1447"/>
      <c r="G223" s="1443" t="s">
        <v>1136</v>
      </c>
      <c r="I223" s="1452"/>
      <c r="J223" s="1487">
        <v>-341698.02877623751</v>
      </c>
      <c r="K223" s="1487">
        <v>-352087.39734378585</v>
      </c>
      <c r="L223" s="1487">
        <f>L1087</f>
        <v>-360495.23327321658</v>
      </c>
      <c r="M223" s="1487">
        <f>M1087</f>
        <v>-373321.20807642088</v>
      </c>
      <c r="N223" s="1487">
        <f>N1087</f>
        <v>-389123.08232277591</v>
      </c>
      <c r="O223" s="1487">
        <f>O1087</f>
        <v>-339932.89668678574</v>
      </c>
      <c r="P223" s="545"/>
      <c r="S223" s="117">
        <f>+L223+L224+L225</f>
        <v>-808876.97471509455</v>
      </c>
    </row>
    <row r="224" spans="1:21" ht="12.75" customHeight="1" x14ac:dyDescent="0.25">
      <c r="A224" s="1442">
        <f>+D218</f>
        <v>604901</v>
      </c>
      <c r="B224" s="1442" t="s">
        <v>1134</v>
      </c>
      <c r="D224" s="1458">
        <v>47501</v>
      </c>
      <c r="E224" s="1458"/>
      <c r="F224" s="1447"/>
      <c r="G224" s="1443" t="s">
        <v>1137</v>
      </c>
      <c r="I224" s="1452"/>
      <c r="J224" s="1487">
        <v>-268835.36820931552</v>
      </c>
      <c r="K224" s="1487">
        <v>-251626.59736543594</v>
      </c>
      <c r="L224" s="1487">
        <f>L1097</f>
        <v>-257636.74144187802</v>
      </c>
      <c r="M224" s="1487">
        <f>M1097</f>
        <v>-266802.61737661378</v>
      </c>
      <c r="N224" s="1487">
        <f>N1097</f>
        <v>-278094.99944828846</v>
      </c>
      <c r="O224" s="1487">
        <f>O1097</f>
        <v>-242940.23623177782</v>
      </c>
      <c r="P224" s="545"/>
    </row>
    <row r="225" spans="1:27" ht="12.75" customHeight="1" x14ac:dyDescent="0.25">
      <c r="A225" s="1442">
        <f>+D218</f>
        <v>604901</v>
      </c>
      <c r="B225" s="1442" t="s">
        <v>1134</v>
      </c>
      <c r="D225" s="1458">
        <v>47501</v>
      </c>
      <c r="E225" s="1458"/>
      <c r="F225" s="1447"/>
      <c r="G225" s="1443" t="s">
        <v>1138</v>
      </c>
      <c r="I225" s="1452"/>
      <c r="J225" s="1487">
        <v>-198502</v>
      </c>
      <c r="K225" s="1487">
        <v>-186294</v>
      </c>
      <c r="L225" s="1487">
        <f>L1107</f>
        <v>-190745</v>
      </c>
      <c r="M225" s="1487">
        <f>M1107</f>
        <v>-197531</v>
      </c>
      <c r="N225" s="1487">
        <f>N1107</f>
        <v>-205892</v>
      </c>
      <c r="O225" s="1487">
        <f>O1107</f>
        <v>-179866</v>
      </c>
      <c r="P225" s="545"/>
      <c r="S225" s="117">
        <v>1074465</v>
      </c>
      <c r="T225" s="117">
        <v>1100103</v>
      </c>
      <c r="U225" s="117">
        <v>1139716</v>
      </c>
      <c r="AA225" s="1434"/>
    </row>
    <row r="226" spans="1:27" ht="12.75" customHeight="1" x14ac:dyDescent="0.25">
      <c r="A226" s="1442">
        <v>604901</v>
      </c>
      <c r="B226" s="1442" t="s">
        <v>1134</v>
      </c>
      <c r="D226" s="1458">
        <v>83800</v>
      </c>
      <c r="E226" s="1458"/>
      <c r="F226" s="1447"/>
      <c r="G226" s="1443" t="s">
        <v>535</v>
      </c>
      <c r="I226" s="1452"/>
      <c r="J226" s="1487">
        <f>J730</f>
        <v>0</v>
      </c>
      <c r="K226" s="1487">
        <f t="shared" ref="K226:O226" si="18">K730</f>
        <v>-359500</v>
      </c>
      <c r="L226" s="1487">
        <f t="shared" si="18"/>
        <v>-359500</v>
      </c>
      <c r="M226" s="1487">
        <f t="shared" si="18"/>
        <v>0</v>
      </c>
      <c r="N226" s="1487">
        <f t="shared" si="18"/>
        <v>0</v>
      </c>
      <c r="O226" s="1487">
        <f t="shared" si="18"/>
        <v>0</v>
      </c>
      <c r="P226" s="545"/>
      <c r="AA226" s="1434"/>
    </row>
    <row r="227" spans="1:27" ht="12.75" customHeight="1" x14ac:dyDescent="0.25">
      <c r="A227" s="1442"/>
      <c r="D227" s="1447"/>
      <c r="E227" s="1447"/>
      <c r="F227" s="1447"/>
      <c r="G227" s="1453" t="s">
        <v>1139</v>
      </c>
      <c r="I227" s="1452"/>
      <c r="J227" s="1827">
        <v>8504040.7630144469</v>
      </c>
      <c r="K227" s="1827">
        <f>SUM(K219:K226)</f>
        <v>8105954.0152907763</v>
      </c>
      <c r="L227" s="1827">
        <f t="shared" ref="L227:O227" si="19">SUM(L219:L226)</f>
        <v>8436434.025284905</v>
      </c>
      <c r="M227" s="1827">
        <f t="shared" si="19"/>
        <v>8966401.1745469645</v>
      </c>
      <c r="N227" s="1827">
        <f t="shared" si="19"/>
        <v>9301096.9182289355</v>
      </c>
      <c r="O227" s="1827">
        <f t="shared" si="19"/>
        <v>9795314.8670814373</v>
      </c>
      <c r="P227" s="134"/>
      <c r="S227" s="117">
        <f>SUM(K223:K225)</f>
        <v>-790007.99470922176</v>
      </c>
      <c r="T227" s="117">
        <f>SUM(L223:L225)</f>
        <v>-808876.97471509455</v>
      </c>
      <c r="U227" s="117">
        <f>SUM(M223:M225)</f>
        <v>-837654.8254530346</v>
      </c>
      <c r="AA227" s="1434"/>
    </row>
    <row r="228" spans="1:27" ht="12.75" customHeight="1" x14ac:dyDescent="0.25">
      <c r="A228" s="1442"/>
      <c r="D228" s="1447"/>
      <c r="E228" s="1447"/>
      <c r="F228" s="1447"/>
      <c r="G228" s="1443"/>
      <c r="I228" s="1452"/>
      <c r="J228" s="1486"/>
      <c r="K228" s="1486"/>
      <c r="L228" s="1486"/>
      <c r="M228" s="1486"/>
      <c r="N228" s="1486"/>
      <c r="O228" s="1486"/>
      <c r="P228" s="134"/>
      <c r="AA228" s="1434"/>
    </row>
    <row r="229" spans="1:27" ht="12.75" customHeight="1" x14ac:dyDescent="0.25">
      <c r="A229" s="1442"/>
      <c r="D229" s="1447"/>
      <c r="E229" s="1447"/>
      <c r="F229" s="1447"/>
      <c r="G229" s="549" t="s">
        <v>1140</v>
      </c>
      <c r="I229" s="134"/>
      <c r="J229" s="1486"/>
      <c r="K229" s="1486"/>
      <c r="L229" s="1486"/>
      <c r="M229" s="1486"/>
      <c r="N229" s="1486"/>
      <c r="O229" s="1486"/>
      <c r="P229" s="134"/>
      <c r="R229" s="124"/>
      <c r="AA229" s="1434"/>
    </row>
    <row r="230" spans="1:27" ht="12.75" customHeight="1" x14ac:dyDescent="0.25">
      <c r="A230" s="1442">
        <v>604901</v>
      </c>
      <c r="B230" s="1436" t="s">
        <v>1134</v>
      </c>
      <c r="D230" s="1447">
        <v>41100</v>
      </c>
      <c r="E230" s="1447"/>
      <c r="F230" s="1447"/>
      <c r="G230" s="1434" t="s">
        <v>1141</v>
      </c>
      <c r="I230" s="134"/>
      <c r="J230" s="1486">
        <v>8931</v>
      </c>
      <c r="K230" s="1486">
        <v>8918</v>
      </c>
      <c r="L230" s="1486">
        <f t="shared" ref="L230:N231" si="20">L708</f>
        <v>9293</v>
      </c>
      <c r="M230" s="1486">
        <f t="shared" si="20"/>
        <v>9637</v>
      </c>
      <c r="N230" s="1486">
        <f t="shared" si="20"/>
        <v>9994</v>
      </c>
      <c r="O230" s="1486">
        <f t="shared" ref="O230" si="21">O708</f>
        <v>10364</v>
      </c>
      <c r="P230" s="134"/>
      <c r="Q230" s="1434">
        <v>47501</v>
      </c>
      <c r="R230" s="1434" t="s">
        <v>1142</v>
      </c>
      <c r="S230" s="117">
        <v>-100269.57561020032</v>
      </c>
      <c r="T230" s="117">
        <v>-100268.16376845991</v>
      </c>
      <c r="U230" s="117">
        <v>-101198.82376788695</v>
      </c>
      <c r="AA230" s="1434"/>
    </row>
    <row r="231" spans="1:27" ht="12.75" customHeight="1" x14ac:dyDescent="0.25">
      <c r="A231" s="1442">
        <v>604901</v>
      </c>
      <c r="B231" s="1442" t="s">
        <v>1134</v>
      </c>
      <c r="D231" s="1447">
        <v>41100</v>
      </c>
      <c r="E231" s="1447"/>
      <c r="F231" s="1447"/>
      <c r="G231" s="1434" t="s">
        <v>1143</v>
      </c>
      <c r="I231" s="134"/>
      <c r="J231" s="1486">
        <v>10369.98</v>
      </c>
      <c r="K231" s="1486">
        <v>12280.7</v>
      </c>
      <c r="L231" s="1486">
        <f t="shared" si="20"/>
        <v>12796</v>
      </c>
      <c r="M231" s="1486">
        <f t="shared" si="20"/>
        <v>13269</v>
      </c>
      <c r="N231" s="1486">
        <f t="shared" si="20"/>
        <v>13760</v>
      </c>
      <c r="O231" s="1486">
        <f t="shared" ref="O231" si="22">O709</f>
        <v>14269</v>
      </c>
      <c r="P231" s="134"/>
      <c r="Q231" s="1434">
        <v>47501</v>
      </c>
      <c r="R231" s="1434" t="s">
        <v>1144</v>
      </c>
      <c r="S231" s="117">
        <v>-78888.058436006526</v>
      </c>
      <c r="T231" s="117">
        <v>-78886.829802574619</v>
      </c>
      <c r="U231" s="117">
        <v>-79619.010755180134</v>
      </c>
      <c r="AA231" s="1434"/>
    </row>
    <row r="232" spans="1:27" ht="12.75" customHeight="1" x14ac:dyDescent="0.25">
      <c r="A232" s="1442">
        <v>604901</v>
      </c>
      <c r="B232" s="1434" t="s">
        <v>1134</v>
      </c>
      <c r="D232" s="1447">
        <v>41100</v>
      </c>
      <c r="E232" s="1447"/>
      <c r="F232" s="1447"/>
      <c r="G232" s="1434" t="s">
        <v>1145</v>
      </c>
      <c r="I232" s="124">
        <v>0.38</v>
      </c>
      <c r="J232" s="1486">
        <v>-7334.3724000000002</v>
      </c>
      <c r="K232" s="1486">
        <v>-8055.5060000000003</v>
      </c>
      <c r="L232" s="1486">
        <f t="shared" ref="L232:O234" si="23">SUM(L$708:L$709)*-$I232</f>
        <v>-8393.82</v>
      </c>
      <c r="M232" s="1486">
        <f t="shared" si="23"/>
        <v>-8704.2800000000007</v>
      </c>
      <c r="N232" s="1486">
        <f t="shared" si="23"/>
        <v>-9026.52</v>
      </c>
      <c r="O232" s="1486">
        <f t="shared" si="23"/>
        <v>-9360.5400000000009</v>
      </c>
      <c r="P232" s="134"/>
      <c r="Q232" s="1434">
        <v>47501</v>
      </c>
      <c r="R232" s="1434" t="s">
        <v>1146</v>
      </c>
      <c r="S232" s="117">
        <v>-58249.591982440943</v>
      </c>
      <c r="T232" s="117">
        <v>-58248.731616458928</v>
      </c>
      <c r="U232" s="117">
        <v>-58789.376750691205</v>
      </c>
      <c r="AA232" s="1434"/>
    </row>
    <row r="233" spans="1:27" ht="12.75" customHeight="1" x14ac:dyDescent="0.25">
      <c r="A233" s="1442">
        <v>604901</v>
      </c>
      <c r="B233" s="1434" t="s">
        <v>1134</v>
      </c>
      <c r="D233" s="1447">
        <v>41100</v>
      </c>
      <c r="E233" s="1447"/>
      <c r="F233" s="1447"/>
      <c r="G233" s="1434" t="s">
        <v>1147</v>
      </c>
      <c r="I233" s="124">
        <v>0.28999999999999998</v>
      </c>
      <c r="J233" s="1486">
        <v>-5597.2841999999991</v>
      </c>
      <c r="K233" s="1486">
        <v>-6147.6229999999996</v>
      </c>
      <c r="L233" s="1486">
        <f t="shared" si="23"/>
        <v>-6405.8099999999995</v>
      </c>
      <c r="M233" s="1486">
        <f t="shared" si="23"/>
        <v>-6642.74</v>
      </c>
      <c r="N233" s="1486">
        <f t="shared" si="23"/>
        <v>-6888.66</v>
      </c>
      <c r="O233" s="1486">
        <f t="shared" si="23"/>
        <v>-7143.57</v>
      </c>
      <c r="P233" s="134"/>
      <c r="Q233" s="1434"/>
      <c r="R233" s="1434"/>
      <c r="AA233" s="1434"/>
    </row>
    <row r="234" spans="1:27" ht="12.75" customHeight="1" x14ac:dyDescent="0.25">
      <c r="A234" s="1442">
        <v>604901</v>
      </c>
      <c r="B234" s="1434" t="s">
        <v>1134</v>
      </c>
      <c r="D234" s="1447">
        <v>41100</v>
      </c>
      <c r="E234" s="1447"/>
      <c r="F234" s="1447"/>
      <c r="G234" s="1434" t="s">
        <v>1148</v>
      </c>
      <c r="I234" s="124">
        <v>0.33</v>
      </c>
      <c r="J234" s="1486">
        <v>-6369.3234000000002</v>
      </c>
      <c r="K234" s="1486">
        <v>-6995.5710000000008</v>
      </c>
      <c r="L234" s="1486">
        <f t="shared" si="23"/>
        <v>-7289.37</v>
      </c>
      <c r="M234" s="1486">
        <f t="shared" si="23"/>
        <v>-7558.9800000000005</v>
      </c>
      <c r="N234" s="1486">
        <f t="shared" si="23"/>
        <v>-7838.8200000000006</v>
      </c>
      <c r="O234" s="1486">
        <f t="shared" si="23"/>
        <v>-8128.89</v>
      </c>
      <c r="P234" s="134"/>
      <c r="Q234" s="1434"/>
      <c r="R234" s="1434"/>
    </row>
    <row r="235" spans="1:27" ht="12.75" customHeight="1" x14ac:dyDescent="0.25">
      <c r="A235" s="1442"/>
      <c r="D235" s="1447"/>
      <c r="E235" s="1447"/>
      <c r="F235" s="1447"/>
      <c r="G235" s="545" t="s">
        <v>1149</v>
      </c>
      <c r="I235" s="134"/>
      <c r="J235" s="1826">
        <v>0</v>
      </c>
      <c r="K235" s="1827">
        <v>0</v>
      </c>
      <c r="L235" s="1827">
        <f>SUM(L230:L234)</f>
        <v>0</v>
      </c>
      <c r="M235" s="1827">
        <f>SUM(M230:M234)</f>
        <v>0</v>
      </c>
      <c r="N235" s="1827">
        <f>SUM(N230:N234)</f>
        <v>0</v>
      </c>
      <c r="O235" s="1827">
        <f>SUM(O230:O234)</f>
        <v>0</v>
      </c>
      <c r="P235" s="134"/>
      <c r="Q235" s="1434"/>
      <c r="R235" s="1434"/>
      <c r="S235" s="1506">
        <f>+S227+S230+S231+S232</f>
        <v>-1027415.2207378695</v>
      </c>
      <c r="T235" s="1506">
        <f t="shared" ref="T235:U235" si="24">+T227+T230+T231+T232</f>
        <v>-1046280.699902588</v>
      </c>
      <c r="U235" s="1506">
        <f t="shared" si="24"/>
        <v>-1077262.0367267928</v>
      </c>
    </row>
    <row r="236" spans="1:27" ht="12.75" customHeight="1" x14ac:dyDescent="0.25">
      <c r="A236" s="1507"/>
      <c r="B236" s="1508"/>
      <c r="C236" s="1509"/>
      <c r="D236" s="1464"/>
      <c r="E236" s="1464"/>
      <c r="F236" s="1464"/>
      <c r="G236" s="1510"/>
      <c r="H236" s="1508"/>
      <c r="I236" s="1511"/>
      <c r="J236" s="1512"/>
      <c r="K236" s="1512"/>
      <c r="L236" s="1512"/>
      <c r="M236" s="1512"/>
      <c r="N236" s="1512"/>
      <c r="O236" s="1512"/>
      <c r="P236" s="134"/>
      <c r="R236" s="124"/>
      <c r="S236" s="124"/>
      <c r="T236" s="20"/>
    </row>
    <row r="237" spans="1:27" ht="12.75" customHeight="1" x14ac:dyDescent="0.25">
      <c r="A237" s="1442"/>
      <c r="D237" s="1437"/>
      <c r="G237" s="545"/>
      <c r="I237" s="134"/>
      <c r="J237" s="1455"/>
      <c r="K237" s="1455"/>
      <c r="L237" s="1455"/>
      <c r="M237" s="1455"/>
      <c r="N237" s="1455"/>
      <c r="O237" s="1455"/>
      <c r="P237" s="134"/>
      <c r="R237" s="124"/>
      <c r="S237" s="249">
        <f>+S225+S235</f>
        <v>47049.779262130498</v>
      </c>
      <c r="T237" s="249">
        <f t="shared" ref="T237:U237" si="25">+T225+T235</f>
        <v>53822.300097411964</v>
      </c>
      <c r="U237" s="249">
        <f t="shared" si="25"/>
        <v>62453.963273207191</v>
      </c>
    </row>
    <row r="238" spans="1:27" ht="12.75" customHeight="1" x14ac:dyDescent="0.25">
      <c r="D238" s="1461"/>
      <c r="E238" s="549" t="s">
        <v>1150</v>
      </c>
      <c r="F238" s="1461"/>
      <c r="I238" s="134"/>
      <c r="J238" s="134"/>
      <c r="K238" s="134"/>
      <c r="L238" s="134"/>
      <c r="M238" s="134"/>
      <c r="N238" s="134"/>
      <c r="O238" s="134"/>
      <c r="P238" s="134"/>
    </row>
    <row r="239" spans="1:27" ht="12.75" customHeight="1" x14ac:dyDescent="0.25">
      <c r="D239" s="1461"/>
      <c r="E239" s="1434"/>
      <c r="F239" s="1461"/>
      <c r="I239" s="134"/>
      <c r="J239" s="1830">
        <v>2025</v>
      </c>
      <c r="K239" s="1830">
        <v>2026</v>
      </c>
      <c r="L239" s="1830">
        <f>+L33</f>
        <v>2027</v>
      </c>
      <c r="M239" s="1830">
        <f>+M33</f>
        <v>2028</v>
      </c>
      <c r="N239" s="1830">
        <f>+N33</f>
        <v>2029</v>
      </c>
      <c r="O239" s="1830">
        <f>+O33</f>
        <v>2030</v>
      </c>
      <c r="P239" s="1445"/>
    </row>
    <row r="240" spans="1:27" ht="12.75" customHeight="1" x14ac:dyDescent="0.25">
      <c r="D240" s="1472">
        <v>604001</v>
      </c>
      <c r="E240" s="549" t="s">
        <v>1093</v>
      </c>
      <c r="F240" s="1461"/>
      <c r="I240" s="134"/>
      <c r="J240" s="134"/>
      <c r="K240" s="134"/>
      <c r="L240" s="134"/>
      <c r="M240" s="134"/>
      <c r="N240" s="134"/>
      <c r="O240" s="134"/>
      <c r="P240" s="134"/>
    </row>
    <row r="241" spans="4:16" ht="12.75" customHeight="1" x14ac:dyDescent="0.25">
      <c r="D241" s="1437">
        <v>41101</v>
      </c>
      <c r="E241" s="1434" t="s">
        <v>1151</v>
      </c>
      <c r="I241" s="134"/>
      <c r="J241" s="1474">
        <v>12252</v>
      </c>
      <c r="K241" s="1474">
        <v>12497</v>
      </c>
      <c r="L241" s="1474">
        <f>ROUND(K241*T$3,0)</f>
        <v>13022</v>
      </c>
      <c r="M241" s="1474">
        <f>ROUND(L241*U$3,0)</f>
        <v>13504</v>
      </c>
      <c r="N241" s="1474">
        <f>ROUND(M241*V$3,0)</f>
        <v>14004</v>
      </c>
      <c r="O241" s="1474">
        <f>ROUND(N241*W$3,0)</f>
        <v>14522</v>
      </c>
      <c r="P241" s="1474"/>
    </row>
    <row r="242" spans="4:16" ht="12.75" customHeight="1" x14ac:dyDescent="0.25">
      <c r="D242" s="1437"/>
      <c r="E242" s="1434" t="s">
        <v>1152</v>
      </c>
      <c r="I242" s="134"/>
      <c r="J242" s="1474"/>
      <c r="K242" s="1474"/>
      <c r="L242" s="1474"/>
      <c r="M242" s="1474"/>
      <c r="N242" s="1474"/>
      <c r="O242" s="1474"/>
      <c r="P242" s="1474"/>
    </row>
    <row r="243" spans="4:16" ht="12.75" customHeight="1" x14ac:dyDescent="0.25">
      <c r="D243" s="1437"/>
      <c r="E243" s="549" t="str">
        <f>"Totaal "&amp;D241</f>
        <v>Totaal 41101</v>
      </c>
      <c r="H243" s="549"/>
      <c r="I243" s="134"/>
      <c r="J243" s="1831">
        <v>12252</v>
      </c>
      <c r="K243" s="1831">
        <v>12497</v>
      </c>
      <c r="L243" s="1831">
        <f>SUM(L241:L242)</f>
        <v>13022</v>
      </c>
      <c r="M243" s="1831">
        <f>SUM(M241:M242)</f>
        <v>13504</v>
      </c>
      <c r="N243" s="1831">
        <f>SUM(N241:N242)</f>
        <v>14004</v>
      </c>
      <c r="O243" s="1831">
        <f>SUM(O241:O242)</f>
        <v>14522</v>
      </c>
      <c r="P243" s="1455"/>
    </row>
    <row r="244" spans="4:16" ht="12.75" customHeight="1" x14ac:dyDescent="0.25">
      <c r="D244" s="1461"/>
      <c r="E244" s="1434"/>
      <c r="F244" s="1461"/>
      <c r="I244" s="134"/>
      <c r="J244" s="134"/>
      <c r="K244" s="134"/>
      <c r="L244" s="134"/>
      <c r="M244" s="134"/>
      <c r="N244" s="134"/>
      <c r="O244" s="134"/>
      <c r="P244" s="134"/>
    </row>
    <row r="245" spans="4:16" ht="12.75" customHeight="1" x14ac:dyDescent="0.25">
      <c r="D245" s="1472">
        <v>604002</v>
      </c>
      <c r="E245" s="549" t="s">
        <v>1094</v>
      </c>
      <c r="F245" s="155"/>
      <c r="I245" s="134"/>
      <c r="J245" s="1830">
        <v>2025</v>
      </c>
      <c r="K245" s="1830">
        <v>2026</v>
      </c>
      <c r="L245" s="1830">
        <f>+L239</f>
        <v>2027</v>
      </c>
      <c r="M245" s="1830">
        <f>+M239</f>
        <v>2028</v>
      </c>
      <c r="N245" s="1830">
        <f>+N239</f>
        <v>2029</v>
      </c>
      <c r="O245" s="1830">
        <f>+O239</f>
        <v>2030</v>
      </c>
      <c r="P245" s="1471"/>
    </row>
    <row r="246" spans="4:16" ht="12.75" customHeight="1" x14ac:dyDescent="0.25">
      <c r="D246" s="1437">
        <v>41100</v>
      </c>
      <c r="E246" s="1434" t="s">
        <v>700</v>
      </c>
      <c r="F246" s="155"/>
      <c r="I246" s="134"/>
      <c r="J246" s="134"/>
      <c r="K246" s="134"/>
      <c r="L246" s="134"/>
      <c r="M246" s="134"/>
      <c r="N246" s="134"/>
      <c r="O246" s="134"/>
      <c r="P246" s="134"/>
    </row>
    <row r="247" spans="4:16" ht="12.75" customHeight="1" x14ac:dyDescent="0.25">
      <c r="D247" s="1472"/>
      <c r="E247" s="549" t="s">
        <v>1153</v>
      </c>
      <c r="F247" s="155"/>
      <c r="I247" s="134"/>
      <c r="J247" s="134"/>
      <c r="K247" s="134"/>
      <c r="L247" s="134"/>
      <c r="M247" s="134"/>
      <c r="N247" s="134"/>
      <c r="O247" s="134"/>
      <c r="P247" s="134"/>
    </row>
    <row r="248" spans="4:16" ht="12.75" customHeight="1" x14ac:dyDescent="0.25">
      <c r="D248" s="1472"/>
      <c r="E248" s="549"/>
      <c r="F248" s="155"/>
      <c r="I248" s="134">
        <v>28328334</v>
      </c>
      <c r="J248" s="1474"/>
      <c r="K248" s="1474"/>
      <c r="L248" s="1474"/>
      <c r="M248" s="1474"/>
      <c r="N248" s="1474"/>
      <c r="O248" s="1474"/>
      <c r="P248" s="1474"/>
    </row>
    <row r="249" spans="4:16" ht="12.75" customHeight="1" x14ac:dyDescent="0.25">
      <c r="D249" s="1472"/>
      <c r="E249" s="1434" t="s">
        <v>1154</v>
      </c>
      <c r="F249" s="155"/>
      <c r="I249" s="134">
        <f>+K249</f>
        <v>53026</v>
      </c>
      <c r="J249" s="1474">
        <v>51986</v>
      </c>
      <c r="K249" s="1474">
        <v>53026</v>
      </c>
      <c r="L249" s="1474">
        <f t="shared" ref="L249:O250" si="26">ROUND(K249*T$3,0)</f>
        <v>55253</v>
      </c>
      <c r="M249" s="1474">
        <f t="shared" si="26"/>
        <v>57297</v>
      </c>
      <c r="N249" s="1474">
        <f t="shared" si="26"/>
        <v>59417</v>
      </c>
      <c r="O249" s="1474">
        <f t="shared" si="26"/>
        <v>61615</v>
      </c>
      <c r="P249" s="1474"/>
    </row>
    <row r="250" spans="4:16" ht="12.75" customHeight="1" x14ac:dyDescent="0.25">
      <c r="D250" s="1472"/>
      <c r="E250" s="1441" t="s">
        <v>1155</v>
      </c>
      <c r="F250" s="155"/>
      <c r="I250" s="134">
        <f>+K250</f>
        <v>56747</v>
      </c>
      <c r="J250" s="1474">
        <v>55634</v>
      </c>
      <c r="K250" s="1474">
        <v>56747</v>
      </c>
      <c r="L250" s="1474">
        <f t="shared" si="26"/>
        <v>59130</v>
      </c>
      <c r="M250" s="1474">
        <f t="shared" si="26"/>
        <v>61318</v>
      </c>
      <c r="N250" s="1474">
        <f t="shared" si="26"/>
        <v>63587</v>
      </c>
      <c r="O250" s="1474">
        <f t="shared" si="26"/>
        <v>65940</v>
      </c>
      <c r="P250" s="1474"/>
    </row>
    <row r="251" spans="4:16" ht="12.75" customHeight="1" x14ac:dyDescent="0.25">
      <c r="D251" s="1472"/>
      <c r="E251" s="1441" t="s">
        <v>1156</v>
      </c>
      <c r="F251" s="155"/>
      <c r="I251" s="1474" t="s">
        <v>1157</v>
      </c>
      <c r="J251" s="1474"/>
      <c r="K251" s="1474"/>
      <c r="L251" s="1474"/>
      <c r="M251" s="1474"/>
      <c r="N251" s="1474"/>
      <c r="O251" s="1474"/>
      <c r="P251" s="1474"/>
    </row>
    <row r="252" spans="4:16" ht="12.75" customHeight="1" thickBot="1" x14ac:dyDescent="0.3">
      <c r="D252" s="1472"/>
      <c r="E252" s="549"/>
      <c r="F252" s="155"/>
      <c r="I252" s="1832">
        <f>+I248+I249+I250</f>
        <v>28438107</v>
      </c>
      <c r="J252" s="1474"/>
      <c r="K252" s="1474"/>
      <c r="L252" s="1474"/>
      <c r="M252" s="1474"/>
      <c r="N252" s="1474"/>
      <c r="O252" s="1474"/>
      <c r="P252" s="1474"/>
    </row>
    <row r="253" spans="4:16" ht="12.75" customHeight="1" thickTop="1" x14ac:dyDescent="0.25">
      <c r="D253" s="1472"/>
      <c r="E253" s="1434" t="s">
        <v>1158</v>
      </c>
      <c r="F253" s="155"/>
      <c r="I253" s="134">
        <f>+I249*1.049</f>
        <v>55624.273999999998</v>
      </c>
      <c r="J253" s="1474"/>
      <c r="K253" s="1474"/>
      <c r="L253" s="1474">
        <f>ROUND(55624*T$3,0)</f>
        <v>57960</v>
      </c>
      <c r="M253" s="1474">
        <f t="shared" ref="M253:O254" si="27">ROUND(L253*U$3,0)</f>
        <v>60105</v>
      </c>
      <c r="N253" s="1474">
        <f t="shared" si="27"/>
        <v>62329</v>
      </c>
      <c r="O253" s="1474">
        <f t="shared" si="27"/>
        <v>64635</v>
      </c>
      <c r="P253" s="1474"/>
    </row>
    <row r="254" spans="4:16" ht="12.75" customHeight="1" x14ac:dyDescent="0.25">
      <c r="D254" s="1472"/>
      <c r="E254" s="1441" t="s">
        <v>1159</v>
      </c>
      <c r="F254" s="155"/>
      <c r="I254" s="134">
        <f>+I250*1.049</f>
        <v>59527.602999999996</v>
      </c>
      <c r="J254" s="1474"/>
      <c r="K254" s="1474"/>
      <c r="L254" s="1474">
        <f>ROUND(59528*T$3,0)</f>
        <v>62028</v>
      </c>
      <c r="M254" s="1474">
        <f t="shared" si="27"/>
        <v>64323</v>
      </c>
      <c r="N254" s="1474">
        <f t="shared" si="27"/>
        <v>66703</v>
      </c>
      <c r="O254" s="1474">
        <f t="shared" si="27"/>
        <v>69171</v>
      </c>
      <c r="P254" s="1474"/>
    </row>
    <row r="255" spans="4:16" ht="12.75" customHeight="1" x14ac:dyDescent="0.25">
      <c r="D255" s="1472"/>
      <c r="E255" s="1441" t="s">
        <v>1160</v>
      </c>
      <c r="F255" s="155"/>
      <c r="I255" s="134">
        <f>0.042*I252</f>
        <v>1194400.4940000002</v>
      </c>
      <c r="J255" s="1474"/>
      <c r="K255" s="1474"/>
      <c r="L255" s="1474"/>
      <c r="M255" s="1474"/>
      <c r="N255" s="1474"/>
      <c r="O255" s="1474"/>
      <c r="P255" s="1474"/>
    </row>
    <row r="256" spans="4:16" ht="12.75" customHeight="1" thickBot="1" x14ac:dyDescent="0.3">
      <c r="D256" s="1472"/>
      <c r="E256" s="549"/>
      <c r="F256" s="155"/>
      <c r="I256" s="1833">
        <f>SUM(I252:I255)</f>
        <v>29747659.370999999</v>
      </c>
      <c r="J256" s="1474"/>
      <c r="K256" s="1474"/>
      <c r="L256" s="1474"/>
      <c r="M256" s="1474"/>
      <c r="N256" s="1474"/>
      <c r="O256" s="1474"/>
      <c r="P256" s="1474"/>
    </row>
    <row r="257" spans="4:20" ht="12.75" customHeight="1" thickTop="1" x14ac:dyDescent="0.25">
      <c r="D257" s="1472"/>
      <c r="E257" s="1434" t="s">
        <v>1161</v>
      </c>
      <c r="F257" s="155"/>
      <c r="I257" s="134">
        <f>+I253*1.049</f>
        <v>58349.863425999996</v>
      </c>
      <c r="J257" s="1474"/>
      <c r="K257" s="1474"/>
      <c r="L257" s="1474"/>
      <c r="M257" s="1474">
        <f>ROUND(58350*U$3,0)</f>
        <v>60509</v>
      </c>
      <c r="N257" s="1474">
        <f>ROUND(M257*V$3,0)</f>
        <v>62748</v>
      </c>
      <c r="O257" s="1474">
        <f>ROUND(N257*W$3,0)</f>
        <v>65070</v>
      </c>
      <c r="P257" s="1474"/>
    </row>
    <row r="258" spans="4:20" ht="12.75" customHeight="1" x14ac:dyDescent="0.25">
      <c r="D258" s="1472"/>
      <c r="E258" s="1441" t="s">
        <v>1162</v>
      </c>
      <c r="F258" s="155"/>
      <c r="I258" s="134">
        <f>+I254*1.049</f>
        <v>62444.45554699999</v>
      </c>
      <c r="J258" s="1474"/>
      <c r="K258" s="1474"/>
      <c r="L258" s="1474"/>
      <c r="M258" s="1474">
        <f>ROUND(62444*U$3,0)</f>
        <v>64754</v>
      </c>
      <c r="N258" s="1474">
        <f>ROUND(M258*V$3,0)</f>
        <v>67150</v>
      </c>
      <c r="O258" s="1474">
        <f>ROUND(N258*W$3,0)</f>
        <v>69635</v>
      </c>
      <c r="P258" s="1474"/>
    </row>
    <row r="259" spans="4:20" ht="12.75" customHeight="1" x14ac:dyDescent="0.25">
      <c r="D259" s="1472"/>
      <c r="E259" s="1441" t="s">
        <v>1163</v>
      </c>
      <c r="F259" s="155"/>
      <c r="I259" s="134">
        <f>0.042*I256</f>
        <v>1249401.693582</v>
      </c>
      <c r="J259" s="1474"/>
      <c r="K259" s="1474"/>
      <c r="L259" s="1474"/>
      <c r="M259" s="1474"/>
      <c r="N259" s="1474"/>
      <c r="O259" s="1474"/>
      <c r="P259" s="1474"/>
      <c r="Q259" s="1434"/>
      <c r="R259" s="1434"/>
      <c r="S259" s="1434"/>
      <c r="T259" s="1434"/>
    </row>
    <row r="260" spans="4:20" ht="12.75" customHeight="1" thickBot="1" x14ac:dyDescent="0.3">
      <c r="D260" s="1472"/>
      <c r="E260" s="549"/>
      <c r="F260" s="155"/>
      <c r="I260" s="1833">
        <f>SUM(I256:I259)</f>
        <v>31117855.383554999</v>
      </c>
      <c r="J260" s="1474"/>
      <c r="K260" s="1474"/>
      <c r="L260" s="1474"/>
      <c r="M260" s="1474"/>
      <c r="N260" s="1474"/>
      <c r="O260" s="1474"/>
      <c r="P260" s="1474"/>
    </row>
    <row r="261" spans="4:20" ht="12.75" customHeight="1" thickTop="1" x14ac:dyDescent="0.25">
      <c r="D261" s="1472"/>
      <c r="E261" s="1434" t="s">
        <v>1164</v>
      </c>
      <c r="F261" s="155"/>
      <c r="I261" s="134">
        <f>+I257*1.049</f>
        <v>61209.00673387399</v>
      </c>
      <c r="J261" s="1474"/>
      <c r="K261" s="1474"/>
      <c r="L261" s="1474"/>
      <c r="M261" s="1474"/>
      <c r="N261" s="1474">
        <f>ROUND(61209*V$3,0)</f>
        <v>63474</v>
      </c>
      <c r="O261" s="1474">
        <f>ROUND(61209*W$3,0)</f>
        <v>63474</v>
      </c>
      <c r="P261" s="1474"/>
    </row>
    <row r="262" spans="4:20" ht="12.75" customHeight="1" x14ac:dyDescent="0.25">
      <c r="D262" s="1472"/>
      <c r="E262" s="1441" t="s">
        <v>1165</v>
      </c>
      <c r="F262" s="155"/>
      <c r="I262" s="134">
        <f>+I258*1.049</f>
        <v>65504.233868802985</v>
      </c>
      <c r="J262" s="1474"/>
      <c r="K262" s="1474"/>
      <c r="L262" s="1474"/>
      <c r="M262" s="1474"/>
      <c r="N262" s="1474">
        <f>ROUND(65504*V$3,0)</f>
        <v>67928</v>
      </c>
      <c r="O262" s="1474">
        <f>ROUND(65504*W$3,0)</f>
        <v>67928</v>
      </c>
      <c r="P262" s="1474"/>
    </row>
    <row r="263" spans="4:20" ht="12.75" customHeight="1" x14ac:dyDescent="0.25">
      <c r="D263" s="1472"/>
      <c r="E263" s="1441" t="s">
        <v>1166</v>
      </c>
      <c r="F263" s="155"/>
      <c r="I263" s="134">
        <f>0.042*I260</f>
        <v>1306949.92610931</v>
      </c>
      <c r="J263" s="1474"/>
      <c r="K263" s="1474"/>
      <c r="L263" s="1474"/>
      <c r="M263" s="1474"/>
      <c r="N263" s="1474"/>
      <c r="O263" s="1474"/>
      <c r="P263" s="1474"/>
      <c r="Q263" s="1434"/>
      <c r="R263" s="1434"/>
      <c r="S263" s="1434"/>
      <c r="T263" s="1434"/>
    </row>
    <row r="264" spans="4:20" ht="12.75" customHeight="1" thickBot="1" x14ac:dyDescent="0.3">
      <c r="D264" s="1472"/>
      <c r="E264" s="549"/>
      <c r="F264" s="155"/>
      <c r="I264" s="1833">
        <f>SUM(I260:I263)</f>
        <v>32551518.550266989</v>
      </c>
      <c r="J264" s="1474"/>
      <c r="K264" s="1474"/>
      <c r="L264" s="1474"/>
      <c r="M264" s="1474"/>
      <c r="N264" s="1474"/>
      <c r="O264" s="1474"/>
      <c r="P264" s="1474"/>
    </row>
    <row r="265" spans="4:20" ht="12.75" customHeight="1" thickTop="1" x14ac:dyDescent="0.25">
      <c r="D265" s="1472"/>
      <c r="E265" s="1444" t="s">
        <v>5267</v>
      </c>
      <c r="F265" s="2034"/>
      <c r="G265" s="1444"/>
      <c r="H265" s="1444"/>
      <c r="I265" s="2035">
        <f>+I261*1.049</f>
        <v>64208.248063833809</v>
      </c>
      <c r="J265" s="1474"/>
      <c r="K265" s="1474"/>
      <c r="L265" s="1474"/>
      <c r="M265" s="1474"/>
      <c r="N265" s="1474"/>
      <c r="O265" s="1474">
        <f>ROUND(61209*W$3,0)</f>
        <v>63474</v>
      </c>
      <c r="P265" s="1474"/>
    </row>
    <row r="266" spans="4:20" ht="12.75" customHeight="1" x14ac:dyDescent="0.25">
      <c r="D266" s="1472"/>
      <c r="E266" s="2036" t="s">
        <v>5268</v>
      </c>
      <c r="F266" s="2034"/>
      <c r="G266" s="1444"/>
      <c r="H266" s="1444"/>
      <c r="I266" s="2035">
        <f>+I262*1.049</f>
        <v>68713.94132837432</v>
      </c>
      <c r="J266" s="1474"/>
      <c r="K266" s="1474"/>
      <c r="L266" s="1474"/>
      <c r="M266" s="1474"/>
      <c r="N266" s="1474"/>
      <c r="O266" s="1474">
        <f>ROUND(65504*W$3,0)</f>
        <v>67928</v>
      </c>
      <c r="P266" s="1474"/>
    </row>
    <row r="267" spans="4:20" ht="12.75" customHeight="1" x14ac:dyDescent="0.25">
      <c r="D267" s="1472"/>
      <c r="E267" s="2036" t="s">
        <v>5269</v>
      </c>
      <c r="F267" s="2034"/>
      <c r="G267" s="1444"/>
      <c r="H267" s="1444"/>
      <c r="I267" s="2035">
        <f>0.042*I264</f>
        <v>1367163.7791112135</v>
      </c>
      <c r="J267" s="1474"/>
      <c r="K267" s="1474"/>
      <c r="L267" s="1474"/>
      <c r="M267" s="1474"/>
      <c r="N267" s="1474"/>
      <c r="O267" s="1474"/>
      <c r="P267" s="1474"/>
    </row>
    <row r="268" spans="4:20" ht="12.75" customHeight="1" thickBot="1" x14ac:dyDescent="0.3">
      <c r="D268" s="1472"/>
      <c r="E268" s="2037"/>
      <c r="F268" s="2034"/>
      <c r="G268" s="1444"/>
      <c r="H268" s="1444"/>
      <c r="I268" s="2038">
        <f>SUM(I264:I267)</f>
        <v>34051604.518770404</v>
      </c>
      <c r="J268" s="1474"/>
      <c r="K268" s="1474"/>
      <c r="L268" s="1474"/>
      <c r="M268" s="1474"/>
      <c r="N268" s="1474"/>
      <c r="O268" s="1474"/>
      <c r="P268" s="1474"/>
    </row>
    <row r="269" spans="4:20" ht="12.75" customHeight="1" thickTop="1" x14ac:dyDescent="0.25">
      <c r="D269" s="1472"/>
      <c r="E269" s="549"/>
      <c r="F269" s="155"/>
      <c r="I269" s="134"/>
      <c r="J269" s="1474"/>
      <c r="K269" s="1474"/>
      <c r="L269" s="1474"/>
      <c r="M269" s="1474"/>
      <c r="N269" s="1474"/>
      <c r="O269" s="1474"/>
      <c r="P269" s="1474"/>
    </row>
    <row r="270" spans="4:20" ht="12.75" customHeight="1" x14ac:dyDescent="0.25">
      <c r="D270" s="1472"/>
      <c r="E270" s="1434" t="s">
        <v>1167</v>
      </c>
      <c r="F270" s="155"/>
      <c r="I270" s="1474"/>
      <c r="J270" s="1474">
        <v>63095</v>
      </c>
      <c r="K270" s="1474">
        <v>64357</v>
      </c>
      <c r="L270" s="1474">
        <f>ROUND(K270*T$3,0)</f>
        <v>67060</v>
      </c>
      <c r="M270" s="1474">
        <f>ROUND(L270*U$3,0)</f>
        <v>69541</v>
      </c>
      <c r="N270" s="1474">
        <f>ROUND(M270*V$3,0)</f>
        <v>72114</v>
      </c>
      <c r="O270" s="1474">
        <f>ROUND(N270*W$3,0)</f>
        <v>74782</v>
      </c>
      <c r="P270" s="1474"/>
    </row>
    <row r="271" spans="4:20" ht="12.75" customHeight="1" x14ac:dyDescent="0.25">
      <c r="D271" s="1472"/>
      <c r="E271" s="1441" t="s">
        <v>1168</v>
      </c>
      <c r="F271" s="155"/>
      <c r="I271" s="1474"/>
      <c r="J271" s="1474"/>
      <c r="K271" s="1474"/>
      <c r="L271" s="1474"/>
      <c r="M271" s="1474"/>
      <c r="N271" s="1474"/>
      <c r="O271" s="1474"/>
      <c r="P271" s="1474"/>
    </row>
    <row r="272" spans="4:20" ht="12.75" customHeight="1" x14ac:dyDescent="0.25">
      <c r="D272" s="1472"/>
      <c r="E272" s="1434" t="s">
        <v>1169</v>
      </c>
      <c r="F272" s="155"/>
      <c r="I272" s="1474"/>
      <c r="J272" s="1474">
        <v>18337</v>
      </c>
      <c r="K272" s="1474">
        <v>18704</v>
      </c>
      <c r="L272" s="1474">
        <f t="shared" ref="L272:O276" si="28">ROUND(K272*T$3,0)</f>
        <v>19490</v>
      </c>
      <c r="M272" s="1474">
        <f t="shared" si="28"/>
        <v>20211</v>
      </c>
      <c r="N272" s="1474">
        <f t="shared" si="28"/>
        <v>20959</v>
      </c>
      <c r="O272" s="1474">
        <f t="shared" si="28"/>
        <v>21734</v>
      </c>
      <c r="P272" s="1474"/>
    </row>
    <row r="273" spans="4:16" ht="12.75" customHeight="1" x14ac:dyDescent="0.25">
      <c r="D273" s="1472"/>
      <c r="E273" s="1434" t="s">
        <v>1170</v>
      </c>
      <c r="F273" s="155"/>
      <c r="I273" s="1474"/>
      <c r="J273" s="1474">
        <v>18337</v>
      </c>
      <c r="K273" s="1474">
        <v>18704</v>
      </c>
      <c r="L273" s="1474">
        <f t="shared" si="28"/>
        <v>19490</v>
      </c>
      <c r="M273" s="1474">
        <f t="shared" si="28"/>
        <v>20211</v>
      </c>
      <c r="N273" s="1474">
        <f t="shared" si="28"/>
        <v>20959</v>
      </c>
      <c r="O273" s="1474">
        <f t="shared" si="28"/>
        <v>21734</v>
      </c>
      <c r="P273" s="1474"/>
    </row>
    <row r="274" spans="4:16" ht="12.75" customHeight="1" x14ac:dyDescent="0.25">
      <c r="D274" s="1472"/>
      <c r="E274" s="1434" t="s">
        <v>1171</v>
      </c>
      <c r="F274" s="155"/>
      <c r="I274" s="1474"/>
      <c r="J274" s="1474">
        <v>3457</v>
      </c>
      <c r="K274" s="1474">
        <v>3526</v>
      </c>
      <c r="L274" s="1474">
        <f t="shared" si="28"/>
        <v>3674</v>
      </c>
      <c r="M274" s="1474">
        <f t="shared" si="28"/>
        <v>3810</v>
      </c>
      <c r="N274" s="1474">
        <f t="shared" si="28"/>
        <v>3951</v>
      </c>
      <c r="O274" s="1474">
        <f t="shared" si="28"/>
        <v>4097</v>
      </c>
      <c r="P274" s="1474"/>
    </row>
    <row r="275" spans="4:16" ht="12.75" customHeight="1" x14ac:dyDescent="0.25">
      <c r="D275" s="1472"/>
      <c r="E275" s="1434" t="s">
        <v>1172</v>
      </c>
      <c r="F275" s="155"/>
      <c r="I275" s="1474"/>
      <c r="J275" s="1474">
        <v>37198</v>
      </c>
      <c r="K275" s="1474">
        <v>37942</v>
      </c>
      <c r="L275" s="1474">
        <f t="shared" si="28"/>
        <v>39536</v>
      </c>
      <c r="M275" s="1474">
        <f t="shared" si="28"/>
        <v>40999</v>
      </c>
      <c r="N275" s="1474">
        <f t="shared" si="28"/>
        <v>42516</v>
      </c>
      <c r="O275" s="1474">
        <f t="shared" si="28"/>
        <v>44089</v>
      </c>
      <c r="P275" s="1474"/>
    </row>
    <row r="276" spans="4:16" ht="12.75" customHeight="1" x14ac:dyDescent="0.25">
      <c r="D276" s="1472"/>
      <c r="E276" s="1434" t="s">
        <v>1173</v>
      </c>
      <c r="F276" s="155"/>
      <c r="I276" s="1474"/>
      <c r="J276" s="1513">
        <v>-4913</v>
      </c>
      <c r="K276" s="1513">
        <v>-5011</v>
      </c>
      <c r="L276" s="1513">
        <f t="shared" si="28"/>
        <v>-5221</v>
      </c>
      <c r="M276" s="1513">
        <f t="shared" si="28"/>
        <v>-5414</v>
      </c>
      <c r="N276" s="1513">
        <f t="shared" si="28"/>
        <v>-5614</v>
      </c>
      <c r="O276" s="1513">
        <f t="shared" si="28"/>
        <v>-5822</v>
      </c>
      <c r="P276" s="1474"/>
    </row>
    <row r="277" spans="4:16" ht="12.75" customHeight="1" x14ac:dyDescent="0.25">
      <c r="D277" s="1472"/>
      <c r="E277" s="155"/>
      <c r="F277" s="155"/>
      <c r="I277" s="1474"/>
      <c r="J277" s="1474">
        <v>243131</v>
      </c>
      <c r="K277" s="1474">
        <v>247995</v>
      </c>
      <c r="L277" s="1474">
        <f>SUM(L249:L276)</f>
        <v>378400</v>
      </c>
      <c r="M277" s="1474">
        <f>SUM(M249:M276)</f>
        <v>517664</v>
      </c>
      <c r="N277" s="1474">
        <f>SUM(N249:N276)</f>
        <v>668221</v>
      </c>
      <c r="O277" s="1474">
        <f>SUM(O249:O276)</f>
        <v>819484</v>
      </c>
      <c r="P277" s="1474"/>
    </row>
    <row r="278" spans="4:16" ht="12.75" customHeight="1" x14ac:dyDescent="0.25">
      <c r="D278" s="1472"/>
      <c r="E278" s="549" t="s">
        <v>1174</v>
      </c>
      <c r="F278" s="1434"/>
      <c r="G278" s="1474"/>
      <c r="H278" s="1474"/>
      <c r="J278" s="1474"/>
      <c r="K278" s="1474"/>
      <c r="L278" s="1474"/>
      <c r="M278" s="1474"/>
      <c r="N278" s="1474"/>
      <c r="O278" s="1474"/>
      <c r="P278" s="1474"/>
    </row>
    <row r="279" spans="4:16" ht="12.75" customHeight="1" x14ac:dyDescent="0.25">
      <c r="D279" s="1472"/>
      <c r="E279" s="2532" t="s">
        <v>1175</v>
      </c>
      <c r="F279" s="2532"/>
      <c r="G279" s="2532"/>
      <c r="H279" s="2532"/>
      <c r="I279" s="2532"/>
      <c r="J279" s="1474"/>
      <c r="K279" s="1474"/>
      <c r="L279" s="1474"/>
      <c r="M279" s="1474"/>
      <c r="N279" s="1474"/>
      <c r="O279" s="1474"/>
      <c r="P279" s="1474"/>
    </row>
    <row r="280" spans="4:16" ht="12.75" customHeight="1" x14ac:dyDescent="0.25">
      <c r="D280" s="1472"/>
      <c r="E280" s="2532"/>
      <c r="F280" s="2532"/>
      <c r="G280" s="2532"/>
      <c r="H280" s="2532"/>
      <c r="I280" s="2532"/>
      <c r="J280" s="1474"/>
      <c r="K280" s="1474"/>
      <c r="L280" s="1474"/>
      <c r="M280" s="1474"/>
      <c r="N280" s="1474"/>
      <c r="O280" s="1474"/>
      <c r="P280" s="1474"/>
    </row>
    <row r="281" spans="4:16" ht="12.75" customHeight="1" x14ac:dyDescent="0.25">
      <c r="D281" s="1472"/>
      <c r="E281" s="2532"/>
      <c r="F281" s="2532"/>
      <c r="G281" s="2532"/>
      <c r="H281" s="2532"/>
      <c r="I281" s="2532"/>
      <c r="J281" s="1474"/>
      <c r="K281" s="1474"/>
      <c r="L281" s="1474"/>
      <c r="M281" s="1474"/>
      <c r="N281" s="1474"/>
      <c r="O281" s="1474"/>
      <c r="P281" s="1474"/>
    </row>
    <row r="282" spans="4:16" ht="12.75" customHeight="1" x14ac:dyDescent="0.25">
      <c r="D282" s="1472"/>
      <c r="E282" s="2532"/>
      <c r="F282" s="2532"/>
      <c r="G282" s="2532"/>
      <c r="H282" s="2532"/>
      <c r="I282" s="2532"/>
      <c r="J282" s="1474">
        <v>-243131</v>
      </c>
      <c r="K282" s="1474">
        <v>-269117</v>
      </c>
      <c r="L282" s="1474">
        <f>ROUND(K282*T$3,0)</f>
        <v>-280420</v>
      </c>
      <c r="M282" s="1474">
        <f>ROUND(L282*U$3,0)</f>
        <v>-290796</v>
      </c>
      <c r="N282" s="1474">
        <f>ROUND(M282*V$3,0)</f>
        <v>-301555</v>
      </c>
      <c r="O282" s="1474">
        <f>ROUND(N282*W$3,0)</f>
        <v>-312713</v>
      </c>
      <c r="P282" s="1474"/>
    </row>
    <row r="283" spans="4:16" ht="12.75" customHeight="1" x14ac:dyDescent="0.25">
      <c r="D283" s="1472"/>
      <c r="E283" s="1514" t="s">
        <v>1176</v>
      </c>
      <c r="F283" s="299"/>
      <c r="G283" s="299"/>
      <c r="H283" s="299"/>
      <c r="I283" s="299"/>
      <c r="J283" s="1513"/>
      <c r="K283" s="1513">
        <v>21122</v>
      </c>
      <c r="L283" s="1513"/>
      <c r="M283" s="1513"/>
      <c r="N283" s="1513"/>
      <c r="O283" s="1513"/>
      <c r="P283" s="1474"/>
    </row>
    <row r="284" spans="4:16" ht="12.75" customHeight="1" x14ac:dyDescent="0.25">
      <c r="D284" s="1472"/>
      <c r="E284" s="1515"/>
      <c r="F284" s="1515"/>
      <c r="G284" s="1514"/>
      <c r="H284" s="1474"/>
      <c r="J284" s="1474">
        <v>0</v>
      </c>
      <c r="K284" s="1474">
        <v>0</v>
      </c>
      <c r="L284" s="1474">
        <f>SUM(L277:L282)</f>
        <v>97980</v>
      </c>
      <c r="M284" s="1474">
        <f>SUM(M277:M282)</f>
        <v>226868</v>
      </c>
      <c r="N284" s="1474">
        <f>SUM(N277:N282)</f>
        <v>366666</v>
      </c>
      <c r="O284" s="1474">
        <f>SUM(O277:O282)</f>
        <v>506771</v>
      </c>
      <c r="P284" s="1474"/>
    </row>
    <row r="285" spans="4:16" ht="12.75" customHeight="1" x14ac:dyDescent="0.25">
      <c r="D285" s="1472"/>
      <c r="E285" s="1516" t="s">
        <v>1177</v>
      </c>
      <c r="F285" s="590"/>
      <c r="G285" s="590"/>
      <c r="H285" s="590"/>
      <c r="J285" s="1474"/>
      <c r="K285" s="1474"/>
      <c r="L285" s="1474"/>
      <c r="M285" s="1474"/>
      <c r="N285" s="1474"/>
      <c r="O285" s="1474"/>
      <c r="P285" s="1474"/>
    </row>
    <row r="286" spans="4:16" ht="12.75" customHeight="1" x14ac:dyDescent="0.25">
      <c r="D286" s="1472"/>
      <c r="E286" s="590" t="s">
        <v>1178</v>
      </c>
      <c r="F286" s="590"/>
      <c r="G286" s="590"/>
      <c r="H286" s="590"/>
      <c r="J286" s="1474"/>
      <c r="K286" s="1474"/>
      <c r="L286" s="1474"/>
      <c r="M286" s="1474"/>
      <c r="N286" s="1474"/>
      <c r="O286" s="1474"/>
      <c r="P286" s="1474"/>
    </row>
    <row r="287" spans="4:16" ht="12.75" customHeight="1" x14ac:dyDescent="0.25">
      <c r="D287" s="1472"/>
      <c r="E287" s="1434" t="s">
        <v>1179</v>
      </c>
      <c r="F287" s="1434"/>
      <c r="G287" s="1474"/>
      <c r="H287" s="1474"/>
      <c r="J287" s="1474"/>
      <c r="K287" s="1474"/>
      <c r="L287" s="1474"/>
      <c r="M287" s="1474"/>
      <c r="N287" s="1474"/>
      <c r="O287" s="1474"/>
      <c r="P287" s="1474"/>
    </row>
    <row r="288" spans="4:16" ht="12.75" customHeight="1" x14ac:dyDescent="0.25">
      <c r="D288" s="1472"/>
      <c r="E288" s="1434" t="s">
        <v>1180</v>
      </c>
      <c r="F288" s="1434"/>
      <c r="G288" s="1474"/>
      <c r="H288" s="1474"/>
      <c r="J288" s="1474"/>
      <c r="K288" s="1474"/>
      <c r="L288" s="1474"/>
      <c r="M288" s="1474"/>
      <c r="N288" s="1474"/>
      <c r="O288" s="1474"/>
      <c r="P288" s="1474"/>
    </row>
    <row r="289" spans="4:20" ht="12.75" customHeight="1" x14ac:dyDescent="0.25">
      <c r="D289" s="1472"/>
      <c r="E289" s="1434"/>
      <c r="F289" s="1434"/>
      <c r="G289" s="1474"/>
      <c r="H289" s="1474"/>
      <c r="J289" s="1474"/>
      <c r="K289" s="1474"/>
      <c r="L289" s="1474"/>
      <c r="M289" s="1474"/>
      <c r="N289" s="1474"/>
      <c r="O289" s="1474"/>
      <c r="P289" s="1474"/>
    </row>
    <row r="290" spans="4:20" ht="12.75" customHeight="1" x14ac:dyDescent="0.25">
      <c r="D290" s="1472"/>
      <c r="E290" s="1434" t="s">
        <v>1181</v>
      </c>
      <c r="F290" s="1434"/>
      <c r="G290" s="1474"/>
      <c r="H290" s="1474"/>
      <c r="J290" s="1517">
        <v>0</v>
      </c>
      <c r="K290" s="1517">
        <v>0</v>
      </c>
      <c r="L290" s="1517">
        <f>SUM(L284:L289)</f>
        <v>97980</v>
      </c>
      <c r="M290" s="1517">
        <f>SUM(M284:M289)</f>
        <v>226868</v>
      </c>
      <c r="N290" s="1517">
        <f>SUM(N284:N289)</f>
        <v>366666</v>
      </c>
      <c r="O290" s="1517">
        <f>SUM(O284:O289)</f>
        <v>506771</v>
      </c>
      <c r="P290" s="1474"/>
    </row>
    <row r="291" spans="4:20" ht="12.75" customHeight="1" x14ac:dyDescent="0.25">
      <c r="D291" s="1437"/>
      <c r="E291" s="1502"/>
      <c r="F291" s="1434"/>
      <c r="G291" s="1474"/>
      <c r="H291" s="1474"/>
      <c r="J291" s="1474"/>
      <c r="K291" s="1474"/>
      <c r="L291" s="1474"/>
      <c r="M291" s="1474"/>
      <c r="N291" s="1474"/>
      <c r="O291" s="1474"/>
      <c r="P291" s="1474"/>
    </row>
    <row r="292" spans="4:20" ht="12.75" customHeight="1" x14ac:dyDescent="0.25">
      <c r="D292" s="1472"/>
      <c r="E292" s="549" t="s">
        <v>1182</v>
      </c>
      <c r="F292" s="155"/>
      <c r="I292" s="1518" t="s">
        <v>1183</v>
      </c>
      <c r="J292" s="1831">
        <v>0</v>
      </c>
      <c r="K292" s="1831">
        <v>0</v>
      </c>
      <c r="L292" s="1831">
        <f>SUM(L290:L291)</f>
        <v>97980</v>
      </c>
      <c r="M292" s="1831">
        <f>SUM(M290:M291)</f>
        <v>226868</v>
      </c>
      <c r="N292" s="1831">
        <f>SUM(N290:N291)</f>
        <v>366666</v>
      </c>
      <c r="O292" s="1831">
        <f>SUM(O290:O291)</f>
        <v>506771</v>
      </c>
      <c r="P292" s="1455"/>
    </row>
    <row r="293" spans="4:20" ht="12.75" customHeight="1" x14ac:dyDescent="0.25">
      <c r="D293" s="1472"/>
      <c r="E293" s="1434" t="s">
        <v>1184</v>
      </c>
      <c r="F293" s="155"/>
      <c r="I293" s="1474"/>
      <c r="J293" s="1474">
        <v>300000</v>
      </c>
      <c r="K293" s="1474">
        <v>300000</v>
      </c>
      <c r="L293" s="1474">
        <v>300000</v>
      </c>
      <c r="M293" s="1474">
        <v>300000</v>
      </c>
      <c r="N293" s="1474">
        <v>300000</v>
      </c>
      <c r="O293" s="1474">
        <v>300000</v>
      </c>
      <c r="P293" s="1474"/>
    </row>
    <row r="294" spans="4:20" ht="12.75" customHeight="1" x14ac:dyDescent="0.25">
      <c r="D294" s="1472"/>
      <c r="E294" s="1434" t="s">
        <v>1185</v>
      </c>
      <c r="F294" s="155"/>
      <c r="I294" s="1474"/>
      <c r="J294" s="1474"/>
      <c r="K294" s="1474"/>
      <c r="L294" s="1474"/>
      <c r="M294" s="1474"/>
      <c r="N294" s="1474"/>
      <c r="O294" s="1474"/>
      <c r="P294" s="1455"/>
    </row>
    <row r="295" spans="4:20" ht="12.75" customHeight="1" x14ac:dyDescent="0.25">
      <c r="D295" s="1472"/>
      <c r="E295" s="549" t="s">
        <v>1186</v>
      </c>
      <c r="F295" s="155"/>
      <c r="I295" s="1518" t="s">
        <v>1183</v>
      </c>
      <c r="J295" s="1831">
        <v>300000</v>
      </c>
      <c r="K295" s="1831">
        <v>300000</v>
      </c>
      <c r="L295" s="1831">
        <f>SUM(L292:L294)</f>
        <v>397980</v>
      </c>
      <c r="M295" s="1831">
        <f>SUM(M292:M294)</f>
        <v>526868</v>
      </c>
      <c r="N295" s="1831">
        <f>SUM(N292:N294)</f>
        <v>666666</v>
      </c>
      <c r="O295" s="1831">
        <f>SUM(O292:O294)</f>
        <v>806771</v>
      </c>
      <c r="P295" s="1455"/>
    </row>
    <row r="296" spans="4:20" ht="12.75" customHeight="1" x14ac:dyDescent="0.25">
      <c r="D296" s="1472"/>
      <c r="E296" s="549"/>
      <c r="F296" s="155"/>
      <c r="I296" s="1474"/>
      <c r="J296" s="1474"/>
      <c r="K296" s="1474"/>
      <c r="L296" s="1474"/>
      <c r="M296" s="1474"/>
      <c r="N296" s="1474"/>
      <c r="O296" s="1474"/>
      <c r="P296" s="1474"/>
    </row>
    <row r="297" spans="4:20" ht="12.75" customHeight="1" x14ac:dyDescent="0.25">
      <c r="D297" s="1437">
        <v>41100</v>
      </c>
      <c r="E297" s="549" t="s">
        <v>1187</v>
      </c>
      <c r="I297" s="1474"/>
      <c r="J297" s="1474"/>
      <c r="K297" s="1474"/>
      <c r="L297" s="1474"/>
      <c r="M297" s="1474"/>
      <c r="N297" s="1474"/>
      <c r="O297" s="1474"/>
      <c r="P297" s="1474"/>
    </row>
    <row r="298" spans="4:20" ht="12.75" customHeight="1" x14ac:dyDescent="0.25">
      <c r="D298" s="1472"/>
      <c r="E298" s="1434" t="s">
        <v>1154</v>
      </c>
      <c r="F298" s="155"/>
      <c r="I298" s="1474"/>
      <c r="J298" s="1474"/>
      <c r="K298" s="1474">
        <v>0</v>
      </c>
      <c r="L298" s="1474">
        <f>L249</f>
        <v>55253</v>
      </c>
      <c r="M298" s="1474">
        <f>M249</f>
        <v>57297</v>
      </c>
      <c r="N298" s="1474">
        <f t="shared" ref="N298:O298" si="29">N249</f>
        <v>59417</v>
      </c>
      <c r="O298" s="1474">
        <f t="shared" si="29"/>
        <v>61615</v>
      </c>
      <c r="P298" s="1474"/>
    </row>
    <row r="299" spans="4:20" ht="12.75" customHeight="1" x14ac:dyDescent="0.25">
      <c r="D299" s="1472"/>
      <c r="E299" s="1441" t="s">
        <v>1155</v>
      </c>
      <c r="F299" s="155"/>
      <c r="I299" s="1474"/>
      <c r="J299" s="1474"/>
      <c r="K299" s="1474">
        <v>0</v>
      </c>
      <c r="L299" s="1474">
        <f>L250</f>
        <v>59130</v>
      </c>
      <c r="M299" s="1474">
        <f>M250</f>
        <v>61318</v>
      </c>
      <c r="N299" s="1474">
        <f t="shared" ref="N299:O299" si="30">N250</f>
        <v>63587</v>
      </c>
      <c r="O299" s="1474">
        <f t="shared" si="30"/>
        <v>65940</v>
      </c>
      <c r="P299" s="1474"/>
    </row>
    <row r="300" spans="4:20" ht="12.75" customHeight="1" x14ac:dyDescent="0.25">
      <c r="D300" s="1472"/>
      <c r="E300" s="1434" t="s">
        <v>1158</v>
      </c>
      <c r="F300" s="155"/>
      <c r="I300" s="1474"/>
      <c r="J300" s="1474"/>
      <c r="K300" s="1474">
        <v>0</v>
      </c>
      <c r="L300" s="1474">
        <v>0</v>
      </c>
      <c r="M300" s="1474">
        <f t="shared" ref="M300:O301" si="31">M253</f>
        <v>60105</v>
      </c>
      <c r="N300" s="1474">
        <f t="shared" si="31"/>
        <v>62329</v>
      </c>
      <c r="O300" s="1474">
        <f t="shared" si="31"/>
        <v>64635</v>
      </c>
      <c r="P300" s="1474"/>
    </row>
    <row r="301" spans="4:20" ht="12.75" customHeight="1" x14ac:dyDescent="0.25">
      <c r="D301" s="1472"/>
      <c r="E301" s="1441" t="s">
        <v>1159</v>
      </c>
      <c r="F301" s="155"/>
      <c r="I301" s="1474"/>
      <c r="J301" s="1474"/>
      <c r="K301" s="1474">
        <v>0</v>
      </c>
      <c r="L301" s="1474">
        <v>0</v>
      </c>
      <c r="M301" s="1474">
        <f t="shared" si="31"/>
        <v>64323</v>
      </c>
      <c r="N301" s="1474">
        <f t="shared" si="31"/>
        <v>66703</v>
      </c>
      <c r="O301" s="1474">
        <f t="shared" si="31"/>
        <v>69171</v>
      </c>
      <c r="P301" s="1474"/>
      <c r="Q301" s="1434"/>
      <c r="R301" s="1434"/>
      <c r="S301" s="1434"/>
      <c r="T301" s="1434"/>
    </row>
    <row r="302" spans="4:20" ht="12.75" customHeight="1" x14ac:dyDescent="0.25">
      <c r="D302" s="1472"/>
      <c r="E302" s="1434" t="s">
        <v>1161</v>
      </c>
      <c r="F302" s="155"/>
      <c r="I302" s="1474"/>
      <c r="J302" s="1474"/>
      <c r="K302" s="1474">
        <v>0</v>
      </c>
      <c r="L302" s="1474">
        <v>0</v>
      </c>
      <c r="M302" s="1474">
        <v>0</v>
      </c>
      <c r="N302" s="1474">
        <f>N257</f>
        <v>62748</v>
      </c>
      <c r="O302" s="1474">
        <f>O257</f>
        <v>65070</v>
      </c>
      <c r="P302" s="1474"/>
    </row>
    <row r="303" spans="4:20" ht="12.75" customHeight="1" x14ac:dyDescent="0.25">
      <c r="D303" s="1472"/>
      <c r="E303" s="1441" t="s">
        <v>1162</v>
      </c>
      <c r="F303" s="155"/>
      <c r="I303" s="1474"/>
      <c r="J303" s="1474"/>
      <c r="K303" s="1474">
        <v>0</v>
      </c>
      <c r="L303" s="1474">
        <v>0</v>
      </c>
      <c r="M303" s="1434">
        <v>0</v>
      </c>
      <c r="N303" s="1474">
        <f>N258</f>
        <v>67150</v>
      </c>
      <c r="O303" s="1474">
        <f>O258</f>
        <v>69635</v>
      </c>
      <c r="P303" s="1474"/>
    </row>
    <row r="304" spans="4:20" ht="12.75" customHeight="1" x14ac:dyDescent="0.25">
      <c r="D304" s="1472"/>
      <c r="E304" s="1434" t="str">
        <f>"Totaal "&amp;D297</f>
        <v>Totaal 41100</v>
      </c>
      <c r="F304" s="155"/>
      <c r="I304" s="1474"/>
      <c r="J304" s="1834">
        <v>0</v>
      </c>
      <c r="K304" s="1834">
        <v>0</v>
      </c>
      <c r="L304" s="1834">
        <f>SUM(L298:L303)</f>
        <v>114383</v>
      </c>
      <c r="M304" s="1834">
        <f>SUM(M298:M303)</f>
        <v>243043</v>
      </c>
      <c r="N304" s="1834">
        <f>SUM(N298:N303)</f>
        <v>381934</v>
      </c>
      <c r="O304" s="1834">
        <f>SUM(O298:O303)</f>
        <v>396066</v>
      </c>
      <c r="P304" s="1474"/>
    </row>
    <row r="305" spans="4:20" ht="12.75" customHeight="1" x14ac:dyDescent="0.25">
      <c r="D305" s="1472"/>
      <c r="E305" s="549"/>
      <c r="F305" s="155"/>
      <c r="I305" s="1474"/>
      <c r="J305" s="1474"/>
      <c r="K305" s="1474"/>
      <c r="L305" s="1474"/>
      <c r="M305" s="1474"/>
      <c r="N305" s="1474"/>
      <c r="O305" s="1474"/>
      <c r="P305" s="1474"/>
    </row>
    <row r="306" spans="4:20" ht="12.75" customHeight="1" x14ac:dyDescent="0.25">
      <c r="D306" s="1437">
        <v>41104</v>
      </c>
      <c r="E306" s="1434" t="s">
        <v>1188</v>
      </c>
      <c r="I306" s="1474"/>
      <c r="J306" s="1474">
        <v>11796</v>
      </c>
      <c r="K306" s="1474">
        <v>12032</v>
      </c>
      <c r="L306" s="1474">
        <f>ROUND(K306*T$3,0)</f>
        <v>12537</v>
      </c>
      <c r="M306" s="1474">
        <f>ROUND(L306*U$3,0)</f>
        <v>13001</v>
      </c>
      <c r="N306" s="1474">
        <f>ROUND(M306*V$3,0)</f>
        <v>13482</v>
      </c>
      <c r="O306" s="1474">
        <f>ROUND(N306*W$3,0)</f>
        <v>13981</v>
      </c>
      <c r="P306" s="1474"/>
    </row>
    <row r="307" spans="4:20" ht="12.75" customHeight="1" x14ac:dyDescent="0.25">
      <c r="D307" s="1472"/>
      <c r="E307" s="549" t="str">
        <f>"Totaal "&amp;D306</f>
        <v>Totaal 41104</v>
      </c>
      <c r="F307" s="155"/>
      <c r="I307" s="1474"/>
      <c r="J307" s="1831">
        <v>11796</v>
      </c>
      <c r="K307" s="1831">
        <v>12032</v>
      </c>
      <c r="L307" s="1831">
        <f>SUM(L306)</f>
        <v>12537</v>
      </c>
      <c r="M307" s="1831">
        <f>SUM(M306)</f>
        <v>13001</v>
      </c>
      <c r="N307" s="1831">
        <f>SUM(N306)</f>
        <v>13482</v>
      </c>
      <c r="O307" s="1831">
        <f>SUM(O306)</f>
        <v>13981</v>
      </c>
      <c r="P307" s="1455"/>
    </row>
    <row r="308" spans="4:20" ht="12.75" customHeight="1" x14ac:dyDescent="0.25">
      <c r="D308" s="1472"/>
      <c r="E308" s="549"/>
      <c r="F308" s="155"/>
      <c r="I308" s="1455"/>
      <c r="J308" s="1455"/>
      <c r="K308" s="1455"/>
      <c r="L308" s="1455"/>
      <c r="M308" s="1455"/>
      <c r="N308" s="1455"/>
      <c r="O308" s="1455"/>
      <c r="P308" s="1455"/>
    </row>
    <row r="309" spans="4:20" ht="12.75" customHeight="1" x14ac:dyDescent="0.25">
      <c r="D309" s="1437">
        <v>43511</v>
      </c>
      <c r="E309" s="794" t="s">
        <v>1189</v>
      </c>
      <c r="F309" s="155"/>
      <c r="G309" s="1434" t="s">
        <v>560</v>
      </c>
      <c r="I309" s="1455"/>
      <c r="P309" s="1474"/>
    </row>
    <row r="310" spans="4:20" ht="12.75" customHeight="1" x14ac:dyDescent="0.25">
      <c r="D310" s="1472"/>
      <c r="E310" s="1441" t="s">
        <v>1190</v>
      </c>
      <c r="F310" s="155"/>
      <c r="I310" s="1455"/>
      <c r="J310" s="1474">
        <v>26303</v>
      </c>
      <c r="K310" s="1474">
        <v>26829</v>
      </c>
      <c r="L310" s="1474">
        <f>ROUND(K310*T$3,0)</f>
        <v>27956</v>
      </c>
      <c r="M310" s="1474">
        <f>ROUND(L310*U$3,0)</f>
        <v>28990</v>
      </c>
      <c r="N310" s="1474">
        <f>ROUND(M310*V$3,0)</f>
        <v>30063</v>
      </c>
      <c r="O310" s="1474">
        <f>ROUND(N310*W$3,0)</f>
        <v>31175</v>
      </c>
      <c r="P310" s="1474"/>
    </row>
    <row r="311" spans="4:20" ht="12.75" customHeight="1" x14ac:dyDescent="0.25">
      <c r="D311" s="1472"/>
      <c r="E311" s="1441" t="s">
        <v>1191</v>
      </c>
      <c r="F311" s="155"/>
      <c r="I311" s="1455"/>
      <c r="J311" s="1474">
        <v>46173</v>
      </c>
      <c r="K311" s="1474">
        <v>47096</v>
      </c>
      <c r="L311" s="1474">
        <f>ROUND(K311*$T$3,0)</f>
        <v>49074</v>
      </c>
      <c r="M311" s="1474">
        <f>ROUND(L311*U$3,0)</f>
        <v>50890</v>
      </c>
      <c r="N311" s="1474">
        <f t="shared" ref="N311:O311" si="32">ROUND(M311*V$3,0)</f>
        <v>52773</v>
      </c>
      <c r="O311" s="1474">
        <f t="shared" si="32"/>
        <v>54726</v>
      </c>
      <c r="P311" s="1474"/>
    </row>
    <row r="312" spans="4:20" ht="12.75" customHeight="1" x14ac:dyDescent="0.25">
      <c r="D312" s="1472"/>
      <c r="E312" s="1441" t="s">
        <v>1192</v>
      </c>
      <c r="F312" s="155"/>
      <c r="I312" s="1455"/>
      <c r="J312" s="1474">
        <v>152645</v>
      </c>
      <c r="K312" s="1474">
        <v>155698</v>
      </c>
      <c r="L312" s="1474">
        <f t="shared" ref="L312:O313" si="33">ROUND(K312*T$3,0)</f>
        <v>162237</v>
      </c>
      <c r="M312" s="1474">
        <f t="shared" si="33"/>
        <v>168240</v>
      </c>
      <c r="N312" s="1474">
        <f t="shared" si="33"/>
        <v>174465</v>
      </c>
      <c r="O312" s="1474">
        <f t="shared" si="33"/>
        <v>180920</v>
      </c>
      <c r="P312" s="1474"/>
    </row>
    <row r="313" spans="4:20" ht="12.75" customHeight="1" x14ac:dyDescent="0.25">
      <c r="D313" s="1472"/>
      <c r="E313" s="1441" t="s">
        <v>1193</v>
      </c>
      <c r="F313" s="155"/>
      <c r="I313" s="1455"/>
      <c r="J313" s="1513">
        <v>137934</v>
      </c>
      <c r="K313" s="1513">
        <v>140693</v>
      </c>
      <c r="L313" s="1513">
        <f t="shared" si="33"/>
        <v>146602</v>
      </c>
      <c r="M313" s="1513">
        <f t="shared" si="33"/>
        <v>152026</v>
      </c>
      <c r="N313" s="1513">
        <f t="shared" si="33"/>
        <v>157651</v>
      </c>
      <c r="O313" s="1513">
        <f t="shared" si="33"/>
        <v>163484</v>
      </c>
      <c r="P313" s="1474"/>
    </row>
    <row r="314" spans="4:20" ht="12.75" customHeight="1" x14ac:dyDescent="0.25">
      <c r="D314" s="1472"/>
      <c r="E314" s="1519" t="s">
        <v>1194</v>
      </c>
      <c r="F314" s="155"/>
      <c r="I314" s="1455"/>
      <c r="J314" s="1474">
        <v>363055</v>
      </c>
      <c r="K314" s="1474">
        <v>370316</v>
      </c>
      <c r="L314" s="1474">
        <f>SUM(L309:L313)</f>
        <v>385869</v>
      </c>
      <c r="M314" s="1474">
        <f>SUM(M309:M313)</f>
        <v>400146</v>
      </c>
      <c r="N314" s="1474">
        <f>SUM(N309:N313)</f>
        <v>414952</v>
      </c>
      <c r="O314" s="1474">
        <f>SUM(O309:O313)</f>
        <v>430305</v>
      </c>
      <c r="P314" s="1474"/>
    </row>
    <row r="315" spans="4:20" ht="12.75" customHeight="1" x14ac:dyDescent="0.25">
      <c r="D315" s="1472"/>
      <c r="E315" s="1441" t="s">
        <v>1195</v>
      </c>
      <c r="F315" s="155"/>
      <c r="I315" s="1455"/>
      <c r="J315" s="1474"/>
      <c r="K315" s="1474"/>
      <c r="L315" s="1474"/>
      <c r="M315" s="1474"/>
      <c r="N315" s="1474"/>
      <c r="O315" s="1474"/>
      <c r="P315" s="1474"/>
    </row>
    <row r="316" spans="4:20" ht="12.75" customHeight="1" x14ac:dyDescent="0.25">
      <c r="D316" s="1472"/>
      <c r="E316" s="1441" t="s">
        <v>1196</v>
      </c>
      <c r="F316" s="155"/>
      <c r="I316" s="1455"/>
      <c r="J316" s="1474"/>
      <c r="K316" s="1474"/>
      <c r="L316" s="1474"/>
      <c r="M316" s="1474"/>
      <c r="N316" s="1474"/>
      <c r="O316" s="1474"/>
      <c r="P316" s="1474"/>
    </row>
    <row r="317" spans="4:20" ht="12.75" customHeight="1" x14ac:dyDescent="0.25">
      <c r="D317" s="1472"/>
      <c r="E317" s="549" t="s">
        <v>711</v>
      </c>
      <c r="F317" s="155"/>
      <c r="I317" s="1455"/>
      <c r="J317" s="1831">
        <v>363055</v>
      </c>
      <c r="K317" s="1831">
        <v>370316</v>
      </c>
      <c r="L317" s="1831">
        <f>SUM(L314:L316)</f>
        <v>385869</v>
      </c>
      <c r="M317" s="1831">
        <f>SUM(M314:M316)</f>
        <v>400146</v>
      </c>
      <c r="N317" s="1831">
        <f>SUM(N314:N316)</f>
        <v>414952</v>
      </c>
      <c r="O317" s="1831">
        <f>SUM(O314:O316)</f>
        <v>430305</v>
      </c>
      <c r="P317" s="1455"/>
    </row>
    <row r="318" spans="4:20" ht="12.75" customHeight="1" x14ac:dyDescent="0.25">
      <c r="D318" s="1472"/>
      <c r="E318" s="155"/>
      <c r="F318" s="155"/>
      <c r="G318" s="549"/>
      <c r="I318" s="1471"/>
      <c r="J318" s="1471"/>
      <c r="K318" s="1471"/>
      <c r="L318" s="1471"/>
      <c r="M318" s="1471"/>
      <c r="N318" s="1471"/>
      <c r="O318" s="1471"/>
      <c r="P318" s="1471"/>
    </row>
    <row r="319" spans="4:20" ht="12.75" customHeight="1" x14ac:dyDescent="0.25">
      <c r="D319" s="1472"/>
      <c r="E319" s="155"/>
      <c r="F319" s="155"/>
      <c r="G319" s="549"/>
      <c r="I319" s="1471"/>
      <c r="J319" s="1830">
        <v>2025</v>
      </c>
      <c r="K319" s="1830">
        <v>2026</v>
      </c>
      <c r="L319" s="1830">
        <v>2027</v>
      </c>
      <c r="M319" s="1830">
        <v>2028</v>
      </c>
      <c r="N319" s="1830">
        <v>2029</v>
      </c>
      <c r="O319" s="1830">
        <v>2030</v>
      </c>
      <c r="P319" s="1471"/>
      <c r="Q319" s="1434"/>
      <c r="R319" s="1434"/>
      <c r="S319" s="1434"/>
      <c r="T319" s="1434"/>
    </row>
    <row r="320" spans="4:20" ht="12.75" customHeight="1" x14ac:dyDescent="0.25">
      <c r="D320" s="1437">
        <v>43806</v>
      </c>
      <c r="E320" s="1434" t="s">
        <v>546</v>
      </c>
      <c r="F320" s="155"/>
      <c r="G320" s="549"/>
      <c r="I320" s="1471"/>
      <c r="J320" s="1471"/>
      <c r="K320" s="1471"/>
      <c r="L320" s="1471"/>
      <c r="M320" s="1471"/>
      <c r="N320" s="1471"/>
      <c r="O320" s="1471"/>
      <c r="P320" s="1471"/>
    </row>
    <row r="321" spans="4:16" ht="12.75" customHeight="1" x14ac:dyDescent="0.25">
      <c r="D321" s="1437"/>
      <c r="E321" s="1441" t="s">
        <v>1197</v>
      </c>
      <c r="F321" s="155"/>
      <c r="G321" s="549"/>
      <c r="I321" s="1471"/>
      <c r="J321" s="1474">
        <v>8709</v>
      </c>
      <c r="K321" s="1474">
        <v>8935</v>
      </c>
      <c r="L321" s="1474">
        <f t="shared" ref="L321:O324" si="34">ROUND(K321*T$2,0)</f>
        <v>9123</v>
      </c>
      <c r="M321" s="1474">
        <f t="shared" si="34"/>
        <v>9333</v>
      </c>
      <c r="N321" s="1474">
        <f t="shared" si="34"/>
        <v>9548</v>
      </c>
      <c r="O321" s="1474">
        <f t="shared" si="34"/>
        <v>9768</v>
      </c>
      <c r="P321" s="1471"/>
    </row>
    <row r="322" spans="4:16" ht="12.75" customHeight="1" x14ac:dyDescent="0.25">
      <c r="D322" s="1437"/>
      <c r="E322" s="1441" t="s">
        <v>1198</v>
      </c>
      <c r="J322" s="1474">
        <v>1728</v>
      </c>
      <c r="K322" s="1474">
        <v>1773</v>
      </c>
      <c r="L322" s="1474">
        <f t="shared" si="34"/>
        <v>1810</v>
      </c>
      <c r="M322" s="1474">
        <f t="shared" si="34"/>
        <v>1852</v>
      </c>
      <c r="N322" s="1474">
        <f t="shared" si="34"/>
        <v>1895</v>
      </c>
      <c r="O322" s="1474">
        <f t="shared" si="34"/>
        <v>1939</v>
      </c>
      <c r="P322" s="1471"/>
    </row>
    <row r="323" spans="4:16" ht="12.75" customHeight="1" x14ac:dyDescent="0.25">
      <c r="D323" s="1437"/>
      <c r="E323" s="1441" t="s">
        <v>1199</v>
      </c>
      <c r="J323" s="1474">
        <v>52005</v>
      </c>
      <c r="K323" s="1474">
        <v>53357</v>
      </c>
      <c r="L323" s="1474">
        <f t="shared" si="34"/>
        <v>54477</v>
      </c>
      <c r="M323" s="1474">
        <f t="shared" si="34"/>
        <v>55730</v>
      </c>
      <c r="N323" s="1474">
        <f t="shared" si="34"/>
        <v>57012</v>
      </c>
      <c r="O323" s="1474">
        <f t="shared" si="34"/>
        <v>58323</v>
      </c>
      <c r="P323" s="1471"/>
    </row>
    <row r="324" spans="4:16" ht="12.75" customHeight="1" x14ac:dyDescent="0.25">
      <c r="D324" s="1437"/>
      <c r="E324" s="1441" t="s">
        <v>1200</v>
      </c>
      <c r="I324" s="1474"/>
      <c r="J324" s="1474">
        <v>2938</v>
      </c>
      <c r="K324" s="1474">
        <v>3014</v>
      </c>
      <c r="L324" s="1474">
        <f t="shared" si="34"/>
        <v>3077</v>
      </c>
      <c r="M324" s="1474">
        <f t="shared" si="34"/>
        <v>3148</v>
      </c>
      <c r="N324" s="1474">
        <f t="shared" si="34"/>
        <v>3220</v>
      </c>
      <c r="O324" s="1474">
        <f t="shared" si="34"/>
        <v>3294</v>
      </c>
      <c r="P324" s="1471"/>
    </row>
    <row r="325" spans="4:16" ht="12.75" customHeight="1" x14ac:dyDescent="0.25">
      <c r="D325" s="1437"/>
      <c r="E325" s="1441" t="s">
        <v>1201</v>
      </c>
      <c r="F325" s="1520"/>
      <c r="I325" s="1474"/>
      <c r="J325" s="1474"/>
      <c r="K325" s="1474"/>
      <c r="L325" s="1474"/>
      <c r="M325" s="1474"/>
      <c r="N325" s="1474"/>
      <c r="O325" s="1474"/>
      <c r="P325" s="1471"/>
    </row>
    <row r="326" spans="4:16" ht="12.75" customHeight="1" x14ac:dyDescent="0.25">
      <c r="D326" s="1437"/>
      <c r="E326" s="1434" t="s">
        <v>1202</v>
      </c>
      <c r="F326" s="1520"/>
      <c r="I326" s="1474"/>
      <c r="J326" s="1474">
        <v>15222</v>
      </c>
      <c r="K326" s="1474">
        <v>15618</v>
      </c>
      <c r="L326" s="1474">
        <f t="shared" ref="L326:O329" si="35">ROUND(K326*T$2,0)</f>
        <v>15946</v>
      </c>
      <c r="M326" s="1474">
        <f t="shared" si="35"/>
        <v>16313</v>
      </c>
      <c r="N326" s="1474">
        <f t="shared" si="35"/>
        <v>16688</v>
      </c>
      <c r="O326" s="1474">
        <f t="shared" si="35"/>
        <v>17072</v>
      </c>
      <c r="P326" s="1471"/>
    </row>
    <row r="327" spans="4:16" ht="12.75" customHeight="1" x14ac:dyDescent="0.25">
      <c r="D327" s="1437"/>
      <c r="E327" s="1441" t="s">
        <v>1203</v>
      </c>
      <c r="I327" s="549"/>
      <c r="J327" s="1474">
        <v>108263</v>
      </c>
      <c r="K327" s="1474">
        <v>111078</v>
      </c>
      <c r="L327" s="1474">
        <f t="shared" si="35"/>
        <v>113411</v>
      </c>
      <c r="M327" s="1474">
        <f t="shared" si="35"/>
        <v>116019</v>
      </c>
      <c r="N327" s="1474">
        <f t="shared" si="35"/>
        <v>118687</v>
      </c>
      <c r="O327" s="1474">
        <f t="shared" si="35"/>
        <v>121417</v>
      </c>
      <c r="P327" s="1521"/>
    </row>
    <row r="328" spans="4:16" ht="12.75" customHeight="1" x14ac:dyDescent="0.25">
      <c r="D328" s="1437"/>
      <c r="E328" s="1441" t="s">
        <v>1204</v>
      </c>
      <c r="I328" s="549"/>
      <c r="J328" s="1474">
        <v>24292</v>
      </c>
      <c r="K328" s="1474">
        <v>24924</v>
      </c>
      <c r="L328" s="1474">
        <f t="shared" si="35"/>
        <v>25447</v>
      </c>
      <c r="M328" s="1474">
        <f t="shared" si="35"/>
        <v>26032</v>
      </c>
      <c r="N328" s="1474">
        <f t="shared" si="35"/>
        <v>26631</v>
      </c>
      <c r="O328" s="1474">
        <f t="shared" si="35"/>
        <v>27244</v>
      </c>
      <c r="P328" s="1521"/>
    </row>
    <row r="329" spans="4:16" ht="12.75" customHeight="1" x14ac:dyDescent="0.25">
      <c r="D329" s="1437"/>
      <c r="E329" s="1441" t="s">
        <v>1205</v>
      </c>
      <c r="I329" s="549"/>
      <c r="J329" s="1474">
        <v>0</v>
      </c>
      <c r="K329" s="1474">
        <v>12000</v>
      </c>
      <c r="L329" s="1474">
        <f t="shared" si="35"/>
        <v>12252</v>
      </c>
      <c r="M329" s="1474">
        <f t="shared" si="35"/>
        <v>12534</v>
      </c>
      <c r="N329" s="1474">
        <f t="shared" si="35"/>
        <v>12822</v>
      </c>
      <c r="O329" s="1474">
        <f t="shared" si="35"/>
        <v>13117</v>
      </c>
      <c r="P329" s="1521" t="s">
        <v>1206</v>
      </c>
    </row>
    <row r="330" spans="4:16" ht="12.75" customHeight="1" x14ac:dyDescent="0.25">
      <c r="D330" s="1437"/>
      <c r="E330" s="1441" t="s">
        <v>1207</v>
      </c>
      <c r="I330" s="549"/>
      <c r="J330" s="1474">
        <v>20000</v>
      </c>
      <c r="K330" s="1474">
        <v>20000</v>
      </c>
      <c r="L330" s="1474">
        <v>20000</v>
      </c>
      <c r="M330" s="1474">
        <v>20000</v>
      </c>
      <c r="N330" s="1474">
        <v>20000</v>
      </c>
      <c r="O330" s="1474">
        <v>20000</v>
      </c>
      <c r="P330" s="1471"/>
    </row>
    <row r="331" spans="4:16" ht="12.75" customHeight="1" x14ac:dyDescent="0.25">
      <c r="D331" s="1437"/>
      <c r="E331" s="1441" t="s">
        <v>1208</v>
      </c>
      <c r="I331" s="549"/>
      <c r="J331" s="1474">
        <v>26000</v>
      </c>
      <c r="K331" s="1474">
        <v>26000</v>
      </c>
      <c r="L331" s="1474">
        <f>+K331</f>
        <v>26000</v>
      </c>
      <c r="M331" s="1474">
        <f>+L331</f>
        <v>26000</v>
      </c>
      <c r="N331" s="1474">
        <f>+M331</f>
        <v>26000</v>
      </c>
      <c r="O331" s="1474">
        <f>+N331</f>
        <v>26000</v>
      </c>
      <c r="P331" s="1471"/>
    </row>
    <row r="332" spans="4:16" ht="12.75" customHeight="1" x14ac:dyDescent="0.25">
      <c r="D332" s="1437"/>
      <c r="E332" s="549" t="str">
        <f>"Totaal "&amp;D320</f>
        <v>Totaal 43806</v>
      </c>
      <c r="H332" s="549"/>
      <c r="J332" s="1831">
        <v>259157</v>
      </c>
      <c r="K332" s="1831">
        <v>276699</v>
      </c>
      <c r="L332" s="1831">
        <f t="shared" ref="L332:M332" si="36">SUM(L321:L331)</f>
        <v>281543</v>
      </c>
      <c r="M332" s="1831">
        <f t="shared" si="36"/>
        <v>286961</v>
      </c>
      <c r="N332" s="1831">
        <f>SUM(N321:N331)</f>
        <v>292503</v>
      </c>
      <c r="O332" s="1831">
        <f>SUM(O321:O331)</f>
        <v>298174</v>
      </c>
      <c r="P332" s="1522"/>
    </row>
    <row r="333" spans="4:16" ht="12.75" customHeight="1" x14ac:dyDescent="0.25">
      <c r="D333" s="1437"/>
      <c r="E333" s="549"/>
      <c r="H333" s="549"/>
      <c r="J333" s="1455"/>
      <c r="K333" s="1455"/>
      <c r="L333" s="1455"/>
      <c r="M333" s="1455"/>
      <c r="N333" s="1455"/>
      <c r="O333" s="1455"/>
      <c r="P333" s="1523"/>
    </row>
    <row r="334" spans="4:16" ht="12.75" customHeight="1" x14ac:dyDescent="0.25">
      <c r="D334" s="1437">
        <v>43807</v>
      </c>
      <c r="E334" s="1434" t="s">
        <v>1100</v>
      </c>
      <c r="H334" s="549"/>
      <c r="J334" s="1455"/>
      <c r="K334" s="1455"/>
      <c r="L334" s="1455"/>
      <c r="M334" s="1455"/>
      <c r="N334" s="1455"/>
      <c r="O334" s="1455"/>
      <c r="P334" s="1455"/>
    </row>
    <row r="335" spans="4:16" ht="12.75" customHeight="1" x14ac:dyDescent="0.25">
      <c r="D335" s="1434"/>
      <c r="E335" s="1434" t="s">
        <v>1209</v>
      </c>
      <c r="H335" s="549"/>
      <c r="I335" s="1455"/>
      <c r="J335" s="1474">
        <v>76749</v>
      </c>
      <c r="K335" s="1474">
        <v>78514</v>
      </c>
      <c r="L335" s="1474">
        <v>80319</v>
      </c>
      <c r="M335" s="1474">
        <v>82167</v>
      </c>
      <c r="N335" s="1474">
        <v>82167</v>
      </c>
      <c r="O335" s="1474">
        <v>82167</v>
      </c>
      <c r="P335" s="1474"/>
    </row>
    <row r="336" spans="4:16" ht="12.75" customHeight="1" x14ac:dyDescent="0.25">
      <c r="D336" s="1434"/>
      <c r="E336" s="1434" t="s">
        <v>1210</v>
      </c>
      <c r="H336" s="549"/>
      <c r="I336" s="1455"/>
      <c r="J336" s="1474"/>
      <c r="K336" s="1474"/>
      <c r="L336" s="1474"/>
      <c r="M336" s="1474"/>
      <c r="N336" s="1474"/>
      <c r="O336" s="1474"/>
      <c r="P336" s="1474"/>
    </row>
    <row r="337" spans="4:16" ht="12.75" customHeight="1" x14ac:dyDescent="0.25">
      <c r="D337" s="1434"/>
      <c r="E337" s="1441" t="s">
        <v>1211</v>
      </c>
      <c r="I337" s="549"/>
      <c r="J337" s="1474">
        <v>20000</v>
      </c>
      <c r="K337" s="1474">
        <v>20000</v>
      </c>
      <c r="L337" s="1474">
        <f>+K337</f>
        <v>20000</v>
      </c>
      <c r="M337" s="1474">
        <f>+L337</f>
        <v>20000</v>
      </c>
      <c r="N337" s="1474">
        <f>+M337</f>
        <v>20000</v>
      </c>
      <c r="O337" s="1474">
        <f>+N337</f>
        <v>20000</v>
      </c>
      <c r="P337" s="1474"/>
    </row>
    <row r="338" spans="4:16" ht="12.75" customHeight="1" x14ac:dyDescent="0.25">
      <c r="D338" s="1437"/>
      <c r="E338" s="549" t="str">
        <f>"Totaal "&amp;D334</f>
        <v>Totaal 43807</v>
      </c>
      <c r="H338" s="549"/>
      <c r="I338" s="1455"/>
      <c r="J338" s="1831">
        <v>96749</v>
      </c>
      <c r="K338" s="1831">
        <v>98514</v>
      </c>
      <c r="L338" s="1831">
        <f>SUM(L335:L337)</f>
        <v>100319</v>
      </c>
      <c r="M338" s="1831">
        <f>SUM(M335:M337)</f>
        <v>102167</v>
      </c>
      <c r="N338" s="1831">
        <f>SUM(N335:N337)</f>
        <v>102167</v>
      </c>
      <c r="O338" s="1831">
        <f>SUM(O335:O337)</f>
        <v>102167</v>
      </c>
      <c r="P338" s="1455"/>
    </row>
    <row r="339" spans="4:16" ht="12.75" customHeight="1" x14ac:dyDescent="0.25">
      <c r="D339" s="1434"/>
      <c r="E339" s="1434"/>
      <c r="F339" s="1435"/>
      <c r="H339" s="549"/>
      <c r="I339" s="1474"/>
      <c r="J339" s="1474"/>
      <c r="K339" s="1474"/>
      <c r="L339" s="1474"/>
      <c r="M339" s="1474"/>
      <c r="N339" s="1474"/>
      <c r="O339" s="1474"/>
      <c r="P339" s="1474"/>
    </row>
    <row r="340" spans="4:16" ht="12.75" customHeight="1" x14ac:dyDescent="0.25">
      <c r="D340" s="1437">
        <v>43808</v>
      </c>
      <c r="E340" s="1434" t="s">
        <v>1212</v>
      </c>
      <c r="H340" s="1441"/>
      <c r="J340" s="1474"/>
      <c r="K340" s="1474"/>
      <c r="L340" s="1474"/>
      <c r="M340" s="1474"/>
      <c r="N340" s="1474"/>
      <c r="O340" s="1474"/>
      <c r="P340" s="1474"/>
    </row>
    <row r="341" spans="4:16" ht="12.75" customHeight="1" x14ac:dyDescent="0.25">
      <c r="D341" s="1434"/>
      <c r="E341" s="1434" t="s">
        <v>1213</v>
      </c>
      <c r="I341" s="1524" t="s">
        <v>1214</v>
      </c>
      <c r="J341" s="1474"/>
      <c r="K341" s="1474"/>
      <c r="L341" s="1474"/>
      <c r="M341" s="1474"/>
      <c r="N341" s="1474"/>
      <c r="O341" s="1474"/>
      <c r="P341" s="1474"/>
    </row>
    <row r="342" spans="4:16" ht="12.75" customHeight="1" x14ac:dyDescent="0.25">
      <c r="D342" s="1437"/>
      <c r="E342" s="1440">
        <v>7</v>
      </c>
      <c r="F342" s="1434" t="s">
        <v>1215</v>
      </c>
      <c r="I342" s="1525">
        <v>3128</v>
      </c>
      <c r="J342" s="1474">
        <v>21014</v>
      </c>
      <c r="K342" s="1474"/>
      <c r="L342" s="1474"/>
      <c r="M342" s="1474"/>
      <c r="N342" s="1474"/>
      <c r="O342" s="1474"/>
      <c r="P342" s="1526"/>
    </row>
    <row r="343" spans="4:16" ht="12.75" customHeight="1" x14ac:dyDescent="0.25">
      <c r="D343" s="1437"/>
      <c r="E343" s="1440">
        <v>7</v>
      </c>
      <c r="F343" s="1434" t="s">
        <v>1215</v>
      </c>
      <c r="I343" s="1525">
        <f>ROUND(+I342*S$3,0)</f>
        <v>3191</v>
      </c>
      <c r="J343" s="1474"/>
      <c r="K343" s="1474">
        <v>22337</v>
      </c>
      <c r="L343" s="1474"/>
      <c r="M343" s="1474"/>
      <c r="N343" s="1474"/>
      <c r="O343" s="1474"/>
      <c r="P343" s="1474"/>
    </row>
    <row r="344" spans="4:16" ht="12.75" customHeight="1" x14ac:dyDescent="0.25">
      <c r="D344" s="1437"/>
      <c r="E344" s="1440">
        <v>7</v>
      </c>
      <c r="F344" s="1434" t="s">
        <v>1215</v>
      </c>
      <c r="I344" s="2040">
        <f>ROUND(+I343*T$3,0)</f>
        <v>3325</v>
      </c>
      <c r="J344" s="1474"/>
      <c r="K344" s="1474"/>
      <c r="L344" s="1474">
        <f>ROUND($E344*$I344,0)</f>
        <v>23275</v>
      </c>
      <c r="M344" s="1474"/>
      <c r="N344" s="1474"/>
      <c r="O344" s="1474"/>
      <c r="P344" s="1474"/>
    </row>
    <row r="345" spans="4:16" ht="12.75" customHeight="1" x14ac:dyDescent="0.25">
      <c r="D345" s="1437"/>
      <c r="E345" s="1440">
        <v>7</v>
      </c>
      <c r="F345" s="1434" t="s">
        <v>1215</v>
      </c>
      <c r="I345" s="2040">
        <f>ROUND(+I344*U$3,0)</f>
        <v>3448</v>
      </c>
      <c r="J345" s="1474"/>
      <c r="K345" s="1474"/>
      <c r="L345" s="1474"/>
      <c r="M345" s="1474">
        <f>ROUND($E345*$I345,0)</f>
        <v>24136</v>
      </c>
      <c r="N345" s="1474"/>
      <c r="O345" s="1474"/>
      <c r="P345" s="1474"/>
    </row>
    <row r="346" spans="4:16" ht="12.75" customHeight="1" x14ac:dyDescent="0.25">
      <c r="D346" s="1437"/>
      <c r="E346" s="1440">
        <v>7</v>
      </c>
      <c r="F346" s="1434" t="s">
        <v>1215</v>
      </c>
      <c r="I346" s="2040">
        <f>ROUND(+I345*V$3,0)</f>
        <v>3576</v>
      </c>
      <c r="J346" s="1474"/>
      <c r="K346" s="1474"/>
      <c r="L346" s="1474"/>
      <c r="M346" s="1474"/>
      <c r="N346" s="1474">
        <f>+E346*I346</f>
        <v>25032</v>
      </c>
      <c r="O346" s="1474"/>
      <c r="P346" s="1474"/>
    </row>
    <row r="347" spans="4:16" ht="12.75" customHeight="1" x14ac:dyDescent="0.25">
      <c r="D347" s="1437"/>
      <c r="E347" s="2039">
        <v>7</v>
      </c>
      <c r="F347" s="1444" t="s">
        <v>1215</v>
      </c>
      <c r="G347" s="1444"/>
      <c r="H347" s="1444"/>
      <c r="I347" s="2040">
        <f>ROUND(+I346*W$2,0)</f>
        <v>3658</v>
      </c>
      <c r="J347" s="1474"/>
      <c r="K347" s="1474"/>
      <c r="L347" s="1474"/>
      <c r="M347" s="1474"/>
      <c r="N347" s="1474"/>
      <c r="O347" s="1474">
        <f>+E347*I347</f>
        <v>25606</v>
      </c>
      <c r="P347" s="1474"/>
    </row>
    <row r="348" spans="4:16" ht="12.75" customHeight="1" x14ac:dyDescent="0.25">
      <c r="D348" s="1437"/>
      <c r="E348" s="1441" t="s">
        <v>1216</v>
      </c>
      <c r="F348" s="1434"/>
      <c r="I348" s="1525"/>
      <c r="J348" s="1474">
        <v>25000</v>
      </c>
      <c r="K348" s="1474">
        <v>25000</v>
      </c>
      <c r="L348" s="1474">
        <v>25000</v>
      </c>
      <c r="M348" s="1474">
        <v>25000</v>
      </c>
      <c r="N348" s="1474">
        <v>25000</v>
      </c>
      <c r="O348" s="1474">
        <v>25000</v>
      </c>
      <c r="P348" s="1474"/>
    </row>
    <row r="349" spans="4:16" ht="12.75" customHeight="1" x14ac:dyDescent="0.25">
      <c r="D349" s="1437"/>
      <c r="E349" s="549" t="str">
        <f>"Totaal "&amp;D340</f>
        <v>Totaal 43808</v>
      </c>
      <c r="H349" s="549"/>
      <c r="I349" s="1474"/>
      <c r="J349" s="1831">
        <v>46014</v>
      </c>
      <c r="K349" s="1831">
        <v>47337</v>
      </c>
      <c r="L349" s="1831">
        <f>SUM(L341:L348)</f>
        <v>48275</v>
      </c>
      <c r="M349" s="1831">
        <f>SUM(M341:M348)</f>
        <v>49136</v>
      </c>
      <c r="N349" s="1831">
        <f>SUM(N341:N348)</f>
        <v>50032</v>
      </c>
      <c r="O349" s="1831">
        <f>SUM(O341:O348)</f>
        <v>50606</v>
      </c>
      <c r="P349" s="1474"/>
    </row>
    <row r="350" spans="4:16" ht="12.75" customHeight="1" x14ac:dyDescent="0.25">
      <c r="D350" s="1434"/>
      <c r="E350" s="1434"/>
      <c r="F350" s="1435"/>
      <c r="H350" s="549"/>
      <c r="I350" s="1474"/>
      <c r="J350" s="1474"/>
      <c r="K350" s="1474"/>
      <c r="L350" s="1474"/>
      <c r="M350" s="1474"/>
      <c r="N350" s="1474"/>
      <c r="O350" s="1474"/>
      <c r="P350" s="1474"/>
    </row>
    <row r="351" spans="4:16" ht="12.75" customHeight="1" x14ac:dyDescent="0.25">
      <c r="D351" s="1437">
        <v>43809</v>
      </c>
      <c r="E351" s="1434" t="s">
        <v>1102</v>
      </c>
      <c r="G351" s="549"/>
      <c r="H351" s="549"/>
      <c r="I351" s="1474"/>
      <c r="J351" s="1455"/>
      <c r="K351" s="1455"/>
      <c r="L351" s="1455"/>
      <c r="M351" s="1455"/>
      <c r="N351" s="1455"/>
      <c r="O351" s="1455"/>
      <c r="P351" s="1474"/>
    </row>
    <row r="352" spans="4:16" ht="12.75" customHeight="1" x14ac:dyDescent="0.25">
      <c r="D352" s="1434"/>
      <c r="E352" s="1434" t="s">
        <v>1217</v>
      </c>
      <c r="F352" s="1434"/>
      <c r="I352" s="1474"/>
      <c r="P352" s="1474"/>
    </row>
    <row r="353" spans="4:20" ht="12.75" customHeight="1" x14ac:dyDescent="0.25">
      <c r="D353" s="1437"/>
      <c r="E353" s="1441" t="s">
        <v>1218</v>
      </c>
      <c r="F353" s="1434"/>
      <c r="I353" s="1474"/>
      <c r="J353" s="1474">
        <v>53614</v>
      </c>
      <c r="K353" s="1474">
        <v>55008</v>
      </c>
      <c r="L353" s="1474">
        <f>ROUND(K353*T$2,0)</f>
        <v>56163</v>
      </c>
      <c r="M353" s="1474">
        <f>ROUND(L353*U$2,0)</f>
        <v>57455</v>
      </c>
      <c r="N353" s="1474">
        <f>ROUND(M353*V$2,0)</f>
        <v>58776</v>
      </c>
      <c r="O353" s="1474">
        <f>ROUND(N353*W$2,0)</f>
        <v>60128</v>
      </c>
      <c r="P353" s="1474"/>
    </row>
    <row r="354" spans="4:20" ht="12.75" customHeight="1" x14ac:dyDescent="0.25">
      <c r="D354" s="1437"/>
      <c r="E354" s="549" t="str">
        <f>"Totaal "&amp;D351</f>
        <v>Totaal 43809</v>
      </c>
      <c r="F354" s="1434"/>
      <c r="I354" s="1474"/>
      <c r="J354" s="1831">
        <v>53614</v>
      </c>
      <c r="K354" s="1831">
        <v>55008</v>
      </c>
      <c r="L354" s="1831">
        <f>SUM(L352:L353)</f>
        <v>56163</v>
      </c>
      <c r="M354" s="1831">
        <f>SUM(M352:M353)</f>
        <v>57455</v>
      </c>
      <c r="N354" s="1831">
        <f>SUM(N352:N353)</f>
        <v>58776</v>
      </c>
      <c r="O354" s="1831">
        <f>SUM(O352:O353)</f>
        <v>60128</v>
      </c>
      <c r="P354" s="1474"/>
    </row>
    <row r="355" spans="4:20" ht="12.75" customHeight="1" x14ac:dyDescent="0.25">
      <c r="D355" s="1434"/>
      <c r="E355" s="1434"/>
      <c r="F355" s="1435"/>
      <c r="H355" s="549"/>
      <c r="I355" s="1474"/>
      <c r="J355" s="1474"/>
      <c r="K355" s="1474"/>
      <c r="L355" s="1474"/>
      <c r="M355" s="1474"/>
      <c r="N355" s="1474"/>
      <c r="O355" s="1474"/>
      <c r="P355" s="1474"/>
    </row>
    <row r="356" spans="4:20" ht="12.75" customHeight="1" x14ac:dyDescent="0.25">
      <c r="D356" s="1437">
        <v>43812</v>
      </c>
      <c r="E356" s="1441" t="s">
        <v>535</v>
      </c>
      <c r="I356" s="1474"/>
      <c r="J356" s="1474"/>
      <c r="K356" s="1474"/>
      <c r="L356" s="1474"/>
      <c r="M356" s="1474"/>
      <c r="N356" s="1474"/>
      <c r="O356" s="1474"/>
      <c r="P356" s="1474"/>
    </row>
    <row r="357" spans="4:20" ht="12.75" customHeight="1" x14ac:dyDescent="0.25">
      <c r="D357" s="1434"/>
      <c r="E357" s="1434" t="s">
        <v>1219</v>
      </c>
      <c r="I357" s="1474"/>
      <c r="J357" s="1474">
        <v>236</v>
      </c>
      <c r="K357" s="1474">
        <v>242</v>
      </c>
      <c r="L357" s="1474">
        <f t="shared" ref="L357:O363" si="37">ROUND(K357*T$2,0)</f>
        <v>247</v>
      </c>
      <c r="M357" s="1474">
        <f t="shared" si="37"/>
        <v>253</v>
      </c>
      <c r="N357" s="1474">
        <f t="shared" si="37"/>
        <v>259</v>
      </c>
      <c r="O357" s="1474">
        <f t="shared" si="37"/>
        <v>265</v>
      </c>
      <c r="P357" s="1474"/>
    </row>
    <row r="358" spans="4:20" ht="12.75" customHeight="1" x14ac:dyDescent="0.25">
      <c r="D358" s="1437"/>
      <c r="E358" s="1434" t="s">
        <v>1220</v>
      </c>
      <c r="I358" s="1474"/>
      <c r="J358" s="1474">
        <v>1421</v>
      </c>
      <c r="K358" s="1474">
        <v>1458</v>
      </c>
      <c r="L358" s="1474">
        <f t="shared" si="37"/>
        <v>1489</v>
      </c>
      <c r="M358" s="1474">
        <f t="shared" si="37"/>
        <v>1523</v>
      </c>
      <c r="N358" s="1474">
        <f t="shared" si="37"/>
        <v>1558</v>
      </c>
      <c r="O358" s="1474">
        <f t="shared" si="37"/>
        <v>1594</v>
      </c>
      <c r="P358" s="1474"/>
    </row>
    <row r="359" spans="4:20" ht="12.75" customHeight="1" x14ac:dyDescent="0.25">
      <c r="D359" s="1437"/>
      <c r="E359" s="1434" t="s">
        <v>1221</v>
      </c>
      <c r="I359" s="1474"/>
      <c r="J359" s="1474">
        <v>1539</v>
      </c>
      <c r="K359" s="1474">
        <v>1579</v>
      </c>
      <c r="L359" s="1474">
        <f t="shared" si="37"/>
        <v>1612</v>
      </c>
      <c r="M359" s="1474">
        <f t="shared" si="37"/>
        <v>1649</v>
      </c>
      <c r="N359" s="1474">
        <f t="shared" si="37"/>
        <v>1687</v>
      </c>
      <c r="O359" s="1474">
        <f t="shared" si="37"/>
        <v>1726</v>
      </c>
      <c r="P359" s="1474"/>
    </row>
    <row r="360" spans="4:20" ht="12.75" customHeight="1" x14ac:dyDescent="0.25">
      <c r="E360" s="1434" t="s">
        <v>1222</v>
      </c>
      <c r="I360" s="1474"/>
      <c r="J360" s="1474">
        <v>2487</v>
      </c>
      <c r="K360" s="1474">
        <v>2552</v>
      </c>
      <c r="L360" s="1474">
        <f t="shared" si="37"/>
        <v>2606</v>
      </c>
      <c r="M360" s="1474">
        <f t="shared" si="37"/>
        <v>2666</v>
      </c>
      <c r="N360" s="1474">
        <f t="shared" si="37"/>
        <v>2727</v>
      </c>
      <c r="O360" s="1474">
        <f t="shared" si="37"/>
        <v>2790</v>
      </c>
      <c r="P360" s="1474"/>
    </row>
    <row r="361" spans="4:20" ht="12.75" customHeight="1" x14ac:dyDescent="0.25">
      <c r="E361" s="1434" t="s">
        <v>1223</v>
      </c>
      <c r="I361" s="1474"/>
      <c r="J361" s="1474">
        <v>26051</v>
      </c>
      <c r="K361" s="1474">
        <v>26728</v>
      </c>
      <c r="L361" s="1474">
        <f t="shared" si="37"/>
        <v>27289</v>
      </c>
      <c r="M361" s="1474">
        <f t="shared" si="37"/>
        <v>27917</v>
      </c>
      <c r="N361" s="1474">
        <f t="shared" si="37"/>
        <v>28559</v>
      </c>
      <c r="O361" s="1474">
        <f t="shared" si="37"/>
        <v>29216</v>
      </c>
      <c r="P361" s="1474"/>
    </row>
    <row r="362" spans="4:20" ht="12.75" customHeight="1" x14ac:dyDescent="0.25">
      <c r="E362" s="1434" t="s">
        <v>1224</v>
      </c>
      <c r="I362" s="1474"/>
      <c r="J362" s="1474">
        <v>1776</v>
      </c>
      <c r="K362" s="1474">
        <v>1822</v>
      </c>
      <c r="L362" s="1474">
        <f t="shared" si="37"/>
        <v>1860</v>
      </c>
      <c r="M362" s="1474">
        <f t="shared" si="37"/>
        <v>1903</v>
      </c>
      <c r="N362" s="1474">
        <f t="shared" si="37"/>
        <v>1947</v>
      </c>
      <c r="O362" s="1474">
        <f t="shared" si="37"/>
        <v>1992</v>
      </c>
      <c r="P362" s="1474"/>
    </row>
    <row r="363" spans="4:20" ht="12.75" customHeight="1" x14ac:dyDescent="0.25">
      <c r="E363" s="1434" t="s">
        <v>1225</v>
      </c>
      <c r="I363" s="1474"/>
      <c r="J363" s="1474">
        <v>8643</v>
      </c>
      <c r="K363" s="1474">
        <v>8868</v>
      </c>
      <c r="L363" s="1474">
        <f t="shared" si="37"/>
        <v>9054</v>
      </c>
      <c r="M363" s="1474">
        <f t="shared" si="37"/>
        <v>9262</v>
      </c>
      <c r="N363" s="1474">
        <f t="shared" si="37"/>
        <v>9475</v>
      </c>
      <c r="O363" s="1474">
        <f t="shared" si="37"/>
        <v>9693</v>
      </c>
      <c r="P363" s="1474" t="s">
        <v>1226</v>
      </c>
      <c r="Q363" s="1434"/>
      <c r="R363" s="1434"/>
      <c r="S363" s="1434"/>
      <c r="T363" s="1434"/>
    </row>
    <row r="364" spans="4:20" ht="12.75" customHeight="1" x14ac:dyDescent="0.25">
      <c r="E364" s="1434" t="s">
        <v>1227</v>
      </c>
      <c r="I364" s="1474"/>
      <c r="J364" s="1474">
        <v>52622</v>
      </c>
      <c r="K364" s="1474">
        <v>53674</v>
      </c>
      <c r="L364" s="1474">
        <f t="shared" ref="L364:O365" si="38">ROUND(K364*T$3,0)</f>
        <v>55928</v>
      </c>
      <c r="M364" s="1474">
        <f t="shared" si="38"/>
        <v>57997</v>
      </c>
      <c r="N364" s="1474">
        <f t="shared" si="38"/>
        <v>60143</v>
      </c>
      <c r="O364" s="1474">
        <f t="shared" si="38"/>
        <v>62368</v>
      </c>
      <c r="P364" s="1474"/>
    </row>
    <row r="365" spans="4:20" ht="12.75" customHeight="1" x14ac:dyDescent="0.25">
      <c r="E365" s="1440" t="s">
        <v>1228</v>
      </c>
      <c r="F365" s="1440"/>
      <c r="G365" s="1440"/>
      <c r="H365" s="1440"/>
      <c r="I365" s="1440"/>
      <c r="J365" s="1474">
        <v>5403</v>
      </c>
      <c r="K365" s="1474">
        <v>5511</v>
      </c>
      <c r="L365" s="1474">
        <f t="shared" si="38"/>
        <v>5742</v>
      </c>
      <c r="M365" s="1474">
        <f t="shared" si="38"/>
        <v>5954</v>
      </c>
      <c r="N365" s="1474">
        <f t="shared" si="38"/>
        <v>6174</v>
      </c>
      <c r="O365" s="1474">
        <f t="shared" si="38"/>
        <v>6402</v>
      </c>
      <c r="P365" s="1474"/>
    </row>
    <row r="366" spans="4:20" ht="12.75" customHeight="1" x14ac:dyDescent="0.25">
      <c r="E366" s="1480" t="str">
        <f>"Totaal "&amp;D356</f>
        <v>Totaal 43812</v>
      </c>
      <c r="H366" s="549"/>
      <c r="I366" s="1474"/>
      <c r="J366" s="1831">
        <v>100178</v>
      </c>
      <c r="K366" s="1831">
        <v>102434</v>
      </c>
      <c r="L366" s="1831">
        <f>SUM(L357:L365)</f>
        <v>105827</v>
      </c>
      <c r="M366" s="1831">
        <f>SUM(M357:M365)</f>
        <v>109124</v>
      </c>
      <c r="N366" s="1831">
        <f>SUM(N357:N365)</f>
        <v>112529</v>
      </c>
      <c r="O366" s="1831">
        <f>SUM(O357:O365)</f>
        <v>116046</v>
      </c>
      <c r="P366" s="1474"/>
    </row>
    <row r="367" spans="4:20" ht="12.75" customHeight="1" x14ac:dyDescent="0.25">
      <c r="D367" s="1434"/>
      <c r="E367" s="1434"/>
      <c r="F367" s="1435"/>
      <c r="H367" s="549"/>
      <c r="I367" s="1474"/>
      <c r="J367" s="1474"/>
      <c r="K367" s="1474"/>
      <c r="L367" s="1474"/>
      <c r="M367" s="1474"/>
      <c r="N367" s="1474"/>
      <c r="O367" s="1474"/>
      <c r="P367" s="1474"/>
    </row>
    <row r="368" spans="4:20" ht="12.75" customHeight="1" x14ac:dyDescent="0.25">
      <c r="D368" s="1437">
        <v>43818</v>
      </c>
      <c r="E368" s="1434" t="s">
        <v>1103</v>
      </c>
      <c r="F368" s="1435"/>
      <c r="H368" s="549"/>
      <c r="I368" s="1474"/>
      <c r="J368" s="1474"/>
      <c r="K368" s="1474"/>
      <c r="L368" s="1474"/>
      <c r="M368" s="1474"/>
      <c r="N368" s="1474"/>
      <c r="O368" s="1474"/>
      <c r="P368" s="1474"/>
    </row>
    <row r="369" spans="4:16" ht="12.75" customHeight="1" x14ac:dyDescent="0.25">
      <c r="D369" s="1434"/>
      <c r="E369" s="1434" t="s">
        <v>1229</v>
      </c>
      <c r="H369" s="549"/>
      <c r="I369" s="1474"/>
      <c r="J369" s="1474">
        <v>3538</v>
      </c>
      <c r="K369" s="1474">
        <v>3630</v>
      </c>
      <c r="L369" s="1474">
        <f>ROUND(K369*T$2,0)</f>
        <v>3706</v>
      </c>
      <c r="M369" s="1474">
        <f>ROUND(L369*U$2,0)</f>
        <v>3791</v>
      </c>
      <c r="N369" s="1474">
        <f>ROUND(M369*V$2,0)</f>
        <v>3878</v>
      </c>
      <c r="O369" s="1474">
        <f>ROUND(N369*W$2,0)</f>
        <v>3967</v>
      </c>
      <c r="P369" s="1474"/>
    </row>
    <row r="370" spans="4:16" ht="12.75" customHeight="1" x14ac:dyDescent="0.25">
      <c r="D370" s="1437"/>
      <c r="E370" s="549" t="str">
        <f>"Totaal "&amp;D368</f>
        <v>Totaal 43818</v>
      </c>
      <c r="H370" s="549"/>
      <c r="I370" s="1474"/>
      <c r="J370" s="1831">
        <v>3538</v>
      </c>
      <c r="K370" s="1831">
        <v>3630</v>
      </c>
      <c r="L370" s="1831">
        <f>SUM(L369)</f>
        <v>3706</v>
      </c>
      <c r="M370" s="1831">
        <f>SUM(M369)</f>
        <v>3791</v>
      </c>
      <c r="N370" s="1831">
        <f>SUM(N369)</f>
        <v>3878</v>
      </c>
      <c r="O370" s="1831">
        <f>SUM(O369)</f>
        <v>3967</v>
      </c>
      <c r="P370" s="1455"/>
    </row>
    <row r="371" spans="4:16" ht="12.75" customHeight="1" x14ac:dyDescent="0.25">
      <c r="D371" s="1437"/>
      <c r="E371" s="549"/>
      <c r="H371" s="549"/>
      <c r="I371" s="1474"/>
      <c r="J371" s="1455"/>
      <c r="K371" s="1455"/>
      <c r="L371" s="1455"/>
      <c r="M371" s="1455"/>
      <c r="N371" s="1455"/>
      <c r="O371" s="1455"/>
      <c r="P371" s="1455"/>
    </row>
    <row r="372" spans="4:16" ht="12.75" customHeight="1" x14ac:dyDescent="0.25">
      <c r="D372" s="1437">
        <v>43818</v>
      </c>
      <c r="E372" s="1434" t="s">
        <v>1104</v>
      </c>
      <c r="I372" s="1474"/>
      <c r="J372" s="1474"/>
      <c r="K372" s="1474"/>
      <c r="L372" s="1474"/>
      <c r="M372" s="1474"/>
      <c r="N372" s="1474"/>
      <c r="O372" s="1474"/>
      <c r="P372" s="1474"/>
    </row>
    <row r="373" spans="4:16" ht="12.75" customHeight="1" x14ac:dyDescent="0.25">
      <c r="D373" s="1434"/>
      <c r="E373" s="1434" t="s">
        <v>1230</v>
      </c>
      <c r="I373" s="1524" t="s">
        <v>1231</v>
      </c>
      <c r="J373" s="1474"/>
      <c r="K373" s="1474"/>
      <c r="L373" s="1474"/>
      <c r="M373" s="1474"/>
      <c r="N373" s="1474"/>
      <c r="O373" s="1474"/>
      <c r="P373" s="1474"/>
    </row>
    <row r="374" spans="4:16" ht="12.75" customHeight="1" x14ac:dyDescent="0.25">
      <c r="E374" s="1440">
        <v>310</v>
      </c>
      <c r="F374" s="1434" t="s">
        <v>1232</v>
      </c>
      <c r="I374" s="1527">
        <v>35</v>
      </c>
      <c r="J374" s="1474">
        <v>10850</v>
      </c>
      <c r="K374" s="1474">
        <v>10850</v>
      </c>
      <c r="L374" s="1474">
        <f t="shared" ref="L374:O375" si="39">ROUND($E374*$I374,0)</f>
        <v>10850</v>
      </c>
      <c r="M374" s="1474">
        <f t="shared" si="39"/>
        <v>10850</v>
      </c>
      <c r="N374" s="1474">
        <f t="shared" si="39"/>
        <v>10850</v>
      </c>
      <c r="O374" s="1474">
        <f t="shared" si="39"/>
        <v>10850</v>
      </c>
      <c r="P374" s="1526"/>
    </row>
    <row r="375" spans="4:16" ht="12.75" customHeight="1" x14ac:dyDescent="0.25">
      <c r="E375" s="1440">
        <v>60</v>
      </c>
      <c r="F375" s="1434" t="s">
        <v>1232</v>
      </c>
      <c r="I375" s="1527">
        <v>10</v>
      </c>
      <c r="J375" s="1474">
        <v>600</v>
      </c>
      <c r="K375" s="1474">
        <v>600</v>
      </c>
      <c r="L375" s="1474">
        <f t="shared" si="39"/>
        <v>600</v>
      </c>
      <c r="M375" s="1474">
        <f t="shared" si="39"/>
        <v>600</v>
      </c>
      <c r="N375" s="1474">
        <f t="shared" si="39"/>
        <v>600</v>
      </c>
      <c r="O375" s="1474">
        <f t="shared" si="39"/>
        <v>600</v>
      </c>
      <c r="P375" s="1474"/>
    </row>
    <row r="376" spans="4:16" ht="12.75" customHeight="1" x14ac:dyDescent="0.25">
      <c r="E376" s="1440" t="s">
        <v>1233</v>
      </c>
      <c r="G376" s="1434" t="s">
        <v>1234</v>
      </c>
      <c r="I376" s="1527">
        <v>5</v>
      </c>
      <c r="J376" s="1474">
        <v>2803</v>
      </c>
      <c r="K376" s="1474">
        <v>2876</v>
      </c>
      <c r="L376" s="1474">
        <f>ROUND(K376*T$2,0)</f>
        <v>2936</v>
      </c>
      <c r="M376" s="1474">
        <f>ROUND(L376*U$2,0)</f>
        <v>3004</v>
      </c>
      <c r="N376" s="1474">
        <f>ROUND(M376*V$2,0)</f>
        <v>3073</v>
      </c>
      <c r="O376" s="1474">
        <f>ROUND(N376*W$2,0)</f>
        <v>3144</v>
      </c>
      <c r="P376" s="1526" t="s">
        <v>1235</v>
      </c>
    </row>
    <row r="377" spans="4:16" ht="12.75" customHeight="1" x14ac:dyDescent="0.25">
      <c r="E377" s="549" t="str">
        <f>"Totaal "&amp;D372</f>
        <v>Totaal 43818</v>
      </c>
      <c r="H377" s="1480"/>
      <c r="I377" s="549"/>
      <c r="J377" s="1831">
        <v>14253</v>
      </c>
      <c r="K377" s="1831">
        <v>14326</v>
      </c>
      <c r="L377" s="1831">
        <f>SUM(L374:L376)</f>
        <v>14386</v>
      </c>
      <c r="M377" s="1831">
        <f>SUM(M374:M376)</f>
        <v>14454</v>
      </c>
      <c r="N377" s="1831">
        <f>SUM(N374:N376)</f>
        <v>14523</v>
      </c>
      <c r="O377" s="1831">
        <f>SUM(O374:O376)</f>
        <v>14594</v>
      </c>
    </row>
    <row r="378" spans="4:16" ht="12.75" customHeight="1" x14ac:dyDescent="0.25">
      <c r="E378" s="1434"/>
      <c r="H378" s="1441"/>
      <c r="J378" s="1474"/>
      <c r="K378" s="1474"/>
      <c r="L378" s="1474"/>
      <c r="M378" s="1474"/>
      <c r="N378" s="1474"/>
      <c r="O378" s="1474"/>
      <c r="P378" s="1474"/>
    </row>
    <row r="379" spans="4:16" ht="12.75" customHeight="1" x14ac:dyDescent="0.25">
      <c r="D379" s="1437">
        <v>43818</v>
      </c>
      <c r="E379" s="1434" t="s">
        <v>1105</v>
      </c>
      <c r="F379" s="1434"/>
      <c r="I379" s="1474"/>
      <c r="J379" s="1474"/>
      <c r="K379" s="1474"/>
      <c r="L379" s="1474"/>
      <c r="M379" s="1474"/>
      <c r="N379" s="1474"/>
      <c r="O379" s="1474"/>
      <c r="P379" s="1474"/>
    </row>
    <row r="380" spans="4:16" ht="12.75" customHeight="1" x14ac:dyDescent="0.25">
      <c r="D380" s="1434"/>
      <c r="E380" s="1434" t="s">
        <v>1236</v>
      </c>
      <c r="F380" s="1434"/>
      <c r="I380" s="1474"/>
      <c r="J380" s="1474"/>
      <c r="K380" s="1474"/>
      <c r="L380" s="1474"/>
      <c r="M380" s="1474"/>
      <c r="N380" s="1474"/>
      <c r="O380" s="1474"/>
      <c r="P380" s="1474"/>
    </row>
    <row r="381" spans="4:16" ht="12.75" customHeight="1" x14ac:dyDescent="0.25">
      <c r="D381" s="1437"/>
      <c r="E381" s="1434" t="s">
        <v>1237</v>
      </c>
      <c r="F381" s="1434"/>
      <c r="I381" s="1474"/>
      <c r="J381" s="1474">
        <v>4561</v>
      </c>
      <c r="K381" s="1474">
        <v>4680</v>
      </c>
      <c r="L381" s="1474">
        <f>ROUND(K381*T$2,0)</f>
        <v>4778</v>
      </c>
      <c r="M381" s="1474">
        <f>ROUND(L381*U$2,0)</f>
        <v>4888</v>
      </c>
      <c r="N381" s="1474">
        <f>ROUND(M381*V$2,0)</f>
        <v>5000</v>
      </c>
      <c r="O381" s="1474">
        <f>ROUND(N381*W$2,0)</f>
        <v>5115</v>
      </c>
      <c r="P381" s="1474"/>
    </row>
    <row r="382" spans="4:16" ht="12.75" customHeight="1" x14ac:dyDescent="0.25">
      <c r="D382" s="1437"/>
      <c r="E382" s="549" t="str">
        <f>"Totaal "&amp;D379</f>
        <v>Totaal 43818</v>
      </c>
      <c r="F382" s="1434"/>
      <c r="I382" s="1474"/>
      <c r="J382" s="1831">
        <v>4561</v>
      </c>
      <c r="K382" s="1831">
        <v>4680</v>
      </c>
      <c r="L382" s="1831">
        <f>SUM(L380:L381)</f>
        <v>4778</v>
      </c>
      <c r="M382" s="1831">
        <f>SUM(M380:M381)</f>
        <v>4888</v>
      </c>
      <c r="N382" s="1831">
        <f>SUM(N380:N381)</f>
        <v>5000</v>
      </c>
      <c r="O382" s="1831">
        <f>SUM(O380:O381)</f>
        <v>5115</v>
      </c>
      <c r="P382" s="1455"/>
    </row>
    <row r="383" spans="4:16" ht="12.75" customHeight="1" x14ac:dyDescent="0.25">
      <c r="D383" s="1437"/>
      <c r="E383" s="1434"/>
      <c r="F383" s="1434"/>
      <c r="I383" s="1474"/>
      <c r="J383" s="1455"/>
      <c r="K383" s="1455"/>
      <c r="L383" s="1455"/>
      <c r="M383" s="1455"/>
      <c r="N383" s="1455"/>
      <c r="O383" s="1455"/>
      <c r="P383" s="1455"/>
    </row>
    <row r="384" spans="4:16" ht="12.75" customHeight="1" x14ac:dyDescent="0.25">
      <c r="D384" s="1437">
        <v>43818</v>
      </c>
      <c r="E384" s="1434" t="s">
        <v>1106</v>
      </c>
      <c r="F384" s="1434"/>
      <c r="I384" s="1474"/>
      <c r="P384" s="1471"/>
    </row>
    <row r="385" spans="4:20" ht="12.75" customHeight="1" x14ac:dyDescent="0.25">
      <c r="D385" s="1434"/>
      <c r="E385" s="1434" t="s">
        <v>1238</v>
      </c>
      <c r="F385" s="1434"/>
      <c r="I385" s="1524" t="s">
        <v>1239</v>
      </c>
      <c r="Q385" s="1434"/>
      <c r="R385" s="1434"/>
      <c r="S385" s="1434"/>
      <c r="T385" s="1434"/>
    </row>
    <row r="386" spans="4:20" ht="12.75" customHeight="1" x14ac:dyDescent="0.25">
      <c r="E386" s="1440">
        <v>235</v>
      </c>
      <c r="F386" s="1434" t="s">
        <v>1240</v>
      </c>
      <c r="I386" s="1527">
        <f>ROUND(59.32*R$2,2)</f>
        <v>60.98</v>
      </c>
      <c r="J386" s="1474">
        <v>14330</v>
      </c>
      <c r="K386" s="1474"/>
      <c r="L386" s="1474"/>
      <c r="M386" s="1474"/>
      <c r="N386" s="1474"/>
      <c r="O386" s="1474"/>
      <c r="P386" s="1474"/>
    </row>
    <row r="387" spans="4:20" ht="12.75" customHeight="1" x14ac:dyDescent="0.25">
      <c r="E387" s="1440">
        <v>250</v>
      </c>
      <c r="F387" s="1434" t="s">
        <v>1240</v>
      </c>
      <c r="I387" s="1527">
        <f>ROUND(I386*S2,2)</f>
        <v>62.57</v>
      </c>
      <c r="J387" s="1474"/>
      <c r="K387" s="1474">
        <v>15643</v>
      </c>
      <c r="L387" s="1474"/>
      <c r="M387" s="1474"/>
      <c r="N387" s="1474"/>
      <c r="O387" s="1474"/>
      <c r="P387" s="1474"/>
    </row>
    <row r="388" spans="4:20" ht="12.75" customHeight="1" x14ac:dyDescent="0.25">
      <c r="E388" s="1440">
        <v>250</v>
      </c>
      <c r="F388" s="1434" t="s">
        <v>1240</v>
      </c>
      <c r="I388" s="2042">
        <f>ROUND(I387*T3,2)</f>
        <v>65.2</v>
      </c>
      <c r="J388" s="1474"/>
      <c r="K388" s="1474"/>
      <c r="L388" s="1474">
        <f>ROUND($E388*$I388,0)</f>
        <v>16300</v>
      </c>
      <c r="M388" s="1474"/>
      <c r="N388" s="1474"/>
      <c r="O388" s="1474"/>
      <c r="P388" s="1474"/>
    </row>
    <row r="389" spans="4:20" ht="12.75" customHeight="1" x14ac:dyDescent="0.25">
      <c r="E389" s="1440">
        <v>250</v>
      </c>
      <c r="F389" s="1434" t="s">
        <v>1240</v>
      </c>
      <c r="I389" s="2042">
        <f>ROUND(I388*U3,2)</f>
        <v>67.61</v>
      </c>
      <c r="J389" s="1474"/>
      <c r="K389" s="1474"/>
      <c r="L389" s="1474"/>
      <c r="M389" s="1474">
        <f>ROUND($E389*$I389,0)</f>
        <v>16903</v>
      </c>
      <c r="N389" s="1474"/>
      <c r="O389" s="1474"/>
      <c r="P389" s="1474"/>
    </row>
    <row r="390" spans="4:20" ht="12.75" customHeight="1" x14ac:dyDescent="0.25">
      <c r="E390" s="1440">
        <v>250</v>
      </c>
      <c r="F390" s="1434" t="s">
        <v>1240</v>
      </c>
      <c r="I390" s="2042">
        <f>ROUND(I389*V3,2)-0.77</f>
        <v>69.34</v>
      </c>
      <c r="J390" s="1474"/>
      <c r="K390" s="1474"/>
      <c r="L390" s="1474"/>
      <c r="M390" s="1474"/>
      <c r="N390" s="1474">
        <f>+I390*E390</f>
        <v>17335</v>
      </c>
      <c r="O390" s="1474"/>
      <c r="P390" s="1474"/>
    </row>
    <row r="391" spans="4:20" ht="12.75" customHeight="1" x14ac:dyDescent="0.25">
      <c r="D391" s="2041"/>
      <c r="E391" s="2039">
        <v>250</v>
      </c>
      <c r="F391" s="1444" t="s">
        <v>1240</v>
      </c>
      <c r="G391" s="1444"/>
      <c r="H391" s="1444"/>
      <c r="I391" s="2042">
        <f>ROUND(I390*W2,2)</f>
        <v>70.930000000000007</v>
      </c>
      <c r="J391" s="1474"/>
      <c r="K391" s="1474"/>
      <c r="L391" s="1474"/>
      <c r="M391" s="1474"/>
      <c r="N391" s="1474"/>
      <c r="O391" s="1474">
        <f>+I391*E391</f>
        <v>17732.5</v>
      </c>
      <c r="P391" s="1474"/>
    </row>
    <row r="392" spans="4:20" ht="12.75" customHeight="1" x14ac:dyDescent="0.25">
      <c r="E392" s="549" t="str">
        <f>"Totaal "&amp;D384</f>
        <v>Totaal 43818</v>
      </c>
      <c r="F392" s="1434"/>
      <c r="I392" s="1474"/>
      <c r="J392" s="1831">
        <v>14330</v>
      </c>
      <c r="K392" s="1831">
        <v>15643</v>
      </c>
      <c r="L392" s="1831">
        <f>SUM(L385:L388)</f>
        <v>16300</v>
      </c>
      <c r="M392" s="1831">
        <f>+M389</f>
        <v>16903</v>
      </c>
      <c r="N392" s="1831">
        <f>+N390</f>
        <v>17335</v>
      </c>
      <c r="O392" s="1831">
        <f>+O391</f>
        <v>17732.5</v>
      </c>
      <c r="P392" s="1455"/>
    </row>
    <row r="393" spans="4:20" ht="12.75" customHeight="1" x14ac:dyDescent="0.25">
      <c r="E393" s="1434"/>
      <c r="F393" s="1434"/>
      <c r="I393" s="1474"/>
      <c r="J393" s="1455"/>
      <c r="K393" s="1455"/>
      <c r="L393" s="1455"/>
      <c r="M393" s="1455"/>
      <c r="N393" s="1455"/>
      <c r="O393" s="1455"/>
      <c r="P393" s="1455"/>
    </row>
    <row r="394" spans="4:20" ht="12.75" customHeight="1" x14ac:dyDescent="0.25">
      <c r="D394" s="1437">
        <v>43818</v>
      </c>
      <c r="E394" s="1434" t="s">
        <v>1107</v>
      </c>
      <c r="F394" s="1434"/>
      <c r="I394" s="1474"/>
    </row>
    <row r="395" spans="4:20" ht="12.75" customHeight="1" x14ac:dyDescent="0.25">
      <c r="E395" s="1434" t="s">
        <v>1241</v>
      </c>
      <c r="F395" s="1434"/>
      <c r="I395" s="134"/>
      <c r="J395" s="134">
        <v>48363</v>
      </c>
      <c r="K395" s="134">
        <v>49330</v>
      </c>
      <c r="L395" s="134">
        <f>ROUND(K395*T$3,0)</f>
        <v>51402</v>
      </c>
      <c r="M395" s="134">
        <f>ROUND(L395*U$3,0)</f>
        <v>53304</v>
      </c>
      <c r="N395" s="134">
        <f>ROUND(M395*V$3,0)</f>
        <v>55276</v>
      </c>
      <c r="O395" s="134">
        <f>ROUND(N395*W$3,0)</f>
        <v>57321</v>
      </c>
      <c r="P395" s="134"/>
    </row>
    <row r="396" spans="4:20" ht="12.75" customHeight="1" x14ac:dyDescent="0.25">
      <c r="E396" s="549" t="str">
        <f>"Totaal "&amp;D394</f>
        <v>Totaal 43818</v>
      </c>
      <c r="F396" s="1434"/>
      <c r="I396" s="134"/>
      <c r="J396" s="1831">
        <v>48363</v>
      </c>
      <c r="K396" s="1831">
        <v>49330</v>
      </c>
      <c r="L396" s="1831">
        <f>SUM(L395:L395)</f>
        <v>51402</v>
      </c>
      <c r="M396" s="1831">
        <f>SUM(M395:M395)</f>
        <v>53304</v>
      </c>
      <c r="N396" s="1831">
        <f>SUM(N395:N395)</f>
        <v>55276</v>
      </c>
      <c r="O396" s="1831">
        <f>SUM(O395:O395)</f>
        <v>57321</v>
      </c>
      <c r="P396" s="1455"/>
    </row>
    <row r="397" spans="4:20" ht="12.75" customHeight="1" x14ac:dyDescent="0.25">
      <c r="E397" s="1434"/>
      <c r="F397" s="1434"/>
      <c r="I397" s="134"/>
      <c r="J397" s="134"/>
      <c r="K397" s="134"/>
      <c r="L397" s="134"/>
      <c r="M397" s="134"/>
      <c r="N397" s="134"/>
      <c r="O397" s="134"/>
      <c r="P397" s="134"/>
    </row>
    <row r="398" spans="4:20" ht="12.75" customHeight="1" x14ac:dyDescent="0.25">
      <c r="D398" s="1437">
        <v>43819</v>
      </c>
      <c r="E398" s="1442" t="s">
        <v>534</v>
      </c>
      <c r="I398" s="1474"/>
      <c r="J398" s="1725"/>
      <c r="K398" s="1725"/>
      <c r="L398" s="1725"/>
      <c r="M398" s="1725"/>
      <c r="N398" s="1725"/>
      <c r="O398" s="1725"/>
      <c r="P398" s="134"/>
    </row>
    <row r="399" spans="4:20" ht="12.75" customHeight="1" x14ac:dyDescent="0.25">
      <c r="D399" s="1434"/>
      <c r="E399" s="1434" t="s">
        <v>1242</v>
      </c>
    </row>
    <row r="400" spans="4:20" ht="12.75" customHeight="1" x14ac:dyDescent="0.25">
      <c r="E400" s="1440" t="s">
        <v>1243</v>
      </c>
      <c r="I400" s="1474"/>
      <c r="J400" s="1474"/>
      <c r="K400" s="1474"/>
      <c r="L400" s="1474"/>
      <c r="M400" s="1474"/>
      <c r="N400" s="1474"/>
      <c r="O400" s="1474"/>
      <c r="P400" s="1474"/>
    </row>
    <row r="401" spans="5:16" ht="12.75" customHeight="1" x14ac:dyDescent="0.25">
      <c r="E401" s="1528">
        <v>1.6E-2</v>
      </c>
      <c r="G401" s="1434" t="s">
        <v>1244</v>
      </c>
      <c r="I401" s="1525">
        <f>+I252</f>
        <v>28438107</v>
      </c>
      <c r="J401" s="1474">
        <v>419806</v>
      </c>
      <c r="K401" s="1474"/>
      <c r="L401" s="1474"/>
      <c r="M401" s="1474"/>
      <c r="N401" s="1474"/>
      <c r="O401" s="1474"/>
      <c r="P401" s="1474"/>
    </row>
    <row r="402" spans="5:16" ht="12.75" customHeight="1" x14ac:dyDescent="0.25">
      <c r="E402" s="1528">
        <v>1.6E-2</v>
      </c>
      <c r="G402" s="1434" t="s">
        <v>1245</v>
      </c>
      <c r="I402" s="1525">
        <f>+I252</f>
        <v>28438107</v>
      </c>
      <c r="J402" s="1474"/>
      <c r="K402" s="1474">
        <v>455010</v>
      </c>
      <c r="L402" s="1474"/>
      <c r="M402" s="1474"/>
      <c r="N402" s="1474"/>
      <c r="O402" s="1474"/>
      <c r="P402" s="1474"/>
    </row>
    <row r="403" spans="5:16" ht="12.75" customHeight="1" x14ac:dyDescent="0.25">
      <c r="E403" s="1528">
        <v>1.6E-2</v>
      </c>
      <c r="G403" s="1434" t="s">
        <v>1246</v>
      </c>
      <c r="I403" s="1525">
        <f>+I256</f>
        <v>29747659.370999999</v>
      </c>
      <c r="J403" s="1474"/>
      <c r="K403" s="1474"/>
      <c r="L403" s="1474">
        <f>ROUND($E403*$I403,0)</f>
        <v>475963</v>
      </c>
      <c r="M403" s="1474"/>
      <c r="N403" s="1474"/>
      <c r="O403" s="1474"/>
      <c r="P403" s="1474"/>
    </row>
    <row r="404" spans="5:16" ht="12.75" customHeight="1" x14ac:dyDescent="0.25">
      <c r="E404" s="1528">
        <v>1.6E-2</v>
      </c>
      <c r="G404" s="1434" t="s">
        <v>1247</v>
      </c>
      <c r="I404" s="1701">
        <f>+I260</f>
        <v>31117855.383554999</v>
      </c>
      <c r="J404" s="1474"/>
      <c r="K404" s="1474"/>
      <c r="L404" s="1474"/>
      <c r="M404" s="1474">
        <f>ROUND($E404*$I404,0)</f>
        <v>497886</v>
      </c>
      <c r="N404" s="1474"/>
      <c r="O404" s="1474"/>
      <c r="P404" s="1474"/>
    </row>
    <row r="405" spans="5:16" ht="12.75" customHeight="1" x14ac:dyDescent="0.25">
      <c r="E405" s="1528">
        <v>1.6E-2</v>
      </c>
      <c r="G405" s="1434" t="s">
        <v>1248</v>
      </c>
      <c r="I405" s="1525">
        <f>+I264</f>
        <v>32551518.550266989</v>
      </c>
      <c r="J405" s="1474"/>
      <c r="K405" s="1474"/>
      <c r="L405" s="1474"/>
      <c r="M405" s="1474"/>
      <c r="N405" s="1474">
        <f>+E405*I405</f>
        <v>520824.29680427181</v>
      </c>
      <c r="O405" s="1474"/>
      <c r="P405" s="1474"/>
    </row>
    <row r="406" spans="5:16" ht="12.75" customHeight="1" x14ac:dyDescent="0.25">
      <c r="E406" s="2043">
        <v>1.6E-2</v>
      </c>
      <c r="F406" s="2044"/>
      <c r="G406" s="1444" t="s">
        <v>5270</v>
      </c>
      <c r="H406" s="1444"/>
      <c r="I406" s="2040">
        <f>+I268</f>
        <v>34051604.518770404</v>
      </c>
      <c r="J406" s="1474"/>
      <c r="K406" s="1474"/>
      <c r="L406" s="1474"/>
      <c r="M406" s="1474"/>
      <c r="N406" s="1474"/>
      <c r="O406" s="1474">
        <f>+E406*I406</f>
        <v>544825.67230032652</v>
      </c>
      <c r="P406" s="1474"/>
    </row>
    <row r="407" spans="5:16" ht="12.75" customHeight="1" x14ac:dyDescent="0.25">
      <c r="E407" s="1528" t="s">
        <v>1249</v>
      </c>
      <c r="I407" s="1474"/>
      <c r="J407" s="1474">
        <v>-20567</v>
      </c>
      <c r="K407" s="1474">
        <v>-21102</v>
      </c>
      <c r="L407" s="1474">
        <f t="shared" ref="L407:O409" si="40">ROUND(K407*T$2,0)</f>
        <v>-21545</v>
      </c>
      <c r="M407" s="1474">
        <f t="shared" si="40"/>
        <v>-22041</v>
      </c>
      <c r="N407" s="1474">
        <f t="shared" si="40"/>
        <v>-22548</v>
      </c>
      <c r="O407" s="1474">
        <f t="shared" si="40"/>
        <v>-23067</v>
      </c>
      <c r="P407" s="1474"/>
    </row>
    <row r="408" spans="5:16" ht="12.75" customHeight="1" x14ac:dyDescent="0.25">
      <c r="E408" s="1434" t="s">
        <v>1250</v>
      </c>
      <c r="I408" s="1474"/>
      <c r="J408" s="1474">
        <v>-9573</v>
      </c>
      <c r="K408" s="1474">
        <v>-9822</v>
      </c>
      <c r="L408" s="1474">
        <f t="shared" si="40"/>
        <v>-10028</v>
      </c>
      <c r="M408" s="1474">
        <f t="shared" si="40"/>
        <v>-10259</v>
      </c>
      <c r="N408" s="1474">
        <f t="shared" si="40"/>
        <v>-10495</v>
      </c>
      <c r="O408" s="1474">
        <f t="shared" si="40"/>
        <v>-10736</v>
      </c>
      <c r="P408" s="1474"/>
    </row>
    <row r="409" spans="5:16" ht="12.75" customHeight="1" x14ac:dyDescent="0.25">
      <c r="E409" s="1434" t="s">
        <v>1251</v>
      </c>
      <c r="I409" s="1474"/>
      <c r="J409" s="1474">
        <v>-5701</v>
      </c>
      <c r="K409" s="1474">
        <v>-5849</v>
      </c>
      <c r="L409" s="1474">
        <f t="shared" si="40"/>
        <v>-5972</v>
      </c>
      <c r="M409" s="1474">
        <f t="shared" si="40"/>
        <v>-6109</v>
      </c>
      <c r="N409" s="1474">
        <f t="shared" si="40"/>
        <v>-6250</v>
      </c>
      <c r="O409" s="1474">
        <f t="shared" si="40"/>
        <v>-6394</v>
      </c>
      <c r="P409" s="1474"/>
    </row>
    <row r="410" spans="5:16" ht="12.75" customHeight="1" x14ac:dyDescent="0.25">
      <c r="E410" s="1434" t="s">
        <v>1252</v>
      </c>
      <c r="I410" s="1474"/>
      <c r="J410" s="1513">
        <v>-100000</v>
      </c>
      <c r="K410" s="1513">
        <v>-100000</v>
      </c>
      <c r="L410" s="1513">
        <v>-100000</v>
      </c>
      <c r="M410" s="1513">
        <v>-100000</v>
      </c>
      <c r="N410" s="1513">
        <v>-100000</v>
      </c>
      <c r="O410" s="1513">
        <v>-100000</v>
      </c>
      <c r="P410" s="1474"/>
    </row>
    <row r="411" spans="5:16" ht="12.75" customHeight="1" x14ac:dyDescent="0.25">
      <c r="E411" s="1434"/>
      <c r="I411" s="1474"/>
      <c r="J411" s="1474"/>
      <c r="K411" s="1474"/>
      <c r="L411" s="1474"/>
      <c r="M411" s="1474"/>
      <c r="N411" s="1474"/>
      <c r="O411" s="1474"/>
      <c r="P411" s="1474"/>
    </row>
    <row r="412" spans="5:16" ht="12.75" customHeight="1" x14ac:dyDescent="0.25">
      <c r="E412" s="1434" t="s">
        <v>1253</v>
      </c>
      <c r="I412" s="1474"/>
      <c r="J412" s="1474">
        <v>283965</v>
      </c>
      <c r="K412" s="1474">
        <v>318237</v>
      </c>
      <c r="L412" s="1474">
        <f>SUM(L401:L410)</f>
        <v>338418</v>
      </c>
      <c r="M412" s="1474">
        <f>SUM(M401:M410)</f>
        <v>359477</v>
      </c>
      <c r="N412" s="1474">
        <f>SUM(N401:N410)</f>
        <v>381531.29680427181</v>
      </c>
      <c r="O412" s="1474">
        <f>SUM(O401:O410)</f>
        <v>404628.67230032652</v>
      </c>
      <c r="P412" s="1474"/>
    </row>
    <row r="413" spans="5:16" ht="12.75" customHeight="1" x14ac:dyDescent="0.25">
      <c r="E413" s="1434" t="s">
        <v>1254</v>
      </c>
      <c r="J413" s="134">
        <v>-283965</v>
      </c>
      <c r="K413" s="134">
        <v>-318237</v>
      </c>
      <c r="L413" s="134">
        <f>-L412</f>
        <v>-338418</v>
      </c>
      <c r="M413" s="134">
        <f>-M412</f>
        <v>-359477</v>
      </c>
      <c r="N413" s="134">
        <f>-N412</f>
        <v>-381531.29680427181</v>
      </c>
      <c r="O413" s="134">
        <f>-O412</f>
        <v>-404628.67230032652</v>
      </c>
      <c r="P413" s="134"/>
    </row>
    <row r="414" spans="5:16" ht="12.75" customHeight="1" x14ac:dyDescent="0.25">
      <c r="E414" s="1434"/>
      <c r="I414" s="1474"/>
      <c r="J414" s="1474"/>
      <c r="K414" s="1474"/>
      <c r="L414" s="1474"/>
      <c r="M414" s="1474"/>
      <c r="N414" s="1474"/>
      <c r="O414" s="1474"/>
      <c r="P414" s="1474"/>
    </row>
    <row r="415" spans="5:16" ht="12.75" customHeight="1" x14ac:dyDescent="0.25">
      <c r="E415" s="1529" t="s">
        <v>1255</v>
      </c>
      <c r="I415" s="1474"/>
      <c r="J415" s="1474">
        <v>100000</v>
      </c>
      <c r="K415" s="1474">
        <v>100000</v>
      </c>
      <c r="L415" s="1474">
        <f>+-L410</f>
        <v>100000</v>
      </c>
      <c r="M415" s="1474">
        <v>100000</v>
      </c>
      <c r="N415" s="1474">
        <v>100000</v>
      </c>
      <c r="O415" s="1474">
        <v>100000</v>
      </c>
      <c r="P415" s="1474"/>
    </row>
    <row r="416" spans="5:16" ht="12.75" customHeight="1" x14ac:dyDescent="0.25">
      <c r="E416" s="1434" t="s">
        <v>1256</v>
      </c>
      <c r="I416" s="1474"/>
      <c r="J416" s="1474">
        <v>-50000</v>
      </c>
      <c r="K416" s="1474">
        <v>-50000</v>
      </c>
      <c r="L416" s="1474">
        <v>-50000</v>
      </c>
      <c r="M416" s="1474">
        <v>-50000</v>
      </c>
      <c r="N416" s="1474">
        <v>-50000</v>
      </c>
      <c r="O416" s="1474">
        <v>-50000</v>
      </c>
      <c r="P416" s="1474"/>
    </row>
    <row r="417" spans="4:16" ht="12.75" customHeight="1" x14ac:dyDescent="0.25">
      <c r="E417" s="1434" t="s">
        <v>1257</v>
      </c>
      <c r="I417" s="1474"/>
      <c r="J417" s="1474">
        <v>50000</v>
      </c>
      <c r="K417" s="1474">
        <v>50000</v>
      </c>
      <c r="L417" s="1474">
        <v>50000</v>
      </c>
      <c r="M417" s="1474">
        <v>50000</v>
      </c>
      <c r="N417" s="1474">
        <v>50000</v>
      </c>
      <c r="O417" s="1474">
        <v>50000</v>
      </c>
      <c r="P417" s="1474"/>
    </row>
    <row r="418" spans="4:16" ht="12.75" customHeight="1" x14ac:dyDescent="0.25">
      <c r="E418" s="1434"/>
      <c r="I418" s="1474"/>
      <c r="J418" s="1474"/>
      <c r="K418" s="1474"/>
      <c r="L418" s="1474"/>
      <c r="M418" s="1474"/>
      <c r="N418" s="1474"/>
      <c r="O418" s="1474"/>
      <c r="P418" s="1474"/>
    </row>
    <row r="419" spans="4:16" ht="12.75" customHeight="1" x14ac:dyDescent="0.25">
      <c r="E419" s="1480" t="s">
        <v>1258</v>
      </c>
      <c r="H419" s="549"/>
      <c r="I419" s="1474"/>
      <c r="J419" s="1831">
        <v>100000</v>
      </c>
      <c r="K419" s="1831">
        <v>100000</v>
      </c>
      <c r="L419" s="1831">
        <f>SUM(L412:L418)</f>
        <v>100000</v>
      </c>
      <c r="M419" s="1831">
        <f>SUM(M412:M418)</f>
        <v>100000</v>
      </c>
      <c r="N419" s="1831">
        <f>SUM(N412:N418)</f>
        <v>100000</v>
      </c>
      <c r="O419" s="1831">
        <f>SUM(O412:O418)</f>
        <v>100000</v>
      </c>
      <c r="P419" s="1455"/>
    </row>
    <row r="420" spans="4:16" ht="12.75" customHeight="1" x14ac:dyDescent="0.25">
      <c r="D420" s="1434"/>
      <c r="E420" s="1434"/>
      <c r="F420" s="1434"/>
      <c r="P420" s="1474"/>
    </row>
    <row r="421" spans="4:16" ht="12.75" customHeight="1" x14ac:dyDescent="0.25">
      <c r="D421" s="1437">
        <v>43818</v>
      </c>
      <c r="E421" s="1434" t="s">
        <v>1108</v>
      </c>
      <c r="F421" s="1434"/>
      <c r="P421" s="1474"/>
    </row>
    <row r="422" spans="4:16" ht="12.75" customHeight="1" x14ac:dyDescent="0.25">
      <c r="D422" s="1437"/>
      <c r="E422" s="1434" t="s">
        <v>1259</v>
      </c>
      <c r="H422" s="549"/>
      <c r="I422" s="1474"/>
      <c r="J422" s="1474">
        <v>63000</v>
      </c>
      <c r="K422" s="1474">
        <v>63000</v>
      </c>
      <c r="L422" s="1474">
        <f>+K422</f>
        <v>63000</v>
      </c>
      <c r="M422" s="1474">
        <f>+L422</f>
        <v>63000</v>
      </c>
      <c r="N422" s="1474">
        <f>+M422</f>
        <v>63000</v>
      </c>
      <c r="O422" s="1474">
        <f>+N422</f>
        <v>63000</v>
      </c>
      <c r="P422" s="1526"/>
    </row>
    <row r="423" spans="4:16" ht="12.75" customHeight="1" x14ac:dyDescent="0.25">
      <c r="D423" s="1434"/>
      <c r="E423" s="549" t="str">
        <f>"Totaal "&amp;D421</f>
        <v>Totaal 43818</v>
      </c>
      <c r="H423" s="549"/>
      <c r="I423" s="1474"/>
      <c r="J423" s="1831">
        <v>63000</v>
      </c>
      <c r="K423" s="1831">
        <v>63000</v>
      </c>
      <c r="L423" s="1831">
        <f t="shared" ref="L423:M423" si="41">L422</f>
        <v>63000</v>
      </c>
      <c r="M423" s="1831">
        <f t="shared" si="41"/>
        <v>63000</v>
      </c>
      <c r="N423" s="1831">
        <f t="shared" ref="N423:O423" si="42">N422</f>
        <v>63000</v>
      </c>
      <c r="O423" s="1831">
        <f t="shared" si="42"/>
        <v>63000</v>
      </c>
      <c r="P423" s="1474"/>
    </row>
    <row r="424" spans="4:16" ht="12.75" customHeight="1" x14ac:dyDescent="0.25">
      <c r="D424" s="1434"/>
      <c r="E424" s="1434"/>
      <c r="F424" s="1434"/>
      <c r="P424" s="1474"/>
    </row>
    <row r="425" spans="4:16" ht="12.75" customHeight="1" x14ac:dyDescent="0.25">
      <c r="D425" s="1437">
        <v>43818</v>
      </c>
      <c r="E425" s="1442" t="s">
        <v>1109</v>
      </c>
      <c r="G425" s="1480"/>
      <c r="H425" s="549"/>
      <c r="I425" s="1474"/>
      <c r="J425" s="1455"/>
      <c r="K425" s="1455"/>
      <c r="L425" s="1455"/>
      <c r="M425" s="1455"/>
      <c r="N425" s="1455"/>
      <c r="O425" s="1455"/>
      <c r="P425" s="1455"/>
    </row>
    <row r="426" spans="4:16" ht="12.75" customHeight="1" x14ac:dyDescent="0.25">
      <c r="D426" s="1434"/>
      <c r="E426" s="1441" t="s">
        <v>1260</v>
      </c>
      <c r="H426" s="549"/>
      <c r="I426" s="1474"/>
      <c r="J426" s="1474">
        <v>1140</v>
      </c>
      <c r="K426" s="1474">
        <v>1170</v>
      </c>
      <c r="L426" s="1474">
        <f>ROUND(K426*T$2,0)</f>
        <v>1195</v>
      </c>
      <c r="M426" s="1474">
        <f>ROUND(L426*U$2,0)</f>
        <v>1222</v>
      </c>
      <c r="N426" s="1474">
        <f>ROUND(M426*V$2,0)</f>
        <v>1250</v>
      </c>
      <c r="O426" s="1474">
        <f>ROUND(N426*W$2,0)</f>
        <v>1279</v>
      </c>
      <c r="P426" s="1474"/>
    </row>
    <row r="427" spans="4:16" ht="12.75" customHeight="1" x14ac:dyDescent="0.25">
      <c r="E427" s="1480" t="str">
        <f>"Totaal "&amp;D425</f>
        <v>Totaal 43818</v>
      </c>
      <c r="H427" s="549"/>
      <c r="I427" s="1474"/>
      <c r="J427" s="1831">
        <v>1140</v>
      </c>
      <c r="K427" s="1831">
        <v>1170</v>
      </c>
      <c r="L427" s="1831">
        <f>SUM(L426)</f>
        <v>1195</v>
      </c>
      <c r="M427" s="1831">
        <f>SUM(M426)</f>
        <v>1222</v>
      </c>
      <c r="N427" s="1831">
        <f>SUM(N426)</f>
        <v>1250</v>
      </c>
      <c r="O427" s="1831">
        <f>SUM(O426)</f>
        <v>1279</v>
      </c>
      <c r="P427" s="1455"/>
    </row>
    <row r="428" spans="4:16" ht="12.75" customHeight="1" x14ac:dyDescent="0.25">
      <c r="E428" s="1480"/>
      <c r="H428" s="549"/>
      <c r="I428" s="1474"/>
      <c r="J428" s="1455"/>
      <c r="K428" s="1455"/>
      <c r="L428" s="1455"/>
      <c r="M428" s="1455"/>
      <c r="N428" s="1455"/>
      <c r="O428" s="1455"/>
      <c r="P428" s="1455"/>
    </row>
    <row r="429" spans="4:16" ht="12.75" customHeight="1" x14ac:dyDescent="0.25">
      <c r="D429" s="1437">
        <v>43818</v>
      </c>
      <c r="E429" s="1441" t="s">
        <v>1261</v>
      </c>
      <c r="H429" s="549"/>
      <c r="I429" s="1474"/>
      <c r="J429" s="1455"/>
      <c r="K429" s="1455"/>
      <c r="L429" s="1455"/>
      <c r="M429" s="1455"/>
      <c r="N429" s="1455"/>
      <c r="O429" s="1455"/>
      <c r="P429" s="1455"/>
    </row>
    <row r="430" spans="4:16" ht="12.75" customHeight="1" x14ac:dyDescent="0.25">
      <c r="D430" s="1434"/>
      <c r="E430" s="1434" t="s">
        <v>1262</v>
      </c>
      <c r="I430" s="1530" t="s">
        <v>1239</v>
      </c>
      <c r="J430" s="1474"/>
      <c r="K430" s="1474"/>
      <c r="L430" s="1474"/>
      <c r="M430" s="1474"/>
      <c r="N430" s="1474"/>
      <c r="O430" s="1474"/>
      <c r="P430" s="1474"/>
    </row>
    <row r="431" spans="4:16" ht="12.75" customHeight="1" x14ac:dyDescent="0.25">
      <c r="E431" s="1479">
        <v>250</v>
      </c>
      <c r="F431" s="1434" t="s">
        <v>1263</v>
      </c>
      <c r="I431" s="1527">
        <f>6.5*12</f>
        <v>78</v>
      </c>
      <c r="J431" s="1474">
        <v>19500</v>
      </c>
      <c r="K431" s="1474">
        <v>20670</v>
      </c>
      <c r="L431" s="1474">
        <f>+K431</f>
        <v>20670</v>
      </c>
      <c r="M431" s="1474">
        <f>+L431</f>
        <v>20670</v>
      </c>
      <c r="N431" s="1474">
        <f>+M431</f>
        <v>20670</v>
      </c>
      <c r="O431" s="1474">
        <f>+N431</f>
        <v>20670</v>
      </c>
      <c r="P431" s="1474"/>
    </row>
    <row r="432" spans="4:16" ht="12.75" customHeight="1" x14ac:dyDescent="0.25">
      <c r="E432" s="1479">
        <v>30</v>
      </c>
      <c r="F432" s="1434" t="s">
        <v>1264</v>
      </c>
      <c r="I432" s="1527">
        <f>6.5*12</f>
        <v>78</v>
      </c>
      <c r="J432" s="1474">
        <v>2340</v>
      </c>
      <c r="K432" s="1474">
        <v>2340</v>
      </c>
      <c r="L432" s="1474">
        <f>ROUND($E432*$I432,0)</f>
        <v>2340</v>
      </c>
      <c r="M432" s="1474">
        <f>ROUND($E432*$I432,0)</f>
        <v>2340</v>
      </c>
      <c r="N432" s="1474">
        <f>ROUND($E432*$I432,0)</f>
        <v>2340</v>
      </c>
      <c r="O432" s="1474">
        <f>ROUND($E432*$I432,0)</f>
        <v>2340</v>
      </c>
      <c r="P432" s="1474"/>
    </row>
    <row r="433" spans="4:20" ht="12.75" customHeight="1" x14ac:dyDescent="0.25">
      <c r="E433" s="549" t="str">
        <f>"Totaal "&amp;D429</f>
        <v>Totaal 43818</v>
      </c>
      <c r="H433" s="549"/>
      <c r="I433" s="1474"/>
      <c r="J433" s="1831">
        <v>21840</v>
      </c>
      <c r="K433" s="1831">
        <v>23010</v>
      </c>
      <c r="L433" s="1831">
        <f>SUM(L431:L432)</f>
        <v>23010</v>
      </c>
      <c r="M433" s="1831">
        <f>SUM(M431:M432)</f>
        <v>23010</v>
      </c>
      <c r="N433" s="1831">
        <f>SUM(N431:N432)</f>
        <v>23010</v>
      </c>
      <c r="O433" s="1831">
        <f>SUM(O431:O432)</f>
        <v>23010</v>
      </c>
      <c r="P433" s="1455"/>
    </row>
    <row r="434" spans="4:20" ht="12.75" customHeight="1" x14ac:dyDescent="0.25">
      <c r="E434" s="549"/>
      <c r="H434" s="549"/>
      <c r="I434" s="1455"/>
      <c r="J434" s="1455"/>
      <c r="K434" s="1455"/>
      <c r="L434" s="1455"/>
      <c r="M434" s="1455"/>
      <c r="N434" s="1455"/>
      <c r="O434" s="1455"/>
      <c r="P434" s="1455"/>
    </row>
    <row r="435" spans="4:20" ht="12.75" customHeight="1" x14ac:dyDescent="0.25">
      <c r="D435" s="1437">
        <v>43818</v>
      </c>
      <c r="E435" s="993" t="s">
        <v>1265</v>
      </c>
      <c r="H435" s="549"/>
      <c r="I435" s="1455"/>
      <c r="J435" s="1531">
        <v>0</v>
      </c>
      <c r="K435" s="1531">
        <v>50000</v>
      </c>
      <c r="L435" s="1474">
        <f>ROUND(K435*T$2,0)</f>
        <v>51050</v>
      </c>
      <c r="M435" s="1474">
        <f>ROUND(L435*U$2,0)</f>
        <v>52224</v>
      </c>
      <c r="N435" s="1474">
        <f>ROUND(M435*V$2,0)</f>
        <v>53425</v>
      </c>
      <c r="O435" s="1474">
        <f>ROUND(N435*W$2,0)</f>
        <v>54654</v>
      </c>
      <c r="P435" s="1532" t="s">
        <v>1266</v>
      </c>
    </row>
    <row r="436" spans="4:20" ht="12.75" customHeight="1" x14ac:dyDescent="0.25">
      <c r="D436" s="1437"/>
      <c r="E436" s="1480" t="s">
        <v>638</v>
      </c>
      <c r="H436" s="549"/>
      <c r="I436" s="1455"/>
      <c r="J436" s="1831">
        <v>0</v>
      </c>
      <c r="K436" s="1831">
        <v>50000</v>
      </c>
      <c r="L436" s="1831">
        <f>SUM(L435)</f>
        <v>51050</v>
      </c>
      <c r="M436" s="1831">
        <f>SUM(M435)</f>
        <v>52224</v>
      </c>
      <c r="N436" s="1831">
        <f>SUM(N435)</f>
        <v>53425</v>
      </c>
      <c r="O436" s="1831">
        <f>SUM(O435)</f>
        <v>54654</v>
      </c>
      <c r="P436" s="1455"/>
    </row>
    <row r="437" spans="4:20" ht="12.75" customHeight="1" x14ac:dyDescent="0.25">
      <c r="E437" s="549"/>
      <c r="H437" s="549"/>
      <c r="I437" s="1455"/>
      <c r="J437" s="1455"/>
      <c r="K437" s="1455"/>
      <c r="L437" s="1455"/>
      <c r="M437" s="1455"/>
      <c r="N437" s="1455"/>
      <c r="O437" s="1455"/>
      <c r="P437" s="1455"/>
    </row>
    <row r="438" spans="4:20" ht="12.75" customHeight="1" x14ac:dyDescent="0.25">
      <c r="E438" s="794" t="s">
        <v>1267</v>
      </c>
      <c r="H438" s="549"/>
      <c r="I438" s="1455"/>
      <c r="J438" s="1533">
        <v>171025</v>
      </c>
      <c r="K438" s="1533">
        <v>224789</v>
      </c>
      <c r="L438" s="1533">
        <f>+L370+L377+L382+L392+L396+L423+L427+L433+L436</f>
        <v>228827</v>
      </c>
      <c r="M438" s="1533">
        <f>+M370+M377+M382+M392+M396+M423+M427+M433+M436</f>
        <v>232796</v>
      </c>
      <c r="N438" s="1533">
        <f>+N370+N377+N382+N392+N396+N423+N427+N433+N436</f>
        <v>236697</v>
      </c>
      <c r="O438" s="1533">
        <f>+O370+O377+O382+O392+O396+O423+O427+O433+O436</f>
        <v>240672.5</v>
      </c>
      <c r="P438" s="1455"/>
      <c r="Q438" s="1434"/>
      <c r="R438" s="1434"/>
      <c r="S438" s="1434"/>
      <c r="T438" s="1434"/>
    </row>
    <row r="439" spans="4:20" ht="12.75" customHeight="1" x14ac:dyDescent="0.25">
      <c r="E439" s="549"/>
      <c r="H439" s="549"/>
      <c r="I439" s="1455"/>
      <c r="J439" s="1455"/>
      <c r="K439" s="1455"/>
      <c r="L439" s="1455"/>
      <c r="M439" s="1455"/>
      <c r="N439" s="1455"/>
      <c r="O439" s="1455"/>
      <c r="P439" s="1455"/>
    </row>
    <row r="440" spans="4:20" ht="12.75" customHeight="1" x14ac:dyDescent="0.25">
      <c r="D440" s="1437">
        <v>44360</v>
      </c>
      <c r="E440" s="1434" t="s">
        <v>1111</v>
      </c>
      <c r="H440" s="549"/>
      <c r="I440" s="1455"/>
      <c r="J440" s="1455"/>
      <c r="K440" s="1455"/>
      <c r="L440" s="1455"/>
      <c r="M440" s="1455"/>
      <c r="N440" s="1455"/>
      <c r="O440" s="1455"/>
      <c r="P440" s="1455"/>
    </row>
    <row r="441" spans="4:20" ht="12.75" customHeight="1" x14ac:dyDescent="0.25">
      <c r="D441" s="1434"/>
      <c r="E441" s="1434" t="s">
        <v>1268</v>
      </c>
      <c r="H441" s="549"/>
      <c r="I441" s="1455"/>
      <c r="J441" s="1474">
        <v>13130</v>
      </c>
      <c r="K441" s="1474">
        <v>13471</v>
      </c>
      <c r="L441" s="1474">
        <f>ROUND(K441*T$2,0)</f>
        <v>13754</v>
      </c>
      <c r="M441" s="1474">
        <f>ROUND(L441*U$2,0)</f>
        <v>14070</v>
      </c>
      <c r="N441" s="1474">
        <f>ROUND(M441*V$2,0)</f>
        <v>14394</v>
      </c>
      <c r="O441" s="1474">
        <f>ROUND(N441*W$2,0)</f>
        <v>14725</v>
      </c>
      <c r="P441" s="1474"/>
    </row>
    <row r="442" spans="4:20" ht="12.75" customHeight="1" thickBot="1" x14ac:dyDescent="0.3">
      <c r="E442" s="549" t="s">
        <v>1269</v>
      </c>
      <c r="H442" s="549"/>
      <c r="I442" s="1455"/>
      <c r="J442" s="1835">
        <v>13130</v>
      </c>
      <c r="K442" s="1835">
        <v>13471</v>
      </c>
      <c r="L442" s="1835">
        <f>SUM(L440:L441)</f>
        <v>13754</v>
      </c>
      <c r="M442" s="1835">
        <f>SUM(M440:M441)</f>
        <v>14070</v>
      </c>
      <c r="N442" s="1835">
        <f>SUM(N440:N441)</f>
        <v>14394</v>
      </c>
      <c r="O442" s="1835">
        <f>SUM(O440:O441)</f>
        <v>14725</v>
      </c>
      <c r="P442" s="1455"/>
    </row>
    <row r="443" spans="4:20" ht="12.75" customHeight="1" thickTop="1" x14ac:dyDescent="0.25">
      <c r="E443" s="549"/>
      <c r="H443" s="549"/>
      <c r="I443" s="1455"/>
      <c r="J443" s="1455"/>
      <c r="K443" s="1455"/>
      <c r="L443" s="1455"/>
      <c r="M443" s="1455"/>
      <c r="N443" s="1455"/>
      <c r="O443" s="1455"/>
      <c r="P443" s="1455"/>
    </row>
    <row r="444" spans="4:20" ht="12.75" customHeight="1" x14ac:dyDescent="0.25">
      <c r="D444" s="1437">
        <v>47200</v>
      </c>
      <c r="E444" s="1434" t="s">
        <v>1270</v>
      </c>
      <c r="H444" s="549"/>
      <c r="I444" s="1455"/>
      <c r="J444" s="1474">
        <v>18298</v>
      </c>
      <c r="K444" s="1474">
        <v>10077</v>
      </c>
      <c r="L444" s="1474">
        <v>23640</v>
      </c>
      <c r="M444" s="1474">
        <v>24727</v>
      </c>
      <c r="N444" s="1474">
        <v>25865</v>
      </c>
      <c r="O444" s="2077">
        <v>0</v>
      </c>
      <c r="P444" s="1532" t="s">
        <v>1271</v>
      </c>
    </row>
    <row r="445" spans="4:20" ht="12.75" customHeight="1" thickBot="1" x14ac:dyDescent="0.3">
      <c r="E445" s="549" t="s">
        <v>1272</v>
      </c>
      <c r="H445" s="549"/>
      <c r="I445" s="1455"/>
      <c r="J445" s="1835">
        <v>18298</v>
      </c>
      <c r="K445" s="1835">
        <v>10077</v>
      </c>
      <c r="L445" s="1835">
        <f t="shared" ref="L445:M445" si="43">SUM(L444)</f>
        <v>23640</v>
      </c>
      <c r="M445" s="1835">
        <f t="shared" si="43"/>
        <v>24727</v>
      </c>
      <c r="N445" s="1835">
        <f t="shared" ref="N445:O445" si="44">SUM(N444)</f>
        <v>25865</v>
      </c>
      <c r="O445" s="1835">
        <f t="shared" si="44"/>
        <v>0</v>
      </c>
      <c r="P445" s="1455"/>
    </row>
    <row r="446" spans="4:20" ht="12.75" customHeight="1" thickTop="1" x14ac:dyDescent="0.25">
      <c r="E446" s="549"/>
      <c r="H446" s="549"/>
      <c r="I446" s="1455"/>
      <c r="J446" s="1455"/>
      <c r="K446" s="1455"/>
      <c r="L446" s="1455"/>
      <c r="M446" s="1455"/>
      <c r="N446" s="1455"/>
      <c r="O446" s="1455"/>
      <c r="P446" s="1455"/>
    </row>
    <row r="447" spans="4:20" ht="12.75" customHeight="1" x14ac:dyDescent="0.25">
      <c r="E447" s="549"/>
      <c r="H447" s="549"/>
      <c r="I447" s="1455"/>
      <c r="J447" s="1455"/>
      <c r="K447" s="1455"/>
      <c r="L447" s="1455"/>
      <c r="M447" s="1455"/>
      <c r="N447" s="1455"/>
      <c r="O447" s="1455"/>
      <c r="P447" s="1455"/>
    </row>
    <row r="448" spans="4:20" ht="12.75" customHeight="1" x14ac:dyDescent="0.25">
      <c r="D448" s="1472">
        <v>604003</v>
      </c>
      <c r="E448" s="549" t="s">
        <v>1273</v>
      </c>
      <c r="F448" s="155"/>
      <c r="I448" s="1455"/>
      <c r="J448" s="1474"/>
      <c r="K448" s="1474"/>
      <c r="L448" s="1474"/>
      <c r="M448" s="1474"/>
      <c r="N448" s="1474"/>
      <c r="O448" s="1474"/>
      <c r="P448" s="1474"/>
      <c r="Q448" s="1455"/>
      <c r="R448" s="1455"/>
    </row>
    <row r="449" spans="4:16" ht="12.75" customHeight="1" x14ac:dyDescent="0.25">
      <c r="D449" s="1437">
        <v>83520</v>
      </c>
      <c r="E449" s="1434" t="s">
        <v>1115</v>
      </c>
      <c r="I449" s="1455"/>
      <c r="J449" s="1474">
        <v>-11404</v>
      </c>
      <c r="K449" s="1474">
        <v>-11701</v>
      </c>
      <c r="L449" s="1474">
        <f>ROUND(K449*T$2,0)</f>
        <v>-11947</v>
      </c>
      <c r="M449" s="1474">
        <f>ROUND(L449*U$2,0)</f>
        <v>-12222</v>
      </c>
      <c r="N449" s="1474">
        <f>ROUND(M449*V$2,0)</f>
        <v>-12503</v>
      </c>
      <c r="O449" s="1474">
        <f>ROUND(N449*W$2,0)</f>
        <v>-12791</v>
      </c>
      <c r="P449" s="1474"/>
    </row>
    <row r="450" spans="4:16" ht="12.75" customHeight="1" x14ac:dyDescent="0.25">
      <c r="D450" s="1437"/>
      <c r="E450" s="549" t="str">
        <f>"Totaal "&amp;D449</f>
        <v>Totaal 83520</v>
      </c>
      <c r="I450" s="1455"/>
      <c r="J450" s="1831">
        <v>-11404</v>
      </c>
      <c r="K450" s="1831">
        <v>-11701</v>
      </c>
      <c r="L450" s="1831">
        <f>SUM(L449)</f>
        <v>-11947</v>
      </c>
      <c r="M450" s="1831">
        <f>SUM(M449)</f>
        <v>-12222</v>
      </c>
      <c r="N450" s="1831">
        <f>SUM(N449)</f>
        <v>-12503</v>
      </c>
      <c r="O450" s="1831">
        <f>SUM(O449)</f>
        <v>-12791</v>
      </c>
      <c r="P450" s="1455"/>
    </row>
    <row r="451" spans="4:16" ht="12.75" customHeight="1" x14ac:dyDescent="0.25">
      <c r="D451" s="1437"/>
      <c r="E451" s="549"/>
      <c r="I451" s="1455"/>
      <c r="J451" s="1455"/>
      <c r="K451" s="1455"/>
      <c r="L451" s="1455"/>
      <c r="M451" s="1455"/>
      <c r="N451" s="1455"/>
      <c r="O451" s="1455"/>
      <c r="P451" s="1455"/>
    </row>
    <row r="452" spans="4:16" ht="12.75" customHeight="1" x14ac:dyDescent="0.25">
      <c r="D452" s="1437"/>
      <c r="E452" s="549"/>
      <c r="I452" s="1455"/>
      <c r="J452" s="1830">
        <v>2025</v>
      </c>
      <c r="K452" s="1830">
        <v>2026</v>
      </c>
      <c r="L452" s="1830">
        <v>2027</v>
      </c>
      <c r="M452" s="1830">
        <v>2028</v>
      </c>
      <c r="N452" s="1830">
        <v>2029</v>
      </c>
      <c r="O452" s="1830">
        <v>2030</v>
      </c>
      <c r="P452" s="1455"/>
    </row>
    <row r="453" spans="4:16" ht="12.75" customHeight="1" x14ac:dyDescent="0.25">
      <c r="D453" s="1472">
        <v>604004</v>
      </c>
      <c r="E453" s="549" t="s">
        <v>1274</v>
      </c>
      <c r="F453" s="155"/>
      <c r="I453" s="1455"/>
      <c r="P453" s="1471"/>
    </row>
    <row r="454" spans="4:16" ht="12.75" customHeight="1" x14ac:dyDescent="0.25">
      <c r="D454" s="1437">
        <v>43812</v>
      </c>
      <c r="E454" s="1441" t="s">
        <v>1275</v>
      </c>
      <c r="I454" s="1455"/>
      <c r="P454" s="1474"/>
    </row>
    <row r="455" spans="4:16" ht="12.75" customHeight="1" x14ac:dyDescent="0.25">
      <c r="D455" s="1437"/>
      <c r="E455" s="1441" t="s">
        <v>1276</v>
      </c>
      <c r="I455" s="1455"/>
      <c r="J455" s="1474">
        <v>96962</v>
      </c>
      <c r="K455" s="1474">
        <v>98901</v>
      </c>
      <c r="L455" s="1474">
        <f>ROUND(K455*T$3,0)</f>
        <v>103055</v>
      </c>
      <c r="M455" s="1474">
        <f>ROUND(L455*U$3,0)</f>
        <v>106868</v>
      </c>
      <c r="N455" s="1474">
        <f>ROUND(M455*V$3,0)</f>
        <v>110822</v>
      </c>
      <c r="O455" s="1474">
        <f>ROUND(N455*W$3,0)</f>
        <v>114922</v>
      </c>
      <c r="P455" s="1474"/>
    </row>
    <row r="456" spans="4:16" ht="12.75" customHeight="1" x14ac:dyDescent="0.25">
      <c r="D456" s="1437"/>
      <c r="E456" s="1441" t="s">
        <v>1277</v>
      </c>
      <c r="F456" s="1434"/>
      <c r="I456" s="1524" t="s">
        <v>1278</v>
      </c>
      <c r="P456" s="1474"/>
    </row>
    <row r="457" spans="4:16" ht="12.75" customHeight="1" x14ac:dyDescent="0.25">
      <c r="D457" s="1437"/>
      <c r="E457" s="1534">
        <v>1E-3</v>
      </c>
      <c r="F457" s="1434" t="s">
        <v>1244</v>
      </c>
      <c r="I457" s="1525">
        <f>+I252</f>
        <v>28438107</v>
      </c>
      <c r="J457" s="1474">
        <v>26238</v>
      </c>
      <c r="K457" s="1474"/>
      <c r="L457" s="1474"/>
      <c r="M457" s="1474"/>
      <c r="N457" s="1474"/>
      <c r="O457" s="1474"/>
      <c r="P457" s="1474"/>
    </row>
    <row r="458" spans="4:16" ht="12.75" customHeight="1" x14ac:dyDescent="0.25">
      <c r="D458" s="1437"/>
      <c r="E458" s="1534">
        <v>1E-3</v>
      </c>
      <c r="F458" s="1434" t="s">
        <v>1245</v>
      </c>
      <c r="I458" s="1525">
        <f>+I252</f>
        <v>28438107</v>
      </c>
      <c r="J458" s="1474"/>
      <c r="K458" s="1474">
        <v>28438</v>
      </c>
      <c r="L458" s="1474"/>
      <c r="M458" s="1474"/>
      <c r="N458" s="1474"/>
      <c r="O458" s="1474"/>
      <c r="P458" s="1474"/>
    </row>
    <row r="459" spans="4:16" ht="12.75" customHeight="1" x14ac:dyDescent="0.25">
      <c r="D459" s="1437"/>
      <c r="E459" s="1534">
        <v>1E-3</v>
      </c>
      <c r="F459" s="1434" t="s">
        <v>1246</v>
      </c>
      <c r="I459" s="1525">
        <f>+I256</f>
        <v>29747659.370999999</v>
      </c>
      <c r="J459" s="1474"/>
      <c r="K459" s="1474"/>
      <c r="L459" s="1474">
        <f>ROUND($E459*$I459,0)</f>
        <v>29748</v>
      </c>
      <c r="M459" s="1474"/>
      <c r="N459" s="1474"/>
      <c r="O459" s="1474"/>
      <c r="P459" s="1474"/>
    </row>
    <row r="460" spans="4:16" ht="12.75" customHeight="1" x14ac:dyDescent="0.25">
      <c r="D460" s="1437"/>
      <c r="E460" s="1534">
        <v>1E-3</v>
      </c>
      <c r="F460" s="1434" t="s">
        <v>1247</v>
      </c>
      <c r="I460" s="1525">
        <f>+I260</f>
        <v>31117855.383554999</v>
      </c>
      <c r="J460" s="1474"/>
      <c r="K460" s="1474"/>
      <c r="L460" s="1474"/>
      <c r="M460" s="1474">
        <f>ROUND($E460*$I460,0)</f>
        <v>31118</v>
      </c>
      <c r="N460" s="1474"/>
      <c r="O460" s="1474"/>
      <c r="P460" s="1474"/>
    </row>
    <row r="461" spans="4:16" ht="12.75" customHeight="1" x14ac:dyDescent="0.25">
      <c r="D461" s="1437"/>
      <c r="E461" s="1534">
        <v>1E-3</v>
      </c>
      <c r="F461" s="1434" t="s">
        <v>1248</v>
      </c>
      <c r="I461" s="1525">
        <f>+I264</f>
        <v>32551518.550266989</v>
      </c>
      <c r="J461" s="1474"/>
      <c r="K461" s="1474"/>
      <c r="L461" s="1474"/>
      <c r="M461" s="1474"/>
      <c r="N461" s="1474">
        <f>+E461*I461</f>
        <v>32551.518550266988</v>
      </c>
      <c r="O461" s="1474"/>
      <c r="P461" s="1474"/>
    </row>
    <row r="462" spans="4:16" ht="12.75" customHeight="1" x14ac:dyDescent="0.25">
      <c r="D462" s="1437"/>
      <c r="E462" s="2065">
        <v>1E-3</v>
      </c>
      <c r="F462" s="1444" t="s">
        <v>5270</v>
      </c>
      <c r="G462" s="1444"/>
      <c r="H462" s="1444"/>
      <c r="I462" s="2040">
        <f>+I268</f>
        <v>34051604.518770404</v>
      </c>
      <c r="J462" s="1474"/>
      <c r="K462" s="1474"/>
      <c r="L462" s="1474"/>
      <c r="M462" s="1474"/>
      <c r="N462" s="1474"/>
      <c r="O462" s="1474">
        <f>+E462*I462</f>
        <v>34051.604518770408</v>
      </c>
      <c r="P462" s="1474"/>
    </row>
    <row r="463" spans="4:16" ht="12.75" customHeight="1" x14ac:dyDescent="0.25">
      <c r="D463" s="1437"/>
      <c r="E463" s="1434" t="s">
        <v>1279</v>
      </c>
      <c r="F463" s="1434"/>
      <c r="I463" s="1474"/>
      <c r="J463" s="1474"/>
      <c r="K463" s="1474"/>
      <c r="L463" s="1474"/>
      <c r="M463" s="1474"/>
      <c r="N463" s="1474"/>
      <c r="O463" s="1474"/>
      <c r="P463" s="1474"/>
    </row>
    <row r="464" spans="4:16" ht="12.75" customHeight="1" x14ac:dyDescent="0.25">
      <c r="D464" s="1437"/>
      <c r="E464" s="1434"/>
      <c r="F464" s="1434"/>
      <c r="P464" s="1474"/>
    </row>
    <row r="465" spans="1:20" ht="12.75" customHeight="1" x14ac:dyDescent="0.25">
      <c r="D465" s="1437"/>
      <c r="E465" s="1441" t="s">
        <v>1280</v>
      </c>
      <c r="I465" s="1455"/>
      <c r="J465" s="1474"/>
      <c r="K465" s="1474"/>
      <c r="L465" s="1474"/>
      <c r="M465" s="1474"/>
      <c r="N465" s="1474"/>
      <c r="O465" s="1474"/>
      <c r="P465" s="1474"/>
    </row>
    <row r="466" spans="1:20" ht="12.75" customHeight="1" x14ac:dyDescent="0.25">
      <c r="D466" s="1437"/>
      <c r="E466" s="1441" t="s">
        <v>1281</v>
      </c>
      <c r="I466" s="1455"/>
      <c r="J466" s="1474"/>
      <c r="K466" s="1474"/>
      <c r="L466" s="1474"/>
      <c r="M466" s="1474"/>
      <c r="N466" s="1474"/>
      <c r="O466" s="1474"/>
      <c r="P466" s="1474"/>
    </row>
    <row r="467" spans="1:20" ht="12.75" customHeight="1" x14ac:dyDescent="0.25">
      <c r="D467" s="1437"/>
      <c r="E467" s="1441"/>
      <c r="I467" s="1455"/>
      <c r="J467" s="1474"/>
      <c r="K467" s="1474"/>
      <c r="L467" s="1474"/>
      <c r="M467" s="1474"/>
      <c r="N467" s="1474"/>
      <c r="O467" s="1474"/>
      <c r="P467" s="1474"/>
    </row>
    <row r="468" spans="1:20" ht="12.75" customHeight="1" x14ac:dyDescent="0.25">
      <c r="D468" s="1437"/>
      <c r="E468" s="1441" t="s">
        <v>1282</v>
      </c>
      <c r="I468" s="1455"/>
      <c r="J468" s="1474"/>
      <c r="K468" s="1474"/>
      <c r="L468" s="1474"/>
      <c r="M468" s="1474"/>
      <c r="N468" s="1474"/>
      <c r="O468" s="1474"/>
      <c r="P468" s="1474"/>
    </row>
    <row r="469" spans="1:20" ht="12.75" customHeight="1" x14ac:dyDescent="0.25">
      <c r="D469" s="1437"/>
      <c r="E469" s="1519" t="s">
        <v>1283</v>
      </c>
      <c r="I469" s="1455"/>
      <c r="J469" s="1474">
        <v>35873</v>
      </c>
      <c r="K469" s="1474">
        <v>36590</v>
      </c>
      <c r="L469" s="1474">
        <f>ROUND(K469*T$3,0)</f>
        <v>38127</v>
      </c>
      <c r="M469" s="1474">
        <f>ROUND(L469*U$3,0)</f>
        <v>39538</v>
      </c>
      <c r="N469" s="1474">
        <f>ROUND(M469*V$3,0)</f>
        <v>41001</v>
      </c>
      <c r="O469" s="1474">
        <f>ROUND(N469*W$3,0)</f>
        <v>42518</v>
      </c>
      <c r="P469" s="1474"/>
    </row>
    <row r="470" spans="1:20" ht="12.75" customHeight="1" x14ac:dyDescent="0.25">
      <c r="D470" s="1437"/>
      <c r="E470" s="1441" t="s">
        <v>1282</v>
      </c>
      <c r="I470" s="1455"/>
      <c r="J470" s="1474"/>
      <c r="K470" s="1474"/>
      <c r="L470" s="1474"/>
      <c r="M470" s="1474"/>
      <c r="N470" s="1474"/>
      <c r="O470" s="1474"/>
      <c r="P470" s="1474"/>
    </row>
    <row r="471" spans="1:20" ht="12.75" customHeight="1" x14ac:dyDescent="0.25">
      <c r="D471" s="1437"/>
      <c r="E471" s="1519" t="s">
        <v>1284</v>
      </c>
      <c r="I471" s="1455"/>
      <c r="J471" s="1474">
        <v>272831</v>
      </c>
      <c r="K471" s="1474">
        <v>278288</v>
      </c>
      <c r="L471" s="1474">
        <f>ROUND(K471*T$3,0)</f>
        <v>289976</v>
      </c>
      <c r="M471" s="1474">
        <f>ROUND(L471*U$3,0)</f>
        <v>300705</v>
      </c>
      <c r="N471" s="1474">
        <f>ROUND(M471*V$3,0)</f>
        <v>311831</v>
      </c>
      <c r="O471" s="1474">
        <f>ROUND(N471*W$3,0)</f>
        <v>323369</v>
      </c>
      <c r="P471" s="1474"/>
    </row>
    <row r="472" spans="1:20" ht="12.75" customHeight="1" x14ac:dyDescent="0.25">
      <c r="D472" s="1437"/>
      <c r="E472" s="1441" t="s">
        <v>1285</v>
      </c>
      <c r="I472" s="1455"/>
      <c r="J472" s="1474"/>
      <c r="K472" s="1474">
        <v>-100000</v>
      </c>
      <c r="L472" s="1474">
        <v>-100000</v>
      </c>
      <c r="M472" s="1474">
        <v>-100000</v>
      </c>
      <c r="N472" s="1474">
        <v>-100000</v>
      </c>
      <c r="O472" s="1474">
        <v>-100000</v>
      </c>
      <c r="P472" s="1526" t="s">
        <v>1286</v>
      </c>
    </row>
    <row r="473" spans="1:20" ht="12.75" customHeight="1" x14ac:dyDescent="0.25">
      <c r="D473" s="1437"/>
      <c r="E473" s="1441" t="s">
        <v>1287</v>
      </c>
      <c r="I473" s="1455"/>
      <c r="J473" s="1474"/>
      <c r="K473" s="1474">
        <v>50000</v>
      </c>
      <c r="L473" s="1474">
        <v>50000</v>
      </c>
      <c r="M473" s="1474">
        <v>50000</v>
      </c>
      <c r="N473" s="1474">
        <v>50000</v>
      </c>
      <c r="O473" s="1474">
        <v>50000</v>
      </c>
      <c r="P473" s="1526" t="s">
        <v>1288</v>
      </c>
    </row>
    <row r="474" spans="1:20" ht="12.75" customHeight="1" x14ac:dyDescent="0.25">
      <c r="D474" s="1437"/>
      <c r="E474" s="549" t="s">
        <v>619</v>
      </c>
      <c r="I474" s="1455"/>
      <c r="J474" s="1831">
        <v>431904</v>
      </c>
      <c r="K474" s="1831">
        <v>392217</v>
      </c>
      <c r="L474" s="1831">
        <f>SUM(L454:L473)</f>
        <v>410906</v>
      </c>
      <c r="M474" s="1831">
        <f>SUM(M454:M473)</f>
        <v>428229</v>
      </c>
      <c r="N474" s="1831">
        <f>SUM(N454:N473)</f>
        <v>446205.51855026698</v>
      </c>
      <c r="O474" s="1831">
        <f>SUM(O454:O473)</f>
        <v>464860.60451877041</v>
      </c>
      <c r="P474" s="1455"/>
      <c r="Q474" s="1434"/>
      <c r="R474" s="1434"/>
      <c r="S474" s="1434"/>
      <c r="T474" s="1434"/>
    </row>
    <row r="475" spans="1:20" ht="12.75" customHeight="1" x14ac:dyDescent="0.25">
      <c r="D475" s="1437"/>
      <c r="E475" s="549"/>
      <c r="I475" s="1455"/>
      <c r="J475" s="1455"/>
      <c r="K475" s="1455"/>
      <c r="L475" s="1455"/>
      <c r="M475" s="1455"/>
      <c r="N475" s="1455"/>
      <c r="O475" s="1455"/>
      <c r="P475" s="1455"/>
    </row>
    <row r="476" spans="1:20" ht="12.75" customHeight="1" x14ac:dyDescent="0.25">
      <c r="A476" s="1442"/>
      <c r="D476" s="1472">
        <v>604058</v>
      </c>
      <c r="E476" s="1472" t="s">
        <v>1116</v>
      </c>
      <c r="G476" s="549"/>
      <c r="I476" s="134"/>
      <c r="J476" s="1455"/>
      <c r="K476" s="1455"/>
      <c r="L476" s="1455"/>
      <c r="M476" s="1455"/>
      <c r="N476" s="1455"/>
      <c r="O476" s="1455"/>
      <c r="P476" s="1455"/>
    </row>
    <row r="477" spans="1:20" ht="12.75" customHeight="1" x14ac:dyDescent="0.25">
      <c r="A477" s="1442"/>
      <c r="D477" s="1437"/>
      <c r="G477" s="549"/>
      <c r="I477" s="134"/>
      <c r="J477" s="1455"/>
      <c r="K477" s="1455"/>
      <c r="L477" s="1455"/>
      <c r="M477" s="1455"/>
      <c r="N477" s="1455"/>
      <c r="O477" s="1455"/>
      <c r="P477" s="1455"/>
    </row>
    <row r="478" spans="1:20" ht="12.75" customHeight="1" x14ac:dyDescent="0.25">
      <c r="A478" s="1442"/>
      <c r="D478" s="1535">
        <v>43819</v>
      </c>
      <c r="E478" s="590" t="s">
        <v>1289</v>
      </c>
      <c r="F478" s="1535"/>
      <c r="H478" s="1536"/>
      <c r="I478" s="134"/>
      <c r="J478" s="134">
        <v>95891</v>
      </c>
      <c r="K478" s="134">
        <v>79580</v>
      </c>
      <c r="L478" s="134">
        <f>ROUND(K478*T$2,0)</f>
        <v>81251</v>
      </c>
      <c r="M478" s="134">
        <f>ROUND(L478*U$2,0)</f>
        <v>83120</v>
      </c>
      <c r="N478" s="134">
        <f>ROUND(M478*V$2,0)</f>
        <v>85032</v>
      </c>
      <c r="O478" s="134">
        <f>ROUND(N478*W$2,0)</f>
        <v>86988</v>
      </c>
      <c r="P478" s="1455"/>
    </row>
    <row r="479" spans="1:20" ht="12.75" customHeight="1" x14ac:dyDescent="0.25">
      <c r="A479" s="1442"/>
      <c r="D479" s="1535"/>
      <c r="E479" s="549" t="str">
        <f>"Totaal "&amp;D478</f>
        <v>Totaal 43819</v>
      </c>
      <c r="F479" s="1535"/>
      <c r="I479" s="134"/>
      <c r="J479" s="1831">
        <v>95891</v>
      </c>
      <c r="K479" s="1831">
        <v>79580</v>
      </c>
      <c r="L479" s="1831">
        <f>+L478</f>
        <v>81251</v>
      </c>
      <c r="M479" s="1831">
        <f>+M478</f>
        <v>83120</v>
      </c>
      <c r="N479" s="1831">
        <f>+N478</f>
        <v>85032</v>
      </c>
      <c r="O479" s="1831">
        <f>+O478</f>
        <v>86988</v>
      </c>
      <c r="P479" s="1455"/>
    </row>
    <row r="480" spans="1:20" ht="12.75" customHeight="1" x14ac:dyDescent="0.25">
      <c r="A480" s="1442"/>
      <c r="D480" s="1472"/>
      <c r="E480" s="155"/>
      <c r="F480" s="155"/>
      <c r="G480" s="549"/>
      <c r="I480" s="134"/>
      <c r="J480" s="1471"/>
      <c r="K480" s="1471"/>
      <c r="L480" s="1471"/>
      <c r="M480" s="1471"/>
      <c r="N480" s="1471"/>
      <c r="O480" s="1471"/>
      <c r="P480" s="1455"/>
    </row>
    <row r="481" spans="1:20" ht="12.75" customHeight="1" x14ac:dyDescent="0.25">
      <c r="A481" s="1442"/>
      <c r="D481" s="1437">
        <v>43812</v>
      </c>
      <c r="E481" s="1434" t="s">
        <v>1290</v>
      </c>
      <c r="I481" s="134"/>
      <c r="J481" s="134">
        <v>1633</v>
      </c>
      <c r="K481" s="134">
        <v>1675</v>
      </c>
      <c r="L481" s="134">
        <f>ROUND(K481*T$2,0)</f>
        <v>1710</v>
      </c>
      <c r="M481" s="134">
        <f>ROUND(L481*U$2,0)</f>
        <v>1749</v>
      </c>
      <c r="N481" s="134">
        <f>ROUND(M481*V$2,0)</f>
        <v>1789</v>
      </c>
      <c r="O481" s="134">
        <f>ROUND(N481*W$2,0)</f>
        <v>1830</v>
      </c>
      <c r="P481" s="1455"/>
    </row>
    <row r="482" spans="1:20" ht="12.75" customHeight="1" x14ac:dyDescent="0.25">
      <c r="A482" s="1442"/>
      <c r="D482" s="1437"/>
      <c r="E482" s="549" t="str">
        <f>"Totaal "&amp;D481</f>
        <v>Totaal 43812</v>
      </c>
      <c r="I482" s="134"/>
      <c r="J482" s="1831">
        <v>1633</v>
      </c>
      <c r="K482" s="1831">
        <v>1675</v>
      </c>
      <c r="L482" s="1831">
        <f t="shared" ref="L482:M482" si="45">SUM(L481)</f>
        <v>1710</v>
      </c>
      <c r="M482" s="1831">
        <f t="shared" si="45"/>
        <v>1749</v>
      </c>
      <c r="N482" s="1831">
        <f t="shared" ref="N482:O482" si="46">SUM(N481)</f>
        <v>1789</v>
      </c>
      <c r="O482" s="1831">
        <f t="shared" si="46"/>
        <v>1830</v>
      </c>
      <c r="P482" s="1455"/>
    </row>
    <row r="483" spans="1:20" ht="12.75" customHeight="1" x14ac:dyDescent="0.25">
      <c r="A483" s="1442"/>
      <c r="D483" s="1437"/>
      <c r="G483" s="549"/>
      <c r="I483" s="134"/>
      <c r="J483" s="1455"/>
      <c r="K483" s="1455"/>
      <c r="L483" s="1455"/>
      <c r="M483" s="1455"/>
      <c r="N483" s="1455"/>
      <c r="O483" s="1455"/>
      <c r="P483" s="1455"/>
    </row>
    <row r="484" spans="1:20" ht="12.75" customHeight="1" x14ac:dyDescent="0.25">
      <c r="A484" s="1442"/>
      <c r="D484" s="1472">
        <v>604027</v>
      </c>
      <c r="E484" s="549" t="s">
        <v>1291</v>
      </c>
      <c r="F484" s="155"/>
      <c r="I484" s="134"/>
      <c r="J484" s="134"/>
      <c r="K484" s="134"/>
      <c r="L484" s="134"/>
      <c r="M484" s="134"/>
      <c r="N484" s="134"/>
      <c r="O484" s="134"/>
      <c r="P484" s="134"/>
    </row>
    <row r="485" spans="1:20" ht="12.75" customHeight="1" x14ac:dyDescent="0.25">
      <c r="A485" s="1442"/>
      <c r="D485" s="1437">
        <v>43511</v>
      </c>
      <c r="E485" s="1434" t="s">
        <v>1292</v>
      </c>
      <c r="I485" s="134"/>
      <c r="J485" s="134">
        <v>28848</v>
      </c>
      <c r="K485" s="134">
        <v>25000</v>
      </c>
      <c r="L485" s="134">
        <f>ROUND(K485*T$3,0)</f>
        <v>26050</v>
      </c>
      <c r="M485" s="134">
        <f>ROUND(L485*U$3,0)</f>
        <v>27014</v>
      </c>
      <c r="N485" s="134">
        <f>ROUND(M485*V$3,0)</f>
        <v>28014</v>
      </c>
      <c r="O485" s="134">
        <f>ROUND(N485*W$3,0)</f>
        <v>29051</v>
      </c>
      <c r="P485" s="134"/>
    </row>
    <row r="486" spans="1:20" ht="12.75" customHeight="1" x14ac:dyDescent="0.25">
      <c r="A486" s="1442"/>
      <c r="D486" s="155"/>
      <c r="E486" s="1477" t="s">
        <v>711</v>
      </c>
      <c r="F486" s="155"/>
      <c r="H486" s="549"/>
      <c r="I486" s="134"/>
      <c r="J486" s="1831">
        <v>28848</v>
      </c>
      <c r="K486" s="1831">
        <v>25000</v>
      </c>
      <c r="L486" s="1831">
        <f>SUM(L485:L485)</f>
        <v>26050</v>
      </c>
      <c r="M486" s="1831">
        <f>SUM(M485:M485)</f>
        <v>27014</v>
      </c>
      <c r="N486" s="1831">
        <f>SUM(N485:N485)</f>
        <v>28014</v>
      </c>
      <c r="O486" s="1831">
        <f>SUM(O485:O485)</f>
        <v>29051</v>
      </c>
      <c r="P486" s="1455"/>
    </row>
    <row r="487" spans="1:20" ht="12.75" customHeight="1" x14ac:dyDescent="0.25">
      <c r="A487" s="1442"/>
      <c r="D487" s="1442"/>
      <c r="E487" s="1434"/>
      <c r="I487" s="134"/>
      <c r="J487" s="1471"/>
      <c r="K487" s="1471"/>
      <c r="L487" s="1471"/>
      <c r="M487" s="1471"/>
      <c r="N487" s="1471"/>
      <c r="O487" s="1471"/>
      <c r="P487" s="1471"/>
    </row>
    <row r="488" spans="1:20" ht="12.75" customHeight="1" x14ac:dyDescent="0.25">
      <c r="A488" s="1442"/>
      <c r="D488" s="1437">
        <v>43812</v>
      </c>
      <c r="E488" s="1434" t="s">
        <v>565</v>
      </c>
      <c r="I488" s="1471"/>
    </row>
    <row r="489" spans="1:20" ht="12.75" customHeight="1" x14ac:dyDescent="0.25">
      <c r="A489" s="1442"/>
      <c r="D489" s="1442"/>
      <c r="E489" s="1434" t="s">
        <v>1293</v>
      </c>
      <c r="I489" s="1471"/>
      <c r="J489" s="134">
        <v>16577</v>
      </c>
      <c r="K489" s="134">
        <v>17008</v>
      </c>
      <c r="L489" s="134">
        <f>ROUND(K489*T$2,0)</f>
        <v>17365</v>
      </c>
      <c r="M489" s="134">
        <f>ROUND(L489*U$2,0)</f>
        <v>17764</v>
      </c>
      <c r="N489" s="134">
        <f>ROUND(M489*V$2,0)</f>
        <v>18173</v>
      </c>
      <c r="O489" s="134">
        <f>ROUND(N489*W$2,0)</f>
        <v>18591</v>
      </c>
      <c r="P489" s="134"/>
    </row>
    <row r="490" spans="1:20" ht="12.75" customHeight="1" x14ac:dyDescent="0.25">
      <c r="A490" s="1442"/>
      <c r="D490" s="1434"/>
      <c r="E490" s="1476" t="s">
        <v>1294</v>
      </c>
      <c r="F490" s="1435"/>
      <c r="I490" s="1471"/>
    </row>
    <row r="491" spans="1:20" ht="12.75" customHeight="1" x14ac:dyDescent="0.25">
      <c r="A491" s="1442"/>
      <c r="D491" s="1437"/>
      <c r="E491" s="1476" t="s">
        <v>1295</v>
      </c>
      <c r="I491" s="1471"/>
      <c r="J491" s="136"/>
      <c r="K491" s="136"/>
      <c r="L491" s="136"/>
      <c r="M491" s="136"/>
      <c r="N491" s="136"/>
      <c r="O491" s="136"/>
      <c r="P491" s="136"/>
      <c r="Q491" s="1434"/>
      <c r="R491" s="1434"/>
      <c r="S491" s="1434"/>
      <c r="T491" s="1434"/>
    </row>
    <row r="492" spans="1:20" ht="12.75" customHeight="1" x14ac:dyDescent="0.25">
      <c r="A492" s="1442"/>
      <c r="D492" s="1437"/>
      <c r="E492" s="1476" t="s">
        <v>1296</v>
      </c>
      <c r="H492" s="1441"/>
      <c r="I492" s="1471"/>
      <c r="J492" s="134">
        <v>43867</v>
      </c>
      <c r="K492" s="134">
        <v>45008</v>
      </c>
      <c r="L492" s="134">
        <f>ROUND(K492*T$2,0)</f>
        <v>45953</v>
      </c>
      <c r="M492" s="134">
        <f>ROUND(L492*U$2,0)</f>
        <v>47010</v>
      </c>
      <c r="N492" s="134">
        <f>ROUND(M492*V$2,0)</f>
        <v>48091</v>
      </c>
      <c r="O492" s="134">
        <f>ROUND(N492*W$2,0)</f>
        <v>49197</v>
      </c>
      <c r="P492" s="134"/>
    </row>
    <row r="493" spans="1:20" ht="12.75" customHeight="1" x14ac:dyDescent="0.25">
      <c r="A493" s="1442"/>
      <c r="D493" s="155"/>
      <c r="E493" s="1477" t="str">
        <f>"Totaal "&amp;D488</f>
        <v>Totaal 43812</v>
      </c>
      <c r="F493" s="155"/>
      <c r="H493" s="549"/>
      <c r="I493" s="1471"/>
      <c r="J493" s="1831">
        <v>60444</v>
      </c>
      <c r="K493" s="1831">
        <v>62016</v>
      </c>
      <c r="L493" s="1831">
        <f>SUM(L489:L492)</f>
        <v>63318</v>
      </c>
      <c r="M493" s="1831">
        <f>SUM(M489:M492)</f>
        <v>64774</v>
      </c>
      <c r="N493" s="1831">
        <f>SUM(N489:N492)</f>
        <v>66264</v>
      </c>
      <c r="O493" s="1831">
        <f>SUM(O489:O492)</f>
        <v>67788</v>
      </c>
      <c r="P493" s="1455"/>
    </row>
    <row r="494" spans="1:20" ht="12.75" customHeight="1" x14ac:dyDescent="0.25">
      <c r="A494" s="1442"/>
      <c r="D494" s="155"/>
      <c r="E494" s="1477"/>
      <c r="F494" s="155"/>
      <c r="H494" s="549"/>
      <c r="I494" s="1471"/>
    </row>
    <row r="495" spans="1:20" ht="12.75" customHeight="1" x14ac:dyDescent="0.25">
      <c r="A495" s="1442"/>
      <c r="D495" s="1472">
        <v>604028</v>
      </c>
      <c r="E495" s="549" t="s">
        <v>1118</v>
      </c>
      <c r="F495" s="155"/>
      <c r="I495" s="545"/>
      <c r="J495" s="545"/>
      <c r="K495" s="545"/>
      <c r="L495" s="545"/>
      <c r="M495" s="545"/>
      <c r="N495" s="545"/>
      <c r="O495" s="545"/>
      <c r="P495" s="545"/>
    </row>
    <row r="496" spans="1:20" ht="12.75" customHeight="1" x14ac:dyDescent="0.25">
      <c r="A496" s="1442"/>
      <c r="D496" s="1437">
        <v>43511</v>
      </c>
      <c r="E496" s="1434" t="s">
        <v>1297</v>
      </c>
      <c r="I496" s="1474"/>
      <c r="J496" s="134">
        <v>13701</v>
      </c>
      <c r="K496" s="134">
        <v>10000</v>
      </c>
      <c r="L496" s="134">
        <f>ROUND(K496*T$3,0)</f>
        <v>10420</v>
      </c>
      <c r="M496" s="134">
        <f>ROUND(L496*U$3,0)</f>
        <v>10806</v>
      </c>
      <c r="N496" s="134">
        <f>ROUND(M496*V$3,0)</f>
        <v>11206</v>
      </c>
      <c r="O496" s="134">
        <f>ROUND(N496*W$3,0)</f>
        <v>11621</v>
      </c>
      <c r="P496" s="134"/>
    </row>
    <row r="497" spans="1:18" ht="12.75" customHeight="1" x14ac:dyDescent="0.25">
      <c r="A497" s="1442"/>
      <c r="D497" s="1437"/>
      <c r="E497" s="1537"/>
      <c r="I497" s="1474"/>
      <c r="J497" s="1474"/>
      <c r="K497" s="1474"/>
      <c r="L497" s="1474"/>
      <c r="M497" s="1474"/>
      <c r="N497" s="1474"/>
      <c r="O497" s="1474"/>
      <c r="P497" s="1474"/>
    </row>
    <row r="498" spans="1:18" ht="12.75" customHeight="1" x14ac:dyDescent="0.25">
      <c r="A498" s="1442"/>
      <c r="D498" s="1437"/>
      <c r="E498" s="1477" t="str">
        <f>"Totaal "&amp;D496</f>
        <v>Totaal 43511</v>
      </c>
      <c r="I498" s="1474"/>
      <c r="J498" s="1831">
        <v>13701</v>
      </c>
      <c r="K498" s="1831">
        <v>10000</v>
      </c>
      <c r="L498" s="1831">
        <f>SUM(L496:L497)</f>
        <v>10420</v>
      </c>
      <c r="M498" s="1831">
        <f>SUM(M496:M497)</f>
        <v>10806</v>
      </c>
      <c r="N498" s="1831">
        <f>SUM(N496:N497)</f>
        <v>11206</v>
      </c>
      <c r="O498" s="1831">
        <f>SUM(O496:O497)</f>
        <v>11621</v>
      </c>
      <c r="P498" s="1455"/>
    </row>
    <row r="499" spans="1:18" ht="12.75" customHeight="1" x14ac:dyDescent="0.25">
      <c r="A499" s="1442"/>
      <c r="D499" s="1437"/>
      <c r="G499" s="1477"/>
      <c r="I499" s="1474"/>
      <c r="J499" s="1474"/>
      <c r="K499" s="1474"/>
      <c r="L499" s="1474"/>
      <c r="M499" s="1474"/>
      <c r="N499" s="1474"/>
      <c r="O499" s="1474"/>
      <c r="P499" s="1474"/>
    </row>
    <row r="500" spans="1:18" ht="12.75" customHeight="1" x14ac:dyDescent="0.25">
      <c r="A500" s="1442"/>
      <c r="D500" s="1538">
        <v>604029</v>
      </c>
      <c r="E500" s="549" t="s">
        <v>1119</v>
      </c>
      <c r="F500" s="1473"/>
      <c r="I500" s="1474"/>
    </row>
    <row r="501" spans="1:18" ht="12.75" customHeight="1" x14ac:dyDescent="0.25">
      <c r="A501" s="1442"/>
      <c r="D501" s="1437">
        <v>43812</v>
      </c>
      <c r="E501" s="1434" t="s">
        <v>565</v>
      </c>
      <c r="I501" s="1474"/>
      <c r="J501" s="134">
        <v>42084</v>
      </c>
      <c r="K501" s="134">
        <v>43178</v>
      </c>
      <c r="L501" s="134">
        <f t="shared" ref="L501:O502" si="47">ROUND(K501*T$2,0)</f>
        <v>44085</v>
      </c>
      <c r="M501" s="134">
        <f t="shared" si="47"/>
        <v>45099</v>
      </c>
      <c r="N501" s="134">
        <f t="shared" si="47"/>
        <v>46136</v>
      </c>
      <c r="O501" s="134">
        <f t="shared" si="47"/>
        <v>47197</v>
      </c>
    </row>
    <row r="502" spans="1:18" ht="12.75" customHeight="1" x14ac:dyDescent="0.25">
      <c r="A502" s="1442"/>
      <c r="E502" s="1434" t="s">
        <v>1298</v>
      </c>
      <c r="H502" s="1502"/>
      <c r="I502" s="1474"/>
      <c r="J502" s="134">
        <v>87330</v>
      </c>
      <c r="K502" s="134">
        <v>89601</v>
      </c>
      <c r="L502" s="134">
        <f t="shared" si="47"/>
        <v>91483</v>
      </c>
      <c r="M502" s="134">
        <f t="shared" si="47"/>
        <v>93587</v>
      </c>
      <c r="N502" s="134">
        <f t="shared" si="47"/>
        <v>95740</v>
      </c>
      <c r="O502" s="134">
        <f t="shared" si="47"/>
        <v>97942</v>
      </c>
      <c r="P502" s="134" t="s">
        <v>1299</v>
      </c>
    </row>
    <row r="503" spans="1:18" ht="12.75" customHeight="1" x14ac:dyDescent="0.25">
      <c r="A503" s="1442"/>
      <c r="E503" s="1434" t="s">
        <v>1300</v>
      </c>
      <c r="H503" s="1502"/>
      <c r="I503" s="1474"/>
      <c r="J503" s="134">
        <v>-31470</v>
      </c>
      <c r="K503" s="134">
        <v>-32099</v>
      </c>
      <c r="L503" s="134">
        <f>ROUND(K503*T$3,0)</f>
        <v>-33447</v>
      </c>
      <c r="M503" s="134">
        <f>ROUND(L503*U$3,0)</f>
        <v>-34685</v>
      </c>
      <c r="N503" s="134">
        <f>ROUND(M503*V$3,0)</f>
        <v>-35968</v>
      </c>
      <c r="O503" s="134">
        <f>ROUND(N503*W$3,0)</f>
        <v>-37299</v>
      </c>
      <c r="P503" s="134" t="s">
        <v>1301</v>
      </c>
    </row>
    <row r="504" spans="1:18" ht="12.75" customHeight="1" x14ac:dyDescent="0.25">
      <c r="A504" s="1442"/>
      <c r="E504" s="1434" t="s">
        <v>1302</v>
      </c>
      <c r="H504" s="1502"/>
      <c r="I504" s="1474"/>
      <c r="J504" s="1474">
        <v>5000</v>
      </c>
      <c r="K504" s="134">
        <v>5130</v>
      </c>
      <c r="L504" s="134">
        <f t="shared" ref="L504:O505" si="48">ROUND(K504*T$2,0)</f>
        <v>5238</v>
      </c>
      <c r="M504" s="134">
        <f t="shared" si="48"/>
        <v>5358</v>
      </c>
      <c r="N504" s="134">
        <f t="shared" si="48"/>
        <v>5481</v>
      </c>
      <c r="O504" s="134">
        <f t="shared" si="48"/>
        <v>5607</v>
      </c>
      <c r="P504" s="1526" t="s">
        <v>1303</v>
      </c>
    </row>
    <row r="505" spans="1:18" ht="12.75" customHeight="1" x14ac:dyDescent="0.25">
      <c r="A505" s="1442"/>
      <c r="E505" s="1434" t="s">
        <v>1304</v>
      </c>
      <c r="H505" s="1502"/>
      <c r="I505" s="1474"/>
      <c r="J505" s="134">
        <v>25700</v>
      </c>
      <c r="K505" s="134">
        <v>26368</v>
      </c>
      <c r="L505" s="134">
        <f t="shared" si="48"/>
        <v>26922</v>
      </c>
      <c r="M505" s="134">
        <f t="shared" si="48"/>
        <v>27541</v>
      </c>
      <c r="N505" s="134">
        <f t="shared" si="48"/>
        <v>28174</v>
      </c>
      <c r="O505" s="134">
        <f t="shared" si="48"/>
        <v>28822</v>
      </c>
      <c r="P505" s="1526" t="s">
        <v>1305</v>
      </c>
    </row>
    <row r="506" spans="1:18" ht="12.75" customHeight="1" x14ac:dyDescent="0.25">
      <c r="A506" s="1442"/>
      <c r="E506" s="1434"/>
      <c r="H506" s="1502"/>
      <c r="I506" s="1474"/>
      <c r="J506" s="1474"/>
      <c r="K506" s="1474"/>
      <c r="L506" s="1474"/>
      <c r="M506" s="1474"/>
      <c r="N506" s="1474"/>
      <c r="O506" s="1474"/>
      <c r="P506" s="1474"/>
    </row>
    <row r="507" spans="1:18" ht="12.75" customHeight="1" x14ac:dyDescent="0.25">
      <c r="A507" s="1442"/>
      <c r="D507" s="1437">
        <v>43812</v>
      </c>
      <c r="E507" s="1434" t="s">
        <v>1306</v>
      </c>
      <c r="H507" s="1502"/>
      <c r="I507" s="1471"/>
      <c r="J507" s="134">
        <v>35723</v>
      </c>
      <c r="K507" s="134">
        <v>36652</v>
      </c>
      <c r="L507" s="134">
        <f>ROUND(K507*T$2,0)</f>
        <v>37422</v>
      </c>
      <c r="M507" s="134">
        <f>ROUND(L507*U$2,0)</f>
        <v>38283</v>
      </c>
      <c r="N507" s="134">
        <f>ROUND(M507*V$2,0)</f>
        <v>39164</v>
      </c>
      <c r="O507" s="134">
        <f>ROUND(N507*W$2,0)</f>
        <v>40065</v>
      </c>
      <c r="P507" s="134"/>
    </row>
    <row r="508" spans="1:18" ht="12.75" customHeight="1" x14ac:dyDescent="0.25">
      <c r="A508" s="1442"/>
      <c r="D508" s="1437"/>
      <c r="E508" s="1434" t="s">
        <v>1307</v>
      </c>
      <c r="H508" s="1502"/>
      <c r="I508" s="1471"/>
      <c r="J508" s="134">
        <v>-11500</v>
      </c>
      <c r="K508" s="134">
        <v>0</v>
      </c>
      <c r="L508" s="134">
        <v>0</v>
      </c>
      <c r="M508" s="134">
        <v>0</v>
      </c>
      <c r="N508" s="134">
        <v>0</v>
      </c>
      <c r="O508" s="134">
        <v>0</v>
      </c>
      <c r="P508" s="134"/>
    </row>
    <row r="509" spans="1:18" ht="12.75" customHeight="1" x14ac:dyDescent="0.25">
      <c r="A509" s="1442"/>
      <c r="D509" s="1437"/>
      <c r="E509" s="1434" t="s">
        <v>1308</v>
      </c>
      <c r="H509" s="1502"/>
      <c r="I509" s="1471"/>
      <c r="J509" s="134">
        <v>25000</v>
      </c>
      <c r="K509" s="134">
        <v>0</v>
      </c>
      <c r="L509" s="134">
        <v>0</v>
      </c>
      <c r="M509" s="134">
        <v>0</v>
      </c>
      <c r="N509" s="134">
        <v>0</v>
      </c>
      <c r="O509" s="134">
        <v>0</v>
      </c>
      <c r="P509" s="134"/>
    </row>
    <row r="510" spans="1:18" ht="12.75" customHeight="1" x14ac:dyDescent="0.25">
      <c r="A510" s="1442"/>
      <c r="E510" s="549" t="s">
        <v>619</v>
      </c>
      <c r="I510" s="1474"/>
      <c r="J510" s="1831">
        <v>177867</v>
      </c>
      <c r="K510" s="1831">
        <v>168830</v>
      </c>
      <c r="L510" s="1831">
        <f>SUM(L501:L509)</f>
        <v>171703</v>
      </c>
      <c r="M510" s="1831">
        <f>SUM(M501:M509)</f>
        <v>175183</v>
      </c>
      <c r="N510" s="1831">
        <f>SUM(N501:N509)</f>
        <v>178727</v>
      </c>
      <c r="O510" s="1831">
        <f>SUM(O501:O509)</f>
        <v>182334</v>
      </c>
      <c r="P510" s="1455"/>
      <c r="Q510" s="117">
        <v>170782</v>
      </c>
      <c r="R510" s="117">
        <f>+Q510-L510</f>
        <v>-921</v>
      </c>
    </row>
    <row r="511" spans="1:18" ht="12.75" customHeight="1" x14ac:dyDescent="0.25">
      <c r="A511" s="1442"/>
      <c r="G511" s="549"/>
      <c r="I511" s="1474"/>
      <c r="J511" s="1474"/>
      <c r="K511" s="1474"/>
      <c r="L511" s="1474"/>
      <c r="M511" s="1474"/>
      <c r="N511" s="1474"/>
      <c r="O511" s="1474"/>
      <c r="P511" s="1474"/>
      <c r="Q511" s="117">
        <v>167550</v>
      </c>
      <c r="R511" s="117">
        <f>+Q511-K510</f>
        <v>-1280</v>
      </c>
    </row>
    <row r="512" spans="1:18" ht="12.75" customHeight="1" x14ac:dyDescent="0.25">
      <c r="A512" s="1442"/>
      <c r="D512" s="1538">
        <v>604030</v>
      </c>
      <c r="E512" s="549" t="s">
        <v>1309</v>
      </c>
      <c r="F512" s="1473"/>
      <c r="I512" s="1471"/>
      <c r="J512" s="1830">
        <v>2025</v>
      </c>
      <c r="K512" s="1830">
        <v>2026</v>
      </c>
      <c r="L512" s="1830">
        <v>2027</v>
      </c>
      <c r="M512" s="1830">
        <v>2028</v>
      </c>
      <c r="N512" s="1830">
        <v>2029</v>
      </c>
      <c r="O512" s="1830">
        <v>2030</v>
      </c>
      <c r="P512" s="1471"/>
    </row>
    <row r="513" spans="1:16" ht="12.75" customHeight="1" x14ac:dyDescent="0.25">
      <c r="A513" s="1442"/>
      <c r="D513" s="1473"/>
      <c r="E513" s="549"/>
      <c r="F513" s="1473"/>
      <c r="I513" s="1471"/>
      <c r="J513" s="1471"/>
      <c r="K513" s="1471"/>
      <c r="L513" s="1471"/>
      <c r="M513" s="1471"/>
      <c r="N513" s="1471"/>
      <c r="O513" s="1471"/>
      <c r="P513" s="1471"/>
    </row>
    <row r="514" spans="1:16" ht="12.75" customHeight="1" x14ac:dyDescent="0.25">
      <c r="A514" s="1442"/>
      <c r="D514" s="1437">
        <v>43812</v>
      </c>
      <c r="E514" s="1434" t="s">
        <v>1310</v>
      </c>
      <c r="I514" s="1471"/>
      <c r="J514" s="134">
        <v>37588</v>
      </c>
      <c r="K514" s="134">
        <v>38565</v>
      </c>
      <c r="L514" s="134">
        <f>ROUND(K514*T$2,0)</f>
        <v>39375</v>
      </c>
      <c r="M514" s="134">
        <f>ROUND(L514*U$2,0)</f>
        <v>40281</v>
      </c>
      <c r="N514" s="134">
        <f>ROUND(M514*V$2,0)</f>
        <v>41207</v>
      </c>
      <c r="O514" s="134">
        <f>ROUND(N514*W$2,0)</f>
        <v>42155</v>
      </c>
      <c r="P514" s="134"/>
    </row>
    <row r="515" spans="1:16" ht="12.75" customHeight="1" x14ac:dyDescent="0.25">
      <c r="A515" s="1442"/>
      <c r="D515" s="1437"/>
      <c r="E515" s="1434" t="s">
        <v>1311</v>
      </c>
      <c r="I515" s="1471"/>
      <c r="J515" s="134"/>
      <c r="K515" s="134"/>
      <c r="L515" s="134"/>
      <c r="M515" s="134"/>
      <c r="N515" s="134"/>
      <c r="O515" s="134"/>
      <c r="P515" s="1521"/>
    </row>
    <row r="516" spans="1:16" ht="12.75" customHeight="1" x14ac:dyDescent="0.25">
      <c r="A516" s="1442"/>
      <c r="D516" s="1434"/>
      <c r="E516" s="1434" t="s">
        <v>1312</v>
      </c>
      <c r="F516" s="1435"/>
      <c r="I516" s="1471"/>
    </row>
    <row r="517" spans="1:16" ht="12.75" customHeight="1" x14ac:dyDescent="0.25">
      <c r="A517" s="1442"/>
      <c r="D517" s="1434"/>
      <c r="E517" s="1434" t="s">
        <v>1313</v>
      </c>
      <c r="F517" s="1435"/>
      <c r="I517" s="1471"/>
      <c r="P517" s="1434" t="s">
        <v>1314</v>
      </c>
    </row>
    <row r="518" spans="1:16" ht="12.75" customHeight="1" x14ac:dyDescent="0.25">
      <c r="A518" s="1442"/>
      <c r="D518" s="1437"/>
      <c r="E518" s="1442" t="s">
        <v>1315</v>
      </c>
      <c r="K518" s="134">
        <v>-11500</v>
      </c>
      <c r="L518" s="134">
        <f>ROUND(K518*T$2,0)</f>
        <v>-11742</v>
      </c>
      <c r="M518" s="134">
        <f>ROUND(L518*U$2,0)</f>
        <v>-12012</v>
      </c>
      <c r="N518" s="134">
        <f>ROUND(M518*V$2,0)</f>
        <v>-12288</v>
      </c>
      <c r="O518" s="134">
        <f>ROUND(N518*W$2,0)</f>
        <v>-12571</v>
      </c>
      <c r="P518" s="134" t="s">
        <v>1316</v>
      </c>
    </row>
    <row r="519" spans="1:16" ht="12.75" customHeight="1" x14ac:dyDescent="0.25">
      <c r="A519" s="1442"/>
      <c r="E519" s="1434" t="s">
        <v>1317</v>
      </c>
      <c r="I519" s="1471"/>
      <c r="J519" s="1539">
        <v>37588</v>
      </c>
      <c r="K519" s="1539">
        <v>27065</v>
      </c>
      <c r="L519" s="1539">
        <f t="shared" ref="L519:N519" si="49">SUM(L514:L518)</f>
        <v>27633</v>
      </c>
      <c r="M519" s="1539">
        <f t="shared" si="49"/>
        <v>28269</v>
      </c>
      <c r="N519" s="1539">
        <f t="shared" si="49"/>
        <v>28919</v>
      </c>
      <c r="O519" s="1539">
        <f t="shared" ref="O519" si="50">SUM(O514:O518)</f>
        <v>29584</v>
      </c>
      <c r="P519" s="1455"/>
    </row>
    <row r="520" spans="1:16" ht="12.75" customHeight="1" x14ac:dyDescent="0.25">
      <c r="A520" s="1442"/>
      <c r="D520" s="1461"/>
      <c r="E520" s="1434"/>
      <c r="F520" s="1461"/>
      <c r="I520" s="1471"/>
      <c r="J520" s="1474"/>
      <c r="K520" s="1474"/>
      <c r="L520" s="1474"/>
      <c r="M520" s="1474"/>
      <c r="N520" s="1474"/>
      <c r="O520" s="1474"/>
      <c r="P520" s="1474"/>
    </row>
    <row r="521" spans="1:16" ht="12.75" customHeight="1" x14ac:dyDescent="0.25">
      <c r="A521" s="1442"/>
      <c r="D521" s="1434"/>
      <c r="E521" s="1441" t="s">
        <v>1318</v>
      </c>
      <c r="F521" s="1435"/>
      <c r="I521" s="137">
        <v>0.14000000000000001</v>
      </c>
      <c r="J521" s="1474">
        <v>-5300</v>
      </c>
      <c r="K521" s="1474">
        <v>-3800</v>
      </c>
      <c r="L521" s="1474">
        <f t="shared" ref="L521:O523" si="51">-ROUND(L$519*$I521,-2)</f>
        <v>-3900</v>
      </c>
      <c r="M521" s="1474">
        <f t="shared" si="51"/>
        <v>-4000</v>
      </c>
      <c r="N521" s="1474">
        <f t="shared" si="51"/>
        <v>-4000</v>
      </c>
      <c r="O521" s="1474">
        <f t="shared" si="51"/>
        <v>-4100</v>
      </c>
      <c r="P521" s="1526" t="s">
        <v>1319</v>
      </c>
    </row>
    <row r="522" spans="1:16" ht="12.75" customHeight="1" x14ac:dyDescent="0.25">
      <c r="A522" s="1442"/>
      <c r="D522" s="1461"/>
      <c r="E522" s="1441" t="s">
        <v>1320</v>
      </c>
      <c r="F522" s="1461"/>
      <c r="I522" s="137">
        <v>0.08</v>
      </c>
      <c r="J522" s="1474">
        <v>-3000</v>
      </c>
      <c r="K522" s="1474">
        <v>-2200</v>
      </c>
      <c r="L522" s="1474">
        <f t="shared" si="51"/>
        <v>-2200</v>
      </c>
      <c r="M522" s="1474">
        <f t="shared" si="51"/>
        <v>-2300</v>
      </c>
      <c r="N522" s="1474">
        <f t="shared" si="51"/>
        <v>-2300</v>
      </c>
      <c r="O522" s="1474">
        <f t="shared" si="51"/>
        <v>-2400</v>
      </c>
      <c r="P522" s="1474"/>
    </row>
    <row r="523" spans="1:16" ht="12.75" customHeight="1" x14ac:dyDescent="0.25">
      <c r="A523" s="1442"/>
      <c r="D523" s="1461"/>
      <c r="E523" s="1441" t="s">
        <v>1321</v>
      </c>
      <c r="F523" s="1461"/>
      <c r="I523" s="137">
        <v>0.53</v>
      </c>
      <c r="J523" s="1474">
        <v>-19900</v>
      </c>
      <c r="K523" s="1474">
        <v>-14300</v>
      </c>
      <c r="L523" s="1474">
        <f t="shared" si="51"/>
        <v>-14600</v>
      </c>
      <c r="M523" s="1474">
        <f t="shared" si="51"/>
        <v>-15000</v>
      </c>
      <c r="N523" s="1474">
        <f t="shared" si="51"/>
        <v>-15300</v>
      </c>
      <c r="O523" s="1474">
        <f t="shared" si="51"/>
        <v>-15700</v>
      </c>
      <c r="P523" s="1474"/>
    </row>
    <row r="524" spans="1:16" ht="12.75" customHeight="1" x14ac:dyDescent="0.25">
      <c r="A524" s="1442"/>
      <c r="D524" s="1461"/>
      <c r="E524" s="1441" t="s">
        <v>1322</v>
      </c>
      <c r="F524" s="1461"/>
      <c r="I524" s="137">
        <v>0.25</v>
      </c>
      <c r="J524" s="1474"/>
      <c r="K524" s="1474"/>
      <c r="L524" s="1474"/>
      <c r="M524" s="1474"/>
      <c r="N524" s="1474"/>
      <c r="O524" s="1474"/>
      <c r="P524" s="1474"/>
    </row>
    <row r="525" spans="1:16" ht="12.75" customHeight="1" x14ac:dyDescent="0.25">
      <c r="A525" s="1442"/>
      <c r="D525" s="1461"/>
      <c r="E525" s="549"/>
      <c r="F525" s="1461"/>
      <c r="I525" s="1836">
        <f>SUM(I521:I524)</f>
        <v>1</v>
      </c>
      <c r="J525" s="1539">
        <v>-28200</v>
      </c>
      <c r="K525" s="1539">
        <v>-20300</v>
      </c>
      <c r="L525" s="1539">
        <f>SUM(L521:L524)</f>
        <v>-20700</v>
      </c>
      <c r="M525" s="1539">
        <f>SUM(M521:M524)</f>
        <v>-21300</v>
      </c>
      <c r="N525" s="1539">
        <f>SUM(N521:N524)</f>
        <v>-21600</v>
      </c>
      <c r="O525" s="1539">
        <f>SUM(O521:O524)</f>
        <v>-22200</v>
      </c>
      <c r="P525" s="1455"/>
    </row>
    <row r="526" spans="1:16" ht="12.75" customHeight="1" x14ac:dyDescent="0.25">
      <c r="A526" s="1442"/>
      <c r="D526" s="1473"/>
      <c r="E526" s="1434"/>
      <c r="F526" s="1473"/>
      <c r="I526" s="1471"/>
      <c r="J526" s="1455"/>
      <c r="K526" s="1455"/>
      <c r="L526" s="1455"/>
      <c r="M526" s="1455"/>
      <c r="N526" s="1455"/>
      <c r="O526" s="1455"/>
      <c r="P526" s="1455"/>
    </row>
    <row r="527" spans="1:16" ht="12.75" customHeight="1" x14ac:dyDescent="0.25">
      <c r="A527" s="1442"/>
      <c r="D527" s="1473"/>
      <c r="E527" s="549" t="s">
        <v>1323</v>
      </c>
      <c r="F527" s="1473"/>
      <c r="I527" s="1540">
        <v>0.25</v>
      </c>
      <c r="J527" s="1831">
        <v>9388</v>
      </c>
      <c r="K527" s="1831">
        <v>6765</v>
      </c>
      <c r="L527" s="1831">
        <f>+L519+L525</f>
        <v>6933</v>
      </c>
      <c r="M527" s="1831">
        <f>+M519+M525</f>
        <v>6969</v>
      </c>
      <c r="N527" s="1831">
        <f>+N519+N525</f>
        <v>7319</v>
      </c>
      <c r="O527" s="1831">
        <f>+O519+O525</f>
        <v>7384</v>
      </c>
      <c r="P527" s="1455"/>
    </row>
    <row r="528" spans="1:16" ht="12.75" customHeight="1" x14ac:dyDescent="0.25">
      <c r="A528" s="1442"/>
      <c r="D528" s="1473"/>
      <c r="E528" s="1473"/>
      <c r="F528" s="1473"/>
      <c r="I528" s="1455"/>
      <c r="J528" s="1455"/>
      <c r="K528" s="1455"/>
      <c r="L528" s="1455"/>
      <c r="M528" s="1455"/>
      <c r="N528" s="1455"/>
      <c r="O528" s="1455"/>
      <c r="P528" s="1455"/>
    </row>
    <row r="529" spans="1:22" ht="12.75" customHeight="1" x14ac:dyDescent="0.25">
      <c r="A529" s="1442"/>
      <c r="D529" s="1472">
        <v>604032</v>
      </c>
      <c r="E529" s="549" t="s">
        <v>1324</v>
      </c>
      <c r="F529" s="155"/>
      <c r="I529" s="1455"/>
      <c r="J529" s="1830">
        <v>2025</v>
      </c>
      <c r="K529" s="1830">
        <v>2026</v>
      </c>
      <c r="L529" s="1830">
        <v>2027</v>
      </c>
      <c r="M529" s="1830">
        <v>2028</v>
      </c>
      <c r="N529" s="1830">
        <v>2029</v>
      </c>
      <c r="O529" s="1830">
        <v>2030</v>
      </c>
      <c r="P529" s="1455"/>
    </row>
    <row r="530" spans="1:22" ht="12.75" customHeight="1" x14ac:dyDescent="0.25">
      <c r="A530" s="1442"/>
      <c r="D530" s="155"/>
      <c r="E530" s="155"/>
      <c r="F530" s="155"/>
      <c r="I530" s="1471"/>
      <c r="J530" s="1471"/>
      <c r="K530" s="1471"/>
      <c r="L530" s="1471"/>
      <c r="M530" s="1471"/>
      <c r="N530" s="1471"/>
      <c r="O530" s="1471"/>
      <c r="P530" s="1471"/>
    </row>
    <row r="531" spans="1:22" ht="12.75" customHeight="1" x14ac:dyDescent="0.25">
      <c r="A531" s="1442"/>
      <c r="D531" s="1437">
        <v>43511</v>
      </c>
      <c r="E531" s="2537" t="s">
        <v>1325</v>
      </c>
      <c r="F531" s="2537"/>
      <c r="I531" s="1474"/>
      <c r="J531" s="1474"/>
      <c r="K531" s="1474"/>
      <c r="L531" s="1474"/>
      <c r="M531" s="1474"/>
      <c r="N531" s="1474"/>
      <c r="O531" s="1474"/>
      <c r="P531" s="1474"/>
    </row>
    <row r="532" spans="1:22" ht="12.75" customHeight="1" x14ac:dyDescent="0.25">
      <c r="A532" s="1442"/>
      <c r="D532" s="1472"/>
      <c r="E532" s="2538" t="s">
        <v>1326</v>
      </c>
      <c r="F532" s="2538"/>
      <c r="G532" s="2538"/>
      <c r="H532" s="2538"/>
      <c r="I532" s="2538"/>
      <c r="J532" s="134">
        <v>8165</v>
      </c>
      <c r="K532" s="134">
        <v>8377</v>
      </c>
      <c r="L532" s="134">
        <f>ROUND(K532*T$2,0)</f>
        <v>8553</v>
      </c>
      <c r="M532" s="134">
        <f>ROUND(L532*U$2,0)</f>
        <v>8750</v>
      </c>
      <c r="N532" s="134">
        <f>ROUND(M532*V$2,0)</f>
        <v>8951</v>
      </c>
      <c r="O532" s="134">
        <f>ROUND(N532*W$2,0)</f>
        <v>9157</v>
      </c>
      <c r="P532" s="134"/>
    </row>
    <row r="533" spans="1:22" ht="12.75" customHeight="1" x14ac:dyDescent="0.25">
      <c r="A533" s="1442"/>
      <c r="D533" s="1472"/>
      <c r="E533" s="1516" t="s">
        <v>711</v>
      </c>
      <c r="F533" s="155"/>
      <c r="I533" s="1474"/>
      <c r="J533" s="1831">
        <v>8165</v>
      </c>
      <c r="K533" s="1831">
        <v>8377</v>
      </c>
      <c r="L533" s="1831">
        <f>SUM(L532:L532)</f>
        <v>8553</v>
      </c>
      <c r="M533" s="1831">
        <f>SUM(M532:M532)</f>
        <v>8750</v>
      </c>
      <c r="N533" s="1831">
        <f>SUM(N532:N532)</f>
        <v>8951</v>
      </c>
      <c r="O533" s="1831">
        <f>SUM(O532:O532)</f>
        <v>9157</v>
      </c>
      <c r="P533" s="1455"/>
      <c r="Q533" s="1434"/>
      <c r="R533" s="1434"/>
      <c r="S533" s="1434"/>
      <c r="T533" s="1434"/>
    </row>
    <row r="534" spans="1:22" ht="12.75" customHeight="1" x14ac:dyDescent="0.25">
      <c r="A534" s="1442"/>
      <c r="D534" s="155"/>
      <c r="E534" s="155"/>
      <c r="F534" s="155"/>
      <c r="G534" s="549"/>
      <c r="I534" s="1474"/>
      <c r="J534" s="1471"/>
      <c r="K534" s="1471"/>
      <c r="L534" s="1471"/>
      <c r="M534" s="1471"/>
      <c r="N534" s="1471"/>
      <c r="O534" s="1471"/>
      <c r="P534" s="1471"/>
    </row>
    <row r="535" spans="1:22" ht="12.75" customHeight="1" x14ac:dyDescent="0.25">
      <c r="A535" s="1442"/>
      <c r="G535" s="2539"/>
      <c r="H535" s="2539"/>
      <c r="I535" s="1474"/>
      <c r="J535" s="1474"/>
      <c r="K535" s="1474"/>
      <c r="L535" s="1474"/>
      <c r="M535" s="1474"/>
      <c r="N535" s="1474"/>
      <c r="O535" s="1474"/>
      <c r="P535" s="1474"/>
    </row>
    <row r="536" spans="1:22" ht="12.75" customHeight="1" x14ac:dyDescent="0.25">
      <c r="A536" s="1442"/>
      <c r="D536" s="1437">
        <v>43812</v>
      </c>
      <c r="E536" s="2540" t="s">
        <v>1327</v>
      </c>
      <c r="F536" s="2540"/>
      <c r="G536" s="2540"/>
      <c r="H536" s="2540"/>
      <c r="I536" s="1474"/>
      <c r="J536" s="134">
        <v>10499</v>
      </c>
      <c r="K536" s="134">
        <v>10772</v>
      </c>
      <c r="L536" s="134">
        <f>ROUND(K536*T$2,0)</f>
        <v>10998</v>
      </c>
      <c r="M536" s="134">
        <f>ROUND(L536*U$2,0)</f>
        <v>11251</v>
      </c>
      <c r="N536" s="134">
        <f>ROUND(M536*V$2,0)</f>
        <v>11510</v>
      </c>
      <c r="O536" s="134">
        <f>ROUND(N536*W$2,0)</f>
        <v>11775</v>
      </c>
      <c r="P536" s="134"/>
      <c r="Q536" s="1434"/>
      <c r="R536" s="1434"/>
      <c r="S536" s="1434"/>
      <c r="T536" s="1434"/>
      <c r="U536" s="1434"/>
      <c r="V536" s="1434"/>
    </row>
    <row r="537" spans="1:22" ht="12.75" customHeight="1" x14ac:dyDescent="0.25">
      <c r="A537" s="1442"/>
      <c r="D537" s="1472"/>
      <c r="E537" s="2540"/>
      <c r="F537" s="2540"/>
      <c r="G537" s="2540"/>
      <c r="H537" s="2540"/>
      <c r="I537" s="1474"/>
      <c r="J537" s="1474"/>
      <c r="K537" s="1474"/>
      <c r="L537" s="1474"/>
      <c r="M537" s="1474"/>
      <c r="N537" s="1474"/>
      <c r="O537" s="1474"/>
      <c r="P537" s="1474"/>
      <c r="Q537" s="1434"/>
      <c r="R537" s="1434"/>
      <c r="S537" s="1434"/>
      <c r="T537" s="1434"/>
      <c r="U537" s="1434"/>
      <c r="V537" s="1434"/>
    </row>
    <row r="538" spans="1:22" ht="12.75" customHeight="1" x14ac:dyDescent="0.25">
      <c r="A538" s="1442"/>
      <c r="D538" s="1472"/>
      <c r="E538" s="1516" t="s">
        <v>1194</v>
      </c>
      <c r="F538" s="155"/>
      <c r="I538" s="1474"/>
      <c r="J538" s="1831">
        <v>10499</v>
      </c>
      <c r="K538" s="1831">
        <v>10772</v>
      </c>
      <c r="L538" s="1831">
        <f t="shared" ref="L538:M538" si="52">SUM(L536:L537)</f>
        <v>10998</v>
      </c>
      <c r="M538" s="1831">
        <f t="shared" si="52"/>
        <v>11251</v>
      </c>
      <c r="N538" s="1831">
        <f t="shared" ref="N538:O538" si="53">SUM(N536:N537)</f>
        <v>11510</v>
      </c>
      <c r="O538" s="1831">
        <f t="shared" si="53"/>
        <v>11775</v>
      </c>
      <c r="P538" s="1455"/>
      <c r="Q538" s="1434"/>
      <c r="R538" s="1434"/>
      <c r="S538" s="1434"/>
      <c r="T538" s="1434"/>
      <c r="U538" s="1434"/>
      <c r="V538" s="1434"/>
    </row>
    <row r="539" spans="1:22" ht="12.75" customHeight="1" x14ac:dyDescent="0.25">
      <c r="A539" s="1442"/>
      <c r="D539" s="1472"/>
      <c r="E539" s="155"/>
      <c r="F539" s="155"/>
      <c r="G539" s="1515"/>
      <c r="H539" s="1515"/>
      <c r="I539" s="1474"/>
    </row>
    <row r="540" spans="1:22" ht="12.75" customHeight="1" x14ac:dyDescent="0.25">
      <c r="A540" s="1442"/>
      <c r="D540" s="1472"/>
      <c r="E540" s="2539" t="s">
        <v>1328</v>
      </c>
      <c r="F540" s="2539"/>
      <c r="I540" s="1515"/>
      <c r="J540" s="1515"/>
      <c r="K540" s="1515"/>
      <c r="L540" s="1515"/>
      <c r="M540" s="1515"/>
      <c r="N540" s="1515"/>
      <c r="O540" s="1515"/>
      <c r="P540" s="1515"/>
    </row>
    <row r="541" spans="1:22" ht="12.75" customHeight="1" x14ac:dyDescent="0.25">
      <c r="A541" s="1442"/>
      <c r="D541" s="1542"/>
      <c r="E541" s="2532" t="s">
        <v>1329</v>
      </c>
      <c r="F541" s="2532"/>
      <c r="G541" s="2532"/>
      <c r="H541" s="2532"/>
      <c r="I541" s="2532"/>
      <c r="J541" s="1515"/>
      <c r="K541" s="1515"/>
      <c r="L541" s="1515"/>
      <c r="M541" s="1515"/>
      <c r="N541" s="1515"/>
      <c r="O541" s="1515"/>
      <c r="P541" s="1515"/>
    </row>
    <row r="542" spans="1:22" ht="12.75" customHeight="1" x14ac:dyDescent="0.25">
      <c r="A542" s="1442"/>
      <c r="D542" s="1542"/>
      <c r="E542" s="2532"/>
      <c r="F542" s="2532"/>
      <c r="G542" s="2532"/>
      <c r="H542" s="2532"/>
      <c r="I542" s="2532"/>
      <c r="J542" s="1515"/>
      <c r="K542" s="1515"/>
      <c r="L542" s="1515"/>
      <c r="M542" s="1515"/>
      <c r="N542" s="1515"/>
      <c r="O542" s="1515"/>
      <c r="P542" s="1515"/>
    </row>
    <row r="543" spans="1:22" ht="12.75" customHeight="1" x14ac:dyDescent="0.25">
      <c r="A543" s="1442"/>
      <c r="D543" s="1543"/>
      <c r="E543" s="1544" t="s">
        <v>1330</v>
      </c>
      <c r="F543" s="1542"/>
      <c r="H543" s="590"/>
      <c r="I543" s="1515"/>
      <c r="J543" s="134">
        <v>5833</v>
      </c>
      <c r="K543" s="134">
        <v>5985</v>
      </c>
      <c r="L543" s="134">
        <f t="shared" ref="L543:O545" si="54">ROUND(K543*T$2,0)</f>
        <v>6111</v>
      </c>
      <c r="M543" s="134">
        <f t="shared" si="54"/>
        <v>6252</v>
      </c>
      <c r="N543" s="134">
        <f t="shared" si="54"/>
        <v>6396</v>
      </c>
      <c r="O543" s="134">
        <f t="shared" si="54"/>
        <v>6543</v>
      </c>
      <c r="P543" s="134"/>
    </row>
    <row r="544" spans="1:22" ht="12.75" customHeight="1" x14ac:dyDescent="0.25">
      <c r="A544" s="1442"/>
      <c r="D544" s="1543"/>
      <c r="E544" s="1434" t="s">
        <v>1331</v>
      </c>
      <c r="F544" s="1434"/>
      <c r="J544" s="134">
        <v>2600</v>
      </c>
      <c r="K544" s="134">
        <v>2668</v>
      </c>
      <c r="L544" s="134">
        <f t="shared" si="54"/>
        <v>2724</v>
      </c>
      <c r="M544" s="134">
        <f t="shared" si="54"/>
        <v>2787</v>
      </c>
      <c r="N544" s="134">
        <f t="shared" si="54"/>
        <v>2851</v>
      </c>
      <c r="O544" s="134">
        <f t="shared" si="54"/>
        <v>2917</v>
      </c>
      <c r="P544" s="134"/>
    </row>
    <row r="545" spans="1:16" ht="12.75" customHeight="1" x14ac:dyDescent="0.25">
      <c r="A545" s="1442"/>
      <c r="D545" s="1543"/>
      <c r="E545" s="1545" t="s">
        <v>595</v>
      </c>
      <c r="F545" s="1542"/>
      <c r="H545" s="590"/>
      <c r="I545" s="1515"/>
      <c r="J545" s="134">
        <v>2334</v>
      </c>
      <c r="K545" s="134">
        <v>2395</v>
      </c>
      <c r="L545" s="134">
        <f t="shared" si="54"/>
        <v>2445</v>
      </c>
      <c r="M545" s="134">
        <f t="shared" si="54"/>
        <v>2501</v>
      </c>
      <c r="N545" s="134">
        <f t="shared" si="54"/>
        <v>2559</v>
      </c>
      <c r="O545" s="134">
        <f t="shared" si="54"/>
        <v>2618</v>
      </c>
      <c r="P545" s="134"/>
    </row>
    <row r="546" spans="1:16" ht="12.75" customHeight="1" x14ac:dyDescent="0.25">
      <c r="A546" s="1442"/>
      <c r="D546" s="1543"/>
      <c r="E546" s="1516" t="s">
        <v>1194</v>
      </c>
      <c r="F546" s="1542"/>
      <c r="H546" s="590"/>
      <c r="I546" s="1515"/>
      <c r="J546" s="1831">
        <v>10767</v>
      </c>
      <c r="K546" s="1831">
        <v>11048</v>
      </c>
      <c r="L546" s="1831">
        <f>SUM(L543:L545)</f>
        <v>11280</v>
      </c>
      <c r="M546" s="1831">
        <f>SUM(M543:M545)</f>
        <v>11540</v>
      </c>
      <c r="N546" s="1831">
        <f>SUM(N543:N545)</f>
        <v>11806</v>
      </c>
      <c r="O546" s="1831">
        <f>SUM(O543:O545)</f>
        <v>12078</v>
      </c>
      <c r="P546" s="1455"/>
    </row>
    <row r="547" spans="1:16" ht="12.75" customHeight="1" x14ac:dyDescent="0.25">
      <c r="A547" s="1442"/>
      <c r="D547" s="1543"/>
      <c r="E547" s="1542"/>
      <c r="F547" s="1542"/>
      <c r="G547" s="1546"/>
      <c r="H547" s="590"/>
    </row>
    <row r="548" spans="1:16" ht="12.75" customHeight="1" x14ac:dyDescent="0.25">
      <c r="A548" s="1442"/>
      <c r="D548" s="1543"/>
      <c r="E548" s="2542" t="s">
        <v>1332</v>
      </c>
      <c r="F548" s="2542"/>
      <c r="I548" s="1547"/>
      <c r="J548" s="1547"/>
      <c r="K548" s="1547"/>
      <c r="L548" s="1547"/>
      <c r="M548" s="1547"/>
      <c r="N548" s="1547"/>
      <c r="O548" s="1547"/>
      <c r="P548" s="1547"/>
    </row>
    <row r="549" spans="1:16" ht="12.75" customHeight="1" x14ac:dyDescent="0.25">
      <c r="A549" s="1442"/>
      <c r="E549" s="2538" t="s">
        <v>1333</v>
      </c>
      <c r="F549" s="2538"/>
      <c r="G549" s="2538"/>
      <c r="H549" s="2538"/>
      <c r="I549" s="2538"/>
      <c r="J549" s="2538"/>
      <c r="K549" s="2538"/>
      <c r="L549" s="2538"/>
      <c r="M549" s="2538"/>
      <c r="N549" s="1541"/>
      <c r="O549" s="1541"/>
      <c r="P549" s="1515"/>
    </row>
    <row r="550" spans="1:16" ht="12.75" customHeight="1" x14ac:dyDescent="0.25">
      <c r="A550" s="1442"/>
      <c r="D550" s="1543"/>
      <c r="E550" s="2538"/>
      <c r="F550" s="2538"/>
      <c r="G550" s="2538"/>
      <c r="H550" s="2538"/>
      <c r="I550" s="2538"/>
      <c r="J550" s="2538"/>
      <c r="K550" s="2538"/>
      <c r="L550" s="2538"/>
      <c r="M550" s="2538"/>
      <c r="N550" s="1541"/>
      <c r="O550" s="1541"/>
      <c r="P550" s="1515"/>
    </row>
    <row r="551" spans="1:16" ht="12.75" customHeight="1" x14ac:dyDescent="0.25">
      <c r="A551" s="1442"/>
      <c r="D551" s="1543"/>
      <c r="E551" s="2538"/>
      <c r="F551" s="2538"/>
      <c r="G551" s="2538"/>
      <c r="H551" s="2538"/>
      <c r="I551" s="2538"/>
      <c r="J551" s="2538"/>
      <c r="K551" s="2538"/>
      <c r="L551" s="2538"/>
      <c r="M551" s="2538"/>
      <c r="N551" s="1541"/>
      <c r="O551" s="1541"/>
      <c r="P551" s="1515"/>
    </row>
    <row r="552" spans="1:16" ht="12.75" customHeight="1" x14ac:dyDescent="0.25">
      <c r="A552" s="1442"/>
      <c r="E552" s="2538"/>
      <c r="F552" s="2538"/>
      <c r="G552" s="2538"/>
      <c r="H552" s="2538"/>
      <c r="I552" s="2538"/>
      <c r="J552" s="2538"/>
      <c r="K552" s="2538"/>
      <c r="L552" s="2538"/>
      <c r="M552" s="2538"/>
      <c r="N552" s="1541"/>
      <c r="O552" s="1541"/>
      <c r="P552" s="1515"/>
    </row>
    <row r="553" spans="1:16" ht="12.75" customHeight="1" x14ac:dyDescent="0.25">
      <c r="A553" s="1442"/>
      <c r="E553" s="2538" t="s">
        <v>1334</v>
      </c>
      <c r="F553" s="2538"/>
      <c r="G553" s="2538"/>
      <c r="H553" s="2538"/>
      <c r="I553" s="2538"/>
      <c r="J553" s="2538"/>
      <c r="K553" s="2538"/>
      <c r="L553" s="2538"/>
      <c r="M553" s="2538"/>
      <c r="N553" s="1541"/>
      <c r="O553" s="1541"/>
      <c r="P553" s="1515"/>
    </row>
    <row r="554" spans="1:16" ht="12.75" customHeight="1" x14ac:dyDescent="0.25">
      <c r="A554" s="1442"/>
      <c r="E554" s="2538"/>
      <c r="F554" s="2538"/>
      <c r="G554" s="2538"/>
      <c r="H554" s="2538"/>
      <c r="I554" s="2538"/>
      <c r="J554" s="2538"/>
      <c r="K554" s="2538"/>
      <c r="L554" s="2538"/>
      <c r="M554" s="2538"/>
      <c r="N554" s="1541"/>
      <c r="O554" s="1541"/>
      <c r="P554" s="1515"/>
    </row>
    <row r="555" spans="1:16" ht="12.75" customHeight="1" x14ac:dyDescent="0.25">
      <c r="A555" s="1442"/>
      <c r="E555" s="1434" t="s">
        <v>1335</v>
      </c>
      <c r="I555" s="1547"/>
      <c r="J555" s="1547"/>
      <c r="K555" s="1547"/>
      <c r="L555" s="1547"/>
      <c r="M555" s="1547"/>
      <c r="N555" s="1547"/>
      <c r="O555" s="1547"/>
      <c r="P555" s="1547"/>
    </row>
    <row r="556" spans="1:16" ht="12.75" customHeight="1" x14ac:dyDescent="0.25">
      <c r="A556" s="1442"/>
      <c r="E556" s="1441" t="s">
        <v>1336</v>
      </c>
      <c r="I556" s="1547"/>
      <c r="J556" s="1547"/>
      <c r="K556" s="1547"/>
      <c r="L556" s="1547"/>
      <c r="M556" s="1547"/>
      <c r="N556" s="1547"/>
      <c r="O556" s="1547"/>
      <c r="P556" s="1547"/>
    </row>
    <row r="557" spans="1:16" ht="12.75" customHeight="1" x14ac:dyDescent="0.25">
      <c r="A557" s="1442"/>
      <c r="E557" s="1441" t="s">
        <v>1337</v>
      </c>
      <c r="I557" s="1547"/>
      <c r="J557" s="1547"/>
      <c r="K557" s="1547"/>
      <c r="L557" s="1547"/>
      <c r="M557" s="1547"/>
      <c r="N557" s="1547"/>
      <c r="O557" s="1547"/>
      <c r="P557" s="1547"/>
    </row>
    <row r="558" spans="1:16" ht="12.75" customHeight="1" x14ac:dyDescent="0.25">
      <c r="A558" s="1442"/>
      <c r="E558" s="1441" t="s">
        <v>1338</v>
      </c>
      <c r="I558" s="1547"/>
      <c r="J558" s="1547"/>
      <c r="K558" s="1547"/>
      <c r="L558" s="1547"/>
      <c r="M558" s="1547"/>
      <c r="N558" s="1547"/>
      <c r="O558" s="1547"/>
      <c r="P558" s="1547"/>
    </row>
    <row r="559" spans="1:16" ht="12.75" customHeight="1" x14ac:dyDescent="0.25">
      <c r="A559" s="1442"/>
      <c r="D559" s="1548"/>
      <c r="E559" s="1461"/>
      <c r="F559" s="1461"/>
    </row>
    <row r="560" spans="1:16" ht="12.75" customHeight="1" x14ac:dyDescent="0.25">
      <c r="A560" s="1442"/>
      <c r="D560" s="1548"/>
      <c r="E560" s="1461"/>
      <c r="F560" s="1461"/>
      <c r="I560" s="1837" t="s">
        <v>1339</v>
      </c>
      <c r="J560" s="1830">
        <v>2025</v>
      </c>
      <c r="K560" s="1830">
        <v>2026</v>
      </c>
      <c r="L560" s="1830">
        <v>2027</v>
      </c>
      <c r="M560" s="1830">
        <v>2028</v>
      </c>
      <c r="N560" s="1830">
        <v>2029</v>
      </c>
      <c r="O560" s="1830">
        <v>2030</v>
      </c>
      <c r="P560" s="1471"/>
    </row>
    <row r="561" spans="1:16" ht="12.75" customHeight="1" x14ac:dyDescent="0.25">
      <c r="A561" s="1442"/>
      <c r="D561" s="1548"/>
      <c r="E561" s="1461"/>
      <c r="F561" s="1461"/>
      <c r="I561" s="1524"/>
      <c r="J561" s="1471"/>
      <c r="K561" s="1471"/>
      <c r="L561" s="1471"/>
      <c r="M561" s="1471"/>
      <c r="N561" s="1471"/>
      <c r="O561" s="1471"/>
      <c r="P561" s="1471"/>
    </row>
    <row r="562" spans="1:16" ht="12.75" customHeight="1" x14ac:dyDescent="0.25">
      <c r="A562" s="1442"/>
      <c r="D562" s="1437"/>
      <c r="E562" s="1440">
        <v>35</v>
      </c>
      <c r="F562" s="1434" t="s">
        <v>1340</v>
      </c>
      <c r="I562" s="1527">
        <v>190</v>
      </c>
      <c r="J562" s="1474"/>
      <c r="K562" s="1474"/>
      <c r="L562" s="1474"/>
      <c r="M562" s="1474"/>
      <c r="N562" s="1474"/>
      <c r="O562" s="1474"/>
      <c r="P562" s="1474"/>
    </row>
    <row r="563" spans="1:16" ht="12.75" customHeight="1" x14ac:dyDescent="0.25">
      <c r="A563" s="1442"/>
      <c r="E563" s="1440">
        <v>35</v>
      </c>
      <c r="F563" s="1434" t="s">
        <v>1341</v>
      </c>
      <c r="I563" s="1527">
        <v>150</v>
      </c>
      <c r="J563" s="1474"/>
      <c r="K563" s="1474"/>
      <c r="L563" s="1474"/>
      <c r="M563" s="1474"/>
      <c r="N563" s="1474"/>
      <c r="O563" s="1474"/>
      <c r="P563" s="1474"/>
    </row>
    <row r="564" spans="1:16" ht="12.75" customHeight="1" x14ac:dyDescent="0.25">
      <c r="A564" s="1442"/>
      <c r="E564" s="1440">
        <v>35</v>
      </c>
      <c r="F564" s="1434" t="s">
        <v>1340</v>
      </c>
      <c r="I564" s="1527">
        <f>200*Q3</f>
        <v>210.4</v>
      </c>
      <c r="J564" s="1474"/>
      <c r="K564" s="1474"/>
      <c r="L564" s="1474"/>
      <c r="M564" s="1474"/>
      <c r="N564" s="1474"/>
      <c r="O564" s="1474"/>
      <c r="P564" s="1474"/>
    </row>
    <row r="565" spans="1:16" ht="12.75" customHeight="1" x14ac:dyDescent="0.25">
      <c r="A565" s="1442"/>
      <c r="E565" s="1440">
        <v>35</v>
      </c>
      <c r="F565" s="1434" t="s">
        <v>1341</v>
      </c>
      <c r="I565" s="1527">
        <f>160+Q3</f>
        <v>161.05199999999999</v>
      </c>
      <c r="J565" s="1474"/>
      <c r="K565" s="1474"/>
      <c r="L565" s="1474"/>
      <c r="M565" s="1474"/>
      <c r="N565" s="1474"/>
      <c r="O565" s="1474"/>
      <c r="P565" s="1474"/>
    </row>
    <row r="566" spans="1:16" ht="12.75" customHeight="1" x14ac:dyDescent="0.25">
      <c r="A566" s="1442"/>
      <c r="E566" s="1440">
        <v>35</v>
      </c>
      <c r="F566" s="1434" t="s">
        <v>1340</v>
      </c>
      <c r="I566" s="1527">
        <f>210.4*R3</f>
        <v>220.70959999999999</v>
      </c>
      <c r="J566" s="1474">
        <v>7724.8360000000002</v>
      </c>
      <c r="K566" s="1474"/>
      <c r="L566" s="1474"/>
      <c r="M566" s="1474"/>
      <c r="N566" s="1474"/>
      <c r="O566" s="1474"/>
      <c r="P566" s="1474"/>
    </row>
    <row r="567" spans="1:16" ht="12.75" customHeight="1" x14ac:dyDescent="0.25">
      <c r="A567" s="1442"/>
      <c r="E567" s="1440">
        <v>35</v>
      </c>
      <c r="F567" s="1434" t="s">
        <v>1341</v>
      </c>
      <c r="I567" s="1527">
        <f>161.05*R3</f>
        <v>168.94145</v>
      </c>
      <c r="J567" s="1474">
        <v>5912.95075</v>
      </c>
      <c r="K567" s="1474"/>
      <c r="L567" s="1474"/>
      <c r="M567" s="1474"/>
      <c r="N567" s="1474"/>
      <c r="O567" s="1474"/>
      <c r="P567" s="1474"/>
    </row>
    <row r="568" spans="1:16" ht="12.75" customHeight="1" x14ac:dyDescent="0.25">
      <c r="A568" s="1442"/>
      <c r="E568" s="1440">
        <v>35</v>
      </c>
      <c r="F568" s="1434" t="s">
        <v>1340</v>
      </c>
      <c r="I568" s="1527">
        <f>+I566*S3</f>
        <v>225.12379200000001</v>
      </c>
      <c r="J568" s="1474"/>
      <c r="K568" s="1474">
        <v>7879.3327200000003</v>
      </c>
      <c r="L568" s="1474"/>
      <c r="M568" s="1474"/>
      <c r="N568" s="1474"/>
      <c r="O568" s="1474"/>
      <c r="P568" s="1474"/>
    </row>
    <row r="569" spans="1:16" ht="12.75" customHeight="1" x14ac:dyDescent="0.25">
      <c r="A569" s="1442"/>
      <c r="E569" s="1440">
        <v>35</v>
      </c>
      <c r="F569" s="1434" t="s">
        <v>1341</v>
      </c>
      <c r="I569" s="1527">
        <f>+I567*S3</f>
        <v>172.320279</v>
      </c>
      <c r="J569" s="1474"/>
      <c r="K569" s="1474">
        <v>6031.2097649999996</v>
      </c>
      <c r="L569" s="1474"/>
      <c r="M569" s="1474"/>
      <c r="N569" s="1474"/>
      <c r="O569" s="1474"/>
      <c r="P569" s="1474"/>
    </row>
    <row r="570" spans="1:16" ht="12.75" customHeight="1" x14ac:dyDescent="0.25">
      <c r="A570" s="1442"/>
      <c r="E570" s="1440">
        <v>35</v>
      </c>
      <c r="F570" s="1434" t="s">
        <v>1340</v>
      </c>
      <c r="I570" s="1527">
        <f>+I568*T3</f>
        <v>234.57899126400002</v>
      </c>
      <c r="J570" s="1474"/>
      <c r="K570" s="1474"/>
      <c r="L570" s="1474">
        <f>+E570*I570</f>
        <v>8210.2646942400006</v>
      </c>
      <c r="M570" s="1474"/>
      <c r="N570" s="1474"/>
      <c r="O570" s="1474"/>
      <c r="P570" s="1474"/>
    </row>
    <row r="571" spans="1:16" ht="12.75" customHeight="1" x14ac:dyDescent="0.25">
      <c r="A571" s="1442"/>
      <c r="E571" s="1440">
        <v>35</v>
      </c>
      <c r="F571" s="1434" t="s">
        <v>1341</v>
      </c>
      <c r="I571" s="1527">
        <f>+I569*T3</f>
        <v>179.55773071800002</v>
      </c>
      <c r="J571" s="1474"/>
      <c r="K571" s="1474"/>
      <c r="L571" s="1474">
        <f>+E571*I571</f>
        <v>6284.5205751300009</v>
      </c>
      <c r="M571" s="1474"/>
      <c r="N571" s="1474"/>
      <c r="O571" s="1474"/>
      <c r="P571" s="1474"/>
    </row>
    <row r="572" spans="1:16" ht="12.75" customHeight="1" x14ac:dyDescent="0.25">
      <c r="A572" s="1442"/>
      <c r="E572" s="1440">
        <v>35</v>
      </c>
      <c r="F572" s="1434" t="s">
        <v>1340</v>
      </c>
      <c r="I572" s="1527">
        <f>+I570*U3</f>
        <v>243.25841394076801</v>
      </c>
      <c r="J572" s="1474"/>
      <c r="K572" s="1474"/>
      <c r="L572" s="1474"/>
      <c r="M572" s="1474">
        <f>+E572*I572</f>
        <v>8514.0444879268798</v>
      </c>
      <c r="N572" s="1474"/>
      <c r="O572" s="1474"/>
      <c r="P572" s="1474"/>
    </row>
    <row r="573" spans="1:16" ht="12.75" customHeight="1" x14ac:dyDescent="0.25">
      <c r="A573" s="1442"/>
      <c r="E573" s="1440">
        <v>35</v>
      </c>
      <c r="F573" s="1434" t="s">
        <v>1341</v>
      </c>
      <c r="I573" s="1527">
        <f>+I571*U3</f>
        <v>186.20136675456601</v>
      </c>
      <c r="J573" s="1474"/>
      <c r="K573" s="1474"/>
      <c r="L573" s="1474"/>
      <c r="M573" s="1474">
        <f>+E573*I573</f>
        <v>6517.0478364098108</v>
      </c>
      <c r="N573" s="1474"/>
      <c r="O573" s="1474"/>
      <c r="P573" s="1474"/>
    </row>
    <row r="574" spans="1:16" ht="12.75" customHeight="1" x14ac:dyDescent="0.25">
      <c r="A574" s="1442"/>
      <c r="E574" s="1440">
        <v>35</v>
      </c>
      <c r="F574" s="1434" t="s">
        <v>1340</v>
      </c>
      <c r="I574" s="2042">
        <f>+I572*V2-5.42</f>
        <v>243.43335746140568</v>
      </c>
      <c r="J574" s="1474"/>
      <c r="K574" s="1474"/>
      <c r="L574" s="1474"/>
      <c r="M574" s="1474"/>
      <c r="N574" s="1474">
        <f>+E574*I574</f>
        <v>8520.1675111491986</v>
      </c>
      <c r="O574" s="1474"/>
      <c r="P574" s="1474"/>
    </row>
    <row r="575" spans="1:16" ht="12.75" customHeight="1" x14ac:dyDescent="0.25">
      <c r="A575" s="1442"/>
      <c r="E575" s="1440">
        <v>35</v>
      </c>
      <c r="F575" s="1434" t="s">
        <v>1341</v>
      </c>
      <c r="I575" s="2042">
        <f>+I573*V3-8.67</f>
        <v>184.42081732448494</v>
      </c>
      <c r="J575" s="1474"/>
      <c r="K575" s="1474"/>
      <c r="L575" s="1474"/>
      <c r="M575" s="1474"/>
      <c r="N575" s="1474">
        <f>+E575*I575</f>
        <v>6454.7286063569727</v>
      </c>
      <c r="O575" s="1474"/>
      <c r="P575" s="1474"/>
    </row>
    <row r="576" spans="1:16" ht="12.75" customHeight="1" x14ac:dyDescent="0.25">
      <c r="A576" s="1442"/>
      <c r="E576" s="2039">
        <v>35</v>
      </c>
      <c r="F576" s="1444" t="s">
        <v>1340</v>
      </c>
      <c r="G576" s="1444"/>
      <c r="H576" s="1444"/>
      <c r="I576" s="1527">
        <f>+I574*W3</f>
        <v>252.44039168747767</v>
      </c>
      <c r="J576" s="1474"/>
      <c r="K576" s="1474"/>
      <c r="L576" s="1474"/>
      <c r="M576" s="1474"/>
      <c r="N576" s="1474"/>
      <c r="O576" s="1474">
        <f>+$E$576*$I$576</f>
        <v>8835.4137090617187</v>
      </c>
      <c r="P576" s="1474"/>
    </row>
    <row r="577" spans="1:16" ht="12.75" customHeight="1" x14ac:dyDescent="0.25">
      <c r="A577" s="1442"/>
      <c r="E577" s="2039">
        <v>35</v>
      </c>
      <c r="F577" s="1444" t="s">
        <v>1341</v>
      </c>
      <c r="G577" s="1444"/>
      <c r="H577" s="1444"/>
      <c r="I577" s="1527">
        <f>+I575*W3</f>
        <v>191.24438756549088</v>
      </c>
      <c r="J577" s="1474"/>
      <c r="K577" s="1474"/>
      <c r="L577" s="1474"/>
      <c r="M577" s="1474"/>
      <c r="N577" s="1474"/>
      <c r="O577" s="1474">
        <f>+$E577*$I577</f>
        <v>6693.5535647921806</v>
      </c>
      <c r="P577" s="1474"/>
    </row>
    <row r="578" spans="1:16" ht="12.75" customHeight="1" x14ac:dyDescent="0.25">
      <c r="A578" s="1442"/>
      <c r="E578" s="1434"/>
      <c r="F578" s="1434" t="s">
        <v>1342</v>
      </c>
      <c r="J578" s="134">
        <v>2056</v>
      </c>
      <c r="K578" s="134">
        <v>2109</v>
      </c>
      <c r="L578" s="134">
        <f>ROUND(K578*T$2,0)</f>
        <v>2153</v>
      </c>
      <c r="M578" s="134">
        <f>ROUND(L578*U$2,0)</f>
        <v>2203</v>
      </c>
      <c r="N578" s="134">
        <f>ROUND(M578*V$2,0)</f>
        <v>2254</v>
      </c>
      <c r="O578" s="134">
        <f>ROUND(N578*W$2,0)</f>
        <v>2306</v>
      </c>
      <c r="P578" s="1474"/>
    </row>
    <row r="579" spans="1:16" ht="12.75" customHeight="1" x14ac:dyDescent="0.25">
      <c r="A579" s="1442"/>
      <c r="E579" s="1516" t="s">
        <v>1194</v>
      </c>
      <c r="F579" s="1434"/>
      <c r="J579" s="1831">
        <v>15693.786749999999</v>
      </c>
      <c r="K579" s="1831">
        <v>16019.542485</v>
      </c>
      <c r="L579" s="1831">
        <f>SUM(L562:L578)</f>
        <v>16647.785269370001</v>
      </c>
      <c r="M579" s="1831">
        <f>SUM(M562:M578)</f>
        <v>17234.092324336692</v>
      </c>
      <c r="N579" s="1831">
        <f>SUM(N562:N578)</f>
        <v>17228.89611750617</v>
      </c>
      <c r="O579" s="1831">
        <f>SUM(O562:O578)</f>
        <v>17834.967273853901</v>
      </c>
      <c r="P579" s="1455"/>
    </row>
    <row r="580" spans="1:16" ht="12.75" customHeight="1" x14ac:dyDescent="0.25">
      <c r="A580" s="1442"/>
      <c r="D580" s="1472"/>
      <c r="E580" s="549"/>
      <c r="F580" s="1434"/>
    </row>
    <row r="581" spans="1:16" ht="12.75" customHeight="1" x14ac:dyDescent="0.25">
      <c r="A581" s="1442"/>
      <c r="D581" s="1472"/>
      <c r="E581" s="1502" t="s">
        <v>1343</v>
      </c>
      <c r="F581" s="1434"/>
    </row>
    <row r="582" spans="1:16" ht="12.75" customHeight="1" x14ac:dyDescent="0.25">
      <c r="A582" s="1442"/>
      <c r="D582" s="1472"/>
      <c r="E582" s="1502" t="s">
        <v>1344</v>
      </c>
      <c r="F582" s="1434"/>
    </row>
    <row r="583" spans="1:16" ht="12.75" customHeight="1" x14ac:dyDescent="0.25">
      <c r="A583" s="1442"/>
      <c r="D583" s="1472"/>
      <c r="E583" s="2532" t="s">
        <v>1345</v>
      </c>
      <c r="F583" s="2532"/>
      <c r="G583" s="2532"/>
      <c r="H583" s="2532"/>
      <c r="I583" s="2532"/>
      <c r="J583" s="2532"/>
      <c r="K583" s="2532"/>
      <c r="L583" s="2532"/>
      <c r="M583" s="2532"/>
    </row>
    <row r="584" spans="1:16" ht="12.75" customHeight="1" x14ac:dyDescent="0.25">
      <c r="A584" s="1442"/>
      <c r="D584" s="1472"/>
      <c r="E584" s="2532"/>
      <c r="F584" s="2532"/>
      <c r="G584" s="2532"/>
      <c r="H584" s="2532"/>
      <c r="I584" s="2532"/>
      <c r="J584" s="2532"/>
      <c r="K584" s="2532"/>
      <c r="L584" s="2532"/>
      <c r="M584" s="2532"/>
    </row>
    <row r="585" spans="1:16" ht="12.75" customHeight="1" x14ac:dyDescent="0.25">
      <c r="A585" s="1442"/>
      <c r="D585" s="1472"/>
      <c r="E585" s="2532"/>
      <c r="F585" s="2532"/>
      <c r="G585" s="2532"/>
      <c r="H585" s="2532"/>
      <c r="I585" s="2532"/>
      <c r="J585" s="2532"/>
      <c r="K585" s="2532"/>
      <c r="L585" s="2532"/>
      <c r="M585" s="2532"/>
    </row>
    <row r="586" spans="1:16" ht="17.399999999999999" customHeight="1" x14ac:dyDescent="0.25">
      <c r="A586" s="1442"/>
      <c r="D586" s="1472"/>
      <c r="E586" s="2532"/>
      <c r="F586" s="2532"/>
      <c r="G586" s="2532"/>
      <c r="H586" s="2532"/>
      <c r="I586" s="2532"/>
      <c r="J586" s="2532"/>
      <c r="K586" s="2532"/>
      <c r="L586" s="2532"/>
      <c r="M586" s="2532"/>
    </row>
    <row r="587" spans="1:16" ht="12.75" customHeight="1" x14ac:dyDescent="0.25">
      <c r="A587" s="1442"/>
      <c r="D587" s="1472"/>
      <c r="E587" s="1434" t="s">
        <v>1346</v>
      </c>
      <c r="F587" s="1434"/>
    </row>
    <row r="588" spans="1:16" ht="12.75" customHeight="1" x14ac:dyDescent="0.25">
      <c r="A588" s="1442"/>
      <c r="D588" s="1472"/>
      <c r="E588" s="1441" t="s">
        <v>1347</v>
      </c>
      <c r="F588" s="1434"/>
      <c r="J588" s="1474">
        <v>91953</v>
      </c>
      <c r="K588" s="1474">
        <v>94344</v>
      </c>
      <c r="L588" s="1474">
        <f>ROUND(K588*T$2,0)</f>
        <v>96325</v>
      </c>
      <c r="M588" s="1474">
        <f>ROUND(L588*U$2,0)</f>
        <v>98540</v>
      </c>
      <c r="N588" s="1474">
        <f>ROUND(M588*V$2,0)</f>
        <v>100806</v>
      </c>
      <c r="O588" s="1474">
        <f>ROUND(N588*W$2,0)</f>
        <v>103125</v>
      </c>
    </row>
    <row r="589" spans="1:16" ht="12.75" customHeight="1" x14ac:dyDescent="0.25">
      <c r="A589" s="1442"/>
      <c r="D589" s="1472"/>
      <c r="E589" s="1441" t="s">
        <v>1348</v>
      </c>
      <c r="F589" s="1434"/>
      <c r="J589" s="1474">
        <v>62498</v>
      </c>
      <c r="K589" s="1474">
        <v>64123</v>
      </c>
      <c r="L589" s="1474">
        <v>0</v>
      </c>
      <c r="M589" s="1474">
        <v>0</v>
      </c>
      <c r="N589" s="1474">
        <v>0</v>
      </c>
      <c r="O589" s="1474">
        <v>0</v>
      </c>
      <c r="P589" s="1434" t="s">
        <v>1349</v>
      </c>
    </row>
    <row r="590" spans="1:16" ht="12.75" customHeight="1" x14ac:dyDescent="0.25">
      <c r="A590" s="1442"/>
      <c r="D590" s="1472"/>
      <c r="E590" s="1441" t="s">
        <v>1350</v>
      </c>
      <c r="F590" s="1434"/>
      <c r="J590" s="1474">
        <v>-154451</v>
      </c>
      <c r="K590" s="1474">
        <v>-158467</v>
      </c>
      <c r="L590" s="1474">
        <v>-96420</v>
      </c>
      <c r="M590" s="1474">
        <v>-98541</v>
      </c>
      <c r="N590" s="1474">
        <v>-100709</v>
      </c>
      <c r="O590" s="1474">
        <f>-O588</f>
        <v>-103125</v>
      </c>
    </row>
    <row r="591" spans="1:16" ht="12.75" customHeight="1" x14ac:dyDescent="0.25">
      <c r="A591" s="1442"/>
      <c r="D591" s="1472"/>
      <c r="E591" s="1441" t="s">
        <v>1351</v>
      </c>
      <c r="F591" s="1434"/>
      <c r="J591" s="1474">
        <v>11500</v>
      </c>
      <c r="K591" s="1474">
        <v>11500</v>
      </c>
      <c r="L591" s="1474">
        <f>ROUND(K591*T$2,0)</f>
        <v>11742</v>
      </c>
      <c r="M591" s="1474">
        <f>ROUND(L591*U$2,0)</f>
        <v>12012</v>
      </c>
      <c r="N591" s="1474">
        <f>ROUND(M591*V$2,0)</f>
        <v>12288</v>
      </c>
      <c r="O591" s="1474">
        <f>ROUND(N591*W$2,0)</f>
        <v>12571</v>
      </c>
    </row>
    <row r="592" spans="1:16" ht="12.75" customHeight="1" x14ac:dyDescent="0.25">
      <c r="A592" s="1442"/>
      <c r="D592" s="1472"/>
      <c r="E592" s="549"/>
      <c r="F592" s="1434"/>
      <c r="J592" s="1831">
        <v>11500</v>
      </c>
      <c r="K592" s="1831">
        <v>11500</v>
      </c>
      <c r="L592" s="1831">
        <f t="shared" ref="L592:N592" si="55">SUM(L587:L591)</f>
        <v>11647</v>
      </c>
      <c r="M592" s="1831">
        <f t="shared" si="55"/>
        <v>12011</v>
      </c>
      <c r="N592" s="1831">
        <f t="shared" si="55"/>
        <v>12385</v>
      </c>
      <c r="O592" s="1831">
        <f t="shared" ref="O592" si="56">SUM(O587:O591)</f>
        <v>12571</v>
      </c>
      <c r="P592" s="1434" t="s">
        <v>1352</v>
      </c>
    </row>
    <row r="593" spans="1:16" ht="12.75" customHeight="1" x14ac:dyDescent="0.25">
      <c r="A593" s="1442"/>
      <c r="D593" s="1472"/>
      <c r="E593" s="549"/>
      <c r="F593" s="1434"/>
      <c r="J593" s="1455"/>
      <c r="K593" s="1455"/>
      <c r="L593" s="1455"/>
      <c r="M593" s="1455"/>
      <c r="N593" s="1455"/>
      <c r="O593" s="1455"/>
    </row>
    <row r="594" spans="1:16" ht="12.75" customHeight="1" x14ac:dyDescent="0.25">
      <c r="A594" s="1442"/>
      <c r="D594" s="1472"/>
      <c r="E594" s="1441" t="s">
        <v>1318</v>
      </c>
      <c r="F594" s="1435"/>
      <c r="I594" s="137">
        <v>0.14000000000000001</v>
      </c>
      <c r="J594" s="1474">
        <v>0</v>
      </c>
      <c r="K594" s="1474">
        <v>-1600</v>
      </c>
      <c r="L594" s="1474">
        <f>-L592*I594</f>
        <v>-1630.5800000000002</v>
      </c>
      <c r="M594" s="1474">
        <f>-I594*M592</f>
        <v>-1681.5400000000002</v>
      </c>
      <c r="N594" s="1474">
        <f>-$I594*N592</f>
        <v>-1733.9</v>
      </c>
      <c r="O594" s="1474">
        <f>-$I594*O$592</f>
        <v>-1759.94</v>
      </c>
    </row>
    <row r="595" spans="1:16" ht="12.75" customHeight="1" x14ac:dyDescent="0.25">
      <c r="A595" s="1442"/>
      <c r="D595" s="1472"/>
      <c r="E595" s="1441" t="s">
        <v>1320</v>
      </c>
      <c r="F595" s="1461"/>
      <c r="I595" s="137">
        <v>0.08</v>
      </c>
      <c r="J595" s="1474">
        <v>0</v>
      </c>
      <c r="K595" s="1474">
        <v>-900</v>
      </c>
      <c r="L595" s="1474">
        <f>-I595*L592</f>
        <v>-931.76</v>
      </c>
      <c r="M595" s="1474">
        <f>-M592*I595</f>
        <v>-960.88</v>
      </c>
      <c r="N595" s="1474">
        <f>-N592*I595</f>
        <v>-990.80000000000007</v>
      </c>
      <c r="O595" s="1474">
        <f t="shared" ref="O595:O596" si="57">-$I595*O$592</f>
        <v>-1005.6800000000001</v>
      </c>
    </row>
    <row r="596" spans="1:16" ht="12.75" customHeight="1" x14ac:dyDescent="0.25">
      <c r="A596" s="1442"/>
      <c r="D596" s="1472"/>
      <c r="E596" s="1441" t="s">
        <v>1321</v>
      </c>
      <c r="F596" s="1461"/>
      <c r="I596" s="137">
        <v>0.53</v>
      </c>
      <c r="J596" s="1474">
        <v>0</v>
      </c>
      <c r="K596" s="1474">
        <v>-6100</v>
      </c>
      <c r="L596" s="1474">
        <f>-I596*L592</f>
        <v>-6172.9100000000008</v>
      </c>
      <c r="M596" s="1474">
        <f>-M592*I596</f>
        <v>-6365.83</v>
      </c>
      <c r="N596" s="1474">
        <f>-N592*I596</f>
        <v>-6564.05</v>
      </c>
      <c r="O596" s="1474">
        <f t="shared" si="57"/>
        <v>-6662.63</v>
      </c>
      <c r="P596" s="1455"/>
    </row>
    <row r="597" spans="1:16" ht="12.75" customHeight="1" x14ac:dyDescent="0.25">
      <c r="A597" s="1442"/>
      <c r="D597" s="1472"/>
      <c r="E597" s="1441" t="s">
        <v>1353</v>
      </c>
      <c r="F597" s="1461"/>
      <c r="I597" s="137">
        <v>0.25</v>
      </c>
      <c r="J597" s="1474">
        <v>0</v>
      </c>
      <c r="K597" s="1474">
        <v>0</v>
      </c>
      <c r="L597" s="1474">
        <v>0</v>
      </c>
      <c r="M597" s="1474">
        <v>0</v>
      </c>
      <c r="N597" s="1474">
        <v>0</v>
      </c>
      <c r="O597" s="1474">
        <v>0</v>
      </c>
    </row>
    <row r="598" spans="1:16" ht="12.75" customHeight="1" x14ac:dyDescent="0.25">
      <c r="A598" s="1442"/>
      <c r="D598" s="1472"/>
      <c r="E598" s="549"/>
      <c r="F598" s="1461"/>
      <c r="I598" s="1836">
        <f>SUM(I594:I597)</f>
        <v>1</v>
      </c>
      <c r="J598" s="1539">
        <v>0</v>
      </c>
      <c r="K598" s="1539">
        <v>-8600</v>
      </c>
      <c r="L598" s="1539">
        <f>SUM(L594:L597)</f>
        <v>-8735.25</v>
      </c>
      <c r="M598" s="1539">
        <f>SUM(M594:M597)</f>
        <v>-9008.25</v>
      </c>
      <c r="N598" s="1539">
        <f>SUM(N594:N597)</f>
        <v>-9288.75</v>
      </c>
      <c r="O598" s="1539">
        <f>SUM(O594:O597)</f>
        <v>-9428.25</v>
      </c>
    </row>
    <row r="599" spans="1:16" ht="12.75" customHeight="1" x14ac:dyDescent="0.25">
      <c r="A599" s="1442"/>
      <c r="D599" s="1434"/>
      <c r="E599" s="549"/>
      <c r="F599" s="1434"/>
      <c r="J599" s="1455"/>
      <c r="K599" s="1455"/>
      <c r="L599" s="1455"/>
      <c r="M599" s="1455"/>
      <c r="N599" s="1455"/>
      <c r="O599" s="1455"/>
    </row>
    <row r="600" spans="1:16" ht="12.75" customHeight="1" x14ac:dyDescent="0.25">
      <c r="A600" s="1442"/>
      <c r="D600" s="1434"/>
      <c r="E600" s="549"/>
      <c r="F600" s="1434"/>
      <c r="P600" s="1474"/>
    </row>
    <row r="601" spans="1:16" ht="12.75" customHeight="1" x14ac:dyDescent="0.25">
      <c r="A601" s="1442"/>
      <c r="D601" s="1434"/>
      <c r="E601" s="1516" t="str">
        <f>"Totaal "&amp;D536</f>
        <v>Totaal 43812</v>
      </c>
      <c r="F601" s="1434"/>
      <c r="J601" s="1831">
        <v>48459.786749999999</v>
      </c>
      <c r="K601" s="1831">
        <v>40739.542484999998</v>
      </c>
      <c r="L601" s="1831">
        <f>L579+L546+L538+L592+L598</f>
        <v>41837.535269369997</v>
      </c>
      <c r="M601" s="1831">
        <f>M579+M546+M538+M592+M598</f>
        <v>43027.842324336692</v>
      </c>
      <c r="N601" s="1831">
        <f>N579+N546+N538+N592+N598</f>
        <v>43641.14611750617</v>
      </c>
      <c r="O601" s="1831">
        <f>O579+O546+O538+O592+O598</f>
        <v>44830.717273853901</v>
      </c>
      <c r="P601" s="1474"/>
    </row>
    <row r="602" spans="1:16" ht="12.75" customHeight="1" x14ac:dyDescent="0.25">
      <c r="A602" s="1442"/>
      <c r="D602" s="1434"/>
      <c r="E602" s="155"/>
      <c r="F602" s="155"/>
      <c r="G602" s="1516"/>
      <c r="P602" s="134"/>
    </row>
    <row r="603" spans="1:16" ht="12.75" customHeight="1" x14ac:dyDescent="0.25">
      <c r="A603" s="1442"/>
      <c r="D603" s="1434"/>
      <c r="E603" s="155"/>
      <c r="F603" s="155"/>
      <c r="G603" s="155"/>
      <c r="H603" s="155"/>
      <c r="I603" s="155"/>
      <c r="J603" s="155"/>
      <c r="K603" s="155"/>
      <c r="L603" s="155"/>
      <c r="M603" s="155"/>
      <c r="N603" s="155"/>
      <c r="O603" s="155"/>
      <c r="P603" s="1471"/>
    </row>
    <row r="604" spans="1:16" ht="12.75" customHeight="1" x14ac:dyDescent="0.25">
      <c r="A604" s="1442"/>
      <c r="D604" s="1472">
        <v>604033</v>
      </c>
      <c r="E604" s="549" t="s">
        <v>1354</v>
      </c>
      <c r="F604" s="155"/>
      <c r="H604" s="1514"/>
      <c r="P604" s="1474"/>
    </row>
    <row r="605" spans="1:16" ht="12.75" customHeight="1" x14ac:dyDescent="0.25">
      <c r="A605" s="1442"/>
      <c r="D605" s="1437">
        <v>43511</v>
      </c>
      <c r="E605" s="1434" t="s">
        <v>1355</v>
      </c>
      <c r="H605" s="1514"/>
      <c r="J605" s="1474">
        <v>11404</v>
      </c>
      <c r="K605" s="1474">
        <v>11701</v>
      </c>
      <c r="L605" s="1474">
        <f t="shared" ref="L605:O606" si="58">ROUND(K605*T$2,0)</f>
        <v>11947</v>
      </c>
      <c r="M605" s="1474">
        <f t="shared" si="58"/>
        <v>12222</v>
      </c>
      <c r="N605" s="1474">
        <f t="shared" si="58"/>
        <v>12503</v>
      </c>
      <c r="O605" s="1474">
        <f t="shared" si="58"/>
        <v>12791</v>
      </c>
      <c r="P605" s="134"/>
    </row>
    <row r="606" spans="1:16" ht="12.75" customHeight="1" x14ac:dyDescent="0.25">
      <c r="A606" s="1442"/>
      <c r="D606" s="1437"/>
      <c r="E606" s="1434" t="s">
        <v>1356</v>
      </c>
      <c r="H606" s="1514"/>
      <c r="J606" s="1474">
        <v>11068</v>
      </c>
      <c r="K606" s="1474">
        <v>11356</v>
      </c>
      <c r="L606" s="1474">
        <f t="shared" si="58"/>
        <v>11594</v>
      </c>
      <c r="M606" s="1474">
        <f t="shared" si="58"/>
        <v>11861</v>
      </c>
      <c r="N606" s="1474">
        <f t="shared" si="58"/>
        <v>12134</v>
      </c>
      <c r="O606" s="1474">
        <f t="shared" si="58"/>
        <v>12413</v>
      </c>
      <c r="P606" s="134"/>
    </row>
    <row r="607" spans="1:16" ht="12.75" customHeight="1" x14ac:dyDescent="0.25">
      <c r="A607" s="1442"/>
      <c r="D607" s="1472"/>
      <c r="E607" s="1477" t="str">
        <f>"Totaal "&amp;D605</f>
        <v>Totaal 43511</v>
      </c>
      <c r="F607" s="155"/>
      <c r="H607" s="1514"/>
      <c r="J607" s="1838">
        <v>22472</v>
      </c>
      <c r="K607" s="1838">
        <v>23057</v>
      </c>
      <c r="L607" s="1838">
        <f>+L605+L606</f>
        <v>23541</v>
      </c>
      <c r="M607" s="1838">
        <f>+M605+M606</f>
        <v>24083</v>
      </c>
      <c r="N607" s="1838">
        <f>+N605+N606</f>
        <v>24637</v>
      </c>
      <c r="O607" s="1838">
        <f>+O605+O606</f>
        <v>25204</v>
      </c>
    </row>
    <row r="608" spans="1:16" ht="12.75" customHeight="1" x14ac:dyDescent="0.25">
      <c r="A608" s="1442"/>
      <c r="D608" s="1472"/>
      <c r="E608" s="155"/>
      <c r="F608" s="155"/>
      <c r="G608" s="549"/>
      <c r="H608" s="1514"/>
      <c r="I608" s="1471"/>
      <c r="J608" s="1471"/>
      <c r="K608" s="1471"/>
      <c r="L608" s="1471"/>
      <c r="M608" s="1471"/>
      <c r="N608" s="1471"/>
      <c r="O608" s="1471"/>
      <c r="P608" s="134"/>
    </row>
    <row r="609" spans="1:16" ht="12.75" customHeight="1" x14ac:dyDescent="0.25">
      <c r="A609" s="1442"/>
      <c r="D609" s="1437">
        <v>43812</v>
      </c>
      <c r="E609" s="1434" t="s">
        <v>1357</v>
      </c>
      <c r="H609" s="1514"/>
      <c r="I609" s="1471"/>
      <c r="J609" s="134">
        <v>221030</v>
      </c>
      <c r="K609" s="134">
        <v>282000</v>
      </c>
      <c r="L609" s="1474">
        <f t="shared" ref="L609:O610" si="59">ROUND(K609*T$2,0)</f>
        <v>287922</v>
      </c>
      <c r="M609" s="1474">
        <f t="shared" si="59"/>
        <v>294544</v>
      </c>
      <c r="N609" s="1474">
        <f t="shared" si="59"/>
        <v>301319</v>
      </c>
      <c r="O609" s="1474">
        <f t="shared" si="59"/>
        <v>308249</v>
      </c>
      <c r="P609" s="134" t="s">
        <v>1358</v>
      </c>
    </row>
    <row r="610" spans="1:16" ht="12.75" customHeight="1" x14ac:dyDescent="0.25">
      <c r="A610" s="1442"/>
      <c r="D610" s="155"/>
      <c r="E610" s="1441" t="s">
        <v>1359</v>
      </c>
      <c r="I610" s="1471"/>
      <c r="J610" s="134">
        <v>7022</v>
      </c>
      <c r="K610" s="134">
        <v>7205</v>
      </c>
      <c r="L610" s="134">
        <f t="shared" si="59"/>
        <v>7356</v>
      </c>
      <c r="M610" s="134">
        <f t="shared" si="59"/>
        <v>7525</v>
      </c>
      <c r="N610" s="134">
        <f t="shared" si="59"/>
        <v>7698</v>
      </c>
      <c r="O610" s="134">
        <f t="shared" si="59"/>
        <v>7875</v>
      </c>
      <c r="P610" s="1455"/>
    </row>
    <row r="611" spans="1:16" ht="12.75" customHeight="1" x14ac:dyDescent="0.25">
      <c r="A611" s="1442"/>
      <c r="D611" s="1434"/>
      <c r="E611" s="2070" t="s">
        <v>1360</v>
      </c>
      <c r="F611" s="2070"/>
      <c r="G611" s="2070"/>
      <c r="H611" s="2070"/>
      <c r="I611" s="2070"/>
      <c r="J611" s="2070"/>
      <c r="K611" s="2071">
        <v>11000</v>
      </c>
      <c r="L611" s="2070"/>
      <c r="M611" s="2071">
        <v>21000</v>
      </c>
      <c r="N611" s="2071">
        <v>21000</v>
      </c>
      <c r="O611" s="2071">
        <v>0</v>
      </c>
      <c r="P611" s="1455"/>
    </row>
    <row r="612" spans="1:16" ht="12.75" customHeight="1" x14ac:dyDescent="0.25">
      <c r="E612" s="2072" t="s">
        <v>1361</v>
      </c>
      <c r="F612" s="2073"/>
      <c r="G612" s="2070"/>
      <c r="H612" s="2070"/>
      <c r="I612" s="2074"/>
      <c r="J612" s="2075">
        <v>20000</v>
      </c>
      <c r="K612" s="2075">
        <v>20000</v>
      </c>
      <c r="L612" s="2075">
        <v>20000</v>
      </c>
      <c r="M612" s="2075">
        <v>20000</v>
      </c>
      <c r="N612" s="2075">
        <v>20000</v>
      </c>
      <c r="O612" s="2075">
        <v>0</v>
      </c>
      <c r="P612" s="1521" t="s">
        <v>5283</v>
      </c>
    </row>
    <row r="613" spans="1:16" ht="12.75" customHeight="1" x14ac:dyDescent="0.25">
      <c r="D613" s="1434"/>
      <c r="E613" s="2072" t="s">
        <v>1362</v>
      </c>
      <c r="F613" s="2073"/>
      <c r="G613" s="2070"/>
      <c r="H613" s="2070"/>
      <c r="I613" s="2074"/>
      <c r="J613" s="2075">
        <v>-20000</v>
      </c>
      <c r="K613" s="2075">
        <v>-31000</v>
      </c>
      <c r="L613" s="2075">
        <v>-20000</v>
      </c>
      <c r="M613" s="2075">
        <v>-41000</v>
      </c>
      <c r="N613" s="2075">
        <v>-41000</v>
      </c>
      <c r="O613" s="2075">
        <v>0</v>
      </c>
      <c r="P613" s="1471"/>
    </row>
    <row r="614" spans="1:16" ht="12.75" customHeight="1" x14ac:dyDescent="0.25">
      <c r="D614" s="1434"/>
      <c r="E614" s="1441"/>
      <c r="I614" s="1471"/>
      <c r="J614" s="1474"/>
      <c r="K614" s="1474"/>
      <c r="L614" s="1474"/>
      <c r="M614" s="1474"/>
      <c r="N614" s="1474"/>
      <c r="O614" s="1474"/>
      <c r="P614" s="1471"/>
    </row>
    <row r="615" spans="1:16" ht="12.75" customHeight="1" x14ac:dyDescent="0.25">
      <c r="D615" s="1434"/>
      <c r="E615" s="1477" t="str">
        <f>"Totaal "&amp;D609</f>
        <v>Totaal 43812</v>
      </c>
      <c r="F615" s="155"/>
      <c r="I615" s="1471"/>
      <c r="J615" s="1831">
        <v>228052</v>
      </c>
      <c r="K615" s="1831">
        <v>289205</v>
      </c>
      <c r="L615" s="1831">
        <f>SUM(L609:L614)</f>
        <v>295278</v>
      </c>
      <c r="M615" s="1831">
        <f>SUM(M609:M614)</f>
        <v>302069</v>
      </c>
      <c r="N615" s="1831">
        <f>SUM(N609:N614)</f>
        <v>309017</v>
      </c>
      <c r="O615" s="1831">
        <f>SUM(O609:O614)</f>
        <v>316124</v>
      </c>
      <c r="P615" s="1471"/>
    </row>
    <row r="616" spans="1:16" ht="12.75" customHeight="1" x14ac:dyDescent="0.25">
      <c r="D616" s="1535"/>
      <c r="E616" s="1435"/>
      <c r="F616" s="1435"/>
      <c r="G616" s="1470"/>
      <c r="H616" s="549"/>
      <c r="I616" s="134"/>
      <c r="J616" s="1455"/>
      <c r="K616" s="1455"/>
      <c r="L616" s="1455"/>
      <c r="M616" s="1455"/>
      <c r="N616" s="1455"/>
      <c r="O616" s="1455"/>
      <c r="P616" s="1471"/>
    </row>
    <row r="617" spans="1:16" ht="12.75" customHeight="1" x14ac:dyDescent="0.25">
      <c r="D617" s="1535"/>
      <c r="E617" s="1434"/>
      <c r="I617" s="134"/>
      <c r="J617" s="1830">
        <v>2025</v>
      </c>
      <c r="K617" s="1830">
        <v>2026</v>
      </c>
      <c r="L617" s="1830">
        <v>2026</v>
      </c>
      <c r="M617" s="1830">
        <v>2027</v>
      </c>
      <c r="N617" s="1830">
        <v>2027</v>
      </c>
      <c r="O617" s="1830">
        <v>2030</v>
      </c>
      <c r="P617" s="1471"/>
    </row>
    <row r="618" spans="1:16" ht="12.75" customHeight="1" x14ac:dyDescent="0.25">
      <c r="D618" s="1472">
        <v>604034</v>
      </c>
      <c r="E618" s="549" t="s">
        <v>1124</v>
      </c>
      <c r="F618" s="155"/>
      <c r="I618" s="134"/>
      <c r="J618" s="1471"/>
      <c r="K618" s="1471"/>
      <c r="L618" s="1471"/>
      <c r="M618" s="1471"/>
      <c r="N618" s="1471"/>
      <c r="O618" s="1471"/>
      <c r="P618" s="1471"/>
    </row>
    <row r="619" spans="1:16" ht="12.75" customHeight="1" x14ac:dyDescent="0.25">
      <c r="D619" s="1472"/>
      <c r="E619" s="590" t="s">
        <v>1363</v>
      </c>
      <c r="F619" s="1535"/>
      <c r="H619" s="590"/>
      <c r="I619" s="134"/>
      <c r="J619" s="134">
        <v>9349</v>
      </c>
      <c r="K619" s="134">
        <v>7631</v>
      </c>
      <c r="L619" s="134">
        <f>ROUND(K619*T$2,0)</f>
        <v>7791</v>
      </c>
      <c r="M619" s="134">
        <f>ROUND(L619*U$2,0)</f>
        <v>7970</v>
      </c>
      <c r="N619" s="134">
        <f>ROUND(M619*V$2,0)</f>
        <v>8153</v>
      </c>
      <c r="O619" s="134">
        <f>ROUND(N619*W$2,0)</f>
        <v>8341</v>
      </c>
      <c r="P619" s="1455"/>
    </row>
    <row r="620" spans="1:16" ht="12.75" customHeight="1" x14ac:dyDescent="0.25">
      <c r="D620" s="1535"/>
      <c r="E620" s="549" t="s">
        <v>634</v>
      </c>
      <c r="F620" s="1435"/>
      <c r="H620" s="549"/>
      <c r="I620" s="134"/>
      <c r="J620" s="1831">
        <v>9349</v>
      </c>
      <c r="K620" s="1831">
        <v>7631</v>
      </c>
      <c r="L620" s="1831">
        <f>SUM(L619)</f>
        <v>7791</v>
      </c>
      <c r="M620" s="1831">
        <f>SUM(M619)</f>
        <v>7970</v>
      </c>
      <c r="N620" s="1831">
        <f>SUM(N619)</f>
        <v>8153</v>
      </c>
      <c r="O620" s="1831">
        <f>SUM(O619)</f>
        <v>8341</v>
      </c>
      <c r="P620" s="1455"/>
    </row>
    <row r="621" spans="1:16" ht="12.75" customHeight="1" x14ac:dyDescent="0.25">
      <c r="D621" s="1434"/>
      <c r="E621" s="1435"/>
      <c r="F621" s="1435"/>
      <c r="G621" s="549"/>
      <c r="H621" s="549"/>
      <c r="I621" s="134"/>
      <c r="J621" s="1455"/>
      <c r="K621" s="1455"/>
      <c r="L621" s="1455"/>
      <c r="M621" s="1455"/>
      <c r="N621" s="1455"/>
      <c r="O621" s="1455"/>
      <c r="P621" s="134"/>
    </row>
    <row r="622" spans="1:16" ht="12.75" customHeight="1" x14ac:dyDescent="0.25">
      <c r="D622" s="1437">
        <v>43812</v>
      </c>
      <c r="E622" s="2543" t="s">
        <v>1364</v>
      </c>
      <c r="F622" s="2543"/>
      <c r="I622" s="134"/>
      <c r="J622" s="1549"/>
      <c r="K622" s="1549"/>
      <c r="L622" s="1549"/>
      <c r="M622" s="1549"/>
      <c r="N622" s="1549"/>
      <c r="O622" s="1549"/>
    </row>
    <row r="623" spans="1:16" ht="12.75" customHeight="1" x14ac:dyDescent="0.25">
      <c r="D623" s="1437"/>
      <c r="E623" s="549" t="s">
        <v>619</v>
      </c>
      <c r="F623" s="1435"/>
      <c r="H623" s="549"/>
      <c r="I623" s="134"/>
      <c r="J623" s="1831">
        <v>0</v>
      </c>
      <c r="K623" s="1831">
        <v>0</v>
      </c>
      <c r="L623" s="1831">
        <f>SUM(L622)</f>
        <v>0</v>
      </c>
      <c r="M623" s="1831">
        <f>SUM(M622)</f>
        <v>0</v>
      </c>
      <c r="N623" s="1831">
        <f>SUM(N622)</f>
        <v>0</v>
      </c>
      <c r="O623" s="1831">
        <f>SUM(O622)</f>
        <v>0</v>
      </c>
      <c r="P623" s="134"/>
    </row>
    <row r="624" spans="1:16" ht="12.75" customHeight="1" x14ac:dyDescent="0.25">
      <c r="D624" s="1437"/>
      <c r="E624" s="1435"/>
      <c r="F624" s="1435"/>
      <c r="G624" s="549"/>
      <c r="H624" s="549"/>
      <c r="I624" s="134"/>
      <c r="J624" s="1455"/>
      <c r="K624" s="1455"/>
      <c r="L624" s="1455"/>
      <c r="M624" s="1455"/>
      <c r="N624" s="1455"/>
      <c r="O624" s="1455"/>
      <c r="P624" s="134"/>
    </row>
    <row r="625" spans="4:16" ht="12.75" customHeight="1" x14ac:dyDescent="0.25">
      <c r="D625" s="1437"/>
      <c r="E625" s="1435"/>
      <c r="F625" s="1435"/>
      <c r="G625" s="549"/>
      <c r="H625" s="549"/>
      <c r="I625" s="134"/>
      <c r="J625" s="1455"/>
      <c r="K625" s="1455"/>
      <c r="L625" s="1455"/>
      <c r="M625" s="1455"/>
      <c r="N625" s="1455"/>
      <c r="O625" s="1455"/>
      <c r="P625" s="1455"/>
    </row>
    <row r="626" spans="4:16" ht="12.75" customHeight="1" x14ac:dyDescent="0.25">
      <c r="D626" s="1437"/>
      <c r="E626" s="1502" t="s">
        <v>1365</v>
      </c>
      <c r="F626" s="1435"/>
      <c r="I626" s="134"/>
      <c r="J626" s="134"/>
      <c r="K626" s="134"/>
      <c r="L626" s="134"/>
      <c r="M626" s="134"/>
      <c r="N626" s="134"/>
      <c r="O626" s="134"/>
      <c r="P626" s="1455"/>
    </row>
    <row r="627" spans="4:16" ht="12.75" customHeight="1" x14ac:dyDescent="0.25">
      <c r="D627" s="1472">
        <v>604034</v>
      </c>
      <c r="E627" s="1434" t="s">
        <v>1366</v>
      </c>
      <c r="I627" s="134"/>
    </row>
    <row r="628" spans="4:16" ht="12.75" customHeight="1" x14ac:dyDescent="0.25">
      <c r="D628" s="1472"/>
      <c r="E628" s="1434" t="s">
        <v>1367</v>
      </c>
      <c r="I628" s="134"/>
      <c r="J628" s="134">
        <v>1184</v>
      </c>
      <c r="K628" s="134">
        <v>1215</v>
      </c>
      <c r="L628" s="134">
        <f t="shared" ref="L628:O629" si="60">ROUND(K628*T$2,0)</f>
        <v>1241</v>
      </c>
      <c r="M628" s="134">
        <f t="shared" si="60"/>
        <v>1270</v>
      </c>
      <c r="N628" s="134">
        <f t="shared" si="60"/>
        <v>1299</v>
      </c>
      <c r="O628" s="134">
        <f t="shared" si="60"/>
        <v>1329</v>
      </c>
    </row>
    <row r="629" spans="4:16" ht="12.75" customHeight="1" x14ac:dyDescent="0.25">
      <c r="D629" s="1434"/>
      <c r="E629" s="1434" t="s">
        <v>1368</v>
      </c>
      <c r="I629" s="134"/>
      <c r="J629" s="134">
        <v>1578</v>
      </c>
      <c r="K629" s="134">
        <v>1619</v>
      </c>
      <c r="L629" s="134">
        <f t="shared" si="60"/>
        <v>1653</v>
      </c>
      <c r="M629" s="134">
        <f t="shared" si="60"/>
        <v>1691</v>
      </c>
      <c r="N629" s="134">
        <f t="shared" si="60"/>
        <v>1730</v>
      </c>
      <c r="O629" s="134">
        <f t="shared" si="60"/>
        <v>1770</v>
      </c>
      <c r="P629" s="1515"/>
    </row>
    <row r="630" spans="4:16" ht="12.75" customHeight="1" x14ac:dyDescent="0.25">
      <c r="D630" s="1550"/>
      <c r="E630" s="549" t="str">
        <f>"Totaal "&amp;D622</f>
        <v>Totaal 43812</v>
      </c>
      <c r="H630" s="549"/>
      <c r="I630" s="134"/>
      <c r="J630" s="1831">
        <v>2762</v>
      </c>
      <c r="K630" s="1831">
        <v>2834</v>
      </c>
      <c r="L630" s="1831">
        <f>SUM(L628:L629)</f>
        <v>2894</v>
      </c>
      <c r="M630" s="1831">
        <f>SUM(M628:M629)</f>
        <v>2961</v>
      </c>
      <c r="N630" s="1831">
        <f>SUM(N628:N629)</f>
        <v>3029</v>
      </c>
      <c r="O630" s="1831">
        <f>SUM(O628:O629)</f>
        <v>3099</v>
      </c>
      <c r="P630" s="1515"/>
    </row>
    <row r="631" spans="4:16" ht="12.75" customHeight="1" x14ac:dyDescent="0.25">
      <c r="D631" s="1550"/>
      <c r="G631" s="549"/>
      <c r="H631" s="549"/>
      <c r="I631" s="1455"/>
      <c r="J631" s="1455"/>
      <c r="K631" s="1455"/>
      <c r="L631" s="1455"/>
      <c r="M631" s="1455"/>
      <c r="N631" s="1455"/>
      <c r="O631" s="1455"/>
      <c r="P631" s="1515"/>
    </row>
    <row r="632" spans="4:16" ht="12.75" customHeight="1" x14ac:dyDescent="0.25">
      <c r="D632" s="1551">
        <v>604035</v>
      </c>
      <c r="E632" s="549" t="s">
        <v>1369</v>
      </c>
      <c r="F632" s="1434"/>
    </row>
    <row r="633" spans="4:16" ht="12.75" customHeight="1" x14ac:dyDescent="0.25">
      <c r="D633" s="1550"/>
      <c r="E633" s="1434"/>
      <c r="F633" s="1434"/>
    </row>
    <row r="634" spans="4:16" ht="12.75" customHeight="1" x14ac:dyDescent="0.25">
      <c r="D634" s="1437"/>
      <c r="E634" s="2532" t="s">
        <v>1370</v>
      </c>
      <c r="F634" s="2532"/>
      <c r="G634" s="2532"/>
      <c r="H634" s="2532"/>
      <c r="I634" s="2532"/>
      <c r="J634" s="2532"/>
      <c r="K634" s="2532"/>
      <c r="L634" s="2532"/>
      <c r="M634" s="2532"/>
      <c r="N634" s="2532"/>
      <c r="O634" s="299"/>
    </row>
    <row r="635" spans="4:16" ht="12.75" customHeight="1" x14ac:dyDescent="0.25">
      <c r="D635" s="1552"/>
      <c r="E635" s="2532"/>
      <c r="F635" s="2532"/>
      <c r="G635" s="2532"/>
      <c r="H635" s="2532"/>
      <c r="I635" s="2532"/>
      <c r="J635" s="2532"/>
      <c r="K635" s="2532"/>
      <c r="L635" s="2532"/>
      <c r="M635" s="2532"/>
      <c r="N635" s="2532"/>
      <c r="O635" s="299"/>
      <c r="P635" s="1553"/>
    </row>
    <row r="636" spans="4:16" ht="12.75" customHeight="1" x14ac:dyDescent="0.25">
      <c r="D636" s="1434"/>
      <c r="E636" s="590"/>
      <c r="F636" s="590"/>
      <c r="P636" s="134"/>
    </row>
    <row r="637" spans="4:16" ht="12.75" customHeight="1" x14ac:dyDescent="0.25">
      <c r="D637" s="1535">
        <v>43812</v>
      </c>
      <c r="E637" s="590" t="s">
        <v>1371</v>
      </c>
      <c r="F637" s="590"/>
      <c r="P637" s="134"/>
    </row>
    <row r="638" spans="4:16" ht="12.75" customHeight="1" x14ac:dyDescent="0.25">
      <c r="D638" s="1437"/>
      <c r="E638" s="1434"/>
      <c r="F638" s="1434"/>
      <c r="G638" s="134"/>
      <c r="H638" s="134"/>
      <c r="P638" s="134"/>
    </row>
    <row r="639" spans="4:16" ht="12.75" customHeight="1" x14ac:dyDescent="0.25">
      <c r="D639" s="1472"/>
      <c r="E639" s="1555"/>
      <c r="F639" s="1555"/>
      <c r="H639" s="1556"/>
      <c r="I639" s="1554"/>
      <c r="J639" s="1830">
        <v>2025</v>
      </c>
      <c r="K639" s="1830">
        <v>2026</v>
      </c>
      <c r="L639" s="1830">
        <v>2027</v>
      </c>
      <c r="M639" s="1830">
        <v>2028</v>
      </c>
      <c r="N639" s="1830">
        <v>2029</v>
      </c>
      <c r="O639" s="1830">
        <v>2030</v>
      </c>
      <c r="P639" s="134"/>
    </row>
    <row r="640" spans="4:16" ht="12.75" customHeight="1" x14ac:dyDescent="0.25">
      <c r="D640" s="1472"/>
      <c r="E640" s="1502" t="s">
        <v>1372</v>
      </c>
      <c r="F640" s="1555"/>
      <c r="H640" s="1556"/>
      <c r="I640" s="1554"/>
      <c r="J640" s="1554"/>
      <c r="K640" s="1554"/>
      <c r="L640" s="1554"/>
      <c r="M640" s="1554"/>
      <c r="N640" s="1554"/>
      <c r="O640" s="1554"/>
      <c r="P640" s="1554"/>
    </row>
    <row r="641" spans="1:16" ht="12.75" customHeight="1" x14ac:dyDescent="0.25">
      <c r="D641" s="1552"/>
      <c r="E641" s="2541" t="s">
        <v>1373</v>
      </c>
      <c r="F641" s="2541"/>
      <c r="G641" s="2541"/>
      <c r="H641" s="2541"/>
      <c r="I641" s="2541"/>
      <c r="J641" s="134">
        <v>20567</v>
      </c>
      <c r="K641" s="134">
        <v>21102</v>
      </c>
      <c r="L641" s="134">
        <f>ROUND(K641*T$2,0)</f>
        <v>21545</v>
      </c>
      <c r="M641" s="134">
        <f>ROUND(L641*U$2,0)</f>
        <v>22041</v>
      </c>
      <c r="N641" s="134">
        <f>ROUND(M641*V$2,0)</f>
        <v>22548</v>
      </c>
      <c r="O641" s="134">
        <f>ROUND(N641*W$2,0)</f>
        <v>23067</v>
      </c>
      <c r="P641" s="1553"/>
    </row>
    <row r="642" spans="1:16" ht="12.75" customHeight="1" x14ac:dyDescent="0.25">
      <c r="D642" s="1552"/>
      <c r="E642" s="2541"/>
      <c r="F642" s="2541"/>
      <c r="G642" s="2541"/>
      <c r="H642" s="2541"/>
      <c r="I642" s="2541"/>
      <c r="J642" s="134"/>
      <c r="K642" s="134"/>
      <c r="L642" s="134"/>
      <c r="M642" s="134"/>
      <c r="N642" s="134"/>
      <c r="O642" s="134"/>
      <c r="P642" s="1554"/>
    </row>
    <row r="643" spans="1:16" ht="12.75" customHeight="1" x14ac:dyDescent="0.25">
      <c r="G643" s="1557"/>
      <c r="H643" s="1557"/>
      <c r="I643" s="1554"/>
      <c r="J643" s="134"/>
      <c r="K643" s="134"/>
      <c r="L643" s="134"/>
      <c r="M643" s="134"/>
      <c r="N643" s="134"/>
      <c r="O643" s="134"/>
      <c r="P643" s="1554"/>
    </row>
    <row r="644" spans="1:16" ht="12.75" customHeight="1" thickBot="1" x14ac:dyDescent="0.3">
      <c r="F644" s="155"/>
      <c r="I644" s="1554"/>
      <c r="J644" s="1833">
        <v>20567</v>
      </c>
      <c r="K644" s="1833">
        <v>21102</v>
      </c>
      <c r="L644" s="1833">
        <f>SUM(L641:L643)</f>
        <v>21545</v>
      </c>
      <c r="M644" s="1833">
        <f>SUM(M641:M643)</f>
        <v>22041</v>
      </c>
      <c r="N644" s="1833">
        <f>SUM(N641:N643)</f>
        <v>22548</v>
      </c>
      <c r="O644" s="1833">
        <f>SUM(O641:O643)</f>
        <v>23067</v>
      </c>
      <c r="P644" s="1558"/>
    </row>
    <row r="645" spans="1:16" ht="12.75" customHeight="1" thickTop="1" x14ac:dyDescent="0.25">
      <c r="D645" s="1552"/>
      <c r="E645" s="1441"/>
      <c r="F645" s="155"/>
      <c r="I645" s="1554"/>
      <c r="J645" s="1554"/>
      <c r="K645" s="1554"/>
      <c r="L645" s="1554"/>
      <c r="M645" s="1554"/>
      <c r="N645" s="1554"/>
      <c r="O645" s="1554"/>
      <c r="P645" s="1455"/>
    </row>
    <row r="646" spans="1:16" ht="12.75" customHeight="1" x14ac:dyDescent="0.25">
      <c r="A646" s="1442"/>
      <c r="D646" s="1560">
        <v>604061</v>
      </c>
      <c r="E646" s="549" t="s">
        <v>1091</v>
      </c>
      <c r="F646" s="155"/>
      <c r="I646" s="134"/>
      <c r="J646" s="1471"/>
      <c r="K646" s="1471"/>
      <c r="L646" s="1471"/>
      <c r="M646" s="1471"/>
      <c r="N646" s="1471"/>
      <c r="O646" s="1471"/>
      <c r="P646" s="1471"/>
    </row>
    <row r="647" spans="1:16" ht="12.75" customHeight="1" x14ac:dyDescent="0.25">
      <c r="A647" s="1442"/>
      <c r="D647" s="1472"/>
      <c r="E647" s="549"/>
      <c r="F647" s="155"/>
      <c r="I647" s="134"/>
      <c r="J647" s="1471"/>
      <c r="K647" s="1471"/>
      <c r="L647" s="1471"/>
      <c r="M647" s="1471"/>
      <c r="N647" s="1471"/>
      <c r="O647" s="1471"/>
      <c r="P647" s="1471"/>
    </row>
    <row r="648" spans="1:16" ht="12.75" customHeight="1" x14ac:dyDescent="0.25">
      <c r="A648" s="1442"/>
      <c r="D648" s="1535">
        <v>43812</v>
      </c>
      <c r="E648" s="1434" t="s">
        <v>1374</v>
      </c>
      <c r="F648" s="1535"/>
      <c r="H648" s="590"/>
      <c r="I648" s="134"/>
      <c r="J648" s="1549"/>
      <c r="K648" s="134">
        <v>11286</v>
      </c>
      <c r="L648" s="1549"/>
      <c r="M648" s="134">
        <f>ROUND(21000*U$2,0)</f>
        <v>21483</v>
      </c>
      <c r="N648" s="1549">
        <v>0</v>
      </c>
      <c r="O648" s="1549">
        <v>0</v>
      </c>
      <c r="P648" s="1434" t="s">
        <v>1375</v>
      </c>
    </row>
    <row r="649" spans="1:16" ht="12.75" customHeight="1" x14ac:dyDescent="0.25">
      <c r="A649" s="1442"/>
      <c r="D649" s="1434"/>
      <c r="E649" s="2532" t="s">
        <v>1361</v>
      </c>
      <c r="F649" s="2532"/>
      <c r="G649" s="2532"/>
      <c r="H649" s="2532"/>
      <c r="I649" s="2532"/>
      <c r="J649" s="1549">
        <v>20000</v>
      </c>
      <c r="K649" s="134">
        <v>20520</v>
      </c>
      <c r="L649" s="134">
        <f>ROUND(K649*T$2,0)</f>
        <v>20951</v>
      </c>
      <c r="M649" s="134">
        <f>ROUND(L649*U$2,0)</f>
        <v>21433</v>
      </c>
      <c r="N649" s="134">
        <f>ROUND(M649*V$2,0)</f>
        <v>21926</v>
      </c>
      <c r="O649" s="134">
        <f>ROUND(N649*W$2,0)</f>
        <v>22430</v>
      </c>
      <c r="P649" s="117" t="s">
        <v>1376</v>
      </c>
    </row>
    <row r="650" spans="1:16" ht="12.75" customHeight="1" x14ac:dyDescent="0.25">
      <c r="A650" s="1442"/>
      <c r="D650" s="1434"/>
      <c r="E650" s="549" t="str">
        <f>"Totaal "&amp;D648</f>
        <v>Totaal 43812</v>
      </c>
      <c r="F650" s="1435"/>
      <c r="H650" s="549"/>
      <c r="I650" s="134"/>
      <c r="J650" s="1831">
        <v>20000</v>
      </c>
      <c r="K650" s="1831">
        <v>31806</v>
      </c>
      <c r="L650" s="1831">
        <f>SUM(L648:L649)</f>
        <v>20951</v>
      </c>
      <c r="M650" s="1831">
        <f>SUM(M648:M649)</f>
        <v>42916</v>
      </c>
      <c r="N650" s="1831">
        <f>SUM(N648:N649)</f>
        <v>21926</v>
      </c>
      <c r="O650" s="1831">
        <f>SUM(O648:O649)</f>
        <v>22430</v>
      </c>
      <c r="P650" s="117"/>
    </row>
    <row r="651" spans="1:16" ht="12.75" customHeight="1" x14ac:dyDescent="0.25">
      <c r="A651" s="1442"/>
      <c r="E651" s="549"/>
      <c r="F651" s="1435"/>
      <c r="H651" s="549"/>
      <c r="I651" s="134"/>
      <c r="J651" s="1455"/>
      <c r="K651" s="1455"/>
      <c r="L651" s="1455"/>
      <c r="M651" s="1455"/>
      <c r="N651" s="1455"/>
      <c r="O651" s="1455"/>
      <c r="P651" s="1455"/>
    </row>
    <row r="652" spans="1:16" ht="12.75" customHeight="1" x14ac:dyDescent="0.25">
      <c r="A652" s="1442"/>
      <c r="D652" s="1472">
        <v>604056</v>
      </c>
      <c r="E652" s="549" t="s">
        <v>1377</v>
      </c>
      <c r="I652" s="134"/>
      <c r="J652" s="1455"/>
      <c r="K652" s="1455"/>
      <c r="L652" s="1455"/>
      <c r="M652" s="1455"/>
      <c r="N652" s="1455"/>
      <c r="O652" s="1455"/>
      <c r="P652" s="1455"/>
    </row>
    <row r="653" spans="1:16" ht="12.75" customHeight="1" x14ac:dyDescent="0.25">
      <c r="A653" s="1442"/>
      <c r="D653" s="1437">
        <v>43819</v>
      </c>
      <c r="E653" s="549"/>
      <c r="I653" s="134"/>
      <c r="J653" s="1455"/>
      <c r="K653" s="1455"/>
      <c r="L653" s="1455"/>
      <c r="M653" s="1455"/>
      <c r="N653" s="1455"/>
      <c r="O653" s="1455"/>
      <c r="P653" s="1455"/>
    </row>
    <row r="654" spans="1:16" ht="12.75" customHeight="1" x14ac:dyDescent="0.25">
      <c r="A654" s="1442"/>
      <c r="D654" s="1437"/>
      <c r="E654" s="590" t="s">
        <v>1378</v>
      </c>
      <c r="F654" s="1535"/>
      <c r="H654" s="1536"/>
      <c r="I654" s="134"/>
      <c r="J654" s="134">
        <v>95060</v>
      </c>
      <c r="K654" s="134">
        <v>122117</v>
      </c>
      <c r="L654" s="134">
        <f>ROUND(K654*T$2,0)</f>
        <v>124681</v>
      </c>
      <c r="M654" s="134">
        <f>ROUND(L654*U$2,0)</f>
        <v>127549</v>
      </c>
      <c r="N654" s="134">
        <f>ROUND(M654*V$2,0)</f>
        <v>130483</v>
      </c>
      <c r="O654" s="134">
        <f>ROUND(N654*W$2,0)</f>
        <v>133484</v>
      </c>
      <c r="P654" s="1455"/>
    </row>
    <row r="655" spans="1:16" ht="12.75" customHeight="1" x14ac:dyDescent="0.25">
      <c r="A655" s="1442"/>
      <c r="E655" s="549" t="s">
        <v>634</v>
      </c>
      <c r="F655" s="1535"/>
      <c r="I655" s="134"/>
      <c r="J655" s="1831">
        <v>95060</v>
      </c>
      <c r="K655" s="1831">
        <v>122117</v>
      </c>
      <c r="L655" s="1831">
        <f>+L654</f>
        <v>124681</v>
      </c>
      <c r="M655" s="1831">
        <f>+M654</f>
        <v>127549</v>
      </c>
      <c r="N655" s="1831">
        <f>+N654</f>
        <v>130483</v>
      </c>
      <c r="O655" s="1831">
        <f>+O654</f>
        <v>133484</v>
      </c>
    </row>
    <row r="656" spans="1:16" ht="12.75" customHeight="1" x14ac:dyDescent="0.25">
      <c r="A656" s="1442"/>
      <c r="E656" s="549"/>
      <c r="F656" s="1535"/>
      <c r="I656" s="134"/>
      <c r="J656" s="1455"/>
      <c r="K656" s="1455"/>
      <c r="L656" s="1455"/>
      <c r="M656" s="1455"/>
      <c r="N656" s="1455"/>
      <c r="O656" s="1455"/>
    </row>
    <row r="657" spans="1:27" ht="12.75" customHeight="1" x14ac:dyDescent="0.25">
      <c r="A657" s="1442"/>
      <c r="D657" s="1472">
        <v>604057</v>
      </c>
      <c r="E657" s="1480" t="s">
        <v>1379</v>
      </c>
      <c r="F657" s="155"/>
      <c r="G657" s="549"/>
      <c r="I657" s="134"/>
      <c r="J657" s="1726"/>
      <c r="K657" s="1726"/>
      <c r="L657" s="1726"/>
      <c r="M657" s="1726"/>
      <c r="N657" s="1726"/>
      <c r="O657" s="1726"/>
      <c r="P657" s="117"/>
    </row>
    <row r="658" spans="1:27" ht="12.75" customHeight="1" x14ac:dyDescent="0.25">
      <c r="A658" s="1442"/>
      <c r="D658" s="1445"/>
      <c r="E658" s="155"/>
      <c r="F658" s="155"/>
      <c r="G658" s="549"/>
      <c r="I658" s="134"/>
      <c r="J658" s="1471"/>
      <c r="K658" s="1471"/>
      <c r="L658" s="1471"/>
      <c r="M658" s="1471"/>
      <c r="N658" s="1471"/>
      <c r="O658" s="1471"/>
      <c r="P658" s="1474"/>
    </row>
    <row r="659" spans="1:27" ht="12.75" customHeight="1" x14ac:dyDescent="0.25">
      <c r="A659" s="1442"/>
      <c r="D659" s="1535">
        <v>43812</v>
      </c>
      <c r="E659" s="1434" t="s">
        <v>1380</v>
      </c>
      <c r="I659" s="134"/>
      <c r="J659" s="134">
        <v>1633</v>
      </c>
      <c r="K659" s="134">
        <v>1675</v>
      </c>
      <c r="L659" s="134">
        <f>ROUND(K659*T$2,0)</f>
        <v>1710</v>
      </c>
      <c r="M659" s="134">
        <f>ROUND(L659*U$2,0)</f>
        <v>1749</v>
      </c>
      <c r="N659" s="134">
        <f>ROUND(M659*V$2,0)</f>
        <v>1789</v>
      </c>
      <c r="O659" s="134">
        <f>ROUND(N659*W$2,0)</f>
        <v>1830</v>
      </c>
      <c r="P659" s="117"/>
      <c r="AA659" s="1434"/>
    </row>
    <row r="660" spans="1:27" ht="12.75" customHeight="1" x14ac:dyDescent="0.25">
      <c r="A660" s="1442"/>
      <c r="D660" s="1535"/>
      <c r="E660" s="1434"/>
      <c r="I660" s="134"/>
      <c r="J660" s="134"/>
      <c r="K660" s="134">
        <v>-1675</v>
      </c>
      <c r="L660" s="134">
        <f>-L659</f>
        <v>-1710</v>
      </c>
      <c r="M660" s="134">
        <f>-M659</f>
        <v>-1749</v>
      </c>
      <c r="N660" s="134">
        <f>-N659</f>
        <v>-1789</v>
      </c>
      <c r="O660" s="134">
        <f>-O659</f>
        <v>-1830</v>
      </c>
      <c r="P660" s="117"/>
      <c r="AA660" s="1434"/>
    </row>
    <row r="661" spans="1:27" ht="12.75" customHeight="1" x14ac:dyDescent="0.25">
      <c r="A661" s="1442"/>
      <c r="D661" s="1434"/>
      <c r="E661" s="549" t="str">
        <f>"Totaal "&amp;D653</f>
        <v>Totaal 43819</v>
      </c>
      <c r="I661" s="134"/>
      <c r="J661" s="1831">
        <v>1633</v>
      </c>
      <c r="K661" s="1831">
        <v>0</v>
      </c>
      <c r="L661" s="1831">
        <f>+SUM(L659:L660)</f>
        <v>0</v>
      </c>
      <c r="M661" s="1831">
        <f>+SUM(M659:M660)</f>
        <v>0</v>
      </c>
      <c r="N661" s="1831">
        <f>+SUM(N659:N660)</f>
        <v>0</v>
      </c>
      <c r="O661" s="1831">
        <f>+SUM(O659:O660)</f>
        <v>0</v>
      </c>
      <c r="P661" s="117"/>
      <c r="AA661" s="1434"/>
    </row>
    <row r="662" spans="1:27" ht="12.75" customHeight="1" x14ac:dyDescent="0.25">
      <c r="A662" s="1442"/>
      <c r="D662" s="1472"/>
      <c r="E662" s="1561"/>
      <c r="P662" s="117"/>
      <c r="AA662" s="1434"/>
    </row>
    <row r="663" spans="1:27" ht="12.75" customHeight="1" x14ac:dyDescent="0.25">
      <c r="A663" s="1442"/>
      <c r="D663" s="1437">
        <v>43819</v>
      </c>
      <c r="E663" s="1545" t="s">
        <v>1381</v>
      </c>
      <c r="F663" s="299"/>
      <c r="J663" s="1549">
        <v>78963</v>
      </c>
      <c r="K663" s="1474">
        <v>103802</v>
      </c>
      <c r="L663" s="1474">
        <f>ROUND(K663*T$2,0)</f>
        <v>105982</v>
      </c>
      <c r="M663" s="1474">
        <f>ROUND(L663*U$2,0)</f>
        <v>108420</v>
      </c>
      <c r="N663" s="1474">
        <f>ROUND(M663*V$2,0)</f>
        <v>110914</v>
      </c>
      <c r="O663" s="1474">
        <f>ROUND(N663*W$2,0)</f>
        <v>113465</v>
      </c>
      <c r="AA663" s="1434"/>
    </row>
    <row r="664" spans="1:27" ht="12.75" customHeight="1" x14ac:dyDescent="0.25">
      <c r="A664" s="1442"/>
      <c r="D664" s="1437"/>
      <c r="E664" s="549" t="str">
        <f>"Totaal "&amp;D659</f>
        <v>Totaal 43812</v>
      </c>
      <c r="F664" s="549"/>
      <c r="J664" s="1831">
        <v>78963</v>
      </c>
      <c r="K664" s="1831">
        <v>103802</v>
      </c>
      <c r="L664" s="1831">
        <f>+L663</f>
        <v>105982</v>
      </c>
      <c r="M664" s="1831">
        <f>+M663</f>
        <v>108420</v>
      </c>
      <c r="N664" s="1831">
        <f>+N663</f>
        <v>110914</v>
      </c>
      <c r="O664" s="1831">
        <f>+O663</f>
        <v>113465</v>
      </c>
      <c r="P664" s="117"/>
      <c r="AA664" s="1434"/>
    </row>
    <row r="665" spans="1:27" ht="12.75" customHeight="1" x14ac:dyDescent="0.25">
      <c r="A665" s="1442"/>
      <c r="D665" s="1434"/>
      <c r="E665" s="1562"/>
      <c r="F665" s="1434"/>
      <c r="J665" s="1471"/>
      <c r="K665" s="1471"/>
      <c r="L665" s="1471"/>
      <c r="M665" s="1471"/>
      <c r="N665" s="1471"/>
      <c r="O665" s="1471"/>
      <c r="P665" s="117"/>
      <c r="AA665" s="1434"/>
    </row>
    <row r="666" spans="1:27" ht="12.75" customHeight="1" x14ac:dyDescent="0.25">
      <c r="A666" s="1442"/>
      <c r="D666" s="1437"/>
      <c r="E666" s="1434"/>
      <c r="F666" s="1434"/>
      <c r="P666" s="117"/>
      <c r="AA666" s="1434"/>
    </row>
    <row r="667" spans="1:27" ht="12.75" customHeight="1" x14ac:dyDescent="0.25">
      <c r="A667" s="1442"/>
      <c r="D667" s="1437"/>
      <c r="E667" s="1434"/>
      <c r="F667" s="1434"/>
      <c r="P667" s="117"/>
      <c r="AA667" s="1434"/>
    </row>
    <row r="668" spans="1:27" ht="12.75" customHeight="1" x14ac:dyDescent="0.25">
      <c r="A668" s="1442"/>
      <c r="D668" s="1445"/>
      <c r="E668" s="1440" t="s">
        <v>1382</v>
      </c>
      <c r="F668" s="1434"/>
      <c r="P668" s="117"/>
      <c r="AA668" s="1434"/>
    </row>
    <row r="669" spans="1:27" ht="12.75" customHeight="1" x14ac:dyDescent="0.25">
      <c r="A669" s="1442"/>
      <c r="D669" s="1445"/>
      <c r="E669" s="1440" t="s">
        <v>1293</v>
      </c>
      <c r="F669" s="1434"/>
      <c r="J669" s="1474">
        <v>4359</v>
      </c>
      <c r="K669" s="1474">
        <v>4472</v>
      </c>
      <c r="L669" s="1474">
        <f>ROUND(K669*T$2,0)</f>
        <v>4566</v>
      </c>
      <c r="M669" s="1474">
        <f>ROUND(L669*U$2,0)</f>
        <v>4671</v>
      </c>
      <c r="N669" s="1474">
        <f>ROUND(M669*V$2,0)</f>
        <v>4778</v>
      </c>
      <c r="O669" s="1474">
        <f>ROUND(N669*W$2,0)</f>
        <v>4888</v>
      </c>
      <c r="P669" s="1474"/>
    </row>
    <row r="670" spans="1:27" ht="12.75" customHeight="1" x14ac:dyDescent="0.25">
      <c r="A670" s="1442"/>
      <c r="D670" s="1472">
        <v>604057</v>
      </c>
      <c r="E670" s="1434" t="s">
        <v>1383</v>
      </c>
      <c r="F670" s="1441"/>
      <c r="J670" s="1474"/>
      <c r="K670" s="1474"/>
      <c r="L670" s="1474"/>
      <c r="M670" s="1474"/>
      <c r="N670" s="1474"/>
      <c r="O670" s="1474"/>
      <c r="P670" s="1474"/>
    </row>
    <row r="671" spans="1:27" ht="12.75" customHeight="1" x14ac:dyDescent="0.25">
      <c r="A671" s="1442"/>
      <c r="D671" s="1445"/>
      <c r="E671" s="1434" t="s">
        <v>1380</v>
      </c>
      <c r="F671" s="1441"/>
      <c r="J671" s="1474">
        <v>1633</v>
      </c>
      <c r="K671" s="134">
        <v>1675</v>
      </c>
      <c r="L671" s="134">
        <f t="shared" ref="L671:O672" si="61">ROUND(K671*T$2,0)</f>
        <v>1710</v>
      </c>
      <c r="M671" s="134">
        <f t="shared" si="61"/>
        <v>1749</v>
      </c>
      <c r="N671" s="134">
        <f t="shared" si="61"/>
        <v>1789</v>
      </c>
      <c r="O671" s="134">
        <f t="shared" si="61"/>
        <v>1830</v>
      </c>
      <c r="P671" s="1474"/>
    </row>
    <row r="672" spans="1:27" ht="12.75" customHeight="1" x14ac:dyDescent="0.25">
      <c r="A672" s="1442"/>
      <c r="D672" s="1535">
        <v>43812</v>
      </c>
      <c r="E672" s="1434" t="s">
        <v>1384</v>
      </c>
      <c r="F672" s="1441"/>
      <c r="J672" s="1474">
        <v>22000</v>
      </c>
      <c r="K672" s="134">
        <v>22572</v>
      </c>
      <c r="L672" s="134">
        <f t="shared" si="61"/>
        <v>23046</v>
      </c>
      <c r="M672" s="134">
        <f t="shared" si="61"/>
        <v>23576</v>
      </c>
      <c r="N672" s="134">
        <f t="shared" si="61"/>
        <v>24118</v>
      </c>
      <c r="O672" s="134">
        <f t="shared" si="61"/>
        <v>24673</v>
      </c>
      <c r="P672" s="1474"/>
    </row>
    <row r="673" spans="1:16" ht="12.75" customHeight="1" x14ac:dyDescent="0.25">
      <c r="A673" s="1442"/>
      <c r="D673" s="1434"/>
      <c r="E673" s="1480" t="str">
        <f>"Totaal "&amp;D663</f>
        <v>Totaal 43819</v>
      </c>
      <c r="F673" s="549"/>
      <c r="J673" s="1831">
        <v>27992</v>
      </c>
      <c r="K673" s="1831">
        <v>28719</v>
      </c>
      <c r="L673" s="1831">
        <f t="shared" ref="L673:N673" si="62">SUM(L669:L672)</f>
        <v>29322</v>
      </c>
      <c r="M673" s="1831">
        <f t="shared" si="62"/>
        <v>29996</v>
      </c>
      <c r="N673" s="1831">
        <f t="shared" si="62"/>
        <v>30685</v>
      </c>
      <c r="O673" s="1831">
        <f t="shared" ref="O673" si="63">SUM(O669:O672)</f>
        <v>31391</v>
      </c>
      <c r="P673" s="1455"/>
    </row>
    <row r="674" spans="1:16" ht="12.75" customHeight="1" x14ac:dyDescent="0.25">
      <c r="A674" s="1442"/>
      <c r="D674" s="1434"/>
      <c r="E674" s="1480"/>
      <c r="F674" s="549"/>
      <c r="I674" s="1474"/>
      <c r="J674" s="1474"/>
      <c r="K674" s="1474"/>
      <c r="L674" s="1474"/>
      <c r="M674" s="1474"/>
      <c r="N674" s="1474"/>
      <c r="O674" s="1474"/>
      <c r="P674" s="1455"/>
    </row>
    <row r="675" spans="1:16" ht="12.75" customHeight="1" x14ac:dyDescent="0.25">
      <c r="A675" s="1442"/>
      <c r="D675" s="1472">
        <v>604062</v>
      </c>
      <c r="E675" s="1480" t="s">
        <v>1092</v>
      </c>
      <c r="F675" s="549"/>
      <c r="I675" s="1474"/>
      <c r="J675" s="1830">
        <v>2025</v>
      </c>
      <c r="K675" s="1830">
        <v>2026</v>
      </c>
      <c r="L675" s="1830">
        <v>2027</v>
      </c>
      <c r="M675" s="1830">
        <v>2028</v>
      </c>
      <c r="N675" s="1830">
        <v>2029</v>
      </c>
      <c r="O675" s="1830">
        <v>2030</v>
      </c>
    </row>
    <row r="676" spans="1:16" ht="12.75" customHeight="1" x14ac:dyDescent="0.25">
      <c r="A676" s="1442"/>
      <c r="D676" s="1442">
        <v>43812</v>
      </c>
      <c r="E676" s="1545" t="s">
        <v>1385</v>
      </c>
      <c r="F676" s="299"/>
      <c r="J676" s="1549">
        <v>154451</v>
      </c>
      <c r="K676" s="1474">
        <v>158003</v>
      </c>
      <c r="L676" s="1474">
        <v>96232</v>
      </c>
      <c r="M676" s="1474">
        <v>98445</v>
      </c>
      <c r="N676" s="1474">
        <f>ROUND(M676*V$2,0)</f>
        <v>100709</v>
      </c>
      <c r="O676" s="1474">
        <f>ROUND(N676*W$2,0)</f>
        <v>103025</v>
      </c>
      <c r="P676" s="134" t="s">
        <v>1386</v>
      </c>
    </row>
    <row r="677" spans="1:16" ht="12.75" customHeight="1" x14ac:dyDescent="0.25">
      <c r="A677" s="1442"/>
      <c r="D677" s="1442"/>
      <c r="E677" s="2262" t="s">
        <v>5359</v>
      </c>
      <c r="F677" s="2263"/>
      <c r="G677" s="2198"/>
      <c r="H677" s="2198"/>
      <c r="I677" s="2198"/>
      <c r="J677" s="2264"/>
      <c r="K677" s="2265">
        <v>40000</v>
      </c>
      <c r="L677" s="2265"/>
      <c r="M677" s="2265"/>
      <c r="N677" s="2265"/>
      <c r="O677" s="2265"/>
      <c r="P677" s="134"/>
    </row>
    <row r="678" spans="1:16" ht="12.75" customHeight="1" x14ac:dyDescent="0.25">
      <c r="A678" s="1442"/>
      <c r="D678" s="1442"/>
      <c r="E678" s="1545"/>
      <c r="F678" s="299"/>
      <c r="J678" s="1549"/>
      <c r="K678" s="1474"/>
      <c r="L678" s="1474"/>
      <c r="M678" s="1474"/>
      <c r="N678" s="1474"/>
      <c r="O678" s="1474"/>
      <c r="P678" s="134"/>
    </row>
    <row r="679" spans="1:16" ht="12.75" customHeight="1" x14ac:dyDescent="0.25">
      <c r="A679" s="1442"/>
      <c r="D679" s="1442"/>
      <c r="E679" s="1563" t="s">
        <v>619</v>
      </c>
      <c r="F679" s="299"/>
      <c r="J679" s="1549"/>
      <c r="K679" s="1474"/>
      <c r="L679" s="1474"/>
      <c r="M679" s="1474"/>
      <c r="N679" s="1474"/>
      <c r="O679" s="1474"/>
      <c r="P679" s="134" t="s">
        <v>1387</v>
      </c>
    </row>
    <row r="680" spans="1:16" ht="12.75" customHeight="1" x14ac:dyDescent="0.25">
      <c r="A680" s="1442"/>
      <c r="D680" s="1472"/>
      <c r="E680" s="549"/>
      <c r="F680" s="549"/>
      <c r="J680" s="1831">
        <v>154451</v>
      </c>
      <c r="K680" s="1831">
        <f>SUM(K676:K679)</f>
        <v>198003</v>
      </c>
      <c r="L680" s="1831">
        <f>+L676</f>
        <v>96232</v>
      </c>
      <c r="M680" s="1831">
        <f>+M676</f>
        <v>98445</v>
      </c>
      <c r="N680" s="1831">
        <f>+N676</f>
        <v>100709</v>
      </c>
      <c r="O680" s="1831">
        <f>+O676</f>
        <v>103025</v>
      </c>
      <c r="P680" s="134"/>
    </row>
    <row r="681" spans="1:16" ht="12.75" customHeight="1" x14ac:dyDescent="0.25">
      <c r="A681" s="1442"/>
      <c r="D681" s="1437"/>
      <c r="E681" s="549"/>
      <c r="F681" s="549"/>
      <c r="J681" s="1455"/>
      <c r="K681" s="1455"/>
      <c r="L681" s="1455"/>
      <c r="M681" s="1455"/>
      <c r="N681" s="1455"/>
      <c r="O681" s="1455"/>
      <c r="P681" s="134"/>
    </row>
    <row r="682" spans="1:16" ht="12.75" customHeight="1" x14ac:dyDescent="0.25">
      <c r="A682" s="1442"/>
      <c r="D682" s="1437">
        <v>43511</v>
      </c>
      <c r="E682" s="2266" t="s">
        <v>5360</v>
      </c>
      <c r="F682" s="2267"/>
      <c r="G682" s="2198"/>
      <c r="H682" s="2198"/>
      <c r="I682" s="2198"/>
      <c r="J682" s="2268"/>
      <c r="K682" s="2268">
        <v>60000</v>
      </c>
      <c r="L682" s="2268"/>
      <c r="M682" s="2268"/>
      <c r="N682" s="2268"/>
      <c r="O682" s="2268"/>
      <c r="P682" s="134"/>
    </row>
    <row r="683" spans="1:16" ht="12.75" customHeight="1" x14ac:dyDescent="0.25">
      <c r="A683" s="1442"/>
      <c r="D683" s="1437"/>
      <c r="E683" s="549"/>
      <c r="F683" s="549"/>
      <c r="J683" s="1831">
        <v>0</v>
      </c>
      <c r="K683" s="1831">
        <f>SUM(K682)</f>
        <v>60000</v>
      </c>
      <c r="L683" s="1831">
        <f t="shared" ref="L683:O683" si="64">SUM(L682)</f>
        <v>0</v>
      </c>
      <c r="M683" s="1831">
        <f t="shared" si="64"/>
        <v>0</v>
      </c>
      <c r="N683" s="1831">
        <f t="shared" si="64"/>
        <v>0</v>
      </c>
      <c r="O683" s="1831">
        <f t="shared" si="64"/>
        <v>0</v>
      </c>
      <c r="P683" s="134"/>
    </row>
    <row r="684" spans="1:16" ht="12.75" customHeight="1" x14ac:dyDescent="0.25">
      <c r="A684" s="1442"/>
      <c r="D684" s="1437"/>
      <c r="P684" s="134"/>
    </row>
    <row r="685" spans="1:16" ht="12.75" customHeight="1" x14ac:dyDescent="0.25">
      <c r="A685" s="1442"/>
      <c r="D685" s="1434"/>
      <c r="E685" s="1461"/>
      <c r="F685" s="1461"/>
      <c r="G685" s="549"/>
      <c r="H685" s="549"/>
      <c r="I685" s="1455"/>
      <c r="J685" s="1455"/>
      <c r="K685" s="1455"/>
      <c r="L685" s="1455"/>
      <c r="M685" s="1455"/>
      <c r="N685" s="1455"/>
      <c r="O685" s="1455"/>
      <c r="P685" s="134"/>
    </row>
    <row r="686" spans="1:16" ht="12.75" customHeight="1" x14ac:dyDescent="0.25">
      <c r="A686" s="1442"/>
      <c r="D686" s="1564">
        <v>604901</v>
      </c>
      <c r="I686" s="134"/>
      <c r="J686" s="1830">
        <v>2025</v>
      </c>
      <c r="K686" s="1830">
        <v>2026</v>
      </c>
      <c r="L686" s="1830">
        <v>2027</v>
      </c>
      <c r="M686" s="1830">
        <v>2028</v>
      </c>
      <c r="N686" s="1830">
        <v>2029</v>
      </c>
      <c r="O686" s="1830">
        <v>2030</v>
      </c>
      <c r="P686" s="134"/>
    </row>
    <row r="687" spans="1:16" ht="12.75" customHeight="1" x14ac:dyDescent="0.25">
      <c r="A687" s="1442"/>
      <c r="D687" s="1437"/>
      <c r="E687" s="549" t="s">
        <v>1388</v>
      </c>
      <c r="I687" s="134"/>
      <c r="J687" s="134"/>
      <c r="K687" s="134"/>
      <c r="L687" s="134"/>
      <c r="M687" s="134"/>
      <c r="N687" s="134"/>
      <c r="O687" s="134"/>
      <c r="P687" s="134"/>
    </row>
    <row r="688" spans="1:16" ht="12.75" customHeight="1" x14ac:dyDescent="0.25">
      <c r="A688" s="1442"/>
      <c r="D688" s="1437">
        <v>41100</v>
      </c>
      <c r="E688" s="1434" t="s">
        <v>1389</v>
      </c>
      <c r="I688" s="134"/>
      <c r="J688" s="134">
        <v>32696.98</v>
      </c>
      <c r="K688" s="134">
        <v>13377</v>
      </c>
      <c r="L688" s="134">
        <f>L799</f>
        <v>13939</v>
      </c>
      <c r="M688" s="134">
        <f>M799</f>
        <v>14455</v>
      </c>
      <c r="N688" s="134">
        <f>N799</f>
        <v>14990</v>
      </c>
      <c r="O688" s="134">
        <f>O799</f>
        <v>15545</v>
      </c>
      <c r="P688" s="134"/>
    </row>
    <row r="689" spans="1:20" ht="12.75" customHeight="1" x14ac:dyDescent="0.25">
      <c r="A689" s="1442"/>
      <c r="D689" s="1437">
        <v>41100</v>
      </c>
      <c r="E689" s="1434" t="s">
        <v>1390</v>
      </c>
      <c r="I689" s="134"/>
      <c r="J689" s="134">
        <v>2612114</v>
      </c>
      <c r="K689" s="134">
        <v>2652689.1799999997</v>
      </c>
      <c r="L689" s="134">
        <f>L817</f>
        <v>2764102</v>
      </c>
      <c r="M689" s="134">
        <f>M817</f>
        <v>2866374</v>
      </c>
      <c r="N689" s="134">
        <f>N817</f>
        <v>2972430</v>
      </c>
      <c r="O689" s="134">
        <f>O817</f>
        <v>3082410</v>
      </c>
      <c r="P689" s="134"/>
    </row>
    <row r="690" spans="1:20" ht="12.75" customHeight="1" x14ac:dyDescent="0.25">
      <c r="A690" s="1442"/>
      <c r="D690" s="1437">
        <v>41100</v>
      </c>
      <c r="E690" s="1434" t="str">
        <f>+E810</f>
        <v>Cluster managementondersteuning &amp; bestuurssecretariaat</v>
      </c>
      <c r="I690" s="134"/>
      <c r="J690" s="134">
        <v>486565.79000000004</v>
      </c>
      <c r="K690" s="134">
        <v>480241.74</v>
      </c>
      <c r="L690" s="134">
        <f>L813</f>
        <v>500412</v>
      </c>
      <c r="M690" s="134">
        <f>M813</f>
        <v>518927</v>
      </c>
      <c r="N690" s="134">
        <f>N813</f>
        <v>538128</v>
      </c>
      <c r="O690" s="134">
        <f>O813</f>
        <v>558039</v>
      </c>
      <c r="P690" s="134"/>
    </row>
    <row r="691" spans="1:20" ht="12.75" customHeight="1" x14ac:dyDescent="0.25">
      <c r="A691" s="1442"/>
      <c r="D691" s="1437">
        <v>41100</v>
      </c>
      <c r="E691" s="1434" t="str">
        <f>+E749</f>
        <v>Cluster HR</v>
      </c>
      <c r="I691" s="134"/>
      <c r="J691" s="134">
        <v>652629.77</v>
      </c>
      <c r="K691" s="134">
        <v>552771.9</v>
      </c>
      <c r="L691" s="134">
        <f>L755</f>
        <v>572641</v>
      </c>
      <c r="M691" s="134">
        <f>M755</f>
        <v>511180</v>
      </c>
      <c r="N691" s="134">
        <f>N755</f>
        <v>530094</v>
      </c>
      <c r="O691" s="134">
        <f>O755</f>
        <v>549707</v>
      </c>
      <c r="P691" s="134"/>
    </row>
    <row r="692" spans="1:20" ht="12.75" customHeight="1" x14ac:dyDescent="0.25">
      <c r="A692" s="1442"/>
      <c r="D692" s="1437">
        <v>41100</v>
      </c>
      <c r="E692" s="1434" t="str">
        <f>+E769</f>
        <v>Cluster belastingen</v>
      </c>
      <c r="I692" s="134"/>
      <c r="J692" s="134">
        <v>152453.75</v>
      </c>
      <c r="K692" s="134">
        <v>157491</v>
      </c>
      <c r="L692" s="134">
        <f>L771</f>
        <v>164106</v>
      </c>
      <c r="M692" s="134">
        <f>M771</f>
        <v>170178</v>
      </c>
      <c r="N692" s="134">
        <f>N771</f>
        <v>176475</v>
      </c>
      <c r="O692" s="134">
        <f>O771</f>
        <v>183005</v>
      </c>
      <c r="P692" s="134"/>
    </row>
    <row r="693" spans="1:20" ht="12.75" customHeight="1" x14ac:dyDescent="0.25">
      <c r="A693" s="1442"/>
      <c r="D693" s="1437">
        <v>41100</v>
      </c>
      <c r="E693" s="1434" t="str">
        <f>+E765</f>
        <v>Cluster Financiën</v>
      </c>
      <c r="I693" s="134"/>
      <c r="J693" s="134">
        <v>947045</v>
      </c>
      <c r="K693" s="134">
        <v>981265.8</v>
      </c>
      <c r="L693" s="134">
        <f>L767</f>
        <v>1022479</v>
      </c>
      <c r="M693" s="134">
        <f>M767</f>
        <v>1060311</v>
      </c>
      <c r="N693" s="134">
        <f>N767</f>
        <v>1099543</v>
      </c>
      <c r="O693" s="134">
        <f>O767</f>
        <v>1140226</v>
      </c>
      <c r="P693" s="134"/>
    </row>
    <row r="694" spans="1:20" ht="12.75" customHeight="1" x14ac:dyDescent="0.25">
      <c r="A694" s="1442"/>
      <c r="D694" s="1437">
        <v>41100</v>
      </c>
      <c r="E694" s="1434" t="str">
        <f>+E761</f>
        <v>Cluster Communicatie &amp; participatie</v>
      </c>
      <c r="I694" s="134"/>
      <c r="J694" s="134">
        <v>781287.72</v>
      </c>
      <c r="K694" s="134">
        <v>811474.06</v>
      </c>
      <c r="L694" s="134">
        <f>L763</f>
        <v>845556</v>
      </c>
      <c r="M694" s="134">
        <f>M763</f>
        <v>876842</v>
      </c>
      <c r="N694" s="134">
        <f>N763</f>
        <v>909285</v>
      </c>
      <c r="O694" s="134">
        <f>O763</f>
        <v>942929</v>
      </c>
      <c r="P694" s="134"/>
    </row>
    <row r="695" spans="1:20" ht="12.75" customHeight="1" x14ac:dyDescent="0.25">
      <c r="A695" s="1442"/>
      <c r="D695" s="1437">
        <v>41100</v>
      </c>
      <c r="E695" s="1434" t="str">
        <f>+E757</f>
        <v xml:space="preserve">Cluster Juridische Zaken </v>
      </c>
      <c r="I695" s="134"/>
      <c r="J695" s="134">
        <v>315144</v>
      </c>
      <c r="K695" s="134">
        <v>306479.06</v>
      </c>
      <c r="L695" s="134">
        <f>L759</f>
        <v>319351</v>
      </c>
      <c r="M695" s="134">
        <f>M759</f>
        <v>331167</v>
      </c>
      <c r="N695" s="134">
        <f>N759</f>
        <v>343420</v>
      </c>
      <c r="O695" s="134">
        <f>O759</f>
        <v>356127</v>
      </c>
      <c r="P695" s="134"/>
    </row>
    <row r="696" spans="1:20" ht="12.75" customHeight="1" x14ac:dyDescent="0.25">
      <c r="A696" s="1442"/>
      <c r="D696" s="1437">
        <v>41100</v>
      </c>
      <c r="E696" s="1434" t="str">
        <f>+E773</f>
        <v>Cluster kwaliteit</v>
      </c>
      <c r="I696" s="134"/>
      <c r="J696" s="134">
        <v>142404</v>
      </c>
      <c r="K696" s="134">
        <v>150097</v>
      </c>
      <c r="L696" s="134">
        <f>L775</f>
        <v>156401</v>
      </c>
      <c r="M696" s="134">
        <f>M775</f>
        <v>162188</v>
      </c>
      <c r="N696" s="134">
        <f>N775</f>
        <v>168189</v>
      </c>
      <c r="O696" s="134">
        <f>O775</f>
        <v>174412</v>
      </c>
      <c r="P696" s="134"/>
    </row>
    <row r="697" spans="1:20" ht="12.75" customHeight="1" x14ac:dyDescent="0.25">
      <c r="A697" s="1442"/>
      <c r="D697" s="1437">
        <v>41100</v>
      </c>
      <c r="E697" s="1434" t="str">
        <f>+E777</f>
        <v>Cluster Dienstverlening</v>
      </c>
      <c r="I697" s="134"/>
      <c r="J697" s="134">
        <v>275565</v>
      </c>
      <c r="K697" s="134">
        <v>283047.8</v>
      </c>
      <c r="L697" s="134">
        <f>+L778</f>
        <v>294936</v>
      </c>
      <c r="M697" s="134">
        <f>+M778</f>
        <v>305849</v>
      </c>
      <c r="N697" s="134">
        <f>+N778</f>
        <v>317165</v>
      </c>
      <c r="O697" s="134">
        <f>+O778</f>
        <v>328900</v>
      </c>
      <c r="P697" s="134"/>
    </row>
    <row r="698" spans="1:20" ht="12.75" customHeight="1" x14ac:dyDescent="0.25">
      <c r="A698" s="1442"/>
      <c r="D698" s="1565">
        <v>41100</v>
      </c>
      <c r="E698" s="1434" t="s">
        <v>1124</v>
      </c>
      <c r="I698" s="134"/>
      <c r="J698" s="134">
        <v>415454.36</v>
      </c>
      <c r="K698" s="134">
        <v>396503.29000000004</v>
      </c>
      <c r="L698" s="134">
        <f>L740</f>
        <v>413156</v>
      </c>
      <c r="M698" s="134">
        <f>M740</f>
        <v>428443</v>
      </c>
      <c r="N698" s="134">
        <f>N740</f>
        <v>444295</v>
      </c>
      <c r="O698" s="134">
        <f>O740</f>
        <v>460734</v>
      </c>
      <c r="P698" s="134"/>
    </row>
    <row r="699" spans="1:20" ht="12.75" customHeight="1" x14ac:dyDescent="0.25">
      <c r="A699" s="1442"/>
      <c r="D699" s="1566">
        <v>41100</v>
      </c>
      <c r="E699" s="1434" t="s">
        <v>1125</v>
      </c>
      <c r="I699" s="134"/>
      <c r="J699" s="134">
        <v>120843</v>
      </c>
      <c r="K699" s="134">
        <v>125385</v>
      </c>
      <c r="L699" s="134">
        <f>L830</f>
        <v>130651</v>
      </c>
      <c r="M699" s="134">
        <f>M830</f>
        <v>135486</v>
      </c>
      <c r="N699" s="134">
        <f>N830</f>
        <v>140499</v>
      </c>
      <c r="O699" s="134">
        <f>O830</f>
        <v>145698</v>
      </c>
      <c r="P699" s="134"/>
    </row>
    <row r="700" spans="1:20" ht="12.75" customHeight="1" x14ac:dyDescent="0.25">
      <c r="A700" s="1442"/>
      <c r="D700" s="1566">
        <v>41100</v>
      </c>
      <c r="E700" s="1434" t="str">
        <f>+E801</f>
        <v>Domein Omgeving</v>
      </c>
      <c r="I700" s="134"/>
      <c r="J700" s="134">
        <v>851269.11</v>
      </c>
      <c r="K700" s="134">
        <v>961982.81</v>
      </c>
      <c r="L700" s="134">
        <f>L808</f>
        <v>1002387</v>
      </c>
      <c r="M700" s="134">
        <f>M808</f>
        <v>1039475</v>
      </c>
      <c r="N700" s="134">
        <f>N808</f>
        <v>1077935</v>
      </c>
      <c r="O700" s="134">
        <f>O808</f>
        <v>1117818</v>
      </c>
      <c r="P700" s="134"/>
    </row>
    <row r="701" spans="1:20" ht="12.75" customHeight="1" x14ac:dyDescent="0.25">
      <c r="A701" s="1442"/>
      <c r="D701" s="1566">
        <v>41100</v>
      </c>
      <c r="E701" s="1434" t="str">
        <f>+E781</f>
        <v>Domein samenleving</v>
      </c>
      <c r="I701" s="134"/>
      <c r="J701" s="134">
        <v>1022736.7000000001</v>
      </c>
      <c r="K701" s="134">
        <v>1053355.3700000001</v>
      </c>
      <c r="L701" s="134">
        <f>L787</f>
        <v>1097597</v>
      </c>
      <c r="M701" s="134">
        <f>M787</f>
        <v>1138207</v>
      </c>
      <c r="N701" s="134">
        <f>N787</f>
        <v>1180321</v>
      </c>
      <c r="O701" s="134">
        <f>O787</f>
        <v>1223993</v>
      </c>
      <c r="P701" s="134"/>
      <c r="T701" s="124"/>
    </row>
    <row r="702" spans="1:20" ht="12.75" customHeight="1" x14ac:dyDescent="0.25">
      <c r="A702" s="1442"/>
      <c r="D702" s="1437">
        <v>41100</v>
      </c>
      <c r="E702" s="1434" t="str">
        <f>+E742</f>
        <v>Domein Bedrijfsvoering</v>
      </c>
      <c r="I702" s="134"/>
      <c r="J702" s="134">
        <v>397866.98</v>
      </c>
      <c r="K702" s="134">
        <v>411801</v>
      </c>
      <c r="L702" s="134">
        <f>L747</f>
        <v>429097</v>
      </c>
      <c r="M702" s="134">
        <f>M747</f>
        <v>444974</v>
      </c>
      <c r="N702" s="134">
        <f>N747</f>
        <v>461438</v>
      </c>
      <c r="O702" s="134">
        <f>O747</f>
        <v>478511</v>
      </c>
      <c r="P702" s="134"/>
      <c r="R702" s="124"/>
      <c r="S702" s="124"/>
      <c r="T702" s="124"/>
    </row>
    <row r="703" spans="1:20" ht="12.75" customHeight="1" x14ac:dyDescent="0.25">
      <c r="A703" s="1442"/>
      <c r="D703" s="1437">
        <v>41100</v>
      </c>
      <c r="E703" s="1434" t="s">
        <v>1391</v>
      </c>
      <c r="F703" s="1434"/>
      <c r="K703" s="134">
        <v>-200000</v>
      </c>
      <c r="L703" s="134">
        <v>-200000</v>
      </c>
      <c r="M703" s="134">
        <v>-200000</v>
      </c>
      <c r="N703" s="134">
        <v>-200000</v>
      </c>
      <c r="O703" s="134">
        <v>-200000</v>
      </c>
      <c r="P703" s="134" t="s">
        <v>1392</v>
      </c>
      <c r="R703" s="124"/>
      <c r="S703" s="124"/>
      <c r="T703" s="22"/>
    </row>
    <row r="704" spans="1:20" ht="12.75" customHeight="1" x14ac:dyDescent="0.25">
      <c r="A704" s="1442"/>
      <c r="D704" s="1437">
        <v>41100</v>
      </c>
      <c r="E704" s="1434" t="s">
        <v>1393</v>
      </c>
      <c r="F704" s="1434"/>
      <c r="K704" s="134">
        <v>0</v>
      </c>
      <c r="L704" s="134">
        <v>78000</v>
      </c>
      <c r="M704" s="134"/>
      <c r="N704" s="134"/>
      <c r="O704" s="134"/>
      <c r="P704" s="134"/>
      <c r="R704" s="124"/>
      <c r="S704" s="124"/>
      <c r="T704" s="22"/>
    </row>
    <row r="705" spans="1:20" ht="12.75" customHeight="1" x14ac:dyDescent="0.25">
      <c r="A705" s="1442"/>
      <c r="D705" s="1434"/>
      <c r="E705" s="545" t="s">
        <v>1394</v>
      </c>
      <c r="I705" s="134"/>
      <c r="J705" s="1831">
        <v>9206076.1600000001</v>
      </c>
      <c r="K705" s="1831">
        <v>9137962.0099999979</v>
      </c>
      <c r="L705" s="1831">
        <f t="shared" ref="L705:N705" si="65">SUM(L688:L704)</f>
        <v>9604811</v>
      </c>
      <c r="M705" s="1831">
        <f t="shared" si="65"/>
        <v>9804056</v>
      </c>
      <c r="N705" s="1831">
        <f t="shared" si="65"/>
        <v>10174207</v>
      </c>
      <c r="O705" s="1831">
        <f t="shared" ref="O705" si="66">SUM(O688:O704)</f>
        <v>10558054</v>
      </c>
      <c r="P705" s="134"/>
      <c r="R705" s="124"/>
      <c r="S705" s="124"/>
      <c r="T705" s="22"/>
    </row>
    <row r="706" spans="1:20" ht="12.75" customHeight="1" x14ac:dyDescent="0.25">
      <c r="A706" s="1442"/>
      <c r="D706" s="1434"/>
      <c r="E706" s="1434"/>
      <c r="I706" s="134"/>
      <c r="J706" s="134"/>
      <c r="K706" s="134"/>
      <c r="L706" s="134"/>
      <c r="M706" s="134"/>
      <c r="N706" s="134"/>
      <c r="O706" s="134"/>
      <c r="P706" s="134"/>
      <c r="R706" s="124"/>
      <c r="S706" s="124"/>
      <c r="T706" s="22"/>
    </row>
    <row r="707" spans="1:20" ht="12.75" customHeight="1" x14ac:dyDescent="0.25">
      <c r="A707" s="1442"/>
      <c r="D707" s="1434"/>
      <c r="E707" s="549" t="s">
        <v>1140</v>
      </c>
      <c r="I707" s="134"/>
      <c r="J707" s="134"/>
      <c r="K707" s="134"/>
      <c r="L707" s="134"/>
      <c r="M707" s="134"/>
      <c r="N707" s="134"/>
      <c r="O707" s="134"/>
      <c r="P707" s="134"/>
      <c r="R707" s="124"/>
      <c r="S707" s="124"/>
      <c r="T707" s="22"/>
    </row>
    <row r="708" spans="1:20" ht="12.75" customHeight="1" x14ac:dyDescent="0.25">
      <c r="A708" s="1442"/>
      <c r="D708" s="1437">
        <v>41100</v>
      </c>
      <c r="E708" s="1434" t="s">
        <v>1141</v>
      </c>
      <c r="I708" s="134"/>
      <c r="J708" s="134">
        <v>8931</v>
      </c>
      <c r="K708" s="134">
        <v>8918</v>
      </c>
      <c r="L708" s="134">
        <f>L791</f>
        <v>9293</v>
      </c>
      <c r="M708" s="134">
        <f>M791</f>
        <v>9637</v>
      </c>
      <c r="N708" s="134">
        <f>N791</f>
        <v>9994</v>
      </c>
      <c r="O708" s="134">
        <f>O791</f>
        <v>10364</v>
      </c>
      <c r="P708" s="134"/>
      <c r="R708" s="124"/>
      <c r="S708" s="124"/>
      <c r="T708" s="20"/>
    </row>
    <row r="709" spans="1:20" ht="12.75" customHeight="1" x14ac:dyDescent="0.25">
      <c r="A709" s="1442"/>
      <c r="D709" s="1437">
        <v>41100</v>
      </c>
      <c r="E709" s="1434" t="s">
        <v>1143</v>
      </c>
      <c r="I709" s="134"/>
      <c r="J709" s="134">
        <v>10369.98</v>
      </c>
      <c r="K709" s="134">
        <v>12280.7</v>
      </c>
      <c r="L709" s="134">
        <f>L795</f>
        <v>12796</v>
      </c>
      <c r="M709" s="134">
        <f>M795</f>
        <v>13269</v>
      </c>
      <c r="N709" s="134">
        <f>N795</f>
        <v>13760</v>
      </c>
      <c r="O709" s="134">
        <f>O795</f>
        <v>14269</v>
      </c>
      <c r="P709" s="134"/>
      <c r="T709" s="20"/>
    </row>
    <row r="710" spans="1:20" ht="12.75" customHeight="1" x14ac:dyDescent="0.25">
      <c r="A710" s="1442"/>
      <c r="D710" s="1437">
        <v>41100</v>
      </c>
      <c r="E710" s="1434" t="s">
        <v>1395</v>
      </c>
      <c r="I710" s="124">
        <v>0.28999999999999998</v>
      </c>
      <c r="J710" s="134">
        <v>-5597.2841999999991</v>
      </c>
      <c r="K710" s="134">
        <v>-6147.6229999999996</v>
      </c>
      <c r="L710" s="134">
        <f t="shared" ref="L710:O712" si="67">SUM(L$708:L$709)*-$I710</f>
        <v>-6405.8099999999995</v>
      </c>
      <c r="M710" s="134">
        <f t="shared" si="67"/>
        <v>-6642.74</v>
      </c>
      <c r="N710" s="134">
        <f t="shared" si="67"/>
        <v>-6888.66</v>
      </c>
      <c r="O710" s="134">
        <f t="shared" si="67"/>
        <v>-7143.57</v>
      </c>
      <c r="P710" s="134"/>
    </row>
    <row r="711" spans="1:20" ht="12.75" customHeight="1" x14ac:dyDescent="0.25">
      <c r="A711" s="1442"/>
      <c r="D711" s="1437">
        <v>41100</v>
      </c>
      <c r="E711" s="1434" t="s">
        <v>1396</v>
      </c>
      <c r="I711" s="124">
        <v>0.38</v>
      </c>
      <c r="J711" s="134">
        <v>-7334.3724000000002</v>
      </c>
      <c r="K711" s="134">
        <v>-8055.5060000000003</v>
      </c>
      <c r="L711" s="134">
        <f t="shared" si="67"/>
        <v>-8393.82</v>
      </c>
      <c r="M711" s="134">
        <f t="shared" si="67"/>
        <v>-8704.2800000000007</v>
      </c>
      <c r="N711" s="134">
        <f t="shared" si="67"/>
        <v>-9026.52</v>
      </c>
      <c r="O711" s="134">
        <f t="shared" si="67"/>
        <v>-9360.5400000000009</v>
      </c>
      <c r="P711" s="134"/>
    </row>
    <row r="712" spans="1:20" ht="12.75" customHeight="1" x14ac:dyDescent="0.25">
      <c r="A712" s="1442"/>
      <c r="D712" s="1437">
        <v>41100</v>
      </c>
      <c r="E712" s="1434" t="s">
        <v>1397</v>
      </c>
      <c r="I712" s="124">
        <v>0.33</v>
      </c>
      <c r="J712" s="134">
        <v>-6369.3234000000002</v>
      </c>
      <c r="K712" s="134">
        <v>-6995.5710000000008</v>
      </c>
      <c r="L712" s="134">
        <f t="shared" si="67"/>
        <v>-7289.37</v>
      </c>
      <c r="M712" s="134">
        <f t="shared" si="67"/>
        <v>-7558.9800000000005</v>
      </c>
      <c r="N712" s="134">
        <f t="shared" si="67"/>
        <v>-7838.8200000000006</v>
      </c>
      <c r="O712" s="134">
        <f t="shared" si="67"/>
        <v>-8128.89</v>
      </c>
      <c r="P712" s="134"/>
    </row>
    <row r="713" spans="1:20" ht="12.75" customHeight="1" x14ac:dyDescent="0.25">
      <c r="A713" s="1442"/>
      <c r="D713" s="1437"/>
      <c r="E713" s="545" t="s">
        <v>1149</v>
      </c>
      <c r="I713" s="134"/>
      <c r="J713" s="1831">
        <v>0</v>
      </c>
      <c r="K713" s="1831">
        <v>0</v>
      </c>
      <c r="L713" s="1831">
        <f>SUM(L708:L712)</f>
        <v>0</v>
      </c>
      <c r="M713" s="1831">
        <f>SUM(M708:M712)</f>
        <v>0</v>
      </c>
      <c r="N713" s="1831">
        <f>SUM(N708:N712)</f>
        <v>0</v>
      </c>
      <c r="O713" s="1831">
        <f>SUM(O708:O712)</f>
        <v>0</v>
      </c>
      <c r="P713" s="134"/>
    </row>
    <row r="714" spans="1:20" ht="12.75" customHeight="1" x14ac:dyDescent="0.25">
      <c r="A714" s="1442"/>
      <c r="D714" s="1437"/>
      <c r="E714" s="1434"/>
      <c r="I714" s="134"/>
      <c r="J714" s="134"/>
      <c r="K714" s="134"/>
      <c r="L714" s="134"/>
      <c r="M714" s="134"/>
      <c r="N714" s="134"/>
      <c r="O714" s="134"/>
      <c r="P714" s="134"/>
    </row>
    <row r="715" spans="1:20" ht="12.75" customHeight="1" x14ac:dyDescent="0.25">
      <c r="A715" s="1442"/>
      <c r="D715" s="1472">
        <v>604901</v>
      </c>
      <c r="E715" s="549" t="s">
        <v>1134</v>
      </c>
      <c r="I715" s="134"/>
      <c r="J715" s="134"/>
      <c r="K715" s="134"/>
      <c r="L715" s="134"/>
      <c r="M715" s="134"/>
      <c r="N715" s="134"/>
      <c r="O715" s="134"/>
      <c r="P715" s="134"/>
    </row>
    <row r="716" spans="1:20" ht="12.75" customHeight="1" x14ac:dyDescent="0.25">
      <c r="A716" s="1442"/>
      <c r="D716" s="1437">
        <v>43511</v>
      </c>
      <c r="E716" s="1502" t="s">
        <v>1398</v>
      </c>
      <c r="I716" s="134"/>
      <c r="J716" s="1471"/>
      <c r="K716" s="1471"/>
      <c r="L716" s="1471"/>
      <c r="M716" s="1471"/>
      <c r="N716" s="1471"/>
      <c r="O716" s="1471"/>
      <c r="P716" s="134"/>
    </row>
    <row r="717" spans="1:20" ht="12.75" customHeight="1" x14ac:dyDescent="0.25">
      <c r="A717" s="1442"/>
      <c r="D717" s="1437"/>
      <c r="E717" s="1434" t="s">
        <v>1399</v>
      </c>
      <c r="I717" s="134"/>
      <c r="J717" s="138">
        <v>100000</v>
      </c>
      <c r="K717" s="1471"/>
      <c r="L717" s="1471"/>
      <c r="M717" s="1471"/>
      <c r="N717" s="1471"/>
      <c r="O717" s="1471"/>
      <c r="P717" s="134"/>
    </row>
    <row r="718" spans="1:20" ht="12.75" customHeight="1" x14ac:dyDescent="0.25">
      <c r="A718" s="1442"/>
      <c r="D718" s="1472"/>
      <c r="E718" s="1434" t="s">
        <v>1400</v>
      </c>
      <c r="I718" s="134"/>
      <c r="J718" s="138"/>
      <c r="K718" s="1471"/>
      <c r="L718" s="1471"/>
      <c r="M718" s="1471"/>
      <c r="N718" s="1471"/>
      <c r="O718" s="1471"/>
      <c r="P718" s="134"/>
    </row>
    <row r="719" spans="1:20" ht="12.75" customHeight="1" x14ac:dyDescent="0.25">
      <c r="A719" s="1442"/>
      <c r="D719" s="1442"/>
      <c r="E719" s="1434" t="s">
        <v>1401</v>
      </c>
      <c r="I719" s="134"/>
      <c r="J719" s="138">
        <v>50000</v>
      </c>
      <c r="K719" s="1471"/>
      <c r="L719" s="1471"/>
      <c r="M719" s="1471"/>
      <c r="N719" s="1471"/>
      <c r="O719" s="1471"/>
      <c r="P719" s="134"/>
    </row>
    <row r="720" spans="1:20" ht="12.75" customHeight="1" x14ac:dyDescent="0.25">
      <c r="A720" s="1442"/>
      <c r="D720" s="1434"/>
      <c r="E720" s="1434" t="s">
        <v>1402</v>
      </c>
      <c r="I720" s="134"/>
      <c r="J720" s="138">
        <v>-50000</v>
      </c>
      <c r="K720" s="1471"/>
      <c r="L720" s="1471"/>
      <c r="M720" s="1471"/>
      <c r="N720" s="1471"/>
      <c r="O720" s="1471"/>
      <c r="P720" s="134"/>
    </row>
    <row r="721" spans="1:27" ht="12.75" customHeight="1" x14ac:dyDescent="0.25">
      <c r="A721" s="1442"/>
      <c r="D721" s="1472"/>
      <c r="E721" s="1434" t="s">
        <v>1403</v>
      </c>
      <c r="I721" s="134"/>
      <c r="J721" s="138">
        <v>-75000</v>
      </c>
      <c r="K721" s="1471"/>
      <c r="L721" s="1471"/>
      <c r="M721" s="1471"/>
      <c r="N721" s="1471"/>
      <c r="O721" s="1471"/>
      <c r="P721" s="134"/>
    </row>
    <row r="722" spans="1:27" ht="12.75" customHeight="1" x14ac:dyDescent="0.25">
      <c r="A722" s="1442"/>
      <c r="D722" s="1472"/>
      <c r="E722" s="1434" t="s">
        <v>1403</v>
      </c>
      <c r="I722" s="134"/>
      <c r="J722" s="138">
        <v>82000</v>
      </c>
      <c r="K722" s="1471"/>
      <c r="L722" s="1471"/>
      <c r="M722" s="1471"/>
      <c r="N722" s="1471"/>
      <c r="O722" s="1471"/>
      <c r="P722" s="134"/>
    </row>
    <row r="723" spans="1:27" ht="12.75" customHeight="1" x14ac:dyDescent="0.25">
      <c r="A723" s="1442"/>
      <c r="D723" s="1472"/>
      <c r="E723" s="549"/>
      <c r="I723" s="134"/>
      <c r="J723" s="1831">
        <v>107000</v>
      </c>
      <c r="K723" s="1831">
        <f>SUM(K716:K720)</f>
        <v>0</v>
      </c>
      <c r="L723" s="1831">
        <f>SUM(L716:L720)</f>
        <v>0</v>
      </c>
      <c r="M723" s="1831">
        <f>SUM(M716:M720)</f>
        <v>0</v>
      </c>
      <c r="N723" s="1831">
        <f>SUM(N716:N720)</f>
        <v>0</v>
      </c>
      <c r="O723" s="1831">
        <f>SUM(O716:O720)</f>
        <v>0</v>
      </c>
      <c r="P723" s="134"/>
    </row>
    <row r="724" spans="1:27" ht="12.75" customHeight="1" x14ac:dyDescent="0.25">
      <c r="A724" s="1442"/>
      <c r="D724" s="1442"/>
      <c r="E724" s="1434"/>
      <c r="I724" s="134"/>
      <c r="J724" s="134"/>
      <c r="K724" s="134"/>
      <c r="L724" s="134"/>
      <c r="M724" s="134"/>
      <c r="N724" s="134"/>
      <c r="O724" s="134"/>
      <c r="P724" s="134"/>
    </row>
    <row r="725" spans="1:27" s="2198" customFormat="1" ht="12.75" customHeight="1" x14ac:dyDescent="0.25">
      <c r="A725" s="2197"/>
      <c r="C725" s="2199"/>
      <c r="D725" s="2200">
        <v>43812</v>
      </c>
      <c r="E725" s="2198" t="s">
        <v>5317</v>
      </c>
      <c r="F725" s="2200"/>
      <c r="I725" s="2201"/>
      <c r="J725" s="2201"/>
      <c r="K725" s="2201">
        <v>117500</v>
      </c>
      <c r="L725" s="2201"/>
      <c r="M725" s="2201"/>
      <c r="N725" s="2201"/>
      <c r="O725" s="2201"/>
      <c r="P725" s="2201"/>
      <c r="Q725" s="2202"/>
      <c r="R725" s="2202"/>
      <c r="S725" s="2202"/>
      <c r="T725" s="2202"/>
      <c r="U725" s="2202"/>
      <c r="V725" s="2202"/>
      <c r="W725" s="2202"/>
      <c r="X725" s="2202"/>
      <c r="Y725" s="2202"/>
      <c r="Z725" s="2202"/>
      <c r="AA725" s="2202"/>
    </row>
    <row r="726" spans="1:27" ht="12.75" customHeight="1" thickBot="1" x14ac:dyDescent="0.3">
      <c r="A726" s="1442"/>
      <c r="D726" s="1442"/>
      <c r="E726" s="1434"/>
      <c r="I726" s="134"/>
      <c r="J726" s="2196">
        <f>SUM(J724:J725)</f>
        <v>0</v>
      </c>
      <c r="K726" s="2196">
        <f t="shared" ref="K726:O726" si="68">SUM(K724:K725)</f>
        <v>117500</v>
      </c>
      <c r="L726" s="2196">
        <f t="shared" si="68"/>
        <v>0</v>
      </c>
      <c r="M726" s="2196">
        <f t="shared" si="68"/>
        <v>0</v>
      </c>
      <c r="N726" s="2196">
        <f t="shared" si="68"/>
        <v>0</v>
      </c>
      <c r="O726" s="2196">
        <f t="shared" si="68"/>
        <v>0</v>
      </c>
      <c r="P726" s="134"/>
    </row>
    <row r="727" spans="1:27" ht="12.75" customHeight="1" thickTop="1" x14ac:dyDescent="0.25">
      <c r="A727" s="1442"/>
      <c r="D727" s="1442"/>
      <c r="E727" s="1434"/>
      <c r="I727" s="134"/>
      <c r="J727" s="134"/>
      <c r="K727" s="134"/>
      <c r="L727" s="134"/>
      <c r="M727" s="134"/>
      <c r="N727" s="134"/>
      <c r="O727" s="134"/>
      <c r="P727" s="134"/>
    </row>
    <row r="728" spans="1:27" ht="12.75" customHeight="1" x14ac:dyDescent="0.25">
      <c r="A728" s="1442"/>
      <c r="D728" s="1442"/>
      <c r="E728" s="1434"/>
      <c r="I728" s="134"/>
      <c r="J728" s="134"/>
      <c r="K728" s="134"/>
      <c r="L728" s="134"/>
      <c r="M728" s="134"/>
      <c r="N728" s="134"/>
      <c r="O728" s="134"/>
      <c r="P728" s="134"/>
    </row>
    <row r="729" spans="1:27" s="2198" customFormat="1" ht="12.75" customHeight="1" x14ac:dyDescent="0.25">
      <c r="A729" s="2197"/>
      <c r="C729" s="2199"/>
      <c r="D729" s="2200">
        <v>83800</v>
      </c>
      <c r="E729" s="2198" t="s">
        <v>5316</v>
      </c>
      <c r="F729" s="2203" t="s">
        <v>5318</v>
      </c>
      <c r="I729" s="2201"/>
      <c r="J729" s="2201"/>
      <c r="K729" s="2201">
        <v>-359500</v>
      </c>
      <c r="L729" s="2201">
        <v>-359500</v>
      </c>
      <c r="M729" s="2201"/>
      <c r="N729" s="2201"/>
      <c r="O729" s="2201"/>
      <c r="P729" s="2201"/>
      <c r="Q729" s="2202"/>
      <c r="R729" s="2202"/>
      <c r="S729" s="2202"/>
      <c r="T729" s="2202"/>
      <c r="U729" s="2202"/>
      <c r="V729" s="2202"/>
      <c r="W729" s="2202"/>
      <c r="X729" s="2202"/>
      <c r="Y729" s="2202"/>
      <c r="Z729" s="2202"/>
      <c r="AA729" s="2202"/>
    </row>
    <row r="730" spans="1:27" ht="12.75" customHeight="1" thickBot="1" x14ac:dyDescent="0.3">
      <c r="A730" s="1442"/>
      <c r="D730" s="1442"/>
      <c r="E730" s="1434"/>
      <c r="I730" s="134"/>
      <c r="J730" s="2196">
        <f>SUM(J728:J729)</f>
        <v>0</v>
      </c>
      <c r="K730" s="2196">
        <f t="shared" ref="K730:O730" si="69">SUM(K728:K729)</f>
        <v>-359500</v>
      </c>
      <c r="L730" s="2196">
        <f t="shared" si="69"/>
        <v>-359500</v>
      </c>
      <c r="M730" s="2196">
        <f t="shared" si="69"/>
        <v>0</v>
      </c>
      <c r="N730" s="2196">
        <f t="shared" si="69"/>
        <v>0</v>
      </c>
      <c r="O730" s="2196">
        <f t="shared" si="69"/>
        <v>0</v>
      </c>
      <c r="P730" s="134"/>
    </row>
    <row r="731" spans="1:27" ht="12.75" customHeight="1" thickTop="1" x14ac:dyDescent="0.25">
      <c r="A731" s="1442"/>
      <c r="D731" s="1442"/>
      <c r="E731" s="1434"/>
      <c r="I731" s="134"/>
      <c r="J731" s="134"/>
      <c r="K731" s="134"/>
      <c r="L731" s="134"/>
      <c r="M731" s="134"/>
      <c r="N731" s="134"/>
      <c r="O731" s="134"/>
      <c r="P731" s="134"/>
    </row>
    <row r="732" spans="1:27" ht="12.75" customHeight="1" x14ac:dyDescent="0.25">
      <c r="A732" s="1442"/>
      <c r="D732" s="1442"/>
      <c r="E732" s="1434"/>
      <c r="I732" s="134"/>
      <c r="J732" s="134"/>
      <c r="K732" s="134"/>
      <c r="L732" s="134"/>
      <c r="M732" s="134"/>
      <c r="N732" s="134"/>
      <c r="O732" s="134"/>
      <c r="P732" s="134"/>
    </row>
    <row r="733" spans="1:27" ht="12.75" customHeight="1" x14ac:dyDescent="0.25">
      <c r="A733" s="1442"/>
      <c r="D733" s="1442"/>
      <c r="E733" s="1434"/>
      <c r="I733" s="134"/>
      <c r="J733" s="134"/>
      <c r="K733" s="134"/>
      <c r="L733" s="134"/>
      <c r="M733" s="134"/>
      <c r="N733" s="134"/>
      <c r="O733" s="134"/>
      <c r="P733" s="134"/>
    </row>
    <row r="734" spans="1:27" ht="12.75" customHeight="1" x14ac:dyDescent="0.25">
      <c r="A734" s="1442"/>
      <c r="D734" s="1442" t="s">
        <v>923</v>
      </c>
      <c r="E734" s="549" t="s">
        <v>1134</v>
      </c>
      <c r="I734" s="134"/>
      <c r="J734" s="134"/>
      <c r="K734" s="134"/>
      <c r="L734" s="134"/>
      <c r="M734" s="134"/>
      <c r="N734" s="134"/>
      <c r="O734" s="134"/>
      <c r="P734" s="134"/>
    </row>
    <row r="735" spans="1:27" ht="12.75" customHeight="1" x14ac:dyDescent="0.25">
      <c r="A735" s="1442"/>
      <c r="D735" s="1442"/>
      <c r="E735" s="549"/>
      <c r="I735" s="134"/>
      <c r="J735" s="1471"/>
      <c r="K735" s="1471"/>
      <c r="L735" s="1471"/>
      <c r="M735" s="1471"/>
      <c r="N735" s="1471"/>
      <c r="O735" s="1471"/>
      <c r="P735" s="134"/>
    </row>
    <row r="736" spans="1:27" ht="12.75" customHeight="1" x14ac:dyDescent="0.25">
      <c r="A736" s="1442"/>
      <c r="D736" s="1442"/>
      <c r="E736" s="549" t="s">
        <v>1404</v>
      </c>
      <c r="I736" s="134"/>
      <c r="J736" s="1471"/>
      <c r="K736" s="1471"/>
      <c r="L736" s="1471"/>
      <c r="M736" s="1471"/>
      <c r="N736" s="1471"/>
      <c r="O736" s="1471"/>
      <c r="P736" s="134"/>
    </row>
    <row r="737" spans="1:16" ht="12.75" customHeight="1" x14ac:dyDescent="0.25">
      <c r="A737" s="1442"/>
      <c r="D737" s="1442"/>
      <c r="E737" s="549"/>
      <c r="I737" s="134"/>
      <c r="J737" s="1471"/>
      <c r="K737" s="1471"/>
      <c r="L737" s="1471"/>
      <c r="M737" s="1471"/>
      <c r="N737" s="1471"/>
      <c r="O737" s="1471"/>
      <c r="P737" s="134"/>
    </row>
    <row r="738" spans="1:16" ht="12.75" customHeight="1" x14ac:dyDescent="0.25">
      <c r="A738" s="1442"/>
      <c r="D738" s="1442"/>
      <c r="E738" s="549" t="s">
        <v>1124</v>
      </c>
      <c r="I738" s="134"/>
      <c r="J738" s="1471"/>
      <c r="K738" s="1471"/>
      <c r="L738" s="1471"/>
      <c r="M738" s="1471"/>
      <c r="N738" s="1471"/>
      <c r="O738" s="1471"/>
      <c r="P738" s="134"/>
    </row>
    <row r="739" spans="1:16" ht="12.75" customHeight="1" x14ac:dyDescent="0.25">
      <c r="A739" s="1442"/>
      <c r="D739" s="1442"/>
      <c r="E739" s="1441" t="s">
        <v>1405</v>
      </c>
      <c r="I739" s="134"/>
      <c r="J739" s="134">
        <v>415454.36</v>
      </c>
      <c r="K739" s="134">
        <v>396503.29000000004</v>
      </c>
      <c r="L739" s="134">
        <f>ROUND(K739*T$3,0)</f>
        <v>413156</v>
      </c>
      <c r="M739" s="134">
        <f>ROUND(L739*U$3,0)</f>
        <v>428443</v>
      </c>
      <c r="N739" s="134">
        <f>ROUND(M739*V$3,0)</f>
        <v>444295</v>
      </c>
      <c r="O739" s="134">
        <f>ROUND(N739*W$3,0)</f>
        <v>460734</v>
      </c>
      <c r="P739" s="134"/>
    </row>
    <row r="740" spans="1:16" ht="12.75" customHeight="1" x14ac:dyDescent="0.25">
      <c r="A740" s="1442"/>
      <c r="D740" s="1442"/>
      <c r="E740" s="549" t="s">
        <v>1406</v>
      </c>
      <c r="I740" s="134"/>
      <c r="J740" s="1831">
        <v>415454.36</v>
      </c>
      <c r="K740" s="1831">
        <v>396503.29000000004</v>
      </c>
      <c r="L740" s="1831">
        <f t="shared" ref="L740:M740" si="70">SUM(L739:L739)</f>
        <v>413156</v>
      </c>
      <c r="M740" s="1831">
        <f t="shared" si="70"/>
        <v>428443</v>
      </c>
      <c r="N740" s="1831">
        <f t="shared" ref="N740:O740" si="71">SUM(N739:N739)</f>
        <v>444295</v>
      </c>
      <c r="O740" s="1831">
        <f t="shared" si="71"/>
        <v>460734</v>
      </c>
      <c r="P740" s="134"/>
    </row>
    <row r="741" spans="1:16" ht="12.75" customHeight="1" x14ac:dyDescent="0.25">
      <c r="A741" s="1442"/>
      <c r="D741" s="1442"/>
      <c r="E741" s="549"/>
      <c r="I741" s="134"/>
      <c r="J741" s="1455"/>
      <c r="K741" s="1455"/>
      <c r="L741" s="1455"/>
      <c r="M741" s="1455"/>
      <c r="N741" s="1455"/>
      <c r="O741" s="1455"/>
      <c r="P741" s="134"/>
    </row>
    <row r="742" spans="1:16" ht="12.75" customHeight="1" x14ac:dyDescent="0.25">
      <c r="A742" s="1442"/>
      <c r="D742" s="1442"/>
      <c r="E742" s="549" t="s">
        <v>1407</v>
      </c>
      <c r="P742" s="134"/>
    </row>
    <row r="743" spans="1:16" ht="12.75" customHeight="1" x14ac:dyDescent="0.25">
      <c r="A743" s="1442"/>
      <c r="D743" s="1442"/>
      <c r="E743" s="1441" t="s">
        <v>1408</v>
      </c>
      <c r="I743" s="134"/>
      <c r="J743" s="134">
        <v>141747.98000000001</v>
      </c>
      <c r="K743" s="134">
        <v>143950.62</v>
      </c>
      <c r="L743" s="134">
        <f t="shared" ref="L743:O746" si="72">ROUND(K743*T$3,0)</f>
        <v>149997</v>
      </c>
      <c r="M743" s="134">
        <f t="shared" si="72"/>
        <v>155547</v>
      </c>
      <c r="N743" s="134">
        <f t="shared" si="72"/>
        <v>161302</v>
      </c>
      <c r="O743" s="134">
        <f t="shared" si="72"/>
        <v>167270</v>
      </c>
      <c r="P743" s="134"/>
    </row>
    <row r="744" spans="1:16" ht="12.75" customHeight="1" x14ac:dyDescent="0.25">
      <c r="A744" s="1442"/>
      <c r="D744" s="1442"/>
      <c r="E744" s="1441" t="s">
        <v>1409</v>
      </c>
      <c r="I744" s="134"/>
      <c r="J744" s="134">
        <v>131086</v>
      </c>
      <c r="K744" s="134">
        <v>135413.06</v>
      </c>
      <c r="L744" s="134">
        <f t="shared" si="72"/>
        <v>141100</v>
      </c>
      <c r="M744" s="134">
        <f t="shared" si="72"/>
        <v>146321</v>
      </c>
      <c r="N744" s="134">
        <f t="shared" si="72"/>
        <v>151735</v>
      </c>
      <c r="O744" s="134">
        <f t="shared" si="72"/>
        <v>157349</v>
      </c>
      <c r="P744" s="134"/>
    </row>
    <row r="745" spans="1:16" ht="12.75" customHeight="1" x14ac:dyDescent="0.25">
      <c r="A745" s="1442"/>
      <c r="D745" s="1442"/>
      <c r="E745" s="1441" t="s">
        <v>1410</v>
      </c>
      <c r="I745" s="134"/>
      <c r="J745" s="134">
        <v>125033</v>
      </c>
      <c r="K745" s="134">
        <v>132437.32</v>
      </c>
      <c r="L745" s="134">
        <f t="shared" si="72"/>
        <v>138000</v>
      </c>
      <c r="M745" s="134">
        <f t="shared" si="72"/>
        <v>143106</v>
      </c>
      <c r="N745" s="134">
        <f t="shared" si="72"/>
        <v>148401</v>
      </c>
      <c r="O745" s="134">
        <f t="shared" si="72"/>
        <v>153892</v>
      </c>
      <c r="P745" s="134"/>
    </row>
    <row r="746" spans="1:16" ht="12.75" customHeight="1" x14ac:dyDescent="0.25">
      <c r="A746" s="1442"/>
      <c r="D746" s="1442"/>
      <c r="E746" s="1529" t="s">
        <v>1411</v>
      </c>
      <c r="I746" s="134"/>
      <c r="J746" s="134">
        <v>0</v>
      </c>
      <c r="K746" s="134">
        <v>0</v>
      </c>
      <c r="L746" s="134">
        <f t="shared" si="72"/>
        <v>0</v>
      </c>
      <c r="M746" s="134">
        <f t="shared" si="72"/>
        <v>0</v>
      </c>
      <c r="N746" s="134">
        <f t="shared" si="72"/>
        <v>0</v>
      </c>
      <c r="O746" s="134">
        <f t="shared" si="72"/>
        <v>0</v>
      </c>
      <c r="P746" s="134" t="s">
        <v>1412</v>
      </c>
    </row>
    <row r="747" spans="1:16" ht="12.75" customHeight="1" x14ac:dyDescent="0.25">
      <c r="A747" s="1442"/>
      <c r="D747" s="1442"/>
      <c r="E747" s="549" t="s">
        <v>1413</v>
      </c>
      <c r="I747" s="134"/>
      <c r="J747" s="1838">
        <v>397866.98</v>
      </c>
      <c r="K747" s="1838">
        <v>411801</v>
      </c>
      <c r="L747" s="1838">
        <f>SUM(L743:L746)</f>
        <v>429097</v>
      </c>
      <c r="M747" s="1838">
        <f>SUM(M743:M746)</f>
        <v>444974</v>
      </c>
      <c r="N747" s="1838">
        <f>SUM(N743:N746)</f>
        <v>461438</v>
      </c>
      <c r="O747" s="1838">
        <f>SUM(O743:O746)</f>
        <v>478511</v>
      </c>
      <c r="P747" s="134"/>
    </row>
    <row r="748" spans="1:16" ht="12.75" customHeight="1" x14ac:dyDescent="0.25">
      <c r="A748" s="1442"/>
      <c r="D748" s="1442"/>
      <c r="E748" s="549"/>
      <c r="I748" s="134"/>
      <c r="J748" s="1455"/>
      <c r="K748" s="1455"/>
      <c r="L748" s="1455"/>
      <c r="M748" s="1455"/>
      <c r="N748" s="1455"/>
      <c r="O748" s="1455"/>
      <c r="P748" s="134"/>
    </row>
    <row r="749" spans="1:16" ht="12.75" customHeight="1" x14ac:dyDescent="0.25">
      <c r="A749" s="1442"/>
      <c r="D749" s="1442"/>
      <c r="E749" s="549" t="s">
        <v>1414</v>
      </c>
      <c r="H749" s="549"/>
      <c r="I749" s="1471"/>
      <c r="P749" s="134"/>
    </row>
    <row r="750" spans="1:16" ht="12.75" customHeight="1" x14ac:dyDescent="0.25">
      <c r="A750" s="1442"/>
      <c r="D750" s="1442"/>
      <c r="E750" s="1441" t="s">
        <v>1415</v>
      </c>
      <c r="I750" s="134"/>
      <c r="J750" s="134">
        <v>495829.77</v>
      </c>
      <c r="K750" s="134">
        <v>473071.9</v>
      </c>
      <c r="L750" s="134">
        <f>ROUND(K750*T$3,0)</f>
        <v>492941</v>
      </c>
      <c r="M750" s="134">
        <f>ROUND(L750*U$3,0)</f>
        <v>511180</v>
      </c>
      <c r="N750" s="134">
        <f>ROUND(M750*V$3,0)</f>
        <v>530094</v>
      </c>
      <c r="O750" s="134">
        <f>ROUND(N750*W$3,0)</f>
        <v>549707</v>
      </c>
      <c r="P750" s="134"/>
    </row>
    <row r="751" spans="1:16" ht="12.75" customHeight="1" x14ac:dyDescent="0.25">
      <c r="A751" s="1442"/>
      <c r="D751" s="1442"/>
      <c r="E751" s="1441" t="s">
        <v>1416</v>
      </c>
      <c r="F751" s="1567"/>
      <c r="I751" s="134"/>
      <c r="J751" s="134">
        <v>76000</v>
      </c>
      <c r="K751" s="134">
        <v>79700</v>
      </c>
      <c r="L751" s="134"/>
      <c r="M751" s="134"/>
      <c r="N751" s="134"/>
      <c r="O751" s="134"/>
      <c r="P751" s="134"/>
    </row>
    <row r="752" spans="1:16" ht="12.75" customHeight="1" x14ac:dyDescent="0.25">
      <c r="A752" s="1442"/>
      <c r="D752" s="1442"/>
      <c r="E752" s="1441" t="s">
        <v>1417</v>
      </c>
      <c r="F752" s="1567"/>
      <c r="I752" s="134"/>
      <c r="J752" s="134"/>
      <c r="K752" s="134">
        <v>-79700</v>
      </c>
      <c r="L752" s="134"/>
      <c r="M752" s="134"/>
      <c r="N752" s="134"/>
      <c r="O752" s="134"/>
      <c r="P752" s="134" t="s">
        <v>1418</v>
      </c>
    </row>
    <row r="753" spans="1:16" ht="12.75" customHeight="1" x14ac:dyDescent="0.25">
      <c r="A753" s="1442"/>
      <c r="D753" s="1442"/>
      <c r="E753" s="1441" t="s">
        <v>1419</v>
      </c>
      <c r="F753" s="1567"/>
      <c r="I753" s="134"/>
      <c r="J753" s="134"/>
      <c r="K753" s="134">
        <v>79700</v>
      </c>
      <c r="L753" s="134">
        <v>79700</v>
      </c>
      <c r="M753" s="134"/>
      <c r="N753" s="134"/>
      <c r="O753" s="134"/>
      <c r="P753" s="134"/>
    </row>
    <row r="754" spans="1:16" ht="12.75" customHeight="1" x14ac:dyDescent="0.25">
      <c r="A754" s="1442"/>
      <c r="D754" s="1442"/>
      <c r="E754" s="1441" t="s">
        <v>1420</v>
      </c>
      <c r="F754" s="1567"/>
      <c r="I754" s="134"/>
      <c r="J754" s="134">
        <v>80800</v>
      </c>
      <c r="K754" s="134">
        <v>0</v>
      </c>
      <c r="L754" s="134"/>
      <c r="M754" s="134"/>
      <c r="N754" s="134"/>
      <c r="O754" s="134"/>
      <c r="P754" s="134"/>
    </row>
    <row r="755" spans="1:16" ht="12.75" customHeight="1" x14ac:dyDescent="0.25">
      <c r="A755" s="1442"/>
      <c r="D755" s="1442"/>
      <c r="E755" s="549" t="s">
        <v>1421</v>
      </c>
      <c r="I755" s="134"/>
      <c r="J755" s="1838">
        <v>652629.77</v>
      </c>
      <c r="K755" s="1838">
        <v>552771.9</v>
      </c>
      <c r="L755" s="1838">
        <f>SUM(L750:L754)</f>
        <v>572641</v>
      </c>
      <c r="M755" s="1838">
        <f>SUM(M750:M754)</f>
        <v>511180</v>
      </c>
      <c r="N755" s="1838">
        <f>SUM(N750:N754)</f>
        <v>530094</v>
      </c>
      <c r="O755" s="1838">
        <f>SUM(O750:O754)</f>
        <v>549707</v>
      </c>
      <c r="P755" s="134"/>
    </row>
    <row r="756" spans="1:16" ht="12.75" customHeight="1" x14ac:dyDescent="0.25">
      <c r="A756" s="1442"/>
      <c r="D756" s="1442"/>
      <c r="E756" s="549"/>
      <c r="I756" s="134"/>
      <c r="J756" s="1455"/>
      <c r="K756" s="1455"/>
      <c r="L756" s="1455"/>
      <c r="M756" s="1455"/>
      <c r="N756" s="1455"/>
      <c r="O756" s="1455"/>
      <c r="P756" s="134"/>
    </row>
    <row r="757" spans="1:16" ht="12.75" customHeight="1" x14ac:dyDescent="0.25">
      <c r="A757" s="1442"/>
      <c r="D757" s="1442"/>
      <c r="E757" s="549" t="s">
        <v>1422</v>
      </c>
      <c r="I757" s="1455"/>
      <c r="J757" s="1455"/>
      <c r="K757" s="1455"/>
      <c r="L757" s="1455"/>
      <c r="M757" s="1455"/>
      <c r="N757" s="1455"/>
      <c r="O757" s="1455"/>
      <c r="P757" s="134"/>
    </row>
    <row r="758" spans="1:16" ht="12.75" customHeight="1" x14ac:dyDescent="0.25">
      <c r="A758" s="1442"/>
      <c r="D758" s="1442"/>
      <c r="E758" s="1441" t="s">
        <v>1423</v>
      </c>
      <c r="I758" s="134"/>
      <c r="J758" s="134">
        <v>315144</v>
      </c>
      <c r="K758" s="134">
        <v>306479.06</v>
      </c>
      <c r="L758" s="134">
        <f>ROUND(K758*T$3,0)</f>
        <v>319351</v>
      </c>
      <c r="M758" s="134">
        <f>ROUND(L758*U$3,0)</f>
        <v>331167</v>
      </c>
      <c r="N758" s="134">
        <f>ROUND(M758*V$3,0)</f>
        <v>343420</v>
      </c>
      <c r="O758" s="134">
        <f>ROUND(N758*W$3,0)</f>
        <v>356127</v>
      </c>
      <c r="P758" s="134"/>
    </row>
    <row r="759" spans="1:16" ht="12.75" customHeight="1" x14ac:dyDescent="0.25">
      <c r="A759" s="1442"/>
      <c r="D759" s="1442"/>
      <c r="E759" s="549" t="s">
        <v>1424</v>
      </c>
      <c r="I759" s="134"/>
      <c r="J759" s="1838">
        <v>315144</v>
      </c>
      <c r="K759" s="1838">
        <v>306479.06</v>
      </c>
      <c r="L759" s="1838">
        <f t="shared" ref="L759:M759" si="73">SUM(L758:L758)</f>
        <v>319351</v>
      </c>
      <c r="M759" s="1838">
        <f t="shared" si="73"/>
        <v>331167</v>
      </c>
      <c r="N759" s="1838">
        <f t="shared" ref="N759:O759" si="74">SUM(N758:N758)</f>
        <v>343420</v>
      </c>
      <c r="O759" s="1838">
        <f t="shared" si="74"/>
        <v>356127</v>
      </c>
      <c r="P759" s="134"/>
    </row>
    <row r="760" spans="1:16" ht="12.75" customHeight="1" x14ac:dyDescent="0.25">
      <c r="A760" s="1442"/>
      <c r="D760" s="1442"/>
      <c r="E760" s="549"/>
      <c r="I760" s="134"/>
      <c r="J760" s="1455"/>
      <c r="K760" s="1455"/>
      <c r="L760" s="1455"/>
      <c r="M760" s="1455"/>
      <c r="N760" s="1455"/>
      <c r="O760" s="1455"/>
      <c r="P760" s="134"/>
    </row>
    <row r="761" spans="1:16" ht="12.75" customHeight="1" x14ac:dyDescent="0.25">
      <c r="A761" s="1442"/>
      <c r="D761" s="1442"/>
      <c r="E761" s="549" t="s">
        <v>1425</v>
      </c>
      <c r="I761" s="1455"/>
      <c r="J761" s="1455"/>
      <c r="K761" s="1455"/>
      <c r="L761" s="1455"/>
      <c r="M761" s="1455"/>
      <c r="N761" s="1455"/>
      <c r="O761" s="1455"/>
      <c r="P761" s="134"/>
    </row>
    <row r="762" spans="1:16" ht="12.75" customHeight="1" x14ac:dyDescent="0.25">
      <c r="A762" s="1442"/>
      <c r="D762" s="1442"/>
      <c r="E762" s="1441" t="s">
        <v>1426</v>
      </c>
      <c r="I762" s="134"/>
      <c r="J762" s="134">
        <v>781287.72</v>
      </c>
      <c r="K762" s="134">
        <v>811474.06</v>
      </c>
      <c r="L762" s="134">
        <f>ROUND(K762*T$3,0)</f>
        <v>845556</v>
      </c>
      <c r="M762" s="134">
        <f>ROUND(L762*U$3,0)</f>
        <v>876842</v>
      </c>
      <c r="N762" s="134">
        <f>ROUND(M762*V$3,0)</f>
        <v>909285</v>
      </c>
      <c r="O762" s="134">
        <f>ROUND(N762*W$3,0)</f>
        <v>942929</v>
      </c>
      <c r="P762" s="134"/>
    </row>
    <row r="763" spans="1:16" ht="12.75" customHeight="1" x14ac:dyDescent="0.25">
      <c r="A763" s="1442"/>
      <c r="D763" s="1442"/>
      <c r="E763" s="549" t="s">
        <v>1427</v>
      </c>
      <c r="I763" s="134"/>
      <c r="J763" s="1838">
        <v>781287.72</v>
      </c>
      <c r="K763" s="1838">
        <v>811474.06</v>
      </c>
      <c r="L763" s="1838">
        <f t="shared" ref="L763:M763" si="75">SUM(L762:L762)</f>
        <v>845556</v>
      </c>
      <c r="M763" s="1838">
        <f t="shared" si="75"/>
        <v>876842</v>
      </c>
      <c r="N763" s="1838">
        <f t="shared" ref="N763:O763" si="76">SUM(N762:N762)</f>
        <v>909285</v>
      </c>
      <c r="O763" s="1838">
        <f t="shared" si="76"/>
        <v>942929</v>
      </c>
      <c r="P763" s="134"/>
    </row>
    <row r="764" spans="1:16" ht="12.75" customHeight="1" x14ac:dyDescent="0.25">
      <c r="A764" s="1442"/>
      <c r="D764" s="1442"/>
      <c r="E764" s="549"/>
      <c r="I764" s="134"/>
      <c r="J764" s="1455"/>
      <c r="K764" s="1455"/>
      <c r="L764" s="1455"/>
      <c r="M764" s="1455"/>
      <c r="N764" s="1455"/>
      <c r="O764" s="1455"/>
      <c r="P764" s="134"/>
    </row>
    <row r="765" spans="1:16" ht="12.75" customHeight="1" x14ac:dyDescent="0.25">
      <c r="A765" s="1442"/>
      <c r="D765" s="1442"/>
      <c r="E765" s="549" t="s">
        <v>1428</v>
      </c>
      <c r="I765" s="1455"/>
      <c r="J765" s="1455"/>
      <c r="K765" s="1455"/>
      <c r="L765" s="1455"/>
      <c r="M765" s="1455"/>
      <c r="N765" s="1455"/>
      <c r="O765" s="1455"/>
      <c r="P765" s="134" t="s">
        <v>1429</v>
      </c>
    </row>
    <row r="766" spans="1:16" ht="12.75" customHeight="1" x14ac:dyDescent="0.25">
      <c r="A766" s="1442"/>
      <c r="D766" s="1442"/>
      <c r="E766" s="1441" t="s">
        <v>1430</v>
      </c>
      <c r="I766" s="134"/>
      <c r="J766" s="134">
        <v>947045</v>
      </c>
      <c r="K766" s="134">
        <v>981265.8</v>
      </c>
      <c r="L766" s="134">
        <f>ROUND(K766*T$3,0)</f>
        <v>1022479</v>
      </c>
      <c r="M766" s="134">
        <f>ROUND(L766*U$3,0)</f>
        <v>1060311</v>
      </c>
      <c r="N766" s="134">
        <f>ROUND(M766*V$3,0)</f>
        <v>1099543</v>
      </c>
      <c r="O766" s="134">
        <f>ROUND(N766*W$3,0)</f>
        <v>1140226</v>
      </c>
      <c r="P766" s="134"/>
    </row>
    <row r="767" spans="1:16" ht="12.75" customHeight="1" x14ac:dyDescent="0.25">
      <c r="A767" s="1442"/>
      <c r="D767" s="1442"/>
      <c r="E767" s="549" t="s">
        <v>1431</v>
      </c>
      <c r="I767" s="134"/>
      <c r="J767" s="1838">
        <v>947045</v>
      </c>
      <c r="K767" s="1838">
        <v>981265.8</v>
      </c>
      <c r="L767" s="1838">
        <f>SUM(L766:L766)</f>
        <v>1022479</v>
      </c>
      <c r="M767" s="1838">
        <f>SUM(M766:M766)</f>
        <v>1060311</v>
      </c>
      <c r="N767" s="1838">
        <f>SUM(N766:N766)</f>
        <v>1099543</v>
      </c>
      <c r="O767" s="1838">
        <f>SUM(O766:O766)</f>
        <v>1140226</v>
      </c>
      <c r="P767" s="134"/>
    </row>
    <row r="768" spans="1:16" ht="12.75" customHeight="1" x14ac:dyDescent="0.25">
      <c r="A768" s="1442"/>
      <c r="D768" s="1442"/>
      <c r="E768" s="549"/>
      <c r="I768" s="134"/>
      <c r="J768" s="1455"/>
      <c r="K768" s="1455"/>
      <c r="L768" s="1455"/>
      <c r="M768" s="1455"/>
      <c r="N768" s="1455"/>
      <c r="O768" s="1455"/>
      <c r="P768" s="134"/>
    </row>
    <row r="769" spans="1:16" ht="12.75" customHeight="1" x14ac:dyDescent="0.25">
      <c r="A769" s="1442"/>
      <c r="D769" s="1442"/>
      <c r="E769" s="549" t="s">
        <v>1432</v>
      </c>
      <c r="I769" s="134"/>
      <c r="J769" s="134"/>
      <c r="K769" s="134"/>
      <c r="L769" s="134"/>
      <c r="M769" s="134"/>
      <c r="N769" s="134"/>
      <c r="O769" s="134"/>
      <c r="P769" s="134"/>
    </row>
    <row r="770" spans="1:16" ht="12.75" customHeight="1" x14ac:dyDescent="0.25">
      <c r="A770" s="1442"/>
      <c r="D770" s="1442"/>
      <c r="E770" s="549" t="s">
        <v>1433</v>
      </c>
      <c r="I770" s="134"/>
      <c r="J770" s="134">
        <v>152453.75</v>
      </c>
      <c r="K770" s="134">
        <v>157491</v>
      </c>
      <c r="L770" s="134">
        <f>ROUND(K770*T$3,0)</f>
        <v>164106</v>
      </c>
      <c r="M770" s="134">
        <f>ROUND(L770*U$3,0)</f>
        <v>170178</v>
      </c>
      <c r="N770" s="134">
        <f>ROUND(M770*V$3,0)</f>
        <v>176475</v>
      </c>
      <c r="O770" s="134">
        <f>ROUND(N770*W$3,0)</f>
        <v>183005</v>
      </c>
      <c r="P770" s="134"/>
    </row>
    <row r="771" spans="1:16" ht="12.75" customHeight="1" x14ac:dyDescent="0.25">
      <c r="A771" s="1442"/>
      <c r="D771" s="1442"/>
      <c r="E771" s="549" t="s">
        <v>1434</v>
      </c>
      <c r="I771" s="134"/>
      <c r="J771" s="1838">
        <v>152453.75</v>
      </c>
      <c r="K771" s="1838">
        <v>157491</v>
      </c>
      <c r="L771" s="1838">
        <f>SUM(L770:L770)</f>
        <v>164106</v>
      </c>
      <c r="M771" s="1838">
        <f>SUM(M770:M770)</f>
        <v>170178</v>
      </c>
      <c r="N771" s="1838">
        <f>SUM(N770:N770)</f>
        <v>176475</v>
      </c>
      <c r="O771" s="1838">
        <f>SUM(O770:O770)</f>
        <v>183005</v>
      </c>
      <c r="P771" s="134"/>
    </row>
    <row r="772" spans="1:16" ht="12.75" customHeight="1" x14ac:dyDescent="0.25">
      <c r="A772" s="1442"/>
      <c r="D772" s="1442"/>
      <c r="G772" s="549"/>
      <c r="I772" s="134"/>
      <c r="J772" s="1455"/>
      <c r="K772" s="1455"/>
      <c r="L772" s="1455"/>
      <c r="M772" s="1455"/>
      <c r="N772" s="1455"/>
      <c r="O772" s="1455"/>
      <c r="P772" s="134"/>
    </row>
    <row r="773" spans="1:16" ht="12.75" customHeight="1" x14ac:dyDescent="0.25">
      <c r="A773" s="1442"/>
      <c r="D773" s="1442"/>
      <c r="E773" s="1480" t="s">
        <v>1435</v>
      </c>
      <c r="I773" s="134"/>
      <c r="J773" s="1455"/>
      <c r="K773" s="1455"/>
      <c r="L773" s="1455"/>
      <c r="M773" s="1455"/>
      <c r="N773" s="1455"/>
      <c r="O773" s="1455"/>
      <c r="P773" s="134"/>
    </row>
    <row r="774" spans="1:16" ht="12.75" customHeight="1" x14ac:dyDescent="0.25">
      <c r="A774" s="1442"/>
      <c r="D774" s="1442"/>
      <c r="E774" s="1441" t="s">
        <v>1436</v>
      </c>
      <c r="I774" s="134"/>
      <c r="J774" s="134">
        <v>142404</v>
      </c>
      <c r="K774" s="134">
        <v>150097</v>
      </c>
      <c r="L774" s="134">
        <f>ROUND(K774*T$3,0)</f>
        <v>156401</v>
      </c>
      <c r="M774" s="134">
        <f>ROUND(L774*U$3,0)</f>
        <v>162188</v>
      </c>
      <c r="N774" s="134">
        <f>ROUND(M774*V$3,0)</f>
        <v>168189</v>
      </c>
      <c r="O774" s="134">
        <f>ROUND(N774*W$3,0)</f>
        <v>174412</v>
      </c>
      <c r="P774" s="134"/>
    </row>
    <row r="775" spans="1:16" ht="12.75" customHeight="1" x14ac:dyDescent="0.25">
      <c r="A775" s="1442"/>
      <c r="D775" s="1442"/>
      <c r="E775" s="1480" t="s">
        <v>1437</v>
      </c>
      <c r="I775" s="134"/>
      <c r="J775" s="1838">
        <v>142404</v>
      </c>
      <c r="K775" s="1838">
        <v>150097</v>
      </c>
      <c r="L775" s="1838">
        <f>SUM(L774:L774)</f>
        <v>156401</v>
      </c>
      <c r="M775" s="1838">
        <f>SUM(M774:M774)</f>
        <v>162188</v>
      </c>
      <c r="N775" s="1838">
        <f>SUM(N774:N774)</f>
        <v>168189</v>
      </c>
      <c r="O775" s="1838">
        <f>SUM(O774:O774)</f>
        <v>174412</v>
      </c>
      <c r="P775" s="134"/>
    </row>
    <row r="776" spans="1:16" ht="12.75" customHeight="1" x14ac:dyDescent="0.25">
      <c r="A776" s="1442"/>
      <c r="D776" s="1442"/>
      <c r="E776" s="1480"/>
      <c r="I776" s="134"/>
      <c r="J776" s="545"/>
      <c r="K776" s="545"/>
      <c r="L776" s="545"/>
      <c r="M776" s="545"/>
      <c r="N776" s="545"/>
      <c r="O776" s="545"/>
      <c r="P776" s="134"/>
    </row>
    <row r="777" spans="1:16" ht="12.75" customHeight="1" x14ac:dyDescent="0.25">
      <c r="A777" s="1442"/>
      <c r="D777" s="1442"/>
      <c r="E777" s="1480" t="s">
        <v>1438</v>
      </c>
      <c r="I777" s="134"/>
      <c r="J777" s="1455"/>
      <c r="K777" s="1455"/>
      <c r="L777" s="1455"/>
      <c r="M777" s="1455"/>
      <c r="N777" s="1455"/>
      <c r="O777" s="1455"/>
      <c r="P777" s="134"/>
    </row>
    <row r="778" spans="1:16" ht="12.75" customHeight="1" x14ac:dyDescent="0.25">
      <c r="A778" s="1442"/>
      <c r="D778" s="1442"/>
      <c r="E778" s="1441" t="s">
        <v>1439</v>
      </c>
      <c r="I778" s="134"/>
      <c r="J778" s="134">
        <v>275565</v>
      </c>
      <c r="K778" s="134">
        <v>283047.8</v>
      </c>
      <c r="L778" s="134">
        <f>ROUND(K778*T$3,0)</f>
        <v>294936</v>
      </c>
      <c r="M778" s="134">
        <f>ROUND(L778*U$3,0)</f>
        <v>305849</v>
      </c>
      <c r="N778" s="134">
        <f>ROUND(M778*V$3,0)</f>
        <v>317165</v>
      </c>
      <c r="O778" s="134">
        <f>ROUND(N778*W$3,0)</f>
        <v>328900</v>
      </c>
      <c r="P778" s="134"/>
    </row>
    <row r="779" spans="1:16" ht="12.75" customHeight="1" x14ac:dyDescent="0.25">
      <c r="A779" s="1442"/>
      <c r="D779" s="1442"/>
      <c r="E779" s="1480" t="s">
        <v>1440</v>
      </c>
      <c r="I779" s="134"/>
      <c r="J779" s="1838">
        <v>275565</v>
      </c>
      <c r="K779" s="1838">
        <v>283047.8</v>
      </c>
      <c r="L779" s="1838">
        <f>SUM(L778:L778)</f>
        <v>294936</v>
      </c>
      <c r="M779" s="1838">
        <f>SUM(M778:M778)</f>
        <v>305849</v>
      </c>
      <c r="N779" s="1838">
        <f>SUM(N778:N778)</f>
        <v>317165</v>
      </c>
      <c r="O779" s="1838">
        <f>SUM(O778:O778)</f>
        <v>328900</v>
      </c>
      <c r="P779" s="134"/>
    </row>
    <row r="780" spans="1:16" ht="12.75" customHeight="1" x14ac:dyDescent="0.25">
      <c r="A780" s="1442"/>
      <c r="D780" s="1442"/>
      <c r="E780" s="1480"/>
      <c r="I780" s="134"/>
      <c r="J780" s="545"/>
      <c r="K780" s="545"/>
      <c r="L780" s="545"/>
      <c r="M780" s="545"/>
      <c r="N780" s="545"/>
      <c r="O780" s="545"/>
      <c r="P780" s="134"/>
    </row>
    <row r="781" spans="1:16" ht="12.75" customHeight="1" x14ac:dyDescent="0.25">
      <c r="A781" s="1442"/>
      <c r="D781" s="1442"/>
      <c r="E781" s="549" t="s">
        <v>1441</v>
      </c>
      <c r="I781" s="134"/>
      <c r="J781" s="1471"/>
      <c r="K781" s="1471"/>
      <c r="L781" s="1471"/>
      <c r="M781" s="1471"/>
      <c r="N781" s="1471"/>
      <c r="O781" s="1471"/>
      <c r="P781" s="134"/>
    </row>
    <row r="782" spans="1:16" ht="12.75" customHeight="1" x14ac:dyDescent="0.25">
      <c r="A782" s="1442"/>
      <c r="D782" s="1442"/>
      <c r="E782" s="1441" t="s">
        <v>1442</v>
      </c>
      <c r="I782" s="134"/>
      <c r="J782" s="134">
        <v>134866.92000000001</v>
      </c>
      <c r="K782" s="134">
        <v>141339</v>
      </c>
      <c r="L782" s="134">
        <f t="shared" ref="L782:O786" si="77">ROUND(K782*T$3,0)</f>
        <v>147275</v>
      </c>
      <c r="M782" s="134">
        <f t="shared" si="77"/>
        <v>152724</v>
      </c>
      <c r="N782" s="134">
        <f t="shared" si="77"/>
        <v>158375</v>
      </c>
      <c r="O782" s="134">
        <f t="shared" si="77"/>
        <v>164235</v>
      </c>
      <c r="P782" s="134"/>
    </row>
    <row r="783" spans="1:16" ht="12.75" customHeight="1" x14ac:dyDescent="0.25">
      <c r="A783" s="1442"/>
      <c r="D783" s="1442"/>
      <c r="E783" s="1441" t="s">
        <v>1443</v>
      </c>
      <c r="I783" s="134"/>
      <c r="J783" s="134">
        <v>515020</v>
      </c>
      <c r="K783" s="134">
        <v>527036.27</v>
      </c>
      <c r="L783" s="134">
        <f t="shared" si="77"/>
        <v>549172</v>
      </c>
      <c r="M783" s="134">
        <f t="shared" si="77"/>
        <v>569491</v>
      </c>
      <c r="N783" s="134">
        <f t="shared" si="77"/>
        <v>590562</v>
      </c>
      <c r="O783" s="134">
        <f t="shared" si="77"/>
        <v>612413</v>
      </c>
      <c r="P783" s="134"/>
    </row>
    <row r="784" spans="1:16" ht="12.75" customHeight="1" x14ac:dyDescent="0.25">
      <c r="A784" s="1442"/>
      <c r="D784" s="1442"/>
      <c r="E784" s="1441" t="s">
        <v>1444</v>
      </c>
      <c r="I784" s="134"/>
      <c r="J784" s="134">
        <v>120555</v>
      </c>
      <c r="K784" s="134">
        <v>126763</v>
      </c>
      <c r="L784" s="134">
        <f t="shared" si="77"/>
        <v>132087</v>
      </c>
      <c r="M784" s="134">
        <f t="shared" si="77"/>
        <v>136974</v>
      </c>
      <c r="N784" s="134">
        <f t="shared" si="77"/>
        <v>142042</v>
      </c>
      <c r="O784" s="134">
        <f t="shared" si="77"/>
        <v>147298</v>
      </c>
      <c r="P784" s="134"/>
    </row>
    <row r="785" spans="1:16" ht="12.75" customHeight="1" x14ac:dyDescent="0.25">
      <c r="A785" s="1442"/>
      <c r="D785" s="1442"/>
      <c r="E785" s="1441" t="s">
        <v>1445</v>
      </c>
      <c r="I785" s="134"/>
      <c r="J785" s="134">
        <v>134601.78</v>
      </c>
      <c r="K785" s="134">
        <v>135416.10999999999</v>
      </c>
      <c r="L785" s="134">
        <f t="shared" si="77"/>
        <v>141104</v>
      </c>
      <c r="M785" s="134">
        <f t="shared" si="77"/>
        <v>146325</v>
      </c>
      <c r="N785" s="134">
        <f t="shared" si="77"/>
        <v>151739</v>
      </c>
      <c r="O785" s="134">
        <f t="shared" si="77"/>
        <v>157353</v>
      </c>
      <c r="P785" s="134"/>
    </row>
    <row r="786" spans="1:16" ht="12.75" customHeight="1" x14ac:dyDescent="0.25">
      <c r="A786" s="1442"/>
      <c r="D786" s="1442"/>
      <c r="E786" s="1441" t="s">
        <v>1446</v>
      </c>
      <c r="I786" s="134"/>
      <c r="J786" s="134">
        <v>117693</v>
      </c>
      <c r="K786" s="134">
        <v>122800.99</v>
      </c>
      <c r="L786" s="134">
        <f t="shared" si="77"/>
        <v>127959</v>
      </c>
      <c r="M786" s="134">
        <f t="shared" si="77"/>
        <v>132693</v>
      </c>
      <c r="N786" s="134">
        <f t="shared" si="77"/>
        <v>137603</v>
      </c>
      <c r="O786" s="134">
        <f t="shared" si="77"/>
        <v>142694</v>
      </c>
      <c r="P786" s="134"/>
    </row>
    <row r="787" spans="1:16" ht="12.75" customHeight="1" x14ac:dyDescent="0.25">
      <c r="A787" s="1442"/>
      <c r="D787" s="1442"/>
      <c r="E787" s="549" t="s">
        <v>1447</v>
      </c>
      <c r="I787" s="134"/>
      <c r="J787" s="1831">
        <v>1022736.7000000001</v>
      </c>
      <c r="K787" s="1831">
        <v>1053355.3700000001</v>
      </c>
      <c r="L787" s="1831">
        <f>SUM(L782:L786)</f>
        <v>1097597</v>
      </c>
      <c r="M787" s="1831">
        <f>SUM(M782:M786)</f>
        <v>1138207</v>
      </c>
      <c r="N787" s="1831">
        <f>SUM(N782:N786)</f>
        <v>1180321</v>
      </c>
      <c r="O787" s="1831">
        <f>SUM(O782:O786)</f>
        <v>1223993</v>
      </c>
      <c r="P787" s="134"/>
    </row>
    <row r="788" spans="1:16" ht="12.75" customHeight="1" x14ac:dyDescent="0.25">
      <c r="A788" s="1442"/>
      <c r="D788" s="1442"/>
      <c r="E788" s="549"/>
      <c r="I788" s="134"/>
      <c r="J788" s="1455"/>
      <c r="K788" s="1455"/>
      <c r="L788" s="1455"/>
      <c r="M788" s="1455"/>
      <c r="N788" s="1455"/>
      <c r="O788" s="1455"/>
      <c r="P788" s="134"/>
    </row>
    <row r="789" spans="1:16" ht="12.75" customHeight="1" x14ac:dyDescent="0.25">
      <c r="A789" s="1442"/>
      <c r="D789" s="1442"/>
      <c r="E789" s="549" t="s">
        <v>1448</v>
      </c>
      <c r="I789" s="134"/>
      <c r="P789" s="134"/>
    </row>
    <row r="790" spans="1:16" ht="12.75" customHeight="1" x14ac:dyDescent="0.25">
      <c r="A790" s="1442"/>
      <c r="D790" s="1442"/>
      <c r="E790" s="1441" t="s">
        <v>1029</v>
      </c>
      <c r="I790" s="134"/>
      <c r="J790" s="134">
        <v>8931</v>
      </c>
      <c r="K790" s="134">
        <v>8918</v>
      </c>
      <c r="L790" s="134">
        <f>ROUND(K790*T$3,0)</f>
        <v>9293</v>
      </c>
      <c r="M790" s="134">
        <f>ROUND(L790*U$3,0)</f>
        <v>9637</v>
      </c>
      <c r="N790" s="134">
        <f>ROUND(M790*V$3,0)</f>
        <v>9994</v>
      </c>
      <c r="O790" s="134">
        <f>ROUND(N790*W$3,0)</f>
        <v>10364</v>
      </c>
      <c r="P790" s="134"/>
    </row>
    <row r="791" spans="1:16" ht="12.75" customHeight="1" thickBot="1" x14ac:dyDescent="0.3">
      <c r="A791" s="1442"/>
      <c r="D791" s="1442"/>
      <c r="E791" s="549" t="s">
        <v>1449</v>
      </c>
      <c r="I791" s="134"/>
      <c r="J791" s="1835">
        <v>8931</v>
      </c>
      <c r="K791" s="1835">
        <v>8918</v>
      </c>
      <c r="L791" s="1835">
        <f>SUM(L790:L790)</f>
        <v>9293</v>
      </c>
      <c r="M791" s="1835">
        <f>SUM(M790:M790)</f>
        <v>9637</v>
      </c>
      <c r="N791" s="1835">
        <f>SUM(N790:N790)</f>
        <v>9994</v>
      </c>
      <c r="O791" s="1835">
        <f>SUM(O790:O790)</f>
        <v>10364</v>
      </c>
      <c r="P791" s="134"/>
    </row>
    <row r="792" spans="1:16" ht="12.75" customHeight="1" thickTop="1" x14ac:dyDescent="0.25">
      <c r="A792" s="1442"/>
      <c r="D792" s="1442"/>
      <c r="E792" s="549"/>
      <c r="I792" s="134"/>
      <c r="J792" s="1455"/>
      <c r="K792" s="1455"/>
      <c r="L792" s="1455"/>
      <c r="M792" s="1455"/>
      <c r="N792" s="1455"/>
      <c r="O792" s="1455"/>
      <c r="P792" s="134"/>
    </row>
    <row r="793" spans="1:16" ht="12.75" customHeight="1" x14ac:dyDescent="0.25">
      <c r="A793" s="1442"/>
      <c r="D793" s="1442"/>
      <c r="E793" s="549" t="s">
        <v>1450</v>
      </c>
      <c r="I793" s="134"/>
      <c r="P793" s="134"/>
    </row>
    <row r="794" spans="1:16" ht="12.75" customHeight="1" x14ac:dyDescent="0.25">
      <c r="A794" s="1442"/>
      <c r="D794" s="1442"/>
      <c r="E794" s="1441" t="s">
        <v>1451</v>
      </c>
      <c r="I794" s="134"/>
      <c r="J794" s="134">
        <v>10369.98</v>
      </c>
      <c r="K794" s="134">
        <v>12280.7</v>
      </c>
      <c r="L794" s="134">
        <f>ROUND(K794*T$3,0)</f>
        <v>12796</v>
      </c>
      <c r="M794" s="134">
        <f>ROUND(L794*U$3,0)</f>
        <v>13269</v>
      </c>
      <c r="N794" s="134">
        <f>ROUND(M794*V$3,0)</f>
        <v>13760</v>
      </c>
      <c r="O794" s="134">
        <f>ROUND(N794*W$3,0)</f>
        <v>14269</v>
      </c>
      <c r="P794" s="134"/>
    </row>
    <row r="795" spans="1:16" ht="12.75" customHeight="1" thickBot="1" x14ac:dyDescent="0.3">
      <c r="A795" s="1442"/>
      <c r="D795" s="1442"/>
      <c r="E795" s="549" t="s">
        <v>1449</v>
      </c>
      <c r="I795" s="134"/>
      <c r="J795" s="1835">
        <v>10369.98</v>
      </c>
      <c r="K795" s="1835">
        <v>12280.7</v>
      </c>
      <c r="L795" s="1835">
        <f t="shared" ref="L795:M795" si="78">SUM(L794:L794)</f>
        <v>12796</v>
      </c>
      <c r="M795" s="1835">
        <f t="shared" si="78"/>
        <v>13269</v>
      </c>
      <c r="N795" s="1835">
        <f t="shared" ref="N795:O795" si="79">SUM(N794:N794)</f>
        <v>13760</v>
      </c>
      <c r="O795" s="1835">
        <f t="shared" si="79"/>
        <v>14269</v>
      </c>
      <c r="P795" s="134"/>
    </row>
    <row r="796" spans="1:16" ht="12.75" customHeight="1" thickTop="1" x14ac:dyDescent="0.25">
      <c r="A796" s="1442"/>
      <c r="D796" s="1442"/>
      <c r="E796" s="549"/>
      <c r="I796" s="134"/>
      <c r="J796" s="1455"/>
      <c r="K796" s="1455"/>
      <c r="L796" s="1455"/>
      <c r="M796" s="1455"/>
      <c r="N796" s="1455"/>
      <c r="O796" s="1455"/>
      <c r="P796" s="134"/>
    </row>
    <row r="797" spans="1:16" ht="12.75" customHeight="1" x14ac:dyDescent="0.25">
      <c r="A797" s="1442"/>
      <c r="D797" s="1442"/>
      <c r="E797" s="549" t="s">
        <v>1452</v>
      </c>
      <c r="I797" s="134"/>
      <c r="J797" s="1455"/>
      <c r="K797" s="1455"/>
      <c r="L797" s="1455"/>
      <c r="M797" s="1455"/>
      <c r="N797" s="1455"/>
      <c r="O797" s="1455"/>
      <c r="P797" s="134"/>
    </row>
    <row r="798" spans="1:16" ht="12.75" customHeight="1" x14ac:dyDescent="0.25">
      <c r="A798" s="1442"/>
      <c r="D798" s="1442"/>
      <c r="E798" s="1441" t="s">
        <v>1453</v>
      </c>
      <c r="I798" s="134"/>
      <c r="J798" s="134">
        <v>13396</v>
      </c>
      <c r="K798" s="134">
        <v>13377</v>
      </c>
      <c r="L798" s="134">
        <f>ROUND(K798*T$3,0)</f>
        <v>13939</v>
      </c>
      <c r="M798" s="134">
        <f>ROUND(L798*U$3,0)</f>
        <v>14455</v>
      </c>
      <c r="N798" s="134">
        <f>ROUND(M798*V$3,0)</f>
        <v>14990</v>
      </c>
      <c r="O798" s="134">
        <f>ROUND(N798*W$3,0)</f>
        <v>15545</v>
      </c>
      <c r="P798" s="134"/>
    </row>
    <row r="799" spans="1:16" ht="12.75" customHeight="1" thickBot="1" x14ac:dyDescent="0.3">
      <c r="A799" s="1442"/>
      <c r="D799" s="1442"/>
      <c r="E799" s="549" t="s">
        <v>1454</v>
      </c>
      <c r="I799" s="134"/>
      <c r="J799" s="1835">
        <v>13396</v>
      </c>
      <c r="K799" s="1835">
        <v>13377</v>
      </c>
      <c r="L799" s="1835">
        <f>SUM(L798:L798)</f>
        <v>13939</v>
      </c>
      <c r="M799" s="1835">
        <f>SUM(M798:M798)</f>
        <v>14455</v>
      </c>
      <c r="N799" s="1835">
        <f>SUM(N798:N798)</f>
        <v>14990</v>
      </c>
      <c r="O799" s="1835">
        <f>SUM(O798:O798)</f>
        <v>15545</v>
      </c>
      <c r="P799" s="134"/>
    </row>
    <row r="800" spans="1:16" ht="12.75" customHeight="1" thickTop="1" x14ac:dyDescent="0.25">
      <c r="A800" s="1442"/>
      <c r="D800" s="1442"/>
      <c r="E800" s="549"/>
      <c r="I800" s="134"/>
      <c r="J800" s="1455"/>
      <c r="K800" s="1455"/>
      <c r="L800" s="1455"/>
      <c r="M800" s="1455"/>
      <c r="N800" s="1455"/>
      <c r="O800" s="1455"/>
      <c r="P800" s="134"/>
    </row>
    <row r="801" spans="1:16" ht="12.75" customHeight="1" x14ac:dyDescent="0.25">
      <c r="A801" s="1442"/>
      <c r="D801" s="1442"/>
      <c r="E801" s="549" t="s">
        <v>1455</v>
      </c>
      <c r="I801" s="134"/>
      <c r="J801" s="1471"/>
      <c r="K801" s="1471"/>
      <c r="L801" s="1471"/>
      <c r="M801" s="1471"/>
      <c r="N801" s="1471"/>
      <c r="O801" s="1471"/>
      <c r="P801" s="134"/>
    </row>
    <row r="802" spans="1:16" ht="12.75" customHeight="1" x14ac:dyDescent="0.25">
      <c r="A802" s="1442"/>
      <c r="D802" s="1442"/>
      <c r="E802" s="1441" t="s">
        <v>1456</v>
      </c>
      <c r="I802" s="134"/>
      <c r="J802" s="134">
        <v>138811.81</v>
      </c>
      <c r="K802" s="134">
        <v>145042.01999999999</v>
      </c>
      <c r="L802" s="134">
        <f t="shared" ref="L802:O807" si="80">ROUND(K802*T$3,0)</f>
        <v>151134</v>
      </c>
      <c r="M802" s="134">
        <f t="shared" si="80"/>
        <v>156726</v>
      </c>
      <c r="N802" s="134">
        <f t="shared" si="80"/>
        <v>162525</v>
      </c>
      <c r="O802" s="134">
        <f t="shared" si="80"/>
        <v>168538</v>
      </c>
      <c r="P802" s="134"/>
    </row>
    <row r="803" spans="1:16" ht="12.75" customHeight="1" x14ac:dyDescent="0.25">
      <c r="A803" s="1442"/>
      <c r="D803" s="1442"/>
      <c r="E803" s="1441" t="s">
        <v>1457</v>
      </c>
      <c r="I803" s="134"/>
      <c r="J803" s="134">
        <v>129176.51</v>
      </c>
      <c r="K803" s="134">
        <v>156070.99</v>
      </c>
      <c r="L803" s="134">
        <f t="shared" si="80"/>
        <v>162626</v>
      </c>
      <c r="M803" s="134">
        <f t="shared" si="80"/>
        <v>168643</v>
      </c>
      <c r="N803" s="134">
        <f t="shared" si="80"/>
        <v>174883</v>
      </c>
      <c r="O803" s="134">
        <f t="shared" si="80"/>
        <v>181354</v>
      </c>
      <c r="P803" s="134"/>
    </row>
    <row r="804" spans="1:16" ht="12.75" customHeight="1" x14ac:dyDescent="0.25">
      <c r="A804" s="1442"/>
      <c r="D804" s="1442"/>
      <c r="E804" s="1441" t="s">
        <v>1458</v>
      </c>
      <c r="I804" s="134"/>
      <c r="J804" s="134">
        <v>239400.61</v>
      </c>
      <c r="K804" s="134">
        <v>172634</v>
      </c>
      <c r="L804" s="134">
        <f t="shared" si="80"/>
        <v>179885</v>
      </c>
      <c r="M804" s="134">
        <f t="shared" si="80"/>
        <v>186541</v>
      </c>
      <c r="N804" s="134">
        <f t="shared" si="80"/>
        <v>193443</v>
      </c>
      <c r="O804" s="134">
        <f t="shared" si="80"/>
        <v>200600</v>
      </c>
      <c r="P804" s="134"/>
    </row>
    <row r="805" spans="1:16" ht="12.75" customHeight="1" x14ac:dyDescent="0.25">
      <c r="A805" s="1442"/>
      <c r="D805" s="1442"/>
      <c r="E805" s="1441" t="s">
        <v>1459</v>
      </c>
      <c r="I805" s="134"/>
      <c r="J805" s="134">
        <v>115686.68</v>
      </c>
      <c r="K805" s="134">
        <v>121620.58</v>
      </c>
      <c r="L805" s="134">
        <f t="shared" si="80"/>
        <v>126729</v>
      </c>
      <c r="M805" s="134">
        <f t="shared" si="80"/>
        <v>131418</v>
      </c>
      <c r="N805" s="134">
        <f t="shared" si="80"/>
        <v>136280</v>
      </c>
      <c r="O805" s="134">
        <f t="shared" si="80"/>
        <v>141322</v>
      </c>
      <c r="P805" s="134"/>
    </row>
    <row r="806" spans="1:16" ht="12.75" customHeight="1" x14ac:dyDescent="0.25">
      <c r="A806" s="1442"/>
      <c r="D806" s="1442"/>
      <c r="E806" s="1441" t="s">
        <v>1460</v>
      </c>
      <c r="I806" s="134"/>
      <c r="J806" s="134">
        <v>113142.89</v>
      </c>
      <c r="K806" s="134">
        <v>240753.16</v>
      </c>
      <c r="L806" s="134">
        <f t="shared" si="80"/>
        <v>250865</v>
      </c>
      <c r="M806" s="134">
        <f t="shared" si="80"/>
        <v>260147</v>
      </c>
      <c r="N806" s="134">
        <f t="shared" si="80"/>
        <v>269772</v>
      </c>
      <c r="O806" s="134">
        <f t="shared" si="80"/>
        <v>279754</v>
      </c>
      <c r="P806" s="134"/>
    </row>
    <row r="807" spans="1:16" ht="12.75" customHeight="1" x14ac:dyDescent="0.25">
      <c r="A807" s="1442"/>
      <c r="D807" s="1442"/>
      <c r="E807" s="1441" t="s">
        <v>1461</v>
      </c>
      <c r="I807" s="134"/>
      <c r="J807" s="134">
        <v>115050.61</v>
      </c>
      <c r="K807" s="134">
        <v>125862.06</v>
      </c>
      <c r="L807" s="134">
        <f t="shared" si="80"/>
        <v>131148</v>
      </c>
      <c r="M807" s="134">
        <f t="shared" si="80"/>
        <v>136000</v>
      </c>
      <c r="N807" s="134">
        <f t="shared" si="80"/>
        <v>141032</v>
      </c>
      <c r="O807" s="134">
        <f t="shared" si="80"/>
        <v>146250</v>
      </c>
      <c r="P807" s="134"/>
    </row>
    <row r="808" spans="1:16" ht="12.75" customHeight="1" x14ac:dyDescent="0.25">
      <c r="A808" s="1442"/>
      <c r="D808" s="1442"/>
      <c r="E808" s="549" t="s">
        <v>1462</v>
      </c>
      <c r="I808" s="134"/>
      <c r="J808" s="1831">
        <v>851269.11</v>
      </c>
      <c r="K808" s="1831">
        <v>961982.81</v>
      </c>
      <c r="L808" s="1831">
        <f>SUM(L802:L807)</f>
        <v>1002387</v>
      </c>
      <c r="M808" s="1831">
        <f>SUM(M802:M807)</f>
        <v>1039475</v>
      </c>
      <c r="N808" s="1831">
        <f>SUM(N802:N807)</f>
        <v>1077935</v>
      </c>
      <c r="O808" s="1831">
        <f>SUM(O802:O807)</f>
        <v>1117818</v>
      </c>
      <c r="P808" s="134"/>
    </row>
    <row r="809" spans="1:16" ht="12.75" customHeight="1" x14ac:dyDescent="0.25">
      <c r="A809" s="1442"/>
      <c r="D809" s="1442"/>
      <c r="E809" s="549"/>
      <c r="I809" s="134"/>
      <c r="J809" s="1455"/>
      <c r="K809" s="1455"/>
      <c r="L809" s="1455"/>
      <c r="M809" s="1455"/>
      <c r="N809" s="1455"/>
      <c r="O809" s="1455"/>
      <c r="P809" s="134"/>
    </row>
    <row r="810" spans="1:16" ht="12.75" customHeight="1" x14ac:dyDescent="0.25">
      <c r="A810" s="1442"/>
      <c r="D810" s="1442"/>
      <c r="E810" s="549" t="s">
        <v>1463</v>
      </c>
      <c r="I810" s="1455"/>
      <c r="J810" s="1471"/>
      <c r="K810" s="1471"/>
      <c r="L810" s="1471"/>
      <c r="M810" s="1471"/>
      <c r="N810" s="1471"/>
      <c r="O810" s="1471"/>
      <c r="P810" s="134"/>
    </row>
    <row r="811" spans="1:16" ht="12.75" customHeight="1" x14ac:dyDescent="0.25">
      <c r="A811" s="1442"/>
      <c r="D811" s="1442"/>
      <c r="E811" s="1441" t="s">
        <v>1464</v>
      </c>
      <c r="I811" s="1455"/>
      <c r="J811" s="134">
        <v>316106.95</v>
      </c>
      <c r="K811" s="134">
        <v>298263.71000000002</v>
      </c>
      <c r="L811" s="134">
        <f t="shared" ref="L811:O812" si="81">ROUND(K811*T$3,0)</f>
        <v>310791</v>
      </c>
      <c r="M811" s="134">
        <f t="shared" si="81"/>
        <v>322290</v>
      </c>
      <c r="N811" s="134">
        <f t="shared" si="81"/>
        <v>334215</v>
      </c>
      <c r="O811" s="134">
        <f t="shared" si="81"/>
        <v>346581</v>
      </c>
      <c r="P811" s="1526"/>
    </row>
    <row r="812" spans="1:16" ht="12.75" customHeight="1" x14ac:dyDescent="0.25">
      <c r="A812" s="1442"/>
      <c r="D812" s="1442"/>
      <c r="E812" s="1441" t="s">
        <v>1465</v>
      </c>
      <c r="I812" s="1455"/>
      <c r="J812" s="134">
        <v>170458.84</v>
      </c>
      <c r="K812" s="134">
        <v>181978.03</v>
      </c>
      <c r="L812" s="134">
        <f t="shared" si="81"/>
        <v>189621</v>
      </c>
      <c r="M812" s="134">
        <f t="shared" si="81"/>
        <v>196637</v>
      </c>
      <c r="N812" s="134">
        <f t="shared" si="81"/>
        <v>203913</v>
      </c>
      <c r="O812" s="134">
        <f t="shared" si="81"/>
        <v>211458</v>
      </c>
      <c r="P812" s="134"/>
    </row>
    <row r="813" spans="1:16" ht="12.75" customHeight="1" x14ac:dyDescent="0.25">
      <c r="A813" s="1442"/>
      <c r="D813" s="1442"/>
      <c r="E813" s="549" t="s">
        <v>1466</v>
      </c>
      <c r="I813" s="1455"/>
      <c r="J813" s="1831">
        <v>486565.79000000004</v>
      </c>
      <c r="K813" s="1831">
        <v>480241.74</v>
      </c>
      <c r="L813" s="1831">
        <f>SUM(L811:L812)</f>
        <v>500412</v>
      </c>
      <c r="M813" s="1831">
        <f>SUM(M811:M812)</f>
        <v>518927</v>
      </c>
      <c r="N813" s="1831">
        <f>SUM(N811:N812)</f>
        <v>538128</v>
      </c>
      <c r="O813" s="1831">
        <f>SUM(O811:O812)</f>
        <v>558039</v>
      </c>
      <c r="P813" s="545"/>
    </row>
    <row r="814" spans="1:16" ht="12.75" customHeight="1" x14ac:dyDescent="0.25">
      <c r="A814" s="1442"/>
      <c r="D814" s="1442"/>
      <c r="E814" s="549"/>
      <c r="I814" s="134"/>
      <c r="J814" s="1455"/>
      <c r="K814" s="1455"/>
      <c r="L814" s="1455"/>
      <c r="M814" s="1455"/>
      <c r="N814" s="1455"/>
      <c r="O814" s="1455"/>
      <c r="P814" s="134"/>
    </row>
    <row r="815" spans="1:16" ht="12.75" customHeight="1" x14ac:dyDescent="0.25">
      <c r="A815" s="1442"/>
      <c r="D815" s="1442"/>
      <c r="E815" s="549" t="s">
        <v>1467</v>
      </c>
      <c r="I815" s="134"/>
      <c r="J815" s="1455"/>
      <c r="K815" s="1455"/>
      <c r="L815" s="1455"/>
      <c r="M815" s="1455"/>
      <c r="N815" s="1455"/>
      <c r="O815" s="1455"/>
      <c r="P815" s="545"/>
    </row>
    <row r="816" spans="1:16" ht="12.75" customHeight="1" x14ac:dyDescent="0.25">
      <c r="A816" s="1442"/>
      <c r="D816" s="1442"/>
      <c r="E816" s="1441" t="s">
        <v>1468</v>
      </c>
      <c r="I816" s="134"/>
      <c r="J816" s="134">
        <v>2612114</v>
      </c>
      <c r="K816" s="134">
        <v>2652689.1799999997</v>
      </c>
      <c r="L816" s="134">
        <f>ROUND(K816*T$3,0)</f>
        <v>2764102</v>
      </c>
      <c r="M816" s="134">
        <f>ROUND(L816*U$3,0)</f>
        <v>2866374</v>
      </c>
      <c r="N816" s="134">
        <f>ROUND(M816*V$3,0)</f>
        <v>2972430</v>
      </c>
      <c r="O816" s="134">
        <f>ROUND(N816*W$3,0)</f>
        <v>3082410</v>
      </c>
      <c r="P816" s="545"/>
    </row>
    <row r="817" spans="1:16" ht="12.75" customHeight="1" x14ac:dyDescent="0.25">
      <c r="A817" s="1442"/>
      <c r="D817" s="1442"/>
      <c r="E817" s="549" t="s">
        <v>1469</v>
      </c>
      <c r="I817" s="134"/>
      <c r="J817" s="1831">
        <v>2612114</v>
      </c>
      <c r="K817" s="1831">
        <v>2652689.1799999997</v>
      </c>
      <c r="L817" s="1831">
        <f>SUM(L816:L816)</f>
        <v>2764102</v>
      </c>
      <c r="M817" s="1831">
        <f>SUM(M816:M816)</f>
        <v>2866374</v>
      </c>
      <c r="N817" s="1831">
        <f>SUM(N816:N816)</f>
        <v>2972430</v>
      </c>
      <c r="O817" s="1831">
        <f>SUM(O816:O816)</f>
        <v>3082410</v>
      </c>
      <c r="P817" s="545"/>
    </row>
    <row r="818" spans="1:16" ht="12.75" customHeight="1" x14ac:dyDescent="0.25">
      <c r="A818" s="1442"/>
      <c r="D818" s="1442"/>
      <c r="E818" s="549"/>
      <c r="I818" s="134"/>
      <c r="J818" s="1455"/>
      <c r="K818" s="1455"/>
      <c r="L818" s="1455"/>
      <c r="M818" s="1455"/>
      <c r="N818" s="1455"/>
      <c r="O818" s="1455"/>
      <c r="P818" s="545"/>
    </row>
    <row r="819" spans="1:16" ht="12.75" customHeight="1" x14ac:dyDescent="0.25">
      <c r="A819" s="1442"/>
      <c r="D819" s="1442"/>
      <c r="E819" s="549" t="s">
        <v>1470</v>
      </c>
      <c r="I819" s="1554"/>
      <c r="J819" s="134"/>
      <c r="K819" s="134"/>
      <c r="L819" s="134"/>
      <c r="M819" s="134"/>
      <c r="N819" s="134"/>
      <c r="O819" s="134"/>
      <c r="P819" s="545"/>
    </row>
    <row r="820" spans="1:16" ht="12.75" customHeight="1" x14ac:dyDescent="0.25">
      <c r="A820" s="1442"/>
      <c r="D820" s="1442"/>
      <c r="E820" s="1441" t="s">
        <v>1471</v>
      </c>
      <c r="H820" s="1556"/>
      <c r="I820" s="1554"/>
      <c r="J820" s="134">
        <v>13488</v>
      </c>
      <c r="K820" s="134">
        <v>13839</v>
      </c>
      <c r="L820" s="134">
        <f t="shared" ref="L820:L829" si="82">ROUND(K820*T$3,0)</f>
        <v>14420</v>
      </c>
      <c r="M820" s="134">
        <f t="shared" ref="M820:M829" si="83">ROUND(L820*U$3,0)</f>
        <v>14954</v>
      </c>
      <c r="N820" s="134">
        <f t="shared" ref="N820:N829" si="84">ROUND(M820*V$3,0)</f>
        <v>15507</v>
      </c>
      <c r="O820" s="134">
        <f t="shared" ref="O820:O829" si="85">ROUND(N820*W$3,0)</f>
        <v>16081</v>
      </c>
      <c r="P820" s="545"/>
    </row>
    <row r="821" spans="1:16" ht="12.75" customHeight="1" x14ac:dyDescent="0.25">
      <c r="A821" s="1442"/>
      <c r="D821" s="1442"/>
      <c r="E821" s="1441" t="s">
        <v>1472</v>
      </c>
      <c r="H821" s="1556"/>
      <c r="I821" s="1554"/>
      <c r="J821" s="134">
        <v>16595</v>
      </c>
      <c r="K821" s="134">
        <v>19330</v>
      </c>
      <c r="L821" s="134">
        <f t="shared" si="82"/>
        <v>20142</v>
      </c>
      <c r="M821" s="134">
        <f t="shared" si="83"/>
        <v>20887</v>
      </c>
      <c r="N821" s="134">
        <f t="shared" si="84"/>
        <v>21660</v>
      </c>
      <c r="O821" s="134">
        <f t="shared" si="85"/>
        <v>22461</v>
      </c>
      <c r="P821" s="545"/>
    </row>
    <row r="822" spans="1:16" ht="12.75" customHeight="1" x14ac:dyDescent="0.25">
      <c r="A822" s="1442"/>
      <c r="D822" s="1442"/>
      <c r="E822" s="1441" t="s">
        <v>1473</v>
      </c>
      <c r="H822" s="1556"/>
      <c r="I822" s="1554"/>
      <c r="J822" s="134">
        <v>27427</v>
      </c>
      <c r="K822" s="134">
        <v>28692</v>
      </c>
      <c r="L822" s="134">
        <f t="shared" si="82"/>
        <v>29897</v>
      </c>
      <c r="M822" s="134">
        <f t="shared" si="83"/>
        <v>31003</v>
      </c>
      <c r="N822" s="134">
        <f t="shared" si="84"/>
        <v>32150</v>
      </c>
      <c r="O822" s="134">
        <f t="shared" si="85"/>
        <v>33340</v>
      </c>
      <c r="P822" s="545"/>
    </row>
    <row r="823" spans="1:16" ht="12.75" customHeight="1" x14ac:dyDescent="0.25">
      <c r="A823" s="1442"/>
      <c r="D823" s="1442"/>
      <c r="E823" s="1441" t="s">
        <v>1474</v>
      </c>
      <c r="H823" s="1556"/>
      <c r="I823" s="1554"/>
      <c r="J823" s="134">
        <v>10880</v>
      </c>
      <c r="K823" s="134">
        <v>11208</v>
      </c>
      <c r="L823" s="134">
        <f t="shared" si="82"/>
        <v>11679</v>
      </c>
      <c r="M823" s="134">
        <f t="shared" si="83"/>
        <v>12111</v>
      </c>
      <c r="N823" s="134">
        <f t="shared" si="84"/>
        <v>12559</v>
      </c>
      <c r="O823" s="134">
        <f t="shared" si="85"/>
        <v>13024</v>
      </c>
      <c r="P823" s="545"/>
    </row>
    <row r="824" spans="1:16" ht="12.75" customHeight="1" x14ac:dyDescent="0.25">
      <c r="A824" s="1442"/>
      <c r="D824" s="1442"/>
      <c r="E824" s="1441" t="s">
        <v>1475</v>
      </c>
      <c r="H824" s="1556"/>
      <c r="I824" s="1554"/>
      <c r="J824" s="134">
        <v>12145</v>
      </c>
      <c r="K824" s="134">
        <v>12415</v>
      </c>
      <c r="L824" s="134">
        <f t="shared" si="82"/>
        <v>12936</v>
      </c>
      <c r="M824" s="134">
        <f t="shared" si="83"/>
        <v>13415</v>
      </c>
      <c r="N824" s="134">
        <f t="shared" si="84"/>
        <v>13911</v>
      </c>
      <c r="O824" s="134">
        <f t="shared" si="85"/>
        <v>14426</v>
      </c>
      <c r="P824" s="545"/>
    </row>
    <row r="825" spans="1:16" ht="12.75" customHeight="1" x14ac:dyDescent="0.25">
      <c r="A825" s="1442"/>
      <c r="D825" s="1442"/>
      <c r="E825" s="1441" t="s">
        <v>1476</v>
      </c>
      <c r="H825" s="1556"/>
      <c r="I825" s="1554"/>
      <c r="J825" s="134">
        <v>12728</v>
      </c>
      <c r="K825" s="134">
        <v>13145</v>
      </c>
      <c r="L825" s="134">
        <f t="shared" si="82"/>
        <v>13697</v>
      </c>
      <c r="M825" s="134">
        <f t="shared" si="83"/>
        <v>14204</v>
      </c>
      <c r="N825" s="134">
        <f t="shared" si="84"/>
        <v>14730</v>
      </c>
      <c r="O825" s="134">
        <f t="shared" si="85"/>
        <v>15275</v>
      </c>
      <c r="P825" s="134"/>
    </row>
    <row r="826" spans="1:16" ht="12.75" customHeight="1" x14ac:dyDescent="0.25">
      <c r="A826" s="1442"/>
      <c r="D826" s="1442"/>
      <c r="E826" s="1441" t="s">
        <v>1477</v>
      </c>
      <c r="H826" s="1556"/>
      <c r="I826" s="1554"/>
      <c r="J826" s="134">
        <v>7886</v>
      </c>
      <c r="K826" s="134">
        <v>8351</v>
      </c>
      <c r="L826" s="134">
        <f t="shared" si="82"/>
        <v>8702</v>
      </c>
      <c r="M826" s="134">
        <f t="shared" si="83"/>
        <v>9024</v>
      </c>
      <c r="N826" s="134">
        <f t="shared" si="84"/>
        <v>9358</v>
      </c>
      <c r="O826" s="134">
        <f t="shared" si="85"/>
        <v>9704</v>
      </c>
      <c r="P826" s="134"/>
    </row>
    <row r="827" spans="1:16" ht="12.75" customHeight="1" x14ac:dyDescent="0.25">
      <c r="A827" s="1442"/>
      <c r="D827" s="1442"/>
      <c r="E827" s="1441" t="s">
        <v>1478</v>
      </c>
      <c r="H827" s="1556"/>
      <c r="I827" s="1554"/>
      <c r="J827" s="134">
        <v>7993</v>
      </c>
      <c r="K827" s="134">
        <v>7840</v>
      </c>
      <c r="L827" s="134">
        <f t="shared" si="82"/>
        <v>8169</v>
      </c>
      <c r="M827" s="134">
        <f t="shared" si="83"/>
        <v>8471</v>
      </c>
      <c r="N827" s="134">
        <f t="shared" si="84"/>
        <v>8784</v>
      </c>
      <c r="O827" s="134">
        <f t="shared" si="85"/>
        <v>9109</v>
      </c>
      <c r="P827" s="1474"/>
    </row>
    <row r="828" spans="1:16" ht="12.75" customHeight="1" x14ac:dyDescent="0.25">
      <c r="A828" s="1442"/>
      <c r="D828" s="1442"/>
      <c r="E828" s="1441" t="s">
        <v>1479</v>
      </c>
      <c r="H828" s="1556"/>
      <c r="I828" s="1554"/>
      <c r="J828" s="134">
        <v>5459</v>
      </c>
      <c r="K828" s="134">
        <v>4140</v>
      </c>
      <c r="L828" s="134">
        <f t="shared" si="82"/>
        <v>4314</v>
      </c>
      <c r="M828" s="134">
        <f t="shared" si="83"/>
        <v>4474</v>
      </c>
      <c r="N828" s="134">
        <f t="shared" si="84"/>
        <v>4640</v>
      </c>
      <c r="O828" s="134">
        <f t="shared" si="85"/>
        <v>4812</v>
      </c>
      <c r="P828" s="1474"/>
    </row>
    <row r="829" spans="1:16" ht="12.75" customHeight="1" x14ac:dyDescent="0.25">
      <c r="A829" s="1442"/>
      <c r="D829" s="1442"/>
      <c r="E829" s="1441" t="s">
        <v>1480</v>
      </c>
      <c r="H829" s="1556"/>
      <c r="I829" s="1554"/>
      <c r="J829" s="134">
        <v>6242</v>
      </c>
      <c r="K829" s="134">
        <v>6425</v>
      </c>
      <c r="L829" s="134">
        <f t="shared" si="82"/>
        <v>6695</v>
      </c>
      <c r="M829" s="134">
        <f t="shared" si="83"/>
        <v>6943</v>
      </c>
      <c r="N829" s="134">
        <f t="shared" si="84"/>
        <v>7200</v>
      </c>
      <c r="O829" s="134">
        <f t="shared" si="85"/>
        <v>7466</v>
      </c>
      <c r="P829" s="1474"/>
    </row>
    <row r="830" spans="1:16" ht="12.75" customHeight="1" thickBot="1" x14ac:dyDescent="0.3">
      <c r="A830" s="1442"/>
      <c r="D830" s="1442"/>
      <c r="E830" s="549" t="s">
        <v>1481</v>
      </c>
      <c r="H830" s="1556"/>
      <c r="I830" s="1554"/>
      <c r="J830" s="1839">
        <v>120843</v>
      </c>
      <c r="K830" s="1839">
        <v>125385</v>
      </c>
      <c r="L830" s="1839">
        <f>SUM(L820:L829)</f>
        <v>130651</v>
      </c>
      <c r="M830" s="1839">
        <f>SUM(M820:M829)</f>
        <v>135486</v>
      </c>
      <c r="N830" s="1839">
        <f>SUM(N820:N829)</f>
        <v>140499</v>
      </c>
      <c r="O830" s="1839">
        <f>SUM(O820:O829)</f>
        <v>145698</v>
      </c>
      <c r="P830" s="1474"/>
    </row>
    <row r="831" spans="1:16" ht="12.75" customHeight="1" thickTop="1" x14ac:dyDescent="0.25">
      <c r="A831" s="1442"/>
      <c r="D831" s="1442"/>
      <c r="H831" s="1556"/>
      <c r="I831" s="1554"/>
      <c r="J831" s="134"/>
      <c r="K831" s="134"/>
      <c r="L831" s="134"/>
      <c r="M831" s="134"/>
      <c r="N831" s="134"/>
      <c r="O831" s="134"/>
      <c r="P831" s="1474"/>
    </row>
    <row r="832" spans="1:16" ht="12.75" customHeight="1" x14ac:dyDescent="0.25">
      <c r="A832" s="1442"/>
      <c r="D832" s="1442"/>
      <c r="E832" s="549" t="s">
        <v>946</v>
      </c>
      <c r="I832" s="134"/>
      <c r="J832" s="1830">
        <v>2025</v>
      </c>
      <c r="K832" s="1830">
        <v>2026</v>
      </c>
      <c r="L832" s="1830">
        <v>2027</v>
      </c>
      <c r="M832" s="1830">
        <v>2028</v>
      </c>
      <c r="N832" s="1830">
        <v>2029</v>
      </c>
      <c r="O832" s="1830">
        <v>2030</v>
      </c>
    </row>
    <row r="833" spans="1:20" ht="12.75" customHeight="1" x14ac:dyDescent="0.25">
      <c r="A833" s="1442"/>
      <c r="D833" s="1442"/>
      <c r="E833" s="1434"/>
      <c r="I833" s="134"/>
      <c r="J833" s="134"/>
      <c r="K833" s="134"/>
      <c r="L833" s="134"/>
      <c r="M833" s="134"/>
      <c r="N833" s="134"/>
      <c r="O833" s="134"/>
      <c r="P833" s="545"/>
    </row>
    <row r="834" spans="1:20" ht="12.75" customHeight="1" x14ac:dyDescent="0.25">
      <c r="A834" s="1442"/>
      <c r="D834" s="1442"/>
      <c r="E834" s="1434" t="s">
        <v>1482</v>
      </c>
      <c r="F834" s="1435"/>
      <c r="I834" s="134"/>
      <c r="J834" s="134">
        <v>1965768</v>
      </c>
      <c r="K834" s="134">
        <v>1953690</v>
      </c>
      <c r="L834" s="134">
        <f>SUM(L34:L36)+L55</f>
        <v>2115665</v>
      </c>
      <c r="M834" s="134">
        <f>SUM(M34:M36)+M55</f>
        <v>2293738</v>
      </c>
      <c r="N834" s="134">
        <f>SUM(N34:N36)+N55</f>
        <v>2482344.518550267</v>
      </c>
      <c r="O834" s="134">
        <f>SUM(O34:O36)+O55</f>
        <v>2645513.1045187702</v>
      </c>
    </row>
    <row r="835" spans="1:20" ht="12.75" customHeight="1" x14ac:dyDescent="0.25">
      <c r="A835" s="1442"/>
      <c r="D835" s="1442"/>
      <c r="E835" s="1434" t="s">
        <v>1483</v>
      </c>
      <c r="F835" s="1435"/>
      <c r="I835" s="134"/>
      <c r="J835" s="1511">
        <v>-300000</v>
      </c>
      <c r="K835" s="1511">
        <v>-300000</v>
      </c>
      <c r="L835" s="1511">
        <f>-L293</f>
        <v>-300000</v>
      </c>
      <c r="M835" s="1511">
        <f>-M293</f>
        <v>-300000</v>
      </c>
      <c r="N835" s="1511">
        <f>-N293</f>
        <v>-300000</v>
      </c>
      <c r="O835" s="1511">
        <f>-O293</f>
        <v>-300000</v>
      </c>
    </row>
    <row r="836" spans="1:20" ht="12.75" customHeight="1" x14ac:dyDescent="0.25">
      <c r="A836" s="1442"/>
      <c r="D836" s="1442"/>
      <c r="E836" s="1434" t="s">
        <v>1484</v>
      </c>
      <c r="F836" s="1435"/>
      <c r="I836" s="134"/>
      <c r="J836" s="1840">
        <v>1665768</v>
      </c>
      <c r="K836" s="1840">
        <v>1653690</v>
      </c>
      <c r="L836" s="1840">
        <f>SUM(L834:L835)</f>
        <v>1815665</v>
      </c>
      <c r="M836" s="1840">
        <f>SUM(M834:M835)</f>
        <v>1993738</v>
      </c>
      <c r="N836" s="1840">
        <f>SUM(N834:N835)</f>
        <v>2182344.518550267</v>
      </c>
      <c r="O836" s="1840">
        <f>SUM(O834:O835)</f>
        <v>2345513.1045187702</v>
      </c>
    </row>
    <row r="837" spans="1:20" ht="12.75" customHeight="1" x14ac:dyDescent="0.25">
      <c r="A837" s="1442"/>
      <c r="D837" s="1442"/>
      <c r="E837" s="1434"/>
      <c r="F837" s="1435"/>
      <c r="I837" s="134"/>
      <c r="J837" s="134"/>
      <c r="K837" s="134"/>
      <c r="L837" s="134"/>
      <c r="M837" s="134"/>
      <c r="N837" s="134"/>
      <c r="O837" s="134"/>
      <c r="P837" s="134"/>
      <c r="Q837" s="139"/>
      <c r="R837" s="139"/>
      <c r="T837" s="1434"/>
    </row>
    <row r="838" spans="1:20" ht="12.75" customHeight="1" x14ac:dyDescent="0.25">
      <c r="A838" s="1442"/>
      <c r="D838" s="1442"/>
      <c r="E838" s="1434" t="s">
        <v>1485</v>
      </c>
      <c r="F838" s="1435"/>
      <c r="I838" s="134"/>
      <c r="J838" s="1474">
        <v>16193044</v>
      </c>
      <c r="K838" s="1474">
        <v>17914064</v>
      </c>
      <c r="L838" s="1474">
        <f>ROUND(K838*T$3,0)</f>
        <v>18666455</v>
      </c>
      <c r="M838" s="1474">
        <f t="shared" ref="M838:O838" si="86">ROUND(L838*U$3,0)</f>
        <v>19357114</v>
      </c>
      <c r="N838" s="1474">
        <f t="shared" si="86"/>
        <v>20073327</v>
      </c>
      <c r="O838" s="1474">
        <f t="shared" si="86"/>
        <v>20816040</v>
      </c>
      <c r="P838" s="1471" t="s">
        <v>1486</v>
      </c>
      <c r="T838" s="1434"/>
    </row>
    <row r="839" spans="1:20" ht="12.75" customHeight="1" x14ac:dyDescent="0.25">
      <c r="D839" s="1434"/>
      <c r="E839" s="1434"/>
      <c r="F839" s="1435"/>
      <c r="H839" s="1441"/>
      <c r="I839" s="134"/>
      <c r="J839" s="134"/>
      <c r="K839" s="134"/>
      <c r="L839" s="134"/>
      <c r="M839" s="134"/>
      <c r="N839" s="134"/>
      <c r="O839" s="134"/>
      <c r="P839" s="134"/>
    </row>
    <row r="840" spans="1:20" ht="12.75" customHeight="1" x14ac:dyDescent="0.25">
      <c r="D840" s="1434"/>
      <c r="E840" s="1434" t="s">
        <v>1487</v>
      </c>
      <c r="F840" s="1435"/>
      <c r="I840" s="134"/>
      <c r="J840" s="1840">
        <v>16193044</v>
      </c>
      <c r="K840" s="1840">
        <v>17914064</v>
      </c>
      <c r="L840" s="1840">
        <f>SUM(L838:L839)</f>
        <v>18666455</v>
      </c>
      <c r="M840" s="1840">
        <f>SUM(M838:M839)</f>
        <v>19357114</v>
      </c>
      <c r="N840" s="1840">
        <f>SUM(N838:N839)</f>
        <v>20073327</v>
      </c>
      <c r="O840" s="1840">
        <f>SUM(O838:O839)</f>
        <v>20816040</v>
      </c>
      <c r="P840" s="134"/>
    </row>
    <row r="841" spans="1:20" ht="12.75" customHeight="1" x14ac:dyDescent="0.25">
      <c r="D841" s="1434"/>
      <c r="E841" s="1434"/>
      <c r="F841" s="1435"/>
      <c r="I841" s="134"/>
      <c r="P841" s="134"/>
    </row>
    <row r="842" spans="1:20" ht="12.75" customHeight="1" x14ac:dyDescent="0.25">
      <c r="D842" s="1434"/>
      <c r="E842" s="1434" t="s">
        <v>1488</v>
      </c>
      <c r="F842" s="1435"/>
      <c r="I842" s="134"/>
      <c r="J842" s="1568">
        <v>0.10286935550845165</v>
      </c>
      <c r="K842" s="1568">
        <v>9.0140015130011811E-2</v>
      </c>
      <c r="L842" s="1568">
        <v>9.4116051248378754E-2</v>
      </c>
      <c r="M842" s="1568">
        <v>9.9292008067508306E-2</v>
      </c>
      <c r="N842" s="1568">
        <v>0.10438807427196223</v>
      </c>
      <c r="O842" s="2076">
        <v>0</v>
      </c>
      <c r="P842" s="134"/>
    </row>
    <row r="843" spans="1:20" ht="12.75" customHeight="1" x14ac:dyDescent="0.25">
      <c r="D843" s="1434"/>
      <c r="E843" s="1434"/>
      <c r="I843" s="134"/>
      <c r="J843" s="134"/>
      <c r="K843" s="134"/>
      <c r="L843" s="134"/>
      <c r="M843" s="134"/>
      <c r="N843" s="134"/>
      <c r="O843" s="134"/>
      <c r="P843" s="134"/>
    </row>
    <row r="844" spans="1:20" ht="12.75" customHeight="1" x14ac:dyDescent="0.25">
      <c r="D844" s="1434"/>
      <c r="E844" s="1569" t="s">
        <v>1489</v>
      </c>
      <c r="F844" s="549"/>
      <c r="I844" s="134"/>
      <c r="J844" s="134"/>
      <c r="K844" s="134"/>
      <c r="L844" s="134"/>
      <c r="M844" s="134"/>
      <c r="N844" s="134"/>
      <c r="O844" s="134"/>
      <c r="P844" s="134"/>
    </row>
    <row r="845" spans="1:20" ht="12.75" customHeight="1" x14ac:dyDescent="0.25">
      <c r="D845" s="1434"/>
      <c r="E845" s="1569"/>
      <c r="F845" s="549"/>
      <c r="I845" s="134"/>
      <c r="J845" s="134"/>
      <c r="K845" s="134"/>
      <c r="L845" s="134"/>
      <c r="M845" s="134"/>
      <c r="N845" s="134"/>
      <c r="O845" s="134"/>
      <c r="P845" s="134"/>
    </row>
    <row r="846" spans="1:20" ht="12.75" customHeight="1" x14ac:dyDescent="0.25">
      <c r="D846" s="1434"/>
      <c r="E846" s="794" t="s">
        <v>1490</v>
      </c>
      <c r="F846" s="1435"/>
      <c r="I846" s="134"/>
      <c r="J846" s="134"/>
      <c r="K846" s="134"/>
      <c r="L846" s="134"/>
      <c r="M846" s="134"/>
      <c r="N846" s="134"/>
      <c r="O846" s="134"/>
      <c r="P846" s="134" t="s">
        <v>1491</v>
      </c>
    </row>
    <row r="847" spans="1:20" ht="12.75" customHeight="1" x14ac:dyDescent="0.25">
      <c r="D847" s="1434"/>
      <c r="E847" s="1441" t="s">
        <v>1492</v>
      </c>
      <c r="F847" s="1435"/>
      <c r="I847" s="134"/>
      <c r="J847" s="1474">
        <v>4465</v>
      </c>
      <c r="K847" s="1474">
        <v>4459</v>
      </c>
      <c r="L847" s="1474">
        <f t="shared" ref="L847:O850" si="87">ROUND(K847*T$3,0)</f>
        <v>4646</v>
      </c>
      <c r="M847" s="1474">
        <f t="shared" si="87"/>
        <v>4818</v>
      </c>
      <c r="N847" s="1474">
        <f t="shared" si="87"/>
        <v>4996</v>
      </c>
      <c r="O847" s="1474">
        <f t="shared" si="87"/>
        <v>5181</v>
      </c>
      <c r="P847" s="134"/>
    </row>
    <row r="848" spans="1:20" ht="12.75" customHeight="1" x14ac:dyDescent="0.25">
      <c r="D848" s="1434"/>
      <c r="E848" s="1441" t="s">
        <v>1493</v>
      </c>
      <c r="F848" s="1435"/>
      <c r="I848" s="134"/>
      <c r="J848" s="1474">
        <v>8513</v>
      </c>
      <c r="K848" s="1474">
        <v>6933</v>
      </c>
      <c r="L848" s="1474">
        <f t="shared" si="87"/>
        <v>7224</v>
      </c>
      <c r="M848" s="1474">
        <f t="shared" si="87"/>
        <v>7491</v>
      </c>
      <c r="N848" s="1474">
        <f t="shared" si="87"/>
        <v>7768</v>
      </c>
      <c r="O848" s="1474">
        <f t="shared" si="87"/>
        <v>8055</v>
      </c>
      <c r="P848" s="134"/>
    </row>
    <row r="849" spans="2:19" ht="12.75" customHeight="1" x14ac:dyDescent="0.25">
      <c r="D849" s="1434"/>
      <c r="E849" s="1441" t="s">
        <v>1494</v>
      </c>
      <c r="F849" s="1435"/>
      <c r="I849" s="134"/>
      <c r="J849" s="1474">
        <v>58123</v>
      </c>
      <c r="K849" s="1474">
        <v>59939.17</v>
      </c>
      <c r="L849" s="1474">
        <f t="shared" si="87"/>
        <v>62457</v>
      </c>
      <c r="M849" s="1474">
        <f t="shared" si="87"/>
        <v>64768</v>
      </c>
      <c r="N849" s="1474">
        <f t="shared" si="87"/>
        <v>67164</v>
      </c>
      <c r="O849" s="1474">
        <f t="shared" si="87"/>
        <v>69649</v>
      </c>
      <c r="P849" s="134"/>
    </row>
    <row r="850" spans="2:19" ht="12.75" customHeight="1" x14ac:dyDescent="0.25">
      <c r="D850" s="1434"/>
      <c r="E850" s="1441" t="s">
        <v>1495</v>
      </c>
      <c r="F850" s="1435"/>
      <c r="I850" s="134"/>
      <c r="J850" s="1474">
        <v>425157</v>
      </c>
      <c r="K850" s="1474">
        <v>469578</v>
      </c>
      <c r="L850" s="1474">
        <f t="shared" si="87"/>
        <v>489300</v>
      </c>
      <c r="M850" s="1474">
        <f t="shared" si="87"/>
        <v>507404</v>
      </c>
      <c r="N850" s="1474">
        <f t="shared" si="87"/>
        <v>526178</v>
      </c>
      <c r="O850" s="1474">
        <f t="shared" si="87"/>
        <v>545647</v>
      </c>
      <c r="P850" s="134"/>
    </row>
    <row r="851" spans="2:19" ht="12.75" customHeight="1" x14ac:dyDescent="0.25">
      <c r="D851" s="1434"/>
      <c r="E851" s="1441" t="s">
        <v>1496</v>
      </c>
      <c r="F851" s="1435"/>
      <c r="I851" s="134"/>
      <c r="J851" s="1834">
        <v>496258</v>
      </c>
      <c r="K851" s="1841">
        <v>540909.17000000004</v>
      </c>
      <c r="L851" s="1834">
        <f>SUM(L846:L850)</f>
        <v>563627</v>
      </c>
      <c r="M851" s="1834">
        <f>SUM(M846:M850)</f>
        <v>584481</v>
      </c>
      <c r="N851" s="1834">
        <f>SUM(N846:N850)</f>
        <v>606106</v>
      </c>
      <c r="O851" s="1834">
        <f>SUM(O846:O850)</f>
        <v>628532</v>
      </c>
      <c r="P851" s="134"/>
    </row>
    <row r="852" spans="2:19" ht="12.75" customHeight="1" x14ac:dyDescent="0.25">
      <c r="D852" s="1434"/>
      <c r="E852" s="1441"/>
      <c r="F852" s="1435"/>
      <c r="I852" s="134"/>
      <c r="J852" s="134"/>
      <c r="K852" s="134"/>
      <c r="L852" s="134"/>
      <c r="M852" s="134"/>
      <c r="N852" s="134"/>
      <c r="O852" s="134"/>
      <c r="P852" s="134"/>
    </row>
    <row r="853" spans="2:19" ht="12.75" customHeight="1" x14ac:dyDescent="0.25">
      <c r="D853" s="1434"/>
      <c r="E853" s="1441" t="s">
        <v>1497</v>
      </c>
      <c r="F853" s="1435"/>
      <c r="J853" s="545">
        <v>51050</v>
      </c>
      <c r="K853" s="545">
        <v>48758</v>
      </c>
      <c r="L853" s="545">
        <f>ROUND(L851*L842,0)</f>
        <v>53046</v>
      </c>
      <c r="M853" s="545">
        <f>ROUND(M851*M842,0)</f>
        <v>58034</v>
      </c>
      <c r="N853" s="545">
        <f>ROUND(N851*N842,0)</f>
        <v>63270</v>
      </c>
      <c r="O853" s="545">
        <f>ROUND(O851*O842,0)</f>
        <v>0</v>
      </c>
      <c r="P853" s="134"/>
    </row>
    <row r="854" spans="2:19" ht="12.75" customHeight="1" x14ac:dyDescent="0.25">
      <c r="D854" s="1434"/>
      <c r="E854" s="1441"/>
      <c r="F854" s="1435"/>
      <c r="I854" s="134"/>
      <c r="J854" s="134"/>
      <c r="K854" s="134"/>
      <c r="L854" s="134"/>
      <c r="M854" s="134"/>
      <c r="N854" s="134"/>
      <c r="O854" s="134"/>
      <c r="P854" s="134"/>
    </row>
    <row r="855" spans="2:19" ht="12.75" customHeight="1" x14ac:dyDescent="0.25">
      <c r="D855" s="1434"/>
      <c r="E855" s="1570" t="s">
        <v>1498</v>
      </c>
      <c r="F855" s="1435"/>
      <c r="I855" s="134"/>
      <c r="J855" s="134"/>
      <c r="K855" s="134"/>
      <c r="L855" s="134"/>
      <c r="M855" s="134"/>
      <c r="N855" s="134"/>
      <c r="O855" s="134"/>
      <c r="P855" s="134"/>
    </row>
    <row r="856" spans="2:19" ht="12.75" customHeight="1" x14ac:dyDescent="0.25">
      <c r="D856" s="1434"/>
      <c r="E856" s="1441" t="s">
        <v>1492</v>
      </c>
      <c r="F856" s="1435"/>
      <c r="I856" s="134"/>
      <c r="J856" s="1474">
        <v>390437</v>
      </c>
      <c r="K856" s="1474">
        <v>386572</v>
      </c>
      <c r="L856" s="1474">
        <f>ROUND(K856*T$3,0)</f>
        <v>402808</v>
      </c>
      <c r="M856" s="1474">
        <f>ROUND(L856*U$3,0)</f>
        <v>417712</v>
      </c>
      <c r="N856" s="1474">
        <f>ROUND(M856*V$3,0)</f>
        <v>433167</v>
      </c>
      <c r="O856" s="1474">
        <f>ROUND(N856*W$3,0)</f>
        <v>449194</v>
      </c>
      <c r="P856" s="1474" t="s">
        <v>1499</v>
      </c>
    </row>
    <row r="857" spans="2:19" ht="12.75" customHeight="1" x14ac:dyDescent="0.25">
      <c r="D857" s="1434"/>
      <c r="E857" s="1441" t="s">
        <v>1500</v>
      </c>
      <c r="F857" s="1435"/>
      <c r="I857" s="134"/>
      <c r="J857" s="1834">
        <v>390437</v>
      </c>
      <c r="K857" s="1834">
        <v>386572</v>
      </c>
      <c r="L857" s="1834">
        <f t="shared" ref="L857:M857" si="88">SUM(L856)</f>
        <v>402808</v>
      </c>
      <c r="M857" s="1834">
        <f t="shared" si="88"/>
        <v>417712</v>
      </c>
      <c r="N857" s="1834">
        <f t="shared" ref="N857:O857" si="89">SUM(N856)</f>
        <v>433167</v>
      </c>
      <c r="O857" s="1834">
        <f t="shared" si="89"/>
        <v>449194</v>
      </c>
      <c r="P857" s="134"/>
    </row>
    <row r="858" spans="2:19" ht="12.75" customHeight="1" x14ac:dyDescent="0.25">
      <c r="D858" s="1434"/>
      <c r="E858" s="1441"/>
      <c r="F858" s="1435"/>
      <c r="I858" s="134"/>
      <c r="J858" s="134"/>
      <c r="K858" s="134"/>
      <c r="L858" s="134"/>
      <c r="M858" s="134"/>
      <c r="N858" s="134"/>
      <c r="O858" s="134"/>
      <c r="P858" s="134"/>
    </row>
    <row r="859" spans="2:19" ht="12.75" customHeight="1" x14ac:dyDescent="0.25">
      <c r="D859" s="1434"/>
      <c r="E859" s="1441" t="s">
        <v>1501</v>
      </c>
      <c r="F859" s="1435"/>
      <c r="J859" s="545">
        <v>40164</v>
      </c>
      <c r="K859" s="545">
        <v>34846</v>
      </c>
      <c r="L859" s="545">
        <f>ROUND(L857*L842,0)</f>
        <v>37911</v>
      </c>
      <c r="M859" s="545">
        <f>ROUND(M857*M842,0)</f>
        <v>41475</v>
      </c>
      <c r="N859" s="545">
        <f>ROUND(N857*N842,0)</f>
        <v>45217</v>
      </c>
      <c r="O859" s="545">
        <f>ROUND(O857*O842,0)</f>
        <v>0</v>
      </c>
      <c r="P859" s="1474"/>
    </row>
    <row r="860" spans="2:19" ht="12.75" customHeight="1" x14ac:dyDescent="0.25">
      <c r="D860" s="1434"/>
      <c r="E860" s="1441"/>
      <c r="F860" s="1435"/>
      <c r="I860" s="134"/>
      <c r="J860" s="134"/>
      <c r="K860" s="134"/>
      <c r="L860" s="134"/>
      <c r="M860" s="134"/>
      <c r="N860" s="134"/>
      <c r="O860" s="134"/>
      <c r="P860" s="134"/>
    </row>
    <row r="861" spans="2:19" ht="12.75" customHeight="1" x14ac:dyDescent="0.25">
      <c r="D861" s="1434"/>
      <c r="E861" s="794" t="s">
        <v>1502</v>
      </c>
      <c r="F861" s="1435"/>
      <c r="I861" s="134"/>
      <c r="J861" s="134"/>
      <c r="K861" s="134"/>
      <c r="L861" s="134"/>
      <c r="M861" s="134"/>
      <c r="N861" s="134"/>
      <c r="O861" s="134"/>
      <c r="P861" s="134"/>
    </row>
    <row r="862" spans="2:19" ht="12.75" customHeight="1" x14ac:dyDescent="0.25">
      <c r="D862" s="1434"/>
      <c r="E862" s="1441" t="s">
        <v>1492</v>
      </c>
      <c r="F862" s="1435"/>
      <c r="I862" s="134"/>
      <c r="J862" s="1474">
        <v>288291.3</v>
      </c>
      <c r="K862" s="1474">
        <v>286204.64</v>
      </c>
      <c r="L862" s="1474">
        <f>ROUND(K862*T$3,0)</f>
        <v>298225</v>
      </c>
      <c r="M862" s="1474">
        <f>ROUND(L862*U$3,0)</f>
        <v>309259</v>
      </c>
      <c r="N862" s="1474">
        <f>ROUND(M862*V$3,0)</f>
        <v>320702</v>
      </c>
      <c r="O862" s="1474">
        <f>ROUND(N862*W$3,0)</f>
        <v>332568</v>
      </c>
      <c r="P862" s="134" t="s">
        <v>1503</v>
      </c>
    </row>
    <row r="863" spans="2:19" ht="12.75" customHeight="1" x14ac:dyDescent="0.25">
      <c r="D863" s="1434"/>
      <c r="E863" s="1434" t="s">
        <v>1504</v>
      </c>
      <c r="F863" s="1435"/>
      <c r="I863" s="134"/>
      <c r="J863" s="1834">
        <v>288291.3</v>
      </c>
      <c r="K863" s="1834">
        <v>286204.64</v>
      </c>
      <c r="L863" s="1834">
        <f>SUM(L862:L862)</f>
        <v>298225</v>
      </c>
      <c r="M863" s="1834">
        <f>SUM(M862:M862)</f>
        <v>309259</v>
      </c>
      <c r="N863" s="1834">
        <f>SUM(N862:N862)</f>
        <v>320702</v>
      </c>
      <c r="O863" s="1834">
        <f>SUM(O862:O862)</f>
        <v>332568</v>
      </c>
      <c r="P863" s="134"/>
    </row>
    <row r="864" spans="2:19" ht="12.75" customHeight="1" x14ac:dyDescent="0.25">
      <c r="B864" s="1440"/>
      <c r="D864" s="1461"/>
      <c r="E864" s="1434"/>
      <c r="F864" s="1435"/>
      <c r="I864" s="134"/>
      <c r="J864" s="134"/>
      <c r="K864" s="134"/>
      <c r="L864" s="134"/>
      <c r="M864" s="134"/>
      <c r="N864" s="134"/>
      <c r="O864" s="134"/>
      <c r="P864" s="134"/>
      <c r="Q864" s="1434"/>
      <c r="R864" s="1434"/>
      <c r="S864" s="1434"/>
    </row>
    <row r="865" spans="2:19" ht="12.75" customHeight="1" x14ac:dyDescent="0.25">
      <c r="B865" s="1440"/>
      <c r="D865" s="1461"/>
      <c r="E865" s="1441" t="s">
        <v>1505</v>
      </c>
      <c r="F865" s="1435"/>
      <c r="J865" s="545">
        <v>29656</v>
      </c>
      <c r="K865" s="545">
        <v>25798</v>
      </c>
      <c r="L865" s="545">
        <f>ROUND(L863*L842,0)</f>
        <v>28068</v>
      </c>
      <c r="M865" s="545">
        <f>ROUND(M863*M842,0)</f>
        <v>30707</v>
      </c>
      <c r="N865" s="545">
        <f>ROUND(N863*N842,0)</f>
        <v>33477</v>
      </c>
      <c r="O865" s="545">
        <f>ROUND(O863*O842,0)</f>
        <v>0</v>
      </c>
      <c r="P865" s="545"/>
      <c r="Q865" s="1434"/>
      <c r="R865" s="1434"/>
      <c r="S865" s="1434"/>
    </row>
    <row r="866" spans="2:19" ht="12.75" customHeight="1" x14ac:dyDescent="0.25">
      <c r="B866" s="1440"/>
      <c r="D866" s="1461"/>
      <c r="E866" s="1434"/>
      <c r="F866" s="1435"/>
      <c r="I866" s="134"/>
    </row>
    <row r="867" spans="2:19" ht="12.75" customHeight="1" x14ac:dyDescent="0.25">
      <c r="B867" s="1440"/>
      <c r="E867" s="549" t="s">
        <v>1506</v>
      </c>
      <c r="F867" s="1435"/>
      <c r="I867" s="134"/>
      <c r="J867" s="1838">
        <v>120870</v>
      </c>
      <c r="K867" s="1838">
        <v>109402</v>
      </c>
      <c r="L867" s="1838">
        <f>+L853+L859+L865</f>
        <v>119025</v>
      </c>
      <c r="M867" s="1838">
        <f>+M853+M859+M865</f>
        <v>130216</v>
      </c>
      <c r="N867" s="1838">
        <f>+N853+N859+N865</f>
        <v>141964</v>
      </c>
      <c r="O867" s="1838">
        <f>+O853+O859+O865</f>
        <v>0</v>
      </c>
      <c r="P867" s="545"/>
    </row>
    <row r="868" spans="2:19" ht="12.75" customHeight="1" x14ac:dyDescent="0.25">
      <c r="B868" s="1440"/>
      <c r="D868" s="1461"/>
      <c r="E868" s="1434"/>
      <c r="F868" s="1435"/>
      <c r="I868" s="134"/>
    </row>
    <row r="869" spans="2:19" ht="12.75" customHeight="1" x14ac:dyDescent="0.25">
      <c r="B869" s="1440"/>
      <c r="D869" s="1461"/>
      <c r="E869" s="549" t="s">
        <v>947</v>
      </c>
      <c r="F869" s="1461"/>
      <c r="I869" s="134"/>
      <c r="J869" s="1830">
        <v>2025</v>
      </c>
      <c r="K869" s="1830">
        <v>2026</v>
      </c>
      <c r="L869" s="1830">
        <v>2027</v>
      </c>
      <c r="M869" s="1830">
        <v>2028</v>
      </c>
      <c r="N869" s="1830">
        <v>2029</v>
      </c>
      <c r="O869" s="1830">
        <v>2030</v>
      </c>
      <c r="P869" s="134"/>
    </row>
    <row r="870" spans="2:19" ht="12.75" customHeight="1" x14ac:dyDescent="0.25">
      <c r="B870" s="1440"/>
      <c r="D870" s="1461"/>
      <c r="E870" s="1434"/>
      <c r="F870" s="1461"/>
      <c r="J870" s="134"/>
      <c r="K870" s="134"/>
      <c r="L870" s="134"/>
      <c r="M870" s="134"/>
      <c r="N870" s="134"/>
      <c r="O870" s="134"/>
      <c r="P870" s="1471"/>
    </row>
    <row r="871" spans="2:19" ht="12.75" customHeight="1" x14ac:dyDescent="0.25">
      <c r="B871" s="1440"/>
      <c r="D871" s="1461"/>
      <c r="E871" s="1434" t="s">
        <v>1507</v>
      </c>
      <c r="J871" s="134">
        <v>32696.98</v>
      </c>
      <c r="K871" s="134">
        <v>34575.699999999997</v>
      </c>
      <c r="L871" s="134">
        <f>L688+L795+L791</f>
        <v>36028</v>
      </c>
      <c r="M871" s="134">
        <f>M688+M795+M791</f>
        <v>37361</v>
      </c>
      <c r="N871" s="134">
        <f>N688+N795+N791</f>
        <v>38744</v>
      </c>
      <c r="O871" s="134">
        <f>O688+O795+O791</f>
        <v>40178</v>
      </c>
      <c r="P871" s="134" t="s">
        <v>1508</v>
      </c>
      <c r="Q871" s="1434"/>
      <c r="R871" s="1434"/>
    </row>
    <row r="872" spans="2:19" ht="12.75" customHeight="1" x14ac:dyDescent="0.25">
      <c r="B872" s="1440"/>
      <c r="E872" s="1502"/>
      <c r="F872" s="1461"/>
      <c r="J872" s="134"/>
      <c r="K872" s="134"/>
      <c r="L872" s="134"/>
      <c r="M872" s="134"/>
      <c r="N872" s="134"/>
      <c r="O872" s="134"/>
      <c r="P872" s="134"/>
      <c r="Q872" s="1434"/>
      <c r="R872" s="1434"/>
    </row>
    <row r="873" spans="2:19" ht="12.75" customHeight="1" x14ac:dyDescent="0.25">
      <c r="B873" s="1440"/>
      <c r="E873" s="1434" t="s">
        <v>1485</v>
      </c>
      <c r="F873" s="1461"/>
      <c r="J873" s="1474">
        <v>16193044</v>
      </c>
      <c r="K873" s="1474">
        <v>17914064</v>
      </c>
      <c r="L873" s="1474">
        <f>L838</f>
        <v>18666455</v>
      </c>
      <c r="M873" s="1474">
        <f>M838</f>
        <v>19357114</v>
      </c>
      <c r="N873" s="1474">
        <f>N838</f>
        <v>20073327</v>
      </c>
      <c r="O873" s="1474">
        <f>O838</f>
        <v>20816040</v>
      </c>
      <c r="P873" s="134" t="s">
        <v>1509</v>
      </c>
    </row>
    <row r="874" spans="2:19" ht="12.75" customHeight="1" x14ac:dyDescent="0.25">
      <c r="B874" s="1440"/>
      <c r="E874" s="1441" t="s">
        <v>1510</v>
      </c>
      <c r="F874" s="1434" t="s">
        <v>1511</v>
      </c>
      <c r="J874" s="1474">
        <v>-1710061</v>
      </c>
      <c r="K874" s="1474">
        <v>-1657717</v>
      </c>
      <c r="L874" s="1474">
        <f t="shared" ref="L874:O875" si="90">ROUND(K874*T$3,0)</f>
        <v>-1727341</v>
      </c>
      <c r="M874" s="1474">
        <f t="shared" si="90"/>
        <v>-1791253</v>
      </c>
      <c r="N874" s="1474">
        <f t="shared" si="90"/>
        <v>-1857529</v>
      </c>
      <c r="O874" s="1474">
        <f t="shared" si="90"/>
        <v>-1926258</v>
      </c>
      <c r="P874" s="1571" t="s">
        <v>1509</v>
      </c>
    </row>
    <row r="875" spans="2:19" ht="12.75" customHeight="1" x14ac:dyDescent="0.25">
      <c r="B875" s="1440"/>
      <c r="E875" s="1441" t="s">
        <v>1512</v>
      </c>
      <c r="F875" s="1461"/>
      <c r="J875" s="1474">
        <v>-453953.9</v>
      </c>
      <c r="K875" s="1474">
        <v>-453719.77</v>
      </c>
      <c r="L875" s="1474">
        <f t="shared" si="90"/>
        <v>-472776</v>
      </c>
      <c r="M875" s="1474">
        <f t="shared" si="90"/>
        <v>-490269</v>
      </c>
      <c r="N875" s="1474">
        <f t="shared" si="90"/>
        <v>-508409</v>
      </c>
      <c r="O875" s="1474">
        <f t="shared" si="90"/>
        <v>-527220</v>
      </c>
      <c r="P875" s="134" t="s">
        <v>1509</v>
      </c>
    </row>
    <row r="876" spans="2:19" ht="12.75" customHeight="1" x14ac:dyDescent="0.25">
      <c r="B876" s="1440"/>
      <c r="E876" s="1434"/>
      <c r="F876" s="1461"/>
      <c r="H876" s="1441"/>
      <c r="J876" s="1511"/>
      <c r="K876" s="1511"/>
      <c r="L876" s="1511"/>
      <c r="M876" s="1511"/>
      <c r="N876" s="1511"/>
      <c r="O876" s="1511"/>
      <c r="P876" s="134"/>
    </row>
    <row r="877" spans="2:19" ht="12.75" customHeight="1" x14ac:dyDescent="0.25">
      <c r="B877" s="1440"/>
      <c r="E877" s="1434" t="s">
        <v>1487</v>
      </c>
      <c r="J877" s="1840">
        <v>14029029.1</v>
      </c>
      <c r="K877" s="1840">
        <v>15802627.23</v>
      </c>
      <c r="L877" s="1840">
        <f>SUM(L873:L876)</f>
        <v>16466338</v>
      </c>
      <c r="M877" s="1840">
        <f>SUM(M873:M876)</f>
        <v>17075592</v>
      </c>
      <c r="N877" s="1840">
        <f>SUM(N873:N876)</f>
        <v>17707389</v>
      </c>
      <c r="O877" s="1840">
        <f>SUM(O873:O876)</f>
        <v>18362562</v>
      </c>
      <c r="P877" s="134"/>
    </row>
    <row r="878" spans="2:19" ht="12.75" customHeight="1" x14ac:dyDescent="0.25">
      <c r="B878" s="1440"/>
      <c r="E878" s="1434"/>
      <c r="P878" s="134"/>
    </row>
    <row r="879" spans="2:19" ht="12.75" customHeight="1" x14ac:dyDescent="0.25">
      <c r="B879" s="1440"/>
      <c r="E879" s="1434" t="s">
        <v>1513</v>
      </c>
      <c r="J879" s="1568">
        <v>2.3306659189979155E-3</v>
      </c>
      <c r="K879" s="1568">
        <v>2.1879716262850806E-3</v>
      </c>
      <c r="L879" s="1568">
        <f t="shared" ref="L879:N879" si="91">+L871/L877</f>
        <v>2.1879788936677966E-3</v>
      </c>
      <c r="M879" s="1568">
        <f t="shared" si="91"/>
        <v>2.1879768502316055E-3</v>
      </c>
      <c r="N879" s="1568">
        <f t="shared" si="91"/>
        <v>2.1880131508942397E-3</v>
      </c>
      <c r="O879" s="1568">
        <f t="shared" ref="O879" si="92">+O871/O877</f>
        <v>2.1880389021967633E-3</v>
      </c>
      <c r="P879" s="1568"/>
    </row>
    <row r="880" spans="2:19" ht="12.75" customHeight="1" x14ac:dyDescent="0.25">
      <c r="B880" s="1440"/>
      <c r="E880" s="1434"/>
      <c r="P880" s="1568"/>
    </row>
    <row r="881" spans="2:16" ht="12.75" customHeight="1" x14ac:dyDescent="0.25">
      <c r="B881" s="1440"/>
      <c r="E881" s="1569" t="s">
        <v>1514</v>
      </c>
      <c r="F881" s="549"/>
      <c r="I881" s="134"/>
      <c r="J881" s="134"/>
      <c r="K881" s="134"/>
      <c r="L881" s="134"/>
      <c r="M881" s="134"/>
      <c r="N881" s="134"/>
      <c r="O881" s="134"/>
      <c r="P881" s="1568"/>
    </row>
    <row r="882" spans="2:16" ht="12.75" customHeight="1" x14ac:dyDescent="0.25">
      <c r="B882" s="1440"/>
      <c r="E882" s="1569"/>
      <c r="F882" s="549"/>
      <c r="I882" s="134"/>
      <c r="J882" s="134"/>
      <c r="K882" s="134"/>
      <c r="L882" s="134"/>
      <c r="M882" s="134"/>
      <c r="N882" s="134"/>
      <c r="O882" s="134"/>
      <c r="P882" s="1568"/>
    </row>
    <row r="883" spans="2:16" ht="12.75" customHeight="1" x14ac:dyDescent="0.25">
      <c r="B883" s="1440"/>
      <c r="E883" s="794" t="s">
        <v>1490</v>
      </c>
      <c r="I883" s="134"/>
      <c r="J883" s="134"/>
      <c r="K883" s="134"/>
      <c r="L883" s="134"/>
      <c r="M883" s="134"/>
      <c r="N883" s="134"/>
      <c r="O883" s="134"/>
    </row>
    <row r="884" spans="2:16" ht="12.75" customHeight="1" x14ac:dyDescent="0.25">
      <c r="B884" s="1440"/>
      <c r="E884" s="1441" t="s">
        <v>1492</v>
      </c>
      <c r="I884" s="134"/>
      <c r="J884" s="1474">
        <v>4465</v>
      </c>
      <c r="K884" s="1474">
        <v>4459</v>
      </c>
      <c r="L884" s="1474">
        <f t="shared" ref="L884:N887" si="93">+L847</f>
        <v>4646</v>
      </c>
      <c r="M884" s="1474">
        <f t="shared" si="93"/>
        <v>4818</v>
      </c>
      <c r="N884" s="1474">
        <f t="shared" si="93"/>
        <v>4996</v>
      </c>
      <c r="O884" s="1474">
        <f t="shared" ref="O884" si="94">+O847</f>
        <v>5181</v>
      </c>
      <c r="P884" s="134"/>
    </row>
    <row r="885" spans="2:16" ht="12.75" customHeight="1" x14ac:dyDescent="0.25">
      <c r="B885" s="1440"/>
      <c r="E885" s="1441" t="s">
        <v>1493</v>
      </c>
      <c r="I885" s="134"/>
      <c r="J885" s="1474">
        <v>8513</v>
      </c>
      <c r="K885" s="1474">
        <v>6933</v>
      </c>
      <c r="L885" s="1474">
        <f t="shared" si="93"/>
        <v>7224</v>
      </c>
      <c r="M885" s="1474">
        <f t="shared" si="93"/>
        <v>7491</v>
      </c>
      <c r="N885" s="1474">
        <f t="shared" si="93"/>
        <v>7768</v>
      </c>
      <c r="O885" s="1474">
        <f t="shared" ref="O885" si="95">+O848</f>
        <v>8055</v>
      </c>
      <c r="P885" s="134"/>
    </row>
    <row r="886" spans="2:16" ht="12.75" customHeight="1" x14ac:dyDescent="0.25">
      <c r="B886" s="1440"/>
      <c r="E886" s="1441" t="s">
        <v>1494</v>
      </c>
      <c r="I886" s="134"/>
      <c r="J886" s="1474">
        <v>58123</v>
      </c>
      <c r="K886" s="1474">
        <v>59939.17</v>
      </c>
      <c r="L886" s="1474">
        <f t="shared" si="93"/>
        <v>62457</v>
      </c>
      <c r="M886" s="1474">
        <f t="shared" si="93"/>
        <v>64768</v>
      </c>
      <c r="N886" s="1474">
        <f t="shared" si="93"/>
        <v>67164</v>
      </c>
      <c r="O886" s="1474">
        <f t="shared" ref="O886" si="96">+O849</f>
        <v>69649</v>
      </c>
      <c r="P886" s="134"/>
    </row>
    <row r="887" spans="2:16" ht="12.75" customHeight="1" x14ac:dyDescent="0.25">
      <c r="B887" s="1440"/>
      <c r="E887" s="1441" t="s">
        <v>1495</v>
      </c>
      <c r="I887" s="134"/>
      <c r="J887" s="1474">
        <v>425157</v>
      </c>
      <c r="K887" s="1474">
        <v>469578</v>
      </c>
      <c r="L887" s="1474">
        <f t="shared" si="93"/>
        <v>489300</v>
      </c>
      <c r="M887" s="1474">
        <f t="shared" si="93"/>
        <v>507404</v>
      </c>
      <c r="N887" s="1474">
        <f t="shared" si="93"/>
        <v>526178</v>
      </c>
      <c r="O887" s="1474">
        <f t="shared" ref="O887" si="97">+O850</f>
        <v>545647</v>
      </c>
      <c r="P887" s="134"/>
    </row>
    <row r="888" spans="2:16" ht="12.75" customHeight="1" x14ac:dyDescent="0.25">
      <c r="B888" s="1440"/>
      <c r="E888" s="1441" t="s">
        <v>1496</v>
      </c>
      <c r="I888" s="134"/>
      <c r="J888" s="1834">
        <v>496258</v>
      </c>
      <c r="K888" s="1834">
        <v>540909.17000000004</v>
      </c>
      <c r="L888" s="1834">
        <f t="shared" ref="L888:M888" si="98">+SUM(L884:L887)</f>
        <v>563627</v>
      </c>
      <c r="M888" s="1834">
        <f t="shared" si="98"/>
        <v>584481</v>
      </c>
      <c r="N888" s="1834">
        <f t="shared" ref="N888:O888" si="99">+SUM(N884:N887)</f>
        <v>606106</v>
      </c>
      <c r="O888" s="1834">
        <f t="shared" si="99"/>
        <v>628532</v>
      </c>
      <c r="P888" s="1474"/>
    </row>
    <row r="889" spans="2:16" ht="12.75" customHeight="1" x14ac:dyDescent="0.25">
      <c r="B889" s="1440"/>
      <c r="G889" s="1441"/>
      <c r="I889" s="134"/>
      <c r="J889" s="134"/>
      <c r="K889" s="134"/>
      <c r="L889" s="134"/>
      <c r="M889" s="134"/>
      <c r="N889" s="134"/>
      <c r="O889" s="134"/>
      <c r="P889" s="134"/>
    </row>
    <row r="890" spans="2:16" ht="12.75" customHeight="1" x14ac:dyDescent="0.25">
      <c r="B890" s="1440"/>
      <c r="E890" s="1441" t="s">
        <v>1515</v>
      </c>
      <c r="I890" s="1572"/>
      <c r="J890" s="545">
        <v>1157</v>
      </c>
      <c r="K890" s="545">
        <v>1183</v>
      </c>
      <c r="L890" s="545">
        <f>ROUND(L888*L879,0)</f>
        <v>1233</v>
      </c>
      <c r="M890" s="545">
        <f>ROUND(M888*M879,0)</f>
        <v>1279</v>
      </c>
      <c r="N890" s="545">
        <f>ROUND(N888*N879,0)</f>
        <v>1326</v>
      </c>
      <c r="O890" s="545">
        <f>ROUND(O888*O879,0)</f>
        <v>1375</v>
      </c>
      <c r="P890" s="545"/>
    </row>
    <row r="891" spans="2:16" ht="12.75" customHeight="1" x14ac:dyDescent="0.25">
      <c r="B891" s="1440"/>
      <c r="E891" s="1441"/>
      <c r="I891" s="1572"/>
      <c r="J891" s="545"/>
      <c r="K891" s="545"/>
      <c r="L891" s="545"/>
      <c r="M891" s="545"/>
      <c r="N891" s="545"/>
      <c r="O891" s="545"/>
      <c r="P891" s="134"/>
    </row>
    <row r="892" spans="2:16" ht="12.75" customHeight="1" x14ac:dyDescent="0.25">
      <c r="B892" s="1440"/>
      <c r="E892" s="1570" t="s">
        <v>1498</v>
      </c>
      <c r="I892" s="134"/>
      <c r="J892" s="134"/>
      <c r="K892" s="134"/>
      <c r="L892" s="134"/>
      <c r="M892" s="134"/>
      <c r="N892" s="134"/>
      <c r="O892" s="134"/>
      <c r="P892" s="134"/>
    </row>
    <row r="893" spans="2:16" ht="12.75" customHeight="1" x14ac:dyDescent="0.25">
      <c r="B893" s="1440"/>
      <c r="E893" s="1441" t="str">
        <f>+E856</f>
        <v>- Loonkosten beheer en realisatie</v>
      </c>
      <c r="I893" s="134"/>
      <c r="J893" s="1474">
        <v>390437</v>
      </c>
      <c r="K893" s="1474">
        <v>386572</v>
      </c>
      <c r="L893" s="1474">
        <f>+L856</f>
        <v>402808</v>
      </c>
      <c r="M893" s="1474">
        <f>+M856</f>
        <v>417712</v>
      </c>
      <c r="N893" s="1474">
        <f>+N856</f>
        <v>433167</v>
      </c>
      <c r="O893" s="1474">
        <f>+O856</f>
        <v>449194</v>
      </c>
      <c r="P893" s="134"/>
    </row>
    <row r="894" spans="2:16" ht="12.75" customHeight="1" x14ac:dyDescent="0.25">
      <c r="B894" s="1440"/>
      <c r="E894" s="1441" t="s">
        <v>1500</v>
      </c>
      <c r="I894" s="134"/>
      <c r="J894" s="1834">
        <v>390437</v>
      </c>
      <c r="K894" s="1834">
        <v>386572</v>
      </c>
      <c r="L894" s="1834">
        <f t="shared" ref="L894:M894" si="100">+L893</f>
        <v>402808</v>
      </c>
      <c r="M894" s="1834">
        <f t="shared" si="100"/>
        <v>417712</v>
      </c>
      <c r="N894" s="1834">
        <f t="shared" ref="N894:O894" si="101">+N893</f>
        <v>433167</v>
      </c>
      <c r="O894" s="1834">
        <f t="shared" si="101"/>
        <v>449194</v>
      </c>
      <c r="P894" s="134"/>
    </row>
    <row r="895" spans="2:16" ht="12.75" customHeight="1" x14ac:dyDescent="0.25">
      <c r="B895" s="1440"/>
      <c r="E895" s="1441"/>
      <c r="I895" s="134"/>
      <c r="J895" s="134"/>
      <c r="K895" s="134"/>
      <c r="L895" s="134"/>
      <c r="M895" s="134"/>
      <c r="N895" s="134"/>
      <c r="O895" s="134"/>
      <c r="P895" s="545"/>
    </row>
    <row r="896" spans="2:16" ht="12.75" customHeight="1" x14ac:dyDescent="0.25">
      <c r="B896" s="1440"/>
      <c r="E896" s="1441" t="s">
        <v>1501</v>
      </c>
      <c r="I896" s="1572"/>
      <c r="J896" s="545">
        <v>910</v>
      </c>
      <c r="K896" s="545">
        <v>846</v>
      </c>
      <c r="L896" s="545">
        <f>ROUND(L894*L879,0)</f>
        <v>881</v>
      </c>
      <c r="M896" s="545">
        <f>ROUND(M894*M879,0)</f>
        <v>914</v>
      </c>
      <c r="N896" s="545">
        <f>ROUND(N894*N879,0)</f>
        <v>948</v>
      </c>
      <c r="O896" s="545">
        <f>ROUND(O894*O879,0)</f>
        <v>983</v>
      </c>
      <c r="P896" s="134"/>
    </row>
    <row r="897" spans="1:16" ht="12.75" customHeight="1" x14ac:dyDescent="0.25">
      <c r="B897" s="1440"/>
      <c r="E897" s="1441"/>
      <c r="I897" s="134"/>
      <c r="J897" s="134"/>
      <c r="K897" s="134"/>
      <c r="L897" s="134"/>
      <c r="M897" s="134"/>
      <c r="N897" s="134"/>
      <c r="O897" s="134"/>
      <c r="P897" s="134"/>
    </row>
    <row r="898" spans="1:16" ht="12.75" customHeight="1" x14ac:dyDescent="0.25">
      <c r="B898" s="1440"/>
      <c r="E898" s="794" t="s">
        <v>1502</v>
      </c>
      <c r="I898" s="134"/>
      <c r="J898" s="134"/>
      <c r="K898" s="134"/>
      <c r="L898" s="134"/>
      <c r="M898" s="134"/>
      <c r="N898" s="134"/>
      <c r="O898" s="134"/>
      <c r="P898" s="134"/>
    </row>
    <row r="899" spans="1:16" ht="12.75" customHeight="1" x14ac:dyDescent="0.25">
      <c r="B899" s="1440"/>
      <c r="E899" s="1441" t="str">
        <f>+E862</f>
        <v>- Loonkosten beheer en realisatie</v>
      </c>
      <c r="I899" s="134"/>
      <c r="J899" s="1474">
        <v>288291.3</v>
      </c>
      <c r="K899" s="1474">
        <v>286204.64</v>
      </c>
      <c r="L899" s="1474">
        <f>+L862</f>
        <v>298225</v>
      </c>
      <c r="M899" s="1474">
        <f>+M862</f>
        <v>309259</v>
      </c>
      <c r="N899" s="1474">
        <f>+N862</f>
        <v>320702</v>
      </c>
      <c r="O899" s="1474">
        <f>+O862</f>
        <v>332568</v>
      </c>
      <c r="P899" s="134"/>
    </row>
    <row r="900" spans="1:16" ht="12.75" customHeight="1" x14ac:dyDescent="0.25">
      <c r="A900" s="1442"/>
      <c r="E900" s="1434" t="s">
        <v>1504</v>
      </c>
      <c r="I900" s="134"/>
      <c r="J900" s="1834">
        <v>288291.3</v>
      </c>
      <c r="K900" s="1834">
        <v>286204.64</v>
      </c>
      <c r="L900" s="1834">
        <f>SUM(L899:L899)</f>
        <v>298225</v>
      </c>
      <c r="M900" s="1834">
        <f>SUM(M899:M899)</f>
        <v>309259</v>
      </c>
      <c r="N900" s="1834">
        <f>SUM(N899:N899)</f>
        <v>320702</v>
      </c>
      <c r="O900" s="1834">
        <f>SUM(O899:O899)</f>
        <v>332568</v>
      </c>
      <c r="P900" s="134"/>
    </row>
    <row r="901" spans="1:16" ht="12.75" customHeight="1" x14ac:dyDescent="0.25">
      <c r="A901" s="1442"/>
      <c r="E901" s="1434"/>
      <c r="I901" s="134"/>
      <c r="J901" s="134"/>
      <c r="K901" s="134"/>
      <c r="L901" s="134"/>
      <c r="M901" s="134"/>
      <c r="N901" s="134"/>
      <c r="O901" s="134"/>
      <c r="P901" s="134"/>
    </row>
    <row r="902" spans="1:16" ht="12.75" customHeight="1" x14ac:dyDescent="0.25">
      <c r="A902" s="1442"/>
      <c r="E902" s="1441" t="s">
        <v>1505</v>
      </c>
      <c r="I902" s="134"/>
      <c r="J902" s="545">
        <v>672</v>
      </c>
      <c r="K902" s="545">
        <v>626</v>
      </c>
      <c r="L902" s="545">
        <f>ROUND(L900*L879,0)</f>
        <v>653</v>
      </c>
      <c r="M902" s="545">
        <f>ROUND(M900*M879,0)</f>
        <v>677</v>
      </c>
      <c r="N902" s="545">
        <f>ROUND(N900*N879,0)</f>
        <v>702</v>
      </c>
      <c r="O902" s="545">
        <f>ROUND(O900*O879,0)</f>
        <v>728</v>
      </c>
      <c r="P902" s="545"/>
    </row>
    <row r="903" spans="1:16" ht="12.75" customHeight="1" x14ac:dyDescent="0.25">
      <c r="A903" s="1442"/>
      <c r="E903" s="1434"/>
      <c r="I903" s="134"/>
    </row>
    <row r="904" spans="1:16" ht="12.75" customHeight="1" x14ac:dyDescent="0.25">
      <c r="A904" s="1442"/>
      <c r="E904" s="549" t="s">
        <v>1506</v>
      </c>
      <c r="I904" s="134"/>
      <c r="J904" s="1838">
        <v>2739</v>
      </c>
      <c r="K904" s="1838">
        <v>2655</v>
      </c>
      <c r="L904" s="1838">
        <f>+L902+L896+L890</f>
        <v>2767</v>
      </c>
      <c r="M904" s="1838">
        <f>+M902+M896+M890</f>
        <v>2870</v>
      </c>
      <c r="N904" s="1838">
        <f>+N902+N896+N890</f>
        <v>2976</v>
      </c>
      <c r="O904" s="1838">
        <f>+O902+O896+O890</f>
        <v>3086</v>
      </c>
      <c r="P904" s="545"/>
    </row>
    <row r="905" spans="1:16" ht="12.75" customHeight="1" x14ac:dyDescent="0.25">
      <c r="A905" s="1442"/>
      <c r="E905" s="1434"/>
    </row>
    <row r="906" spans="1:16" ht="12.75" customHeight="1" x14ac:dyDescent="0.25">
      <c r="A906" s="1442"/>
      <c r="E906" s="1434"/>
      <c r="F906" s="1434"/>
      <c r="J906" s="134"/>
      <c r="K906" s="134"/>
      <c r="L906" s="134"/>
      <c r="M906" s="134"/>
      <c r="N906" s="134"/>
      <c r="O906" s="134"/>
    </row>
    <row r="907" spans="1:16" ht="12.75" customHeight="1" x14ac:dyDescent="0.25">
      <c r="A907" s="1442"/>
      <c r="E907" s="549" t="s">
        <v>948</v>
      </c>
      <c r="I907" s="134"/>
      <c r="J907" s="1830">
        <v>2025</v>
      </c>
      <c r="K907" s="1830">
        <v>2026</v>
      </c>
      <c r="L907" s="1830">
        <v>2027</v>
      </c>
      <c r="M907" s="1830">
        <v>2028</v>
      </c>
      <c r="N907" s="1830">
        <v>2029</v>
      </c>
      <c r="O907" s="1830">
        <v>2030</v>
      </c>
    </row>
    <row r="908" spans="1:16" ht="12.75" customHeight="1" x14ac:dyDescent="0.25">
      <c r="A908" s="1442"/>
      <c r="E908" s="1434"/>
      <c r="J908" s="134"/>
      <c r="K908" s="134"/>
      <c r="L908" s="134"/>
      <c r="M908" s="134"/>
      <c r="N908" s="134"/>
      <c r="O908" s="134"/>
    </row>
    <row r="909" spans="1:16" ht="12.75" customHeight="1" x14ac:dyDescent="0.25">
      <c r="A909" s="1442"/>
      <c r="E909" s="1434" t="s">
        <v>1516</v>
      </c>
      <c r="J909" s="134">
        <v>3098679.79</v>
      </c>
      <c r="K909" s="134">
        <v>3132930.92</v>
      </c>
      <c r="L909" s="134">
        <f>+L689+L690</f>
        <v>3264514</v>
      </c>
      <c r="M909" s="134">
        <f>+M689+M690</f>
        <v>3385301</v>
      </c>
      <c r="N909" s="134">
        <f>+N689+N690</f>
        <v>3510558</v>
      </c>
      <c r="O909" s="134">
        <f>+O689+O690</f>
        <v>3640449</v>
      </c>
      <c r="P909" s="134" t="s">
        <v>1517</v>
      </c>
    </row>
    <row r="910" spans="1:16" ht="12.75" customHeight="1" x14ac:dyDescent="0.25">
      <c r="A910" s="1442"/>
      <c r="J910" s="134"/>
      <c r="K910" s="134"/>
      <c r="L910" s="134"/>
      <c r="M910" s="134"/>
      <c r="N910" s="134"/>
      <c r="O910" s="134"/>
      <c r="P910" s="134"/>
    </row>
    <row r="911" spans="1:16" ht="12.75" customHeight="1" thickBot="1" x14ac:dyDescent="0.3">
      <c r="A911" s="1442"/>
      <c r="J911" s="1833">
        <v>3098679.79</v>
      </c>
      <c r="K911" s="1833">
        <v>3132930.92</v>
      </c>
      <c r="L911" s="1833">
        <f t="shared" ref="L911:M911" si="102">SUM(L909:L910)</f>
        <v>3264514</v>
      </c>
      <c r="M911" s="1833">
        <f t="shared" si="102"/>
        <v>3385301</v>
      </c>
      <c r="N911" s="1833">
        <f t="shared" ref="N911:O911" si="103">SUM(N909:N910)</f>
        <v>3510558</v>
      </c>
      <c r="O911" s="1833">
        <f t="shared" si="103"/>
        <v>3640449</v>
      </c>
      <c r="P911" s="1471"/>
    </row>
    <row r="912" spans="1:16" ht="12.75" customHeight="1" thickTop="1" x14ac:dyDescent="0.25">
      <c r="D912" s="1434"/>
      <c r="J912" s="134"/>
      <c r="K912" s="134"/>
      <c r="L912" s="134"/>
      <c r="M912" s="134"/>
      <c r="N912" s="134"/>
      <c r="O912" s="134"/>
      <c r="P912" s="134"/>
    </row>
    <row r="913" spans="4:16" ht="12.75" customHeight="1" x14ac:dyDescent="0.25">
      <c r="D913" s="1434"/>
      <c r="J913" s="134"/>
      <c r="K913" s="134"/>
      <c r="L913" s="134"/>
      <c r="M913" s="134"/>
      <c r="N913" s="134"/>
      <c r="O913" s="134"/>
      <c r="P913" s="134"/>
    </row>
    <row r="914" spans="4:16" ht="12.75" customHeight="1" x14ac:dyDescent="0.25">
      <c r="D914" s="1434"/>
      <c r="E914" s="1434" t="s">
        <v>1485</v>
      </c>
      <c r="J914" s="1474">
        <v>16193044</v>
      </c>
      <c r="K914" s="1474">
        <v>17914064</v>
      </c>
      <c r="L914" s="1474">
        <f>L873</f>
        <v>18666455</v>
      </c>
      <c r="M914" s="1474">
        <f>M873</f>
        <v>19357114</v>
      </c>
      <c r="N914" s="1474">
        <f>N873</f>
        <v>20073327</v>
      </c>
      <c r="O914" s="1474">
        <f>O873</f>
        <v>20816040</v>
      </c>
      <c r="P914" s="134"/>
    </row>
    <row r="915" spans="4:16" ht="12.75" customHeight="1" x14ac:dyDescent="0.25">
      <c r="D915" s="1434"/>
      <c r="E915" s="1434"/>
      <c r="H915" s="1441"/>
      <c r="J915" s="134"/>
      <c r="K915" s="134"/>
      <c r="L915" s="134"/>
      <c r="M915" s="134"/>
      <c r="N915" s="134"/>
      <c r="O915" s="134"/>
      <c r="P915" s="134"/>
    </row>
    <row r="916" spans="4:16" ht="12.75" customHeight="1" x14ac:dyDescent="0.25">
      <c r="D916" s="1434"/>
      <c r="E916" s="1434" t="s">
        <v>1487</v>
      </c>
      <c r="J916" s="1840">
        <v>16193044</v>
      </c>
      <c r="K916" s="1840">
        <v>17914064</v>
      </c>
      <c r="L916" s="1840">
        <f t="shared" ref="L916:M916" si="104">SUM(L914:L915)</f>
        <v>18666455</v>
      </c>
      <c r="M916" s="1840">
        <f t="shared" si="104"/>
        <v>19357114</v>
      </c>
      <c r="N916" s="1840">
        <f t="shared" ref="N916:O916" si="105">SUM(N914:N915)</f>
        <v>20073327</v>
      </c>
      <c r="O916" s="1840">
        <f t="shared" si="105"/>
        <v>20816040</v>
      </c>
      <c r="P916" s="134"/>
    </row>
    <row r="917" spans="4:16" ht="12.75" customHeight="1" x14ac:dyDescent="0.25">
      <c r="D917" s="1434"/>
      <c r="E917" s="1434"/>
      <c r="F917" s="1435"/>
      <c r="J917" s="1481"/>
      <c r="K917" s="1481"/>
      <c r="L917" s="1481"/>
      <c r="M917" s="1481"/>
      <c r="N917" s="1481"/>
      <c r="O917" s="1481"/>
      <c r="P917" s="134"/>
    </row>
    <row r="918" spans="4:16" ht="12.75" customHeight="1" x14ac:dyDescent="0.25">
      <c r="D918" s="1434"/>
      <c r="E918" s="1434" t="s">
        <v>1518</v>
      </c>
      <c r="F918" s="1435"/>
      <c r="J918" s="1568">
        <v>0.1913586963636979</v>
      </c>
      <c r="K918" s="1568">
        <v>0.17488666558297436</v>
      </c>
      <c r="L918" s="1568">
        <f t="shared" ref="L918:M918" si="106">L911/L916</f>
        <v>0.17488666166125277</v>
      </c>
      <c r="M918" s="1568">
        <f t="shared" si="106"/>
        <v>0.17488665924062854</v>
      </c>
      <c r="N918" s="1568">
        <f t="shared" ref="N918:O918" si="107">N911/N916</f>
        <v>0.17488670413230453</v>
      </c>
      <c r="O918" s="1568">
        <f t="shared" si="107"/>
        <v>0.17488672197017299</v>
      </c>
    </row>
    <row r="919" spans="4:16" ht="12.75" customHeight="1" x14ac:dyDescent="0.25">
      <c r="D919" s="1434"/>
      <c r="E919" s="1434"/>
      <c r="F919" s="1435"/>
    </row>
    <row r="920" spans="4:16" ht="12.75" customHeight="1" x14ac:dyDescent="0.25">
      <c r="D920" s="1434"/>
      <c r="E920" s="1569" t="s">
        <v>1519</v>
      </c>
      <c r="F920" s="549"/>
      <c r="I920" s="134"/>
      <c r="J920" s="134"/>
      <c r="K920" s="134"/>
      <c r="L920" s="134"/>
      <c r="M920" s="134"/>
      <c r="N920" s="134"/>
      <c r="O920" s="134"/>
    </row>
    <row r="921" spans="4:16" ht="12.75" customHeight="1" x14ac:dyDescent="0.25">
      <c r="D921" s="1434"/>
      <c r="E921" s="1569"/>
      <c r="F921" s="549"/>
      <c r="I921" s="134"/>
      <c r="J921" s="134"/>
      <c r="K921" s="134"/>
      <c r="L921" s="134"/>
      <c r="M921" s="134"/>
      <c r="N921" s="134"/>
      <c r="O921" s="134"/>
    </row>
    <row r="922" spans="4:16" ht="12.75" customHeight="1" x14ac:dyDescent="0.25">
      <c r="D922" s="1434"/>
      <c r="E922" s="794" t="s">
        <v>1490</v>
      </c>
      <c r="F922" s="1435"/>
      <c r="I922" s="134"/>
      <c r="J922" s="134"/>
      <c r="K922" s="134"/>
      <c r="L922" s="134"/>
      <c r="M922" s="134"/>
      <c r="N922" s="134"/>
      <c r="O922" s="134"/>
      <c r="P922" s="1568"/>
    </row>
    <row r="923" spans="4:16" ht="12.75" customHeight="1" x14ac:dyDescent="0.25">
      <c r="D923" s="1434"/>
      <c r="E923" s="1441" t="str">
        <f>+E884</f>
        <v>- Loonkosten beheer en realisatie</v>
      </c>
      <c r="F923" s="1435"/>
      <c r="I923" s="134"/>
      <c r="J923" s="1474">
        <v>4465</v>
      </c>
      <c r="K923" s="1474">
        <v>4459</v>
      </c>
      <c r="L923" s="1474">
        <f t="shared" ref="L923:M926" si="108">+L884</f>
        <v>4646</v>
      </c>
      <c r="M923" s="1474">
        <f t="shared" si="108"/>
        <v>4818</v>
      </c>
      <c r="N923" s="1474">
        <f t="shared" ref="N923:O923" si="109">+N884</f>
        <v>4996</v>
      </c>
      <c r="O923" s="1474">
        <f t="shared" si="109"/>
        <v>5181</v>
      </c>
    </row>
    <row r="924" spans="4:16" ht="12.75" customHeight="1" x14ac:dyDescent="0.25">
      <c r="D924" s="1434"/>
      <c r="E924" s="1441" t="str">
        <f>+E885</f>
        <v>- Loonkosten beheer buiten</v>
      </c>
      <c r="F924" s="1435"/>
      <c r="I924" s="134"/>
      <c r="J924" s="1474">
        <v>8513</v>
      </c>
      <c r="K924" s="1474">
        <v>6933</v>
      </c>
      <c r="L924" s="1474">
        <f t="shared" si="108"/>
        <v>7224</v>
      </c>
      <c r="M924" s="1474">
        <f t="shared" si="108"/>
        <v>7491</v>
      </c>
      <c r="N924" s="1474">
        <f t="shared" ref="N924:O924" si="110">+N885</f>
        <v>7768</v>
      </c>
      <c r="O924" s="1474">
        <f t="shared" si="110"/>
        <v>8055</v>
      </c>
      <c r="P924" s="134"/>
    </row>
    <row r="925" spans="4:16" ht="12.75" customHeight="1" x14ac:dyDescent="0.25">
      <c r="D925" s="1434"/>
      <c r="E925" s="1441" t="str">
        <f>+E886</f>
        <v>- Loonkosten omgevingsadvies</v>
      </c>
      <c r="F925" s="1435"/>
      <c r="I925" s="134"/>
      <c r="J925" s="1474">
        <v>58123</v>
      </c>
      <c r="K925" s="1474">
        <v>59939.17</v>
      </c>
      <c r="L925" s="1474">
        <f t="shared" si="108"/>
        <v>62457</v>
      </c>
      <c r="M925" s="1474">
        <f t="shared" si="108"/>
        <v>64768</v>
      </c>
      <c r="N925" s="1474">
        <f t="shared" ref="N925:O925" si="111">+N886</f>
        <v>67164</v>
      </c>
      <c r="O925" s="1474">
        <f t="shared" si="111"/>
        <v>69649</v>
      </c>
      <c r="P925" s="134"/>
    </row>
    <row r="926" spans="4:16" ht="12.75" customHeight="1" x14ac:dyDescent="0.25">
      <c r="D926" s="1434"/>
      <c r="E926" s="1441" t="str">
        <f>+E887</f>
        <v>- Loonkosten ruimtelijke ontwikkeling</v>
      </c>
      <c r="F926" s="1435"/>
      <c r="I926" s="134"/>
      <c r="J926" s="1474">
        <v>425157</v>
      </c>
      <c r="K926" s="1474">
        <v>469578</v>
      </c>
      <c r="L926" s="1474">
        <f t="shared" si="108"/>
        <v>489300</v>
      </c>
      <c r="M926" s="1474">
        <f t="shared" si="108"/>
        <v>507404</v>
      </c>
      <c r="N926" s="1474">
        <f t="shared" ref="N926:O926" si="112">+N887</f>
        <v>526178</v>
      </c>
      <c r="O926" s="1474">
        <f t="shared" si="112"/>
        <v>545647</v>
      </c>
      <c r="P926" s="134"/>
    </row>
    <row r="927" spans="4:16" ht="12.75" customHeight="1" x14ac:dyDescent="0.25">
      <c r="D927" s="1434"/>
      <c r="E927" s="1441" t="s">
        <v>1496</v>
      </c>
      <c r="F927" s="1435"/>
      <c r="I927" s="134"/>
      <c r="J927" s="1834">
        <v>496258</v>
      </c>
      <c r="K927" s="1834">
        <v>540909.17000000004</v>
      </c>
      <c r="L927" s="1834">
        <f>+SUM(L923:L926)</f>
        <v>563627</v>
      </c>
      <c r="M927" s="1834">
        <f>+SUM(M923:M926)</f>
        <v>584481</v>
      </c>
      <c r="N927" s="1834">
        <f>+SUM(N923:N926)</f>
        <v>606106</v>
      </c>
      <c r="O927" s="1834">
        <f>+SUM(O923:O926)</f>
        <v>628532</v>
      </c>
      <c r="P927" s="134"/>
    </row>
    <row r="928" spans="4:16" ht="12.75" customHeight="1" x14ac:dyDescent="0.25">
      <c r="D928" s="1434"/>
      <c r="E928" s="1441"/>
      <c r="F928" s="1435"/>
      <c r="I928" s="134"/>
      <c r="J928" s="134"/>
      <c r="K928" s="134"/>
      <c r="L928" s="134"/>
      <c r="M928" s="134"/>
      <c r="N928" s="134"/>
      <c r="O928" s="134"/>
      <c r="P928" s="1474"/>
    </row>
    <row r="929" spans="4:16" ht="12.75" customHeight="1" x14ac:dyDescent="0.25">
      <c r="D929" s="1434"/>
      <c r="E929" s="1441" t="s">
        <v>1515</v>
      </c>
      <c r="F929" s="1435"/>
      <c r="J929" s="545">
        <v>94963</v>
      </c>
      <c r="K929" s="545">
        <v>94598</v>
      </c>
      <c r="L929" s="545">
        <f>ROUND(L927*L918,0)</f>
        <v>98571</v>
      </c>
      <c r="M929" s="545">
        <f>ROUND(M927*M918,0)</f>
        <v>102218</v>
      </c>
      <c r="N929" s="545">
        <f>ROUND(N927*N918,0)</f>
        <v>106000</v>
      </c>
      <c r="O929" s="545">
        <f>ROUND(O927*O918,0)</f>
        <v>109922</v>
      </c>
      <c r="P929" s="134"/>
    </row>
    <row r="930" spans="4:16" ht="12.75" customHeight="1" x14ac:dyDescent="0.25">
      <c r="D930" s="1434"/>
      <c r="E930" s="1441"/>
      <c r="F930" s="1435"/>
      <c r="J930" s="134"/>
      <c r="K930" s="134"/>
      <c r="L930" s="134"/>
      <c r="M930" s="134"/>
      <c r="N930" s="134"/>
      <c r="O930" s="134"/>
      <c r="P930" s="545"/>
    </row>
    <row r="931" spans="4:16" ht="12.75" customHeight="1" x14ac:dyDescent="0.25">
      <c r="D931" s="1434"/>
      <c r="E931" s="1570" t="s">
        <v>1498</v>
      </c>
      <c r="F931" s="1435"/>
      <c r="J931" s="134"/>
      <c r="K931" s="134"/>
      <c r="L931" s="134"/>
      <c r="M931" s="134"/>
      <c r="N931" s="134"/>
      <c r="O931" s="134"/>
      <c r="P931" s="134"/>
    </row>
    <row r="932" spans="4:16" ht="12.75" customHeight="1" x14ac:dyDescent="0.25">
      <c r="D932" s="1434"/>
      <c r="E932" s="1441" t="str">
        <f>+E893</f>
        <v>- Loonkosten beheer en realisatie</v>
      </c>
      <c r="F932" s="1435"/>
      <c r="J932" s="1474">
        <v>390437</v>
      </c>
      <c r="K932" s="1474">
        <v>386572</v>
      </c>
      <c r="L932" s="1474">
        <f>+L893</f>
        <v>402808</v>
      </c>
      <c r="M932" s="1474">
        <f>+M893</f>
        <v>417712</v>
      </c>
      <c r="N932" s="1474">
        <f>+N893</f>
        <v>433167</v>
      </c>
      <c r="O932" s="1474">
        <f>+O893</f>
        <v>449194</v>
      </c>
      <c r="P932" s="134"/>
    </row>
    <row r="933" spans="4:16" ht="12.75" customHeight="1" x14ac:dyDescent="0.25">
      <c r="D933" s="1434"/>
      <c r="E933" s="1441" t="s">
        <v>1500</v>
      </c>
      <c r="F933" s="1435"/>
      <c r="J933" s="1834">
        <v>390437</v>
      </c>
      <c r="K933" s="1834">
        <v>386572</v>
      </c>
      <c r="L933" s="1834">
        <f>+L932</f>
        <v>402808</v>
      </c>
      <c r="M933" s="1834">
        <f>+M932</f>
        <v>417712</v>
      </c>
      <c r="N933" s="1834">
        <f>+N932</f>
        <v>433167</v>
      </c>
      <c r="O933" s="1834">
        <f>+O932</f>
        <v>449194</v>
      </c>
      <c r="P933" s="1474"/>
    </row>
    <row r="934" spans="4:16" ht="12.75" customHeight="1" x14ac:dyDescent="0.25">
      <c r="D934" s="1434"/>
      <c r="E934" s="1441"/>
      <c r="F934" s="1435"/>
      <c r="J934" s="134"/>
      <c r="K934" s="134"/>
      <c r="L934" s="134"/>
      <c r="M934" s="134"/>
      <c r="N934" s="134"/>
      <c r="O934" s="134"/>
      <c r="P934" s="134"/>
    </row>
    <row r="935" spans="4:16" ht="12.75" customHeight="1" x14ac:dyDescent="0.25">
      <c r="D935" s="1434"/>
      <c r="E935" s="1441" t="s">
        <v>1501</v>
      </c>
      <c r="F935" s="1435"/>
      <c r="J935" s="545">
        <v>74714</v>
      </c>
      <c r="K935" s="545">
        <v>67606</v>
      </c>
      <c r="L935" s="545">
        <f>ROUND(L933*L918,0)</f>
        <v>70446</v>
      </c>
      <c r="M935" s="545">
        <f>ROUND(M933*M918,0)</f>
        <v>73052</v>
      </c>
      <c r="N935" s="545">
        <f>ROUND(N933*N918,0)</f>
        <v>75755</v>
      </c>
      <c r="O935" s="545">
        <f>ROUND(O933*O918,0)</f>
        <v>78558</v>
      </c>
      <c r="P935" s="545"/>
    </row>
    <row r="936" spans="4:16" ht="12.75" customHeight="1" x14ac:dyDescent="0.25">
      <c r="D936" s="1434"/>
      <c r="E936" s="1441"/>
      <c r="F936" s="1435"/>
      <c r="J936" s="134"/>
      <c r="K936" s="134"/>
      <c r="L936" s="134"/>
      <c r="M936" s="134"/>
      <c r="N936" s="134"/>
      <c r="O936" s="134"/>
      <c r="P936" s="134"/>
    </row>
    <row r="937" spans="4:16" ht="12.75" customHeight="1" x14ac:dyDescent="0.25">
      <c r="D937" s="1434"/>
      <c r="E937" s="794" t="s">
        <v>1502</v>
      </c>
      <c r="F937" s="1435"/>
      <c r="J937" s="134"/>
      <c r="K937" s="134"/>
      <c r="L937" s="134"/>
      <c r="M937" s="134"/>
      <c r="N937" s="134"/>
      <c r="O937" s="134"/>
      <c r="P937" s="134"/>
    </row>
    <row r="938" spans="4:16" ht="12.75" customHeight="1" x14ac:dyDescent="0.25">
      <c r="D938" s="1434"/>
      <c r="E938" s="1441" t="str">
        <f>+E899</f>
        <v>- Loonkosten beheer en realisatie</v>
      </c>
      <c r="F938" s="1435"/>
      <c r="J938" s="1474">
        <v>288291.3</v>
      </c>
      <c r="K938" s="1474">
        <v>286204.64</v>
      </c>
      <c r="L938" s="1474">
        <f>+L899</f>
        <v>298225</v>
      </c>
      <c r="M938" s="1474">
        <f>+M899</f>
        <v>309259</v>
      </c>
      <c r="N938" s="1474">
        <f>+N899</f>
        <v>320702</v>
      </c>
      <c r="O938" s="1474">
        <f>+O899</f>
        <v>332568</v>
      </c>
      <c r="P938" s="134"/>
    </row>
    <row r="939" spans="4:16" ht="12.75" customHeight="1" x14ac:dyDescent="0.25">
      <c r="D939" s="1434"/>
      <c r="E939" s="1434" t="s">
        <v>1504</v>
      </c>
      <c r="F939" s="1435"/>
      <c r="J939" s="1834">
        <v>288291.3</v>
      </c>
      <c r="K939" s="1834">
        <v>286204.64</v>
      </c>
      <c r="L939" s="1834">
        <f>SUM(L938:L938)</f>
        <v>298225</v>
      </c>
      <c r="M939" s="1834">
        <f>SUM(M938:M938)</f>
        <v>309259</v>
      </c>
      <c r="N939" s="1834">
        <f>SUM(N938:N938)</f>
        <v>320702</v>
      </c>
      <c r="O939" s="1834">
        <f>SUM(O938:O938)</f>
        <v>332568</v>
      </c>
      <c r="P939" s="134"/>
    </row>
    <row r="940" spans="4:16" ht="12.75" customHeight="1" x14ac:dyDescent="0.25">
      <c r="E940" s="1434"/>
      <c r="F940" s="1435"/>
      <c r="J940" s="134"/>
      <c r="K940" s="134"/>
      <c r="L940" s="134"/>
      <c r="M940" s="134"/>
      <c r="N940" s="134"/>
      <c r="O940" s="134"/>
      <c r="P940" s="545"/>
    </row>
    <row r="941" spans="4:16" ht="12.75" customHeight="1" x14ac:dyDescent="0.25">
      <c r="E941" s="1441" t="s">
        <v>1505</v>
      </c>
      <c r="F941" s="1435"/>
      <c r="J941" s="545">
        <v>55167</v>
      </c>
      <c r="K941" s="545">
        <v>50053</v>
      </c>
      <c r="L941" s="545">
        <f>ROUND(L939*L918,0)</f>
        <v>52156</v>
      </c>
      <c r="M941" s="545">
        <f>ROUND(M939*M918,0)</f>
        <v>54085</v>
      </c>
      <c r="N941" s="545">
        <f>ROUND(N939*N918,0)</f>
        <v>56087</v>
      </c>
      <c r="O941" s="545">
        <f>ROUND(O939*O918,0)</f>
        <v>58162</v>
      </c>
      <c r="P941" s="545"/>
    </row>
    <row r="942" spans="4:16" ht="12.75" customHeight="1" x14ac:dyDescent="0.25">
      <c r="E942" s="1434"/>
      <c r="F942" s="1435"/>
      <c r="I942" s="134"/>
    </row>
    <row r="943" spans="4:16" ht="12.75" customHeight="1" x14ac:dyDescent="0.25">
      <c r="E943" s="549" t="s">
        <v>1520</v>
      </c>
      <c r="F943" s="1435"/>
      <c r="I943" s="134"/>
      <c r="J943" s="1838">
        <v>224844</v>
      </c>
      <c r="K943" s="1838">
        <v>212257</v>
      </c>
      <c r="L943" s="1838">
        <f>+L941+L935+L929</f>
        <v>221173</v>
      </c>
      <c r="M943" s="1838">
        <f>+M941+M935+M929</f>
        <v>229355</v>
      </c>
      <c r="N943" s="1838">
        <f>+N941+N935+N929</f>
        <v>237842</v>
      </c>
      <c r="O943" s="1838">
        <f>+O941+O935+O929</f>
        <v>246642</v>
      </c>
    </row>
    <row r="944" spans="4:16" ht="12.75" customHeight="1" x14ac:dyDescent="0.25">
      <c r="E944" s="1435"/>
      <c r="F944" s="1435"/>
      <c r="I944" s="134"/>
    </row>
    <row r="945" spans="5:19" ht="12.75" customHeight="1" x14ac:dyDescent="0.25">
      <c r="E945" s="549"/>
      <c r="I945" s="134"/>
      <c r="J945" s="134"/>
      <c r="K945" s="134"/>
      <c r="L945" s="134"/>
      <c r="M945" s="134"/>
      <c r="N945" s="134"/>
      <c r="O945" s="134"/>
    </row>
    <row r="946" spans="5:19" ht="12.75" customHeight="1" x14ac:dyDescent="0.25">
      <c r="E946" s="549" t="s">
        <v>1521</v>
      </c>
      <c r="J946" s="1830">
        <v>2025</v>
      </c>
      <c r="K946" s="1830">
        <v>2026</v>
      </c>
      <c r="L946" s="1830">
        <v>2027</v>
      </c>
      <c r="M946" s="1830">
        <v>2028</v>
      </c>
      <c r="N946" s="1830">
        <v>2029</v>
      </c>
      <c r="O946" s="1830">
        <v>2030</v>
      </c>
    </row>
    <row r="947" spans="5:19" ht="12.75" customHeight="1" x14ac:dyDescent="0.25">
      <c r="E947" s="1434"/>
      <c r="J947" s="134"/>
      <c r="K947" s="134"/>
      <c r="L947" s="134"/>
      <c r="M947" s="134"/>
      <c r="N947" s="134"/>
      <c r="O947" s="134"/>
    </row>
    <row r="948" spans="5:19" ht="12.75" customHeight="1" x14ac:dyDescent="0.25">
      <c r="E948" s="1434" t="s">
        <v>1522</v>
      </c>
      <c r="J948" s="134">
        <v>3961450.0267500002</v>
      </c>
      <c r="K948" s="134">
        <v>4066425.1624849997</v>
      </c>
      <c r="L948" s="134">
        <f>SUM(L38:L44)+L702+L691+L692+L693+L694+L695+L696</f>
        <v>4240225.5352693703</v>
      </c>
      <c r="M948" s="134">
        <f>SUM(M38:M44)+M702+M691+M692+M693+M694+M695+M696</f>
        <v>4304384.842324337</v>
      </c>
      <c r="N948" s="134">
        <f>SUM(N38:N44)+N702+N691+N692+N693+N694+N695+N696</f>
        <v>4453041.1461175065</v>
      </c>
      <c r="O948" s="134">
        <f>SUM(O38:O44)+O702+O691+O692+O693+O694+O695+O696</f>
        <v>4607228.7172738537</v>
      </c>
      <c r="P948" s="1554"/>
    </row>
    <row r="949" spans="5:19" ht="12.75" customHeight="1" x14ac:dyDescent="0.25">
      <c r="E949" s="1441"/>
      <c r="J949" s="134"/>
      <c r="K949" s="134"/>
      <c r="L949" s="134"/>
      <c r="M949" s="134"/>
      <c r="N949" s="134"/>
      <c r="O949" s="134"/>
      <c r="P949" s="1554"/>
    </row>
    <row r="950" spans="5:19" ht="12.75" customHeight="1" x14ac:dyDescent="0.25">
      <c r="E950" s="1434" t="s">
        <v>1485</v>
      </c>
      <c r="J950" s="1474">
        <v>16193044</v>
      </c>
      <c r="K950" s="1474">
        <v>17914064</v>
      </c>
      <c r="L950" s="1474">
        <f>L914</f>
        <v>18666455</v>
      </c>
      <c r="M950" s="1474">
        <f>M914</f>
        <v>19357114</v>
      </c>
      <c r="N950" s="1474">
        <f>N914</f>
        <v>20073327</v>
      </c>
      <c r="O950" s="1474">
        <f>O914</f>
        <v>20816040</v>
      </c>
      <c r="P950" s="1554"/>
    </row>
    <row r="951" spans="5:19" ht="12.75" customHeight="1" x14ac:dyDescent="0.25">
      <c r="E951" s="1434"/>
      <c r="H951" s="1441"/>
      <c r="J951" s="134"/>
      <c r="K951" s="134"/>
      <c r="L951" s="134"/>
      <c r="M951" s="134"/>
      <c r="N951" s="134"/>
      <c r="O951" s="134"/>
      <c r="P951" s="1554"/>
      <c r="S951" s="1568"/>
    </row>
    <row r="952" spans="5:19" ht="12.75" customHeight="1" x14ac:dyDescent="0.25">
      <c r="E952" s="1434" t="s">
        <v>1487</v>
      </c>
      <c r="J952" s="1840">
        <v>16193044</v>
      </c>
      <c r="K952" s="1840">
        <v>17914064</v>
      </c>
      <c r="L952" s="1840">
        <f t="shared" ref="L952:M952" si="113">SUM(L950:L951)</f>
        <v>18666455</v>
      </c>
      <c r="M952" s="1840">
        <f t="shared" si="113"/>
        <v>19357114</v>
      </c>
      <c r="N952" s="1840">
        <f t="shared" ref="N952:O952" si="114">SUM(N950:N951)</f>
        <v>20073327</v>
      </c>
      <c r="O952" s="1840">
        <f t="shared" si="114"/>
        <v>20816040</v>
      </c>
      <c r="P952" s="1554"/>
      <c r="S952" s="1568"/>
    </row>
    <row r="953" spans="5:19" ht="12.75" customHeight="1" x14ac:dyDescent="0.25">
      <c r="E953" s="1434"/>
      <c r="P953" s="1554"/>
    </row>
    <row r="954" spans="5:19" ht="12.75" customHeight="1" x14ac:dyDescent="0.25">
      <c r="E954" s="1434" t="s">
        <v>1523</v>
      </c>
      <c r="J954" s="1568">
        <v>0.24463899602508338</v>
      </c>
      <c r="K954" s="1568">
        <v>0.22699623951801221</v>
      </c>
      <c r="L954" s="1568">
        <f t="shared" ref="L954:M954" si="115">(L948)/L952</f>
        <v>0.22715751519339747</v>
      </c>
      <c r="M954" s="1568">
        <f t="shared" si="115"/>
        <v>0.22236707612117887</v>
      </c>
      <c r="N954" s="1568">
        <f t="shared" ref="N954:O954" si="116">(N948)/N952</f>
        <v>0.2218387189187675</v>
      </c>
      <c r="O954" s="1568">
        <f t="shared" si="116"/>
        <v>0.22133070061711324</v>
      </c>
      <c r="P954" s="1554"/>
    </row>
    <row r="955" spans="5:19" ht="12.75" customHeight="1" x14ac:dyDescent="0.25">
      <c r="E955" s="1434"/>
      <c r="P955" s="1554"/>
    </row>
    <row r="956" spans="5:19" ht="12.75" customHeight="1" x14ac:dyDescent="0.25">
      <c r="E956" s="1569" t="s">
        <v>1524</v>
      </c>
      <c r="F956" s="549"/>
      <c r="I956" s="134"/>
      <c r="J956" s="134"/>
      <c r="K956" s="134"/>
      <c r="L956" s="134"/>
      <c r="M956" s="134"/>
      <c r="N956" s="134"/>
      <c r="O956" s="134"/>
      <c r="P956" s="1554"/>
    </row>
    <row r="957" spans="5:19" ht="12.75" customHeight="1" x14ac:dyDescent="0.25">
      <c r="E957" s="1569"/>
      <c r="F957" s="549"/>
      <c r="I957" s="134"/>
      <c r="J957" s="134"/>
      <c r="K957" s="134"/>
      <c r="L957" s="134"/>
      <c r="M957" s="134"/>
      <c r="N957" s="134"/>
      <c r="O957" s="134"/>
      <c r="P957" s="1554"/>
    </row>
    <row r="958" spans="5:19" ht="12.75" customHeight="1" x14ac:dyDescent="0.25">
      <c r="E958" s="794" t="s">
        <v>1490</v>
      </c>
      <c r="I958" s="134"/>
      <c r="J958" s="134"/>
      <c r="K958" s="134"/>
      <c r="L958" s="134"/>
      <c r="M958" s="134"/>
      <c r="N958" s="134"/>
      <c r="O958" s="134"/>
      <c r="P958" s="1554"/>
    </row>
    <row r="959" spans="5:19" ht="12.75" customHeight="1" x14ac:dyDescent="0.25">
      <c r="E959" s="1441" t="str">
        <f>+E923</f>
        <v>- Loonkosten beheer en realisatie</v>
      </c>
      <c r="I959" s="134"/>
      <c r="J959" s="1474">
        <v>4465</v>
      </c>
      <c r="K959" s="1474">
        <v>4459</v>
      </c>
      <c r="L959" s="1474">
        <f t="shared" ref="L959:M962" si="117">+L923</f>
        <v>4646</v>
      </c>
      <c r="M959" s="1474">
        <f t="shared" si="117"/>
        <v>4818</v>
      </c>
      <c r="N959" s="1474">
        <f t="shared" ref="N959:O959" si="118">+N923</f>
        <v>4996</v>
      </c>
      <c r="O959" s="1474">
        <f t="shared" si="118"/>
        <v>5181</v>
      </c>
    </row>
    <row r="960" spans="5:19" ht="12.75" customHeight="1" x14ac:dyDescent="0.25">
      <c r="E960" s="1441" t="str">
        <f>+E885</f>
        <v>- Loonkosten beheer buiten</v>
      </c>
      <c r="I960" s="134"/>
      <c r="J960" s="1474">
        <v>8513</v>
      </c>
      <c r="K960" s="1474">
        <v>6933</v>
      </c>
      <c r="L960" s="1474">
        <f t="shared" si="117"/>
        <v>7224</v>
      </c>
      <c r="M960" s="1474">
        <f t="shared" si="117"/>
        <v>7491</v>
      </c>
      <c r="N960" s="1474">
        <f t="shared" ref="N960:O960" si="119">+N924</f>
        <v>7768</v>
      </c>
      <c r="O960" s="1474">
        <f t="shared" si="119"/>
        <v>8055</v>
      </c>
    </row>
    <row r="961" spans="5:16" ht="12.75" customHeight="1" x14ac:dyDescent="0.25">
      <c r="E961" s="1441" t="str">
        <f>+E925</f>
        <v>- Loonkosten omgevingsadvies</v>
      </c>
      <c r="I961" s="134"/>
      <c r="J961" s="1474">
        <v>58123</v>
      </c>
      <c r="K961" s="1474">
        <v>59939.17</v>
      </c>
      <c r="L961" s="1474">
        <f t="shared" si="117"/>
        <v>62457</v>
      </c>
      <c r="M961" s="1474">
        <f t="shared" si="117"/>
        <v>64768</v>
      </c>
      <c r="N961" s="1474">
        <f t="shared" ref="N961:O961" si="120">+N925</f>
        <v>67164</v>
      </c>
      <c r="O961" s="1474">
        <f t="shared" si="120"/>
        <v>69649</v>
      </c>
    </row>
    <row r="962" spans="5:16" ht="12.75" customHeight="1" x14ac:dyDescent="0.25">
      <c r="E962" s="1441" t="str">
        <f>+E926</f>
        <v>- Loonkosten ruimtelijke ontwikkeling</v>
      </c>
      <c r="I962" s="134"/>
      <c r="J962" s="1474">
        <v>425157</v>
      </c>
      <c r="K962" s="1474">
        <v>469578</v>
      </c>
      <c r="L962" s="1474">
        <f t="shared" si="117"/>
        <v>489300</v>
      </c>
      <c r="M962" s="1474">
        <f t="shared" si="117"/>
        <v>507404</v>
      </c>
      <c r="N962" s="1474">
        <f t="shared" ref="N962:O962" si="121">+N926</f>
        <v>526178</v>
      </c>
      <c r="O962" s="1474">
        <f t="shared" si="121"/>
        <v>545647</v>
      </c>
      <c r="P962" s="134"/>
    </row>
    <row r="963" spans="5:16" ht="12.75" customHeight="1" x14ac:dyDescent="0.25">
      <c r="E963" s="1441" t="s">
        <v>1496</v>
      </c>
      <c r="I963" s="134"/>
      <c r="J963" s="1834">
        <v>496258</v>
      </c>
      <c r="K963" s="1834">
        <v>540909.17000000004</v>
      </c>
      <c r="L963" s="1834">
        <f t="shared" ref="L963:M963" si="122">+SUM(L959:L962)</f>
        <v>563627</v>
      </c>
      <c r="M963" s="1834">
        <f t="shared" si="122"/>
        <v>584481</v>
      </c>
      <c r="N963" s="1834">
        <f t="shared" ref="N963:O963" si="123">+SUM(N959:N962)</f>
        <v>606106</v>
      </c>
      <c r="O963" s="1834">
        <f t="shared" si="123"/>
        <v>628532</v>
      </c>
      <c r="P963" s="134"/>
    </row>
    <row r="964" spans="5:16" ht="12.75" customHeight="1" x14ac:dyDescent="0.25">
      <c r="E964" s="1441"/>
      <c r="I964" s="134"/>
      <c r="J964" s="134"/>
      <c r="K964" s="134"/>
      <c r="L964" s="134"/>
      <c r="M964" s="134"/>
      <c r="N964" s="134"/>
      <c r="O964" s="134"/>
    </row>
    <row r="965" spans="5:16" ht="12.75" customHeight="1" x14ac:dyDescent="0.25">
      <c r="E965" s="1441" t="s">
        <v>1515</v>
      </c>
      <c r="J965" s="545">
        <v>121404</v>
      </c>
      <c r="K965" s="545">
        <v>122784</v>
      </c>
      <c r="L965" s="545">
        <f>ROUND(L963*L954,0)</f>
        <v>128032</v>
      </c>
      <c r="M965" s="545">
        <f>ROUND(M963*M954,0)</f>
        <v>129969</v>
      </c>
      <c r="N965" s="545">
        <f>ROUND(N963*N954,0)</f>
        <v>134458</v>
      </c>
      <c r="O965" s="545">
        <f>ROUND(O963*O954,0)</f>
        <v>139113</v>
      </c>
      <c r="P965" s="1568"/>
    </row>
    <row r="966" spans="5:16" ht="12.75" customHeight="1" x14ac:dyDescent="0.25">
      <c r="E966" s="1441"/>
      <c r="J966" s="545"/>
      <c r="K966" s="545"/>
      <c r="L966" s="545"/>
      <c r="M966" s="545"/>
      <c r="N966" s="545"/>
      <c r="O966" s="545"/>
    </row>
    <row r="967" spans="5:16" ht="12.75" customHeight="1" x14ac:dyDescent="0.25">
      <c r="E967" s="1570" t="s">
        <v>1498</v>
      </c>
      <c r="I967" s="134"/>
      <c r="J967" s="134"/>
      <c r="K967" s="134"/>
      <c r="L967" s="134"/>
      <c r="M967" s="134"/>
      <c r="N967" s="134"/>
      <c r="O967" s="134"/>
      <c r="P967" s="134"/>
    </row>
    <row r="968" spans="5:16" ht="12.75" customHeight="1" x14ac:dyDescent="0.25">
      <c r="E968" s="1441" t="str">
        <f>+E932</f>
        <v>- Loonkosten beheer en realisatie</v>
      </c>
      <c r="I968" s="134"/>
      <c r="J968" s="1474">
        <v>390437</v>
      </c>
      <c r="K968" s="1474">
        <v>386572</v>
      </c>
      <c r="L968" s="1474">
        <f t="shared" ref="L968:M969" si="124">+L932</f>
        <v>402808</v>
      </c>
      <c r="M968" s="1474">
        <f t="shared" si="124"/>
        <v>417712</v>
      </c>
      <c r="N968" s="1474">
        <f t="shared" ref="N968:O968" si="125">+N932</f>
        <v>433167</v>
      </c>
      <c r="O968" s="1474">
        <f t="shared" si="125"/>
        <v>449194</v>
      </c>
      <c r="P968" s="134"/>
    </row>
    <row r="969" spans="5:16" ht="12.75" customHeight="1" x14ac:dyDescent="0.25">
      <c r="E969" s="1441" t="s">
        <v>1500</v>
      </c>
      <c r="I969" s="134"/>
      <c r="J969" s="1834">
        <v>390437</v>
      </c>
      <c r="K969" s="1834">
        <v>386572</v>
      </c>
      <c r="L969" s="1834">
        <f t="shared" si="124"/>
        <v>402808</v>
      </c>
      <c r="M969" s="1834">
        <f t="shared" si="124"/>
        <v>417712</v>
      </c>
      <c r="N969" s="1834">
        <f t="shared" ref="N969:O969" si="126">+N933</f>
        <v>433167</v>
      </c>
      <c r="O969" s="1834">
        <f t="shared" si="126"/>
        <v>449194</v>
      </c>
      <c r="P969" s="134"/>
    </row>
    <row r="970" spans="5:16" ht="12.75" customHeight="1" x14ac:dyDescent="0.25">
      <c r="E970" s="1441"/>
      <c r="I970" s="134"/>
      <c r="J970" s="134"/>
      <c r="K970" s="134"/>
      <c r="L970" s="134"/>
      <c r="M970" s="134"/>
      <c r="N970" s="134"/>
      <c r="O970" s="134"/>
      <c r="P970" s="1474"/>
    </row>
    <row r="971" spans="5:16" ht="12.75" customHeight="1" x14ac:dyDescent="0.25">
      <c r="E971" s="1441" t="s">
        <v>1501</v>
      </c>
      <c r="J971" s="545">
        <v>95516</v>
      </c>
      <c r="K971" s="545">
        <v>87750</v>
      </c>
      <c r="L971" s="545">
        <f>ROUND(L969*L954,0)</f>
        <v>91501</v>
      </c>
      <c r="M971" s="545">
        <f>ROUND(M969*M954,0)</f>
        <v>92885</v>
      </c>
      <c r="N971" s="545">
        <f>ROUND(N969*N954,0)</f>
        <v>96093</v>
      </c>
      <c r="O971" s="545">
        <f>ROUND(O969*O954,0)</f>
        <v>99420</v>
      </c>
      <c r="P971" s="134"/>
    </row>
    <row r="972" spans="5:16" ht="12.75" customHeight="1" x14ac:dyDescent="0.25">
      <c r="E972" s="1441"/>
      <c r="I972" s="134"/>
      <c r="J972" s="134"/>
      <c r="K972" s="134"/>
      <c r="L972" s="134"/>
      <c r="M972" s="134"/>
      <c r="N972" s="134"/>
      <c r="O972" s="134"/>
      <c r="P972" s="545"/>
    </row>
    <row r="973" spans="5:16" ht="12.75" customHeight="1" x14ac:dyDescent="0.25">
      <c r="E973" s="794" t="s">
        <v>1502</v>
      </c>
      <c r="I973" s="134"/>
      <c r="J973" s="134"/>
      <c r="K973" s="134"/>
      <c r="L973" s="134"/>
      <c r="M973" s="134"/>
      <c r="N973" s="134"/>
      <c r="O973" s="134"/>
      <c r="P973" s="134"/>
    </row>
    <row r="974" spans="5:16" ht="12.75" customHeight="1" x14ac:dyDescent="0.25">
      <c r="E974" s="1441" t="str">
        <f>+E938</f>
        <v>- Loonkosten beheer en realisatie</v>
      </c>
      <c r="I974" s="134"/>
      <c r="J974" s="1474">
        <v>288291.3</v>
      </c>
      <c r="K974" s="1474">
        <v>286204.64</v>
      </c>
      <c r="L974" s="1474">
        <f>+L938</f>
        <v>298225</v>
      </c>
      <c r="M974" s="1474">
        <f>+M938</f>
        <v>309259</v>
      </c>
      <c r="N974" s="1474">
        <f>+N938</f>
        <v>320702</v>
      </c>
      <c r="O974" s="1474">
        <f>+O938</f>
        <v>332568</v>
      </c>
      <c r="P974" s="134"/>
    </row>
    <row r="975" spans="5:16" ht="12.75" customHeight="1" x14ac:dyDescent="0.25">
      <c r="E975" s="1434" t="s">
        <v>1504</v>
      </c>
      <c r="I975" s="134"/>
      <c r="J975" s="1834">
        <v>288291.3</v>
      </c>
      <c r="K975" s="1834">
        <v>286204.64</v>
      </c>
      <c r="L975" s="1834">
        <f>SUM(L974:L974)</f>
        <v>298225</v>
      </c>
      <c r="M975" s="1834">
        <f>SUM(M974:M974)</f>
        <v>309259</v>
      </c>
      <c r="N975" s="1834">
        <f>SUM(N974:N974)</f>
        <v>320702</v>
      </c>
      <c r="O975" s="1834">
        <f>SUM(O974:O974)</f>
        <v>332568</v>
      </c>
      <c r="P975" s="134"/>
    </row>
    <row r="976" spans="5:16" ht="12.75" customHeight="1" x14ac:dyDescent="0.25">
      <c r="E976" s="1434"/>
      <c r="I976" s="134"/>
      <c r="J976" s="134"/>
      <c r="K976" s="134"/>
      <c r="L976" s="134"/>
      <c r="M976" s="134"/>
      <c r="N976" s="134"/>
      <c r="O976" s="134"/>
      <c r="P976" s="134"/>
    </row>
    <row r="977" spans="4:16" ht="12.75" customHeight="1" x14ac:dyDescent="0.25">
      <c r="D977" s="1552"/>
      <c r="E977" s="1441" t="s">
        <v>1505</v>
      </c>
      <c r="J977" s="545">
        <v>70527</v>
      </c>
      <c r="K977" s="545">
        <v>64967</v>
      </c>
      <c r="L977" s="545">
        <f>ROUND(L975*L954,0)</f>
        <v>67744</v>
      </c>
      <c r="M977" s="545">
        <f>ROUND(M975*M954,0)</f>
        <v>68769</v>
      </c>
      <c r="N977" s="545">
        <f>ROUND(N975*N954,0)</f>
        <v>71144</v>
      </c>
      <c r="O977" s="545">
        <f>ROUND(O975*O954,0)</f>
        <v>73608</v>
      </c>
      <c r="P977" s="134"/>
    </row>
    <row r="978" spans="4:16" ht="12.75" customHeight="1" x14ac:dyDescent="0.25">
      <c r="D978" s="1552"/>
      <c r="E978" s="1434"/>
      <c r="I978" s="134"/>
      <c r="P978" s="134"/>
    </row>
    <row r="979" spans="4:16" ht="12.75" customHeight="1" x14ac:dyDescent="0.25">
      <c r="D979" s="1552"/>
      <c r="E979" s="549" t="s">
        <v>1520</v>
      </c>
      <c r="I979" s="134"/>
      <c r="J979" s="1838">
        <v>287447</v>
      </c>
      <c r="K979" s="1838">
        <v>275501</v>
      </c>
      <c r="L979" s="1838">
        <f>+L965+L971+L977</f>
        <v>287277</v>
      </c>
      <c r="M979" s="1838">
        <f>+M965+M971+M977</f>
        <v>291623</v>
      </c>
      <c r="N979" s="1838">
        <f>+N965+N971+N977</f>
        <v>301695</v>
      </c>
      <c r="O979" s="1838">
        <f>+O965+O971+O977</f>
        <v>312141</v>
      </c>
      <c r="P979" s="134"/>
    </row>
    <row r="980" spans="4:16" ht="12.75" customHeight="1" x14ac:dyDescent="0.25">
      <c r="D980" s="1552"/>
      <c r="E980" s="1434"/>
      <c r="I980" s="134"/>
      <c r="P980" s="1474"/>
    </row>
    <row r="981" spans="4:16" ht="12.75" customHeight="1" x14ac:dyDescent="0.25">
      <c r="D981" s="1552"/>
      <c r="E981" s="1434"/>
      <c r="P981" s="134"/>
    </row>
    <row r="982" spans="4:16" ht="12.75" customHeight="1" x14ac:dyDescent="0.25">
      <c r="D982" s="1552"/>
      <c r="E982" s="1559" t="s">
        <v>1525</v>
      </c>
      <c r="H982" s="1556"/>
      <c r="I982" s="1554"/>
      <c r="J982" s="1554"/>
      <c r="K982" s="1554"/>
      <c r="L982" s="1554"/>
      <c r="M982" s="1554"/>
      <c r="N982" s="1554"/>
      <c r="O982" s="1554"/>
      <c r="P982" s="545"/>
    </row>
    <row r="983" spans="4:16" ht="12.75" customHeight="1" x14ac:dyDescent="0.25">
      <c r="D983" s="1552"/>
      <c r="E983" s="134" t="s">
        <v>1526</v>
      </c>
      <c r="F983" s="1555"/>
      <c r="H983" s="1556"/>
      <c r="I983" s="1554"/>
      <c r="J983" s="1554"/>
      <c r="K983" s="1554"/>
      <c r="L983" s="1554"/>
      <c r="M983" s="1554"/>
      <c r="N983" s="1554"/>
      <c r="O983" s="1554"/>
    </row>
    <row r="984" spans="4:16" ht="12.75" customHeight="1" x14ac:dyDescent="0.25">
      <c r="D984" s="1552"/>
      <c r="E984" s="134" t="s">
        <v>1527</v>
      </c>
      <c r="F984" s="1555"/>
      <c r="H984" s="1556"/>
      <c r="I984" s="1554"/>
      <c r="J984" s="1554"/>
      <c r="K984" s="1554"/>
      <c r="L984" s="1554"/>
      <c r="M984" s="1554"/>
      <c r="N984" s="1554"/>
      <c r="O984" s="1554"/>
      <c r="P984" s="545"/>
    </row>
    <row r="985" spans="4:16" ht="12.75" customHeight="1" x14ac:dyDescent="0.25">
      <c r="D985" s="1552"/>
      <c r="E985" s="134" t="s">
        <v>1528</v>
      </c>
      <c r="F985" s="1555"/>
      <c r="H985" s="1556"/>
      <c r="I985" s="1554"/>
      <c r="J985" s="1554"/>
      <c r="K985" s="1554"/>
      <c r="L985" s="1554"/>
      <c r="M985" s="1554"/>
      <c r="N985" s="1554"/>
      <c r="O985" s="1554"/>
    </row>
    <row r="986" spans="4:16" ht="12.75" customHeight="1" x14ac:dyDescent="0.25">
      <c r="D986" s="1461"/>
      <c r="E986" s="134" t="s">
        <v>1529</v>
      </c>
      <c r="F986" s="1555"/>
      <c r="H986" s="1556"/>
      <c r="I986" s="1554"/>
      <c r="J986" s="1554"/>
      <c r="K986" s="1554"/>
      <c r="L986" s="1554"/>
      <c r="M986" s="1554"/>
      <c r="N986" s="1554"/>
      <c r="O986" s="1554"/>
    </row>
    <row r="987" spans="4:16" ht="12.75" customHeight="1" x14ac:dyDescent="0.25">
      <c r="D987" s="1461"/>
      <c r="E987" s="134" t="s">
        <v>1530</v>
      </c>
      <c r="F987" s="1555"/>
      <c r="H987" s="1556"/>
      <c r="I987" s="1554"/>
      <c r="J987" s="1554"/>
      <c r="K987" s="1554"/>
      <c r="L987" s="1554"/>
      <c r="M987" s="1554"/>
      <c r="N987" s="1554"/>
      <c r="O987" s="1554"/>
    </row>
    <row r="988" spans="4:16" ht="12.75" customHeight="1" x14ac:dyDescent="0.25">
      <c r="D988" s="1461"/>
      <c r="E988" s="134" t="s">
        <v>1531</v>
      </c>
      <c r="F988" s="1555"/>
      <c r="H988" s="1556"/>
      <c r="I988" s="1554"/>
      <c r="J988" s="1554"/>
      <c r="K988" s="1554"/>
      <c r="L988" s="1554"/>
      <c r="M988" s="1554"/>
      <c r="N988" s="1554"/>
      <c r="O988" s="1554"/>
    </row>
    <row r="989" spans="4:16" ht="12.75" customHeight="1" x14ac:dyDescent="0.25">
      <c r="E989" s="134"/>
      <c r="F989" s="1555"/>
      <c r="H989" s="1556"/>
      <c r="I989" s="1554"/>
      <c r="J989" s="1554"/>
      <c r="K989" s="1554"/>
      <c r="L989" s="1554"/>
      <c r="M989" s="1554"/>
      <c r="N989" s="1554"/>
      <c r="O989" s="1554"/>
      <c r="P989" s="134"/>
    </row>
    <row r="990" spans="4:16" ht="12.75" customHeight="1" x14ac:dyDescent="0.25">
      <c r="E990" s="545" t="s">
        <v>950</v>
      </c>
      <c r="H990" s="1556"/>
      <c r="I990" s="1554"/>
      <c r="J990" s="1830">
        <v>2025</v>
      </c>
      <c r="K990" s="1830">
        <v>2026</v>
      </c>
      <c r="L990" s="1830">
        <v>2027</v>
      </c>
      <c r="M990" s="1830">
        <v>2028</v>
      </c>
      <c r="N990" s="1830">
        <v>2029</v>
      </c>
      <c r="O990" s="1830">
        <v>2030</v>
      </c>
      <c r="P990" s="134"/>
    </row>
    <row r="991" spans="4:16" ht="12.75" customHeight="1" x14ac:dyDescent="0.25">
      <c r="E991" s="1434"/>
      <c r="F991" s="1461"/>
      <c r="P991" s="1471"/>
    </row>
    <row r="992" spans="4:16" ht="12.75" customHeight="1" x14ac:dyDescent="0.25">
      <c r="E992" s="1434" t="s">
        <v>1532</v>
      </c>
      <c r="F992" s="1461"/>
      <c r="J992" s="134">
        <v>568975.35999999999</v>
      </c>
      <c r="K992" s="134">
        <v>553455.29</v>
      </c>
      <c r="L992" s="134">
        <f>L45+L46+L698+L699</f>
        <v>576037</v>
      </c>
      <c r="M992" s="134">
        <f>M45+M46+M698+M699</f>
        <v>596901</v>
      </c>
      <c r="N992" s="134">
        <f>N45+N46+N698+N699</f>
        <v>618524</v>
      </c>
      <c r="O992" s="134">
        <f>O45+O46+O698+O699</f>
        <v>640939</v>
      </c>
      <c r="P992" s="134"/>
    </row>
    <row r="993" spans="5:16" ht="12.75" customHeight="1" x14ac:dyDescent="0.25">
      <c r="E993" s="1434"/>
      <c r="F993" s="1461"/>
      <c r="J993" s="134"/>
      <c r="K993" s="134"/>
      <c r="L993" s="134"/>
      <c r="M993" s="134"/>
      <c r="N993" s="134"/>
      <c r="O993" s="134"/>
      <c r="P993" s="134"/>
    </row>
    <row r="994" spans="5:16" ht="12.75" customHeight="1" x14ac:dyDescent="0.25">
      <c r="E994" s="1434" t="s">
        <v>1485</v>
      </c>
      <c r="J994" s="1474">
        <v>16193044</v>
      </c>
      <c r="K994" s="1474">
        <v>17914064</v>
      </c>
      <c r="L994" s="1474">
        <f>L950</f>
        <v>18666455</v>
      </c>
      <c r="M994" s="1474">
        <f>M950</f>
        <v>19357114</v>
      </c>
      <c r="N994" s="1474">
        <f>N950</f>
        <v>20073327</v>
      </c>
      <c r="O994" s="1474">
        <f>O950</f>
        <v>20816040</v>
      </c>
      <c r="P994" s="134"/>
    </row>
    <row r="995" spans="5:16" ht="12.75" customHeight="1" x14ac:dyDescent="0.25">
      <c r="E995" s="1434"/>
      <c r="H995" s="1441"/>
      <c r="J995" s="134"/>
      <c r="K995" s="134"/>
      <c r="L995" s="134"/>
      <c r="M995" s="134"/>
      <c r="N995" s="134"/>
      <c r="O995" s="134"/>
      <c r="P995" s="1474"/>
    </row>
    <row r="996" spans="5:16" ht="12.75" customHeight="1" x14ac:dyDescent="0.25">
      <c r="E996" s="1434" t="s">
        <v>1487</v>
      </c>
      <c r="J996" s="1840">
        <v>16193044</v>
      </c>
      <c r="K996" s="1840">
        <v>17914064</v>
      </c>
      <c r="L996" s="1840">
        <f t="shared" ref="L996:M996" si="127">SUM(L994:L995)</f>
        <v>18666455</v>
      </c>
      <c r="M996" s="1840">
        <f t="shared" si="127"/>
        <v>19357114</v>
      </c>
      <c r="N996" s="1840">
        <f t="shared" ref="N996:O996" si="128">SUM(N994:N995)</f>
        <v>20073327</v>
      </c>
      <c r="O996" s="1840">
        <f t="shared" si="128"/>
        <v>20816040</v>
      </c>
      <c r="P996" s="1474"/>
    </row>
    <row r="997" spans="5:16" ht="12.75" customHeight="1" x14ac:dyDescent="0.25">
      <c r="E997" s="1434"/>
      <c r="P997" s="134"/>
    </row>
    <row r="998" spans="5:16" ht="12.75" customHeight="1" x14ac:dyDescent="0.25">
      <c r="E998" s="1434" t="s">
        <v>1533</v>
      </c>
      <c r="J998" s="1568">
        <v>3.513702303285287E-2</v>
      </c>
      <c r="K998" s="1568">
        <v>3.0895015782013507E-2</v>
      </c>
      <c r="L998" s="1568">
        <f t="shared" ref="L998:M998" si="129">(L992)/L996</f>
        <v>3.085947492440316E-2</v>
      </c>
      <c r="M998" s="1568">
        <f t="shared" si="129"/>
        <v>3.0836259992062867E-2</v>
      </c>
      <c r="N998" s="1568">
        <f t="shared" ref="N998:O998" si="130">(N992)/N996</f>
        <v>3.0813227921808874E-2</v>
      </c>
      <c r="O998" s="1568">
        <f t="shared" si="130"/>
        <v>3.0790630686720433E-2</v>
      </c>
      <c r="P998" s="134"/>
    </row>
    <row r="999" spans="5:16" ht="12.75" customHeight="1" x14ac:dyDescent="0.25">
      <c r="E999" s="1434"/>
      <c r="P999" s="134"/>
    </row>
    <row r="1000" spans="5:16" ht="12.75" customHeight="1" x14ac:dyDescent="0.25">
      <c r="E1000" s="1569" t="s">
        <v>1534</v>
      </c>
      <c r="F1000" s="549"/>
      <c r="J1000" s="134"/>
      <c r="K1000" s="134"/>
      <c r="L1000" s="134"/>
      <c r="M1000" s="134"/>
      <c r="N1000" s="134"/>
      <c r="O1000" s="134"/>
      <c r="P1000" s="134"/>
    </row>
    <row r="1001" spans="5:16" ht="12.75" customHeight="1" x14ac:dyDescent="0.25">
      <c r="E1001" s="1569"/>
      <c r="F1001" s="549"/>
      <c r="J1001" s="134"/>
      <c r="K1001" s="134"/>
      <c r="L1001" s="134"/>
      <c r="M1001" s="134"/>
      <c r="N1001" s="134"/>
      <c r="O1001" s="134"/>
      <c r="P1001" s="134"/>
    </row>
    <row r="1002" spans="5:16" ht="12.75" customHeight="1" x14ac:dyDescent="0.25">
      <c r="E1002" s="794" t="s">
        <v>1490</v>
      </c>
      <c r="J1002" s="134"/>
      <c r="K1002" s="134"/>
      <c r="L1002" s="134"/>
      <c r="M1002" s="134"/>
      <c r="N1002" s="134"/>
      <c r="O1002" s="134"/>
      <c r="P1002" s="134"/>
    </row>
    <row r="1003" spans="5:16" ht="12.75" customHeight="1" x14ac:dyDescent="0.25">
      <c r="E1003" s="1441" t="str">
        <f>+E959</f>
        <v>- Loonkosten beheer en realisatie</v>
      </c>
      <c r="J1003" s="1474">
        <v>4465</v>
      </c>
      <c r="K1003" s="1474">
        <v>4459</v>
      </c>
      <c r="L1003" s="1474">
        <f t="shared" ref="L1003:M1006" si="131">+L959</f>
        <v>4646</v>
      </c>
      <c r="M1003" s="1474">
        <f t="shared" si="131"/>
        <v>4818</v>
      </c>
      <c r="N1003" s="1474">
        <f t="shared" ref="N1003:O1003" si="132">+N959</f>
        <v>4996</v>
      </c>
      <c r="O1003" s="1474">
        <f t="shared" si="132"/>
        <v>5181</v>
      </c>
      <c r="P1003" s="134"/>
    </row>
    <row r="1004" spans="5:16" ht="12.75" customHeight="1" x14ac:dyDescent="0.25">
      <c r="E1004" s="1441" t="str">
        <f>+E960</f>
        <v>- Loonkosten beheer buiten</v>
      </c>
      <c r="J1004" s="1474">
        <v>8513</v>
      </c>
      <c r="K1004" s="1474">
        <v>6933</v>
      </c>
      <c r="L1004" s="1474">
        <f t="shared" si="131"/>
        <v>7224</v>
      </c>
      <c r="M1004" s="1474">
        <f t="shared" si="131"/>
        <v>7491</v>
      </c>
      <c r="N1004" s="1474">
        <f t="shared" ref="N1004:O1004" si="133">+N960</f>
        <v>7768</v>
      </c>
      <c r="O1004" s="1474">
        <f t="shared" si="133"/>
        <v>8055</v>
      </c>
      <c r="P1004" s="134"/>
    </row>
    <row r="1005" spans="5:16" ht="12.75" customHeight="1" x14ac:dyDescent="0.25">
      <c r="E1005" s="1441" t="str">
        <f>+E961</f>
        <v>- Loonkosten omgevingsadvies</v>
      </c>
      <c r="J1005" s="1474">
        <v>58123</v>
      </c>
      <c r="K1005" s="1474">
        <v>59939.17</v>
      </c>
      <c r="L1005" s="1474">
        <f t="shared" si="131"/>
        <v>62457</v>
      </c>
      <c r="M1005" s="1474">
        <f t="shared" si="131"/>
        <v>64768</v>
      </c>
      <c r="N1005" s="1474">
        <f t="shared" ref="N1005:O1005" si="134">+N961</f>
        <v>67164</v>
      </c>
      <c r="O1005" s="1474">
        <f t="shared" si="134"/>
        <v>69649</v>
      </c>
      <c r="P1005" s="134"/>
    </row>
    <row r="1006" spans="5:16" ht="12.75" customHeight="1" x14ac:dyDescent="0.25">
      <c r="E1006" s="1441" t="str">
        <f>+E962</f>
        <v>- Loonkosten ruimtelijke ontwikkeling</v>
      </c>
      <c r="J1006" s="1474">
        <v>425157</v>
      </c>
      <c r="K1006" s="1474">
        <v>469578</v>
      </c>
      <c r="L1006" s="1474">
        <f t="shared" si="131"/>
        <v>489300</v>
      </c>
      <c r="M1006" s="1474">
        <f t="shared" si="131"/>
        <v>507404</v>
      </c>
      <c r="N1006" s="1474">
        <f t="shared" ref="N1006:O1006" si="135">+N962</f>
        <v>526178</v>
      </c>
      <c r="O1006" s="1474">
        <f t="shared" si="135"/>
        <v>545647</v>
      </c>
      <c r="P1006" s="134"/>
    </row>
    <row r="1007" spans="5:16" ht="12.75" customHeight="1" x14ac:dyDescent="0.25">
      <c r="E1007" s="1441" t="s">
        <v>1496</v>
      </c>
      <c r="J1007" s="1834">
        <v>496258</v>
      </c>
      <c r="K1007" s="1834">
        <v>540909.17000000004</v>
      </c>
      <c r="L1007" s="1834">
        <f>+SUM(L1003:L1006)</f>
        <v>563627</v>
      </c>
      <c r="M1007" s="1834">
        <f>+SUM(M1003:M1006)</f>
        <v>584481</v>
      </c>
      <c r="N1007" s="1834">
        <f>+SUM(N1003:N1006)</f>
        <v>606106</v>
      </c>
      <c r="O1007" s="1834">
        <f>+SUM(O1003:O1006)</f>
        <v>628532</v>
      </c>
      <c r="P1007" s="134"/>
    </row>
    <row r="1008" spans="5:16" ht="12.75" customHeight="1" x14ac:dyDescent="0.25">
      <c r="E1008" s="1441"/>
      <c r="J1008" s="134"/>
      <c r="K1008" s="134"/>
      <c r="L1008" s="134"/>
      <c r="M1008" s="134"/>
      <c r="N1008" s="134"/>
      <c r="O1008" s="134"/>
      <c r="P1008" s="545"/>
    </row>
    <row r="1009" spans="1:16" ht="12.75" customHeight="1" x14ac:dyDescent="0.25">
      <c r="E1009" s="1441" t="s">
        <v>1515</v>
      </c>
      <c r="J1009" s="545">
        <v>17437.028776237501</v>
      </c>
      <c r="K1009" s="545">
        <v>16711.397343785829</v>
      </c>
      <c r="L1009" s="545">
        <f t="shared" ref="L1009:M1009" si="136">L1007*L998</f>
        <v>17393.233273216578</v>
      </c>
      <c r="M1009" s="545">
        <f t="shared" si="136"/>
        <v>18023.208076420895</v>
      </c>
      <c r="N1009" s="545">
        <f t="shared" ref="N1009:O1009" si="137">N1007*N998</f>
        <v>18676.082322775888</v>
      </c>
      <c r="O1009" s="545">
        <f t="shared" si="137"/>
        <v>19352.896686785767</v>
      </c>
      <c r="P1009" s="134"/>
    </row>
    <row r="1010" spans="1:16" ht="12.75" customHeight="1" x14ac:dyDescent="0.25">
      <c r="E1010" s="1441"/>
      <c r="J1010" s="134"/>
      <c r="K1010" s="134"/>
      <c r="L1010" s="134"/>
      <c r="M1010" s="134"/>
      <c r="N1010" s="134"/>
      <c r="O1010" s="134"/>
      <c r="P1010" s="134"/>
    </row>
    <row r="1011" spans="1:16" ht="12.75" customHeight="1" x14ac:dyDescent="0.25">
      <c r="E1011" s="1570" t="s">
        <v>1498</v>
      </c>
      <c r="J1011" s="134"/>
      <c r="K1011" s="134"/>
      <c r="L1011" s="134"/>
      <c r="M1011" s="134"/>
      <c r="N1011" s="134"/>
      <c r="O1011" s="134"/>
      <c r="P1011" s="1474"/>
    </row>
    <row r="1012" spans="1:16" ht="12.75" customHeight="1" x14ac:dyDescent="0.25">
      <c r="E1012" s="1441"/>
      <c r="I1012" s="1573"/>
      <c r="J1012" s="545"/>
      <c r="K1012" s="545"/>
      <c r="L1012" s="545"/>
      <c r="M1012" s="545"/>
      <c r="N1012" s="545"/>
      <c r="O1012" s="545"/>
      <c r="P1012" s="1474"/>
    </row>
    <row r="1013" spans="1:16" ht="12.75" customHeight="1" x14ac:dyDescent="0.25">
      <c r="E1013" s="1441" t="str">
        <f>+E968</f>
        <v>- Loonkosten beheer en realisatie</v>
      </c>
      <c r="J1013" s="1474">
        <v>390437</v>
      </c>
      <c r="K1013" s="1474">
        <v>386572</v>
      </c>
      <c r="L1013" s="1474">
        <f>+L968</f>
        <v>402808</v>
      </c>
      <c r="M1013" s="1474">
        <f>+M968</f>
        <v>417712</v>
      </c>
      <c r="N1013" s="1474">
        <f>+N968</f>
        <v>433167</v>
      </c>
      <c r="O1013" s="1474">
        <f>+O968</f>
        <v>449194</v>
      </c>
      <c r="P1013" s="1474"/>
    </row>
    <row r="1014" spans="1:16" ht="12.75" customHeight="1" x14ac:dyDescent="0.25">
      <c r="E1014" s="1441" t="s">
        <v>1500</v>
      </c>
      <c r="J1014" s="1834">
        <v>390437</v>
      </c>
      <c r="K1014" s="1834">
        <v>386572</v>
      </c>
      <c r="L1014" s="1834">
        <f>+L1013</f>
        <v>402808</v>
      </c>
      <c r="M1014" s="1834">
        <f>+M1013</f>
        <v>417712</v>
      </c>
      <c r="N1014" s="1834">
        <f>+N1013</f>
        <v>433167</v>
      </c>
      <c r="O1014" s="1834">
        <f>+O1013</f>
        <v>449194</v>
      </c>
    </row>
    <row r="1015" spans="1:16" ht="12.75" customHeight="1" x14ac:dyDescent="0.25">
      <c r="E1015" s="1441"/>
      <c r="J1015" s="134"/>
      <c r="K1015" s="134"/>
      <c r="L1015" s="134"/>
      <c r="M1015" s="134"/>
      <c r="N1015" s="134"/>
      <c r="O1015" s="134"/>
      <c r="P1015" s="545"/>
    </row>
    <row r="1016" spans="1:16" ht="12.75" customHeight="1" x14ac:dyDescent="0.25">
      <c r="E1016" s="1441" t="s">
        <v>1501</v>
      </c>
      <c r="I1016" s="1573"/>
      <c r="J1016" s="545">
        <v>13719</v>
      </c>
      <c r="K1016" s="545">
        <v>11943</v>
      </c>
      <c r="L1016" s="545">
        <f>ROUND(L1014*L998,0)</f>
        <v>12430</v>
      </c>
      <c r="M1016" s="545">
        <f>ROUND(M1014*M998,0)</f>
        <v>12881</v>
      </c>
      <c r="N1016" s="545">
        <f>ROUND(N1014*N998,0)</f>
        <v>13347</v>
      </c>
      <c r="O1016" s="545">
        <f>ROUND(O1014*O998,0)</f>
        <v>13831</v>
      </c>
    </row>
    <row r="1017" spans="1:16" ht="12.75" customHeight="1" x14ac:dyDescent="0.25">
      <c r="E1017" s="1441"/>
      <c r="J1017" s="134"/>
      <c r="K1017" s="134"/>
      <c r="L1017" s="134"/>
      <c r="M1017" s="134"/>
      <c r="N1017" s="134"/>
      <c r="O1017" s="134"/>
    </row>
    <row r="1018" spans="1:16" ht="12.75" customHeight="1" x14ac:dyDescent="0.25">
      <c r="E1018" s="794" t="s">
        <v>1502</v>
      </c>
      <c r="J1018" s="134"/>
      <c r="K1018" s="134"/>
      <c r="L1018" s="134"/>
      <c r="M1018" s="134"/>
      <c r="N1018" s="134"/>
      <c r="O1018" s="134"/>
      <c r="P1018" s="134"/>
    </row>
    <row r="1019" spans="1:16" ht="12.75" customHeight="1" x14ac:dyDescent="0.25">
      <c r="E1019" s="1441" t="str">
        <f>+E974</f>
        <v>- Loonkosten beheer en realisatie</v>
      </c>
      <c r="J1019" s="1474">
        <v>288291.3</v>
      </c>
      <c r="K1019" s="1474">
        <v>286204.64</v>
      </c>
      <c r="L1019" s="1474">
        <f>+L974</f>
        <v>298225</v>
      </c>
      <c r="M1019" s="1474">
        <f>+M974</f>
        <v>309259</v>
      </c>
      <c r="N1019" s="1474">
        <f>+N974</f>
        <v>320702</v>
      </c>
      <c r="O1019" s="1474">
        <f>+O974</f>
        <v>332568</v>
      </c>
      <c r="P1019" s="134"/>
    </row>
    <row r="1020" spans="1:16" ht="12.75" customHeight="1" x14ac:dyDescent="0.25">
      <c r="E1020" s="1434" t="s">
        <v>1504</v>
      </c>
      <c r="J1020" s="1834">
        <v>288291.3</v>
      </c>
      <c r="K1020" s="1834">
        <v>286204.64</v>
      </c>
      <c r="L1020" s="1834">
        <f>SUM(L1019:L1019)</f>
        <v>298225</v>
      </c>
      <c r="M1020" s="1834">
        <f>SUM(M1019:M1019)</f>
        <v>309259</v>
      </c>
      <c r="N1020" s="1834">
        <f>SUM(N1019:N1019)</f>
        <v>320702</v>
      </c>
      <c r="O1020" s="1834">
        <f>SUM(O1019:O1019)</f>
        <v>332568</v>
      </c>
      <c r="P1020" s="134"/>
    </row>
    <row r="1021" spans="1:16" ht="12.75" customHeight="1" x14ac:dyDescent="0.25">
      <c r="A1021" s="1442"/>
      <c r="E1021" s="1434"/>
      <c r="J1021" s="134"/>
      <c r="K1021" s="134"/>
      <c r="L1021" s="134"/>
      <c r="M1021" s="134"/>
      <c r="N1021" s="134"/>
      <c r="O1021" s="134"/>
      <c r="P1021" s="134"/>
    </row>
    <row r="1022" spans="1:16" ht="12.75" customHeight="1" x14ac:dyDescent="0.25">
      <c r="A1022" s="1442"/>
      <c r="E1022" s="1441" t="s">
        <v>1505</v>
      </c>
      <c r="I1022" s="1573"/>
      <c r="J1022" s="545">
        <v>10130</v>
      </c>
      <c r="K1022" s="545">
        <v>8842</v>
      </c>
      <c r="L1022" s="545">
        <f>ROUND(L1020*L998,0)</f>
        <v>9203</v>
      </c>
      <c r="M1022" s="545">
        <f>ROUND(M1020*M998,0)</f>
        <v>9536</v>
      </c>
      <c r="N1022" s="545">
        <f>ROUND(N1020*N998,0)</f>
        <v>9882</v>
      </c>
      <c r="O1022" s="545">
        <f>ROUND(O1020*O998,0)</f>
        <v>10240</v>
      </c>
      <c r="P1022" s="134"/>
    </row>
    <row r="1023" spans="1:16" ht="12.75" customHeight="1" x14ac:dyDescent="0.25">
      <c r="A1023" s="1442"/>
      <c r="E1023" s="1434"/>
      <c r="P1023" s="134"/>
    </row>
    <row r="1024" spans="1:16" ht="12.75" customHeight="1" x14ac:dyDescent="0.25">
      <c r="A1024" s="1442"/>
      <c r="E1024" s="549" t="s">
        <v>1520</v>
      </c>
      <c r="J1024" s="1838">
        <v>41286.028776237501</v>
      </c>
      <c r="K1024" s="1838">
        <v>37496.397343785829</v>
      </c>
      <c r="L1024" s="1838">
        <f t="shared" ref="L1024:M1024" si="138">L1009+L1016+L1022</f>
        <v>39026.233273216581</v>
      </c>
      <c r="M1024" s="1838">
        <f t="shared" si="138"/>
        <v>40440.208076420895</v>
      </c>
      <c r="N1024" s="1838">
        <f t="shared" ref="N1024:O1024" si="139">N1009+N1016+N1022</f>
        <v>41905.082322775888</v>
      </c>
      <c r="O1024" s="1838">
        <f t="shared" si="139"/>
        <v>43423.896686785767</v>
      </c>
      <c r="P1024" s="134"/>
    </row>
    <row r="1025" spans="1:16" ht="12.75" customHeight="1" x14ac:dyDescent="0.25">
      <c r="A1025" s="1442"/>
      <c r="E1025" s="1434"/>
      <c r="P1025" s="134"/>
    </row>
    <row r="1026" spans="1:16" ht="12.75" customHeight="1" x14ac:dyDescent="0.25">
      <c r="A1026" s="1442"/>
      <c r="E1026" s="549" t="s">
        <v>1535</v>
      </c>
      <c r="I1026" s="134"/>
      <c r="J1026" s="1830">
        <v>2025</v>
      </c>
      <c r="K1026" s="1830">
        <v>2026</v>
      </c>
      <c r="L1026" s="1830">
        <v>2027</v>
      </c>
      <c r="M1026" s="1830">
        <v>2028</v>
      </c>
      <c r="N1026" s="1830">
        <v>2029</v>
      </c>
      <c r="O1026" s="1830">
        <v>2030</v>
      </c>
      <c r="P1026" s="134"/>
    </row>
    <row r="1027" spans="1:16" ht="12.75" customHeight="1" x14ac:dyDescent="0.25">
      <c r="A1027" s="1442"/>
      <c r="E1027" s="1434"/>
      <c r="I1027" s="134"/>
      <c r="J1027" s="134"/>
      <c r="K1027" s="134"/>
      <c r="L1027" s="134"/>
      <c r="M1027" s="134"/>
      <c r="N1027" s="134"/>
      <c r="O1027" s="134"/>
      <c r="P1027" s="134"/>
    </row>
    <row r="1028" spans="1:16" ht="12.75" customHeight="1" x14ac:dyDescent="0.25">
      <c r="A1028" s="1442"/>
      <c r="E1028" s="1434" t="s">
        <v>1536</v>
      </c>
      <c r="I1028" s="134"/>
      <c r="J1028" s="134">
        <v>495390.98</v>
      </c>
      <c r="K1028" s="134">
        <v>493056</v>
      </c>
      <c r="L1028" s="134">
        <f>+L702+L38</f>
        <v>512058</v>
      </c>
      <c r="M1028" s="134">
        <f>+M702+M38</f>
        <v>529843</v>
      </c>
      <c r="N1028" s="134">
        <f>+N702+N38</f>
        <v>548259</v>
      </c>
      <c r="O1028" s="134">
        <f>+O702+O38</f>
        <v>567329</v>
      </c>
      <c r="P1028" s="134"/>
    </row>
    <row r="1029" spans="1:16" ht="12.75" customHeight="1" x14ac:dyDescent="0.25">
      <c r="A1029" s="1442"/>
      <c r="E1029" s="1434"/>
      <c r="I1029" s="134"/>
      <c r="J1029" s="134"/>
      <c r="K1029" s="134"/>
      <c r="L1029" s="134"/>
      <c r="M1029" s="134"/>
      <c r="N1029" s="134"/>
      <c r="O1029" s="134"/>
      <c r="P1029" s="134"/>
    </row>
    <row r="1030" spans="1:16" ht="12.75" customHeight="1" x14ac:dyDescent="0.25">
      <c r="A1030" s="1442"/>
      <c r="E1030" s="1434" t="s">
        <v>1537</v>
      </c>
      <c r="I1030" s="134"/>
      <c r="J1030" s="1474">
        <v>3961450.0267500002</v>
      </c>
      <c r="K1030" s="1474">
        <v>4040679</v>
      </c>
      <c r="L1030" s="1474">
        <f>ROUND(K1030*T$3,0)</f>
        <v>4210388</v>
      </c>
      <c r="M1030" s="1474">
        <f>ROUND(L1030*U$3,0)</f>
        <v>4366172</v>
      </c>
      <c r="N1030" s="1474">
        <f>ROUND(M1030*V$3,0)</f>
        <v>4527720</v>
      </c>
      <c r="O1030" s="1474">
        <f>ROUND(N1030*W$3,0)</f>
        <v>4695246</v>
      </c>
      <c r="P1030" s="134"/>
    </row>
    <row r="1031" spans="1:16" ht="12.75" customHeight="1" x14ac:dyDescent="0.25">
      <c r="A1031" s="1442"/>
      <c r="E1031" s="1434"/>
      <c r="H1031" s="1441"/>
      <c r="I1031" s="134"/>
      <c r="J1031" s="134"/>
      <c r="K1031" s="134"/>
      <c r="L1031" s="134"/>
      <c r="M1031" s="134"/>
      <c r="N1031" s="134"/>
      <c r="O1031" s="134"/>
      <c r="P1031" s="134"/>
    </row>
    <row r="1032" spans="1:16" ht="12.75" customHeight="1" x14ac:dyDescent="0.25">
      <c r="A1032" s="1442"/>
      <c r="E1032" s="1434" t="s">
        <v>1487</v>
      </c>
      <c r="I1032" s="134"/>
      <c r="J1032" s="1840">
        <v>3961450.0267500002</v>
      </c>
      <c r="K1032" s="1840">
        <v>4040679</v>
      </c>
      <c r="L1032" s="1840">
        <f t="shared" ref="L1032:M1032" si="140">SUM(L1030:L1031)</f>
        <v>4210388</v>
      </c>
      <c r="M1032" s="1840">
        <f t="shared" si="140"/>
        <v>4366172</v>
      </c>
      <c r="N1032" s="1840">
        <f t="shared" ref="N1032:O1032" si="141">SUM(N1030:N1031)</f>
        <v>4527720</v>
      </c>
      <c r="O1032" s="1840">
        <f t="shared" si="141"/>
        <v>4695246</v>
      </c>
      <c r="P1032" s="1568"/>
    </row>
    <row r="1033" spans="1:16" ht="12.75" customHeight="1" x14ac:dyDescent="0.25">
      <c r="A1033" s="1442"/>
      <c r="E1033" s="1434"/>
      <c r="I1033" s="134"/>
    </row>
    <row r="1034" spans="1:16" ht="12.75" customHeight="1" x14ac:dyDescent="0.25">
      <c r="A1034" s="1442"/>
      <c r="E1034" s="1434" t="s">
        <v>1538</v>
      </c>
      <c r="I1034" s="134"/>
      <c r="J1034" s="1568">
        <v>0.12505294189118474</v>
      </c>
      <c r="K1034" s="1568">
        <v>0.12202305602597979</v>
      </c>
      <c r="L1034" s="1568">
        <f t="shared" ref="L1034:M1034" si="142">L1028/L1032</f>
        <v>0.12161777014374922</v>
      </c>
      <c r="M1034" s="1568">
        <f t="shared" si="142"/>
        <v>0.12135183863576607</v>
      </c>
      <c r="N1034" s="1568">
        <f t="shared" ref="N1034:O1034" si="143">N1028/N1032</f>
        <v>0.12108942249079006</v>
      </c>
      <c r="O1034" s="1568">
        <f t="shared" si="143"/>
        <v>0.12083051665450543</v>
      </c>
      <c r="P1034" s="134"/>
    </row>
    <row r="1035" spans="1:16" ht="12.75" customHeight="1" x14ac:dyDescent="0.25">
      <c r="A1035" s="1442"/>
      <c r="E1035" s="1434"/>
      <c r="I1035" s="134"/>
      <c r="P1035" s="134"/>
    </row>
    <row r="1036" spans="1:16" ht="12.75" customHeight="1" x14ac:dyDescent="0.25">
      <c r="A1036" s="1442"/>
      <c r="E1036" s="549" t="s">
        <v>1539</v>
      </c>
      <c r="I1036" s="134"/>
      <c r="J1036" s="134"/>
      <c r="K1036" s="134"/>
      <c r="L1036" s="134"/>
      <c r="M1036" s="134"/>
      <c r="N1036" s="134"/>
      <c r="O1036" s="134"/>
      <c r="P1036" s="134"/>
    </row>
    <row r="1037" spans="1:16" ht="12.75" customHeight="1" x14ac:dyDescent="0.25">
      <c r="A1037" s="1442"/>
      <c r="E1037" s="1434" t="s">
        <v>1540</v>
      </c>
      <c r="J1037" s="134">
        <v>947962.11</v>
      </c>
      <c r="K1037" s="134">
        <v>1084099.81</v>
      </c>
      <c r="L1037" s="134">
        <f>+L700</f>
        <v>1002387</v>
      </c>
      <c r="M1037" s="134">
        <f>+M700</f>
        <v>1039475</v>
      </c>
      <c r="N1037" s="134">
        <f>+N700</f>
        <v>1077935</v>
      </c>
      <c r="O1037" s="134">
        <f>+O700</f>
        <v>1117818</v>
      </c>
      <c r="P1037" s="1474"/>
    </row>
    <row r="1038" spans="1:16" ht="12.75" customHeight="1" x14ac:dyDescent="0.25">
      <c r="A1038" s="1442"/>
      <c r="E1038" s="1434"/>
      <c r="J1038" s="134"/>
      <c r="K1038" s="134"/>
      <c r="L1038" s="134"/>
      <c r="M1038" s="134"/>
      <c r="N1038" s="134"/>
      <c r="O1038" s="134"/>
      <c r="P1038" s="134"/>
    </row>
    <row r="1039" spans="1:16" ht="12.75" customHeight="1" x14ac:dyDescent="0.25">
      <c r="A1039" s="1442"/>
      <c r="E1039" s="1434" t="s">
        <v>1541</v>
      </c>
      <c r="J1039" s="1474">
        <v>8447831</v>
      </c>
      <c r="K1039" s="1474">
        <v>8616788</v>
      </c>
      <c r="L1039" s="1474">
        <f>ROUND(K1039*T$3,0)</f>
        <v>8978693</v>
      </c>
      <c r="M1039" s="1474">
        <f>ROUND(L1039*U$3,0)</f>
        <v>9310905</v>
      </c>
      <c r="N1039" s="1474">
        <f>ROUND(M1039*V$3,0)</f>
        <v>9655408</v>
      </c>
      <c r="O1039" s="1474">
        <f>ROUND(N1039*W$3,0)</f>
        <v>10012658</v>
      </c>
      <c r="P1039" s="545"/>
    </row>
    <row r="1040" spans="1:16" ht="12.75" customHeight="1" x14ac:dyDescent="0.25">
      <c r="A1040" s="1442"/>
      <c r="E1040" s="1434"/>
      <c r="H1040" s="1441"/>
      <c r="J1040" s="134"/>
      <c r="K1040" s="134"/>
      <c r="L1040" s="134"/>
      <c r="M1040" s="134"/>
      <c r="N1040" s="134"/>
      <c r="O1040" s="134"/>
      <c r="P1040" s="134"/>
    </row>
    <row r="1041" spans="1:16" ht="12.75" customHeight="1" x14ac:dyDescent="0.25">
      <c r="A1041" s="1442"/>
      <c r="E1041" s="1434" t="s">
        <v>1487</v>
      </c>
      <c r="J1041" s="1840">
        <v>8447831</v>
      </c>
      <c r="K1041" s="1840">
        <v>8616788</v>
      </c>
      <c r="L1041" s="1840">
        <f t="shared" ref="L1041:M1041" si="144">SUM(L1039:L1040)</f>
        <v>8978693</v>
      </c>
      <c r="M1041" s="1840">
        <f t="shared" si="144"/>
        <v>9310905</v>
      </c>
      <c r="N1041" s="1840">
        <f t="shared" ref="N1041:O1041" si="145">SUM(N1039:N1040)</f>
        <v>9655408</v>
      </c>
      <c r="O1041" s="1840">
        <f t="shared" si="145"/>
        <v>10012658</v>
      </c>
      <c r="P1041" s="134"/>
    </row>
    <row r="1042" spans="1:16" ht="12.75" customHeight="1" x14ac:dyDescent="0.25">
      <c r="A1042" s="1442"/>
      <c r="E1042" s="1434"/>
      <c r="P1042" s="134"/>
    </row>
    <row r="1043" spans="1:16" ht="12.75" customHeight="1" x14ac:dyDescent="0.25">
      <c r="A1043" s="1442"/>
      <c r="E1043" s="1434" t="s">
        <v>1542</v>
      </c>
      <c r="J1043" s="1568">
        <v>0.11221366881037274</v>
      </c>
      <c r="K1043" s="1568">
        <v>0.12581251969991603</v>
      </c>
      <c r="L1043" s="1568">
        <f>L1037/L1041</f>
        <v>0.11164063633760504</v>
      </c>
      <c r="M1043" s="1568">
        <f>M1037/M1041</f>
        <v>0.11164059777218219</v>
      </c>
      <c r="N1043" s="1568">
        <f t="shared" ref="N1043:O1043" si="146">N1037/N1041</f>
        <v>0.11164054382787346</v>
      </c>
      <c r="O1043" s="1568">
        <f t="shared" si="146"/>
        <v>0.11164048547348766</v>
      </c>
      <c r="P1043" s="134"/>
    </row>
    <row r="1044" spans="1:16" ht="12.75" customHeight="1" x14ac:dyDescent="0.25">
      <c r="A1044" s="1442"/>
      <c r="E1044" s="1434"/>
      <c r="P1044" s="134"/>
    </row>
    <row r="1045" spans="1:16" ht="12.75" customHeight="1" x14ac:dyDescent="0.25">
      <c r="A1045" s="1442"/>
      <c r="E1045" s="1569" t="s">
        <v>1543</v>
      </c>
      <c r="F1045" s="549"/>
      <c r="I1045" s="134"/>
      <c r="J1045" s="134"/>
      <c r="K1045" s="134"/>
      <c r="L1045" s="134"/>
      <c r="M1045" s="134"/>
      <c r="N1045" s="134"/>
      <c r="O1045" s="134"/>
      <c r="P1045" s="134"/>
    </row>
    <row r="1046" spans="1:16" ht="12.75" customHeight="1" x14ac:dyDescent="0.25">
      <c r="A1046" s="1442"/>
      <c r="E1046" s="1441" t="s">
        <v>1544</v>
      </c>
      <c r="I1046" s="134"/>
      <c r="J1046" s="1474">
        <v>0</v>
      </c>
      <c r="K1046" s="1474">
        <v>0</v>
      </c>
      <c r="L1046" s="1474">
        <f>ROUND(K1046*T$3,0)</f>
        <v>0</v>
      </c>
      <c r="M1046" s="1474">
        <f>ROUND(L1046*U$3,0)</f>
        <v>0</v>
      </c>
      <c r="N1046" s="1474">
        <f>ROUND(M1046*V$3,0)</f>
        <v>0</v>
      </c>
      <c r="O1046" s="1474">
        <f>ROUND(N1046*W$3,0)</f>
        <v>0</v>
      </c>
      <c r="P1046" s="1471"/>
    </row>
    <row r="1047" spans="1:16" ht="12.75" customHeight="1" x14ac:dyDescent="0.25">
      <c r="A1047" s="1442"/>
      <c r="E1047" s="1441" t="str">
        <f>+E1003</f>
        <v>- Loonkosten beheer en realisatie</v>
      </c>
      <c r="I1047" s="134"/>
      <c r="J1047" s="1474">
        <v>4465</v>
      </c>
      <c r="K1047" s="1474">
        <v>4459</v>
      </c>
      <c r="L1047" s="1474">
        <f t="shared" ref="L1047:M1050" si="147">+L1003</f>
        <v>4646</v>
      </c>
      <c r="M1047" s="1474">
        <f t="shared" si="147"/>
        <v>4818</v>
      </c>
      <c r="N1047" s="1474">
        <f t="shared" ref="N1047:O1047" si="148">+N1003</f>
        <v>4996</v>
      </c>
      <c r="O1047" s="1474">
        <f t="shared" si="148"/>
        <v>5181</v>
      </c>
      <c r="P1047" s="134"/>
    </row>
    <row r="1048" spans="1:16" ht="12.75" customHeight="1" x14ac:dyDescent="0.25">
      <c r="A1048" s="1442"/>
      <c r="E1048" s="1441" t="str">
        <f>+E1004</f>
        <v>- Loonkosten beheer buiten</v>
      </c>
      <c r="I1048" s="134"/>
      <c r="J1048" s="1474">
        <v>8513</v>
      </c>
      <c r="K1048" s="1474">
        <v>6933</v>
      </c>
      <c r="L1048" s="1474">
        <f t="shared" si="147"/>
        <v>7224</v>
      </c>
      <c r="M1048" s="1474">
        <f t="shared" si="147"/>
        <v>7491</v>
      </c>
      <c r="N1048" s="1474">
        <f t="shared" ref="N1048:O1048" si="149">+N1004</f>
        <v>7768</v>
      </c>
      <c r="O1048" s="1474">
        <f t="shared" si="149"/>
        <v>8055</v>
      </c>
      <c r="P1048" s="134"/>
    </row>
    <row r="1049" spans="1:16" ht="12.75" customHeight="1" x14ac:dyDescent="0.25">
      <c r="A1049" s="1442"/>
      <c r="E1049" s="1441" t="str">
        <f>+E1005</f>
        <v>- Loonkosten omgevingsadvies</v>
      </c>
      <c r="I1049" s="134"/>
      <c r="J1049" s="1474">
        <v>58123</v>
      </c>
      <c r="K1049" s="1474">
        <v>59939.17</v>
      </c>
      <c r="L1049" s="1474">
        <f t="shared" si="147"/>
        <v>62457</v>
      </c>
      <c r="M1049" s="1474">
        <f t="shared" si="147"/>
        <v>64768</v>
      </c>
      <c r="N1049" s="1474">
        <f t="shared" ref="N1049:O1049" si="150">+N1005</f>
        <v>67164</v>
      </c>
      <c r="O1049" s="1474">
        <f t="shared" si="150"/>
        <v>69649</v>
      </c>
      <c r="P1049" s="134"/>
    </row>
    <row r="1050" spans="1:16" ht="12.75" customHeight="1" x14ac:dyDescent="0.25">
      <c r="A1050" s="1442"/>
      <c r="E1050" s="1441" t="str">
        <f>+E1006</f>
        <v>- Loonkosten ruimtelijke ontwikkeling</v>
      </c>
      <c r="I1050" s="134"/>
      <c r="J1050" s="1474">
        <v>425157</v>
      </c>
      <c r="K1050" s="1474">
        <v>469578</v>
      </c>
      <c r="L1050" s="1474">
        <f t="shared" si="147"/>
        <v>489300</v>
      </c>
      <c r="M1050" s="1474">
        <f t="shared" si="147"/>
        <v>507404</v>
      </c>
      <c r="N1050" s="1474">
        <f t="shared" ref="N1050:O1050" si="151">+N1006</f>
        <v>526178</v>
      </c>
      <c r="O1050" s="1474">
        <f t="shared" si="151"/>
        <v>545647</v>
      </c>
      <c r="P1050" s="134"/>
    </row>
    <row r="1051" spans="1:16" ht="12.75" customHeight="1" x14ac:dyDescent="0.25">
      <c r="A1051" s="1442"/>
      <c r="E1051" s="1441" t="s">
        <v>1496</v>
      </c>
      <c r="I1051" s="134"/>
      <c r="J1051" s="1834">
        <v>496258</v>
      </c>
      <c r="K1051" s="1834">
        <v>540909.17000000004</v>
      </c>
      <c r="L1051" s="1834">
        <f>+SUM(L1047:L1050)</f>
        <v>563627</v>
      </c>
      <c r="M1051" s="1834">
        <f>+SUM(M1047:M1050)</f>
        <v>584481</v>
      </c>
      <c r="N1051" s="1834">
        <f>+SUM(N1047:N1050)</f>
        <v>606106</v>
      </c>
      <c r="O1051" s="1834">
        <f>+SUM(O1047:O1050)</f>
        <v>628532</v>
      </c>
      <c r="P1051" s="134"/>
    </row>
    <row r="1052" spans="1:16" ht="12.75" customHeight="1" x14ac:dyDescent="0.25">
      <c r="A1052" s="1442"/>
      <c r="E1052" s="1441"/>
      <c r="I1052" s="134"/>
      <c r="J1052" s="134"/>
      <c r="K1052" s="134"/>
      <c r="L1052" s="134"/>
      <c r="M1052" s="134"/>
      <c r="N1052" s="134"/>
      <c r="O1052" s="134"/>
      <c r="P1052" s="134"/>
    </row>
    <row r="1053" spans="1:16" ht="12.75" customHeight="1" x14ac:dyDescent="0.25">
      <c r="E1053" s="1441" t="s">
        <v>1545</v>
      </c>
      <c r="J1053" s="545">
        <v>55687</v>
      </c>
      <c r="K1053" s="545">
        <v>68053</v>
      </c>
      <c r="L1053" s="545">
        <f>ROUND(L1051*L1043,0)</f>
        <v>62924</v>
      </c>
      <c r="M1053" s="545">
        <f>ROUND(M1051*M1043,0)</f>
        <v>65252</v>
      </c>
      <c r="N1053" s="545">
        <f>ROUND(N1051*N1043,0)</f>
        <v>67666</v>
      </c>
      <c r="O1053" s="545">
        <f>ROUND(O1051*O1043,0)</f>
        <v>70170</v>
      </c>
      <c r="P1053" s="1474"/>
    </row>
    <row r="1054" spans="1:16" ht="12.75" customHeight="1" x14ac:dyDescent="0.25">
      <c r="A1054" s="1442"/>
      <c r="E1054" s="1441"/>
      <c r="J1054" s="545"/>
      <c r="K1054" s="545"/>
      <c r="L1054" s="545"/>
      <c r="M1054" s="545"/>
      <c r="N1054" s="545"/>
      <c r="O1054" s="545"/>
      <c r="P1054" s="134"/>
    </row>
    <row r="1055" spans="1:16" ht="12.75" customHeight="1" x14ac:dyDescent="0.25">
      <c r="A1055" s="1442"/>
      <c r="E1055" s="1441" t="str">
        <f>+E1019</f>
        <v>- Loonkosten beheer en realisatie</v>
      </c>
      <c r="J1055" s="1474">
        <v>390437</v>
      </c>
      <c r="K1055" s="1474">
        <v>386572</v>
      </c>
      <c r="L1055" s="1474">
        <f>+L1013</f>
        <v>402808</v>
      </c>
      <c r="M1055" s="1474">
        <f>+M1013</f>
        <v>417712</v>
      </c>
      <c r="N1055" s="1474">
        <f>+N1013</f>
        <v>433167</v>
      </c>
      <c r="O1055" s="1474">
        <f>+O1013</f>
        <v>449194</v>
      </c>
      <c r="P1055" s="134"/>
    </row>
    <row r="1056" spans="1:16" ht="12.75" customHeight="1" x14ac:dyDescent="0.25">
      <c r="A1056" s="1442"/>
      <c r="E1056" s="1441" t="s">
        <v>1500</v>
      </c>
      <c r="J1056" s="1834">
        <v>390437</v>
      </c>
      <c r="K1056" s="1834">
        <v>386572</v>
      </c>
      <c r="L1056" s="1834">
        <f>+L1055</f>
        <v>402808</v>
      </c>
      <c r="M1056" s="1834">
        <f>+M1055</f>
        <v>417712</v>
      </c>
      <c r="N1056" s="1834">
        <f>+N1055</f>
        <v>433167</v>
      </c>
      <c r="O1056" s="1834">
        <f>+O1055</f>
        <v>449194</v>
      </c>
      <c r="P1056" s="134"/>
    </row>
    <row r="1057" spans="1:16" ht="12.75" customHeight="1" x14ac:dyDescent="0.25">
      <c r="A1057" s="1442"/>
      <c r="E1057" s="1441"/>
      <c r="J1057" s="1474"/>
      <c r="K1057" s="1474"/>
      <c r="L1057" s="1474"/>
      <c r="M1057" s="1474"/>
      <c r="N1057" s="1474"/>
      <c r="O1057" s="1474"/>
      <c r="P1057" s="134"/>
    </row>
    <row r="1058" spans="1:16" ht="12.75" customHeight="1" x14ac:dyDescent="0.25">
      <c r="A1058" s="1442"/>
      <c r="E1058" s="1441" t="s">
        <v>1546</v>
      </c>
      <c r="I1058" s="1573"/>
      <c r="J1058" s="545">
        <v>43812.3682093155</v>
      </c>
      <c r="K1058" s="545">
        <v>48635.59736543594</v>
      </c>
      <c r="L1058" s="545">
        <f t="shared" ref="L1058:M1058" si="152">+L1043*L1056</f>
        <v>44969.74144187801</v>
      </c>
      <c r="M1058" s="545">
        <f t="shared" si="152"/>
        <v>46633.617376613765</v>
      </c>
      <c r="N1058" s="545">
        <f t="shared" ref="N1058:O1058" si="153">+N1043*N1056</f>
        <v>48358.999448288465</v>
      </c>
      <c r="O1058" s="545">
        <f t="shared" si="153"/>
        <v>50148.236231777817</v>
      </c>
      <c r="P1058" s="134"/>
    </row>
    <row r="1059" spans="1:16" ht="12.75" customHeight="1" x14ac:dyDescent="0.25">
      <c r="A1059" s="1442"/>
      <c r="E1059" s="1441"/>
      <c r="I1059" s="134"/>
      <c r="J1059" s="134"/>
      <c r="K1059" s="134"/>
      <c r="L1059" s="134"/>
      <c r="M1059" s="134"/>
      <c r="N1059" s="134"/>
      <c r="O1059" s="134"/>
      <c r="P1059" s="134"/>
    </row>
    <row r="1060" spans="1:16" ht="12.75" customHeight="1" x14ac:dyDescent="0.25">
      <c r="A1060" s="1442"/>
      <c r="E1060" s="1434" t="s">
        <v>1547</v>
      </c>
      <c r="I1060" s="134"/>
      <c r="J1060" s="134"/>
      <c r="K1060" s="134"/>
      <c r="L1060" s="134"/>
      <c r="M1060" s="134"/>
      <c r="N1060" s="134"/>
      <c r="O1060" s="134"/>
    </row>
    <row r="1061" spans="1:16" ht="12.75" customHeight="1" x14ac:dyDescent="0.25">
      <c r="A1061" s="1442"/>
      <c r="E1061" s="1441" t="str">
        <f>+E1013</f>
        <v>- Loonkosten beheer en realisatie</v>
      </c>
      <c r="I1061" s="134"/>
      <c r="J1061" s="134">
        <v>288291.3</v>
      </c>
      <c r="K1061" s="134">
        <v>286204.64</v>
      </c>
      <c r="L1061" s="134">
        <f>ROUND(K1061*T$3,0)</f>
        <v>298225</v>
      </c>
      <c r="M1061" s="134">
        <f>ROUND(L1061*U$3,0)</f>
        <v>309259</v>
      </c>
      <c r="N1061" s="134">
        <f>ROUND(M1061*V$3,0)</f>
        <v>320702</v>
      </c>
      <c r="O1061" s="134">
        <f>ROUND(N1061*W$3,0)</f>
        <v>332568</v>
      </c>
      <c r="P1061" s="1568"/>
    </row>
    <row r="1062" spans="1:16" ht="12.75" customHeight="1" x14ac:dyDescent="0.25">
      <c r="A1062" s="1442"/>
      <c r="E1062" s="1434" t="s">
        <v>1504</v>
      </c>
      <c r="I1062" s="134"/>
      <c r="J1062" s="1834">
        <v>288291.3</v>
      </c>
      <c r="K1062" s="1834">
        <v>286204.64</v>
      </c>
      <c r="L1062" s="1834">
        <f t="shared" ref="L1062:M1062" si="154">SUM(L1061:L1061)</f>
        <v>298225</v>
      </c>
      <c r="M1062" s="1834">
        <f t="shared" si="154"/>
        <v>309259</v>
      </c>
      <c r="N1062" s="1834">
        <f t="shared" ref="N1062:O1062" si="155">SUM(N1061:N1061)</f>
        <v>320702</v>
      </c>
      <c r="O1062" s="1834">
        <f t="shared" si="155"/>
        <v>332568</v>
      </c>
    </row>
    <row r="1063" spans="1:16" ht="12.75" customHeight="1" x14ac:dyDescent="0.25">
      <c r="A1063" s="1442"/>
      <c r="E1063" s="1434"/>
      <c r="I1063" s="134"/>
      <c r="J1063" s="134"/>
      <c r="K1063" s="134"/>
      <c r="L1063" s="134"/>
      <c r="M1063" s="134"/>
      <c r="N1063" s="134"/>
      <c r="O1063" s="134"/>
      <c r="P1063" s="1474"/>
    </row>
    <row r="1064" spans="1:16" ht="12.75" customHeight="1" x14ac:dyDescent="0.25">
      <c r="A1064" s="1442"/>
      <c r="E1064" s="1441" t="s">
        <v>1548</v>
      </c>
      <c r="J1064" s="545">
        <v>32350</v>
      </c>
      <c r="K1064" s="545">
        <v>36008</v>
      </c>
      <c r="L1064" s="545">
        <f>ROUND(L1062*L1043,0)</f>
        <v>33294</v>
      </c>
      <c r="M1064" s="545">
        <f>ROUND(M1062*M1043,0)</f>
        <v>34526</v>
      </c>
      <c r="N1064" s="545">
        <f>ROUND(N1062*N1043,0)</f>
        <v>35803</v>
      </c>
      <c r="O1064" s="545">
        <f>ROUND(O1062*O1043,0)</f>
        <v>37128</v>
      </c>
      <c r="P1064" s="134"/>
    </row>
    <row r="1065" spans="1:16" ht="12.75" customHeight="1" x14ac:dyDescent="0.25">
      <c r="A1065" s="1442"/>
      <c r="E1065" s="1434"/>
      <c r="I1065" s="134"/>
      <c r="P1065" s="545"/>
    </row>
    <row r="1066" spans="1:16" ht="12.75" customHeight="1" x14ac:dyDescent="0.25">
      <c r="A1066" s="1442"/>
      <c r="E1066" s="549" t="s">
        <v>1549</v>
      </c>
      <c r="I1066" s="134"/>
      <c r="J1066" s="1838">
        <v>131849.36820931549</v>
      </c>
      <c r="K1066" s="1838">
        <v>152696.59736543594</v>
      </c>
      <c r="L1066" s="1838">
        <f t="shared" ref="L1066:M1066" si="156">L1053+L1064+L1058</f>
        <v>141187.74144187802</v>
      </c>
      <c r="M1066" s="1838">
        <f t="shared" si="156"/>
        <v>146411.61737661378</v>
      </c>
      <c r="N1066" s="1838">
        <f t="shared" ref="N1066:O1066" si="157">N1053+N1064+N1058</f>
        <v>151827.99944828846</v>
      </c>
      <c r="O1066" s="1838">
        <f t="shared" si="157"/>
        <v>157446.23623177782</v>
      </c>
      <c r="P1066" s="134"/>
    </row>
    <row r="1067" spans="1:16" ht="12.75" customHeight="1" x14ac:dyDescent="0.25">
      <c r="A1067" s="1442"/>
      <c r="E1067" s="1434"/>
      <c r="I1067" s="134"/>
      <c r="P1067" s="134"/>
    </row>
    <row r="1068" spans="1:16" ht="12.75" customHeight="1" x14ac:dyDescent="0.25">
      <c r="A1068" s="1442"/>
      <c r="E1068" s="549" t="s">
        <v>1550</v>
      </c>
      <c r="J1068" s="1830">
        <v>2025</v>
      </c>
      <c r="K1068" s="1830">
        <v>2026</v>
      </c>
      <c r="L1068" s="1830">
        <v>2027</v>
      </c>
      <c r="M1068" s="1830">
        <v>2028</v>
      </c>
      <c r="N1068" s="1830">
        <v>2029</v>
      </c>
      <c r="O1068" s="1830">
        <v>2030</v>
      </c>
      <c r="P1068" s="134"/>
    </row>
    <row r="1069" spans="1:16" ht="12.75" customHeight="1" x14ac:dyDescent="0.25">
      <c r="A1069" s="1442"/>
      <c r="E1069" s="1434"/>
      <c r="J1069" s="134"/>
      <c r="K1069" s="134"/>
      <c r="L1069" s="134"/>
      <c r="M1069" s="134"/>
      <c r="N1069" s="134"/>
      <c r="O1069" s="134"/>
      <c r="P1069" s="1474"/>
    </row>
    <row r="1070" spans="1:16" ht="12.75" customHeight="1" x14ac:dyDescent="0.25">
      <c r="A1070" s="1442"/>
      <c r="E1070" s="1434" t="s">
        <v>1551</v>
      </c>
      <c r="J1070" s="134">
        <v>1129691.7000000002</v>
      </c>
      <c r="K1070" s="134">
        <v>1185876.3700000001</v>
      </c>
      <c r="L1070" s="134">
        <f>L701</f>
        <v>1097597</v>
      </c>
      <c r="M1070" s="134">
        <f>M701</f>
        <v>1138207</v>
      </c>
      <c r="N1070" s="134">
        <f>N701</f>
        <v>1180321</v>
      </c>
      <c r="O1070" s="134">
        <f>O701</f>
        <v>1223993</v>
      </c>
      <c r="P1070" s="1568"/>
    </row>
    <row r="1071" spans="1:16" ht="12.75" customHeight="1" x14ac:dyDescent="0.25">
      <c r="A1071" s="1442"/>
      <c r="E1071" s="1434"/>
      <c r="J1071" s="134"/>
      <c r="K1071" s="134"/>
      <c r="L1071" s="134"/>
      <c r="M1071" s="134"/>
      <c r="N1071" s="134"/>
      <c r="O1071" s="134"/>
    </row>
    <row r="1072" spans="1:16" ht="12.75" customHeight="1" x14ac:dyDescent="0.25">
      <c r="A1072" s="1442"/>
      <c r="E1072" s="1434" t="s">
        <v>1552</v>
      </c>
      <c r="J1072" s="1474">
        <v>7017309.96</v>
      </c>
      <c r="K1072" s="1474">
        <v>7157656</v>
      </c>
      <c r="L1072" s="1474">
        <f>ROUND(K1072*T$3,0)</f>
        <v>7458278</v>
      </c>
      <c r="M1072" s="1474">
        <f>ROUND(L1072*U$3,0)</f>
        <v>7734234</v>
      </c>
      <c r="N1072" s="1474">
        <f>ROUND(M1072*V$3,0)</f>
        <v>8020401</v>
      </c>
      <c r="O1072" s="1474">
        <f>ROUND(N1072*W$3,0)</f>
        <v>8317156</v>
      </c>
    </row>
    <row r="1073" spans="1:20" ht="12.75" customHeight="1" x14ac:dyDescent="0.25">
      <c r="A1073" s="1442"/>
      <c r="E1073" s="1434" t="s">
        <v>1553</v>
      </c>
      <c r="J1073" s="1840">
        <v>7017309.96</v>
      </c>
      <c r="K1073" s="1840">
        <v>7157656</v>
      </c>
      <c r="L1073" s="1840">
        <f>SUM(L1072:L1072)</f>
        <v>7458278</v>
      </c>
      <c r="M1073" s="1840">
        <f>SUM(M1072:M1072)</f>
        <v>7734234</v>
      </c>
      <c r="N1073" s="1840">
        <f>SUM(N1072:N1072)</f>
        <v>8020401</v>
      </c>
      <c r="O1073" s="1840">
        <f>SUM(O1072:O1072)</f>
        <v>8317156</v>
      </c>
    </row>
    <row r="1074" spans="1:20" ht="12.75" customHeight="1" x14ac:dyDescent="0.25">
      <c r="E1074" s="1434"/>
      <c r="R1074" s="124"/>
      <c r="S1074" s="124"/>
      <c r="T1074" s="124"/>
    </row>
    <row r="1075" spans="1:20" ht="12.75" customHeight="1" x14ac:dyDescent="0.25">
      <c r="E1075" s="1434" t="s">
        <v>1554</v>
      </c>
      <c r="F1075" s="549"/>
      <c r="J1075" s="1568">
        <v>0.16098643304050378</v>
      </c>
      <c r="K1075" s="1568">
        <v>0.16567943052865353</v>
      </c>
      <c r="L1075" s="1568">
        <f>L1070/L1073</f>
        <v>0.1471649353912525</v>
      </c>
      <c r="M1075" s="1568">
        <f>M1070/M1073</f>
        <v>0.14716480003061713</v>
      </c>
      <c r="N1075" s="1568">
        <f>N1070/N1073</f>
        <v>0.14716483627190211</v>
      </c>
      <c r="O1075" s="1568">
        <f>O1070/O1073</f>
        <v>0.14716484817646802</v>
      </c>
      <c r="S1075" s="124"/>
      <c r="T1075" s="124"/>
    </row>
    <row r="1076" spans="1:20" ht="12.75" customHeight="1" x14ac:dyDescent="0.25">
      <c r="E1076" s="1434"/>
      <c r="S1076" s="124"/>
      <c r="T1076" s="124"/>
    </row>
    <row r="1077" spans="1:20" ht="12.75" customHeight="1" x14ac:dyDescent="0.25">
      <c r="E1077" s="549" t="s">
        <v>1555</v>
      </c>
      <c r="S1077" s="124"/>
      <c r="T1077" s="124"/>
    </row>
    <row r="1078" spans="1:20" ht="12.75" customHeight="1" x14ac:dyDescent="0.25">
      <c r="E1078" s="1434"/>
      <c r="R1078" s="124"/>
      <c r="S1078" s="124"/>
      <c r="T1078" s="124"/>
    </row>
    <row r="1079" spans="1:20" ht="12.75" customHeight="1" x14ac:dyDescent="0.25">
      <c r="E1079" s="1574" t="s">
        <v>1556</v>
      </c>
      <c r="R1079" s="124"/>
      <c r="S1079" s="124"/>
      <c r="T1079" s="124"/>
    </row>
    <row r="1080" spans="1:20" ht="12.75" customHeight="1" x14ac:dyDescent="0.25">
      <c r="E1080" s="1441" t="str">
        <f>E832</f>
        <v>1. Opslag overige personeelslasten</v>
      </c>
      <c r="J1080" s="117">
        <v>51050</v>
      </c>
      <c r="K1080" s="117">
        <v>48758</v>
      </c>
      <c r="L1080" s="117">
        <f>+L853</f>
        <v>53046</v>
      </c>
      <c r="M1080" s="117">
        <f>+M853</f>
        <v>58034</v>
      </c>
      <c r="N1080" s="117">
        <f>+N853</f>
        <v>63270</v>
      </c>
      <c r="O1080" s="117">
        <f>+O853</f>
        <v>0</v>
      </c>
      <c r="S1080" s="124"/>
      <c r="T1080" s="140"/>
    </row>
    <row r="1081" spans="1:20" ht="12.75" customHeight="1" x14ac:dyDescent="0.25">
      <c r="E1081" s="1441" t="str">
        <f>E869</f>
        <v>2. Opslag loonkosten huisvesting</v>
      </c>
      <c r="J1081" s="117">
        <v>1157</v>
      </c>
      <c r="K1081" s="117">
        <v>1183</v>
      </c>
      <c r="L1081" s="117">
        <f>L890</f>
        <v>1233</v>
      </c>
      <c r="M1081" s="117">
        <f>M890</f>
        <v>1279</v>
      </c>
      <c r="N1081" s="117">
        <f>N890</f>
        <v>1326</v>
      </c>
      <c r="O1081" s="117">
        <f>O890</f>
        <v>1375</v>
      </c>
    </row>
    <row r="1082" spans="1:20" ht="12.75" customHeight="1" x14ac:dyDescent="0.25">
      <c r="E1082" s="1441" t="str">
        <f>E907</f>
        <v>3. Opslag loonkosten facilitair</v>
      </c>
      <c r="J1082" s="117">
        <v>94963</v>
      </c>
      <c r="K1082" s="117">
        <v>94598</v>
      </c>
      <c r="L1082" s="117">
        <f>L929</f>
        <v>98571</v>
      </c>
      <c r="M1082" s="117">
        <f>M929</f>
        <v>102218</v>
      </c>
      <c r="N1082" s="117">
        <f>N929</f>
        <v>106000</v>
      </c>
      <c r="O1082" s="117">
        <f>O929</f>
        <v>109922</v>
      </c>
    </row>
    <row r="1083" spans="1:20" ht="12.75" customHeight="1" x14ac:dyDescent="0.25">
      <c r="E1083" s="1441" t="str">
        <f>E946</f>
        <v>4. Opslag loonkosten overhead (vakinhoud)</v>
      </c>
      <c r="J1083" s="117">
        <v>121404</v>
      </c>
      <c r="K1083" s="117">
        <v>122784</v>
      </c>
      <c r="L1083" s="117">
        <f>+L965</f>
        <v>128032</v>
      </c>
      <c r="M1083" s="117">
        <f>+M965</f>
        <v>129969</v>
      </c>
      <c r="N1083" s="117">
        <f>+N965</f>
        <v>134458</v>
      </c>
      <c r="O1083" s="117">
        <f>+O965</f>
        <v>139113</v>
      </c>
    </row>
    <row r="1084" spans="1:20" ht="12.75" customHeight="1" x14ac:dyDescent="0.25">
      <c r="E1084" s="134" t="str">
        <f>E990</f>
        <v>5. Opslag loonkosten directie</v>
      </c>
      <c r="J1084" s="117">
        <v>17437.028776237501</v>
      </c>
      <c r="K1084" s="117">
        <v>16711.397343785829</v>
      </c>
      <c r="L1084" s="117">
        <f>L1009</f>
        <v>17393.233273216578</v>
      </c>
      <c r="M1084" s="117">
        <f>M1009</f>
        <v>18023.208076420895</v>
      </c>
      <c r="N1084" s="117">
        <f>N1009</f>
        <v>18676.082322775888</v>
      </c>
      <c r="O1084" s="117">
        <f>O1009</f>
        <v>19352.896686785767</v>
      </c>
      <c r="Q1084" s="124"/>
    </row>
    <row r="1085" spans="1:20" ht="12.75" customHeight="1" x14ac:dyDescent="0.25">
      <c r="E1085" s="1441" t="str">
        <f>E1036</f>
        <v>7. Opslag management omgevingszaken</v>
      </c>
      <c r="J1085" s="117">
        <v>55687</v>
      </c>
      <c r="K1085" s="117">
        <v>68053</v>
      </c>
      <c r="L1085" s="117">
        <f>+L1053</f>
        <v>62924</v>
      </c>
      <c r="M1085" s="117">
        <f>+M1053</f>
        <v>65252</v>
      </c>
      <c r="N1085" s="117">
        <f>+N1053</f>
        <v>67666</v>
      </c>
      <c r="O1085" s="117">
        <f>+O1053</f>
        <v>70170</v>
      </c>
    </row>
    <row r="1086" spans="1:20" ht="12.75" customHeight="1" x14ac:dyDescent="0.25">
      <c r="E1086" s="1444" t="s">
        <v>5301</v>
      </c>
      <c r="J1086" s="117"/>
      <c r="K1086" s="117"/>
      <c r="L1086" s="21">
        <v>-704</v>
      </c>
      <c r="M1086" s="21">
        <f>-1453-1</f>
        <v>-1454</v>
      </c>
      <c r="N1086" s="21">
        <v>-2273</v>
      </c>
      <c r="O1086" s="117"/>
    </row>
    <row r="1087" spans="1:20" ht="12.75" customHeight="1" thickBot="1" x14ac:dyDescent="0.3">
      <c r="E1087" s="549" t="s">
        <v>1557</v>
      </c>
      <c r="J1087" s="1839">
        <v>-341698.02877623751</v>
      </c>
      <c r="K1087" s="1839">
        <v>-352087.39734378585</v>
      </c>
      <c r="L1087" s="1839">
        <f>-SUM(L1080:L1086)</f>
        <v>-360495.23327321658</v>
      </c>
      <c r="M1087" s="1839">
        <f>-SUM(M1080:M1086)</f>
        <v>-373321.20807642088</v>
      </c>
      <c r="N1087" s="1839">
        <f>-SUM(N1080:N1086)</f>
        <v>-389123.08232277591</v>
      </c>
      <c r="O1087" s="1839">
        <f>-SUM(O1080:O1086)</f>
        <v>-339932.89668678574</v>
      </c>
    </row>
    <row r="1088" spans="1:20" ht="12.75" customHeight="1" thickTop="1" x14ac:dyDescent="0.25">
      <c r="E1088" s="1434"/>
      <c r="J1088" s="134"/>
      <c r="K1088" s="134"/>
      <c r="L1088" s="134"/>
      <c r="M1088" s="134"/>
      <c r="N1088" s="134"/>
      <c r="O1088" s="134"/>
      <c r="Q1088" s="124"/>
      <c r="R1088" s="124"/>
    </row>
    <row r="1089" spans="5:18" ht="12.75" customHeight="1" x14ac:dyDescent="0.25">
      <c r="E1089" s="1574" t="s">
        <v>1558</v>
      </c>
      <c r="Q1089" s="124"/>
      <c r="R1089" s="124"/>
    </row>
    <row r="1090" spans="5:18" ht="12.75" customHeight="1" x14ac:dyDescent="0.25">
      <c r="E1090" s="1441" t="str">
        <f>E1080</f>
        <v>1. Opslag overige personeelslasten</v>
      </c>
      <c r="J1090" s="117">
        <v>40164</v>
      </c>
      <c r="K1090" s="117">
        <v>34846</v>
      </c>
      <c r="L1090" s="117">
        <f>+L859</f>
        <v>37911</v>
      </c>
      <c r="M1090" s="117">
        <f>+M859</f>
        <v>41475</v>
      </c>
      <c r="N1090" s="117">
        <f>+N859</f>
        <v>45217</v>
      </c>
      <c r="O1090" s="117">
        <f>+O859</f>
        <v>0</v>
      </c>
    </row>
    <row r="1091" spans="5:18" ht="12.75" customHeight="1" x14ac:dyDescent="0.25">
      <c r="E1091" s="1441" t="str">
        <f t="shared" ref="E1091:E1095" si="158">E1081</f>
        <v>2. Opslag loonkosten huisvesting</v>
      </c>
      <c r="J1091" s="117">
        <v>910</v>
      </c>
      <c r="K1091" s="117">
        <v>846</v>
      </c>
      <c r="L1091" s="117">
        <f>L896</f>
        <v>881</v>
      </c>
      <c r="M1091" s="117">
        <f>M896</f>
        <v>914</v>
      </c>
      <c r="N1091" s="117">
        <f>N896</f>
        <v>948</v>
      </c>
      <c r="O1091" s="117">
        <f>O896</f>
        <v>983</v>
      </c>
    </row>
    <row r="1092" spans="5:18" ht="12.75" customHeight="1" x14ac:dyDescent="0.25">
      <c r="E1092" s="1441" t="str">
        <f t="shared" si="158"/>
        <v>3. Opslag loonkosten facilitair</v>
      </c>
      <c r="J1092" s="117">
        <v>74714</v>
      </c>
      <c r="K1092" s="117">
        <v>67606</v>
      </c>
      <c r="L1092" s="117">
        <f>L935</f>
        <v>70446</v>
      </c>
      <c r="M1092" s="117">
        <f>M935</f>
        <v>73052</v>
      </c>
      <c r="N1092" s="117">
        <f>N935</f>
        <v>75755</v>
      </c>
      <c r="O1092" s="117">
        <f>O935</f>
        <v>78558</v>
      </c>
    </row>
    <row r="1093" spans="5:18" ht="12.75" customHeight="1" x14ac:dyDescent="0.25">
      <c r="E1093" s="1441" t="str">
        <f t="shared" si="158"/>
        <v>4. Opslag loonkosten overhead (vakinhoud)</v>
      </c>
      <c r="J1093" s="117">
        <v>95516</v>
      </c>
      <c r="K1093" s="117">
        <v>87750</v>
      </c>
      <c r="L1093" s="117">
        <f>+L971</f>
        <v>91501</v>
      </c>
      <c r="M1093" s="117">
        <f>+M971</f>
        <v>92885</v>
      </c>
      <c r="N1093" s="117">
        <f>+N971</f>
        <v>96093</v>
      </c>
      <c r="O1093" s="117">
        <f>+O971</f>
        <v>99420</v>
      </c>
    </row>
    <row r="1094" spans="5:18" ht="12.75" customHeight="1" x14ac:dyDescent="0.25">
      <c r="E1094" s="1441" t="str">
        <f t="shared" si="158"/>
        <v>5. Opslag loonkosten directie</v>
      </c>
      <c r="J1094" s="117">
        <v>13719</v>
      </c>
      <c r="K1094" s="117">
        <v>11943</v>
      </c>
      <c r="L1094" s="117">
        <f>+L1016</f>
        <v>12430</v>
      </c>
      <c r="M1094" s="117">
        <f>+M1016</f>
        <v>12881</v>
      </c>
      <c r="N1094" s="117">
        <f>+N1016</f>
        <v>13347</v>
      </c>
      <c r="O1094" s="117">
        <f>+O1016</f>
        <v>13831</v>
      </c>
    </row>
    <row r="1095" spans="5:18" ht="12.75" customHeight="1" x14ac:dyDescent="0.25">
      <c r="E1095" s="1441" t="str">
        <f t="shared" si="158"/>
        <v>7. Opslag management omgevingszaken</v>
      </c>
      <c r="J1095" s="117">
        <v>43812.3682093155</v>
      </c>
      <c r="K1095" s="117">
        <v>48635.59736543594</v>
      </c>
      <c r="L1095" s="117">
        <f t="shared" ref="L1095:M1095" si="159">+L1058</f>
        <v>44969.74144187801</v>
      </c>
      <c r="M1095" s="117">
        <f t="shared" si="159"/>
        <v>46633.617376613765</v>
      </c>
      <c r="N1095" s="117">
        <f t="shared" ref="N1095:O1095" si="160">+N1058</f>
        <v>48358.999448288465</v>
      </c>
      <c r="O1095" s="117">
        <f t="shared" si="160"/>
        <v>50148.236231777817</v>
      </c>
    </row>
    <row r="1096" spans="5:18" ht="12.75" customHeight="1" x14ac:dyDescent="0.25">
      <c r="E1096" s="2036" t="s">
        <v>5301</v>
      </c>
      <c r="J1096" s="117"/>
      <c r="K1096" s="117"/>
      <c r="L1096" s="21">
        <v>-502</v>
      </c>
      <c r="M1096" s="21">
        <v>-1038</v>
      </c>
      <c r="N1096" s="21">
        <v>-1624</v>
      </c>
      <c r="O1096" s="117"/>
    </row>
    <row r="1097" spans="5:18" ht="12.75" customHeight="1" thickBot="1" x14ac:dyDescent="0.3">
      <c r="E1097" s="549" t="s">
        <v>1559</v>
      </c>
      <c r="J1097" s="1839">
        <v>-268835.36820931552</v>
      </c>
      <c r="K1097" s="1839">
        <v>-251626.59736543594</v>
      </c>
      <c r="L1097" s="1839">
        <f t="shared" ref="L1097:M1097" si="161">-SUM(L1090:L1096)</f>
        <v>-257636.74144187802</v>
      </c>
      <c r="M1097" s="1839">
        <f t="shared" si="161"/>
        <v>-266802.61737661378</v>
      </c>
      <c r="N1097" s="1839">
        <f t="shared" ref="N1097:O1097" si="162">-SUM(N1090:N1096)</f>
        <v>-278094.99944828846</v>
      </c>
      <c r="O1097" s="1839">
        <f t="shared" si="162"/>
        <v>-242940.23623177782</v>
      </c>
    </row>
    <row r="1098" spans="5:18" ht="12.75" customHeight="1" thickTop="1" x14ac:dyDescent="0.25">
      <c r="E1098" s="1434"/>
      <c r="J1098" s="134"/>
      <c r="K1098" s="134"/>
      <c r="L1098" s="134"/>
      <c r="M1098" s="134"/>
      <c r="N1098" s="134"/>
      <c r="O1098" s="134"/>
    </row>
    <row r="1099" spans="5:18" ht="12.75" customHeight="1" x14ac:dyDescent="0.25">
      <c r="E1099" s="1574" t="s">
        <v>1560</v>
      </c>
    </row>
    <row r="1100" spans="5:18" ht="12.75" customHeight="1" x14ac:dyDescent="0.25">
      <c r="E1100" s="1434" t="str">
        <f>E1090</f>
        <v>1. Opslag overige personeelslasten</v>
      </c>
      <c r="J1100" s="134">
        <v>29656</v>
      </c>
      <c r="K1100" s="134">
        <v>25798</v>
      </c>
      <c r="L1100" s="134">
        <f>L865</f>
        <v>28068</v>
      </c>
      <c r="M1100" s="134">
        <f>M865</f>
        <v>30707</v>
      </c>
      <c r="N1100" s="134">
        <f>N865</f>
        <v>33477</v>
      </c>
      <c r="O1100" s="134">
        <f>O865</f>
        <v>0</v>
      </c>
    </row>
    <row r="1101" spans="5:18" ht="12.75" customHeight="1" x14ac:dyDescent="0.25">
      <c r="E1101" s="1434" t="str">
        <f t="shared" ref="E1101:E1105" si="163">E1091</f>
        <v>2. Opslag loonkosten huisvesting</v>
      </c>
      <c r="J1101" s="134">
        <v>672</v>
      </c>
      <c r="K1101" s="134">
        <v>626</v>
      </c>
      <c r="L1101" s="134">
        <f>L902</f>
        <v>653</v>
      </c>
      <c r="M1101" s="134">
        <f>M902</f>
        <v>677</v>
      </c>
      <c r="N1101" s="134">
        <f>N902</f>
        <v>702</v>
      </c>
      <c r="O1101" s="134">
        <f>O902</f>
        <v>728</v>
      </c>
    </row>
    <row r="1102" spans="5:18" ht="12.75" customHeight="1" x14ac:dyDescent="0.25">
      <c r="E1102" s="1434" t="str">
        <f t="shared" si="163"/>
        <v>3. Opslag loonkosten facilitair</v>
      </c>
      <c r="J1102" s="134">
        <v>55167</v>
      </c>
      <c r="K1102" s="134">
        <v>50053</v>
      </c>
      <c r="L1102" s="134">
        <f>L941</f>
        <v>52156</v>
      </c>
      <c r="M1102" s="134">
        <f>M941</f>
        <v>54085</v>
      </c>
      <c r="N1102" s="134">
        <f>N941</f>
        <v>56087</v>
      </c>
      <c r="O1102" s="134">
        <f>O941</f>
        <v>58162</v>
      </c>
      <c r="Q1102" s="116"/>
      <c r="R1102" s="116"/>
    </row>
    <row r="1103" spans="5:18" ht="12.75" customHeight="1" x14ac:dyDescent="0.25">
      <c r="E1103" s="1434" t="str">
        <f t="shared" si="163"/>
        <v>4. Opslag loonkosten overhead (vakinhoud)</v>
      </c>
      <c r="J1103" s="134">
        <v>70527</v>
      </c>
      <c r="K1103" s="134">
        <v>64967</v>
      </c>
      <c r="L1103" s="134">
        <f>L977</f>
        <v>67744</v>
      </c>
      <c r="M1103" s="134">
        <f>M977</f>
        <v>68769</v>
      </c>
      <c r="N1103" s="134">
        <f>N977</f>
        <v>71144</v>
      </c>
      <c r="O1103" s="134">
        <f>O977</f>
        <v>73608</v>
      </c>
    </row>
    <row r="1104" spans="5:18" ht="12.75" customHeight="1" x14ac:dyDescent="0.25">
      <c r="E1104" s="1434" t="str">
        <f t="shared" si="163"/>
        <v>5. Opslag loonkosten directie</v>
      </c>
      <c r="J1104" s="134">
        <v>10130</v>
      </c>
      <c r="K1104" s="134">
        <v>8842</v>
      </c>
      <c r="L1104" s="134">
        <f>L1022</f>
        <v>9203</v>
      </c>
      <c r="M1104" s="134">
        <f>M1022</f>
        <v>9536</v>
      </c>
      <c r="N1104" s="134">
        <f>N1022</f>
        <v>9882</v>
      </c>
      <c r="O1104" s="134">
        <f>O1022</f>
        <v>10240</v>
      </c>
    </row>
    <row r="1105" spans="5:16" ht="12.75" customHeight="1" x14ac:dyDescent="0.25">
      <c r="E1105" s="1434" t="str">
        <f t="shared" si="163"/>
        <v>7. Opslag management omgevingszaken</v>
      </c>
      <c r="J1105" s="134">
        <v>32350</v>
      </c>
      <c r="K1105" s="134">
        <v>36008</v>
      </c>
      <c r="L1105" s="134">
        <f t="shared" ref="L1105:M1105" si="164">L1064</f>
        <v>33294</v>
      </c>
      <c r="M1105" s="134">
        <f t="shared" si="164"/>
        <v>34526</v>
      </c>
      <c r="N1105" s="134">
        <f t="shared" ref="N1105:O1105" si="165">N1064</f>
        <v>35803</v>
      </c>
      <c r="O1105" s="134">
        <f t="shared" si="165"/>
        <v>37128</v>
      </c>
    </row>
    <row r="1106" spans="5:16" ht="12.75" customHeight="1" x14ac:dyDescent="0.25">
      <c r="E1106" s="1434"/>
      <c r="J1106" s="134"/>
      <c r="K1106" s="134"/>
      <c r="L1106" s="2035">
        <v>-373</v>
      </c>
      <c r="M1106" s="2035">
        <v>-769</v>
      </c>
      <c r="N1106" s="2035">
        <v>-1203</v>
      </c>
      <c r="O1106" s="134"/>
    </row>
    <row r="1107" spans="5:16" ht="12.75" customHeight="1" thickBot="1" x14ac:dyDescent="0.3">
      <c r="E1107" s="549" t="s">
        <v>1561</v>
      </c>
      <c r="J1107" s="1839">
        <v>-198502</v>
      </c>
      <c r="K1107" s="1839">
        <v>-186294</v>
      </c>
      <c r="L1107" s="1839">
        <f t="shared" ref="L1107:M1107" si="166">-SUM(L1100:L1106)</f>
        <v>-190745</v>
      </c>
      <c r="M1107" s="1839">
        <f t="shared" si="166"/>
        <v>-197531</v>
      </c>
      <c r="N1107" s="1839">
        <f t="shared" ref="N1107:O1107" si="167">-SUM(N1100:N1106)</f>
        <v>-205892</v>
      </c>
      <c r="O1107" s="1839">
        <f t="shared" si="167"/>
        <v>-179866</v>
      </c>
    </row>
    <row r="1108" spans="5:16" ht="12.75" customHeight="1" thickTop="1" x14ac:dyDescent="0.25">
      <c r="E1108" s="1434"/>
    </row>
    <row r="1109" spans="5:16" ht="12.75" customHeight="1" x14ac:dyDescent="0.25">
      <c r="E1109" s="1434" t="s">
        <v>1562</v>
      </c>
      <c r="J1109" s="1506">
        <v>-809035.39698555297</v>
      </c>
      <c r="K1109" s="1506">
        <v>-790007.99470922176</v>
      </c>
      <c r="L1109" s="1506">
        <f>+L1107+L1097+L1087</f>
        <v>-808876.97471509455</v>
      </c>
      <c r="M1109" s="1506">
        <f>+M1107+M1097+M1087</f>
        <v>-837654.8254530346</v>
      </c>
      <c r="N1109" s="1506">
        <f>+N1107+N1097+N1087</f>
        <v>-873110.08177106432</v>
      </c>
      <c r="O1109" s="1506">
        <f>+O1107+O1097+O1087</f>
        <v>-762739.13291856355</v>
      </c>
    </row>
    <row r="1110" spans="5:16" ht="12.75" customHeight="1" x14ac:dyDescent="0.25">
      <c r="E1110" s="1434"/>
      <c r="J1110" s="1506"/>
      <c r="K1110" s="1506"/>
      <c r="L1110" s="1506"/>
      <c r="M1110" s="1506"/>
      <c r="N1110" s="1506"/>
      <c r="O1110" s="1506"/>
    </row>
    <row r="1111" spans="5:16" ht="12.75" customHeight="1" x14ac:dyDescent="0.25">
      <c r="E1111" s="549" t="s">
        <v>1563</v>
      </c>
    </row>
    <row r="1112" spans="5:16" ht="12.75" customHeight="1" x14ac:dyDescent="0.25">
      <c r="E1112" s="549"/>
    </row>
    <row r="1113" spans="5:16" ht="12.75" customHeight="1" x14ac:dyDescent="0.25">
      <c r="E1113" s="794" t="s">
        <v>1564</v>
      </c>
      <c r="J1113" s="1502">
        <v>2025</v>
      </c>
      <c r="K1113" s="1502">
        <v>2026</v>
      </c>
      <c r="L1113" s="1502">
        <v>2027</v>
      </c>
      <c r="M1113" s="1502">
        <v>2028</v>
      </c>
      <c r="N1113" s="1502">
        <v>2029</v>
      </c>
      <c r="O1113" s="1502">
        <v>2030</v>
      </c>
    </row>
    <row r="1114" spans="5:16" ht="12.75" customHeight="1" x14ac:dyDescent="0.25">
      <c r="E1114" s="1434" t="s">
        <v>1565</v>
      </c>
      <c r="J1114" s="1481">
        <v>0.10286935550845165</v>
      </c>
      <c r="K1114" s="1481">
        <v>9.0140015130011811E-2</v>
      </c>
      <c r="L1114" s="1481">
        <f>L842</f>
        <v>9.4116051248378754E-2</v>
      </c>
      <c r="M1114" s="1481">
        <f>M842</f>
        <v>9.9292008067508306E-2</v>
      </c>
      <c r="N1114" s="1481">
        <f>N842</f>
        <v>0.10438807427196223</v>
      </c>
      <c r="O1114" s="1481">
        <f>O842</f>
        <v>0</v>
      </c>
    </row>
    <row r="1115" spans="5:16" ht="12.75" customHeight="1" x14ac:dyDescent="0.25">
      <c r="E1115" s="1434" t="s">
        <v>1566</v>
      </c>
      <c r="J1115" s="1481">
        <v>2.3306659189979155E-3</v>
      </c>
      <c r="K1115" s="1481">
        <v>2.1879716262850806E-3</v>
      </c>
      <c r="L1115" s="1481">
        <f>L879</f>
        <v>2.1879788936677966E-3</v>
      </c>
      <c r="M1115" s="1481">
        <f>M879</f>
        <v>2.1879768502316055E-3</v>
      </c>
      <c r="N1115" s="1481">
        <f>N879</f>
        <v>2.1880131508942397E-3</v>
      </c>
      <c r="O1115" s="1481">
        <f>O879</f>
        <v>2.1880389021967633E-3</v>
      </c>
    </row>
    <row r="1116" spans="5:16" ht="12.75" customHeight="1" x14ac:dyDescent="0.25">
      <c r="E1116" s="1434" t="s">
        <v>1567</v>
      </c>
      <c r="J1116" s="1481">
        <v>0.1913586963636979</v>
      </c>
      <c r="K1116" s="1481">
        <v>0.17488666558297436</v>
      </c>
      <c r="L1116" s="1481">
        <f>L918</f>
        <v>0.17488666166125277</v>
      </c>
      <c r="M1116" s="1481">
        <f>M918</f>
        <v>0.17488665924062854</v>
      </c>
      <c r="N1116" s="1481">
        <f>N918</f>
        <v>0.17488670413230453</v>
      </c>
      <c r="O1116" s="1481">
        <f>O918</f>
        <v>0.17488672197017299</v>
      </c>
    </row>
    <row r="1117" spans="5:16" ht="12.75" customHeight="1" x14ac:dyDescent="0.25">
      <c r="E1117" s="1434" t="s">
        <v>1568</v>
      </c>
      <c r="J1117" s="1481">
        <v>0.24463899602508338</v>
      </c>
      <c r="K1117" s="1481">
        <v>0.22699623951801221</v>
      </c>
      <c r="L1117" s="1481">
        <f>L954</f>
        <v>0.22715751519339747</v>
      </c>
      <c r="M1117" s="1481">
        <f>M954</f>
        <v>0.22236707612117887</v>
      </c>
      <c r="N1117" s="1481">
        <f>N954</f>
        <v>0.2218387189187675</v>
      </c>
      <c r="O1117" s="1481">
        <f>O954</f>
        <v>0.22133070061711324</v>
      </c>
      <c r="P1117" s="1434" t="s">
        <v>1569</v>
      </c>
    </row>
    <row r="1118" spans="5:16" ht="12.75" customHeight="1" x14ac:dyDescent="0.25">
      <c r="E1118" s="1434" t="s">
        <v>1570</v>
      </c>
      <c r="J1118" s="1481">
        <v>3.513702303285287E-2</v>
      </c>
      <c r="K1118" s="1481">
        <v>3.0895015782013507E-2</v>
      </c>
      <c r="L1118" s="1481">
        <f>L998</f>
        <v>3.085947492440316E-2</v>
      </c>
      <c r="M1118" s="1481">
        <f>M998</f>
        <v>3.0836259992062867E-2</v>
      </c>
      <c r="N1118" s="1481">
        <f>N998</f>
        <v>3.0813227921808874E-2</v>
      </c>
      <c r="O1118" s="1481">
        <f>O998</f>
        <v>3.0790630686720433E-2</v>
      </c>
    </row>
    <row r="1119" spans="5:16" ht="12.75" customHeight="1" x14ac:dyDescent="0.25">
      <c r="E1119" s="1434" t="s">
        <v>1571</v>
      </c>
      <c r="J1119" s="1481">
        <v>0.12505294189118474</v>
      </c>
      <c r="K1119" s="1481">
        <v>0.12202305602597979</v>
      </c>
      <c r="L1119" s="1481">
        <f>L1034</f>
        <v>0.12161777014374922</v>
      </c>
      <c r="M1119" s="1481">
        <f>M1034</f>
        <v>0.12135183863576607</v>
      </c>
      <c r="N1119" s="1481">
        <f>N1034</f>
        <v>0.12108942249079006</v>
      </c>
      <c r="O1119" s="1481">
        <f>O1034</f>
        <v>0.12083051665450543</v>
      </c>
      <c r="P1119" s="1434" t="s">
        <v>1569</v>
      </c>
    </row>
    <row r="1120" spans="5:16" ht="12.75" customHeight="1" x14ac:dyDescent="0.25">
      <c r="E1120" s="1434" t="s">
        <v>1572</v>
      </c>
      <c r="J1120" s="1481">
        <v>0.11221366881037274</v>
      </c>
      <c r="K1120" s="1481">
        <v>0.12581251969991603</v>
      </c>
      <c r="L1120" s="1481">
        <f>L1043</f>
        <v>0.11164063633760504</v>
      </c>
      <c r="M1120" s="1481">
        <f>M1043</f>
        <v>0.11164059777218219</v>
      </c>
      <c r="N1120" s="1481">
        <f>N1043</f>
        <v>0.11164054382787346</v>
      </c>
      <c r="O1120" s="1481">
        <f>O1043</f>
        <v>0.11164048547348766</v>
      </c>
    </row>
    <row r="1121" spans="5:15" ht="12.75" customHeight="1" x14ac:dyDescent="0.25">
      <c r="E1121" s="1434" t="s">
        <v>1573</v>
      </c>
      <c r="J1121" s="1481">
        <v>0.16098643304050378</v>
      </c>
      <c r="K1121" s="1481">
        <v>0.16567943052865353</v>
      </c>
      <c r="L1121" s="1481">
        <f>L1075</f>
        <v>0.1471649353912525</v>
      </c>
      <c r="M1121" s="1481">
        <f>M1075</f>
        <v>0.14716480003061713</v>
      </c>
      <c r="N1121" s="1481">
        <f>N1075</f>
        <v>0.14716483627190211</v>
      </c>
      <c r="O1121" s="1481">
        <f>O1075</f>
        <v>0.14716484817646802</v>
      </c>
    </row>
    <row r="1122" spans="5:15" ht="12.75" customHeight="1" x14ac:dyDescent="0.25">
      <c r="J1122" s="1481"/>
      <c r="K1122" s="1481"/>
      <c r="L1122" s="1481"/>
      <c r="M1122" s="1481"/>
      <c r="N1122" s="1481"/>
      <c r="O1122" s="1481"/>
    </row>
    <row r="1123" spans="5:15" ht="12.75" customHeight="1" x14ac:dyDescent="0.25">
      <c r="J1123" s="1481"/>
      <c r="K1123" s="1481"/>
      <c r="L1123" s="1481"/>
      <c r="M1123" s="1481"/>
      <c r="N1123" s="1481"/>
      <c r="O1123" s="1481"/>
    </row>
    <row r="1124" spans="5:15" ht="12.75" customHeight="1" x14ac:dyDescent="0.25">
      <c r="J1124" s="1481"/>
      <c r="K1124" s="1481"/>
      <c r="L1124" s="1481"/>
      <c r="M1124" s="1481"/>
      <c r="N1124" s="1481"/>
      <c r="O1124" s="1481"/>
    </row>
    <row r="1125" spans="5:15" ht="12.75" customHeight="1" x14ac:dyDescent="0.25">
      <c r="J1125" s="1481"/>
      <c r="K1125" s="1481"/>
      <c r="L1125" s="1481"/>
      <c r="M1125" s="1481"/>
      <c r="N1125" s="1481"/>
      <c r="O1125" s="1481"/>
    </row>
    <row r="1126" spans="5:15" ht="12.75" customHeight="1" x14ac:dyDescent="0.25">
      <c r="J1126" s="1481"/>
      <c r="K1126" s="1481"/>
      <c r="L1126" s="1481"/>
      <c r="M1126" s="1481"/>
      <c r="N1126" s="1481"/>
      <c r="O1126" s="1481"/>
    </row>
    <row r="1127" spans="5:15" ht="12.75" customHeight="1" x14ac:dyDescent="0.25">
      <c r="J1127" s="1481"/>
      <c r="K1127" s="1481"/>
      <c r="L1127" s="1481"/>
      <c r="M1127" s="1481"/>
      <c r="N1127" s="1481"/>
      <c r="O1127" s="1481"/>
    </row>
    <row r="1128" spans="5:15" ht="12.75" customHeight="1" x14ac:dyDescent="0.25">
      <c r="J1128" s="1481"/>
      <c r="K1128" s="1481"/>
      <c r="L1128" s="1481"/>
      <c r="M1128" s="1481"/>
      <c r="N1128" s="1481"/>
      <c r="O1128" s="1481"/>
    </row>
    <row r="1129" spans="5:15" ht="12.75" customHeight="1" x14ac:dyDescent="0.25">
      <c r="J1129" s="1481"/>
      <c r="K1129" s="1481"/>
      <c r="L1129" s="1481"/>
      <c r="M1129" s="1481"/>
      <c r="N1129" s="1481"/>
      <c r="O1129" s="1481"/>
    </row>
    <row r="1130" spans="5:15" ht="12.75" customHeight="1" x14ac:dyDescent="0.25">
      <c r="J1130" s="1481"/>
      <c r="K1130" s="1481"/>
      <c r="L1130" s="1481"/>
      <c r="M1130" s="1481"/>
      <c r="N1130" s="1481"/>
      <c r="O1130" s="1481"/>
    </row>
    <row r="1131" spans="5:15" ht="12.75" customHeight="1" x14ac:dyDescent="0.25">
      <c r="J1131" s="1481"/>
      <c r="K1131" s="1481"/>
      <c r="L1131" s="1481"/>
      <c r="M1131" s="1481"/>
      <c r="N1131" s="1481"/>
      <c r="O1131" s="1481"/>
    </row>
    <row r="1132" spans="5:15" ht="12.75" customHeight="1" x14ac:dyDescent="0.25">
      <c r="J1132" s="1481"/>
      <c r="K1132" s="1481"/>
      <c r="L1132" s="1481"/>
      <c r="M1132" s="1481"/>
      <c r="N1132" s="1481"/>
      <c r="O1132" s="1481"/>
    </row>
    <row r="1133" spans="5:15" ht="12.75" customHeight="1" x14ac:dyDescent="0.25">
      <c r="J1133" s="1481"/>
      <c r="K1133" s="1481"/>
      <c r="L1133" s="1481"/>
      <c r="M1133" s="1481"/>
      <c r="N1133" s="1481"/>
      <c r="O1133" s="1481"/>
    </row>
    <row r="1134" spans="5:15" ht="12.75" customHeight="1" x14ac:dyDescent="0.25">
      <c r="J1134" s="1481"/>
      <c r="K1134" s="1481"/>
      <c r="L1134" s="1481"/>
      <c r="M1134" s="1481"/>
      <c r="N1134" s="1481"/>
      <c r="O1134" s="1481"/>
    </row>
    <row r="1135" spans="5:15" ht="12.75" customHeight="1" x14ac:dyDescent="0.25">
      <c r="J1135" s="1481"/>
      <c r="K1135" s="1481"/>
      <c r="L1135" s="1481"/>
      <c r="M1135" s="1481"/>
      <c r="N1135" s="1481"/>
      <c r="O1135" s="1481"/>
    </row>
    <row r="1136" spans="5:15" ht="12.75" customHeight="1" x14ac:dyDescent="0.25">
      <c r="J1136" s="1481"/>
      <c r="K1136" s="1481"/>
      <c r="L1136" s="1481"/>
      <c r="M1136" s="1481"/>
      <c r="N1136" s="1481"/>
      <c r="O1136" s="1481"/>
    </row>
    <row r="1137" spans="10:15" ht="12.75" customHeight="1" x14ac:dyDescent="0.25">
      <c r="J1137" s="1481"/>
      <c r="K1137" s="1481"/>
      <c r="L1137" s="1481"/>
      <c r="M1137" s="1481"/>
      <c r="N1137" s="1481"/>
      <c r="O1137" s="1481"/>
    </row>
    <row r="1138" spans="10:15" ht="12.75" customHeight="1" x14ac:dyDescent="0.25">
      <c r="J1138" s="1481"/>
      <c r="K1138" s="1481"/>
      <c r="L1138" s="1481"/>
      <c r="M1138" s="1481"/>
      <c r="N1138" s="1481"/>
      <c r="O1138" s="1481"/>
    </row>
    <row r="1139" spans="10:15" ht="12.75" customHeight="1" x14ac:dyDescent="0.25">
      <c r="J1139" s="1481"/>
      <c r="K1139" s="1481"/>
      <c r="L1139" s="1481"/>
      <c r="M1139" s="1481"/>
      <c r="N1139" s="1481"/>
      <c r="O1139" s="1481"/>
    </row>
    <row r="1140" spans="10:15" ht="12.75" customHeight="1" x14ac:dyDescent="0.25">
      <c r="J1140" s="1481"/>
      <c r="K1140" s="1481"/>
      <c r="L1140" s="1481"/>
      <c r="M1140" s="1481"/>
      <c r="N1140" s="1481"/>
      <c r="O1140" s="1481"/>
    </row>
    <row r="1141" spans="10:15" ht="12.75" customHeight="1" x14ac:dyDescent="0.25">
      <c r="J1141" s="1481"/>
      <c r="K1141" s="1481"/>
      <c r="L1141" s="1481"/>
      <c r="M1141" s="1481"/>
      <c r="N1141" s="1481"/>
      <c r="O1141" s="1481"/>
    </row>
    <row r="1142" spans="10:15" ht="12.75" customHeight="1" x14ac:dyDescent="0.25">
      <c r="J1142" s="1481"/>
      <c r="K1142" s="1481"/>
      <c r="L1142" s="1481"/>
      <c r="M1142" s="1481"/>
      <c r="N1142" s="1481"/>
      <c r="O1142" s="1481"/>
    </row>
    <row r="1143" spans="10:15" ht="12.75" customHeight="1" x14ac:dyDescent="0.25">
      <c r="J1143" s="1481"/>
      <c r="K1143" s="1481"/>
      <c r="L1143" s="1481"/>
      <c r="M1143" s="1481"/>
      <c r="N1143" s="1481"/>
      <c r="O1143" s="1481"/>
    </row>
    <row r="1144" spans="10:15" ht="12.75" customHeight="1" x14ac:dyDescent="0.25">
      <c r="J1144" s="1481"/>
      <c r="K1144" s="1481"/>
      <c r="L1144" s="1481"/>
      <c r="M1144" s="1481"/>
      <c r="N1144" s="1481"/>
      <c r="O1144" s="1481"/>
    </row>
    <row r="1145" spans="10:15" ht="12.75" customHeight="1" x14ac:dyDescent="0.25">
      <c r="J1145" s="1481"/>
      <c r="K1145" s="1481"/>
      <c r="L1145" s="1481"/>
      <c r="M1145" s="1481"/>
      <c r="N1145" s="1481"/>
      <c r="O1145" s="1481"/>
    </row>
    <row r="1146" spans="10:15" ht="12.75" customHeight="1" x14ac:dyDescent="0.25">
      <c r="J1146" s="1481"/>
      <c r="K1146" s="1481"/>
      <c r="L1146" s="1481"/>
      <c r="M1146" s="1481"/>
      <c r="N1146" s="1481"/>
      <c r="O1146" s="1481"/>
    </row>
    <row r="1147" spans="10:15" ht="12.75" customHeight="1" x14ac:dyDescent="0.25">
      <c r="J1147" s="1481"/>
      <c r="K1147" s="1481"/>
      <c r="L1147" s="1481"/>
      <c r="M1147" s="1481"/>
      <c r="N1147" s="1481"/>
      <c r="O1147" s="1481"/>
    </row>
    <row r="1148" spans="10:15" ht="12.75" customHeight="1" x14ac:dyDescent="0.25">
      <c r="J1148" s="1481"/>
      <c r="K1148" s="1481"/>
      <c r="L1148" s="1481"/>
      <c r="M1148" s="1481"/>
      <c r="N1148" s="1481"/>
      <c r="O1148" s="1481"/>
    </row>
    <row r="1149" spans="10:15" ht="12.75" customHeight="1" x14ac:dyDescent="0.25">
      <c r="J1149" s="1481"/>
      <c r="K1149" s="1481"/>
      <c r="L1149" s="1481"/>
      <c r="M1149" s="1481"/>
      <c r="N1149" s="1481"/>
      <c r="O1149" s="1481"/>
    </row>
    <row r="1150" spans="10:15" ht="12.75" customHeight="1" x14ac:dyDescent="0.25">
      <c r="J1150" s="1481"/>
      <c r="K1150" s="1481"/>
      <c r="L1150" s="1481"/>
      <c r="M1150" s="1481"/>
      <c r="N1150" s="1481"/>
      <c r="O1150" s="1481"/>
    </row>
    <row r="1151" spans="10:15" ht="12.75" customHeight="1" x14ac:dyDescent="0.25">
      <c r="J1151" s="1481"/>
      <c r="K1151" s="1481"/>
      <c r="L1151" s="1481"/>
      <c r="M1151" s="1481"/>
      <c r="N1151" s="1481"/>
      <c r="O1151" s="1481"/>
    </row>
    <row r="1152" spans="10:15" ht="12.75" customHeight="1" x14ac:dyDescent="0.25">
      <c r="J1152" s="1481"/>
      <c r="K1152" s="1481"/>
      <c r="L1152" s="1481"/>
      <c r="M1152" s="1481"/>
      <c r="N1152" s="1481"/>
      <c r="O1152" s="1481"/>
    </row>
    <row r="1153" spans="10:15" ht="12.75" customHeight="1" x14ac:dyDescent="0.25">
      <c r="J1153" s="1481"/>
      <c r="K1153" s="1481"/>
      <c r="L1153" s="1481"/>
      <c r="M1153" s="1481"/>
      <c r="N1153" s="1481"/>
      <c r="O1153" s="1481"/>
    </row>
    <row r="1154" spans="10:15" ht="12.75" customHeight="1" x14ac:dyDescent="0.25">
      <c r="J1154" s="1481"/>
      <c r="K1154" s="1481"/>
      <c r="L1154" s="1481"/>
      <c r="M1154" s="1481"/>
      <c r="N1154" s="1481"/>
      <c r="O1154" s="1481"/>
    </row>
    <row r="1155" spans="10:15" ht="12.75" customHeight="1" x14ac:dyDescent="0.25">
      <c r="J1155" s="1481"/>
      <c r="K1155" s="1481"/>
      <c r="L1155" s="1481"/>
      <c r="M1155" s="1481"/>
      <c r="N1155" s="1481"/>
      <c r="O1155" s="1481"/>
    </row>
    <row r="1156" spans="10:15" ht="12.75" customHeight="1" x14ac:dyDescent="0.25">
      <c r="J1156" s="1481"/>
      <c r="K1156" s="1481"/>
      <c r="L1156" s="1481"/>
      <c r="M1156" s="1481"/>
      <c r="N1156" s="1481"/>
      <c r="O1156" s="1481"/>
    </row>
    <row r="1157" spans="10:15" ht="12.75" customHeight="1" x14ac:dyDescent="0.25">
      <c r="J1157" s="1481"/>
      <c r="K1157" s="1481"/>
      <c r="L1157" s="1481"/>
      <c r="M1157" s="1481"/>
      <c r="N1157" s="1481"/>
      <c r="O1157" s="1481"/>
    </row>
    <row r="1158" spans="10:15" ht="12.75" customHeight="1" x14ac:dyDescent="0.25">
      <c r="J1158" s="1481"/>
      <c r="K1158" s="1481"/>
      <c r="L1158" s="1481"/>
      <c r="M1158" s="1481"/>
      <c r="N1158" s="1481"/>
      <c r="O1158" s="1481"/>
    </row>
    <row r="1159" spans="10:15" ht="12.75" customHeight="1" x14ac:dyDescent="0.25">
      <c r="J1159" s="1481"/>
      <c r="K1159" s="1481"/>
      <c r="L1159" s="1481"/>
      <c r="M1159" s="1481"/>
      <c r="N1159" s="1481"/>
      <c r="O1159" s="1481"/>
    </row>
    <row r="1160" spans="10:15" ht="12.75" customHeight="1" x14ac:dyDescent="0.25">
      <c r="J1160" s="1481"/>
      <c r="K1160" s="1481"/>
      <c r="L1160" s="1481"/>
      <c r="M1160" s="1481"/>
      <c r="N1160" s="1481"/>
      <c r="O1160" s="1481"/>
    </row>
    <row r="1161" spans="10:15" ht="12.75" customHeight="1" x14ac:dyDescent="0.25">
      <c r="J1161" s="1481"/>
      <c r="K1161" s="1481"/>
      <c r="L1161" s="1481"/>
      <c r="M1161" s="1481"/>
      <c r="N1161" s="1481"/>
      <c r="O1161" s="1481"/>
    </row>
    <row r="1162" spans="10:15" ht="12.75" customHeight="1" x14ac:dyDescent="0.25">
      <c r="J1162" s="1481"/>
      <c r="K1162" s="1481"/>
      <c r="L1162" s="1481"/>
      <c r="M1162" s="1481"/>
      <c r="N1162" s="1481"/>
      <c r="O1162" s="1481"/>
    </row>
    <row r="1163" spans="10:15" ht="12.75" customHeight="1" x14ac:dyDescent="0.25">
      <c r="J1163" s="1481"/>
      <c r="K1163" s="1481"/>
      <c r="L1163" s="1481"/>
      <c r="M1163" s="1481"/>
      <c r="N1163" s="1481"/>
      <c r="O1163" s="1481"/>
    </row>
    <row r="1164" spans="10:15" ht="12.75" customHeight="1" x14ac:dyDescent="0.25">
      <c r="J1164" s="1481"/>
      <c r="K1164" s="1481"/>
      <c r="L1164" s="1481"/>
      <c r="M1164" s="1481"/>
      <c r="N1164" s="1481"/>
      <c r="O1164" s="1481"/>
    </row>
    <row r="1165" spans="10:15" ht="12.75" customHeight="1" x14ac:dyDescent="0.25">
      <c r="J1165" s="1481"/>
      <c r="K1165" s="1481"/>
      <c r="L1165" s="1481"/>
      <c r="M1165" s="1481"/>
      <c r="N1165" s="1481"/>
      <c r="O1165" s="1481"/>
    </row>
    <row r="1166" spans="10:15" ht="12.75" customHeight="1" x14ac:dyDescent="0.25">
      <c r="J1166" s="1481"/>
      <c r="K1166" s="1481"/>
      <c r="L1166" s="1481"/>
      <c r="M1166" s="1481"/>
      <c r="N1166" s="1481"/>
      <c r="O1166" s="1481"/>
    </row>
    <row r="1167" spans="10:15" ht="12.75" customHeight="1" x14ac:dyDescent="0.25">
      <c r="J1167" s="1481"/>
      <c r="K1167" s="1481"/>
      <c r="L1167" s="1481"/>
      <c r="M1167" s="1481"/>
      <c r="N1167" s="1481"/>
      <c r="O1167" s="1481"/>
    </row>
    <row r="1168" spans="10:15" ht="12.75" customHeight="1" x14ac:dyDescent="0.25">
      <c r="J1168" s="1481"/>
      <c r="K1168" s="1481"/>
      <c r="L1168" s="1481"/>
      <c r="M1168" s="1481"/>
      <c r="N1168" s="1481"/>
      <c r="O1168" s="1481"/>
    </row>
    <row r="1169" spans="10:15" ht="12.75" customHeight="1" x14ac:dyDescent="0.25">
      <c r="J1169" s="1481"/>
      <c r="K1169" s="1481"/>
      <c r="L1169" s="1481"/>
      <c r="M1169" s="1481"/>
      <c r="N1169" s="1481"/>
      <c r="O1169" s="1481"/>
    </row>
    <row r="1170" spans="10:15" ht="12.75" customHeight="1" x14ac:dyDescent="0.25">
      <c r="J1170" s="1481"/>
      <c r="K1170" s="1481"/>
      <c r="L1170" s="1481"/>
      <c r="M1170" s="1481"/>
      <c r="N1170" s="1481"/>
      <c r="O1170" s="1481"/>
    </row>
    <row r="1171" spans="10:15" ht="12.75" customHeight="1" x14ac:dyDescent="0.25">
      <c r="J1171" s="1481"/>
      <c r="K1171" s="1481"/>
      <c r="L1171" s="1481"/>
      <c r="M1171" s="1481"/>
      <c r="N1171" s="1481"/>
      <c r="O1171" s="1481"/>
    </row>
    <row r="1172" spans="10:15" ht="12.75" customHeight="1" x14ac:dyDescent="0.25">
      <c r="J1172" s="1481"/>
      <c r="K1172" s="1481"/>
      <c r="L1172" s="1481"/>
      <c r="M1172" s="1481"/>
      <c r="N1172" s="1481"/>
      <c r="O1172" s="1481"/>
    </row>
    <row r="1173" spans="10:15" ht="12.75" customHeight="1" x14ac:dyDescent="0.25">
      <c r="J1173" s="1481"/>
      <c r="K1173" s="1481"/>
      <c r="L1173" s="1481"/>
      <c r="M1173" s="1481"/>
      <c r="N1173" s="1481"/>
      <c r="O1173" s="1481"/>
    </row>
    <row r="1174" spans="10:15" ht="12.75" customHeight="1" x14ac:dyDescent="0.25">
      <c r="J1174" s="1481"/>
      <c r="K1174" s="1481"/>
      <c r="L1174" s="1481"/>
      <c r="M1174" s="1481"/>
      <c r="N1174" s="1481"/>
      <c r="O1174" s="1481"/>
    </row>
    <row r="1175" spans="10:15" ht="12.75" customHeight="1" x14ac:dyDescent="0.25">
      <c r="J1175" s="1481"/>
      <c r="K1175" s="1481"/>
      <c r="L1175" s="1481"/>
      <c r="M1175" s="1481"/>
      <c r="N1175" s="1481"/>
      <c r="O1175" s="1481"/>
    </row>
    <row r="1176" spans="10:15" ht="12.75" customHeight="1" x14ac:dyDescent="0.25">
      <c r="J1176" s="1481"/>
      <c r="K1176" s="1481"/>
      <c r="L1176" s="1481"/>
      <c r="M1176" s="1481"/>
      <c r="N1176" s="1481"/>
      <c r="O1176" s="1481"/>
    </row>
    <row r="1177" spans="10:15" ht="12.75" customHeight="1" x14ac:dyDescent="0.25">
      <c r="J1177" s="1481"/>
      <c r="K1177" s="1481"/>
      <c r="L1177" s="1481"/>
      <c r="M1177" s="1481"/>
      <c r="N1177" s="1481"/>
      <c r="O1177" s="1481"/>
    </row>
    <row r="1178" spans="10:15" ht="12.75" customHeight="1" x14ac:dyDescent="0.25">
      <c r="J1178" s="1481"/>
      <c r="K1178" s="1481"/>
      <c r="L1178" s="1481"/>
      <c r="M1178" s="1481"/>
      <c r="N1178" s="1481"/>
      <c r="O1178" s="1481"/>
    </row>
    <row r="1179" spans="10:15" ht="12.75" customHeight="1" x14ac:dyDescent="0.25">
      <c r="J1179" s="1481"/>
      <c r="K1179" s="1481"/>
      <c r="L1179" s="1481"/>
      <c r="M1179" s="1481"/>
      <c r="N1179" s="1481"/>
      <c r="O1179" s="1481"/>
    </row>
    <row r="1180" spans="10:15" ht="12.75" customHeight="1" x14ac:dyDescent="0.25">
      <c r="J1180" s="1481"/>
      <c r="K1180" s="1481"/>
      <c r="L1180" s="1481"/>
      <c r="M1180" s="1481"/>
      <c r="N1180" s="1481"/>
      <c r="O1180" s="1481"/>
    </row>
    <row r="1181" spans="10:15" ht="12.75" customHeight="1" x14ac:dyDescent="0.25">
      <c r="J1181" s="1481"/>
      <c r="K1181" s="1481"/>
      <c r="L1181" s="1481"/>
      <c r="M1181" s="1481"/>
      <c r="N1181" s="1481"/>
      <c r="O1181" s="1481"/>
    </row>
    <row r="1182" spans="10:15" ht="12.75" customHeight="1" x14ac:dyDescent="0.25">
      <c r="J1182" s="1481"/>
      <c r="K1182" s="1481"/>
      <c r="L1182" s="1481"/>
      <c r="M1182" s="1481"/>
      <c r="N1182" s="1481"/>
      <c r="O1182" s="1481"/>
    </row>
    <row r="1183" spans="10:15" ht="12.75" customHeight="1" x14ac:dyDescent="0.25">
      <c r="J1183" s="1481"/>
      <c r="K1183" s="1481"/>
      <c r="L1183" s="1481"/>
      <c r="M1183" s="1481"/>
      <c r="N1183" s="1481"/>
      <c r="O1183" s="1481"/>
    </row>
    <row r="1184" spans="10:15" ht="12.75" customHeight="1" x14ac:dyDescent="0.25">
      <c r="J1184" s="1481"/>
      <c r="K1184" s="1481"/>
      <c r="L1184" s="1481"/>
      <c r="M1184" s="1481"/>
      <c r="N1184" s="1481"/>
      <c r="O1184" s="1481"/>
    </row>
    <row r="1185" spans="10:15" ht="12.75" customHeight="1" x14ac:dyDescent="0.25">
      <c r="J1185" s="1481"/>
      <c r="K1185" s="1481"/>
      <c r="L1185" s="1481"/>
      <c r="M1185" s="1481"/>
      <c r="N1185" s="1481"/>
      <c r="O1185" s="1481"/>
    </row>
    <row r="1186" spans="10:15" ht="12.75" customHeight="1" x14ac:dyDescent="0.25">
      <c r="J1186" s="1481"/>
      <c r="K1186" s="1481"/>
      <c r="L1186" s="1481"/>
      <c r="M1186" s="1481"/>
      <c r="N1186" s="1481"/>
      <c r="O1186" s="1481"/>
    </row>
    <row r="1187" spans="10:15" ht="12.75" customHeight="1" x14ac:dyDescent="0.25">
      <c r="J1187" s="1481"/>
      <c r="K1187" s="1481"/>
      <c r="L1187" s="1481"/>
      <c r="M1187" s="1481"/>
      <c r="N1187" s="1481"/>
      <c r="O1187" s="1481"/>
    </row>
    <row r="1188" spans="10:15" ht="12.75" customHeight="1" x14ac:dyDescent="0.25">
      <c r="J1188" s="1481"/>
      <c r="K1188" s="1481"/>
      <c r="L1188" s="1481"/>
      <c r="M1188" s="1481"/>
      <c r="N1188" s="1481"/>
      <c r="O1188" s="1481"/>
    </row>
    <row r="1189" spans="10:15" ht="12.75" customHeight="1" x14ac:dyDescent="0.25">
      <c r="J1189" s="1481"/>
      <c r="K1189" s="1481"/>
      <c r="L1189" s="1481"/>
      <c r="M1189" s="1481"/>
      <c r="N1189" s="1481"/>
      <c r="O1189" s="1481"/>
    </row>
    <row r="1190" spans="10:15" ht="12.75" customHeight="1" x14ac:dyDescent="0.25">
      <c r="J1190" s="1481"/>
      <c r="K1190" s="1481"/>
      <c r="L1190" s="1481"/>
      <c r="M1190" s="1481"/>
      <c r="N1190" s="1481"/>
      <c r="O1190" s="1481"/>
    </row>
    <row r="1191" spans="10:15" ht="12.75" customHeight="1" x14ac:dyDescent="0.25">
      <c r="J1191" s="1481"/>
      <c r="K1191" s="1481"/>
      <c r="L1191" s="1481"/>
      <c r="M1191" s="1481"/>
      <c r="N1191" s="1481"/>
      <c r="O1191" s="1481"/>
    </row>
    <row r="1192" spans="10:15" ht="12.75" customHeight="1" x14ac:dyDescent="0.25">
      <c r="J1192" s="1481"/>
      <c r="K1192" s="1481"/>
      <c r="L1192" s="1481"/>
      <c r="M1192" s="1481"/>
      <c r="N1192" s="1481"/>
      <c r="O1192" s="1481"/>
    </row>
    <row r="1193" spans="10:15" ht="12.75" customHeight="1" x14ac:dyDescent="0.25">
      <c r="J1193" s="1481"/>
      <c r="K1193" s="1481"/>
      <c r="L1193" s="1481"/>
      <c r="M1193" s="1481"/>
      <c r="N1193" s="1481"/>
      <c r="O1193" s="1481"/>
    </row>
    <row r="1194" spans="10:15" ht="12.75" customHeight="1" x14ac:dyDescent="0.25">
      <c r="J1194" s="1481"/>
      <c r="K1194" s="1481"/>
      <c r="L1194" s="1481"/>
      <c r="M1194" s="1481"/>
      <c r="N1194" s="1481"/>
      <c r="O1194" s="1481"/>
    </row>
    <row r="1195" spans="10:15" ht="12.75" customHeight="1" x14ac:dyDescent="0.25">
      <c r="J1195" s="1481"/>
      <c r="K1195" s="1481"/>
      <c r="L1195" s="1481"/>
      <c r="M1195" s="1481"/>
      <c r="N1195" s="1481"/>
      <c r="O1195" s="1481"/>
    </row>
    <row r="1196" spans="10:15" ht="12.75" customHeight="1" x14ac:dyDescent="0.25">
      <c r="J1196" s="1481"/>
      <c r="K1196" s="1481"/>
      <c r="L1196" s="1481"/>
      <c r="M1196" s="1481"/>
      <c r="N1196" s="1481"/>
      <c r="O1196" s="1481"/>
    </row>
    <row r="1197" spans="10:15" ht="12.75" customHeight="1" x14ac:dyDescent="0.25">
      <c r="J1197" s="1481"/>
      <c r="K1197" s="1481"/>
      <c r="L1197" s="1481"/>
      <c r="M1197" s="1481"/>
      <c r="N1197" s="1481"/>
      <c r="O1197" s="1481"/>
    </row>
    <row r="1198" spans="10:15" ht="12.75" customHeight="1" x14ac:dyDescent="0.25">
      <c r="J1198" s="1481"/>
      <c r="K1198" s="1481"/>
      <c r="L1198" s="1481"/>
      <c r="M1198" s="1481"/>
      <c r="N1198" s="1481"/>
      <c r="O1198" s="1481"/>
    </row>
    <row r="1199" spans="10:15" ht="12.75" customHeight="1" x14ac:dyDescent="0.25">
      <c r="J1199" s="1481"/>
      <c r="K1199" s="1481"/>
      <c r="L1199" s="1481"/>
      <c r="M1199" s="1481"/>
      <c r="N1199" s="1481"/>
      <c r="O1199" s="1481"/>
    </row>
    <row r="1200" spans="10:15" ht="12.75" customHeight="1" x14ac:dyDescent="0.25">
      <c r="J1200" s="1481"/>
      <c r="K1200" s="1481"/>
      <c r="L1200" s="1481"/>
      <c r="M1200" s="1481"/>
      <c r="N1200" s="1481"/>
      <c r="O1200" s="1481"/>
    </row>
    <row r="1201" spans="10:15" ht="12.75" customHeight="1" x14ac:dyDescent="0.25">
      <c r="J1201" s="1481"/>
      <c r="K1201" s="1481"/>
      <c r="L1201" s="1481"/>
      <c r="M1201" s="1481"/>
      <c r="N1201" s="1481"/>
      <c r="O1201" s="1481"/>
    </row>
    <row r="1202" spans="10:15" ht="12.75" customHeight="1" x14ac:dyDescent="0.25">
      <c r="J1202" s="1481"/>
      <c r="K1202" s="1481"/>
      <c r="L1202" s="1481"/>
      <c r="M1202" s="1481"/>
      <c r="N1202" s="1481"/>
      <c r="O1202" s="1481"/>
    </row>
    <row r="1203" spans="10:15" ht="12.75" customHeight="1" x14ac:dyDescent="0.25">
      <c r="J1203" s="1481"/>
      <c r="K1203" s="1481"/>
      <c r="L1203" s="1481"/>
      <c r="M1203" s="1481"/>
      <c r="N1203" s="1481"/>
      <c r="O1203" s="1481"/>
    </row>
    <row r="1204" spans="10:15" ht="12.75" customHeight="1" x14ac:dyDescent="0.25">
      <c r="J1204" s="1481"/>
      <c r="K1204" s="1481"/>
      <c r="L1204" s="1481"/>
      <c r="M1204" s="1481"/>
      <c r="N1204" s="1481"/>
      <c r="O1204" s="1481"/>
    </row>
    <row r="1205" spans="10:15" ht="12.75" customHeight="1" x14ac:dyDescent="0.25">
      <c r="J1205" s="1481"/>
      <c r="K1205" s="1481"/>
      <c r="L1205" s="1481"/>
      <c r="M1205" s="1481"/>
      <c r="N1205" s="1481"/>
      <c r="O1205" s="1481"/>
    </row>
    <row r="1206" spans="10:15" ht="12.75" customHeight="1" x14ac:dyDescent="0.25">
      <c r="J1206" s="1481"/>
      <c r="K1206" s="1481"/>
      <c r="L1206" s="1481"/>
      <c r="M1206" s="1481"/>
      <c r="N1206" s="1481"/>
      <c r="O1206" s="1481"/>
    </row>
    <row r="1207" spans="10:15" ht="12.75" customHeight="1" x14ac:dyDescent="0.25">
      <c r="J1207" s="1481"/>
      <c r="K1207" s="1481"/>
      <c r="L1207" s="1481"/>
      <c r="M1207" s="1481"/>
      <c r="N1207" s="1481"/>
      <c r="O1207" s="1481"/>
    </row>
    <row r="1208" spans="10:15" ht="12.75" customHeight="1" x14ac:dyDescent="0.25">
      <c r="J1208" s="1481"/>
      <c r="K1208" s="1481"/>
      <c r="L1208" s="1481"/>
      <c r="M1208" s="1481"/>
      <c r="N1208" s="1481"/>
      <c r="O1208" s="1481"/>
    </row>
    <row r="1209" spans="10:15" ht="12.75" customHeight="1" x14ac:dyDescent="0.25">
      <c r="J1209" s="1481"/>
      <c r="K1209" s="1481"/>
      <c r="L1209" s="1481"/>
      <c r="M1209" s="1481"/>
      <c r="N1209" s="1481"/>
      <c r="O1209" s="1481"/>
    </row>
    <row r="1210" spans="10:15" ht="12.75" customHeight="1" x14ac:dyDescent="0.25">
      <c r="J1210" s="1481"/>
      <c r="K1210" s="1481"/>
      <c r="L1210" s="1481"/>
      <c r="M1210" s="1481"/>
      <c r="N1210" s="1481"/>
      <c r="O1210" s="1481"/>
    </row>
    <row r="1211" spans="10:15" ht="12.75" customHeight="1" x14ac:dyDescent="0.25">
      <c r="J1211" s="1481"/>
      <c r="K1211" s="1481"/>
      <c r="L1211" s="1481"/>
      <c r="M1211" s="1481"/>
      <c r="N1211" s="1481"/>
      <c r="O1211" s="1481"/>
    </row>
    <row r="1212" spans="10:15" ht="12.75" customHeight="1" x14ac:dyDescent="0.25">
      <c r="J1212" s="1481"/>
      <c r="K1212" s="1481"/>
      <c r="L1212" s="1481"/>
      <c r="M1212" s="1481"/>
      <c r="N1212" s="1481"/>
      <c r="O1212" s="1481"/>
    </row>
    <row r="1213" spans="10:15" ht="12.75" customHeight="1" x14ac:dyDescent="0.25">
      <c r="J1213" s="1481"/>
      <c r="K1213" s="1481"/>
      <c r="L1213" s="1481"/>
      <c r="M1213" s="1481"/>
      <c r="N1213" s="1481"/>
      <c r="O1213" s="1481"/>
    </row>
    <row r="1214" spans="10:15" ht="12.75" customHeight="1" x14ac:dyDescent="0.25">
      <c r="J1214" s="1481"/>
      <c r="K1214" s="1481"/>
      <c r="L1214" s="1481"/>
      <c r="M1214" s="1481"/>
      <c r="N1214" s="1481"/>
      <c r="O1214" s="1481"/>
    </row>
    <row r="1215" spans="10:15" ht="12.75" customHeight="1" x14ac:dyDescent="0.25">
      <c r="J1215" s="1481"/>
      <c r="K1215" s="1481"/>
      <c r="L1215" s="1481"/>
      <c r="M1215" s="1481"/>
      <c r="N1215" s="1481"/>
      <c r="O1215" s="1481"/>
    </row>
    <row r="1216" spans="10:15" ht="12.75" customHeight="1" x14ac:dyDescent="0.25">
      <c r="J1216" s="1481"/>
      <c r="K1216" s="1481"/>
      <c r="L1216" s="1481"/>
      <c r="M1216" s="1481"/>
      <c r="N1216" s="1481"/>
      <c r="O1216" s="1481"/>
    </row>
    <row r="1217" spans="10:15" ht="12.75" customHeight="1" x14ac:dyDescent="0.25">
      <c r="J1217" s="1481"/>
      <c r="K1217" s="1481"/>
      <c r="L1217" s="1481"/>
      <c r="M1217" s="1481"/>
      <c r="N1217" s="1481"/>
      <c r="O1217" s="1481"/>
    </row>
    <row r="1218" spans="10:15" ht="12.75" customHeight="1" x14ac:dyDescent="0.25">
      <c r="J1218" s="1481"/>
      <c r="K1218" s="1481"/>
      <c r="L1218" s="1481"/>
      <c r="M1218" s="1481"/>
      <c r="N1218" s="1481"/>
      <c r="O1218" s="1481"/>
    </row>
    <row r="1219" spans="10:15" ht="12.75" customHeight="1" x14ac:dyDescent="0.25">
      <c r="J1219" s="1481"/>
      <c r="K1219" s="1481"/>
      <c r="L1219" s="1481"/>
      <c r="M1219" s="1481"/>
      <c r="N1219" s="1481"/>
      <c r="O1219" s="1481"/>
    </row>
    <row r="1220" spans="10:15" ht="12.75" customHeight="1" x14ac:dyDescent="0.25">
      <c r="J1220" s="1481"/>
      <c r="K1220" s="1481"/>
      <c r="L1220" s="1481"/>
      <c r="M1220" s="1481"/>
      <c r="N1220" s="1481"/>
      <c r="O1220" s="1481"/>
    </row>
    <row r="1221" spans="10:15" ht="12.75" customHeight="1" x14ac:dyDescent="0.25">
      <c r="J1221" s="1481"/>
      <c r="K1221" s="1481"/>
      <c r="L1221" s="1481"/>
      <c r="M1221" s="1481"/>
      <c r="N1221" s="1481"/>
      <c r="O1221" s="1481"/>
    </row>
    <row r="1222" spans="10:15" ht="12.75" customHeight="1" x14ac:dyDescent="0.25">
      <c r="J1222" s="1481"/>
      <c r="K1222" s="1481"/>
      <c r="L1222" s="1481"/>
      <c r="M1222" s="1481"/>
      <c r="N1222" s="1481"/>
      <c r="O1222" s="1481"/>
    </row>
    <row r="1223" spans="10:15" ht="12.75" customHeight="1" x14ac:dyDescent="0.25">
      <c r="J1223" s="1481"/>
      <c r="K1223" s="1481"/>
      <c r="L1223" s="1481"/>
      <c r="M1223" s="1481"/>
      <c r="N1223" s="1481"/>
      <c r="O1223" s="1481"/>
    </row>
    <row r="1224" spans="10:15" ht="12.75" customHeight="1" x14ac:dyDescent="0.25">
      <c r="J1224" s="1481"/>
      <c r="K1224" s="1481"/>
      <c r="L1224" s="1481"/>
      <c r="M1224" s="1481"/>
      <c r="N1224" s="1481"/>
      <c r="O1224" s="1481"/>
    </row>
    <row r="1225" spans="10:15" ht="12.75" customHeight="1" x14ac:dyDescent="0.25">
      <c r="J1225" s="1481"/>
      <c r="K1225" s="1481"/>
      <c r="L1225" s="1481"/>
      <c r="M1225" s="1481"/>
      <c r="N1225" s="1481"/>
      <c r="O1225" s="1481"/>
    </row>
    <row r="1226" spans="10:15" ht="12.75" customHeight="1" x14ac:dyDescent="0.25">
      <c r="J1226" s="1481"/>
      <c r="K1226" s="1481"/>
      <c r="L1226" s="1481"/>
      <c r="M1226" s="1481"/>
      <c r="N1226" s="1481"/>
      <c r="O1226" s="1481"/>
    </row>
    <row r="1227" spans="10:15" ht="12.75" customHeight="1" x14ac:dyDescent="0.25">
      <c r="J1227" s="1481"/>
      <c r="K1227" s="1481"/>
      <c r="L1227" s="1481"/>
      <c r="M1227" s="1481"/>
      <c r="N1227" s="1481"/>
      <c r="O1227" s="1481"/>
    </row>
    <row r="1228" spans="10:15" ht="12.75" customHeight="1" x14ac:dyDescent="0.25">
      <c r="J1228" s="1481"/>
      <c r="K1228" s="1481"/>
      <c r="L1228" s="1481"/>
      <c r="M1228" s="1481"/>
      <c r="N1228" s="1481"/>
      <c r="O1228" s="1481"/>
    </row>
    <row r="1229" spans="10:15" ht="12.75" customHeight="1" x14ac:dyDescent="0.25">
      <c r="J1229" s="1481"/>
      <c r="K1229" s="1481"/>
      <c r="L1229" s="1481"/>
      <c r="M1229" s="1481"/>
      <c r="N1229" s="1481"/>
      <c r="O1229" s="1481"/>
    </row>
    <row r="1230" spans="10:15" ht="12.75" customHeight="1" x14ac:dyDescent="0.25">
      <c r="J1230" s="1481"/>
      <c r="K1230" s="1481"/>
      <c r="L1230" s="1481"/>
      <c r="M1230" s="1481"/>
      <c r="N1230" s="1481"/>
      <c r="O1230" s="1481"/>
    </row>
    <row r="1231" spans="10:15" ht="12.75" customHeight="1" x14ac:dyDescent="0.25">
      <c r="J1231" s="1481"/>
      <c r="K1231" s="1481"/>
      <c r="L1231" s="1481"/>
      <c r="M1231" s="1481"/>
      <c r="N1231" s="1481"/>
      <c r="O1231" s="1481"/>
    </row>
    <row r="1232" spans="10:15" ht="12.75" customHeight="1" x14ac:dyDescent="0.25">
      <c r="J1232" s="1481"/>
      <c r="K1232" s="1481"/>
      <c r="L1232" s="1481"/>
      <c r="M1232" s="1481"/>
      <c r="N1232" s="1481"/>
      <c r="O1232" s="1481"/>
    </row>
    <row r="1233" spans="10:15" ht="12.75" customHeight="1" x14ac:dyDescent="0.25">
      <c r="J1233" s="1481"/>
      <c r="K1233" s="1481"/>
      <c r="L1233" s="1481"/>
      <c r="M1233" s="1481"/>
      <c r="N1233" s="1481"/>
      <c r="O1233" s="1481"/>
    </row>
    <row r="1234" spans="10:15" ht="12.75" customHeight="1" x14ac:dyDescent="0.25">
      <c r="J1234" s="1481"/>
      <c r="K1234" s="1481"/>
      <c r="L1234" s="1481"/>
      <c r="M1234" s="1481"/>
      <c r="N1234" s="1481"/>
      <c r="O1234" s="1481"/>
    </row>
    <row r="1235" spans="10:15" ht="12.75" customHeight="1" x14ac:dyDescent="0.25">
      <c r="J1235" s="1481"/>
      <c r="K1235" s="1481"/>
      <c r="L1235" s="1481"/>
      <c r="M1235" s="1481"/>
      <c r="N1235" s="1481"/>
      <c r="O1235" s="1481"/>
    </row>
    <row r="1236" spans="10:15" ht="12.75" customHeight="1" x14ac:dyDescent="0.25">
      <c r="J1236" s="1481"/>
      <c r="K1236" s="1481"/>
      <c r="L1236" s="1481"/>
      <c r="M1236" s="1481"/>
      <c r="N1236" s="1481"/>
      <c r="O1236" s="1481"/>
    </row>
    <row r="1237" spans="10:15" ht="12.75" customHeight="1" x14ac:dyDescent="0.25">
      <c r="J1237" s="1481"/>
      <c r="K1237" s="1481"/>
      <c r="L1237" s="1481"/>
      <c r="M1237" s="1481"/>
      <c r="N1237" s="1481"/>
      <c r="O1237" s="1481"/>
    </row>
    <row r="1238" spans="10:15" ht="12.75" customHeight="1" x14ac:dyDescent="0.25">
      <c r="J1238" s="1481"/>
      <c r="K1238" s="1481"/>
      <c r="L1238" s="1481"/>
      <c r="M1238" s="1481"/>
      <c r="N1238" s="1481"/>
      <c r="O1238" s="1481"/>
    </row>
    <row r="1239" spans="10:15" ht="12.75" customHeight="1" x14ac:dyDescent="0.25">
      <c r="J1239" s="1481"/>
      <c r="K1239" s="1481"/>
      <c r="L1239" s="1481"/>
      <c r="M1239" s="1481"/>
      <c r="N1239" s="1481"/>
      <c r="O1239" s="1481"/>
    </row>
    <row r="1240" spans="10:15" ht="12.75" customHeight="1" x14ac:dyDescent="0.25">
      <c r="J1240" s="1481"/>
      <c r="K1240" s="1481"/>
      <c r="L1240" s="1481"/>
      <c r="M1240" s="1481"/>
      <c r="N1240" s="1481"/>
      <c r="O1240" s="1481"/>
    </row>
    <row r="1241" spans="10:15" ht="12.75" customHeight="1" x14ac:dyDescent="0.25">
      <c r="J1241" s="1481"/>
      <c r="K1241" s="1481"/>
      <c r="L1241" s="1481"/>
      <c r="M1241" s="1481"/>
      <c r="N1241" s="1481"/>
      <c r="O1241" s="1481"/>
    </row>
    <row r="1242" spans="10:15" ht="12.75" customHeight="1" x14ac:dyDescent="0.25">
      <c r="J1242" s="1481"/>
      <c r="K1242" s="1481"/>
      <c r="L1242" s="1481"/>
      <c r="M1242" s="1481"/>
      <c r="N1242" s="1481"/>
      <c r="O1242" s="1481"/>
    </row>
    <row r="1243" spans="10:15" ht="12.75" customHeight="1" x14ac:dyDescent="0.25">
      <c r="J1243" s="1481"/>
      <c r="K1243" s="1481"/>
      <c r="L1243" s="1481"/>
      <c r="M1243" s="1481"/>
      <c r="N1243" s="1481"/>
      <c r="O1243" s="1481"/>
    </row>
    <row r="1244" spans="10:15" ht="12.75" customHeight="1" x14ac:dyDescent="0.25">
      <c r="J1244" s="1481"/>
      <c r="K1244" s="1481"/>
      <c r="L1244" s="1481"/>
      <c r="M1244" s="1481"/>
      <c r="N1244" s="1481"/>
      <c r="O1244" s="1481"/>
    </row>
    <row r="1245" spans="10:15" ht="12.75" customHeight="1" x14ac:dyDescent="0.25">
      <c r="J1245" s="1481"/>
      <c r="K1245" s="1481"/>
      <c r="L1245" s="1481"/>
      <c r="M1245" s="1481"/>
      <c r="N1245" s="1481"/>
      <c r="O1245" s="1481"/>
    </row>
    <row r="1246" spans="10:15" ht="12.75" customHeight="1" x14ac:dyDescent="0.25">
      <c r="J1246" s="1481"/>
      <c r="K1246" s="1481"/>
      <c r="L1246" s="1481"/>
      <c r="M1246" s="1481"/>
      <c r="N1246" s="1481"/>
      <c r="O1246" s="1481"/>
    </row>
    <row r="1247" spans="10:15" ht="12.75" customHeight="1" x14ac:dyDescent="0.25">
      <c r="J1247" s="1481"/>
      <c r="K1247" s="1481"/>
      <c r="L1247" s="1481"/>
      <c r="M1247" s="1481"/>
      <c r="N1247" s="1481"/>
      <c r="O1247" s="1481"/>
    </row>
    <row r="1248" spans="10:15" ht="12.75" customHeight="1" x14ac:dyDescent="0.25">
      <c r="J1248" s="1481"/>
      <c r="K1248" s="1481"/>
      <c r="L1248" s="1481"/>
      <c r="M1248" s="1481"/>
      <c r="N1248" s="1481"/>
      <c r="O1248" s="1481"/>
    </row>
    <row r="1249" spans="10:15" ht="12.75" customHeight="1" x14ac:dyDescent="0.25">
      <c r="J1249" s="1481"/>
      <c r="K1249" s="1481"/>
      <c r="L1249" s="1481"/>
      <c r="M1249" s="1481"/>
      <c r="N1249" s="1481"/>
      <c r="O1249" s="1481"/>
    </row>
    <row r="1250" spans="10:15" ht="12.75" customHeight="1" x14ac:dyDescent="0.25">
      <c r="J1250" s="1481"/>
      <c r="K1250" s="1481"/>
      <c r="L1250" s="1481"/>
      <c r="M1250" s="1481"/>
      <c r="N1250" s="1481"/>
      <c r="O1250" s="1481"/>
    </row>
    <row r="1251" spans="10:15" ht="12.75" customHeight="1" x14ac:dyDescent="0.25">
      <c r="J1251" s="1481"/>
      <c r="K1251" s="1481"/>
      <c r="L1251" s="1481"/>
      <c r="M1251" s="1481"/>
      <c r="N1251" s="1481"/>
      <c r="O1251" s="1481"/>
    </row>
    <row r="1252" spans="10:15" ht="12.75" customHeight="1" x14ac:dyDescent="0.25">
      <c r="J1252" s="1481"/>
      <c r="K1252" s="1481"/>
      <c r="L1252" s="1481"/>
      <c r="M1252" s="1481"/>
      <c r="N1252" s="1481"/>
      <c r="O1252" s="1481"/>
    </row>
    <row r="1253" spans="10:15" ht="12.75" customHeight="1" x14ac:dyDescent="0.25">
      <c r="J1253" s="1481"/>
      <c r="K1253" s="1481"/>
      <c r="L1253" s="1481"/>
      <c r="M1253" s="1481"/>
      <c r="N1253" s="1481"/>
      <c r="O1253" s="1481"/>
    </row>
    <row r="1254" spans="10:15" ht="12.75" customHeight="1" x14ac:dyDescent="0.25">
      <c r="J1254" s="1481"/>
      <c r="K1254" s="1481"/>
      <c r="L1254" s="1481"/>
      <c r="M1254" s="1481"/>
      <c r="N1254" s="1481"/>
      <c r="O1254" s="1481"/>
    </row>
    <row r="1255" spans="10:15" ht="12.75" customHeight="1" x14ac:dyDescent="0.25">
      <c r="J1255" s="1481"/>
      <c r="K1255" s="1481"/>
      <c r="L1255" s="1481"/>
      <c r="M1255" s="1481"/>
      <c r="N1255" s="1481"/>
      <c r="O1255" s="1481"/>
    </row>
    <row r="1256" spans="10:15" ht="12.75" customHeight="1" x14ac:dyDescent="0.25">
      <c r="J1256" s="1481"/>
      <c r="K1256" s="1481"/>
      <c r="L1256" s="1481"/>
      <c r="M1256" s="1481"/>
      <c r="N1256" s="1481"/>
      <c r="O1256" s="1481"/>
    </row>
    <row r="1257" spans="10:15" ht="12.75" customHeight="1" x14ac:dyDescent="0.25">
      <c r="J1257" s="1481"/>
      <c r="K1257" s="1481"/>
      <c r="L1257" s="1481"/>
      <c r="M1257" s="1481"/>
      <c r="N1257" s="1481"/>
      <c r="O1257" s="1481"/>
    </row>
    <row r="1258" spans="10:15" ht="12.75" customHeight="1" x14ac:dyDescent="0.25">
      <c r="J1258" s="1481"/>
      <c r="K1258" s="1481"/>
      <c r="L1258" s="1481"/>
      <c r="M1258" s="1481"/>
      <c r="N1258" s="1481"/>
      <c r="O1258" s="1481"/>
    </row>
    <row r="1259" spans="10:15" ht="12.75" customHeight="1" x14ac:dyDescent="0.25">
      <c r="J1259" s="1481"/>
      <c r="K1259" s="1481"/>
      <c r="L1259" s="1481"/>
      <c r="M1259" s="1481"/>
      <c r="N1259" s="1481"/>
      <c r="O1259" s="1481"/>
    </row>
    <row r="1260" spans="10:15" ht="12.75" customHeight="1" x14ac:dyDescent="0.25">
      <c r="J1260" s="1481"/>
      <c r="K1260" s="1481"/>
      <c r="L1260" s="1481"/>
      <c r="M1260" s="1481"/>
      <c r="N1260" s="1481"/>
      <c r="O1260" s="1481"/>
    </row>
    <row r="1261" spans="10:15" ht="12.75" customHeight="1" x14ac:dyDescent="0.25">
      <c r="J1261" s="1481"/>
      <c r="K1261" s="1481"/>
      <c r="L1261" s="1481"/>
      <c r="M1261" s="1481"/>
      <c r="N1261" s="1481"/>
      <c r="O1261" s="1481"/>
    </row>
    <row r="1262" spans="10:15" ht="12.75" customHeight="1" x14ac:dyDescent="0.25">
      <c r="J1262" s="1481"/>
      <c r="K1262" s="1481"/>
      <c r="L1262" s="1481"/>
      <c r="M1262" s="1481"/>
      <c r="N1262" s="1481"/>
      <c r="O1262" s="1481"/>
    </row>
    <row r="1263" spans="10:15" ht="12.75" customHeight="1" x14ac:dyDescent="0.25">
      <c r="J1263" s="1481"/>
      <c r="K1263" s="1481"/>
      <c r="L1263" s="1481"/>
      <c r="M1263" s="1481"/>
      <c r="N1263" s="1481"/>
      <c r="O1263" s="1481"/>
    </row>
    <row r="1264" spans="10:15" ht="12.75" customHeight="1" x14ac:dyDescent="0.25">
      <c r="J1264" s="1481"/>
      <c r="K1264" s="1481"/>
      <c r="L1264" s="1481"/>
      <c r="M1264" s="1481"/>
      <c r="N1264" s="1481"/>
      <c r="O1264" s="1481"/>
    </row>
    <row r="1265" spans="10:15" ht="12.75" customHeight="1" x14ac:dyDescent="0.25">
      <c r="J1265" s="1481"/>
      <c r="K1265" s="1481"/>
      <c r="L1265" s="1481"/>
      <c r="M1265" s="1481"/>
      <c r="N1265" s="1481"/>
      <c r="O1265" s="1481"/>
    </row>
    <row r="1266" spans="10:15" ht="12.75" customHeight="1" x14ac:dyDescent="0.25">
      <c r="J1266" s="1481"/>
      <c r="K1266" s="1481"/>
      <c r="L1266" s="1481"/>
      <c r="M1266" s="1481"/>
      <c r="N1266" s="1481"/>
      <c r="O1266" s="1481"/>
    </row>
    <row r="1267" spans="10:15" ht="12.75" customHeight="1" x14ac:dyDescent="0.25">
      <c r="J1267" s="1481"/>
      <c r="K1267" s="1481"/>
      <c r="L1267" s="1481"/>
      <c r="M1267" s="1481"/>
      <c r="N1267" s="1481"/>
      <c r="O1267" s="1481"/>
    </row>
    <row r="1268" spans="10:15" ht="12.75" customHeight="1" x14ac:dyDescent="0.25">
      <c r="J1268" s="1481"/>
      <c r="K1268" s="1481"/>
      <c r="L1268" s="1481"/>
      <c r="M1268" s="1481"/>
      <c r="N1268" s="1481"/>
      <c r="O1268" s="1481"/>
    </row>
    <row r="1269" spans="10:15" ht="12.75" customHeight="1" x14ac:dyDescent="0.25">
      <c r="J1269" s="1481"/>
      <c r="K1269" s="1481"/>
      <c r="L1269" s="1481"/>
      <c r="M1269" s="1481"/>
      <c r="N1269" s="1481"/>
      <c r="O1269" s="1481"/>
    </row>
    <row r="1270" spans="10:15" ht="12.75" customHeight="1" x14ac:dyDescent="0.25">
      <c r="J1270" s="1481"/>
      <c r="K1270" s="1481"/>
      <c r="L1270" s="1481"/>
      <c r="M1270" s="1481"/>
      <c r="N1270" s="1481"/>
      <c r="O1270" s="1481"/>
    </row>
    <row r="1271" spans="10:15" ht="12.75" customHeight="1" x14ac:dyDescent="0.25">
      <c r="J1271" s="1481"/>
      <c r="K1271" s="1481"/>
      <c r="L1271" s="1481"/>
      <c r="M1271" s="1481"/>
      <c r="N1271" s="1481"/>
      <c r="O1271" s="1481"/>
    </row>
    <row r="1272" spans="10:15" ht="12.75" customHeight="1" x14ac:dyDescent="0.25">
      <c r="J1272" s="1481"/>
      <c r="K1272" s="1481"/>
      <c r="L1272" s="1481"/>
      <c r="M1272" s="1481"/>
      <c r="N1272" s="1481"/>
      <c r="O1272" s="1481"/>
    </row>
    <row r="1273" spans="10:15" ht="12.75" customHeight="1" x14ac:dyDescent="0.25">
      <c r="J1273" s="1481"/>
      <c r="K1273" s="1481"/>
      <c r="L1273" s="1481"/>
      <c r="M1273" s="1481"/>
      <c r="N1273" s="1481"/>
      <c r="O1273" s="1481"/>
    </row>
    <row r="1274" spans="10:15" ht="12.75" customHeight="1" x14ac:dyDescent="0.25">
      <c r="J1274" s="1481"/>
      <c r="K1274" s="1481"/>
      <c r="L1274" s="1481"/>
      <c r="M1274" s="1481"/>
      <c r="N1274" s="1481"/>
      <c r="O1274" s="1481"/>
    </row>
    <row r="1275" spans="10:15" ht="12.75" customHeight="1" x14ac:dyDescent="0.25">
      <c r="J1275" s="1481"/>
      <c r="K1275" s="1481"/>
      <c r="L1275" s="1481"/>
      <c r="M1275" s="1481"/>
      <c r="N1275" s="1481"/>
      <c r="O1275" s="1481"/>
    </row>
    <row r="1276" spans="10:15" ht="12.75" customHeight="1" x14ac:dyDescent="0.25">
      <c r="J1276" s="1481"/>
      <c r="K1276" s="1481"/>
      <c r="L1276" s="1481"/>
      <c r="M1276" s="1481"/>
      <c r="N1276" s="1481"/>
      <c r="O1276" s="1481"/>
    </row>
    <row r="1277" spans="10:15" ht="12.75" customHeight="1" x14ac:dyDescent="0.25">
      <c r="J1277" s="1481"/>
      <c r="K1277" s="1481"/>
      <c r="L1277" s="1481"/>
      <c r="M1277" s="1481"/>
      <c r="N1277" s="1481"/>
      <c r="O1277" s="1481"/>
    </row>
    <row r="1278" spans="10:15" ht="12.75" customHeight="1" x14ac:dyDescent="0.25">
      <c r="J1278" s="1481"/>
      <c r="K1278" s="1481"/>
      <c r="L1278" s="1481"/>
      <c r="M1278" s="1481"/>
      <c r="N1278" s="1481"/>
      <c r="O1278" s="1481"/>
    </row>
    <row r="1279" spans="10:15" ht="12.75" customHeight="1" x14ac:dyDescent="0.25">
      <c r="J1279" s="1481"/>
      <c r="K1279" s="1481"/>
      <c r="L1279" s="1481"/>
      <c r="M1279" s="1481"/>
      <c r="N1279" s="1481"/>
      <c r="O1279" s="1481"/>
    </row>
    <row r="1280" spans="10:15" ht="12.75" customHeight="1" x14ac:dyDescent="0.25">
      <c r="J1280" s="1481"/>
      <c r="K1280" s="1481"/>
      <c r="L1280" s="1481"/>
      <c r="M1280" s="1481"/>
      <c r="N1280" s="1481"/>
      <c r="O1280" s="1481"/>
    </row>
    <row r="1281" spans="10:15" ht="12.75" customHeight="1" x14ac:dyDescent="0.25">
      <c r="J1281" s="1481"/>
      <c r="K1281" s="1481"/>
      <c r="L1281" s="1481"/>
      <c r="M1281" s="1481"/>
      <c r="N1281" s="1481"/>
      <c r="O1281" s="1481"/>
    </row>
    <row r="1282" spans="10:15" ht="12.75" customHeight="1" x14ac:dyDescent="0.25">
      <c r="J1282" s="1481"/>
      <c r="K1282" s="1481"/>
      <c r="L1282" s="1481"/>
      <c r="M1282" s="1481"/>
      <c r="N1282" s="1481"/>
      <c r="O1282" s="1481"/>
    </row>
    <row r="1283" spans="10:15" ht="12.75" customHeight="1" x14ac:dyDescent="0.25">
      <c r="J1283" s="1481"/>
      <c r="K1283" s="1481"/>
      <c r="L1283" s="1481"/>
      <c r="M1283" s="1481"/>
      <c r="N1283" s="1481"/>
      <c r="O1283" s="1481"/>
    </row>
    <row r="1284" spans="10:15" ht="12.75" customHeight="1" x14ac:dyDescent="0.25">
      <c r="J1284" s="1481"/>
      <c r="K1284" s="1481"/>
      <c r="L1284" s="1481"/>
      <c r="M1284" s="1481"/>
      <c r="N1284" s="1481"/>
      <c r="O1284" s="1481"/>
    </row>
    <row r="1285" spans="10:15" ht="12.75" customHeight="1" x14ac:dyDescent="0.25">
      <c r="J1285" s="1481"/>
      <c r="K1285" s="1481"/>
      <c r="L1285" s="1481"/>
      <c r="M1285" s="1481"/>
      <c r="N1285" s="1481"/>
      <c r="O1285" s="1481"/>
    </row>
    <row r="1286" spans="10:15" ht="12.75" customHeight="1" x14ac:dyDescent="0.25">
      <c r="J1286" s="1481"/>
      <c r="K1286" s="1481"/>
      <c r="L1286" s="1481"/>
      <c r="M1286" s="1481"/>
      <c r="N1286" s="1481"/>
      <c r="O1286" s="1481"/>
    </row>
    <row r="1287" spans="10:15" ht="12.75" customHeight="1" x14ac:dyDescent="0.25">
      <c r="J1287" s="1481"/>
      <c r="K1287" s="1481"/>
      <c r="L1287" s="1481"/>
      <c r="M1287" s="1481"/>
      <c r="N1287" s="1481"/>
      <c r="O1287" s="1481"/>
    </row>
    <row r="1288" spans="10:15" ht="12.75" customHeight="1" x14ac:dyDescent="0.25">
      <c r="J1288" s="1481"/>
      <c r="K1288" s="1481"/>
      <c r="L1288" s="1481"/>
      <c r="M1288" s="1481"/>
      <c r="N1288" s="1481"/>
      <c r="O1288" s="1481"/>
    </row>
    <row r="1289" spans="10:15" ht="12.75" customHeight="1" x14ac:dyDescent="0.25">
      <c r="J1289" s="1481"/>
      <c r="K1289" s="1481"/>
      <c r="L1289" s="1481"/>
      <c r="M1289" s="1481"/>
      <c r="N1289" s="1481"/>
      <c r="O1289" s="1481"/>
    </row>
    <row r="1290" spans="10:15" ht="12.75" customHeight="1" x14ac:dyDescent="0.25">
      <c r="J1290" s="1481"/>
      <c r="K1290" s="1481"/>
      <c r="L1290" s="1481"/>
      <c r="M1290" s="1481"/>
      <c r="N1290" s="1481"/>
      <c r="O1290" s="1481"/>
    </row>
    <row r="1291" spans="10:15" ht="12.75" customHeight="1" x14ac:dyDescent="0.25">
      <c r="J1291" s="1481"/>
      <c r="K1291" s="1481"/>
      <c r="L1291" s="1481"/>
      <c r="M1291" s="1481"/>
      <c r="N1291" s="1481"/>
      <c r="O1291" s="1481"/>
    </row>
    <row r="1292" spans="10:15" ht="12.75" customHeight="1" x14ac:dyDescent="0.25">
      <c r="J1292" s="1481"/>
      <c r="K1292" s="1481"/>
      <c r="L1292" s="1481"/>
      <c r="M1292" s="1481"/>
      <c r="N1292" s="1481"/>
      <c r="O1292" s="1481"/>
    </row>
    <row r="1293" spans="10:15" ht="12.75" customHeight="1" x14ac:dyDescent="0.25">
      <c r="J1293" s="1481"/>
      <c r="K1293" s="1481"/>
      <c r="L1293" s="1481"/>
      <c r="M1293" s="1481"/>
      <c r="N1293" s="1481"/>
      <c r="O1293" s="1481"/>
    </row>
    <row r="1294" spans="10:15" ht="12.75" customHeight="1" x14ac:dyDescent="0.25">
      <c r="J1294" s="1481"/>
      <c r="K1294" s="1481"/>
      <c r="L1294" s="1481"/>
      <c r="M1294" s="1481"/>
      <c r="N1294" s="1481"/>
      <c r="O1294" s="1481"/>
    </row>
    <row r="1295" spans="10:15" ht="12.75" customHeight="1" x14ac:dyDescent="0.25">
      <c r="J1295" s="1481"/>
      <c r="K1295" s="1481"/>
      <c r="L1295" s="1481"/>
      <c r="M1295" s="1481"/>
      <c r="N1295" s="1481"/>
      <c r="O1295" s="1481"/>
    </row>
    <row r="1296" spans="10:15" ht="12.75" customHeight="1" x14ac:dyDescent="0.25">
      <c r="J1296" s="1481"/>
      <c r="K1296" s="1481"/>
      <c r="L1296" s="1481"/>
      <c r="M1296" s="1481"/>
      <c r="N1296" s="1481"/>
      <c r="O1296" s="1481"/>
    </row>
    <row r="1297" spans="10:15" ht="12.75" customHeight="1" x14ac:dyDescent="0.25">
      <c r="J1297" s="1481"/>
      <c r="K1297" s="1481"/>
      <c r="L1297" s="1481"/>
      <c r="M1297" s="1481"/>
      <c r="N1297" s="1481"/>
      <c r="O1297" s="1481"/>
    </row>
    <row r="1298" spans="10:15" ht="12.75" customHeight="1" x14ac:dyDescent="0.25">
      <c r="J1298" s="1481"/>
      <c r="K1298" s="1481"/>
      <c r="L1298" s="1481"/>
      <c r="M1298" s="1481"/>
      <c r="N1298" s="1481"/>
      <c r="O1298" s="1481"/>
    </row>
    <row r="1299" spans="10:15" ht="12.75" customHeight="1" x14ac:dyDescent="0.25">
      <c r="J1299" s="1481"/>
      <c r="K1299" s="1481"/>
      <c r="L1299" s="1481"/>
      <c r="M1299" s="1481"/>
      <c r="N1299" s="1481"/>
      <c r="O1299" s="1481"/>
    </row>
    <row r="1300" spans="10:15" ht="12.75" customHeight="1" x14ac:dyDescent="0.25">
      <c r="J1300" s="1481"/>
      <c r="K1300" s="1481"/>
      <c r="L1300" s="1481"/>
      <c r="M1300" s="1481"/>
      <c r="N1300" s="1481"/>
      <c r="O1300" s="1481"/>
    </row>
    <row r="1301" spans="10:15" ht="12.75" customHeight="1" x14ac:dyDescent="0.25">
      <c r="J1301" s="1481"/>
      <c r="K1301" s="1481"/>
      <c r="L1301" s="1481"/>
      <c r="M1301" s="1481"/>
      <c r="N1301" s="1481"/>
      <c r="O1301" s="1481"/>
    </row>
    <row r="1302" spans="10:15" ht="12.75" customHeight="1" x14ac:dyDescent="0.25">
      <c r="J1302" s="1481"/>
      <c r="K1302" s="1481"/>
      <c r="L1302" s="1481"/>
      <c r="M1302" s="1481"/>
      <c r="N1302" s="1481"/>
      <c r="O1302" s="1481"/>
    </row>
    <row r="1303" spans="10:15" ht="12.75" customHeight="1" x14ac:dyDescent="0.25">
      <c r="J1303" s="1481"/>
      <c r="K1303" s="1481"/>
      <c r="L1303" s="1481"/>
      <c r="M1303" s="1481"/>
      <c r="N1303" s="1481"/>
      <c r="O1303" s="1481"/>
    </row>
    <row r="1304" spans="10:15" ht="12.75" customHeight="1" x14ac:dyDescent="0.25">
      <c r="J1304" s="1481"/>
      <c r="K1304" s="1481"/>
      <c r="L1304" s="1481"/>
      <c r="M1304" s="1481"/>
      <c r="N1304" s="1481"/>
      <c r="O1304" s="1481"/>
    </row>
    <row r="1305" spans="10:15" ht="12.75" customHeight="1" x14ac:dyDescent="0.25">
      <c r="J1305" s="1481"/>
      <c r="K1305" s="1481"/>
      <c r="L1305" s="1481"/>
      <c r="M1305" s="1481"/>
      <c r="N1305" s="1481"/>
      <c r="O1305" s="1481"/>
    </row>
    <row r="1306" spans="10:15" ht="12.75" customHeight="1" x14ac:dyDescent="0.25">
      <c r="J1306" s="1481"/>
      <c r="K1306" s="1481"/>
      <c r="L1306" s="1481"/>
      <c r="M1306" s="1481"/>
      <c r="N1306" s="1481"/>
      <c r="O1306" s="1481"/>
    </row>
    <row r="1307" spans="10:15" ht="12.75" customHeight="1" x14ac:dyDescent="0.25">
      <c r="J1307" s="1481"/>
      <c r="K1307" s="1481"/>
      <c r="L1307" s="1481"/>
      <c r="M1307" s="1481"/>
      <c r="N1307" s="1481"/>
      <c r="O1307" s="1481"/>
    </row>
    <row r="1308" spans="10:15" ht="12.75" customHeight="1" x14ac:dyDescent="0.25">
      <c r="J1308" s="1481"/>
      <c r="K1308" s="1481"/>
      <c r="L1308" s="1481"/>
      <c r="M1308" s="1481"/>
      <c r="N1308" s="1481"/>
      <c r="O1308" s="1481"/>
    </row>
    <row r="1309" spans="10:15" ht="12.75" customHeight="1" x14ac:dyDescent="0.25">
      <c r="J1309" s="1481"/>
      <c r="K1309" s="1481"/>
      <c r="L1309" s="1481"/>
      <c r="M1309" s="1481"/>
      <c r="N1309" s="1481"/>
      <c r="O1309" s="1481"/>
    </row>
    <row r="1310" spans="10:15" ht="12.75" customHeight="1" x14ac:dyDescent="0.25">
      <c r="J1310" s="1481"/>
      <c r="K1310" s="1481"/>
      <c r="L1310" s="1481"/>
      <c r="M1310" s="1481"/>
      <c r="N1310" s="1481"/>
      <c r="O1310" s="1481"/>
    </row>
  </sheetData>
  <mergeCells count="20">
    <mergeCell ref="E641:I642"/>
    <mergeCell ref="E649:I649"/>
    <mergeCell ref="E548:F548"/>
    <mergeCell ref="E622:F622"/>
    <mergeCell ref="E549:M552"/>
    <mergeCell ref="E553:M554"/>
    <mergeCell ref="E583:M586"/>
    <mergeCell ref="E634:N635"/>
    <mergeCell ref="E541:I542"/>
    <mergeCell ref="D75:D76"/>
    <mergeCell ref="F75:F76"/>
    <mergeCell ref="G75:H76"/>
    <mergeCell ref="G210:H210"/>
    <mergeCell ref="G213:H213"/>
    <mergeCell ref="E279:I282"/>
    <mergeCell ref="E531:F531"/>
    <mergeCell ref="E532:I532"/>
    <mergeCell ref="G535:H535"/>
    <mergeCell ref="E536:H537"/>
    <mergeCell ref="E540:F540"/>
  </mergeCells>
  <phoneticPr fontId="52" type="noConversion"/>
  <hyperlinks>
    <hyperlink ref="A1" location="Inhoudsopgave!A1" display="Inhoudsopgave" xr:uid="{7090EF85-AFBF-4145-A98A-4F650FFCBCB7}"/>
  </hyperlinks>
  <pageMargins left="0.59055118110236227" right="0.39370078740157483" top="0.39370078740157483" bottom="0.39370078740157483" header="0.51181102362204722" footer="0.51181102362204722"/>
  <pageSetup paperSize="9" scale="64" orientation="portrait" useFirstPageNumber="1" r:id="rId1"/>
  <headerFooter alignWithMargins="0"/>
  <rowBreaks count="13" manualBreakCount="13">
    <brk id="72" min="3" max="14" man="1"/>
    <brk id="152" min="3" max="14" man="1"/>
    <brk id="237" min="3" max="14" man="1"/>
    <brk id="318" min="3" max="14" man="1"/>
    <brk id="397" min="3" max="14" man="1"/>
    <brk id="475" min="3" max="14" man="1"/>
    <brk id="558" min="3" max="14" man="1"/>
    <brk id="645" min="3" max="14" man="1"/>
    <brk id="733" min="3" max="14" man="1"/>
    <brk id="818" min="3" max="14" man="1"/>
    <brk id="904" min="3" max="14" man="1"/>
    <brk id="988" min="3" max="14" man="1"/>
    <brk id="1067" min="3" max="14"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9F01-EDB1-4855-8F03-5D4D88794F69}">
  <sheetPr codeName="Blad4"/>
  <dimension ref="A1:AF939"/>
  <sheetViews>
    <sheetView showGridLines="0" view="pageBreakPreview" topLeftCell="A667" zoomScaleNormal="100" zoomScaleSheetLayoutView="100" workbookViewId="0">
      <selection activeCell="S2" sqref="S2"/>
    </sheetView>
  </sheetViews>
  <sheetFormatPr defaultColWidth="9.109375" defaultRowHeight="12.75" customHeight="1" x14ac:dyDescent="0.25"/>
  <cols>
    <col min="1" max="1" width="10.109375" style="1440" bestFit="1" customWidth="1"/>
    <col min="2" max="2" width="9.109375" style="1434"/>
    <col min="3" max="3" width="16.33203125" style="1435" customWidth="1"/>
    <col min="4" max="4" width="9.6640625" style="1436" customWidth="1"/>
    <col min="5" max="6" width="9.6640625" style="1437" customWidth="1"/>
    <col min="7" max="9" width="12.6640625" style="1434" customWidth="1"/>
    <col min="10" max="15" width="11.6640625" style="1434" customWidth="1"/>
    <col min="16" max="16" width="12.88671875" style="1434" customWidth="1"/>
    <col min="17" max="19" width="16.5546875" style="117" customWidth="1"/>
    <col min="20" max="20" width="10.44140625" style="117" customWidth="1"/>
    <col min="21" max="21" width="14" style="117" bestFit="1" customWidth="1"/>
    <col min="22" max="26" width="12.88671875" style="117" bestFit="1" customWidth="1"/>
    <col min="27" max="27" width="9.109375" style="117"/>
    <col min="28" max="29" width="9.109375" style="1434"/>
    <col min="30" max="30" width="12.6640625" style="1434" customWidth="1"/>
    <col min="31" max="32" width="11.88671875" style="1434" customWidth="1"/>
    <col min="33" max="16384" width="9.109375" style="1434"/>
  </cols>
  <sheetData>
    <row r="1" spans="1:23" ht="12.75" customHeight="1" x14ac:dyDescent="0.25">
      <c r="A1" s="165" t="s">
        <v>0</v>
      </c>
      <c r="P1" s="17"/>
      <c r="Q1" s="18">
        <v>2024</v>
      </c>
      <c r="R1" s="794">
        <v>2025</v>
      </c>
      <c r="S1" s="794">
        <v>2026</v>
      </c>
      <c r="T1" s="794">
        <v>2027</v>
      </c>
      <c r="U1" s="794">
        <v>2028</v>
      </c>
      <c r="V1" s="794">
        <v>2029</v>
      </c>
      <c r="W1" s="794">
        <v>2030</v>
      </c>
    </row>
    <row r="2" spans="1:23" ht="12.75" customHeight="1" x14ac:dyDescent="0.25">
      <c r="A2" s="1438"/>
      <c r="B2" s="1439"/>
      <c r="D2" s="1436" t="s">
        <v>504</v>
      </c>
      <c r="H2" s="1434" t="s">
        <v>1085</v>
      </c>
      <c r="P2" s="117"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A3" s="1438"/>
      <c r="B3" s="1439"/>
      <c r="P3" s="117"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D4" s="1436" t="s">
        <v>66</v>
      </c>
      <c r="H4" s="1434" t="s">
        <v>1574</v>
      </c>
      <c r="S4" s="307">
        <f>+Indexering!I6</f>
        <v>1.0228200000000001</v>
      </c>
      <c r="T4" s="307">
        <f>+Indexering!J6</f>
        <v>1.03213</v>
      </c>
      <c r="U4" s="307">
        <f>+Indexering!K6</f>
        <v>1.0304199999999999</v>
      </c>
      <c r="V4" s="307">
        <f>+Indexering!L6</f>
        <v>1.0304199999999999</v>
      </c>
      <c r="W4" s="307">
        <f>+Indexering!M6</f>
        <v>1.0304199999999999</v>
      </c>
    </row>
    <row r="5" spans="1:23" ht="12.75" customHeight="1" x14ac:dyDescent="0.25">
      <c r="H5" s="1441"/>
    </row>
    <row r="31" spans="4:16" ht="12.75" customHeight="1" x14ac:dyDescent="0.25">
      <c r="D31" s="452" t="s">
        <v>507</v>
      </c>
      <c r="E31" s="652"/>
      <c r="F31" s="652"/>
      <c r="G31" s="653"/>
      <c r="H31" s="653"/>
      <c r="I31" s="653"/>
      <c r="J31" s="653"/>
      <c r="K31" s="653"/>
      <c r="L31" s="653"/>
      <c r="M31" s="653"/>
      <c r="N31" s="653"/>
      <c r="O31" s="653"/>
      <c r="P31" s="653"/>
    </row>
    <row r="32" spans="4:16" ht="12.75" customHeight="1" x14ac:dyDescent="0.25">
      <c r="D32" s="652"/>
      <c r="E32" s="652"/>
      <c r="F32" s="652"/>
      <c r="G32" s="653"/>
      <c r="H32" s="653"/>
      <c r="I32" s="653"/>
      <c r="J32" s="653"/>
      <c r="K32" s="653"/>
      <c r="L32" s="653"/>
      <c r="M32" s="653"/>
      <c r="N32" s="653"/>
      <c r="O32" s="653"/>
      <c r="P32" s="653"/>
    </row>
    <row r="33" spans="1:32" ht="12.75" customHeight="1" x14ac:dyDescent="0.25">
      <c r="D33" s="1746" t="s">
        <v>508</v>
      </c>
      <c r="E33" s="1747"/>
      <c r="F33" s="1747"/>
      <c r="G33" s="1748"/>
      <c r="H33" s="1748"/>
      <c r="I33" s="1749"/>
      <c r="J33" s="1749">
        <v>2025</v>
      </c>
      <c r="K33" s="1749">
        <v>2026</v>
      </c>
      <c r="L33" s="1749">
        <v>2027</v>
      </c>
      <c r="M33" s="1749">
        <v>2028</v>
      </c>
      <c r="N33" s="1749">
        <v>2029</v>
      </c>
      <c r="O33" s="1749">
        <v>2030</v>
      </c>
      <c r="P33" s="527"/>
      <c r="Q33" s="549">
        <v>2026</v>
      </c>
      <c r="R33" s="549">
        <v>2027</v>
      </c>
      <c r="S33" s="549">
        <v>2028</v>
      </c>
      <c r="T33" s="549"/>
      <c r="U33" s="20"/>
      <c r="V33" s="20"/>
      <c r="W33" s="20"/>
      <c r="X33" s="20"/>
      <c r="Y33" s="20"/>
      <c r="Z33" s="20"/>
    </row>
    <row r="34" spans="1:32" ht="12.75" customHeight="1" x14ac:dyDescent="0.25">
      <c r="B34" s="1440"/>
      <c r="C34" s="1435">
        <v>2</v>
      </c>
      <c r="D34" s="1482" t="str">
        <f>G80</f>
        <v xml:space="preserve">Exploitatielasten gemeentehuis </v>
      </c>
      <c r="E34" s="613"/>
      <c r="F34" s="613"/>
      <c r="G34" s="527"/>
      <c r="H34" s="527"/>
      <c r="I34" s="614"/>
      <c r="J34" s="658">
        <v>413501.47532536316</v>
      </c>
      <c r="K34" s="658">
        <v>426178.39591240161</v>
      </c>
      <c r="L34" s="658">
        <f>L92</f>
        <v>438421.25256116042</v>
      </c>
      <c r="M34" s="658">
        <f>M92</f>
        <v>451583.77590592334</v>
      </c>
      <c r="N34" s="658">
        <f>N92</f>
        <v>465153.98261444247</v>
      </c>
      <c r="O34" s="658">
        <f>O92</f>
        <v>295303</v>
      </c>
      <c r="P34" s="666"/>
      <c r="V34" s="21"/>
    </row>
    <row r="35" spans="1:32" ht="12.75" customHeight="1" x14ac:dyDescent="0.25">
      <c r="B35" s="1440"/>
      <c r="C35" s="1435">
        <v>2</v>
      </c>
      <c r="D35" s="654" t="str">
        <f>G94</f>
        <v>Dienstverleningsvisie</v>
      </c>
      <c r="E35" s="655"/>
      <c r="F35" s="656"/>
      <c r="G35" s="653"/>
      <c r="H35" s="653"/>
      <c r="I35" s="657"/>
      <c r="J35" s="658">
        <v>1108</v>
      </c>
      <c r="K35" s="658">
        <v>21108</v>
      </c>
      <c r="L35" s="658">
        <f>L97</f>
        <v>21108</v>
      </c>
      <c r="M35" s="658">
        <f>M97</f>
        <v>21108</v>
      </c>
      <c r="N35" s="658">
        <f>N97</f>
        <v>21108</v>
      </c>
      <c r="O35" s="658">
        <f>O97</f>
        <v>21108</v>
      </c>
      <c r="P35" s="666"/>
      <c r="Q35" s="20"/>
      <c r="R35" s="20"/>
    </row>
    <row r="36" spans="1:32" ht="12.75" customHeight="1" x14ac:dyDescent="0.25">
      <c r="C36" s="1435">
        <v>2</v>
      </c>
      <c r="D36" s="1443" t="s">
        <v>1087</v>
      </c>
      <c r="E36" s="655"/>
      <c r="F36" s="656"/>
      <c r="G36" s="653"/>
      <c r="H36" s="653"/>
      <c r="I36" s="657"/>
      <c r="J36" s="118">
        <v>307657.70299792878</v>
      </c>
      <c r="K36" s="118">
        <v>197311.89251615404</v>
      </c>
      <c r="L36" s="118">
        <f>L211</f>
        <v>416428.36541078519</v>
      </c>
      <c r="M36" s="118">
        <f>M211</f>
        <v>420766.40063864086</v>
      </c>
      <c r="N36" s="118">
        <f>N211</f>
        <v>389400.13376066292</v>
      </c>
      <c r="O36" s="118">
        <f>O211</f>
        <v>136316.76322391728</v>
      </c>
      <c r="P36" s="119"/>
      <c r="AB36" s="117"/>
      <c r="AC36" s="117"/>
      <c r="AD36" s="117"/>
      <c r="AE36" s="21"/>
      <c r="AF36" s="21"/>
    </row>
    <row r="37" spans="1:32" ht="12.75" customHeight="1" x14ac:dyDescent="0.25">
      <c r="A37" s="1442"/>
      <c r="C37" s="1435">
        <v>2</v>
      </c>
      <c r="D37" s="654" t="str">
        <f>G100</f>
        <v xml:space="preserve">Bodediensten  </v>
      </c>
      <c r="E37" s="655"/>
      <c r="F37" s="656"/>
      <c r="G37" s="653"/>
      <c r="H37" s="653"/>
      <c r="I37" s="657"/>
      <c r="J37" s="658">
        <v>4319</v>
      </c>
      <c r="K37" s="658">
        <v>4431</v>
      </c>
      <c r="L37" s="658">
        <f>L105</f>
        <v>6024</v>
      </c>
      <c r="M37" s="658">
        <f>M105</f>
        <v>4628</v>
      </c>
      <c r="N37" s="658">
        <f>N105</f>
        <v>4735</v>
      </c>
      <c r="O37" s="658">
        <f>O105</f>
        <v>4843</v>
      </c>
      <c r="P37" s="666"/>
    </row>
    <row r="38" spans="1:32" ht="12.75" customHeight="1" x14ac:dyDescent="0.25">
      <c r="A38" s="1442"/>
      <c r="C38" s="1435">
        <v>2</v>
      </c>
      <c r="D38" s="654" t="str">
        <f>G107</f>
        <v>Keuken en keukenbenodigdheden</v>
      </c>
      <c r="E38" s="655"/>
      <c r="F38" s="656"/>
      <c r="G38" s="653"/>
      <c r="H38" s="653"/>
      <c r="I38" s="657"/>
      <c r="J38" s="120">
        <v>40948</v>
      </c>
      <c r="K38" s="120">
        <v>42013</v>
      </c>
      <c r="L38" s="120">
        <f>L112</f>
        <v>42895</v>
      </c>
      <c r="M38" s="120">
        <f>M112</f>
        <v>43883</v>
      </c>
      <c r="N38" s="120">
        <f>N112</f>
        <v>44892</v>
      </c>
      <c r="O38" s="120">
        <f>O112</f>
        <v>45924</v>
      </c>
      <c r="P38" s="121"/>
    </row>
    <row r="39" spans="1:32" ht="12.75" customHeight="1" x14ac:dyDescent="0.25">
      <c r="A39" s="1442"/>
      <c r="C39" s="1435">
        <v>2</v>
      </c>
      <c r="D39" s="654" t="str">
        <f>G114</f>
        <v xml:space="preserve">Telefonie </v>
      </c>
      <c r="E39" s="655"/>
      <c r="F39" s="656"/>
      <c r="G39" s="653"/>
      <c r="H39" s="653"/>
      <c r="I39" s="657"/>
      <c r="J39" s="120">
        <v>103827</v>
      </c>
      <c r="K39" s="120">
        <v>106527</v>
      </c>
      <c r="L39" s="120">
        <f>L117</f>
        <v>108764</v>
      </c>
      <c r="M39" s="120">
        <f>M117</f>
        <v>111266</v>
      </c>
      <c r="N39" s="120">
        <f>N117</f>
        <v>113825</v>
      </c>
      <c r="O39" s="120">
        <f>O117</f>
        <v>116443</v>
      </c>
      <c r="P39" s="121"/>
      <c r="V39" s="21"/>
      <c r="W39" s="21"/>
      <c r="AB39" s="117"/>
      <c r="AC39" s="117"/>
      <c r="AD39" s="117"/>
      <c r="AE39" s="21"/>
      <c r="AF39" s="117"/>
    </row>
    <row r="40" spans="1:32" ht="12.75" customHeight="1" x14ac:dyDescent="0.25">
      <c r="C40" s="1435">
        <v>2</v>
      </c>
      <c r="D40" s="654" t="str">
        <f>G119</f>
        <v>Huisdrukkerij</v>
      </c>
      <c r="E40" s="655"/>
      <c r="F40" s="656"/>
      <c r="G40" s="653"/>
      <c r="H40" s="653"/>
      <c r="I40" s="657"/>
      <c r="J40" s="120">
        <v>68945</v>
      </c>
      <c r="K40" s="120">
        <v>70738</v>
      </c>
      <c r="L40" s="120">
        <f>L122</f>
        <v>72223</v>
      </c>
      <c r="M40" s="120">
        <f>M122</f>
        <v>73884</v>
      </c>
      <c r="N40" s="120">
        <f>N122</f>
        <v>75583</v>
      </c>
      <c r="O40" s="120">
        <f>O122</f>
        <v>77321</v>
      </c>
      <c r="P40" s="121"/>
    </row>
    <row r="41" spans="1:32" ht="12.75" customHeight="1" x14ac:dyDescent="0.25">
      <c r="C41" s="1435">
        <v>2</v>
      </c>
      <c r="D41" s="654" t="str">
        <f>G124</f>
        <v xml:space="preserve">Vakliteratuur </v>
      </c>
      <c r="E41" s="655"/>
      <c r="F41" s="656"/>
      <c r="G41" s="653"/>
      <c r="H41" s="653"/>
      <c r="I41" s="657"/>
      <c r="J41" s="120">
        <v>23333</v>
      </c>
      <c r="K41" s="120">
        <v>23940</v>
      </c>
      <c r="L41" s="120">
        <f>L127</f>
        <v>24443</v>
      </c>
      <c r="M41" s="120">
        <f>M127</f>
        <v>25005</v>
      </c>
      <c r="N41" s="120">
        <f>N127</f>
        <v>25580</v>
      </c>
      <c r="O41" s="120">
        <f>O127</f>
        <v>26168</v>
      </c>
      <c r="P41" s="121"/>
    </row>
    <row r="42" spans="1:32" ht="12.75" customHeight="1" x14ac:dyDescent="0.25">
      <c r="C42" s="1435">
        <v>2</v>
      </c>
      <c r="D42" s="654" t="str">
        <f>G129</f>
        <v>Contributies en lidmaatschappen algemeen</v>
      </c>
      <c r="E42" s="655"/>
      <c r="F42" s="656"/>
      <c r="G42" s="653"/>
      <c r="H42" s="653"/>
      <c r="I42" s="657"/>
      <c r="J42" s="120">
        <v>206380.2</v>
      </c>
      <c r="K42" s="120">
        <v>214508.973</v>
      </c>
      <c r="L42" s="120">
        <f>L133</f>
        <v>222078.72</v>
      </c>
      <c r="M42" s="120">
        <f>M133</f>
        <v>231875.82800000001</v>
      </c>
      <c r="N42" s="120">
        <f>N133</f>
        <v>241261.42</v>
      </c>
      <c r="O42" s="120">
        <f>O133</f>
        <v>247317.63</v>
      </c>
      <c r="P42" s="121"/>
    </row>
    <row r="43" spans="1:32" ht="12.75" customHeight="1" x14ac:dyDescent="0.25">
      <c r="C43" s="1435">
        <v>2</v>
      </c>
      <c r="D43" s="654" t="str">
        <f>G135</f>
        <v xml:space="preserve">Archief </v>
      </c>
      <c r="E43" s="655"/>
      <c r="F43" s="656"/>
      <c r="G43" s="653"/>
      <c r="H43" s="653"/>
      <c r="I43" s="657"/>
      <c r="J43" s="120">
        <v>4856</v>
      </c>
      <c r="K43" s="120">
        <v>4982</v>
      </c>
      <c r="L43" s="120">
        <f>L139</f>
        <v>5087</v>
      </c>
      <c r="M43" s="120">
        <f>M139</f>
        <v>5204</v>
      </c>
      <c r="N43" s="120">
        <f>N139</f>
        <v>5324</v>
      </c>
      <c r="O43" s="120">
        <f>O139</f>
        <v>5446</v>
      </c>
      <c r="P43" s="121"/>
      <c r="V43" s="21"/>
      <c r="W43" s="21"/>
      <c r="AB43" s="117"/>
      <c r="AC43" s="117"/>
      <c r="AD43" s="117"/>
      <c r="AE43" s="117"/>
      <c r="AF43" s="117"/>
    </row>
    <row r="44" spans="1:32" ht="12.75" customHeight="1" x14ac:dyDescent="0.25">
      <c r="C44" s="1435">
        <v>2</v>
      </c>
      <c r="D44" s="654" t="str">
        <f>G141</f>
        <v xml:space="preserve">Bedrijfshulpverlening / BHV </v>
      </c>
      <c r="E44" s="655"/>
      <c r="F44" s="656"/>
      <c r="G44" s="653"/>
      <c r="H44" s="653"/>
      <c r="I44" s="657"/>
      <c r="J44" s="120">
        <v>6751</v>
      </c>
      <c r="K44" s="120">
        <v>6940</v>
      </c>
      <c r="L44" s="120">
        <f>L145</f>
        <v>7134</v>
      </c>
      <c r="M44" s="120">
        <f>M145</f>
        <v>7334</v>
      </c>
      <c r="N44" s="120">
        <f>N145</f>
        <v>7539</v>
      </c>
      <c r="O44" s="120">
        <f>O145</f>
        <v>7750</v>
      </c>
      <c r="P44" s="121"/>
      <c r="V44" s="21"/>
      <c r="W44" s="21"/>
    </row>
    <row r="45" spans="1:32" ht="12.75" customHeight="1" x14ac:dyDescent="0.25">
      <c r="C45" s="1435">
        <v>2</v>
      </c>
      <c r="D45" s="654" t="str">
        <f>G147</f>
        <v>Inventaris</v>
      </c>
      <c r="E45" s="655"/>
      <c r="F45" s="656"/>
      <c r="G45" s="653"/>
      <c r="H45" s="653"/>
      <c r="I45" s="657"/>
      <c r="J45" s="120">
        <v>40104</v>
      </c>
      <c r="K45" s="120">
        <v>41147</v>
      </c>
      <c r="L45" s="120">
        <f>L151</f>
        <v>42010</v>
      </c>
      <c r="M45" s="120">
        <f>M151</f>
        <v>42976</v>
      </c>
      <c r="N45" s="120">
        <f>N151</f>
        <v>43965</v>
      </c>
      <c r="O45" s="120">
        <f>O151</f>
        <v>44976</v>
      </c>
      <c r="P45" s="121"/>
      <c r="V45" s="21"/>
      <c r="W45" s="21"/>
      <c r="AB45" s="117"/>
      <c r="AC45" s="117"/>
      <c r="AD45" s="117"/>
      <c r="AE45" s="117"/>
      <c r="AF45" s="117"/>
    </row>
    <row r="46" spans="1:32" ht="12.75" customHeight="1" x14ac:dyDescent="0.25">
      <c r="C46" s="1435">
        <v>2</v>
      </c>
      <c r="D46" s="654" t="str">
        <f>G153</f>
        <v>Facilitaire Zaken</v>
      </c>
      <c r="E46" s="655"/>
      <c r="F46" s="656"/>
      <c r="G46" s="653"/>
      <c r="H46" s="653"/>
      <c r="I46" s="657"/>
      <c r="J46" s="120">
        <v>59544</v>
      </c>
      <c r="K46" s="120">
        <v>61092</v>
      </c>
      <c r="L46" s="120">
        <f>+L156</f>
        <v>62375</v>
      </c>
      <c r="M46" s="120">
        <f>+M156</f>
        <v>63810</v>
      </c>
      <c r="N46" s="120">
        <f>+N156</f>
        <v>65278</v>
      </c>
      <c r="O46" s="120">
        <f>+O156</f>
        <v>66779</v>
      </c>
      <c r="P46" s="121"/>
      <c r="V46" s="21"/>
      <c r="W46" s="21"/>
      <c r="AB46" s="117"/>
      <c r="AC46" s="117"/>
      <c r="AD46" s="117"/>
      <c r="AE46" s="117"/>
      <c r="AF46" s="117"/>
    </row>
    <row r="47" spans="1:32" ht="12.75" customHeight="1" x14ac:dyDescent="0.25">
      <c r="C47" s="1435">
        <v>2</v>
      </c>
      <c r="D47" s="654" t="str">
        <f>G158</f>
        <v>Automatisering</v>
      </c>
      <c r="E47" s="655"/>
      <c r="F47" s="656"/>
      <c r="G47" s="653"/>
      <c r="H47" s="653"/>
      <c r="I47" s="657"/>
      <c r="J47" s="120">
        <v>1424215</v>
      </c>
      <c r="K47" s="120">
        <v>1895465.2999999998</v>
      </c>
      <c r="L47" s="120">
        <f>L164</f>
        <v>1925453</v>
      </c>
      <c r="M47" s="120">
        <f>M164</f>
        <v>1458671</v>
      </c>
      <c r="N47" s="120">
        <f>N164</f>
        <v>1492773</v>
      </c>
      <c r="O47" s="120">
        <f>O164</f>
        <v>1527568</v>
      </c>
      <c r="P47" s="121"/>
      <c r="V47" s="21"/>
      <c r="W47" s="21"/>
    </row>
    <row r="48" spans="1:32" ht="12.75" customHeight="1" x14ac:dyDescent="0.25">
      <c r="C48" s="1435">
        <v>2</v>
      </c>
      <c r="D48" s="654" t="str">
        <f>G166</f>
        <v>Informatiemanagement</v>
      </c>
      <c r="E48" s="655"/>
      <c r="F48" s="656"/>
      <c r="G48" s="653"/>
      <c r="H48" s="653"/>
      <c r="I48" s="657"/>
      <c r="J48" s="120">
        <v>101464</v>
      </c>
      <c r="K48" s="120">
        <v>62709</v>
      </c>
      <c r="L48" s="120">
        <f>L169</f>
        <v>63964</v>
      </c>
      <c r="M48" s="120">
        <f>M169</f>
        <v>65499</v>
      </c>
      <c r="N48" s="120">
        <f>N169</f>
        <v>67069</v>
      </c>
      <c r="O48" s="120">
        <f>O169</f>
        <v>68546</v>
      </c>
      <c r="P48" s="121"/>
      <c r="V48" s="21"/>
      <c r="W48" s="21"/>
      <c r="AB48" s="117"/>
      <c r="AC48" s="117"/>
      <c r="AD48" s="117"/>
      <c r="AE48" s="117"/>
      <c r="AF48" s="117"/>
    </row>
    <row r="49" spans="1:32" ht="12.75" customHeight="1" x14ac:dyDescent="0.25">
      <c r="C49" s="1435">
        <v>2</v>
      </c>
      <c r="D49" s="654" t="str">
        <f>G171</f>
        <v>Informatievoorziening</v>
      </c>
      <c r="E49" s="655"/>
      <c r="F49" s="656"/>
      <c r="G49" s="653"/>
      <c r="H49" s="653"/>
      <c r="I49" s="657"/>
      <c r="J49" s="120">
        <v>125456</v>
      </c>
      <c r="K49" s="120">
        <v>128718</v>
      </c>
      <c r="L49" s="120">
        <f>L174</f>
        <v>131421</v>
      </c>
      <c r="M49" s="120">
        <f>M174</f>
        <v>134443</v>
      </c>
      <c r="N49" s="120">
        <f>N174</f>
        <v>137535</v>
      </c>
      <c r="O49" s="120">
        <f>O174</f>
        <v>140698</v>
      </c>
      <c r="P49" s="121"/>
      <c r="V49" s="21"/>
      <c r="W49" s="21"/>
      <c r="AB49" s="117"/>
      <c r="AC49" s="117"/>
      <c r="AD49" s="117"/>
      <c r="AE49" s="117"/>
      <c r="AF49" s="117"/>
    </row>
    <row r="50" spans="1:32" ht="12.75" customHeight="1" x14ac:dyDescent="0.25">
      <c r="C50" s="1435">
        <v>2</v>
      </c>
      <c r="D50" s="654" t="str">
        <f>G176</f>
        <v xml:space="preserve">Digitale basiskaart </v>
      </c>
      <c r="E50" s="655"/>
      <c r="F50" s="656"/>
      <c r="G50" s="653"/>
      <c r="H50" s="653"/>
      <c r="I50" s="657"/>
      <c r="J50" s="120">
        <v>9905</v>
      </c>
      <c r="K50" s="120">
        <v>10162</v>
      </c>
      <c r="L50" s="120">
        <f>L179</f>
        <v>10375</v>
      </c>
      <c r="M50" s="120">
        <f>M179</f>
        <v>10613.78</v>
      </c>
      <c r="N50" s="120">
        <f>N179</f>
        <v>10858.26</v>
      </c>
      <c r="O50" s="120">
        <f>O179</f>
        <v>11107.91</v>
      </c>
      <c r="P50" s="121"/>
      <c r="AB50" s="117"/>
      <c r="AC50" s="117"/>
      <c r="AD50" s="117"/>
      <c r="AE50" s="117"/>
      <c r="AF50" s="117"/>
    </row>
    <row r="51" spans="1:32" ht="12.75" customHeight="1" x14ac:dyDescent="0.25">
      <c r="C51" s="1435">
        <v>2</v>
      </c>
      <c r="D51" s="654" t="str">
        <f>G181</f>
        <v>GBA</v>
      </c>
      <c r="E51" s="655"/>
      <c r="F51" s="656"/>
      <c r="G51" s="653"/>
      <c r="H51" s="653"/>
      <c r="I51" s="657"/>
      <c r="J51" s="120">
        <v>7116</v>
      </c>
      <c r="K51" s="120">
        <v>7301</v>
      </c>
      <c r="L51" s="120">
        <f>L184</f>
        <v>7454</v>
      </c>
      <c r="M51" s="120">
        <f>M184</f>
        <v>7625</v>
      </c>
      <c r="N51" s="120">
        <f>N184</f>
        <v>7800</v>
      </c>
      <c r="O51" s="120">
        <f>O184</f>
        <v>7979</v>
      </c>
      <c r="P51" s="121"/>
      <c r="AB51" s="117"/>
      <c r="AC51" s="117"/>
      <c r="AD51" s="117"/>
      <c r="AE51" s="117"/>
      <c r="AF51" s="117"/>
    </row>
    <row r="52" spans="1:32" ht="12.75" customHeight="1" x14ac:dyDescent="0.25">
      <c r="D52" s="654" t="s">
        <v>1575</v>
      </c>
      <c r="E52" s="655"/>
      <c r="F52" s="656"/>
      <c r="G52" s="653"/>
      <c r="H52" s="653"/>
      <c r="I52" s="657"/>
      <c r="J52" s="120">
        <v>88000</v>
      </c>
      <c r="K52" s="120">
        <v>0</v>
      </c>
      <c r="L52" s="120">
        <f>+L203</f>
        <v>0</v>
      </c>
      <c r="M52" s="120">
        <f>+M203</f>
        <v>0</v>
      </c>
      <c r="N52" s="120">
        <f>+N203</f>
        <v>0</v>
      </c>
      <c r="O52" s="120">
        <f>+O203</f>
        <v>0</v>
      </c>
      <c r="P52" s="121"/>
      <c r="AB52" s="117"/>
      <c r="AC52" s="117"/>
      <c r="AD52" s="117"/>
      <c r="AE52" s="117"/>
      <c r="AF52" s="117"/>
    </row>
    <row r="53" spans="1:32" ht="12.75" customHeight="1" x14ac:dyDescent="0.25">
      <c r="D53" s="1810" t="s">
        <v>525</v>
      </c>
      <c r="E53" s="1811"/>
      <c r="F53" s="1812"/>
      <c r="G53" s="1813"/>
      <c r="H53" s="1813"/>
      <c r="I53" s="1814"/>
      <c r="J53" s="1815">
        <v>2949430.3783232919</v>
      </c>
      <c r="K53" s="1815">
        <v>3325272.5614285553</v>
      </c>
      <c r="L53" s="1815">
        <f t="shared" ref="L53:N53" si="0">SUM(L34:L51)</f>
        <v>3607658.3379719453</v>
      </c>
      <c r="M53" s="1815">
        <f t="shared" si="0"/>
        <v>3180175.7845445643</v>
      </c>
      <c r="N53" s="1815">
        <f t="shared" si="0"/>
        <v>3219679.7963751052</v>
      </c>
      <c r="O53" s="1815">
        <f t="shared" ref="O53" si="1">SUM(O34:O51)</f>
        <v>2851594.3032239173</v>
      </c>
      <c r="P53" s="119"/>
    </row>
    <row r="54" spans="1:32" ht="12.75" customHeight="1" x14ac:dyDescent="0.25">
      <c r="D54" s="652"/>
      <c r="E54" s="655"/>
      <c r="F54" s="656"/>
      <c r="G54" s="653"/>
      <c r="H54" s="653"/>
      <c r="I54" s="653"/>
      <c r="J54" s="653"/>
      <c r="K54" s="653"/>
      <c r="L54" s="653"/>
      <c r="M54" s="653"/>
      <c r="N54" s="653"/>
      <c r="O54" s="653"/>
      <c r="P54" s="653"/>
    </row>
    <row r="55" spans="1:32" ht="12.75" customHeight="1" x14ac:dyDescent="0.25">
      <c r="D55" s="1746" t="s">
        <v>526</v>
      </c>
      <c r="E55" s="1747"/>
      <c r="F55" s="1747"/>
      <c r="G55" s="1748"/>
      <c r="H55" s="1748"/>
      <c r="I55" s="1749"/>
      <c r="J55" s="1749">
        <v>2025</v>
      </c>
      <c r="K55" s="1749">
        <v>2026</v>
      </c>
      <c r="L55" s="1749">
        <f>+L33</f>
        <v>2027</v>
      </c>
      <c r="M55" s="1749">
        <f>+M33</f>
        <v>2028</v>
      </c>
      <c r="N55" s="1749">
        <f>+N33</f>
        <v>2029</v>
      </c>
      <c r="O55" s="1749">
        <f>+O33</f>
        <v>2030</v>
      </c>
      <c r="P55" s="527"/>
    </row>
    <row r="56" spans="1:32" ht="12.75" customHeight="1" x14ac:dyDescent="0.25">
      <c r="D56" s="654"/>
      <c r="E56" s="655"/>
      <c r="F56" s="656"/>
      <c r="G56" s="653"/>
      <c r="H56" s="653"/>
      <c r="I56" s="657"/>
      <c r="J56" s="658"/>
      <c r="K56" s="658"/>
      <c r="L56" s="658"/>
      <c r="M56" s="658"/>
      <c r="N56" s="658"/>
      <c r="O56" s="658"/>
      <c r="P56" s="666"/>
    </row>
    <row r="57" spans="1:32" ht="12.75" customHeight="1" x14ac:dyDescent="0.25">
      <c r="A57" s="1442"/>
      <c r="C57" s="1435">
        <v>2</v>
      </c>
      <c r="D57" s="654" t="str">
        <f>G191</f>
        <v xml:space="preserve">Huisdrukkerij </v>
      </c>
      <c r="E57" s="655"/>
      <c r="F57" s="656"/>
      <c r="G57" s="653"/>
      <c r="H57" s="653"/>
      <c r="I57" s="657"/>
      <c r="J57" s="658">
        <v>-4318</v>
      </c>
      <c r="K57" s="658">
        <v>-4430</v>
      </c>
      <c r="L57" s="658">
        <f>L194</f>
        <v>-4523</v>
      </c>
      <c r="M57" s="658">
        <f>M194</f>
        <v>-4627</v>
      </c>
      <c r="N57" s="658">
        <f>N194</f>
        <v>-4733</v>
      </c>
      <c r="O57" s="658">
        <f>O194</f>
        <v>-4842</v>
      </c>
      <c r="P57" s="666"/>
    </row>
    <row r="58" spans="1:32" ht="12.75" customHeight="1" x14ac:dyDescent="0.25">
      <c r="A58" s="1442"/>
      <c r="C58" s="1435">
        <v>2</v>
      </c>
      <c r="D58" s="654" t="str">
        <f>G196</f>
        <v xml:space="preserve">Archief </v>
      </c>
      <c r="E58" s="655"/>
      <c r="F58" s="656"/>
      <c r="G58" s="653"/>
      <c r="H58" s="653"/>
      <c r="I58" s="657"/>
      <c r="J58" s="658">
        <v>-4051</v>
      </c>
      <c r="K58" s="658">
        <v>-4156</v>
      </c>
      <c r="L58" s="658">
        <f>L199</f>
        <v>-4243</v>
      </c>
      <c r="M58" s="658">
        <f>M199</f>
        <v>-4341</v>
      </c>
      <c r="N58" s="658">
        <f>N199</f>
        <v>-4441</v>
      </c>
      <c r="O58" s="658">
        <f>O199</f>
        <v>-4543</v>
      </c>
      <c r="P58" s="666"/>
    </row>
    <row r="59" spans="1:32" ht="12.75" customHeight="1" x14ac:dyDescent="0.25">
      <c r="A59" s="1442"/>
      <c r="D59" s="654"/>
      <c r="E59" s="655"/>
      <c r="F59" s="656"/>
      <c r="G59" s="653"/>
      <c r="H59" s="653"/>
      <c r="I59" s="657"/>
      <c r="J59" s="658"/>
      <c r="K59" s="658"/>
      <c r="L59" s="658"/>
      <c r="M59" s="658"/>
      <c r="N59" s="658"/>
      <c r="O59" s="658"/>
      <c r="P59" s="666"/>
    </row>
    <row r="60" spans="1:32" ht="12.75" customHeight="1" x14ac:dyDescent="0.25">
      <c r="D60" s="654"/>
      <c r="E60" s="655"/>
      <c r="F60" s="656"/>
      <c r="G60" s="653"/>
      <c r="H60" s="653"/>
      <c r="I60" s="657"/>
      <c r="J60" s="658"/>
      <c r="K60" s="658"/>
      <c r="L60" s="658"/>
      <c r="M60" s="658"/>
      <c r="N60" s="658"/>
      <c r="O60" s="658"/>
      <c r="P60" s="666"/>
    </row>
    <row r="61" spans="1:32" ht="12.75" customHeight="1" x14ac:dyDescent="0.25">
      <c r="D61" s="654"/>
      <c r="E61" s="655"/>
      <c r="F61" s="656"/>
      <c r="G61" s="653"/>
      <c r="H61" s="653"/>
      <c r="I61" s="657"/>
      <c r="J61" s="658"/>
      <c r="K61" s="658"/>
      <c r="L61" s="658"/>
      <c r="M61" s="658"/>
      <c r="N61" s="658"/>
      <c r="O61" s="658"/>
      <c r="P61" s="666"/>
    </row>
    <row r="62" spans="1:32" ht="12.75" customHeight="1" x14ac:dyDescent="0.25">
      <c r="D62" s="654"/>
      <c r="E62" s="655"/>
      <c r="F62" s="656"/>
      <c r="G62" s="653"/>
      <c r="H62" s="653"/>
      <c r="I62" s="657"/>
      <c r="J62" s="658"/>
      <c r="K62" s="658"/>
      <c r="L62" s="658"/>
      <c r="M62" s="658"/>
      <c r="N62" s="658"/>
      <c r="O62" s="658"/>
      <c r="P62" s="666"/>
    </row>
    <row r="63" spans="1:32" ht="12.75" customHeight="1" x14ac:dyDescent="0.25">
      <c r="D63" s="654"/>
      <c r="E63" s="655"/>
      <c r="F63" s="656"/>
      <c r="G63" s="653"/>
      <c r="H63" s="653"/>
      <c r="I63" s="657"/>
      <c r="J63" s="661"/>
      <c r="K63" s="661"/>
      <c r="L63" s="661"/>
      <c r="M63" s="661"/>
      <c r="N63" s="661"/>
      <c r="O63" s="661"/>
      <c r="P63" s="666"/>
    </row>
    <row r="64" spans="1:32" ht="12.75" customHeight="1" x14ac:dyDescent="0.25">
      <c r="D64" s="654"/>
      <c r="E64" s="655"/>
      <c r="F64" s="656"/>
      <c r="G64" s="653"/>
      <c r="H64" s="653"/>
      <c r="I64" s="657"/>
      <c r="J64" s="661"/>
      <c r="K64" s="661"/>
      <c r="L64" s="661"/>
      <c r="M64" s="661"/>
      <c r="N64" s="661"/>
      <c r="O64" s="661"/>
      <c r="P64" s="666"/>
    </row>
    <row r="65" spans="1:16" ht="12.75" customHeight="1" x14ac:dyDescent="0.25">
      <c r="D65" s="654"/>
      <c r="E65" s="655"/>
      <c r="F65" s="656"/>
      <c r="G65" s="653"/>
      <c r="H65" s="653"/>
      <c r="I65" s="657"/>
      <c r="J65" s="661"/>
      <c r="K65" s="661"/>
      <c r="L65" s="661"/>
      <c r="M65" s="661"/>
      <c r="N65" s="661"/>
      <c r="O65" s="661"/>
      <c r="P65" s="666"/>
    </row>
    <row r="66" spans="1:16" ht="12.75" customHeight="1" x14ac:dyDescent="0.25">
      <c r="D66" s="654"/>
      <c r="E66" s="655"/>
      <c r="F66" s="656"/>
      <c r="G66" s="653"/>
      <c r="H66" s="653"/>
      <c r="I66" s="657"/>
      <c r="J66" s="661"/>
      <c r="K66" s="661"/>
      <c r="L66" s="661"/>
      <c r="M66" s="661"/>
      <c r="N66" s="661"/>
      <c r="O66" s="661"/>
      <c r="P66" s="666"/>
    </row>
    <row r="67" spans="1:16" ht="12.75" customHeight="1" x14ac:dyDescent="0.25">
      <c r="D67" s="654"/>
      <c r="E67" s="655"/>
      <c r="F67" s="656"/>
      <c r="G67" s="653"/>
      <c r="H67" s="653"/>
      <c r="I67" s="657"/>
      <c r="J67" s="661"/>
      <c r="K67" s="661"/>
      <c r="L67" s="661"/>
      <c r="M67" s="661"/>
      <c r="N67" s="661"/>
      <c r="O67" s="661"/>
      <c r="P67" s="666"/>
    </row>
    <row r="68" spans="1:16" ht="12.75" customHeight="1" x14ac:dyDescent="0.25">
      <c r="D68" s="662"/>
      <c r="E68" s="663"/>
      <c r="F68" s="664"/>
      <c r="G68" s="665"/>
      <c r="H68" s="665"/>
      <c r="I68" s="657"/>
      <c r="J68" s="661"/>
      <c r="K68" s="661"/>
      <c r="L68" s="661"/>
      <c r="M68" s="661"/>
      <c r="N68" s="661"/>
      <c r="O68" s="661"/>
      <c r="P68" s="666"/>
    </row>
    <row r="69" spans="1:16" ht="12.75" customHeight="1" x14ac:dyDescent="0.25">
      <c r="D69" s="1810" t="s">
        <v>328</v>
      </c>
      <c r="E69" s="1811"/>
      <c r="F69" s="1812"/>
      <c r="G69" s="1813"/>
      <c r="H69" s="1813"/>
      <c r="I69" s="1814"/>
      <c r="J69" s="1815">
        <v>-8369</v>
      </c>
      <c r="K69" s="1815">
        <v>-8586</v>
      </c>
      <c r="L69" s="1815">
        <f>SUM(L56:L68)</f>
        <v>-8766</v>
      </c>
      <c r="M69" s="1815">
        <f>SUM(M56:M68)</f>
        <v>-8968</v>
      </c>
      <c r="N69" s="1815">
        <f>SUM(N56:N68)</f>
        <v>-9174</v>
      </c>
      <c r="O69" s="1815">
        <f>SUM(O56:O68)</f>
        <v>-9385</v>
      </c>
      <c r="P69" s="119"/>
    </row>
    <row r="70" spans="1:16" ht="12.75" customHeight="1" x14ac:dyDescent="0.25">
      <c r="D70" s="652"/>
      <c r="E70" s="655"/>
      <c r="F70" s="656"/>
      <c r="G70" s="653"/>
      <c r="H70" s="653"/>
      <c r="I70" s="653"/>
      <c r="J70" s="666"/>
      <c r="K70" s="666"/>
      <c r="L70" s="666"/>
      <c r="M70" s="666"/>
      <c r="N70" s="666"/>
      <c r="O70" s="666"/>
      <c r="P70" s="666"/>
    </row>
    <row r="71" spans="1:16" ht="12.75" customHeight="1" x14ac:dyDescent="0.25">
      <c r="D71" s="1810" t="s">
        <v>527</v>
      </c>
      <c r="E71" s="1817"/>
      <c r="F71" s="1817"/>
      <c r="G71" s="1813"/>
      <c r="H71" s="1813"/>
      <c r="I71" s="1813"/>
      <c r="J71" s="1818">
        <v>2941061.3783232919</v>
      </c>
      <c r="K71" s="1818">
        <v>3316686.5614285553</v>
      </c>
      <c r="L71" s="1818">
        <f>L53+L69</f>
        <v>3598892.3379719453</v>
      </c>
      <c r="M71" s="1818">
        <f>M53+M69</f>
        <v>3171207.7845445643</v>
      </c>
      <c r="N71" s="1818">
        <f>N53+N69</f>
        <v>3210505.7963751052</v>
      </c>
      <c r="O71" s="1818">
        <f>O53+O69</f>
        <v>2842209.3032239173</v>
      </c>
      <c r="P71" s="666"/>
    </row>
    <row r="72" spans="1:16" ht="12.75" customHeight="1" x14ac:dyDescent="0.25">
      <c r="D72" s="652"/>
      <c r="E72" s="655"/>
      <c r="F72" s="656"/>
      <c r="G72" s="653"/>
      <c r="H72" s="653"/>
      <c r="I72" s="653"/>
      <c r="J72" s="666"/>
      <c r="K72" s="666"/>
      <c r="L72" s="666"/>
      <c r="M72" s="666"/>
      <c r="N72" s="666"/>
      <c r="O72" s="666"/>
      <c r="P72" s="666"/>
    </row>
    <row r="73" spans="1:16" ht="12.75" customHeight="1" x14ac:dyDescent="0.25">
      <c r="D73" s="652"/>
      <c r="E73" s="655"/>
      <c r="F73" s="656"/>
      <c r="G73" s="653"/>
      <c r="H73" s="653"/>
      <c r="I73" s="653"/>
      <c r="J73" s="666"/>
      <c r="K73" s="666"/>
      <c r="L73" s="666"/>
      <c r="M73" s="666"/>
      <c r="N73" s="666"/>
      <c r="O73" s="666"/>
      <c r="P73" s="666"/>
    </row>
    <row r="74" spans="1:16" ht="12.75" customHeight="1" x14ac:dyDescent="0.25">
      <c r="D74" s="652"/>
      <c r="E74" s="652"/>
      <c r="F74" s="652"/>
      <c r="G74" s="653"/>
      <c r="H74" s="653"/>
      <c r="I74" s="653"/>
      <c r="J74" s="666">
        <v>2633403.6753253629</v>
      </c>
      <c r="K74" s="666">
        <v>3119374.6689124014</v>
      </c>
      <c r="L74" s="666">
        <f t="shared" ref="L74:M74" si="2">+L71-L36</f>
        <v>3182463.9725611601</v>
      </c>
      <c r="M74" s="666">
        <f t="shared" si="2"/>
        <v>2750441.3839059235</v>
      </c>
      <c r="N74" s="666">
        <f t="shared" ref="N74:O74" si="3">+N71-N36</f>
        <v>2821105.6626144424</v>
      </c>
      <c r="O74" s="666">
        <f t="shared" si="3"/>
        <v>2705892.54</v>
      </c>
      <c r="P74" s="666"/>
    </row>
    <row r="75" spans="1:16" ht="12.75" customHeight="1" x14ac:dyDescent="0.25">
      <c r="D75" s="1445" t="s">
        <v>528</v>
      </c>
      <c r="E75" s="155"/>
      <c r="F75" s="155"/>
      <c r="I75" s="134"/>
      <c r="J75" s="134"/>
      <c r="K75" s="134"/>
      <c r="L75" s="134"/>
      <c r="M75" s="134"/>
      <c r="N75" s="134"/>
      <c r="O75" s="134"/>
      <c r="P75" s="134"/>
    </row>
    <row r="76" spans="1:16" ht="12.75" customHeight="1" x14ac:dyDescent="0.25">
      <c r="J76" s="134"/>
      <c r="K76" s="134"/>
      <c r="L76" s="134"/>
      <c r="M76" s="134"/>
      <c r="N76" s="134"/>
      <c r="O76" s="134"/>
    </row>
    <row r="77" spans="1:16" ht="12.75" customHeight="1" x14ac:dyDescent="0.25">
      <c r="A77" s="1442"/>
      <c r="D77" s="2533" t="s">
        <v>529</v>
      </c>
      <c r="E77" s="1819" t="s">
        <v>530</v>
      </c>
      <c r="F77" s="2534" t="s">
        <v>531</v>
      </c>
      <c r="G77" s="2535" t="s">
        <v>206</v>
      </c>
      <c r="H77" s="2546"/>
      <c r="I77" s="1820"/>
      <c r="J77" s="1842"/>
      <c r="K77" s="1842"/>
      <c r="L77" s="1842"/>
      <c r="M77" s="1842"/>
      <c r="N77" s="1842"/>
      <c r="O77" s="1842"/>
    </row>
    <row r="78" spans="1:16" ht="12.75" customHeight="1" x14ac:dyDescent="0.25">
      <c r="A78" s="1442"/>
      <c r="D78" s="2544"/>
      <c r="E78" s="1446" t="s">
        <v>532</v>
      </c>
      <c r="F78" s="2545"/>
      <c r="G78" s="2547"/>
      <c r="H78" s="2548"/>
      <c r="I78" s="122"/>
      <c r="J78" s="1843">
        <v>2025</v>
      </c>
      <c r="K78" s="1843">
        <v>2026</v>
      </c>
      <c r="L78" s="1843">
        <v>2027</v>
      </c>
      <c r="M78" s="1843">
        <v>2028</v>
      </c>
      <c r="N78" s="1843">
        <v>2029</v>
      </c>
      <c r="O78" s="1843">
        <v>2030</v>
      </c>
      <c r="P78" s="123"/>
    </row>
    <row r="79" spans="1:16" ht="12.75" customHeight="1" x14ac:dyDescent="0.25">
      <c r="D79" s="1447"/>
      <c r="E79" s="1823"/>
      <c r="F79" s="1823"/>
      <c r="G79" s="1824"/>
      <c r="H79" s="1448"/>
      <c r="I79" s="1825"/>
      <c r="J79" s="1449"/>
      <c r="K79" s="1449"/>
      <c r="L79" s="1449"/>
      <c r="M79" s="1449"/>
      <c r="N79" s="1449"/>
      <c r="O79" s="1449"/>
      <c r="P79" s="134"/>
    </row>
    <row r="80" spans="1:16" ht="12.75" customHeight="1" x14ac:dyDescent="0.25">
      <c r="B80" s="1440"/>
      <c r="D80" s="1450">
        <v>604006</v>
      </c>
      <c r="E80" s="1451"/>
      <c r="F80" s="1451"/>
      <c r="G80" s="1453" t="s">
        <v>1576</v>
      </c>
      <c r="I80" s="1452"/>
      <c r="J80" s="1449"/>
      <c r="K80" s="1449"/>
      <c r="L80" s="1449"/>
      <c r="M80" s="1449"/>
      <c r="N80" s="1449"/>
      <c r="O80" s="1449"/>
      <c r="P80" s="134"/>
    </row>
    <row r="81" spans="1:16" ht="12.75" customHeight="1" x14ac:dyDescent="0.25">
      <c r="B81" s="1440"/>
      <c r="D81" s="1450"/>
      <c r="E81" s="1451"/>
      <c r="F81" s="1451"/>
      <c r="G81" s="1456" t="s">
        <v>533</v>
      </c>
      <c r="I81" s="1452"/>
      <c r="J81" s="1449"/>
      <c r="K81" s="1449"/>
      <c r="L81" s="1449"/>
      <c r="M81" s="1449"/>
      <c r="N81" s="1449"/>
      <c r="O81" s="1449"/>
      <c r="P81" s="134"/>
    </row>
    <row r="82" spans="1:16" ht="12.75" customHeight="1" x14ac:dyDescent="0.25">
      <c r="A82" s="1442">
        <v>604006</v>
      </c>
      <c r="B82" s="1440" t="str">
        <f>G80</f>
        <v xml:space="preserve">Exploitatielasten gemeentehuis </v>
      </c>
      <c r="D82" s="1497">
        <v>42100</v>
      </c>
      <c r="E82" s="1458"/>
      <c r="F82" s="1458"/>
      <c r="G82" s="1443" t="s">
        <v>979</v>
      </c>
      <c r="I82" s="1452"/>
      <c r="J82" s="1449">
        <v>4380</v>
      </c>
      <c r="K82" s="1449">
        <v>4503</v>
      </c>
      <c r="L82" s="2078">
        <f>ROUND(K82*T$2,0)+27</f>
        <v>4625</v>
      </c>
      <c r="M82" s="2078">
        <f>ROUND(L82*U$2,0)+28</f>
        <v>4759</v>
      </c>
      <c r="N82" s="2078">
        <f>ROUND(M82*V$2,0)+28</f>
        <v>4896</v>
      </c>
      <c r="O82" s="1449">
        <f t="shared" ref="O82" si="4">ROUND(N82*W$2,0)</f>
        <v>5009</v>
      </c>
      <c r="P82" s="134"/>
    </row>
    <row r="83" spans="1:16" ht="12.75" customHeight="1" x14ac:dyDescent="0.25">
      <c r="A83" s="1442">
        <v>604006</v>
      </c>
      <c r="B83" s="1440" t="str">
        <f>G80</f>
        <v xml:space="preserve">Exploitatielasten gemeentehuis </v>
      </c>
      <c r="D83" s="1497">
        <v>42100</v>
      </c>
      <c r="E83" s="1458"/>
      <c r="F83" s="1458"/>
      <c r="G83" s="1443" t="s">
        <v>1577</v>
      </c>
      <c r="I83" s="1452"/>
      <c r="J83" s="1449">
        <v>2463</v>
      </c>
      <c r="K83" s="1449">
        <v>2532</v>
      </c>
      <c r="L83" s="2078">
        <f>ROUND(K83*T$2,0)+15</f>
        <v>2600</v>
      </c>
      <c r="M83" s="2078">
        <f>ROUND(L83*U$2,0)+16</f>
        <v>2676</v>
      </c>
      <c r="N83" s="2078">
        <f>ROUND(M83*V$2,0)+16</f>
        <v>2754</v>
      </c>
      <c r="O83" s="1449">
        <f t="shared" ref="O83:O84" si="5">ROUND(N83*W$2,0)</f>
        <v>2817</v>
      </c>
      <c r="P83" s="134"/>
    </row>
    <row r="84" spans="1:16" ht="12.75" customHeight="1" x14ac:dyDescent="0.25">
      <c r="A84" s="1442">
        <v>604006</v>
      </c>
      <c r="B84" s="1440" t="str">
        <f>G80</f>
        <v xml:space="preserve">Exploitatielasten gemeentehuis </v>
      </c>
      <c r="D84" s="1497">
        <v>42100</v>
      </c>
      <c r="E84" s="1458"/>
      <c r="F84" s="1458"/>
      <c r="G84" s="1443" t="s">
        <v>1578</v>
      </c>
      <c r="I84" s="1452"/>
      <c r="J84" s="1449">
        <v>891</v>
      </c>
      <c r="K84" s="1449">
        <v>916</v>
      </c>
      <c r="L84" s="2078">
        <f>ROUND(K84*T$2,0)+6</f>
        <v>941</v>
      </c>
      <c r="M84" s="2078">
        <f>ROUND(L84*U$2,0)+5</f>
        <v>968</v>
      </c>
      <c r="N84" s="2078">
        <f>ROUND(M84*V$2,0)+6</f>
        <v>996</v>
      </c>
      <c r="O84" s="1449">
        <f t="shared" si="5"/>
        <v>1019</v>
      </c>
      <c r="P84" s="134"/>
    </row>
    <row r="85" spans="1:16" ht="12.75" customHeight="1" x14ac:dyDescent="0.25">
      <c r="A85" s="1442">
        <v>604006</v>
      </c>
      <c r="B85" s="1440" t="str">
        <f>G80</f>
        <v xml:space="preserve">Exploitatielasten gemeentehuis </v>
      </c>
      <c r="D85" s="1458">
        <v>43801</v>
      </c>
      <c r="E85" s="1458"/>
      <c r="F85" s="1458"/>
      <c r="G85" s="1443" t="s">
        <v>996</v>
      </c>
      <c r="I85" s="1452"/>
      <c r="J85" s="1449">
        <v>44054</v>
      </c>
      <c r="K85" s="1449">
        <v>45288</v>
      </c>
      <c r="L85" s="1449">
        <f>L225</f>
        <v>46511</v>
      </c>
      <c r="M85" s="1449">
        <f>M225</f>
        <v>47861</v>
      </c>
      <c r="N85" s="1449">
        <f>N225</f>
        <v>49249</v>
      </c>
      <c r="O85" s="1449">
        <f>O225</f>
        <v>50382</v>
      </c>
      <c r="P85" s="134"/>
    </row>
    <row r="86" spans="1:16" ht="12.75" customHeight="1" x14ac:dyDescent="0.25">
      <c r="A86" s="1442">
        <v>604006</v>
      </c>
      <c r="B86" s="1440" t="str">
        <f>G80</f>
        <v xml:space="preserve">Exploitatielasten gemeentehuis </v>
      </c>
      <c r="D86" s="1458">
        <v>43802</v>
      </c>
      <c r="E86" s="1458"/>
      <c r="F86" s="1458"/>
      <c r="G86" s="1443" t="s">
        <v>991</v>
      </c>
      <c r="I86" s="1452"/>
      <c r="J86" s="1449">
        <v>51400</v>
      </c>
      <c r="K86" s="1449">
        <v>52839</v>
      </c>
      <c r="L86" s="1449">
        <f>L229</f>
        <v>54266</v>
      </c>
      <c r="M86" s="1449">
        <f>M229</f>
        <v>55840</v>
      </c>
      <c r="N86" s="1449">
        <f>N229</f>
        <v>57459</v>
      </c>
      <c r="O86" s="1449">
        <f>O229</f>
        <v>58781</v>
      </c>
      <c r="P86" s="134"/>
    </row>
    <row r="87" spans="1:16" ht="12.75" customHeight="1" x14ac:dyDescent="0.25">
      <c r="A87" s="1442">
        <v>604006</v>
      </c>
      <c r="B87" s="1440" t="str">
        <f>G80</f>
        <v xml:space="preserve">Exploitatielasten gemeentehuis </v>
      </c>
      <c r="D87" s="1458">
        <v>43806</v>
      </c>
      <c r="E87" s="1458"/>
      <c r="F87" s="1458"/>
      <c r="G87" s="1443" t="s">
        <v>980</v>
      </c>
      <c r="I87" s="1452"/>
      <c r="J87" s="1449">
        <v>19825</v>
      </c>
      <c r="K87" s="1449">
        <v>20380</v>
      </c>
      <c r="L87" s="2078">
        <f>ROUND(K87*T$2,0)+123</f>
        <v>20931</v>
      </c>
      <c r="M87" s="2078">
        <f>ROUND(L87*U$2,0)+126</f>
        <v>21538</v>
      </c>
      <c r="N87" s="2078">
        <f>ROUND(M87*V$2,0)+129</f>
        <v>22162</v>
      </c>
      <c r="O87" s="1449">
        <f t="shared" ref="O87" si="6">ROUND(N87*W$2,0)</f>
        <v>22672</v>
      </c>
      <c r="P87" s="134"/>
    </row>
    <row r="88" spans="1:16" ht="12.75" customHeight="1" x14ac:dyDescent="0.25">
      <c r="A88" s="1442">
        <v>604006</v>
      </c>
      <c r="B88" s="1440" t="str">
        <f>G80</f>
        <v xml:space="preserve">Exploitatielasten gemeentehuis </v>
      </c>
      <c r="D88" s="1458">
        <v>43812</v>
      </c>
      <c r="E88" s="1458"/>
      <c r="F88" s="1458"/>
      <c r="G88" s="1443" t="s">
        <v>535</v>
      </c>
      <c r="I88" s="1452"/>
      <c r="J88" s="1449">
        <v>76581</v>
      </c>
      <c r="K88" s="1449">
        <v>78572</v>
      </c>
      <c r="L88" s="1449">
        <f>L246</f>
        <v>80222</v>
      </c>
      <c r="M88" s="1449">
        <f>M246</f>
        <v>82067</v>
      </c>
      <c r="N88" s="1449">
        <f>N246</f>
        <v>83955</v>
      </c>
      <c r="O88" s="1449">
        <f>O246</f>
        <v>85886</v>
      </c>
      <c r="P88" s="134"/>
    </row>
    <row r="89" spans="1:16" ht="12.75" customHeight="1" x14ac:dyDescent="0.25">
      <c r="A89" s="1442">
        <v>604006</v>
      </c>
      <c r="B89" s="1440" t="str">
        <f>G80</f>
        <v xml:space="preserve">Exploitatielasten gemeentehuis </v>
      </c>
      <c r="D89" s="1458">
        <v>43812</v>
      </c>
      <c r="E89" s="1458"/>
      <c r="F89" s="1458"/>
      <c r="G89" s="1443" t="s">
        <v>1579</v>
      </c>
      <c r="I89" s="1452"/>
      <c r="J89" s="1449">
        <v>1416</v>
      </c>
      <c r="K89" s="1449">
        <v>1453</v>
      </c>
      <c r="L89" s="1449">
        <f>L248</f>
        <v>1484</v>
      </c>
      <c r="M89" s="1449">
        <f>M248</f>
        <v>1518</v>
      </c>
      <c r="N89" s="1449">
        <f>N248</f>
        <v>1553</v>
      </c>
      <c r="O89" s="1449">
        <f>O248</f>
        <v>1589</v>
      </c>
      <c r="P89" s="134"/>
    </row>
    <row r="90" spans="1:16" ht="12.75" customHeight="1" x14ac:dyDescent="0.25">
      <c r="A90" s="1442">
        <v>604006</v>
      </c>
      <c r="B90" s="1440" t="str">
        <f>G80</f>
        <v xml:space="preserve">Exploitatielasten gemeentehuis </v>
      </c>
      <c r="D90" s="1458">
        <v>43817</v>
      </c>
      <c r="E90" s="1458"/>
      <c r="F90" s="1458"/>
      <c r="G90" s="1443" t="s">
        <v>1580</v>
      </c>
      <c r="I90" s="1452"/>
      <c r="J90" s="1449">
        <v>59872</v>
      </c>
      <c r="K90" s="1449">
        <v>61429</v>
      </c>
      <c r="L90" s="1449">
        <f>L254</f>
        <v>62719</v>
      </c>
      <c r="M90" s="1449">
        <f>M254</f>
        <v>64162</v>
      </c>
      <c r="N90" s="1449">
        <f>N254</f>
        <v>65638</v>
      </c>
      <c r="O90" s="1449">
        <f>O254</f>
        <v>67148</v>
      </c>
      <c r="P90" s="134"/>
    </row>
    <row r="91" spans="1:16" ht="12.75" customHeight="1" x14ac:dyDescent="0.25">
      <c r="A91" s="1442">
        <v>604006</v>
      </c>
      <c r="B91" s="1440" t="str">
        <f>G80</f>
        <v xml:space="preserve">Exploitatielasten gemeentehuis </v>
      </c>
      <c r="D91" s="1458">
        <v>47201</v>
      </c>
      <c r="E91" s="1458"/>
      <c r="F91" s="1458"/>
      <c r="G91" s="1443" t="s">
        <v>1581</v>
      </c>
      <c r="I91" s="1452"/>
      <c r="J91" s="1452">
        <v>152619.47532536316</v>
      </c>
      <c r="K91" s="1452">
        <v>158266.39591240158</v>
      </c>
      <c r="L91" s="1452">
        <v>164122.25256116042</v>
      </c>
      <c r="M91" s="1452">
        <v>170194.77590592334</v>
      </c>
      <c r="N91" s="1452">
        <v>176491.98261444247</v>
      </c>
      <c r="O91" s="1503">
        <v>0</v>
      </c>
      <c r="P91" s="134"/>
    </row>
    <row r="92" spans="1:16" ht="12.75" customHeight="1" x14ac:dyDescent="0.25">
      <c r="B92" s="1440"/>
      <c r="D92" s="1463"/>
      <c r="E92" s="1463"/>
      <c r="F92" s="1463"/>
      <c r="G92" s="1453" t="s">
        <v>536</v>
      </c>
      <c r="H92" s="549"/>
      <c r="I92" s="1454"/>
      <c r="J92" s="1827">
        <v>413501.47532536316</v>
      </c>
      <c r="K92" s="1827">
        <v>426178.39591240161</v>
      </c>
      <c r="L92" s="1827">
        <f>SUM(L82:L91)</f>
        <v>438421.25256116042</v>
      </c>
      <c r="M92" s="1827">
        <f>SUM(M82:M91)</f>
        <v>451583.77590592334</v>
      </c>
      <c r="N92" s="1827">
        <f>SUM(N82:N91)</f>
        <v>465153.98261444247</v>
      </c>
      <c r="O92" s="1827">
        <f>SUM(O82:O91)</f>
        <v>295303</v>
      </c>
      <c r="P92" s="1455"/>
    </row>
    <row r="93" spans="1:16" ht="12.75" customHeight="1" x14ac:dyDescent="0.25">
      <c r="B93" s="1440"/>
      <c r="D93" s="1447"/>
      <c r="E93" s="1447"/>
      <c r="F93" s="1447"/>
      <c r="G93" s="1443"/>
      <c r="I93" s="1452"/>
      <c r="J93" s="1449"/>
      <c r="K93" s="1449"/>
      <c r="L93" s="1449"/>
      <c r="M93" s="1449"/>
      <c r="N93" s="1449"/>
      <c r="O93" s="1449"/>
      <c r="P93" s="134"/>
    </row>
    <row r="94" spans="1:16" ht="12.75" customHeight="1" x14ac:dyDescent="0.25">
      <c r="B94" s="1440"/>
      <c r="D94" s="1460">
        <v>604007</v>
      </c>
      <c r="E94" s="1463"/>
      <c r="F94" s="1463"/>
      <c r="G94" s="1453" t="s">
        <v>1582</v>
      </c>
      <c r="H94" s="549"/>
      <c r="I94" s="1452"/>
      <c r="J94" s="1449"/>
      <c r="K94" s="1449"/>
      <c r="L94" s="1449"/>
      <c r="M94" s="1449"/>
      <c r="N94" s="1449"/>
      <c r="O94" s="1449"/>
      <c r="P94" s="134"/>
    </row>
    <row r="95" spans="1:16" ht="12.75" customHeight="1" x14ac:dyDescent="0.25">
      <c r="B95" s="1440"/>
      <c r="D95" s="1447"/>
      <c r="E95" s="1447"/>
      <c r="F95" s="1447"/>
      <c r="G95" s="1456" t="s">
        <v>533</v>
      </c>
      <c r="I95" s="1452"/>
      <c r="J95" s="1449"/>
      <c r="K95" s="1449"/>
      <c r="L95" s="1449"/>
      <c r="M95" s="1449"/>
      <c r="N95" s="1449"/>
      <c r="O95" s="1449"/>
      <c r="P95" s="134"/>
    </row>
    <row r="96" spans="1:16" ht="12.75" customHeight="1" x14ac:dyDescent="0.25">
      <c r="A96" s="1442">
        <f>+D94</f>
        <v>604007</v>
      </c>
      <c r="B96" s="1440" t="str">
        <f>G94</f>
        <v>Dienstverleningsvisie</v>
      </c>
      <c r="D96" s="1447">
        <v>43812</v>
      </c>
      <c r="E96" s="1447"/>
      <c r="F96" s="1447"/>
      <c r="G96" s="1443" t="s">
        <v>535</v>
      </c>
      <c r="I96" s="1452"/>
      <c r="J96" s="1449">
        <v>1108</v>
      </c>
      <c r="K96" s="1449">
        <v>21108</v>
      </c>
      <c r="L96" s="1449">
        <f>L273</f>
        <v>21108</v>
      </c>
      <c r="M96" s="1449">
        <f>M273</f>
        <v>21108</v>
      </c>
      <c r="N96" s="1449">
        <f>N273</f>
        <v>21108</v>
      </c>
      <c r="O96" s="1449">
        <f>O273</f>
        <v>21108</v>
      </c>
      <c r="P96" s="134"/>
    </row>
    <row r="97" spans="1:16" ht="12.75" customHeight="1" x14ac:dyDescent="0.25">
      <c r="B97" s="1440"/>
      <c r="D97" s="1447"/>
      <c r="E97" s="1447"/>
      <c r="F97" s="1447"/>
      <c r="G97" s="1453" t="s">
        <v>536</v>
      </c>
      <c r="I97" s="1575"/>
      <c r="J97" s="1829">
        <v>1108</v>
      </c>
      <c r="K97" s="1829">
        <v>21108</v>
      </c>
      <c r="L97" s="1829">
        <f>SUM(L95:L96)</f>
        <v>21108</v>
      </c>
      <c r="M97" s="1829">
        <f>SUM(M95:M96)</f>
        <v>21108</v>
      </c>
      <c r="N97" s="1829">
        <f>SUM(N95:N96)</f>
        <v>21108</v>
      </c>
      <c r="O97" s="1829">
        <f>SUM(O95:O96)</f>
        <v>21108</v>
      </c>
      <c r="P97" s="545"/>
    </row>
    <row r="98" spans="1:16" ht="12.75" customHeight="1" x14ac:dyDescent="0.25">
      <c r="B98" s="1440"/>
      <c r="D98" s="1447"/>
      <c r="E98" s="1447"/>
      <c r="F98" s="1447"/>
      <c r="G98" s="1443"/>
      <c r="I98" s="1452"/>
      <c r="J98" s="1449"/>
      <c r="K98" s="1449"/>
      <c r="L98" s="1449"/>
      <c r="M98" s="1449"/>
      <c r="N98" s="1449"/>
      <c r="O98" s="1449"/>
      <c r="P98" s="134"/>
    </row>
    <row r="99" spans="1:16" ht="12.75" customHeight="1" x14ac:dyDescent="0.25">
      <c r="B99" s="1440"/>
      <c r="D99" s="1447"/>
      <c r="E99" s="1447"/>
      <c r="F99" s="1447"/>
      <c r="G99" s="1453"/>
      <c r="I99" s="1575"/>
      <c r="J99" s="1576"/>
      <c r="K99" s="1576"/>
      <c r="L99" s="1576"/>
      <c r="M99" s="1576"/>
      <c r="N99" s="1576"/>
      <c r="O99" s="1576"/>
      <c r="P99" s="545"/>
    </row>
    <row r="100" spans="1:16" ht="12.75" customHeight="1" x14ac:dyDescent="0.25">
      <c r="D100" s="1460">
        <v>604008</v>
      </c>
      <c r="E100" s="1451"/>
      <c r="F100" s="1451"/>
      <c r="G100" s="1453" t="s">
        <v>1583</v>
      </c>
      <c r="I100" s="1452"/>
      <c r="J100" s="1449"/>
      <c r="K100" s="1449"/>
      <c r="L100" s="1449"/>
      <c r="M100" s="1449"/>
      <c r="N100" s="1449"/>
      <c r="O100" s="1449"/>
      <c r="P100" s="134"/>
    </row>
    <row r="101" spans="1:16" ht="12.75" customHeight="1" x14ac:dyDescent="0.25">
      <c r="D101" s="1493"/>
      <c r="E101" s="1447"/>
      <c r="F101" s="1447"/>
      <c r="G101" s="1456" t="s">
        <v>533</v>
      </c>
      <c r="I101" s="1452"/>
      <c r="J101" s="1449"/>
      <c r="K101" s="1449"/>
      <c r="L101" s="1449"/>
      <c r="M101" s="1449"/>
      <c r="N101" s="1449"/>
      <c r="O101" s="1449"/>
      <c r="P101" s="134"/>
    </row>
    <row r="102" spans="1:16" ht="12.75" customHeight="1" x14ac:dyDescent="0.25">
      <c r="A102" s="1442">
        <v>604008</v>
      </c>
      <c r="B102" s="1434" t="str">
        <f>G100</f>
        <v xml:space="preserve">Bodediensten  </v>
      </c>
      <c r="D102" s="1497">
        <v>43201</v>
      </c>
      <c r="E102" s="1458"/>
      <c r="F102" s="1458"/>
      <c r="G102" s="1443" t="s">
        <v>1584</v>
      </c>
      <c r="I102" s="1452"/>
      <c r="J102" s="1449">
        <v>1401</v>
      </c>
      <c r="K102" s="1449">
        <v>1437</v>
      </c>
      <c r="L102" s="1449">
        <f>L283</f>
        <v>2967</v>
      </c>
      <c r="M102" s="1449">
        <f>M283</f>
        <v>1501</v>
      </c>
      <c r="N102" s="1449">
        <f>N283</f>
        <v>1536</v>
      </c>
      <c r="O102" s="1449">
        <f>O283</f>
        <v>1571</v>
      </c>
      <c r="P102" s="134"/>
    </row>
    <row r="103" spans="1:16" ht="12.75" customHeight="1" x14ac:dyDescent="0.25">
      <c r="A103" s="1442">
        <v>604008</v>
      </c>
      <c r="B103" s="1442" t="str">
        <f>G100</f>
        <v xml:space="preserve">Bodediensten  </v>
      </c>
      <c r="C103" s="1437"/>
      <c r="D103" s="1497">
        <v>43818</v>
      </c>
      <c r="E103" s="1458"/>
      <c r="F103" s="1458"/>
      <c r="G103" s="1443" t="s">
        <v>1585</v>
      </c>
      <c r="I103" s="1452"/>
      <c r="J103" s="1449">
        <v>1750</v>
      </c>
      <c r="K103" s="1449">
        <v>1796</v>
      </c>
      <c r="L103" s="1449">
        <f>L286</f>
        <v>1834</v>
      </c>
      <c r="M103" s="1449">
        <f>M286</f>
        <v>1876</v>
      </c>
      <c r="N103" s="1449">
        <f>N286</f>
        <v>1919</v>
      </c>
      <c r="O103" s="1449">
        <f>O286</f>
        <v>1963</v>
      </c>
      <c r="P103" s="134"/>
    </row>
    <row r="104" spans="1:16" ht="12.75" customHeight="1" x14ac:dyDescent="0.25">
      <c r="A104" s="1442">
        <v>604008</v>
      </c>
      <c r="B104" s="1442" t="str">
        <f>G100</f>
        <v xml:space="preserve">Bodediensten  </v>
      </c>
      <c r="C104" s="1437"/>
      <c r="D104" s="1497">
        <v>43818</v>
      </c>
      <c r="E104" s="1458"/>
      <c r="F104" s="1458"/>
      <c r="G104" s="1443" t="s">
        <v>1586</v>
      </c>
      <c r="I104" s="1452"/>
      <c r="J104" s="1449">
        <v>1168</v>
      </c>
      <c r="K104" s="1449">
        <v>1198</v>
      </c>
      <c r="L104" s="1449">
        <f>L289</f>
        <v>1223</v>
      </c>
      <c r="M104" s="1449">
        <f>M289</f>
        <v>1251</v>
      </c>
      <c r="N104" s="1449">
        <f>N289</f>
        <v>1280</v>
      </c>
      <c r="O104" s="1449">
        <f>O289</f>
        <v>1309</v>
      </c>
      <c r="P104" s="134"/>
    </row>
    <row r="105" spans="1:16" ht="12.75" customHeight="1" x14ac:dyDescent="0.25">
      <c r="D105" s="1493"/>
      <c r="E105" s="1447"/>
      <c r="F105" s="1447"/>
      <c r="G105" s="1453" t="s">
        <v>536</v>
      </c>
      <c r="H105" s="549"/>
      <c r="I105" s="1454"/>
      <c r="J105" s="1826">
        <v>4319</v>
      </c>
      <c r="K105" s="1826">
        <v>4431</v>
      </c>
      <c r="L105" s="1826">
        <f>SUM(L102:L104)</f>
        <v>6024</v>
      </c>
      <c r="M105" s="1826">
        <f>SUM(M102:M104)</f>
        <v>4628</v>
      </c>
      <c r="N105" s="1826">
        <f>SUM(N102:N104)</f>
        <v>4735</v>
      </c>
      <c r="O105" s="1826">
        <f>SUM(O102:O104)</f>
        <v>4843</v>
      </c>
      <c r="P105" s="1455"/>
    </row>
    <row r="106" spans="1:16" ht="12.75" customHeight="1" x14ac:dyDescent="0.25">
      <c r="D106" s="1493"/>
      <c r="E106" s="1447"/>
      <c r="F106" s="1447"/>
      <c r="G106" s="1443"/>
      <c r="I106" s="1452"/>
      <c r="J106" s="1449"/>
      <c r="K106" s="1449"/>
      <c r="L106" s="1449"/>
      <c r="M106" s="1449"/>
      <c r="N106" s="1449"/>
      <c r="O106" s="1449"/>
      <c r="P106" s="134"/>
    </row>
    <row r="107" spans="1:16" ht="12.75" customHeight="1" x14ac:dyDescent="0.25">
      <c r="D107" s="1495">
        <v>604009</v>
      </c>
      <c r="E107" s="1451"/>
      <c r="F107" s="1451"/>
      <c r="G107" s="1577" t="s">
        <v>1587</v>
      </c>
      <c r="I107" s="1452"/>
      <c r="J107" s="1449"/>
      <c r="K107" s="1449"/>
      <c r="L107" s="1449"/>
      <c r="M107" s="1449"/>
      <c r="N107" s="1449"/>
      <c r="O107" s="1449"/>
      <c r="P107" s="134"/>
    </row>
    <row r="108" spans="1:16" ht="12.75" customHeight="1" x14ac:dyDescent="0.25">
      <c r="D108" s="1493"/>
      <c r="E108" s="1447"/>
      <c r="F108" s="1447"/>
      <c r="G108" s="1456" t="s">
        <v>533</v>
      </c>
      <c r="I108" s="1452"/>
      <c r="J108" s="1449"/>
      <c r="K108" s="1449"/>
      <c r="L108" s="1449"/>
      <c r="M108" s="1449"/>
      <c r="N108" s="1449"/>
      <c r="O108" s="1449"/>
      <c r="P108" s="134"/>
    </row>
    <row r="109" spans="1:16" ht="12.75" customHeight="1" x14ac:dyDescent="0.25">
      <c r="A109" s="1442">
        <v>604009</v>
      </c>
      <c r="B109" s="1442" t="str">
        <f>G107</f>
        <v>Keuken en keukenbenodigdheden</v>
      </c>
      <c r="C109" s="1525"/>
      <c r="D109" s="1497">
        <v>43201</v>
      </c>
      <c r="E109" s="1458"/>
      <c r="F109" s="1458"/>
      <c r="G109" s="1443" t="s">
        <v>1584</v>
      </c>
      <c r="I109" s="1452"/>
      <c r="J109" s="1449">
        <v>992</v>
      </c>
      <c r="K109" s="1449">
        <v>1018</v>
      </c>
      <c r="L109" s="1449">
        <f>L303</f>
        <v>1039</v>
      </c>
      <c r="M109" s="1449">
        <f>M303</f>
        <v>1063</v>
      </c>
      <c r="N109" s="1449">
        <f>N303</f>
        <v>1087</v>
      </c>
      <c r="O109" s="1449">
        <f>O303</f>
        <v>1112</v>
      </c>
      <c r="P109" s="134"/>
    </row>
    <row r="110" spans="1:16" ht="12.75" customHeight="1" x14ac:dyDescent="0.25">
      <c r="A110" s="1442">
        <v>604009</v>
      </c>
      <c r="B110" s="1434" t="str">
        <f>G107</f>
        <v>Keuken en keukenbenodigdheden</v>
      </c>
      <c r="C110" s="1525"/>
      <c r="D110" s="1497">
        <v>43511</v>
      </c>
      <c r="E110" s="1458"/>
      <c r="F110" s="1458"/>
      <c r="G110" s="1443" t="s">
        <v>560</v>
      </c>
      <c r="I110" s="1452"/>
      <c r="J110" s="1449">
        <v>525</v>
      </c>
      <c r="K110" s="1449">
        <v>539</v>
      </c>
      <c r="L110" s="1449">
        <f>L297</f>
        <v>550</v>
      </c>
      <c r="M110" s="1449">
        <f>M297</f>
        <v>563</v>
      </c>
      <c r="N110" s="1449">
        <f>N297</f>
        <v>576</v>
      </c>
      <c r="O110" s="1449">
        <f>O297</f>
        <v>589</v>
      </c>
      <c r="P110" s="134"/>
    </row>
    <row r="111" spans="1:16" ht="12.75" customHeight="1" x14ac:dyDescent="0.25">
      <c r="A111" s="1442">
        <v>604009</v>
      </c>
      <c r="B111" s="1442" t="str">
        <f>G107</f>
        <v>Keuken en keukenbenodigdheden</v>
      </c>
      <c r="C111" s="1525"/>
      <c r="D111" s="1497">
        <v>43812</v>
      </c>
      <c r="E111" s="1458"/>
      <c r="F111" s="369"/>
      <c r="G111" s="1443" t="s">
        <v>535</v>
      </c>
      <c r="I111" s="1452"/>
      <c r="J111" s="1449">
        <v>39431</v>
      </c>
      <c r="K111" s="1449">
        <v>40456</v>
      </c>
      <c r="L111" s="1449">
        <f>L314</f>
        <v>41306</v>
      </c>
      <c r="M111" s="1449">
        <f>M314</f>
        <v>42257</v>
      </c>
      <c r="N111" s="1449">
        <f>N314</f>
        <v>43229</v>
      </c>
      <c r="O111" s="1449">
        <f>O314</f>
        <v>44223</v>
      </c>
      <c r="P111" s="134"/>
    </row>
    <row r="112" spans="1:16" ht="12.75" customHeight="1" x14ac:dyDescent="0.25">
      <c r="D112" s="1493"/>
      <c r="E112" s="1447"/>
      <c r="F112" s="1447"/>
      <c r="G112" s="1453" t="s">
        <v>536</v>
      </c>
      <c r="H112" s="549"/>
      <c r="I112" s="1454"/>
      <c r="J112" s="1827">
        <v>40948</v>
      </c>
      <c r="K112" s="1827">
        <v>42013</v>
      </c>
      <c r="L112" s="1827">
        <f>SUM(L109:L111)</f>
        <v>42895</v>
      </c>
      <c r="M112" s="1827">
        <f>SUM(M109:M111)</f>
        <v>43883</v>
      </c>
      <c r="N112" s="1827">
        <f>SUM(N109:N111)</f>
        <v>44892</v>
      </c>
      <c r="O112" s="1827">
        <f>SUM(O109:O111)</f>
        <v>45924</v>
      </c>
      <c r="P112" s="1455"/>
    </row>
    <row r="113" spans="1:16" ht="12.75" customHeight="1" x14ac:dyDescent="0.25">
      <c r="D113" s="1493"/>
      <c r="E113" s="1447"/>
      <c r="F113" s="1447"/>
      <c r="G113" s="1578"/>
      <c r="H113" s="1579"/>
      <c r="I113" s="1452"/>
      <c r="J113" s="1449"/>
      <c r="K113" s="1449"/>
      <c r="L113" s="1449"/>
      <c r="M113" s="1449"/>
      <c r="N113" s="1449"/>
      <c r="O113" s="1449"/>
      <c r="P113" s="134"/>
    </row>
    <row r="114" spans="1:16" ht="12.75" customHeight="1" x14ac:dyDescent="0.25">
      <c r="D114" s="1495">
        <v>604010</v>
      </c>
      <c r="E114" s="1451"/>
      <c r="F114" s="1451"/>
      <c r="G114" s="1453" t="s">
        <v>1588</v>
      </c>
      <c r="I114" s="1452"/>
      <c r="J114" s="1449"/>
      <c r="K114" s="1449"/>
      <c r="L114" s="1449"/>
      <c r="M114" s="1449"/>
      <c r="N114" s="1449"/>
      <c r="O114" s="1449"/>
      <c r="P114" s="134"/>
    </row>
    <row r="115" spans="1:16" ht="12.75" customHeight="1" x14ac:dyDescent="0.25">
      <c r="D115" s="1493"/>
      <c r="E115" s="1447"/>
      <c r="F115" s="1447"/>
      <c r="G115" s="1456" t="s">
        <v>533</v>
      </c>
      <c r="I115" s="1452"/>
      <c r="J115" s="1449"/>
      <c r="K115" s="1449"/>
      <c r="L115" s="1449"/>
      <c r="M115" s="1449"/>
      <c r="N115" s="1449"/>
      <c r="O115" s="1449"/>
      <c r="P115" s="134"/>
    </row>
    <row r="116" spans="1:16" ht="12.75" customHeight="1" x14ac:dyDescent="0.25">
      <c r="A116" s="1442">
        <v>604010</v>
      </c>
      <c r="B116" s="1442" t="str">
        <f>G114</f>
        <v xml:space="preserve">Telefonie </v>
      </c>
      <c r="D116" s="1497">
        <v>43818</v>
      </c>
      <c r="E116" s="1458"/>
      <c r="F116" s="1458"/>
      <c r="G116" s="1443" t="s">
        <v>1589</v>
      </c>
      <c r="I116" s="1452"/>
      <c r="J116" s="1449">
        <v>103827</v>
      </c>
      <c r="K116" s="1449">
        <v>106527</v>
      </c>
      <c r="L116" s="1449">
        <f>L327</f>
        <v>108764</v>
      </c>
      <c r="M116" s="1449">
        <f>M327</f>
        <v>111266</v>
      </c>
      <c r="N116" s="1449">
        <f>N327</f>
        <v>113825</v>
      </c>
      <c r="O116" s="1449">
        <f>O327</f>
        <v>116443</v>
      </c>
      <c r="P116" s="134"/>
    </row>
    <row r="117" spans="1:16" ht="12.75" customHeight="1" x14ac:dyDescent="0.25">
      <c r="D117" s="1493"/>
      <c r="E117" s="1447"/>
      <c r="F117" s="1447"/>
      <c r="G117" s="1453" t="s">
        <v>536</v>
      </c>
      <c r="H117" s="549"/>
      <c r="I117" s="1454"/>
      <c r="J117" s="1826">
        <v>103827</v>
      </c>
      <c r="K117" s="1826">
        <v>106527</v>
      </c>
      <c r="L117" s="1826">
        <f>SUM(L116:L116)</f>
        <v>108764</v>
      </c>
      <c r="M117" s="1826">
        <f>SUM(M116:M116)</f>
        <v>111266</v>
      </c>
      <c r="N117" s="1826">
        <f>SUM(N116:N116)</f>
        <v>113825</v>
      </c>
      <c r="O117" s="1826">
        <f>SUM(O116:O116)</f>
        <v>116443</v>
      </c>
      <c r="P117" s="1455"/>
    </row>
    <row r="118" spans="1:16" ht="12.75" customHeight="1" x14ac:dyDescent="0.25">
      <c r="D118" s="1493"/>
      <c r="E118" s="1447"/>
      <c r="F118" s="1447"/>
      <c r="G118" s="1443"/>
      <c r="I118" s="1452"/>
      <c r="J118" s="1449"/>
      <c r="K118" s="1449"/>
      <c r="L118" s="1449"/>
      <c r="M118" s="1449"/>
      <c r="N118" s="1449"/>
      <c r="O118" s="1449"/>
      <c r="P118" s="134"/>
    </row>
    <row r="119" spans="1:16" ht="12.75" customHeight="1" x14ac:dyDescent="0.25">
      <c r="D119" s="1495">
        <v>604011</v>
      </c>
      <c r="E119" s="1451"/>
      <c r="F119" s="1451"/>
      <c r="G119" s="1453" t="s">
        <v>1590</v>
      </c>
      <c r="I119" s="1452"/>
      <c r="J119" s="1449"/>
      <c r="K119" s="1449"/>
      <c r="L119" s="1449"/>
      <c r="M119" s="1449"/>
      <c r="N119" s="1449"/>
      <c r="O119" s="1449"/>
      <c r="P119" s="134"/>
    </row>
    <row r="120" spans="1:16" ht="12.75" customHeight="1" x14ac:dyDescent="0.25">
      <c r="D120" s="1493"/>
      <c r="E120" s="1447"/>
      <c r="F120" s="1447"/>
      <c r="G120" s="1456" t="s">
        <v>533</v>
      </c>
      <c r="I120" s="1452"/>
      <c r="J120" s="1449"/>
      <c r="K120" s="1449"/>
      <c r="L120" s="1449"/>
      <c r="M120" s="1449"/>
      <c r="N120" s="1449"/>
      <c r="O120" s="1449"/>
      <c r="P120" s="134"/>
    </row>
    <row r="121" spans="1:16" ht="12.75" customHeight="1" x14ac:dyDescent="0.25">
      <c r="A121" s="1442">
        <f>+D119</f>
        <v>604011</v>
      </c>
      <c r="B121" s="1434" t="str">
        <f>G119</f>
        <v>Huisdrukkerij</v>
      </c>
      <c r="D121" s="1497">
        <v>43812</v>
      </c>
      <c r="E121" s="1458"/>
      <c r="F121" s="369"/>
      <c r="G121" s="1443" t="s">
        <v>535</v>
      </c>
      <c r="I121" s="1452"/>
      <c r="J121" s="1449">
        <v>68945</v>
      </c>
      <c r="K121" s="1449">
        <v>70738</v>
      </c>
      <c r="L121" s="1449">
        <f>L350</f>
        <v>72223</v>
      </c>
      <c r="M121" s="1449">
        <f>M350</f>
        <v>73884</v>
      </c>
      <c r="N121" s="1449">
        <f>N350</f>
        <v>75583</v>
      </c>
      <c r="O121" s="1449">
        <f>O350</f>
        <v>77321</v>
      </c>
      <c r="P121" s="134"/>
    </row>
    <row r="122" spans="1:16" ht="12.75" customHeight="1" x14ac:dyDescent="0.25">
      <c r="D122" s="1493"/>
      <c r="E122" s="1447"/>
      <c r="F122" s="1447"/>
      <c r="G122" s="1453" t="s">
        <v>536</v>
      </c>
      <c r="H122" s="549"/>
      <c r="I122" s="1454"/>
      <c r="J122" s="1826">
        <v>68945</v>
      </c>
      <c r="K122" s="1826">
        <v>70738</v>
      </c>
      <c r="L122" s="1826">
        <f>SUM(L120:L121)</f>
        <v>72223</v>
      </c>
      <c r="M122" s="1826">
        <f>SUM(M120:M121)</f>
        <v>73884</v>
      </c>
      <c r="N122" s="1826">
        <f>SUM(N120:N121)</f>
        <v>75583</v>
      </c>
      <c r="O122" s="1826">
        <f>SUM(O120:O121)</f>
        <v>77321</v>
      </c>
      <c r="P122" s="1455"/>
    </row>
    <row r="123" spans="1:16" ht="12.75" customHeight="1" x14ac:dyDescent="0.25">
      <c r="D123" s="1493"/>
      <c r="E123" s="1447"/>
      <c r="F123" s="1447"/>
      <c r="G123" s="1443"/>
      <c r="I123" s="1452"/>
      <c r="J123" s="1449"/>
      <c r="K123" s="1449"/>
      <c r="L123" s="1449"/>
      <c r="M123" s="1449"/>
      <c r="N123" s="1449"/>
      <c r="O123" s="1449"/>
      <c r="P123" s="134"/>
    </row>
    <row r="124" spans="1:16" ht="12.75" customHeight="1" x14ac:dyDescent="0.25">
      <c r="D124" s="1495">
        <v>604012</v>
      </c>
      <c r="E124" s="1451"/>
      <c r="F124" s="1451"/>
      <c r="G124" s="1453" t="s">
        <v>1591</v>
      </c>
      <c r="I124" s="1452"/>
      <c r="J124" s="1449"/>
      <c r="K124" s="1449"/>
      <c r="L124" s="1449"/>
      <c r="M124" s="1449"/>
      <c r="N124" s="1449"/>
      <c r="O124" s="1449"/>
      <c r="P124" s="134"/>
    </row>
    <row r="125" spans="1:16" ht="12.75" customHeight="1" x14ac:dyDescent="0.25">
      <c r="D125" s="1493"/>
      <c r="E125" s="1447"/>
      <c r="F125" s="1447"/>
      <c r="G125" s="1456" t="s">
        <v>533</v>
      </c>
      <c r="I125" s="1452"/>
      <c r="J125" s="1449"/>
      <c r="K125" s="1449"/>
      <c r="L125" s="1449"/>
      <c r="M125" s="1449"/>
      <c r="N125" s="1449"/>
      <c r="O125" s="1449"/>
      <c r="P125" s="134"/>
    </row>
    <row r="126" spans="1:16" ht="12.75" customHeight="1" x14ac:dyDescent="0.25">
      <c r="A126" s="1442">
        <f>+D124</f>
        <v>604012</v>
      </c>
      <c r="B126" s="1434" t="str">
        <f>G124</f>
        <v xml:space="preserve">Vakliteratuur </v>
      </c>
      <c r="D126" s="1497">
        <v>43818</v>
      </c>
      <c r="E126" s="1458"/>
      <c r="F126" s="1458"/>
      <c r="G126" s="1443" t="s">
        <v>1592</v>
      </c>
      <c r="I126" s="1452"/>
      <c r="J126" s="1449">
        <v>23333</v>
      </c>
      <c r="K126" s="1449">
        <v>23940</v>
      </c>
      <c r="L126" s="1449">
        <f>L356</f>
        <v>24443</v>
      </c>
      <c r="M126" s="1449">
        <f>M356</f>
        <v>25005</v>
      </c>
      <c r="N126" s="1449">
        <f>N356</f>
        <v>25580</v>
      </c>
      <c r="O126" s="1449">
        <f>O356</f>
        <v>26168</v>
      </c>
      <c r="P126" s="134"/>
    </row>
    <row r="127" spans="1:16" ht="12.75" customHeight="1" x14ac:dyDescent="0.25">
      <c r="D127" s="1493"/>
      <c r="E127" s="1447"/>
      <c r="F127" s="1447"/>
      <c r="G127" s="1453" t="s">
        <v>536</v>
      </c>
      <c r="H127" s="549"/>
      <c r="I127" s="1454"/>
      <c r="J127" s="1826">
        <v>23333</v>
      </c>
      <c r="K127" s="1826">
        <v>23940</v>
      </c>
      <c r="L127" s="1826">
        <f>SUM(L126)</f>
        <v>24443</v>
      </c>
      <c r="M127" s="1826">
        <f>SUM(M126)</f>
        <v>25005</v>
      </c>
      <c r="N127" s="1826">
        <f>SUM(N126)</f>
        <v>25580</v>
      </c>
      <c r="O127" s="1826">
        <f>SUM(O126)</f>
        <v>26168</v>
      </c>
      <c r="P127" s="1455"/>
    </row>
    <row r="128" spans="1:16" ht="12.75" customHeight="1" x14ac:dyDescent="0.25">
      <c r="D128" s="1447"/>
      <c r="E128" s="1447"/>
      <c r="F128" s="1447"/>
      <c r="G128" s="1443"/>
      <c r="I128" s="1452"/>
      <c r="J128" s="1449"/>
      <c r="K128" s="1449"/>
      <c r="L128" s="1449"/>
      <c r="M128" s="1449"/>
      <c r="N128" s="1449"/>
      <c r="O128" s="1449"/>
      <c r="P128" s="134"/>
    </row>
    <row r="129" spans="1:16" ht="12.75" customHeight="1" x14ac:dyDescent="0.25">
      <c r="D129" s="1460">
        <v>604023</v>
      </c>
      <c r="E129" s="1463"/>
      <c r="F129" s="1463"/>
      <c r="G129" s="1580" t="s">
        <v>1593</v>
      </c>
      <c r="H129" s="1579"/>
      <c r="I129" s="1581"/>
      <c r="J129" s="1449"/>
      <c r="K129" s="1449"/>
      <c r="L129" s="1449"/>
      <c r="M129" s="1449"/>
      <c r="N129" s="1449"/>
      <c r="O129" s="1449"/>
      <c r="P129" s="134"/>
    </row>
    <row r="130" spans="1:16" ht="12.75" customHeight="1" x14ac:dyDescent="0.25">
      <c r="A130" s="1442"/>
      <c r="D130" s="1447"/>
      <c r="E130" s="1501"/>
      <c r="F130" s="1582"/>
      <c r="G130" s="1583" t="s">
        <v>533</v>
      </c>
      <c r="H130" s="1579"/>
      <c r="I130" s="1581"/>
      <c r="J130" s="1449"/>
      <c r="K130" s="1449"/>
      <c r="L130" s="1449"/>
      <c r="M130" s="1449"/>
      <c r="N130" s="1449"/>
      <c r="O130" s="1449"/>
      <c r="P130" s="134"/>
    </row>
    <row r="131" spans="1:16" ht="12.75" customHeight="1" x14ac:dyDescent="0.25">
      <c r="A131" s="1442">
        <f>+D129</f>
        <v>604023</v>
      </c>
      <c r="B131" s="1434" t="str">
        <f>G129</f>
        <v>Contributies en lidmaatschappen algemeen</v>
      </c>
      <c r="D131" s="1458">
        <v>43812</v>
      </c>
      <c r="E131" s="1500"/>
      <c r="F131" s="369"/>
      <c r="G131" s="1443" t="s">
        <v>535</v>
      </c>
      <c r="H131" s="1579"/>
      <c r="I131" s="1581"/>
      <c r="J131" s="1452">
        <v>4516</v>
      </c>
      <c r="K131" s="1452">
        <v>4633</v>
      </c>
      <c r="L131" s="1452">
        <f>L368</f>
        <v>4730</v>
      </c>
      <c r="M131" s="1452">
        <f>M368</f>
        <v>4839</v>
      </c>
      <c r="N131" s="1452">
        <f>N368</f>
        <v>4950</v>
      </c>
      <c r="O131" s="1452">
        <f>O368</f>
        <v>5064</v>
      </c>
      <c r="P131" s="134"/>
    </row>
    <row r="132" spans="1:16" ht="12.75" customHeight="1" x14ac:dyDescent="0.25">
      <c r="A132" s="1442">
        <f>+D129</f>
        <v>604023</v>
      </c>
      <c r="B132" s="1434" t="str">
        <f>G129</f>
        <v>Contributies en lidmaatschappen algemeen</v>
      </c>
      <c r="D132" s="1458">
        <v>44360</v>
      </c>
      <c r="E132" s="1500"/>
      <c r="F132" s="1458"/>
      <c r="G132" s="1578" t="s">
        <v>1594</v>
      </c>
      <c r="H132" s="1579"/>
      <c r="I132" s="1581"/>
      <c r="J132" s="1452">
        <v>201864.2</v>
      </c>
      <c r="K132" s="1452">
        <v>209875.973</v>
      </c>
      <c r="L132" s="1452">
        <f>L394</f>
        <v>217348.72</v>
      </c>
      <c r="M132" s="1452">
        <f>M394</f>
        <v>227036.82800000001</v>
      </c>
      <c r="N132" s="1452">
        <f>N394</f>
        <v>236311.42</v>
      </c>
      <c r="O132" s="1452">
        <f>O394</f>
        <v>242253.63</v>
      </c>
      <c r="P132" s="134"/>
    </row>
    <row r="133" spans="1:16" ht="12.75" customHeight="1" thickBot="1" x14ac:dyDescent="0.3">
      <c r="A133" s="1442"/>
      <c r="D133" s="1447"/>
      <c r="E133" s="1501"/>
      <c r="F133" s="1582"/>
      <c r="G133" s="1578" t="s">
        <v>536</v>
      </c>
      <c r="H133" s="1579"/>
      <c r="I133" s="1581"/>
      <c r="J133" s="1584">
        <v>206380.2</v>
      </c>
      <c r="K133" s="1584">
        <v>214508.973</v>
      </c>
      <c r="L133" s="1584">
        <f>SUM(L131:L132)</f>
        <v>222078.72</v>
      </c>
      <c r="M133" s="1584">
        <f>SUM(M131:M132)</f>
        <v>231875.82800000001</v>
      </c>
      <c r="N133" s="1584">
        <f>SUM(N131:N132)</f>
        <v>241261.42</v>
      </c>
      <c r="O133" s="1584">
        <f>SUM(O131:O132)</f>
        <v>247317.63</v>
      </c>
      <c r="P133" s="134"/>
    </row>
    <row r="134" spans="1:16" ht="12.75" customHeight="1" thickTop="1" x14ac:dyDescent="0.25">
      <c r="D134" s="1493"/>
      <c r="E134" s="1447"/>
      <c r="F134" s="1447"/>
      <c r="G134" s="1578"/>
      <c r="H134" s="1579"/>
      <c r="I134" s="1581"/>
      <c r="J134" s="1449"/>
      <c r="K134" s="1449"/>
      <c r="L134" s="1449"/>
      <c r="M134" s="1449"/>
      <c r="N134" s="1449"/>
      <c r="O134" s="1449"/>
      <c r="P134" s="134"/>
    </row>
    <row r="135" spans="1:16" ht="12.75" customHeight="1" x14ac:dyDescent="0.25">
      <c r="D135" s="1495">
        <v>604013</v>
      </c>
      <c r="E135" s="1451"/>
      <c r="F135" s="1451"/>
      <c r="G135" s="1453" t="s">
        <v>1595</v>
      </c>
      <c r="I135" s="1452"/>
      <c r="J135" s="1449"/>
      <c r="K135" s="1449"/>
      <c r="L135" s="1449"/>
      <c r="M135" s="1449"/>
      <c r="N135" s="1449"/>
      <c r="O135" s="1449"/>
      <c r="P135" s="134"/>
    </row>
    <row r="136" spans="1:16" ht="12.75" customHeight="1" x14ac:dyDescent="0.25">
      <c r="D136" s="1493"/>
      <c r="E136" s="1447"/>
      <c r="F136" s="1447"/>
      <c r="G136" s="1456" t="s">
        <v>533</v>
      </c>
      <c r="I136" s="1452"/>
      <c r="J136" s="1449"/>
      <c r="K136" s="1449"/>
      <c r="L136" s="1449"/>
      <c r="M136" s="1449"/>
      <c r="N136" s="1449"/>
      <c r="O136" s="1449"/>
      <c r="P136" s="134"/>
    </row>
    <row r="137" spans="1:16" ht="12.75" customHeight="1" x14ac:dyDescent="0.25">
      <c r="A137" s="1442">
        <v>604013</v>
      </c>
      <c r="B137" s="1434" t="str">
        <f>G135</f>
        <v xml:space="preserve">Archief </v>
      </c>
      <c r="D137" s="1497">
        <v>43806</v>
      </c>
      <c r="E137" s="1458"/>
      <c r="F137" s="1458"/>
      <c r="G137" s="1443" t="s">
        <v>546</v>
      </c>
      <c r="I137" s="1452"/>
      <c r="J137" s="1449">
        <v>0</v>
      </c>
      <c r="K137" s="1449">
        <v>0</v>
      </c>
      <c r="L137" s="1449">
        <f>ROUND(K137*T$2,0)</f>
        <v>0</v>
      </c>
      <c r="M137" s="1449">
        <f t="shared" ref="M137:O137" si="7">ROUND(L137*U$2,0)</f>
        <v>0</v>
      </c>
      <c r="N137" s="1449">
        <f t="shared" si="7"/>
        <v>0</v>
      </c>
      <c r="O137" s="1449">
        <f t="shared" si="7"/>
        <v>0</v>
      </c>
      <c r="P137" s="134"/>
    </row>
    <row r="138" spans="1:16" ht="12.75" customHeight="1" x14ac:dyDescent="0.25">
      <c r="A138" s="1442">
        <v>604013</v>
      </c>
      <c r="B138" s="1434" t="str">
        <f>G135</f>
        <v xml:space="preserve">Archief </v>
      </c>
      <c r="D138" s="1497">
        <v>43812</v>
      </c>
      <c r="E138" s="1458"/>
      <c r="F138" s="369"/>
      <c r="G138" s="1443" t="s">
        <v>535</v>
      </c>
      <c r="I138" s="1452"/>
      <c r="J138" s="1449">
        <v>4856</v>
      </c>
      <c r="K138" s="1449">
        <v>4982</v>
      </c>
      <c r="L138" s="1449">
        <f>L410</f>
        <v>5087</v>
      </c>
      <c r="M138" s="1449">
        <f>M410</f>
        <v>5204</v>
      </c>
      <c r="N138" s="1449">
        <f>N410</f>
        <v>5324</v>
      </c>
      <c r="O138" s="1449">
        <f>O410</f>
        <v>5446</v>
      </c>
      <c r="P138" s="134"/>
    </row>
    <row r="139" spans="1:16" ht="12.75" customHeight="1" x14ac:dyDescent="0.25">
      <c r="D139" s="1493"/>
      <c r="E139" s="1447"/>
      <c r="F139" s="1447"/>
      <c r="G139" s="1453" t="s">
        <v>536</v>
      </c>
      <c r="H139" s="549"/>
      <c r="I139" s="1454"/>
      <c r="J139" s="1827">
        <v>4856</v>
      </c>
      <c r="K139" s="1827">
        <v>4982</v>
      </c>
      <c r="L139" s="1827">
        <f>SUM(L137:L138)</f>
        <v>5087</v>
      </c>
      <c r="M139" s="1827">
        <f>SUM(M137:M138)</f>
        <v>5204</v>
      </c>
      <c r="N139" s="1827">
        <f>SUM(N137:N138)</f>
        <v>5324</v>
      </c>
      <c r="O139" s="1827">
        <f>SUM(O137:O138)</f>
        <v>5446</v>
      </c>
      <c r="P139" s="1455"/>
    </row>
    <row r="140" spans="1:16" ht="12.75" customHeight="1" x14ac:dyDescent="0.25">
      <c r="D140" s="1493"/>
      <c r="E140" s="1447"/>
      <c r="F140" s="1447"/>
      <c r="G140" s="1443"/>
      <c r="I140" s="1452"/>
      <c r="J140" s="1449"/>
      <c r="K140" s="1449"/>
      <c r="L140" s="1449"/>
      <c r="M140" s="1449"/>
      <c r="N140" s="1449"/>
      <c r="O140" s="1449"/>
      <c r="P140" s="134"/>
    </row>
    <row r="141" spans="1:16" ht="12.75" customHeight="1" x14ac:dyDescent="0.25">
      <c r="D141" s="1495">
        <v>604014</v>
      </c>
      <c r="E141" s="1451"/>
      <c r="F141" s="1451"/>
      <c r="G141" s="1453" t="s">
        <v>1596</v>
      </c>
      <c r="I141" s="1452"/>
      <c r="J141" s="1449"/>
      <c r="K141" s="1449"/>
      <c r="L141" s="1449"/>
      <c r="M141" s="1449"/>
      <c r="N141" s="1449"/>
      <c r="O141" s="1449"/>
      <c r="P141" s="134"/>
    </row>
    <row r="142" spans="1:16" ht="12.75" customHeight="1" x14ac:dyDescent="0.25">
      <c r="D142" s="1493"/>
      <c r="E142" s="1447"/>
      <c r="F142" s="1447"/>
      <c r="G142" s="1456" t="s">
        <v>533</v>
      </c>
      <c r="I142" s="1452"/>
      <c r="J142" s="1449"/>
      <c r="K142" s="1449"/>
      <c r="L142" s="1449"/>
      <c r="M142" s="1449"/>
      <c r="N142" s="1449"/>
      <c r="O142" s="1449"/>
      <c r="P142" s="134"/>
    </row>
    <row r="143" spans="1:16" ht="12.75" customHeight="1" x14ac:dyDescent="0.25">
      <c r="A143" s="1442">
        <v>604014</v>
      </c>
      <c r="B143" s="1434" t="str">
        <f>G141</f>
        <v xml:space="preserve">Bedrijfshulpverlening / BHV </v>
      </c>
      <c r="D143" s="1497">
        <v>43812</v>
      </c>
      <c r="E143" s="1458"/>
      <c r="F143" s="369"/>
      <c r="G143" s="1443" t="s">
        <v>535</v>
      </c>
      <c r="I143" s="1452"/>
      <c r="J143" s="1449">
        <v>6216</v>
      </c>
      <c r="K143" s="1449">
        <v>6390</v>
      </c>
      <c r="L143" s="1449">
        <f t="shared" ref="L143:O144" si="8">ROUND(K143*$R$2,0)</f>
        <v>6569</v>
      </c>
      <c r="M143" s="1449">
        <f t="shared" si="8"/>
        <v>6753</v>
      </c>
      <c r="N143" s="1449">
        <f t="shared" si="8"/>
        <v>6942</v>
      </c>
      <c r="O143" s="1449">
        <f t="shared" si="8"/>
        <v>7136</v>
      </c>
      <c r="P143" s="134"/>
    </row>
    <row r="144" spans="1:16" ht="12.75" customHeight="1" x14ac:dyDescent="0.25">
      <c r="A144" s="1442">
        <v>604014</v>
      </c>
      <c r="B144" s="1434" t="str">
        <f>G141</f>
        <v xml:space="preserve">Bedrijfshulpverlening / BHV </v>
      </c>
      <c r="D144" s="1497">
        <v>43818</v>
      </c>
      <c r="E144" s="1458"/>
      <c r="F144" s="1458"/>
      <c r="G144" s="1443" t="s">
        <v>1597</v>
      </c>
      <c r="I144" s="1452"/>
      <c r="J144" s="1449">
        <v>535</v>
      </c>
      <c r="K144" s="1449">
        <v>550</v>
      </c>
      <c r="L144" s="1449">
        <f t="shared" si="8"/>
        <v>565</v>
      </c>
      <c r="M144" s="1449">
        <f t="shared" si="8"/>
        <v>581</v>
      </c>
      <c r="N144" s="1449">
        <f t="shared" si="8"/>
        <v>597</v>
      </c>
      <c r="O144" s="1449">
        <f t="shared" si="8"/>
        <v>614</v>
      </c>
      <c r="P144" s="134"/>
    </row>
    <row r="145" spans="1:16" ht="12.75" customHeight="1" x14ac:dyDescent="0.25">
      <c r="D145" s="1493"/>
      <c r="E145" s="1447"/>
      <c r="F145" s="1447"/>
      <c r="G145" s="1453" t="s">
        <v>536</v>
      </c>
      <c r="H145" s="549"/>
      <c r="I145" s="1454"/>
      <c r="J145" s="1826">
        <v>6751</v>
      </c>
      <c r="K145" s="1826">
        <v>6940</v>
      </c>
      <c r="L145" s="1826">
        <f>SUM(L143:L144)</f>
        <v>7134</v>
      </c>
      <c r="M145" s="1826">
        <f>SUM(M143:M144)</f>
        <v>7334</v>
      </c>
      <c r="N145" s="1826">
        <f>SUM(N143:N144)</f>
        <v>7539</v>
      </c>
      <c r="O145" s="1826">
        <f>SUM(O143:O144)</f>
        <v>7750</v>
      </c>
      <c r="P145" s="1455"/>
    </row>
    <row r="146" spans="1:16" ht="12.75" customHeight="1" x14ac:dyDescent="0.25">
      <c r="D146" s="1493"/>
      <c r="E146" s="1447"/>
      <c r="F146" s="1447"/>
      <c r="G146" s="1443"/>
      <c r="I146" s="1452"/>
      <c r="J146" s="1449"/>
      <c r="K146" s="1449"/>
      <c r="L146" s="1449"/>
      <c r="M146" s="1449"/>
      <c r="N146" s="1449"/>
      <c r="O146" s="1449"/>
      <c r="P146" s="134"/>
    </row>
    <row r="147" spans="1:16" ht="12.75" customHeight="1" x14ac:dyDescent="0.25">
      <c r="D147" s="1495">
        <v>604015</v>
      </c>
      <c r="E147" s="1451"/>
      <c r="F147" s="1451"/>
      <c r="G147" s="1453" t="s">
        <v>1598</v>
      </c>
      <c r="I147" s="1452"/>
      <c r="J147" s="1449"/>
      <c r="K147" s="1449"/>
      <c r="L147" s="1449"/>
      <c r="M147" s="1449"/>
      <c r="N147" s="1449"/>
      <c r="O147" s="1449"/>
      <c r="P147" s="134"/>
    </row>
    <row r="148" spans="1:16" ht="12.75" customHeight="1" x14ac:dyDescent="0.25">
      <c r="D148" s="1493"/>
      <c r="E148" s="1447"/>
      <c r="F148" s="1447"/>
      <c r="G148" s="1456" t="s">
        <v>533</v>
      </c>
      <c r="I148" s="1452"/>
      <c r="J148" s="1449"/>
      <c r="K148" s="1449"/>
      <c r="L148" s="1449"/>
      <c r="M148" s="1449"/>
      <c r="N148" s="1449"/>
      <c r="O148" s="1449"/>
      <c r="P148" s="134"/>
    </row>
    <row r="149" spans="1:16" ht="12.75" customHeight="1" x14ac:dyDescent="0.25">
      <c r="A149" s="1442">
        <v>604015</v>
      </c>
      <c r="B149" s="1434" t="str">
        <f>G147</f>
        <v>Inventaris</v>
      </c>
      <c r="D149" s="1497">
        <v>43201</v>
      </c>
      <c r="E149" s="1458"/>
      <c r="F149" s="1458"/>
      <c r="G149" s="1443" t="s">
        <v>1584</v>
      </c>
      <c r="I149" s="1452"/>
      <c r="J149" s="1449">
        <v>8517</v>
      </c>
      <c r="K149" s="1449">
        <v>8738</v>
      </c>
      <c r="L149" s="1449">
        <f>ROUND(K149*T$2,0)</f>
        <v>8921</v>
      </c>
      <c r="M149" s="1449">
        <f t="shared" ref="M149" si="9">ROUND(L149*U$2,0)</f>
        <v>9126</v>
      </c>
      <c r="N149" s="1449">
        <f t="shared" ref="N149" si="10">ROUND(M149*V$2,0)</f>
        <v>9336</v>
      </c>
      <c r="O149" s="1449">
        <f t="shared" ref="O149" si="11">ROUND(N149*W$2,0)</f>
        <v>9551</v>
      </c>
      <c r="P149" s="134"/>
    </row>
    <row r="150" spans="1:16" ht="12.75" customHeight="1" x14ac:dyDescent="0.25">
      <c r="A150" s="1442">
        <v>604015</v>
      </c>
      <c r="B150" s="1434" t="str">
        <f>G147</f>
        <v>Inventaris</v>
      </c>
      <c r="D150" s="1497">
        <v>43812</v>
      </c>
      <c r="E150" s="1458"/>
      <c r="F150" s="369"/>
      <c r="G150" s="1443" t="s">
        <v>535</v>
      </c>
      <c r="I150" s="1452"/>
      <c r="J150" s="1449">
        <v>31587</v>
      </c>
      <c r="K150" s="1449">
        <v>32409</v>
      </c>
      <c r="L150" s="1449">
        <f>L427</f>
        <v>33089</v>
      </c>
      <c r="M150" s="1449">
        <f>M427</f>
        <v>33850</v>
      </c>
      <c r="N150" s="1449">
        <f>N427</f>
        <v>34629</v>
      </c>
      <c r="O150" s="1449">
        <f>O427</f>
        <v>35425</v>
      </c>
      <c r="P150" s="134"/>
    </row>
    <row r="151" spans="1:16" ht="12.75" customHeight="1" x14ac:dyDescent="0.25">
      <c r="D151" s="1494"/>
      <c r="E151" s="1463"/>
      <c r="F151" s="1463"/>
      <c r="G151" s="1453" t="s">
        <v>536</v>
      </c>
      <c r="H151" s="549"/>
      <c r="I151" s="1454"/>
      <c r="J151" s="1827">
        <v>40104</v>
      </c>
      <c r="K151" s="1827">
        <v>41147</v>
      </c>
      <c r="L151" s="1827">
        <f>SUM(L149:L150)</f>
        <v>42010</v>
      </c>
      <c r="M151" s="1827">
        <f>SUM(M149:M150)</f>
        <v>42976</v>
      </c>
      <c r="N151" s="1827">
        <f>SUM(N149:N150)</f>
        <v>43965</v>
      </c>
      <c r="O151" s="1827">
        <f>SUM(O149:O150)</f>
        <v>44976</v>
      </c>
      <c r="P151" s="1455"/>
    </row>
    <row r="152" spans="1:16" ht="12.75" customHeight="1" x14ac:dyDescent="0.25">
      <c r="D152" s="1495"/>
      <c r="E152" s="1451"/>
      <c r="F152" s="1451"/>
      <c r="G152" s="1443"/>
      <c r="I152" s="1452"/>
      <c r="J152" s="1449"/>
      <c r="K152" s="1449"/>
      <c r="L152" s="1449"/>
      <c r="M152" s="1449"/>
      <c r="N152" s="1449"/>
      <c r="O152" s="1449"/>
      <c r="P152" s="134"/>
    </row>
    <row r="153" spans="1:16" ht="12.75" customHeight="1" x14ac:dyDescent="0.25">
      <c r="D153" s="1450">
        <v>604016</v>
      </c>
      <c r="E153" s="1451"/>
      <c r="F153" s="1451"/>
      <c r="G153" s="1453" t="s">
        <v>1599</v>
      </c>
      <c r="I153" s="1452"/>
      <c r="J153" s="1449"/>
      <c r="K153" s="1449"/>
      <c r="L153" s="1449"/>
      <c r="M153" s="1449"/>
      <c r="N153" s="1449"/>
      <c r="O153" s="1449"/>
      <c r="P153" s="134"/>
    </row>
    <row r="154" spans="1:16" ht="12.75" customHeight="1" x14ac:dyDescent="0.25">
      <c r="D154" s="1495"/>
      <c r="E154" s="1451"/>
      <c r="F154" s="1451"/>
      <c r="G154" s="1456" t="s">
        <v>533</v>
      </c>
      <c r="I154" s="1585"/>
      <c r="J154" s="1449"/>
      <c r="K154" s="1449"/>
      <c r="L154" s="1449"/>
      <c r="M154" s="1449"/>
      <c r="N154" s="1449"/>
      <c r="O154" s="1449"/>
      <c r="P154" s="134"/>
    </row>
    <row r="155" spans="1:16" ht="12.75" customHeight="1" x14ac:dyDescent="0.25">
      <c r="A155" s="1442">
        <f>+D153</f>
        <v>604016</v>
      </c>
      <c r="B155" s="1434" t="str">
        <f>+G153</f>
        <v>Facilitaire Zaken</v>
      </c>
      <c r="D155" s="1497">
        <v>43812</v>
      </c>
      <c r="E155" s="1458"/>
      <c r="F155" s="369"/>
      <c r="G155" s="1443" t="s">
        <v>535</v>
      </c>
      <c r="I155" s="1452"/>
      <c r="J155" s="1449">
        <v>59544</v>
      </c>
      <c r="K155" s="1449">
        <v>61092</v>
      </c>
      <c r="L155" s="1449">
        <f>+L339</f>
        <v>62375</v>
      </c>
      <c r="M155" s="1449">
        <f>+M339</f>
        <v>63810</v>
      </c>
      <c r="N155" s="1449">
        <f>+N339</f>
        <v>65278</v>
      </c>
      <c r="O155" s="1449">
        <f>+O339</f>
        <v>66779</v>
      </c>
      <c r="P155" s="134"/>
    </row>
    <row r="156" spans="1:16" ht="12.75" customHeight="1" x14ac:dyDescent="0.25">
      <c r="D156" s="1493"/>
      <c r="E156" s="1447"/>
      <c r="F156" s="1447"/>
      <c r="G156" s="1453" t="s">
        <v>536</v>
      </c>
      <c r="H156" s="549"/>
      <c r="I156" s="1454"/>
      <c r="J156" s="1826">
        <v>59544</v>
      </c>
      <c r="K156" s="1826">
        <v>61092</v>
      </c>
      <c r="L156" s="1826">
        <f>SUM(L155:L155)</f>
        <v>62375</v>
      </c>
      <c r="M156" s="1826">
        <f>SUM(M155:M155)</f>
        <v>63810</v>
      </c>
      <c r="N156" s="1826">
        <f>SUM(N155:N155)</f>
        <v>65278</v>
      </c>
      <c r="O156" s="1826">
        <f>SUM(O155:O155)</f>
        <v>66779</v>
      </c>
      <c r="P156" s="1455"/>
    </row>
    <row r="157" spans="1:16" ht="12.75" customHeight="1" x14ac:dyDescent="0.25">
      <c r="D157" s="1447"/>
      <c r="E157" s="1447"/>
      <c r="F157" s="1447"/>
      <c r="G157" s="1443"/>
      <c r="I157" s="1452"/>
      <c r="J157" s="1449"/>
      <c r="K157" s="1449"/>
      <c r="L157" s="1449"/>
      <c r="M157" s="1449"/>
      <c r="N157" s="1449"/>
      <c r="O157" s="1449"/>
      <c r="P157" s="134"/>
    </row>
    <row r="158" spans="1:16" ht="12.75" customHeight="1" x14ac:dyDescent="0.25">
      <c r="A158" s="1442"/>
      <c r="D158" s="1450">
        <v>604017</v>
      </c>
      <c r="E158" s="1451"/>
      <c r="F158" s="1451"/>
      <c r="G158" s="1453" t="s">
        <v>436</v>
      </c>
      <c r="I158" s="1452"/>
      <c r="J158" s="1449"/>
      <c r="K158" s="1449"/>
      <c r="L158" s="1449"/>
      <c r="M158" s="1449"/>
      <c r="N158" s="1449"/>
      <c r="O158" s="1449"/>
      <c r="P158" s="134"/>
    </row>
    <row r="159" spans="1:16" ht="12.75" customHeight="1" x14ac:dyDescent="0.25">
      <c r="A159" s="1442"/>
      <c r="D159" s="1450"/>
      <c r="E159" s="1451"/>
      <c r="F159" s="1451"/>
      <c r="G159" s="1456" t="s">
        <v>533</v>
      </c>
      <c r="I159" s="1452"/>
      <c r="J159" s="1449"/>
      <c r="K159" s="1449"/>
      <c r="L159" s="1449"/>
      <c r="M159" s="1449"/>
      <c r="N159" s="1449"/>
      <c r="O159" s="1449"/>
      <c r="P159" s="134"/>
    </row>
    <row r="160" spans="1:16" ht="12.75" customHeight="1" x14ac:dyDescent="0.25">
      <c r="A160" s="1442">
        <v>604017</v>
      </c>
      <c r="B160" s="1434" t="str">
        <f>G158</f>
        <v>Automatisering</v>
      </c>
      <c r="D160" s="1458">
        <v>41100</v>
      </c>
      <c r="E160" s="1451"/>
      <c r="F160" s="1451"/>
      <c r="G160" s="1443" t="s">
        <v>700</v>
      </c>
      <c r="I160" s="1452"/>
      <c r="J160" s="1449">
        <v>133800</v>
      </c>
      <c r="K160" s="1449">
        <v>31600</v>
      </c>
      <c r="L160" s="1449">
        <f>L450</f>
        <v>32900</v>
      </c>
      <c r="M160" s="1449">
        <f>M450</f>
        <v>34100</v>
      </c>
      <c r="N160" s="1449">
        <f>N450</f>
        <v>35400</v>
      </c>
      <c r="O160" s="1449">
        <f>O450</f>
        <v>36700</v>
      </c>
      <c r="P160" s="134"/>
    </row>
    <row r="161" spans="1:16" ht="12.75" customHeight="1" x14ac:dyDescent="0.25">
      <c r="A161" s="1442">
        <v>604017</v>
      </c>
      <c r="B161" s="1434" t="str">
        <f>G158</f>
        <v>Automatisering</v>
      </c>
      <c r="D161" s="1458">
        <v>43511</v>
      </c>
      <c r="E161" s="1458"/>
      <c r="F161" s="1458"/>
      <c r="G161" s="1443" t="s">
        <v>560</v>
      </c>
      <c r="I161" s="1452"/>
      <c r="J161" s="1449">
        <v>35952</v>
      </c>
      <c r="K161" s="1449">
        <v>36887</v>
      </c>
      <c r="L161" s="1449">
        <f>+L453</f>
        <v>37662</v>
      </c>
      <c r="M161" s="1449">
        <f>+M453</f>
        <v>38528</v>
      </c>
      <c r="N161" s="1449">
        <f>+N453</f>
        <v>39414</v>
      </c>
      <c r="O161" s="1449">
        <f>+O453</f>
        <v>40321</v>
      </c>
      <c r="P161" s="134"/>
    </row>
    <row r="162" spans="1:16" ht="12.75" customHeight="1" x14ac:dyDescent="0.25">
      <c r="A162" s="1442">
        <v>604017</v>
      </c>
      <c r="B162" s="1434" t="str">
        <f>G158</f>
        <v>Automatisering</v>
      </c>
      <c r="D162" s="1458">
        <v>43806</v>
      </c>
      <c r="E162" s="1458"/>
      <c r="F162" s="1458"/>
      <c r="G162" s="1443" t="s">
        <v>546</v>
      </c>
      <c r="I162" s="1452"/>
      <c r="J162" s="1449">
        <v>3202</v>
      </c>
      <c r="K162" s="1449">
        <v>3285</v>
      </c>
      <c r="L162" s="1449">
        <f>L456</f>
        <v>3354</v>
      </c>
      <c r="M162" s="1449">
        <f>M456</f>
        <v>3431</v>
      </c>
      <c r="N162" s="1449">
        <f>N456</f>
        <v>3510</v>
      </c>
      <c r="O162" s="1449">
        <f>O456</f>
        <v>3591</v>
      </c>
      <c r="P162" s="134"/>
    </row>
    <row r="163" spans="1:16" ht="12.75" customHeight="1" x14ac:dyDescent="0.25">
      <c r="A163" s="1442">
        <v>604017</v>
      </c>
      <c r="B163" s="1434" t="str">
        <f>G158</f>
        <v>Automatisering</v>
      </c>
      <c r="D163" s="1458">
        <v>43812</v>
      </c>
      <c r="E163" s="1458"/>
      <c r="F163" s="369"/>
      <c r="G163" s="1443" t="s">
        <v>535</v>
      </c>
      <c r="I163" s="1452"/>
      <c r="J163" s="1449">
        <v>1251261</v>
      </c>
      <c r="K163" s="1449">
        <v>1823693.2999999998</v>
      </c>
      <c r="L163" s="1449">
        <f>+L501</f>
        <v>1851537</v>
      </c>
      <c r="M163" s="1449">
        <f>+M501</f>
        <v>1382612</v>
      </c>
      <c r="N163" s="1449">
        <f>+N501</f>
        <v>1414449</v>
      </c>
      <c r="O163" s="1449">
        <f>+O501</f>
        <v>1446956</v>
      </c>
      <c r="P163" s="134"/>
    </row>
    <row r="164" spans="1:16" ht="12.75" customHeight="1" x14ac:dyDescent="0.25">
      <c r="A164" s="1442"/>
      <c r="D164" s="1463"/>
      <c r="E164" s="1463"/>
      <c r="F164" s="1463"/>
      <c r="G164" s="1453" t="s">
        <v>536</v>
      </c>
      <c r="H164" s="549"/>
      <c r="I164" s="1454"/>
      <c r="J164" s="1827">
        <v>1424215</v>
      </c>
      <c r="K164" s="1827">
        <v>1895465.2999999998</v>
      </c>
      <c r="L164" s="1827">
        <f>SUM(L160:L163)</f>
        <v>1925453</v>
      </c>
      <c r="M164" s="1827">
        <f>SUM(M160:M163)</f>
        <v>1458671</v>
      </c>
      <c r="N164" s="1827">
        <f>SUM(N160:N163)</f>
        <v>1492773</v>
      </c>
      <c r="O164" s="1827">
        <f>SUM(O160:O163)</f>
        <v>1527568</v>
      </c>
      <c r="P164" s="1455"/>
    </row>
    <row r="165" spans="1:16" ht="12.75" customHeight="1" x14ac:dyDescent="0.25">
      <c r="A165" s="1442"/>
      <c r="D165" s="1447"/>
      <c r="E165" s="1447"/>
      <c r="F165" s="1447"/>
      <c r="G165" s="1443"/>
      <c r="I165" s="1452"/>
      <c r="J165" s="1449"/>
      <c r="K165" s="1449"/>
      <c r="L165" s="1449"/>
      <c r="M165" s="1449"/>
      <c r="N165" s="1449"/>
      <c r="O165" s="1449"/>
      <c r="P165" s="134"/>
    </row>
    <row r="166" spans="1:16" ht="12.75" customHeight="1" x14ac:dyDescent="0.25">
      <c r="A166" s="1442"/>
      <c r="D166" s="1450">
        <v>604018</v>
      </c>
      <c r="E166" s="1451"/>
      <c r="F166" s="1451"/>
      <c r="G166" s="1453" t="s">
        <v>1600</v>
      </c>
      <c r="I166" s="1452"/>
      <c r="J166" s="1449"/>
      <c r="K166" s="1449"/>
      <c r="L166" s="1449"/>
      <c r="M166" s="1449"/>
      <c r="N166" s="1449"/>
      <c r="O166" s="1449"/>
      <c r="P166" s="134"/>
    </row>
    <row r="167" spans="1:16" ht="12.75" customHeight="1" x14ac:dyDescent="0.25">
      <c r="A167" s="1442"/>
      <c r="D167" s="1450"/>
      <c r="E167" s="1451"/>
      <c r="F167" s="1451"/>
      <c r="G167" s="1456" t="s">
        <v>533</v>
      </c>
      <c r="I167" s="1452"/>
      <c r="J167" s="1449"/>
      <c r="K167" s="1449"/>
      <c r="L167" s="1449"/>
      <c r="M167" s="1449"/>
      <c r="N167" s="1449"/>
      <c r="O167" s="1449"/>
      <c r="P167" s="134"/>
    </row>
    <row r="168" spans="1:16" ht="12.75" customHeight="1" x14ac:dyDescent="0.25">
      <c r="A168" s="1442">
        <v>604018</v>
      </c>
      <c r="B168" s="1434" t="s">
        <v>1601</v>
      </c>
      <c r="D168" s="1458">
        <v>43812</v>
      </c>
      <c r="E168" s="1451"/>
      <c r="F168" s="1451"/>
      <c r="G168" s="1443" t="s">
        <v>535</v>
      </c>
      <c r="I168" s="1452"/>
      <c r="J168" s="1449">
        <v>101464</v>
      </c>
      <c r="K168" s="1449">
        <v>62709</v>
      </c>
      <c r="L168" s="1449">
        <f>L437</f>
        <v>63964</v>
      </c>
      <c r="M168" s="1449">
        <f>M437</f>
        <v>65499</v>
      </c>
      <c r="N168" s="1449">
        <f>N437</f>
        <v>67069</v>
      </c>
      <c r="O168" s="1449">
        <f>O437</f>
        <v>68546</v>
      </c>
      <c r="P168" s="134"/>
    </row>
    <row r="169" spans="1:16" ht="12.75" customHeight="1" x14ac:dyDescent="0.25">
      <c r="A169" s="1442"/>
      <c r="D169" s="1463"/>
      <c r="E169" s="1463"/>
      <c r="F169" s="1463"/>
      <c r="G169" s="1453" t="s">
        <v>536</v>
      </c>
      <c r="H169" s="549"/>
      <c r="I169" s="1454"/>
      <c r="J169" s="1826">
        <v>101464</v>
      </c>
      <c r="K169" s="1826">
        <v>62709</v>
      </c>
      <c r="L169" s="1826">
        <f>SUM(L168:L168)</f>
        <v>63964</v>
      </c>
      <c r="M169" s="1826">
        <f>SUM(M168:M168)</f>
        <v>65499</v>
      </c>
      <c r="N169" s="1826">
        <f>SUM(N168:N168)</f>
        <v>67069</v>
      </c>
      <c r="O169" s="1826">
        <f>SUM(O168:O168)</f>
        <v>68546</v>
      </c>
      <c r="P169" s="1455"/>
    </row>
    <row r="170" spans="1:16" ht="12.75" customHeight="1" x14ac:dyDescent="0.25">
      <c r="A170" s="1442"/>
      <c r="D170" s="1447"/>
      <c r="E170" s="1447"/>
      <c r="F170" s="1447"/>
      <c r="G170" s="1443"/>
      <c r="I170" s="1452"/>
      <c r="J170" s="1449"/>
      <c r="K170" s="1449"/>
      <c r="L170" s="1449"/>
      <c r="M170" s="1449"/>
      <c r="N170" s="1449"/>
      <c r="O170" s="1449"/>
      <c r="P170" s="134"/>
    </row>
    <row r="171" spans="1:16" ht="12.75" customHeight="1" x14ac:dyDescent="0.25">
      <c r="A171" s="1442"/>
      <c r="D171" s="1450">
        <v>604019</v>
      </c>
      <c r="E171" s="1451"/>
      <c r="F171" s="1451"/>
      <c r="G171" s="1453" t="s">
        <v>1601</v>
      </c>
      <c r="I171" s="1452"/>
      <c r="J171" s="1449"/>
      <c r="K171" s="1449"/>
      <c r="L171" s="1449"/>
      <c r="M171" s="1449"/>
      <c r="N171" s="1449"/>
      <c r="O171" s="1449"/>
      <c r="P171" s="134"/>
    </row>
    <row r="172" spans="1:16" ht="12.75" customHeight="1" x14ac:dyDescent="0.25">
      <c r="A172" s="1442"/>
      <c r="D172" s="1450"/>
      <c r="E172" s="1451"/>
      <c r="F172" s="1451"/>
      <c r="G172" s="1456" t="s">
        <v>533</v>
      </c>
      <c r="I172" s="1452"/>
      <c r="J172" s="1449"/>
      <c r="K172" s="1449"/>
      <c r="L172" s="1449"/>
      <c r="M172" s="1449"/>
      <c r="N172" s="1449"/>
      <c r="O172" s="1449"/>
      <c r="P172" s="134"/>
    </row>
    <row r="173" spans="1:16" ht="12.75" customHeight="1" x14ac:dyDescent="0.25">
      <c r="A173" s="1442">
        <v>604019</v>
      </c>
      <c r="B173" s="1434" t="str">
        <f>G171</f>
        <v>Informatievoorziening</v>
      </c>
      <c r="D173" s="1447">
        <v>43812</v>
      </c>
      <c r="E173" s="1447"/>
      <c r="F173" s="369"/>
      <c r="G173" s="1443" t="s">
        <v>535</v>
      </c>
      <c r="I173" s="1452"/>
      <c r="J173" s="1449">
        <v>125456</v>
      </c>
      <c r="K173" s="1449">
        <v>128718</v>
      </c>
      <c r="L173" s="1449">
        <f>L519</f>
        <v>131421</v>
      </c>
      <c r="M173" s="1449">
        <f>M519</f>
        <v>134443</v>
      </c>
      <c r="N173" s="1449">
        <f>N519</f>
        <v>137535</v>
      </c>
      <c r="O173" s="1449">
        <f>O519</f>
        <v>140698</v>
      </c>
      <c r="P173" s="134"/>
    </row>
    <row r="174" spans="1:16" ht="12.75" customHeight="1" x14ac:dyDescent="0.25">
      <c r="A174" s="1442"/>
      <c r="D174" s="1463"/>
      <c r="E174" s="1463"/>
      <c r="F174" s="1463"/>
      <c r="G174" s="1453" t="s">
        <v>536</v>
      </c>
      <c r="H174" s="549"/>
      <c r="I174" s="1454"/>
      <c r="J174" s="1826">
        <v>125456</v>
      </c>
      <c r="K174" s="1826">
        <v>128718</v>
      </c>
      <c r="L174" s="1826">
        <f>SUM(L173:L173)</f>
        <v>131421</v>
      </c>
      <c r="M174" s="1826">
        <f>SUM(M173:M173)</f>
        <v>134443</v>
      </c>
      <c r="N174" s="1826">
        <f>SUM(N173:N173)</f>
        <v>137535</v>
      </c>
      <c r="O174" s="1826">
        <f>SUM(O173:O173)</f>
        <v>140698</v>
      </c>
      <c r="P174" s="1455"/>
    </row>
    <row r="175" spans="1:16" ht="12.75" customHeight="1" x14ac:dyDescent="0.25">
      <c r="A175" s="1442"/>
      <c r="D175" s="1460"/>
      <c r="E175" s="1463"/>
      <c r="F175" s="1463"/>
      <c r="G175" s="1443"/>
      <c r="I175" s="1452"/>
      <c r="J175" s="1449"/>
      <c r="K175" s="1449"/>
      <c r="L175" s="1449"/>
      <c r="M175" s="1449"/>
      <c r="N175" s="1449"/>
      <c r="O175" s="1449"/>
      <c r="P175" s="134"/>
    </row>
    <row r="176" spans="1:16" ht="12.75" customHeight="1" x14ac:dyDescent="0.25">
      <c r="A176" s="1442"/>
      <c r="D176" s="1460">
        <v>604019</v>
      </c>
      <c r="E176" s="1451"/>
      <c r="F176" s="1463"/>
      <c r="G176" s="1453" t="s">
        <v>1602</v>
      </c>
      <c r="I176" s="1452"/>
      <c r="J176" s="1449"/>
      <c r="K176" s="1449"/>
      <c r="L176" s="1449"/>
      <c r="M176" s="1449"/>
      <c r="N176" s="1449"/>
      <c r="O176" s="1449"/>
      <c r="P176" s="134"/>
    </row>
    <row r="177" spans="1:16" ht="12.75" customHeight="1" x14ac:dyDescent="0.25">
      <c r="A177" s="1442"/>
      <c r="D177" s="1460"/>
      <c r="E177" s="1463"/>
      <c r="F177" s="1463"/>
      <c r="G177" s="1456" t="s">
        <v>533</v>
      </c>
      <c r="I177" s="1452"/>
      <c r="J177" s="1449"/>
      <c r="K177" s="1449"/>
      <c r="L177" s="1449"/>
      <c r="M177" s="1449"/>
      <c r="N177" s="1449"/>
      <c r="O177" s="1449"/>
      <c r="P177" s="134"/>
    </row>
    <row r="178" spans="1:16" ht="12.75" customHeight="1" x14ac:dyDescent="0.25">
      <c r="A178" s="1442">
        <f>+D176</f>
        <v>604019</v>
      </c>
      <c r="B178" s="1434" t="str">
        <f>+G171</f>
        <v>Informatievoorziening</v>
      </c>
      <c r="D178" s="1447">
        <v>43812</v>
      </c>
      <c r="E178" s="1447"/>
      <c r="F178" s="369"/>
      <c r="G178" s="1443" t="s">
        <v>535</v>
      </c>
      <c r="I178" s="1452"/>
      <c r="J178" s="1449">
        <v>9905</v>
      </c>
      <c r="K178" s="1449">
        <v>10162</v>
      </c>
      <c r="L178" s="1449">
        <f>L535</f>
        <v>10375</v>
      </c>
      <c r="M178" s="1449">
        <f>M535</f>
        <v>10613.78</v>
      </c>
      <c r="N178" s="1449">
        <f>N535</f>
        <v>10858.26</v>
      </c>
      <c r="O178" s="1449">
        <f>O535</f>
        <v>11107.91</v>
      </c>
      <c r="P178" s="134"/>
    </row>
    <row r="179" spans="1:16" ht="12.75" customHeight="1" x14ac:dyDescent="0.25">
      <c r="A179" s="1442"/>
      <c r="D179" s="1447"/>
      <c r="E179" s="1447"/>
      <c r="F179" s="1447"/>
      <c r="G179" s="1453" t="s">
        <v>536</v>
      </c>
      <c r="I179" s="1454"/>
      <c r="J179" s="1826">
        <v>9905</v>
      </c>
      <c r="K179" s="1826">
        <v>10162</v>
      </c>
      <c r="L179" s="1826">
        <f>SUM(L178)</f>
        <v>10375</v>
      </c>
      <c r="M179" s="1826">
        <f>SUM(M178)</f>
        <v>10613.78</v>
      </c>
      <c r="N179" s="1826">
        <f>SUM(N178)</f>
        <v>10858.26</v>
      </c>
      <c r="O179" s="1826">
        <f>SUM(O178)</f>
        <v>11107.91</v>
      </c>
      <c r="P179" s="1455"/>
    </row>
    <row r="180" spans="1:16" ht="12.75" customHeight="1" x14ac:dyDescent="0.25">
      <c r="D180" s="1447"/>
      <c r="E180" s="1447"/>
      <c r="F180" s="1447"/>
      <c r="G180" s="1443"/>
      <c r="I180" s="1452"/>
      <c r="J180" s="1449"/>
      <c r="K180" s="1449"/>
      <c r="L180" s="1449"/>
      <c r="M180" s="1449"/>
      <c r="N180" s="1449"/>
      <c r="O180" s="1449"/>
      <c r="P180" s="134"/>
    </row>
    <row r="181" spans="1:16" ht="12.75" customHeight="1" x14ac:dyDescent="0.25">
      <c r="A181" s="1442"/>
      <c r="D181" s="1450">
        <v>604021</v>
      </c>
      <c r="E181" s="1451"/>
      <c r="F181" s="1451"/>
      <c r="G181" s="1453" t="s">
        <v>1603</v>
      </c>
      <c r="I181" s="1452"/>
      <c r="J181" s="1449"/>
      <c r="K181" s="1449"/>
      <c r="L181" s="1449"/>
      <c r="M181" s="1449"/>
      <c r="N181" s="1449"/>
      <c r="O181" s="1449"/>
      <c r="P181" s="134"/>
    </row>
    <row r="182" spans="1:16" ht="12.75" customHeight="1" x14ac:dyDescent="0.25">
      <c r="A182" s="1442"/>
      <c r="D182" s="1460"/>
      <c r="E182" s="1463"/>
      <c r="F182" s="1463"/>
      <c r="G182" s="1456" t="s">
        <v>533</v>
      </c>
      <c r="I182" s="1452"/>
      <c r="J182" s="1449"/>
      <c r="K182" s="1449"/>
      <c r="L182" s="1449"/>
      <c r="M182" s="1449"/>
      <c r="N182" s="1449"/>
      <c r="O182" s="1449"/>
      <c r="P182" s="134"/>
    </row>
    <row r="183" spans="1:16" ht="12.75" customHeight="1" x14ac:dyDescent="0.25">
      <c r="A183" s="1442">
        <f>+D181</f>
        <v>604021</v>
      </c>
      <c r="B183" s="1434" t="str">
        <f>G181</f>
        <v>GBA</v>
      </c>
      <c r="D183" s="1447">
        <v>43812</v>
      </c>
      <c r="E183" s="1447"/>
      <c r="F183" s="369"/>
      <c r="G183" s="1443" t="s">
        <v>535</v>
      </c>
      <c r="I183" s="1452"/>
      <c r="J183" s="1449">
        <v>7116</v>
      </c>
      <c r="K183" s="1449">
        <v>7301</v>
      </c>
      <c r="L183" s="1449">
        <f>L552</f>
        <v>7454</v>
      </c>
      <c r="M183" s="1449">
        <f>M552</f>
        <v>7625</v>
      </c>
      <c r="N183" s="1449">
        <f>N552</f>
        <v>7800</v>
      </c>
      <c r="O183" s="1449">
        <f>O552</f>
        <v>7979</v>
      </c>
      <c r="P183" s="134"/>
    </row>
    <row r="184" spans="1:16" ht="12.75" customHeight="1" x14ac:dyDescent="0.25">
      <c r="A184" s="1442"/>
      <c r="D184" s="1447"/>
      <c r="E184" s="1447"/>
      <c r="F184" s="1447"/>
      <c r="G184" s="1453" t="s">
        <v>536</v>
      </c>
      <c r="I184" s="1454"/>
      <c r="J184" s="1826">
        <v>7116</v>
      </c>
      <c r="K184" s="1826">
        <v>7301</v>
      </c>
      <c r="L184" s="1826">
        <f>SUM(L183)</f>
        <v>7454</v>
      </c>
      <c r="M184" s="1826">
        <f>SUM(M183)</f>
        <v>7625</v>
      </c>
      <c r="N184" s="1826">
        <f>SUM(N183)</f>
        <v>7800</v>
      </c>
      <c r="O184" s="1826">
        <f>SUM(O183)</f>
        <v>7979</v>
      </c>
      <c r="P184" s="1455"/>
    </row>
    <row r="185" spans="1:16" ht="12.75" customHeight="1" x14ac:dyDescent="0.25">
      <c r="A185" s="1442"/>
      <c r="D185" s="1447"/>
      <c r="E185" s="1447"/>
      <c r="F185" s="1447"/>
      <c r="G185" s="1443"/>
      <c r="I185" s="1452"/>
      <c r="J185" s="1449"/>
      <c r="K185" s="1449"/>
      <c r="L185" s="1449"/>
      <c r="M185" s="1449"/>
      <c r="N185" s="1449"/>
      <c r="O185" s="1449"/>
      <c r="P185" s="134"/>
    </row>
    <row r="186" spans="1:16" ht="12.75" customHeight="1" x14ac:dyDescent="0.25">
      <c r="A186" s="1442"/>
      <c r="D186" s="1460">
        <v>604022</v>
      </c>
      <c r="E186" s="1451"/>
      <c r="F186" s="1463"/>
      <c r="G186" s="1453" t="s">
        <v>1604</v>
      </c>
      <c r="I186" s="1452"/>
      <c r="J186" s="1449"/>
      <c r="K186" s="1449"/>
      <c r="L186" s="1449"/>
      <c r="M186" s="1449"/>
      <c r="N186" s="1449"/>
      <c r="O186" s="1449"/>
      <c r="P186" s="134"/>
    </row>
    <row r="187" spans="1:16" ht="12.75" customHeight="1" x14ac:dyDescent="0.25">
      <c r="A187" s="1442"/>
      <c r="D187" s="1460"/>
      <c r="E187" s="1463"/>
      <c r="F187" s="1463"/>
      <c r="G187" s="1456" t="s">
        <v>533</v>
      </c>
      <c r="I187" s="1452"/>
      <c r="J187" s="1449"/>
      <c r="K187" s="1449"/>
      <c r="L187" s="1449"/>
      <c r="M187" s="1449"/>
      <c r="N187" s="1449"/>
      <c r="O187" s="1449"/>
      <c r="P187" s="134"/>
    </row>
    <row r="188" spans="1:16" ht="12.75" customHeight="1" x14ac:dyDescent="0.25">
      <c r="A188" s="1442">
        <f>+D186</f>
        <v>604022</v>
      </c>
      <c r="B188" s="1434" t="str">
        <f>G186</f>
        <v>Implementatie BIG, ICT partner (P248)</v>
      </c>
      <c r="D188" s="1586">
        <v>43812</v>
      </c>
      <c r="E188" s="1586"/>
      <c r="F188" s="369"/>
      <c r="G188" s="1443" t="s">
        <v>535</v>
      </c>
      <c r="I188" s="1452"/>
      <c r="J188" s="1449">
        <v>0</v>
      </c>
      <c r="K188" s="1449">
        <v>0</v>
      </c>
      <c r="L188" s="1449">
        <v>0</v>
      </c>
      <c r="M188" s="1449">
        <v>0</v>
      </c>
      <c r="N188" s="1449">
        <v>0</v>
      </c>
      <c r="O188" s="1449">
        <v>0</v>
      </c>
      <c r="P188" s="134"/>
    </row>
    <row r="189" spans="1:16" ht="12.75" customHeight="1" x14ac:dyDescent="0.25">
      <c r="A189" s="1442"/>
      <c r="D189" s="1586"/>
      <c r="E189" s="1586"/>
      <c r="F189" s="1586"/>
      <c r="G189" s="1453" t="s">
        <v>536</v>
      </c>
      <c r="I189" s="1454"/>
      <c r="J189" s="1826">
        <v>0</v>
      </c>
      <c r="K189" s="1826">
        <v>0</v>
      </c>
      <c r="L189" s="1826">
        <f>SUM(L187:L188)</f>
        <v>0</v>
      </c>
      <c r="M189" s="1826">
        <f>SUM(M187:M188)</f>
        <v>0</v>
      </c>
      <c r="N189" s="1826">
        <f>SUM(N187:N188)</f>
        <v>0</v>
      </c>
      <c r="O189" s="1826">
        <f>SUM(O187:O188)</f>
        <v>0</v>
      </c>
      <c r="P189" s="1455"/>
    </row>
    <row r="190" spans="1:16" ht="12.75" customHeight="1" x14ac:dyDescent="0.25">
      <c r="D190" s="373"/>
      <c r="E190" s="374"/>
      <c r="F190" s="373"/>
      <c r="G190" s="375"/>
      <c r="H190" s="361"/>
      <c r="I190" s="372"/>
      <c r="J190" s="1587"/>
      <c r="K190" s="1587"/>
      <c r="L190" s="1587"/>
      <c r="M190" s="1587"/>
      <c r="N190" s="1587"/>
      <c r="O190" s="1587"/>
      <c r="P190" s="1588"/>
    </row>
    <row r="191" spans="1:16" ht="12.75" customHeight="1" x14ac:dyDescent="0.25">
      <c r="D191" s="1495">
        <v>604011</v>
      </c>
      <c r="E191" s="1451"/>
      <c r="F191" s="1451"/>
      <c r="G191" s="1453" t="s">
        <v>1605</v>
      </c>
      <c r="I191" s="1452"/>
      <c r="J191" s="1449"/>
      <c r="K191" s="1449"/>
      <c r="L191" s="1449"/>
      <c r="M191" s="1449"/>
      <c r="N191" s="1449"/>
      <c r="O191" s="1449"/>
      <c r="P191" s="134"/>
    </row>
    <row r="192" spans="1:16" ht="12.75" customHeight="1" x14ac:dyDescent="0.25">
      <c r="D192" s="1493"/>
      <c r="E192" s="1447"/>
      <c r="F192" s="1447"/>
      <c r="G192" s="1456" t="s">
        <v>554</v>
      </c>
      <c r="I192" s="1452"/>
      <c r="J192" s="1449"/>
      <c r="K192" s="1449"/>
      <c r="L192" s="1449"/>
      <c r="M192" s="1449"/>
      <c r="N192" s="1449"/>
      <c r="O192" s="1449"/>
      <c r="P192" s="134"/>
    </row>
    <row r="193" spans="1:20" ht="12.75" customHeight="1" x14ac:dyDescent="0.25">
      <c r="A193" s="1442">
        <f>+D191</f>
        <v>604011</v>
      </c>
      <c r="B193" s="1434" t="str">
        <f>G191</f>
        <v xml:space="preserve">Huisdrukkerij </v>
      </c>
      <c r="D193" s="1497">
        <v>83700</v>
      </c>
      <c r="E193" s="1458"/>
      <c r="F193" s="1458"/>
      <c r="G193" s="1443" t="s">
        <v>737</v>
      </c>
      <c r="I193" s="1452"/>
      <c r="J193" s="1449">
        <v>-4318</v>
      </c>
      <c r="K193" s="1449">
        <v>-4430</v>
      </c>
      <c r="L193" s="1449">
        <f>L559</f>
        <v>-4523</v>
      </c>
      <c r="M193" s="1449">
        <f>M559</f>
        <v>-4627</v>
      </c>
      <c r="N193" s="1449">
        <f>N559</f>
        <v>-4733</v>
      </c>
      <c r="O193" s="1449">
        <f>O559</f>
        <v>-4842</v>
      </c>
      <c r="P193" s="134"/>
    </row>
    <row r="194" spans="1:20" ht="12.75" customHeight="1" x14ac:dyDescent="0.25">
      <c r="D194" s="1494"/>
      <c r="E194" s="1463"/>
      <c r="F194" s="1463"/>
      <c r="G194" s="1453" t="s">
        <v>536</v>
      </c>
      <c r="H194" s="549"/>
      <c r="I194" s="1454"/>
      <c r="J194" s="1826">
        <v>-4318</v>
      </c>
      <c r="K194" s="1826">
        <v>-4430</v>
      </c>
      <c r="L194" s="1826">
        <f>SUM(L192:L193)</f>
        <v>-4523</v>
      </c>
      <c r="M194" s="1826">
        <f>SUM(M192:M193)</f>
        <v>-4627</v>
      </c>
      <c r="N194" s="1826">
        <f>SUM(N192:N193)</f>
        <v>-4733</v>
      </c>
      <c r="O194" s="1826">
        <f>SUM(O192:O193)</f>
        <v>-4842</v>
      </c>
      <c r="P194" s="1455"/>
    </row>
    <row r="195" spans="1:20" ht="12.75" customHeight="1" x14ac:dyDescent="0.25">
      <c r="D195" s="1493"/>
      <c r="E195" s="1447"/>
      <c r="F195" s="1447"/>
      <c r="G195" s="1443"/>
      <c r="I195" s="1452"/>
      <c r="J195" s="1449"/>
      <c r="K195" s="1449"/>
      <c r="L195" s="1449"/>
      <c r="M195" s="1449"/>
      <c r="N195" s="1449"/>
      <c r="O195" s="1449"/>
      <c r="P195" s="134"/>
    </row>
    <row r="196" spans="1:20" ht="12.75" customHeight="1" x14ac:dyDescent="0.25">
      <c r="D196" s="1495">
        <v>604013</v>
      </c>
      <c r="E196" s="1451"/>
      <c r="F196" s="1451"/>
      <c r="G196" s="1453" t="s">
        <v>1595</v>
      </c>
      <c r="I196" s="1452"/>
      <c r="J196" s="1449"/>
      <c r="K196" s="1449"/>
      <c r="L196" s="1449"/>
      <c r="M196" s="1449"/>
      <c r="N196" s="1449"/>
      <c r="O196" s="1449"/>
      <c r="P196" s="134"/>
    </row>
    <row r="197" spans="1:20" ht="12.75" customHeight="1" x14ac:dyDescent="0.25">
      <c r="D197" s="1493"/>
      <c r="E197" s="1447"/>
      <c r="F197" s="1447"/>
      <c r="G197" s="1456" t="s">
        <v>554</v>
      </c>
      <c r="I197" s="1452"/>
      <c r="J197" s="1449"/>
      <c r="K197" s="1449"/>
      <c r="L197" s="1449"/>
      <c r="M197" s="1449"/>
      <c r="N197" s="1449"/>
      <c r="O197" s="1449"/>
      <c r="P197" s="134"/>
    </row>
    <row r="198" spans="1:20" ht="12.75" customHeight="1" x14ac:dyDescent="0.25">
      <c r="A198" s="1442">
        <f>+D196</f>
        <v>604013</v>
      </c>
      <c r="B198" s="1434" t="str">
        <f>G196</f>
        <v xml:space="preserve">Archief </v>
      </c>
      <c r="D198" s="1497">
        <v>83700</v>
      </c>
      <c r="E198" s="1458"/>
      <c r="F198" s="1458"/>
      <c r="G198" s="1443" t="s">
        <v>737</v>
      </c>
      <c r="I198" s="1452"/>
      <c r="J198" s="1449">
        <v>-4051</v>
      </c>
      <c r="K198" s="1449">
        <v>-4156</v>
      </c>
      <c r="L198" s="1449">
        <f>L566</f>
        <v>-4243</v>
      </c>
      <c r="M198" s="1449">
        <f>M566</f>
        <v>-4341</v>
      </c>
      <c r="N198" s="1449">
        <f>N566</f>
        <v>-4441</v>
      </c>
      <c r="O198" s="1449">
        <f>O566</f>
        <v>-4543</v>
      </c>
      <c r="P198" s="134"/>
    </row>
    <row r="199" spans="1:20" ht="12.75" customHeight="1" x14ac:dyDescent="0.25">
      <c r="D199" s="1463"/>
      <c r="E199" s="1463"/>
      <c r="F199" s="1463"/>
      <c r="G199" s="1453" t="s">
        <v>536</v>
      </c>
      <c r="H199" s="549"/>
      <c r="I199" s="1454"/>
      <c r="J199" s="1826">
        <v>-4051</v>
      </c>
      <c r="K199" s="1826">
        <v>-4156</v>
      </c>
      <c r="L199" s="1826">
        <f>SUM(L198)</f>
        <v>-4243</v>
      </c>
      <c r="M199" s="1826">
        <f>SUM(M198)</f>
        <v>-4341</v>
      </c>
      <c r="N199" s="1826">
        <f>SUM(N198)</f>
        <v>-4441</v>
      </c>
      <c r="O199" s="1826">
        <f>SUM(O198)</f>
        <v>-4543</v>
      </c>
      <c r="P199" s="1455"/>
    </row>
    <row r="200" spans="1:20" ht="12.75" customHeight="1" x14ac:dyDescent="0.25">
      <c r="D200" s="1463"/>
      <c r="E200" s="1463"/>
      <c r="F200" s="1463"/>
      <c r="G200" s="1453"/>
      <c r="H200" s="549"/>
      <c r="I200" s="1454"/>
      <c r="J200" s="1492"/>
      <c r="K200" s="1492"/>
      <c r="L200" s="1492"/>
      <c r="M200" s="1492"/>
      <c r="N200" s="1492"/>
      <c r="O200" s="1492"/>
      <c r="P200" s="1455"/>
    </row>
    <row r="201" spans="1:20" ht="12.75" customHeight="1" x14ac:dyDescent="0.25">
      <c r="A201" s="1442"/>
      <c r="D201" s="1460">
        <v>604060</v>
      </c>
      <c r="E201" s="1463"/>
      <c r="F201" s="1463"/>
      <c r="G201" s="1453" t="s">
        <v>1575</v>
      </c>
      <c r="H201" s="549"/>
      <c r="I201" s="1454"/>
      <c r="J201" s="1454"/>
      <c r="K201" s="1454"/>
      <c r="L201" s="1454"/>
      <c r="M201" s="1454"/>
      <c r="N201" s="1454"/>
      <c r="O201" s="1454"/>
      <c r="P201" s="1455"/>
    </row>
    <row r="202" spans="1:20" ht="12.75" customHeight="1" x14ac:dyDescent="0.25">
      <c r="D202" s="1463"/>
      <c r="E202" s="1463"/>
      <c r="F202" s="1463"/>
      <c r="G202" s="1456" t="s">
        <v>533</v>
      </c>
      <c r="H202" s="549"/>
      <c r="I202" s="1454"/>
      <c r="J202" s="1454"/>
      <c r="K202" s="1454"/>
      <c r="L202" s="1454"/>
      <c r="M202" s="1454"/>
      <c r="N202" s="1454"/>
      <c r="O202" s="1454"/>
      <c r="P202" s="1455"/>
    </row>
    <row r="203" spans="1:20" ht="12.75" customHeight="1" x14ac:dyDescent="0.25">
      <c r="A203" s="1442">
        <f>+D201</f>
        <v>604060</v>
      </c>
      <c r="B203" s="1434" t="str">
        <f>+G201</f>
        <v>Project tijdelijke huisvesting</v>
      </c>
      <c r="D203" s="1589">
        <v>43812</v>
      </c>
      <c r="E203" s="1463"/>
      <c r="F203" s="1463"/>
      <c r="G203" s="1590" t="s">
        <v>535</v>
      </c>
      <c r="H203" s="549"/>
      <c r="I203" s="1454"/>
      <c r="J203" s="1449">
        <v>88000</v>
      </c>
      <c r="K203" s="1449">
        <v>0</v>
      </c>
      <c r="L203" s="1449">
        <f t="shared" ref="L203:N203" si="12">+L571</f>
        <v>0</v>
      </c>
      <c r="M203" s="1449">
        <f t="shared" si="12"/>
        <v>0</v>
      </c>
      <c r="N203" s="1449">
        <f t="shared" si="12"/>
        <v>0</v>
      </c>
      <c r="O203" s="1449">
        <f t="shared" ref="O203" si="13">+O571</f>
        <v>0</v>
      </c>
      <c r="P203" s="1455"/>
    </row>
    <row r="204" spans="1:20" ht="12.75" customHeight="1" x14ac:dyDescent="0.25">
      <c r="D204" s="1463"/>
      <c r="E204" s="1463"/>
      <c r="F204" s="1463"/>
      <c r="G204" s="1453"/>
      <c r="H204" s="549"/>
      <c r="I204" s="1454"/>
      <c r="J204" s="1826">
        <v>88000</v>
      </c>
      <c r="K204" s="1826">
        <v>0</v>
      </c>
      <c r="L204" s="1826">
        <f>SUM(L203)</f>
        <v>0</v>
      </c>
      <c r="M204" s="1826">
        <f>SUM(M203)</f>
        <v>0</v>
      </c>
      <c r="N204" s="1826">
        <f>SUM(N203)</f>
        <v>0</v>
      </c>
      <c r="O204" s="1826">
        <f>SUM(O203)</f>
        <v>0</v>
      </c>
      <c r="P204" s="1455"/>
    </row>
    <row r="205" spans="1:20" ht="12.75" customHeight="1" x14ac:dyDescent="0.25">
      <c r="A205" s="1442"/>
      <c r="D205" s="1447"/>
      <c r="E205" s="1447"/>
      <c r="F205" s="1447"/>
      <c r="G205" s="1443"/>
      <c r="I205" s="1452"/>
      <c r="J205" s="1452"/>
      <c r="K205" s="1452"/>
      <c r="L205" s="1452"/>
      <c r="M205" s="1452"/>
      <c r="N205" s="1452"/>
      <c r="O205" s="1452"/>
      <c r="P205" s="134"/>
      <c r="R205" s="124"/>
      <c r="S205" s="124"/>
      <c r="T205" s="22"/>
    </row>
    <row r="206" spans="1:20" ht="12.75" customHeight="1" x14ac:dyDescent="0.25">
      <c r="A206" s="1442"/>
      <c r="D206" s="1460">
        <v>604901</v>
      </c>
      <c r="E206" s="1447"/>
      <c r="F206" s="1447"/>
      <c r="G206" s="1453" t="s">
        <v>1134</v>
      </c>
      <c r="H206" s="549"/>
      <c r="I206" s="1454"/>
      <c r="J206" s="1454"/>
      <c r="K206" s="1454"/>
      <c r="L206" s="1454"/>
      <c r="M206" s="1454"/>
      <c r="N206" s="1454"/>
      <c r="O206" s="1454"/>
      <c r="P206" s="1455"/>
      <c r="R206" s="124"/>
      <c r="S206" s="124"/>
      <c r="T206" s="20"/>
    </row>
    <row r="207" spans="1:20" ht="12.75" customHeight="1" x14ac:dyDescent="0.25">
      <c r="A207" s="1442">
        <v>604901</v>
      </c>
      <c r="B207" s="1442" t="str">
        <f>G206</f>
        <v>Directe toerekening Overhead</v>
      </c>
      <c r="D207" s="1458">
        <v>47300</v>
      </c>
      <c r="E207" s="1458"/>
      <c r="F207" s="1447"/>
      <c r="G207" s="1443" t="s">
        <v>559</v>
      </c>
      <c r="I207" s="1452"/>
      <c r="J207" s="1449">
        <v>543532</v>
      </c>
      <c r="K207" s="1449">
        <v>443300</v>
      </c>
      <c r="L207" s="1449">
        <f>L583</f>
        <v>684780</v>
      </c>
      <c r="M207" s="1449">
        <f>M583</f>
        <v>657411</v>
      </c>
      <c r="N207" s="1449">
        <f>N583</f>
        <v>628224</v>
      </c>
      <c r="O207" s="1449">
        <f>O583</f>
        <v>349061</v>
      </c>
      <c r="P207" s="545"/>
    </row>
    <row r="208" spans="1:20" ht="12.75" customHeight="1" x14ac:dyDescent="0.25">
      <c r="A208" s="1442">
        <v>604901</v>
      </c>
      <c r="B208" s="1442" t="str">
        <f>G206</f>
        <v>Directe toerekening Overhead</v>
      </c>
      <c r="D208" s="1458">
        <v>47501</v>
      </c>
      <c r="E208" s="1458"/>
      <c r="F208" s="1447"/>
      <c r="G208" s="1443" t="s">
        <v>1142</v>
      </c>
      <c r="I208" s="1452"/>
      <c r="J208" s="1452">
        <v>-99622.018470899508</v>
      </c>
      <c r="K208" s="1452">
        <v>-109630.69844983844</v>
      </c>
      <c r="L208" s="1452">
        <f>L610+L645</f>
        <v>-119597.54143296645</v>
      </c>
      <c r="M208" s="1452">
        <f>M610+M645</f>
        <v>-105466.51503777993</v>
      </c>
      <c r="N208" s="1452">
        <f>N610+N645</f>
        <v>-106437.67589173303</v>
      </c>
      <c r="O208" s="1452">
        <f>O610+O645</f>
        <v>-94814.670295232645</v>
      </c>
      <c r="P208" s="545"/>
    </row>
    <row r="209" spans="1:20" ht="12.75" customHeight="1" x14ac:dyDescent="0.25">
      <c r="A209" s="1442">
        <v>604901</v>
      </c>
      <c r="B209" s="1442" t="str">
        <f>G206</f>
        <v>Directe toerekening Overhead</v>
      </c>
      <c r="D209" s="1458">
        <v>47501</v>
      </c>
      <c r="E209" s="1458"/>
      <c r="F209" s="1447"/>
      <c r="G209" s="1443" t="s">
        <v>1144</v>
      </c>
      <c r="I209" s="1452"/>
      <c r="J209" s="1452">
        <v>-78378.831224328052</v>
      </c>
      <c r="K209" s="1452">
        <v>-78349.861144248935</v>
      </c>
      <c r="L209" s="1452">
        <f>L616+L652</f>
        <v>-85472.921754157185</v>
      </c>
      <c r="M209" s="1452">
        <f>M616+M652</f>
        <v>-75373.928202047857</v>
      </c>
      <c r="N209" s="1452">
        <f>N616+N652</f>
        <v>-76068.028947072497</v>
      </c>
      <c r="O209" s="1452">
        <f>O616+O652</f>
        <v>-67761.356635138276</v>
      </c>
      <c r="P209" s="545"/>
    </row>
    <row r="210" spans="1:20" ht="12.75" customHeight="1" x14ac:dyDescent="0.25">
      <c r="A210" s="1442">
        <v>604901</v>
      </c>
      <c r="B210" s="1442" t="str">
        <f>G206</f>
        <v>Directe toerekening Overhead</v>
      </c>
      <c r="D210" s="1458">
        <v>47501</v>
      </c>
      <c r="E210" s="1458"/>
      <c r="F210" s="1447"/>
      <c r="G210" s="1443" t="s">
        <v>1146</v>
      </c>
      <c r="I210" s="1452"/>
      <c r="J210" s="1452">
        <v>-57873.447306843671</v>
      </c>
      <c r="K210" s="1452">
        <v>-58007.547889758585</v>
      </c>
      <c r="L210" s="1452">
        <f>L623+L659</f>
        <v>-63281.171402091139</v>
      </c>
      <c r="M210" s="1452">
        <f>M623+M659</f>
        <v>-55804.156121531385</v>
      </c>
      <c r="N210" s="1452">
        <f>N623+N659</f>
        <v>-56318.161400531542</v>
      </c>
      <c r="O210" s="1452">
        <f>O623+O659</f>
        <v>-50168.209845711797</v>
      </c>
      <c r="P210" s="545"/>
    </row>
    <row r="211" spans="1:20" ht="12.75" customHeight="1" x14ac:dyDescent="0.25">
      <c r="A211" s="1442"/>
      <c r="D211" s="1464"/>
      <c r="E211" s="1464"/>
      <c r="F211" s="1464"/>
      <c r="G211" s="1465" t="s">
        <v>1139</v>
      </c>
      <c r="H211" s="1508"/>
      <c r="I211" s="1591"/>
      <c r="J211" s="1827">
        <v>307657.70299792878</v>
      </c>
      <c r="K211" s="1827">
        <v>197311.89251615404</v>
      </c>
      <c r="L211" s="1827">
        <f>SUM(L207:L210)</f>
        <v>416428.36541078519</v>
      </c>
      <c r="M211" s="1827">
        <f>SUM(M207:M210)</f>
        <v>420766.40063864086</v>
      </c>
      <c r="N211" s="1827">
        <f>SUM(N207:N210)</f>
        <v>389400.13376066292</v>
      </c>
      <c r="O211" s="1827">
        <f>SUM(O207:O210)</f>
        <v>136316.76322391728</v>
      </c>
      <c r="P211" s="134"/>
    </row>
    <row r="212" spans="1:20" ht="12.75" customHeight="1" x14ac:dyDescent="0.25">
      <c r="A212" s="1442"/>
      <c r="D212" s="1468"/>
      <c r="E212" s="1468"/>
      <c r="F212" s="1468"/>
      <c r="G212" s="1448"/>
      <c r="H212" s="1448"/>
      <c r="I212" s="1469"/>
      <c r="J212" s="1469"/>
      <c r="K212" s="1469"/>
      <c r="L212" s="1469"/>
      <c r="M212" s="1469"/>
      <c r="N212" s="1469"/>
      <c r="O212" s="1469"/>
      <c r="P212" s="134"/>
    </row>
    <row r="213" spans="1:20" ht="12.75" customHeight="1" x14ac:dyDescent="0.25">
      <c r="A213" s="1442"/>
      <c r="D213" s="1461"/>
      <c r="E213" s="1461"/>
      <c r="F213" s="1461"/>
      <c r="G213" s="545"/>
      <c r="I213" s="134"/>
      <c r="J213" s="134"/>
      <c r="K213" s="134"/>
      <c r="L213" s="134"/>
      <c r="M213" s="134"/>
      <c r="N213" s="134"/>
      <c r="O213" s="134"/>
      <c r="P213" s="134"/>
      <c r="R213" s="124"/>
      <c r="S213" s="124"/>
      <c r="T213" s="20"/>
    </row>
    <row r="214" spans="1:20" ht="12.75" customHeight="1" x14ac:dyDescent="0.25">
      <c r="A214" s="1442"/>
      <c r="D214" s="1437"/>
      <c r="G214" s="545"/>
      <c r="I214" s="134"/>
      <c r="J214" s="1455"/>
      <c r="K214" s="1455"/>
      <c r="L214" s="1455"/>
      <c r="M214" s="1455"/>
      <c r="N214" s="1455"/>
      <c r="O214" s="1455"/>
      <c r="P214" s="134"/>
      <c r="R214" s="124"/>
      <c r="S214" s="124"/>
      <c r="T214" s="20"/>
    </row>
    <row r="215" spans="1:20" ht="12.75" customHeight="1" x14ac:dyDescent="0.25">
      <c r="D215" s="1461"/>
      <c r="E215" s="549" t="s">
        <v>1150</v>
      </c>
      <c r="F215" s="1461"/>
      <c r="I215" s="134"/>
      <c r="J215" s="134"/>
      <c r="K215" s="134"/>
      <c r="L215" s="134"/>
      <c r="M215" s="134"/>
      <c r="N215" s="134"/>
      <c r="O215" s="134"/>
      <c r="P215" s="134"/>
    </row>
    <row r="216" spans="1:20" ht="12.75" customHeight="1" x14ac:dyDescent="0.25">
      <c r="D216" s="1461"/>
      <c r="E216" s="1434"/>
      <c r="F216" s="1461"/>
      <c r="I216" s="134"/>
      <c r="J216" s="1471"/>
      <c r="K216" s="1471"/>
      <c r="L216" s="1471"/>
      <c r="M216" s="1471"/>
      <c r="N216" s="1471"/>
      <c r="O216" s="1471"/>
      <c r="P216" s="1445"/>
    </row>
    <row r="217" spans="1:20" ht="12.75" customHeight="1" x14ac:dyDescent="0.25">
      <c r="B217" s="1440"/>
      <c r="D217" s="1473">
        <v>604006</v>
      </c>
      <c r="E217" s="549" t="s">
        <v>1606</v>
      </c>
      <c r="F217" s="1473"/>
      <c r="I217" s="134"/>
      <c r="J217" s="1713">
        <v>2025</v>
      </c>
      <c r="K217" s="1713">
        <v>2026</v>
      </c>
      <c r="L217" s="1713">
        <v>2027</v>
      </c>
      <c r="M217" s="1713">
        <v>2028</v>
      </c>
      <c r="N217" s="1713">
        <v>2029</v>
      </c>
      <c r="O217" s="1713">
        <v>2030</v>
      </c>
      <c r="P217" s="1471"/>
    </row>
    <row r="218" spans="1:20" ht="12.75" customHeight="1" x14ac:dyDescent="0.25">
      <c r="B218" s="1440"/>
      <c r="D218" s="1473"/>
      <c r="E218" s="1434"/>
      <c r="F218" s="1473"/>
      <c r="I218" s="1474"/>
      <c r="J218" s="1474"/>
      <c r="K218" s="1474"/>
      <c r="L218" s="1474"/>
      <c r="M218" s="1474"/>
      <c r="N218" s="1474"/>
      <c r="O218" s="1474"/>
      <c r="P218" s="1474"/>
    </row>
    <row r="219" spans="1:20" ht="12.75" customHeight="1" x14ac:dyDescent="0.25">
      <c r="B219" s="1440"/>
      <c r="D219" s="1473"/>
      <c r="E219" s="1434" t="s">
        <v>1607</v>
      </c>
      <c r="F219" s="1473"/>
      <c r="I219" s="1474"/>
      <c r="J219" s="1474"/>
      <c r="K219" s="1474"/>
      <c r="L219" s="1474"/>
      <c r="M219" s="1474"/>
      <c r="N219" s="1474"/>
      <c r="O219" s="1474"/>
      <c r="P219" s="1474"/>
    </row>
    <row r="220" spans="1:20" ht="12.75" customHeight="1" x14ac:dyDescent="0.25">
      <c r="B220" s="1440"/>
      <c r="D220" s="1473"/>
      <c r="E220" s="1434" t="s">
        <v>1608</v>
      </c>
      <c r="F220" s="1473"/>
      <c r="I220" s="1474"/>
      <c r="J220" s="1474"/>
      <c r="K220" s="1474"/>
      <c r="L220" s="1474"/>
      <c r="M220" s="1474"/>
      <c r="N220" s="1474"/>
      <c r="O220" s="1474"/>
      <c r="P220" s="1474"/>
    </row>
    <row r="221" spans="1:20" ht="12.75" customHeight="1" x14ac:dyDescent="0.25">
      <c r="B221" s="1440"/>
      <c r="D221" s="1473"/>
      <c r="E221" s="1434" t="s">
        <v>1609</v>
      </c>
      <c r="F221" s="1473"/>
      <c r="I221" s="1474"/>
      <c r="J221" s="1474"/>
      <c r="K221" s="1474"/>
      <c r="L221" s="1474"/>
      <c r="M221" s="1474"/>
      <c r="N221" s="1474"/>
      <c r="O221" s="1474"/>
      <c r="P221" s="1474"/>
    </row>
    <row r="222" spans="1:20" ht="12.75" customHeight="1" x14ac:dyDescent="0.25">
      <c r="B222" s="1440"/>
      <c r="D222" s="1473"/>
      <c r="E222" s="1434"/>
      <c r="F222" s="1473"/>
      <c r="I222" s="1474"/>
      <c r="J222" s="1474"/>
      <c r="K222" s="1474"/>
      <c r="L222" s="1474"/>
      <c r="M222" s="1474"/>
      <c r="N222" s="1474"/>
      <c r="O222" s="1474"/>
      <c r="P222" s="1474"/>
    </row>
    <row r="223" spans="1:20" ht="12.75" customHeight="1" x14ac:dyDescent="0.25">
      <c r="B223" s="1440"/>
      <c r="D223" s="1437">
        <v>43801</v>
      </c>
      <c r="E223" s="1434" t="s">
        <v>996</v>
      </c>
      <c r="I223" s="1474"/>
      <c r="J223" s="1474">
        <v>44054</v>
      </c>
      <c r="K223" s="1474">
        <v>45288</v>
      </c>
      <c r="L223" s="2077">
        <f>ROUND(K223*T$2,0)+272</f>
        <v>46511</v>
      </c>
      <c r="M223" s="2077">
        <f>ROUND(L223*U$2,0)+280</f>
        <v>47861</v>
      </c>
      <c r="N223" s="2077">
        <f>ROUND(M223*V$2,0)+287</f>
        <v>49249</v>
      </c>
      <c r="O223" s="1474">
        <f t="shared" ref="O223" si="14">ROUND(N223*W$2,0)</f>
        <v>50382</v>
      </c>
      <c r="P223" s="1526"/>
    </row>
    <row r="224" spans="1:20" ht="12.75" customHeight="1" x14ac:dyDescent="0.25">
      <c r="B224" s="1440"/>
      <c r="D224" s="1437"/>
      <c r="E224" s="1434"/>
      <c r="I224" s="1474"/>
      <c r="J224" s="1474"/>
      <c r="K224" s="1474"/>
      <c r="L224" s="1474"/>
      <c r="M224" s="1474"/>
      <c r="N224" s="1474"/>
      <c r="O224" s="1474"/>
      <c r="P224" s="1526"/>
    </row>
    <row r="225" spans="2:16" ht="12.75" customHeight="1" x14ac:dyDescent="0.25">
      <c r="B225" s="1440"/>
      <c r="D225" s="1437"/>
      <c r="E225" s="549" t="s">
        <v>1610</v>
      </c>
      <c r="I225" s="1474"/>
      <c r="J225" s="1831">
        <v>44054</v>
      </c>
      <c r="K225" s="1831">
        <v>45288</v>
      </c>
      <c r="L225" s="1831">
        <f>+L223+L224</f>
        <v>46511</v>
      </c>
      <c r="M225" s="1831">
        <f>+M223+M224</f>
        <v>47861</v>
      </c>
      <c r="N225" s="1831">
        <f>+N223+N224</f>
        <v>49249</v>
      </c>
      <c r="O225" s="1831">
        <f>+O223+O224</f>
        <v>50382</v>
      </c>
      <c r="P225" s="1455"/>
    </row>
    <row r="226" spans="2:16" ht="12.75" customHeight="1" x14ac:dyDescent="0.25">
      <c r="B226" s="1440"/>
      <c r="D226" s="1437"/>
      <c r="E226" s="1434"/>
      <c r="I226" s="1474"/>
      <c r="J226" s="134"/>
      <c r="K226" s="134"/>
      <c r="L226" s="134"/>
      <c r="M226" s="134"/>
      <c r="N226" s="134"/>
      <c r="O226" s="134"/>
      <c r="P226" s="134"/>
    </row>
    <row r="227" spans="2:16" ht="12.75" customHeight="1" x14ac:dyDescent="0.25">
      <c r="B227" s="1440"/>
      <c r="D227" s="1437">
        <v>43802</v>
      </c>
      <c r="E227" s="1434" t="s">
        <v>1611</v>
      </c>
      <c r="I227" s="1474"/>
      <c r="J227" s="1474">
        <v>51400</v>
      </c>
      <c r="K227" s="1474">
        <v>52839</v>
      </c>
      <c r="L227" s="2077">
        <f>ROUND(K227*T$2,0)+317</f>
        <v>54266</v>
      </c>
      <c r="M227" s="2077">
        <f>ROUND(L227*U$2,0)+326</f>
        <v>55840</v>
      </c>
      <c r="N227" s="2077">
        <f>ROUND(M227*V$2,0)+335</f>
        <v>57459</v>
      </c>
      <c r="O227" s="1474">
        <f t="shared" ref="O227" si="15">ROUND(N227*W$2,0)</f>
        <v>58781</v>
      </c>
      <c r="P227" s="1474"/>
    </row>
    <row r="228" spans="2:16" ht="12.75" customHeight="1" x14ac:dyDescent="0.25">
      <c r="B228" s="1440"/>
      <c r="D228" s="1437"/>
      <c r="E228" s="1434"/>
      <c r="I228" s="1474"/>
      <c r="J228" s="1474"/>
      <c r="K228" s="1474"/>
      <c r="L228" s="1474"/>
      <c r="M228" s="1474"/>
      <c r="N228" s="1474"/>
      <c r="O228" s="1474"/>
      <c r="P228" s="1474"/>
    </row>
    <row r="229" spans="2:16" ht="12.75" customHeight="1" x14ac:dyDescent="0.25">
      <c r="B229" s="1440"/>
      <c r="D229" s="1461"/>
      <c r="E229" s="549" t="s">
        <v>1612</v>
      </c>
      <c r="F229" s="1461"/>
      <c r="I229" s="1474"/>
      <c r="J229" s="1831">
        <v>51400</v>
      </c>
      <c r="K229" s="1831">
        <v>52839</v>
      </c>
      <c r="L229" s="1831">
        <f>+L227+L228</f>
        <v>54266</v>
      </c>
      <c r="M229" s="1831">
        <f>+M227+M228</f>
        <v>55840</v>
      </c>
      <c r="N229" s="1831">
        <f>+N227+N228</f>
        <v>57459</v>
      </c>
      <c r="O229" s="1831">
        <f>+O227+O228</f>
        <v>58781</v>
      </c>
      <c r="P229" s="1455"/>
    </row>
    <row r="230" spans="2:16" ht="12.75" customHeight="1" x14ac:dyDescent="0.25">
      <c r="B230" s="1440"/>
      <c r="D230" s="1461"/>
      <c r="E230" s="549"/>
      <c r="F230" s="1461"/>
      <c r="I230" s="1474"/>
      <c r="J230" s="1455"/>
      <c r="K230" s="1455"/>
      <c r="L230" s="1455"/>
      <c r="M230" s="1455"/>
      <c r="N230" s="1455"/>
      <c r="O230" s="1455"/>
      <c r="P230" s="1455"/>
    </row>
    <row r="231" spans="2:16" ht="12.75" customHeight="1" x14ac:dyDescent="0.25">
      <c r="B231" s="1440"/>
      <c r="D231" s="1461"/>
      <c r="E231" s="1502" t="s">
        <v>1613</v>
      </c>
      <c r="F231" s="1461"/>
      <c r="I231" s="1474"/>
      <c r="J231" s="1455"/>
      <c r="K231" s="1455"/>
      <c r="L231" s="1455"/>
      <c r="M231" s="1455"/>
      <c r="N231" s="1455"/>
      <c r="O231" s="1455"/>
      <c r="P231" s="1455"/>
    </row>
    <row r="232" spans="2:16" ht="12.75" customHeight="1" x14ac:dyDescent="0.25">
      <c r="B232" s="1440"/>
      <c r="D232" s="1461"/>
      <c r="E232" s="1502" t="s">
        <v>1614</v>
      </c>
      <c r="F232" s="1461"/>
      <c r="I232" s="1474"/>
      <c r="J232" s="1455"/>
      <c r="K232" s="1455"/>
      <c r="L232" s="1455"/>
      <c r="M232" s="1455"/>
      <c r="N232" s="1455"/>
      <c r="O232" s="1455"/>
      <c r="P232" s="1455"/>
    </row>
    <row r="233" spans="2:16" ht="12.75" customHeight="1" x14ac:dyDescent="0.25">
      <c r="B233" s="1440"/>
      <c r="D233" s="1461"/>
      <c r="E233" s="1434"/>
      <c r="F233" s="1461"/>
      <c r="I233" s="1474"/>
      <c r="J233" s="1455"/>
      <c r="K233" s="1455"/>
      <c r="L233" s="1455"/>
      <c r="M233" s="1455"/>
      <c r="N233" s="1455"/>
      <c r="O233" s="1455"/>
      <c r="P233" s="1455"/>
    </row>
    <row r="234" spans="2:16" ht="12.75" customHeight="1" x14ac:dyDescent="0.25">
      <c r="B234" s="1440"/>
      <c r="D234" s="1437">
        <v>43812</v>
      </c>
      <c r="E234" s="1434" t="s">
        <v>1615</v>
      </c>
      <c r="I234" s="1474"/>
      <c r="J234" s="1474">
        <v>76581</v>
      </c>
      <c r="K234" s="1474">
        <v>78572</v>
      </c>
      <c r="L234" s="1474">
        <f>ROUND(K234*T$2,0)</f>
        <v>80222</v>
      </c>
      <c r="M234" s="1474">
        <f>ROUND(L234*U$2,0)</f>
        <v>82067</v>
      </c>
      <c r="N234" s="1474">
        <f>ROUND(M234*V$2,0)</f>
        <v>83955</v>
      </c>
      <c r="O234" s="1474">
        <f>ROUND(N234*W$2,0)</f>
        <v>85886</v>
      </c>
      <c r="P234" s="1474"/>
    </row>
    <row r="235" spans="2:16" ht="12.75" customHeight="1" x14ac:dyDescent="0.25">
      <c r="B235" s="1440"/>
      <c r="D235" s="1437"/>
      <c r="E235" s="1434" t="s">
        <v>1293</v>
      </c>
      <c r="I235" s="1474"/>
      <c r="J235" s="134"/>
      <c r="K235" s="134"/>
      <c r="L235" s="134"/>
      <c r="M235" s="134"/>
      <c r="N235" s="134"/>
      <c r="O235" s="134"/>
      <c r="P235" s="134"/>
    </row>
    <row r="236" spans="2:16" ht="12.75" customHeight="1" x14ac:dyDescent="0.25">
      <c r="B236" s="1440"/>
      <c r="D236" s="1437"/>
      <c r="E236" s="1434" t="s">
        <v>1616</v>
      </c>
      <c r="I236" s="134"/>
      <c r="J236" s="134"/>
      <c r="K236" s="134"/>
      <c r="L236" s="134"/>
      <c r="M236" s="134"/>
      <c r="N236" s="134"/>
      <c r="O236" s="134"/>
      <c r="P236" s="134"/>
    </row>
    <row r="237" spans="2:16" ht="12.75" customHeight="1" x14ac:dyDescent="0.25">
      <c r="B237" s="1440"/>
      <c r="D237" s="1437"/>
      <c r="E237" s="1434" t="s">
        <v>1617</v>
      </c>
      <c r="I237" s="134"/>
      <c r="J237" s="134"/>
      <c r="K237" s="134"/>
      <c r="L237" s="134"/>
      <c r="M237" s="134"/>
      <c r="N237" s="134"/>
      <c r="O237" s="134"/>
      <c r="P237" s="134"/>
    </row>
    <row r="238" spans="2:16" ht="12.75" customHeight="1" x14ac:dyDescent="0.25">
      <c r="B238" s="1440"/>
      <c r="D238" s="1461"/>
      <c r="E238" s="1434" t="s">
        <v>1618</v>
      </c>
      <c r="F238" s="1461"/>
      <c r="I238" s="134"/>
      <c r="J238" s="134"/>
      <c r="K238" s="134"/>
      <c r="L238" s="134"/>
      <c r="M238" s="134"/>
      <c r="N238" s="134"/>
      <c r="O238" s="134"/>
      <c r="P238" s="134"/>
    </row>
    <row r="239" spans="2:16" ht="12.75" customHeight="1" x14ac:dyDescent="0.25">
      <c r="B239" s="1440"/>
      <c r="D239" s="1461"/>
      <c r="E239" s="1434" t="s">
        <v>1619</v>
      </c>
      <c r="F239" s="1461"/>
      <c r="I239" s="134"/>
      <c r="J239" s="134"/>
      <c r="K239" s="134"/>
      <c r="L239" s="134"/>
      <c r="M239" s="134"/>
      <c r="N239" s="134"/>
      <c r="O239" s="134"/>
      <c r="P239" s="134"/>
    </row>
    <row r="240" spans="2:16" ht="12.75" customHeight="1" x14ac:dyDescent="0.25">
      <c r="B240" s="1440"/>
      <c r="D240" s="1461"/>
      <c r="E240" s="1434" t="s">
        <v>1620</v>
      </c>
      <c r="F240" s="1461"/>
      <c r="I240" s="134"/>
      <c r="J240" s="134"/>
      <c r="K240" s="134"/>
      <c r="L240" s="134"/>
      <c r="M240" s="134"/>
      <c r="N240" s="134"/>
      <c r="O240" s="134"/>
      <c r="P240" s="134"/>
    </row>
    <row r="241" spans="2:16" ht="12.75" customHeight="1" x14ac:dyDescent="0.25">
      <c r="B241" s="1440"/>
      <c r="D241" s="1461"/>
      <c r="E241" s="2549" t="s">
        <v>1621</v>
      </c>
      <c r="F241" s="2549"/>
      <c r="G241" s="2549"/>
      <c r="H241" s="2549"/>
      <c r="I241" s="134"/>
      <c r="J241" s="134"/>
      <c r="K241" s="134"/>
      <c r="L241" s="134"/>
      <c r="M241" s="134"/>
      <c r="N241" s="134"/>
      <c r="O241" s="134"/>
      <c r="P241" s="134"/>
    </row>
    <row r="242" spans="2:16" ht="12.75" customHeight="1" x14ac:dyDescent="0.25">
      <c r="B242" s="1440"/>
      <c r="D242" s="1461"/>
      <c r="E242" s="2549" t="s">
        <v>1622</v>
      </c>
      <c r="F242" s="2549"/>
      <c r="G242" s="2549"/>
      <c r="H242" s="2549"/>
      <c r="I242" s="134"/>
      <c r="J242" s="134"/>
      <c r="K242" s="134"/>
      <c r="L242" s="134"/>
      <c r="M242" s="134"/>
      <c r="N242" s="134"/>
      <c r="O242" s="134"/>
      <c r="P242" s="134"/>
    </row>
    <row r="243" spans="2:16" ht="12.75" customHeight="1" x14ac:dyDescent="0.25">
      <c r="B243" s="1440"/>
      <c r="D243" s="1461"/>
      <c r="E243" s="1434" t="s">
        <v>1623</v>
      </c>
      <c r="F243" s="1461"/>
      <c r="I243" s="134"/>
      <c r="J243" s="134"/>
      <c r="K243" s="134"/>
      <c r="L243" s="134"/>
      <c r="M243" s="134"/>
      <c r="N243" s="134"/>
      <c r="O243" s="134"/>
      <c r="P243" s="134"/>
    </row>
    <row r="244" spans="2:16" ht="12.75" customHeight="1" x14ac:dyDescent="0.25">
      <c r="B244" s="1440"/>
      <c r="D244" s="1461"/>
      <c r="E244" s="1434" t="s">
        <v>1624</v>
      </c>
      <c r="F244" s="1461"/>
      <c r="I244" s="134"/>
      <c r="J244" s="1474">
        <v>59720</v>
      </c>
      <c r="K244" s="1474">
        <v>61273</v>
      </c>
      <c r="L244" s="1474">
        <f t="shared" ref="L244:O245" si="16">ROUND(K244*T$2,0)</f>
        <v>62560</v>
      </c>
      <c r="M244" s="1474">
        <f t="shared" si="16"/>
        <v>63999</v>
      </c>
      <c r="N244" s="1474">
        <f t="shared" si="16"/>
        <v>65471</v>
      </c>
      <c r="O244" s="1474">
        <f t="shared" si="16"/>
        <v>66977</v>
      </c>
      <c r="P244" s="1526" t="s">
        <v>1625</v>
      </c>
    </row>
    <row r="245" spans="2:16" ht="12.75" customHeight="1" x14ac:dyDescent="0.25">
      <c r="B245" s="1440"/>
      <c r="D245" s="1461"/>
      <c r="E245" s="1434" t="s">
        <v>1626</v>
      </c>
      <c r="F245" s="1461"/>
      <c r="I245" s="134"/>
      <c r="J245" s="1474">
        <v>-59720</v>
      </c>
      <c r="K245" s="1474">
        <v>-61273</v>
      </c>
      <c r="L245" s="1474">
        <f t="shared" si="16"/>
        <v>-62560</v>
      </c>
      <c r="M245" s="1474">
        <f t="shared" si="16"/>
        <v>-63999</v>
      </c>
      <c r="N245" s="1474">
        <f t="shared" si="16"/>
        <v>-65471</v>
      </c>
      <c r="O245" s="1474">
        <f t="shared" si="16"/>
        <v>-66977</v>
      </c>
      <c r="P245" s="1474"/>
    </row>
    <row r="246" spans="2:16" ht="12.75" customHeight="1" x14ac:dyDescent="0.25">
      <c r="B246" s="1440"/>
      <c r="D246" s="1461"/>
      <c r="E246" s="549" t="str">
        <f>"Totaal "&amp;D234</f>
        <v>Totaal 43812</v>
      </c>
      <c r="F246" s="1461"/>
      <c r="H246" s="549"/>
      <c r="I246" s="134"/>
      <c r="J246" s="1831">
        <v>76581</v>
      </c>
      <c r="K246" s="1831">
        <v>78572</v>
      </c>
      <c r="L246" s="1831">
        <f>SUM(L234:L245)</f>
        <v>80222</v>
      </c>
      <c r="M246" s="1831">
        <f>SUM(M234:M245)</f>
        <v>82067</v>
      </c>
      <c r="N246" s="1831">
        <f>SUM(N234:N245)</f>
        <v>83955</v>
      </c>
      <c r="O246" s="1831">
        <f>SUM(O234:O245)</f>
        <v>85886</v>
      </c>
      <c r="P246" s="1455"/>
    </row>
    <row r="247" spans="2:16" ht="12.75" customHeight="1" x14ac:dyDescent="0.25">
      <c r="B247" s="1440"/>
      <c r="D247" s="1461"/>
      <c r="E247" s="549"/>
      <c r="F247" s="1461"/>
      <c r="H247" s="549"/>
      <c r="I247" s="134"/>
      <c r="J247" s="1455"/>
      <c r="K247" s="1455"/>
      <c r="L247" s="1455"/>
      <c r="M247" s="1455"/>
      <c r="N247" s="1455"/>
      <c r="O247" s="1455"/>
      <c r="P247" s="1455"/>
    </row>
    <row r="248" spans="2:16" ht="12.75" customHeight="1" x14ac:dyDescent="0.25">
      <c r="B248" s="1440"/>
      <c r="D248" s="1437">
        <v>43812</v>
      </c>
      <c r="E248" s="1434" t="s">
        <v>1579</v>
      </c>
      <c r="I248" s="134"/>
      <c r="J248" s="1474">
        <v>1416</v>
      </c>
      <c r="K248" s="1474">
        <v>1453</v>
      </c>
      <c r="L248" s="1474">
        <f>ROUND(K248*T$2,0)</f>
        <v>1484</v>
      </c>
      <c r="M248" s="1474">
        <f>ROUND(L248*U$2,0)</f>
        <v>1518</v>
      </c>
      <c r="N248" s="1474">
        <f>ROUND(M248*V$2,0)</f>
        <v>1553</v>
      </c>
      <c r="O248" s="1474">
        <f>ROUND(N248*W$2,0)</f>
        <v>1589</v>
      </c>
      <c r="P248" s="1474"/>
    </row>
    <row r="249" spans="2:16" ht="12.75" customHeight="1" x14ac:dyDescent="0.25">
      <c r="B249" s="1440"/>
      <c r="D249" s="1437"/>
      <c r="E249" s="549" t="s">
        <v>619</v>
      </c>
      <c r="I249" s="134"/>
      <c r="J249" s="1831">
        <v>1416</v>
      </c>
      <c r="K249" s="1831">
        <v>1453</v>
      </c>
      <c r="L249" s="1831">
        <f>SUM(L248)</f>
        <v>1484</v>
      </c>
      <c r="M249" s="1831">
        <f>SUM(M248)</f>
        <v>1518</v>
      </c>
      <c r="N249" s="1831">
        <f>SUM(N248)</f>
        <v>1553</v>
      </c>
      <c r="O249" s="1831">
        <f>SUM(O248)</f>
        <v>1589</v>
      </c>
      <c r="P249" s="1455"/>
    </row>
    <row r="250" spans="2:16" ht="12.75" customHeight="1" x14ac:dyDescent="0.25">
      <c r="B250" s="1440"/>
      <c r="D250" s="1461"/>
      <c r="E250" s="1434"/>
      <c r="F250" s="1461"/>
      <c r="I250" s="134"/>
      <c r="J250" s="134"/>
      <c r="K250" s="134"/>
      <c r="L250" s="134"/>
      <c r="M250" s="134"/>
      <c r="N250" s="134"/>
      <c r="O250" s="134"/>
      <c r="P250" s="134"/>
    </row>
    <row r="251" spans="2:16" ht="12.75" customHeight="1" x14ac:dyDescent="0.25">
      <c r="B251" s="1440"/>
      <c r="D251" s="1461"/>
      <c r="E251" s="1434"/>
      <c r="F251" s="1461"/>
      <c r="I251" s="134"/>
      <c r="J251" s="134"/>
      <c r="K251" s="134"/>
      <c r="L251" s="134"/>
      <c r="M251" s="134"/>
      <c r="N251" s="134"/>
      <c r="O251" s="134"/>
      <c r="P251" s="134"/>
    </row>
    <row r="252" spans="2:16" ht="12.75" customHeight="1" x14ac:dyDescent="0.25">
      <c r="B252" s="1440"/>
      <c r="D252" s="1461">
        <v>43817</v>
      </c>
      <c r="E252" s="1434" t="s">
        <v>1627</v>
      </c>
      <c r="F252" s="1461"/>
      <c r="I252" s="134"/>
      <c r="J252" s="1474">
        <v>152</v>
      </c>
      <c r="K252" s="1474">
        <v>156</v>
      </c>
      <c r="L252" s="1474">
        <f t="shared" ref="L252:O253" si="17">ROUND(K252*T$2,0)</f>
        <v>159</v>
      </c>
      <c r="M252" s="1474">
        <f t="shared" si="17"/>
        <v>163</v>
      </c>
      <c r="N252" s="1474">
        <f t="shared" si="17"/>
        <v>167</v>
      </c>
      <c r="O252" s="1474">
        <f t="shared" si="17"/>
        <v>171</v>
      </c>
      <c r="P252" s="1474"/>
    </row>
    <row r="253" spans="2:16" ht="12.75" customHeight="1" x14ac:dyDescent="0.25">
      <c r="B253" s="1440"/>
      <c r="D253" s="1461"/>
      <c r="E253" s="1434" t="s">
        <v>1628</v>
      </c>
      <c r="F253" s="1461"/>
      <c r="I253" s="134"/>
      <c r="J253" s="1474">
        <v>59720</v>
      </c>
      <c r="K253" s="1474">
        <v>61273</v>
      </c>
      <c r="L253" s="1474">
        <f t="shared" si="17"/>
        <v>62560</v>
      </c>
      <c r="M253" s="1474">
        <f t="shared" si="17"/>
        <v>63999</v>
      </c>
      <c r="N253" s="1474">
        <f t="shared" si="17"/>
        <v>65471</v>
      </c>
      <c r="O253" s="1474">
        <f t="shared" si="17"/>
        <v>66977</v>
      </c>
      <c r="P253" s="1526" t="s">
        <v>1625</v>
      </c>
    </row>
    <row r="254" spans="2:16" ht="12.75" customHeight="1" thickBot="1" x14ac:dyDescent="0.3">
      <c r="B254" s="1440"/>
      <c r="D254" s="1461"/>
      <c r="E254" s="549" t="s">
        <v>1629</v>
      </c>
      <c r="F254" s="1461"/>
      <c r="I254" s="134"/>
      <c r="J254" s="1839">
        <v>59872</v>
      </c>
      <c r="K254" s="1839">
        <v>61429</v>
      </c>
      <c r="L254" s="1839">
        <f>SUM(L252:L253)</f>
        <v>62719</v>
      </c>
      <c r="M254" s="1839">
        <f>SUM(M252:M253)</f>
        <v>64162</v>
      </c>
      <c r="N254" s="1839">
        <f>SUM(N252:N253)</f>
        <v>65638</v>
      </c>
      <c r="O254" s="1839">
        <f>SUM(O252:O253)</f>
        <v>67148</v>
      </c>
      <c r="P254" s="134"/>
    </row>
    <row r="255" spans="2:16" ht="12.75" customHeight="1" thickTop="1" x14ac:dyDescent="0.25">
      <c r="B255" s="1440"/>
      <c r="D255" s="1461"/>
      <c r="E255" s="1461"/>
      <c r="F255" s="1461"/>
      <c r="I255" s="134"/>
      <c r="J255" s="134"/>
      <c r="K255" s="134"/>
      <c r="L255" s="134"/>
      <c r="M255" s="134"/>
      <c r="N255" s="134"/>
      <c r="O255" s="134"/>
      <c r="P255" s="134"/>
    </row>
    <row r="256" spans="2:16" ht="12.75" customHeight="1" x14ac:dyDescent="0.25">
      <c r="B256" s="1440"/>
      <c r="D256" s="1461"/>
      <c r="E256" s="1461"/>
      <c r="F256" s="1461"/>
      <c r="I256" s="134"/>
      <c r="J256" s="134"/>
      <c r="K256" s="134"/>
      <c r="L256" s="134"/>
      <c r="M256" s="134"/>
      <c r="N256" s="134"/>
      <c r="O256" s="134"/>
      <c r="P256" s="134"/>
    </row>
    <row r="257" spans="2:20" ht="12.75" customHeight="1" x14ac:dyDescent="0.25">
      <c r="B257" s="1440"/>
      <c r="D257" s="1437">
        <v>47201</v>
      </c>
      <c r="E257" s="1434" t="s">
        <v>1630</v>
      </c>
      <c r="I257" s="134"/>
      <c r="J257" s="1474">
        <v>152619</v>
      </c>
      <c r="K257" s="1474">
        <v>158266</v>
      </c>
      <c r="L257" s="1474">
        <v>164122</v>
      </c>
      <c r="M257" s="1474">
        <v>170195</v>
      </c>
      <c r="N257" s="1474">
        <v>176492</v>
      </c>
      <c r="O257" s="2077">
        <v>176492</v>
      </c>
      <c r="P257" s="134"/>
      <c r="Q257" s="1434"/>
      <c r="R257" s="1434"/>
      <c r="S257" s="1434"/>
      <c r="T257" s="1434"/>
    </row>
    <row r="258" spans="2:20" ht="12.75" customHeight="1" x14ac:dyDescent="0.25">
      <c r="B258" s="1440"/>
      <c r="D258" s="1437"/>
      <c r="E258" s="549" t="s">
        <v>1631</v>
      </c>
      <c r="I258" s="134"/>
      <c r="J258" s="1831">
        <v>152619</v>
      </c>
      <c r="K258" s="1831">
        <v>158266</v>
      </c>
      <c r="L258" s="1831">
        <f>SUM(L257:L257)</f>
        <v>164122</v>
      </c>
      <c r="M258" s="1831">
        <f>SUM(M257:M257)</f>
        <v>170195</v>
      </c>
      <c r="N258" s="1831">
        <f>SUM(N257:N257)</f>
        <v>176492</v>
      </c>
      <c r="O258" s="1831">
        <f>SUM(O257:O257)</f>
        <v>176492</v>
      </c>
      <c r="P258" s="1455"/>
    </row>
    <row r="259" spans="2:20" ht="12.75" customHeight="1" x14ac:dyDescent="0.25">
      <c r="B259" s="1440"/>
      <c r="D259" s="1461"/>
      <c r="E259" s="1441"/>
      <c r="F259" s="1461"/>
      <c r="I259" s="134"/>
      <c r="J259" s="134"/>
      <c r="K259" s="134"/>
      <c r="L259" s="134"/>
      <c r="M259" s="134"/>
      <c r="N259" s="134"/>
      <c r="O259" s="134"/>
      <c r="P259" s="134"/>
    </row>
    <row r="260" spans="2:20" ht="12.75" customHeight="1" x14ac:dyDescent="0.25">
      <c r="B260" s="1440"/>
      <c r="D260" s="1461"/>
      <c r="E260" s="1441"/>
      <c r="F260" s="1461"/>
      <c r="I260" s="134"/>
      <c r="J260" s="134"/>
      <c r="K260" s="134"/>
      <c r="L260" s="134"/>
      <c r="M260" s="134"/>
      <c r="N260" s="134"/>
      <c r="O260" s="134"/>
      <c r="P260" s="134"/>
    </row>
    <row r="261" spans="2:20" ht="12.75" customHeight="1" x14ac:dyDescent="0.25">
      <c r="B261" s="1440"/>
      <c r="D261" s="1473">
        <v>604007</v>
      </c>
      <c r="E261" s="1480" t="s">
        <v>1582</v>
      </c>
      <c r="F261" s="1473"/>
      <c r="I261" s="134"/>
      <c r="J261" s="1713">
        <v>2025</v>
      </c>
      <c r="K261" s="1713">
        <v>2026</v>
      </c>
      <c r="L261" s="1713">
        <v>2027</v>
      </c>
      <c r="M261" s="1713">
        <v>2028</v>
      </c>
      <c r="N261" s="1713">
        <v>2029</v>
      </c>
      <c r="O261" s="1713">
        <v>2030</v>
      </c>
      <c r="P261" s="1471"/>
    </row>
    <row r="262" spans="2:20" ht="12.75" customHeight="1" x14ac:dyDescent="0.25">
      <c r="B262" s="1440"/>
      <c r="D262" s="1461"/>
      <c r="E262" s="1592"/>
      <c r="F262" s="1461"/>
      <c r="I262" s="134"/>
      <c r="J262" s="134"/>
      <c r="K262" s="134"/>
      <c r="L262" s="134"/>
      <c r="M262" s="134"/>
      <c r="N262" s="134"/>
      <c r="O262" s="134"/>
      <c r="P262" s="134"/>
    </row>
    <row r="263" spans="2:20" ht="12.75" customHeight="1" x14ac:dyDescent="0.25">
      <c r="B263" s="1440"/>
      <c r="D263" s="1461">
        <v>43812</v>
      </c>
      <c r="E263" s="1441" t="s">
        <v>1632</v>
      </c>
      <c r="F263" s="1461"/>
      <c r="I263" s="134"/>
      <c r="J263" s="134">
        <v>150000</v>
      </c>
      <c r="K263" s="134">
        <v>150000</v>
      </c>
      <c r="L263" s="134">
        <v>150000</v>
      </c>
      <c r="M263" s="134">
        <v>150000</v>
      </c>
      <c r="N263" s="134">
        <v>150000</v>
      </c>
      <c r="O263" s="134">
        <v>150000</v>
      </c>
      <c r="P263" s="134"/>
      <c r="Q263" s="117">
        <v>21000</v>
      </c>
    </row>
    <row r="264" spans="2:20" ht="12.75" customHeight="1" x14ac:dyDescent="0.25">
      <c r="B264" s="1440"/>
      <c r="D264" s="1461"/>
      <c r="E264" s="1441"/>
      <c r="F264" s="1461"/>
      <c r="I264" s="134"/>
      <c r="J264" s="134"/>
      <c r="K264" s="134"/>
      <c r="L264" s="134"/>
      <c r="M264" s="134"/>
      <c r="N264" s="134"/>
      <c r="O264" s="134"/>
      <c r="P264" s="134"/>
    </row>
    <row r="265" spans="2:20" ht="12.75" customHeight="1" x14ac:dyDescent="0.25">
      <c r="B265" s="1440"/>
      <c r="D265" s="1461"/>
      <c r="E265" s="1519" t="s">
        <v>1633</v>
      </c>
      <c r="F265" s="1461"/>
      <c r="I265" s="134"/>
      <c r="J265" s="134"/>
      <c r="K265" s="134"/>
      <c r="L265" s="134"/>
      <c r="M265" s="134"/>
      <c r="N265" s="134"/>
      <c r="O265" s="134"/>
      <c r="P265" s="134"/>
    </row>
    <row r="266" spans="2:20" ht="12.75" customHeight="1" x14ac:dyDescent="0.25">
      <c r="B266" s="1440"/>
      <c r="D266" s="1461"/>
      <c r="E266" s="1441" t="s">
        <v>1634</v>
      </c>
      <c r="F266" s="1461"/>
      <c r="I266" s="134"/>
      <c r="J266" s="134">
        <v>-1000</v>
      </c>
      <c r="K266" s="134">
        <v>-1000</v>
      </c>
      <c r="L266" s="134">
        <v>-1000</v>
      </c>
      <c r="M266" s="134">
        <v>-1000</v>
      </c>
      <c r="N266" s="134">
        <v>-1000</v>
      </c>
      <c r="O266" s="134">
        <v>-1000</v>
      </c>
      <c r="P266" s="134"/>
    </row>
    <row r="267" spans="2:20" ht="12.75" customHeight="1" x14ac:dyDescent="0.25">
      <c r="B267" s="1440"/>
      <c r="D267" s="1461"/>
      <c r="E267" s="1441" t="s">
        <v>1635</v>
      </c>
      <c r="F267" s="1461"/>
      <c r="I267" s="134"/>
      <c r="J267" s="134">
        <v>-1667</v>
      </c>
      <c r="K267" s="134">
        <v>-1667</v>
      </c>
      <c r="L267" s="134">
        <v>-1667</v>
      </c>
      <c r="M267" s="134">
        <v>-1667</v>
      </c>
      <c r="N267" s="134">
        <v>-1667</v>
      </c>
      <c r="O267" s="134">
        <v>-1667</v>
      </c>
      <c r="P267" s="134"/>
    </row>
    <row r="268" spans="2:20" ht="12.75" customHeight="1" x14ac:dyDescent="0.25">
      <c r="B268" s="1440"/>
      <c r="D268" s="1461"/>
      <c r="E268" s="1441" t="s">
        <v>1636</v>
      </c>
      <c r="F268" s="1461"/>
      <c r="I268" s="134"/>
      <c r="J268" s="134">
        <v>-2000</v>
      </c>
      <c r="K268" s="134">
        <v>-2000</v>
      </c>
      <c r="L268" s="134">
        <v>-2000</v>
      </c>
      <c r="M268" s="134">
        <v>-2000</v>
      </c>
      <c r="N268" s="134">
        <v>-2000</v>
      </c>
      <c r="O268" s="134">
        <v>-2000</v>
      </c>
      <c r="P268" s="134"/>
    </row>
    <row r="269" spans="2:20" ht="12.75" customHeight="1" x14ac:dyDescent="0.25">
      <c r="B269" s="1440"/>
      <c r="D269" s="1461"/>
      <c r="E269" s="1441" t="s">
        <v>1637</v>
      </c>
      <c r="F269" s="1461"/>
      <c r="I269" s="134"/>
      <c r="J269" s="134">
        <v>-3000</v>
      </c>
      <c r="K269" s="134">
        <v>-3000</v>
      </c>
      <c r="L269" s="134">
        <v>-3000</v>
      </c>
      <c r="M269" s="134">
        <v>-3000</v>
      </c>
      <c r="N269" s="134">
        <v>-3000</v>
      </c>
      <c r="O269" s="134">
        <v>-3000</v>
      </c>
      <c r="P269" s="134"/>
    </row>
    <row r="270" spans="2:20" ht="12.75" customHeight="1" x14ac:dyDescent="0.25">
      <c r="B270" s="1440"/>
      <c r="D270" s="1461"/>
      <c r="E270" s="1479" t="s">
        <v>1638</v>
      </c>
      <c r="F270" s="1434"/>
      <c r="I270" s="134"/>
      <c r="J270" s="134">
        <v>-46225</v>
      </c>
      <c r="K270" s="134">
        <v>-46225</v>
      </c>
      <c r="L270" s="134">
        <v>-46225</v>
      </c>
      <c r="M270" s="134">
        <v>-46225</v>
      </c>
      <c r="N270" s="134">
        <v>-46225</v>
      </c>
      <c r="O270" s="134">
        <v>-46225</v>
      </c>
      <c r="P270" s="134"/>
    </row>
    <row r="271" spans="2:20" ht="12.75" customHeight="1" x14ac:dyDescent="0.25">
      <c r="B271" s="1440"/>
      <c r="D271" s="1461"/>
      <c r="E271" s="1479" t="s">
        <v>1639</v>
      </c>
      <c r="F271" s="1434"/>
      <c r="I271" s="134"/>
      <c r="J271" s="134">
        <v>-95000</v>
      </c>
      <c r="K271" s="134">
        <v>0</v>
      </c>
      <c r="L271" s="134">
        <v>0</v>
      </c>
      <c r="M271" s="134">
        <v>0</v>
      </c>
      <c r="N271" s="134">
        <v>0</v>
      </c>
      <c r="O271" s="134">
        <v>0</v>
      </c>
      <c r="P271" s="134"/>
    </row>
    <row r="272" spans="2:20" ht="12.75" customHeight="1" x14ac:dyDescent="0.25">
      <c r="B272" s="1440"/>
      <c r="D272" s="1461"/>
      <c r="E272" s="1479" t="s">
        <v>1640</v>
      </c>
      <c r="F272" s="1434"/>
      <c r="I272" s="134"/>
      <c r="J272" s="134"/>
      <c r="K272" s="134">
        <v>-75000</v>
      </c>
      <c r="L272" s="134">
        <v>-75000</v>
      </c>
      <c r="M272" s="134">
        <v>-75000</v>
      </c>
      <c r="N272" s="134">
        <v>-75000</v>
      </c>
      <c r="O272" s="134">
        <v>-75000</v>
      </c>
      <c r="P272" s="134" t="s">
        <v>1641</v>
      </c>
    </row>
    <row r="273" spans="1:27" ht="12.75" customHeight="1" x14ac:dyDescent="0.25">
      <c r="B273" s="1440"/>
      <c r="D273" s="1461"/>
      <c r="E273" s="1480" t="s">
        <v>619</v>
      </c>
      <c r="F273" s="1461"/>
      <c r="I273" s="134"/>
      <c r="J273" s="1838">
        <v>1108</v>
      </c>
      <c r="K273" s="1838">
        <v>21108</v>
      </c>
      <c r="L273" s="1838">
        <f t="shared" ref="L273:N273" si="18">SUM(L262:L272)</f>
        <v>21108</v>
      </c>
      <c r="M273" s="1838">
        <f t="shared" si="18"/>
        <v>21108</v>
      </c>
      <c r="N273" s="1838">
        <f t="shared" si="18"/>
        <v>21108</v>
      </c>
      <c r="O273" s="1838">
        <f t="shared" ref="O273" si="19">SUM(O262:O272)</f>
        <v>21108</v>
      </c>
      <c r="P273" s="1593" t="s">
        <v>1642</v>
      </c>
    </row>
    <row r="274" spans="1:27" ht="12.75" customHeight="1" x14ac:dyDescent="0.25">
      <c r="B274" s="1440"/>
      <c r="D274" s="1461"/>
      <c r="E274" s="1480"/>
      <c r="F274" s="1461"/>
      <c r="I274" s="134"/>
      <c r="J274" s="545"/>
      <c r="K274" s="545"/>
      <c r="L274" s="545"/>
      <c r="M274" s="545"/>
      <c r="N274" s="545"/>
      <c r="O274" s="545"/>
      <c r="P274" s="134" t="s">
        <v>1643</v>
      </c>
    </row>
    <row r="275" spans="1:27" ht="12.75" customHeight="1" x14ac:dyDescent="0.25">
      <c r="A275" s="1442"/>
      <c r="D275" s="1437"/>
      <c r="E275" s="1436"/>
      <c r="G275" s="545"/>
      <c r="I275" s="134"/>
    </row>
    <row r="276" spans="1:27" ht="12.75" customHeight="1" x14ac:dyDescent="0.25">
      <c r="D276" s="1472">
        <v>604008</v>
      </c>
      <c r="E276" s="545" t="s">
        <v>1644</v>
      </c>
      <c r="F276" s="155"/>
      <c r="I276" s="134"/>
      <c r="J276" s="1713">
        <v>2025</v>
      </c>
      <c r="K276" s="1713">
        <v>2026</v>
      </c>
      <c r="L276" s="1713">
        <v>2027</v>
      </c>
      <c r="M276" s="1713">
        <v>2028</v>
      </c>
      <c r="N276" s="1713">
        <v>2029</v>
      </c>
      <c r="O276" s="1713">
        <v>2030</v>
      </c>
      <c r="P276" s="1471"/>
    </row>
    <row r="277" spans="1:27" ht="12.75" customHeight="1" x14ac:dyDescent="0.25">
      <c r="D277" s="1472"/>
      <c r="E277" s="1491" t="s">
        <v>533</v>
      </c>
      <c r="F277" s="155"/>
      <c r="I277" s="134"/>
    </row>
    <row r="278" spans="1:27" ht="12.75" customHeight="1" x14ac:dyDescent="0.25">
      <c r="D278" s="1461">
        <v>43201</v>
      </c>
      <c r="E278" s="1434" t="s">
        <v>1645</v>
      </c>
      <c r="F278" s="1461"/>
      <c r="I278" s="134"/>
      <c r="J278" s="1471"/>
      <c r="K278" s="1471"/>
      <c r="L278" s="1471"/>
      <c r="M278" s="1471"/>
      <c r="N278" s="1471"/>
      <c r="O278" s="1471"/>
      <c r="P278" s="1471"/>
      <c r="T278" s="125"/>
      <c r="U278" s="125"/>
    </row>
    <row r="279" spans="1:27" ht="12.75" customHeight="1" x14ac:dyDescent="0.25">
      <c r="D279" s="1461"/>
      <c r="E279" s="1434" t="s">
        <v>1293</v>
      </c>
      <c r="F279" s="1461"/>
      <c r="I279" s="134"/>
      <c r="J279" s="1471"/>
      <c r="K279" s="1471"/>
      <c r="L279" s="1471"/>
      <c r="M279" s="1471"/>
      <c r="N279" s="1471"/>
      <c r="O279" s="1471"/>
      <c r="P279" s="1471"/>
      <c r="Q279" s="125"/>
      <c r="R279" s="125"/>
      <c r="S279" s="125"/>
    </row>
    <row r="280" spans="1:27" ht="12.75" customHeight="1" x14ac:dyDescent="0.25">
      <c r="D280" s="1434"/>
      <c r="E280" s="1434" t="s">
        <v>1646</v>
      </c>
      <c r="F280" s="1435"/>
      <c r="I280" s="134"/>
      <c r="J280" s="134">
        <v>1168</v>
      </c>
      <c r="K280" s="134">
        <v>1198</v>
      </c>
      <c r="L280" s="134">
        <f>ROUND(K280*T$2,0)</f>
        <v>1223</v>
      </c>
      <c r="M280" s="134">
        <f>ROUND(L280*U$2,0)</f>
        <v>1251</v>
      </c>
      <c r="N280" s="134">
        <f>ROUND(M280*V$2,0)</f>
        <v>1280</v>
      </c>
      <c r="O280" s="134">
        <f>ROUND(N280*W$2,0)</f>
        <v>1309</v>
      </c>
      <c r="P280" s="134"/>
      <c r="V280" s="125"/>
      <c r="W280" s="125"/>
      <c r="X280" s="125"/>
      <c r="Y280" s="125"/>
      <c r="Z280" s="125"/>
      <c r="AA280" s="125"/>
    </row>
    <row r="281" spans="1:27" ht="12.75" customHeight="1" x14ac:dyDescent="0.25">
      <c r="D281" s="1461"/>
      <c r="E281" s="1434" t="s">
        <v>1647</v>
      </c>
      <c r="F281" s="1461"/>
      <c r="I281" s="134"/>
      <c r="J281" s="1474">
        <v>0</v>
      </c>
      <c r="K281" s="1474">
        <v>0</v>
      </c>
      <c r="L281" s="1474">
        <v>1500</v>
      </c>
      <c r="M281" s="1474">
        <v>0</v>
      </c>
      <c r="N281" s="1474">
        <v>0</v>
      </c>
      <c r="O281" s="1474">
        <v>0</v>
      </c>
      <c r="P281" s="1526" t="s">
        <v>1648</v>
      </c>
    </row>
    <row r="282" spans="1:27" ht="12.75" customHeight="1" x14ac:dyDescent="0.25">
      <c r="D282" s="1461"/>
      <c r="E282" s="1434" t="s">
        <v>1649</v>
      </c>
      <c r="F282" s="1461"/>
      <c r="I282" s="134"/>
      <c r="J282" s="134">
        <v>233</v>
      </c>
      <c r="K282" s="134">
        <v>239</v>
      </c>
      <c r="L282" s="134">
        <f>ROUND(K282*T$2,0)</f>
        <v>244</v>
      </c>
      <c r="M282" s="134">
        <f>ROUND(L282*U$2,0)</f>
        <v>250</v>
      </c>
      <c r="N282" s="134">
        <f>ROUND(M282*V$2,0)</f>
        <v>256</v>
      </c>
      <c r="O282" s="134">
        <f>ROUND(N282*W$2,0)</f>
        <v>262</v>
      </c>
      <c r="P282" s="134"/>
    </row>
    <row r="283" spans="1:27" ht="12.75" customHeight="1" x14ac:dyDescent="0.25">
      <c r="D283" s="1461"/>
      <c r="E283" s="1480" t="str">
        <f>"Totaal "&amp;D278</f>
        <v>Totaal 43201</v>
      </c>
      <c r="F283" s="1461"/>
      <c r="H283" s="549"/>
      <c r="I283" s="134"/>
      <c r="J283" s="1831">
        <v>1401</v>
      </c>
      <c r="K283" s="1831">
        <v>1437</v>
      </c>
      <c r="L283" s="1831">
        <f>SUM(L280:L282)</f>
        <v>2967</v>
      </c>
      <c r="M283" s="1831">
        <f>SUM(M280:M282)</f>
        <v>1501</v>
      </c>
      <c r="N283" s="1831">
        <f>SUM(N280:N282)</f>
        <v>1536</v>
      </c>
      <c r="O283" s="1831">
        <f>SUM(O280:O282)</f>
        <v>1571</v>
      </c>
      <c r="P283" s="1455"/>
    </row>
    <row r="284" spans="1:27" ht="12.75" customHeight="1" x14ac:dyDescent="0.25">
      <c r="D284" s="1461"/>
      <c r="E284" s="1480"/>
      <c r="F284" s="1461"/>
      <c r="H284" s="549"/>
      <c r="I284" s="134"/>
      <c r="J284" s="1455"/>
      <c r="K284" s="1455"/>
      <c r="L284" s="1455"/>
      <c r="M284" s="1455"/>
      <c r="N284" s="1455"/>
      <c r="O284" s="1455"/>
      <c r="P284" s="1455"/>
    </row>
    <row r="285" spans="1:27" ht="12.75" customHeight="1" x14ac:dyDescent="0.25">
      <c r="D285" s="1461">
        <v>43818</v>
      </c>
      <c r="E285" s="1441" t="s">
        <v>1650</v>
      </c>
      <c r="F285" s="1461"/>
      <c r="H285" s="549"/>
      <c r="I285" s="134"/>
      <c r="J285" s="134">
        <v>1750</v>
      </c>
      <c r="K285" s="134">
        <v>1796</v>
      </c>
      <c r="L285" s="134">
        <f>ROUND(K285*T$2,0)</f>
        <v>1834</v>
      </c>
      <c r="M285" s="134">
        <f>ROUND(L285*U$2,0)</f>
        <v>1876</v>
      </c>
      <c r="N285" s="134">
        <f>ROUND(M285*V$2,0)</f>
        <v>1919</v>
      </c>
      <c r="O285" s="134">
        <f>ROUND(N285*W$2,0)</f>
        <v>1963</v>
      </c>
      <c r="P285" s="134"/>
    </row>
    <row r="286" spans="1:27" ht="12.75" customHeight="1" x14ac:dyDescent="0.25">
      <c r="D286" s="1461"/>
      <c r="E286" s="1480" t="str">
        <f>"Totaal "&amp;D285</f>
        <v>Totaal 43818</v>
      </c>
      <c r="F286" s="1461"/>
      <c r="H286" s="549"/>
      <c r="I286" s="134"/>
      <c r="J286" s="1831">
        <v>1750</v>
      </c>
      <c r="K286" s="1831">
        <v>1796</v>
      </c>
      <c r="L286" s="1831">
        <f>SUM(L285)</f>
        <v>1834</v>
      </c>
      <c r="M286" s="1831">
        <f>SUM(M285)</f>
        <v>1876</v>
      </c>
      <c r="N286" s="1831">
        <f>SUM(N285)</f>
        <v>1919</v>
      </c>
      <c r="O286" s="1831">
        <f>SUM(O285)</f>
        <v>1963</v>
      </c>
      <c r="P286" s="1455"/>
    </row>
    <row r="287" spans="1:27" ht="12.75" customHeight="1" x14ac:dyDescent="0.25">
      <c r="D287" s="1461"/>
      <c r="E287" s="1480"/>
      <c r="F287" s="1461"/>
      <c r="H287" s="549"/>
      <c r="I287" s="134"/>
      <c r="J287" s="1455"/>
      <c r="K287" s="1455"/>
      <c r="L287" s="1455"/>
      <c r="M287" s="1455"/>
      <c r="N287" s="1455"/>
      <c r="O287" s="1455"/>
      <c r="P287" s="1455"/>
    </row>
    <row r="288" spans="1:27" ht="12.75" customHeight="1" x14ac:dyDescent="0.25">
      <c r="D288" s="1461">
        <v>43818</v>
      </c>
      <c r="E288" s="1441" t="s">
        <v>1651</v>
      </c>
      <c r="F288" s="1461"/>
      <c r="H288" s="549"/>
      <c r="I288" s="134"/>
      <c r="J288" s="134">
        <v>1168</v>
      </c>
      <c r="K288" s="134">
        <v>1198</v>
      </c>
      <c r="L288" s="134">
        <f>ROUND(K288*T$2,0)</f>
        <v>1223</v>
      </c>
      <c r="M288" s="134">
        <f>ROUND(L288*U$2,0)</f>
        <v>1251</v>
      </c>
      <c r="N288" s="134">
        <f>ROUND(M288*V$2,0)</f>
        <v>1280</v>
      </c>
      <c r="O288" s="134">
        <f>ROUND(N288*W$2,0)</f>
        <v>1309</v>
      </c>
      <c r="P288" s="134"/>
    </row>
    <row r="289" spans="4:20" ht="12.75" customHeight="1" x14ac:dyDescent="0.25">
      <c r="D289" s="1461"/>
      <c r="E289" s="1480" t="str">
        <f>"Totaal "&amp;D288</f>
        <v>Totaal 43818</v>
      </c>
      <c r="F289" s="1461"/>
      <c r="H289" s="549"/>
      <c r="I289" s="134"/>
      <c r="J289" s="1831">
        <v>1168</v>
      </c>
      <c r="K289" s="1831">
        <v>1198</v>
      </c>
      <c r="L289" s="1831">
        <f>SUM(L288)</f>
        <v>1223</v>
      </c>
      <c r="M289" s="1831">
        <f>SUM(M288)</f>
        <v>1251</v>
      </c>
      <c r="N289" s="1831">
        <f>SUM(N288)</f>
        <v>1280</v>
      </c>
      <c r="O289" s="1831">
        <f>SUM(O288)</f>
        <v>1309</v>
      </c>
      <c r="P289" s="1455"/>
    </row>
    <row r="290" spans="4:20" ht="12.75" customHeight="1" x14ac:dyDescent="0.25">
      <c r="D290" s="1461"/>
      <c r="E290" s="1480"/>
      <c r="F290" s="1461"/>
      <c r="H290" s="549"/>
      <c r="I290" s="134"/>
      <c r="J290" s="1455"/>
      <c r="K290" s="1455"/>
      <c r="L290" s="1455"/>
      <c r="M290" s="1455"/>
      <c r="N290" s="1455"/>
      <c r="O290" s="1455"/>
      <c r="P290" s="1455"/>
    </row>
    <row r="291" spans="4:20" ht="12.75" customHeight="1" x14ac:dyDescent="0.25">
      <c r="D291" s="1461"/>
      <c r="E291" s="1480"/>
      <c r="F291" s="1461"/>
      <c r="H291" s="549"/>
      <c r="I291" s="134"/>
      <c r="J291" s="1455"/>
      <c r="K291" s="1455"/>
      <c r="L291" s="1455"/>
      <c r="M291" s="1455"/>
      <c r="N291" s="1455"/>
      <c r="O291" s="1455"/>
      <c r="P291" s="1455"/>
      <c r="Q291" s="1434"/>
      <c r="R291" s="1434"/>
      <c r="S291" s="1434"/>
      <c r="T291" s="1434"/>
    </row>
    <row r="292" spans="4:20" ht="12.75" customHeight="1" x14ac:dyDescent="0.25">
      <c r="D292" s="1472">
        <v>604009</v>
      </c>
      <c r="E292" s="545" t="s">
        <v>1587</v>
      </c>
      <c r="F292" s="155"/>
      <c r="I292" s="134"/>
      <c r="J292" s="1713">
        <v>2025</v>
      </c>
      <c r="K292" s="1713">
        <v>2026</v>
      </c>
      <c r="L292" s="1713">
        <v>2027</v>
      </c>
      <c r="M292" s="1713">
        <v>2028</v>
      </c>
      <c r="N292" s="1713">
        <v>2029</v>
      </c>
      <c r="O292" s="1713">
        <v>2030</v>
      </c>
      <c r="P292" s="1471"/>
    </row>
    <row r="293" spans="4:20" ht="12.75" customHeight="1" x14ac:dyDescent="0.25">
      <c r="D293" s="1472"/>
      <c r="E293" s="1491" t="s">
        <v>533</v>
      </c>
      <c r="F293" s="155"/>
      <c r="I293" s="134"/>
      <c r="J293" s="1471"/>
      <c r="K293" s="1471"/>
      <c r="L293" s="1471"/>
      <c r="M293" s="1471"/>
      <c r="N293" s="1471"/>
      <c r="O293" s="1471"/>
      <c r="P293" s="1471"/>
    </row>
    <row r="294" spans="4:20" ht="12.75" customHeight="1" x14ac:dyDescent="0.25">
      <c r="D294" s="1461">
        <v>43511</v>
      </c>
      <c r="E294" s="1434" t="s">
        <v>1652</v>
      </c>
      <c r="F294" s="1461"/>
      <c r="I294" s="134"/>
      <c r="J294" s="1471"/>
      <c r="K294" s="1471"/>
      <c r="L294" s="1471"/>
      <c r="M294" s="1471"/>
      <c r="N294" s="1471"/>
      <c r="O294" s="1471"/>
      <c r="P294" s="1471"/>
    </row>
    <row r="295" spans="4:20" ht="12.75" customHeight="1" x14ac:dyDescent="0.25">
      <c r="D295" s="1461"/>
      <c r="E295" s="590" t="s">
        <v>1653</v>
      </c>
      <c r="F295" s="1461"/>
      <c r="H295" s="590"/>
      <c r="I295" s="134"/>
      <c r="J295" s="134">
        <v>525</v>
      </c>
      <c r="K295" s="134">
        <v>539</v>
      </c>
      <c r="L295" s="134">
        <f>ROUND(K295*T$2,0)</f>
        <v>550</v>
      </c>
      <c r="M295" s="134">
        <f>ROUND(L295*U$2,0)</f>
        <v>563</v>
      </c>
      <c r="N295" s="134">
        <f>ROUND(M295*V$2,0)</f>
        <v>576</v>
      </c>
      <c r="O295" s="134">
        <f>ROUND(N295*W$2,0)</f>
        <v>589</v>
      </c>
      <c r="P295" s="134"/>
    </row>
    <row r="296" spans="4:20" ht="12.75" customHeight="1" x14ac:dyDescent="0.25">
      <c r="D296" s="1461"/>
      <c r="E296" s="590"/>
      <c r="F296" s="1461"/>
      <c r="H296" s="590"/>
      <c r="I296" s="134"/>
      <c r="J296" s="134"/>
      <c r="K296" s="134"/>
      <c r="L296" s="134"/>
      <c r="M296" s="134"/>
      <c r="N296" s="134"/>
      <c r="O296" s="134"/>
      <c r="P296" s="134"/>
    </row>
    <row r="297" spans="4:20" ht="12.75" customHeight="1" x14ac:dyDescent="0.25">
      <c r="D297" s="1461"/>
      <c r="E297" s="1480" t="str">
        <f>"Totaal "&amp;D294</f>
        <v>Totaal 43511</v>
      </c>
      <c r="F297" s="1461"/>
      <c r="H297" s="1516"/>
      <c r="I297" s="134"/>
      <c r="J297" s="1831">
        <v>525</v>
      </c>
      <c r="K297" s="1831">
        <v>539</v>
      </c>
      <c r="L297" s="1831">
        <f>SUM(L295:L296)</f>
        <v>550</v>
      </c>
      <c r="M297" s="1831">
        <f>SUM(M295:M296)</f>
        <v>563</v>
      </c>
      <c r="N297" s="1831">
        <f>SUM(N295:N296)</f>
        <v>576</v>
      </c>
      <c r="O297" s="1831">
        <f>SUM(O295:O296)</f>
        <v>589</v>
      </c>
      <c r="P297" s="1455"/>
    </row>
    <row r="298" spans="4:20" ht="12.75" customHeight="1" x14ac:dyDescent="0.25">
      <c r="D298" s="1461"/>
      <c r="E298" s="1461"/>
      <c r="F298" s="1461"/>
      <c r="G298" s="1480"/>
      <c r="H298" s="1516"/>
      <c r="I298" s="134"/>
      <c r="J298" s="1455"/>
      <c r="K298" s="1455"/>
      <c r="L298" s="1455"/>
      <c r="M298" s="1455"/>
      <c r="N298" s="1455"/>
      <c r="O298" s="1455"/>
      <c r="P298" s="1455"/>
    </row>
    <row r="299" spans="4:20" ht="12.75" customHeight="1" x14ac:dyDescent="0.25">
      <c r="D299" s="1461">
        <v>43201</v>
      </c>
      <c r="E299" s="1441" t="s">
        <v>1645</v>
      </c>
      <c r="F299" s="1461"/>
      <c r="H299" s="1516"/>
      <c r="I299" s="134"/>
      <c r="J299" s="1471"/>
      <c r="K299" s="1471"/>
      <c r="L299" s="1471"/>
      <c r="M299" s="1471"/>
      <c r="N299" s="1471"/>
      <c r="O299" s="1471"/>
      <c r="P299" s="1471"/>
    </row>
    <row r="300" spans="4:20" ht="12.75" customHeight="1" x14ac:dyDescent="0.25">
      <c r="D300" s="1437"/>
      <c r="E300" s="1434" t="s">
        <v>1654</v>
      </c>
      <c r="I300" s="1471"/>
      <c r="J300" s="1471"/>
      <c r="K300" s="1471"/>
      <c r="L300" s="1471"/>
      <c r="M300" s="1471"/>
      <c r="N300" s="1471"/>
      <c r="O300" s="1471"/>
      <c r="P300" s="1471"/>
    </row>
    <row r="301" spans="4:20" ht="12.75" customHeight="1" x14ac:dyDescent="0.25">
      <c r="D301" s="1461"/>
      <c r="E301" s="1434" t="s">
        <v>1655</v>
      </c>
      <c r="F301" s="1461"/>
      <c r="I301" s="134"/>
      <c r="J301" s="134"/>
      <c r="K301" s="134"/>
      <c r="L301" s="134"/>
      <c r="M301" s="134"/>
      <c r="N301" s="134"/>
      <c r="O301" s="134"/>
      <c r="P301" s="134"/>
    </row>
    <row r="302" spans="4:20" ht="12.75" customHeight="1" x14ac:dyDescent="0.25">
      <c r="D302" s="1461"/>
      <c r="E302" s="1434" t="s">
        <v>1656</v>
      </c>
      <c r="F302" s="1461"/>
      <c r="I302" s="134"/>
      <c r="J302" s="134">
        <v>992</v>
      </c>
      <c r="K302" s="134">
        <v>1018</v>
      </c>
      <c r="L302" s="134">
        <f>ROUND(K302*T$2,0)</f>
        <v>1039</v>
      </c>
      <c r="M302" s="134">
        <f>ROUND(L302*U$2,0)</f>
        <v>1063</v>
      </c>
      <c r="N302" s="134">
        <f>ROUND(M302*V$2,0)</f>
        <v>1087</v>
      </c>
      <c r="O302" s="134">
        <f>ROUND(N302*W$2,0)</f>
        <v>1112</v>
      </c>
      <c r="P302" s="134" t="s">
        <v>1657</v>
      </c>
    </row>
    <row r="303" spans="4:20" ht="12.75" customHeight="1" x14ac:dyDescent="0.25">
      <c r="D303" s="1461"/>
      <c r="E303" s="1480" t="str">
        <f>"Totaal "&amp;D299</f>
        <v>Totaal 43201</v>
      </c>
      <c r="F303" s="1461"/>
      <c r="H303" s="549"/>
      <c r="I303" s="134"/>
      <c r="J303" s="1831">
        <v>992</v>
      </c>
      <c r="K303" s="1831">
        <v>1018</v>
      </c>
      <c r="L303" s="1831">
        <f>SUM(L302:L302)</f>
        <v>1039</v>
      </c>
      <c r="M303" s="1831">
        <f>SUM(M302:M302)</f>
        <v>1063</v>
      </c>
      <c r="N303" s="1831">
        <f>SUM(N302:N302)</f>
        <v>1087</v>
      </c>
      <c r="O303" s="1831">
        <f>SUM(O302:O302)</f>
        <v>1112</v>
      </c>
      <c r="P303" s="1455"/>
    </row>
    <row r="304" spans="4:20" ht="12.75" customHeight="1" x14ac:dyDescent="0.25">
      <c r="D304" s="1461"/>
      <c r="E304" s="1434"/>
      <c r="F304" s="1461"/>
      <c r="I304" s="134"/>
      <c r="J304" s="134"/>
      <c r="K304" s="134"/>
      <c r="L304" s="134"/>
      <c r="M304" s="134"/>
      <c r="N304" s="134"/>
      <c r="O304" s="134"/>
      <c r="P304" s="134"/>
    </row>
    <row r="305" spans="4:16" ht="12.75" customHeight="1" x14ac:dyDescent="0.25">
      <c r="D305" s="1437">
        <v>43812</v>
      </c>
      <c r="E305" s="1434" t="s">
        <v>1615</v>
      </c>
      <c r="I305" s="134"/>
      <c r="J305" s="1471"/>
      <c r="K305" s="1471"/>
      <c r="L305" s="1471"/>
      <c r="M305" s="1471"/>
      <c r="N305" s="1471"/>
      <c r="O305" s="1471"/>
      <c r="P305" s="1471"/>
    </row>
    <row r="306" spans="4:16" ht="12.75" customHeight="1" x14ac:dyDescent="0.25">
      <c r="D306" s="1437"/>
      <c r="E306" s="1434"/>
      <c r="I306" s="134"/>
      <c r="J306" s="1471"/>
      <c r="K306" s="1471"/>
      <c r="L306" s="1471"/>
      <c r="M306" s="1471"/>
      <c r="N306" s="1471"/>
      <c r="O306" s="1471"/>
      <c r="P306" s="1471"/>
    </row>
    <row r="307" spans="4:16" ht="12.75" customHeight="1" x14ac:dyDescent="0.25">
      <c r="D307" s="1437"/>
      <c r="E307" s="1434" t="s">
        <v>1293</v>
      </c>
      <c r="I307" s="134"/>
      <c r="J307" s="134">
        <v>36048</v>
      </c>
      <c r="K307" s="134">
        <v>36985</v>
      </c>
      <c r="L307" s="134">
        <f>ROUND(K307*T$2,0)</f>
        <v>37762</v>
      </c>
      <c r="M307" s="134">
        <f>ROUND(L307*U$2,0)</f>
        <v>38631</v>
      </c>
      <c r="N307" s="134">
        <f>ROUND(M307*V$2,0)</f>
        <v>39520</v>
      </c>
      <c r="O307" s="134">
        <f>ROUND(N307*W$2,0)</f>
        <v>40429</v>
      </c>
      <c r="P307" s="134"/>
    </row>
    <row r="308" spans="4:16" ht="12.75" customHeight="1" x14ac:dyDescent="0.25">
      <c r="D308" s="1461"/>
      <c r="E308" s="590" t="s">
        <v>1658</v>
      </c>
      <c r="F308" s="1461"/>
      <c r="H308" s="590"/>
      <c r="I308" s="134"/>
      <c r="J308" s="134"/>
      <c r="K308" s="134"/>
      <c r="L308" s="134"/>
      <c r="M308" s="134"/>
      <c r="N308" s="134"/>
      <c r="O308" s="134"/>
      <c r="P308" s="134"/>
    </row>
    <row r="309" spans="4:16" ht="12.75" customHeight="1" x14ac:dyDescent="0.25">
      <c r="D309" s="1461"/>
      <c r="E309" s="1434" t="s">
        <v>1659</v>
      </c>
      <c r="F309" s="1461"/>
      <c r="I309" s="134"/>
      <c r="J309" s="134"/>
      <c r="K309" s="134"/>
      <c r="L309" s="134"/>
      <c r="M309" s="134"/>
      <c r="N309" s="134"/>
      <c r="O309" s="134"/>
      <c r="P309" s="134"/>
    </row>
    <row r="310" spans="4:16" ht="12.75" customHeight="1" x14ac:dyDescent="0.25">
      <c r="D310" s="1461"/>
      <c r="E310" s="1434" t="s">
        <v>1660</v>
      </c>
      <c r="F310" s="1461"/>
      <c r="I310" s="134"/>
      <c r="J310" s="134"/>
      <c r="K310" s="134"/>
      <c r="L310" s="134"/>
      <c r="M310" s="134"/>
      <c r="N310" s="134"/>
      <c r="O310" s="134"/>
      <c r="P310" s="134"/>
    </row>
    <row r="311" spans="4:16" ht="12.75" customHeight="1" x14ac:dyDescent="0.25">
      <c r="D311" s="1461"/>
      <c r="E311" s="1434" t="s">
        <v>1661</v>
      </c>
      <c r="F311" s="1461"/>
      <c r="I311" s="134"/>
      <c r="J311" s="134"/>
      <c r="K311" s="134"/>
      <c r="L311" s="134"/>
      <c r="M311" s="134"/>
      <c r="N311" s="134"/>
      <c r="O311" s="134"/>
      <c r="P311" s="134"/>
    </row>
    <row r="312" spans="4:16" ht="12.75" customHeight="1" x14ac:dyDescent="0.25">
      <c r="D312" s="1538"/>
      <c r="E312" s="134" t="s">
        <v>1662</v>
      </c>
      <c r="F312" s="1473"/>
      <c r="H312" s="549"/>
      <c r="I312" s="134"/>
      <c r="J312" s="134">
        <v>3383</v>
      </c>
      <c r="K312" s="134">
        <v>3471</v>
      </c>
      <c r="L312" s="134">
        <f>ROUND(K312*T$2,0)</f>
        <v>3544</v>
      </c>
      <c r="M312" s="134">
        <f>ROUND(L312*U$2,0)</f>
        <v>3626</v>
      </c>
      <c r="N312" s="134">
        <f>ROUND(M312*V$2,0)</f>
        <v>3709</v>
      </c>
      <c r="O312" s="134">
        <f>ROUND(N312*W$2,0)</f>
        <v>3794</v>
      </c>
      <c r="P312" s="134"/>
    </row>
    <row r="313" spans="4:16" ht="12.75" customHeight="1" x14ac:dyDescent="0.25">
      <c r="E313" s="1480"/>
      <c r="H313" s="549"/>
      <c r="I313" s="134"/>
      <c r="J313" s="1455"/>
      <c r="K313" s="1455"/>
      <c r="L313" s="1455"/>
      <c r="M313" s="1455"/>
      <c r="N313" s="1455"/>
      <c r="O313" s="1455"/>
      <c r="P313" s="1455"/>
    </row>
    <row r="314" spans="4:16" ht="12.75" customHeight="1" x14ac:dyDescent="0.25">
      <c r="D314" s="1461"/>
      <c r="E314" s="1480" t="str">
        <f>"Totaal "&amp;D305</f>
        <v>Totaal 43812</v>
      </c>
      <c r="F314" s="1461"/>
      <c r="H314" s="549"/>
      <c r="I314" s="134"/>
      <c r="J314" s="1831">
        <v>39431</v>
      </c>
      <c r="K314" s="1831">
        <v>40456</v>
      </c>
      <c r="L314" s="1831">
        <f>SUM(L307:L312)</f>
        <v>41306</v>
      </c>
      <c r="M314" s="1831">
        <f>SUM(M307:M312)</f>
        <v>42257</v>
      </c>
      <c r="N314" s="1831">
        <f>SUM(N307:N312)</f>
        <v>43229</v>
      </c>
      <c r="O314" s="1831">
        <f>SUM(O307:O312)</f>
        <v>44223</v>
      </c>
      <c r="P314" s="1455"/>
    </row>
    <row r="315" spans="4:16" ht="12.75" customHeight="1" x14ac:dyDescent="0.25">
      <c r="D315" s="1461"/>
      <c r="E315" s="1461"/>
      <c r="F315" s="1461"/>
      <c r="G315" s="1480"/>
      <c r="H315" s="549"/>
      <c r="I315" s="134"/>
      <c r="J315" s="1455"/>
      <c r="K315" s="1455"/>
      <c r="L315" s="1455"/>
      <c r="M315" s="1455"/>
      <c r="N315" s="1455"/>
      <c r="O315" s="1455"/>
      <c r="P315" s="1455"/>
    </row>
    <row r="316" spans="4:16" ht="12.75" customHeight="1" x14ac:dyDescent="0.25">
      <c r="D316" s="1472">
        <v>604010</v>
      </c>
      <c r="E316" s="545" t="s">
        <v>1663</v>
      </c>
      <c r="F316" s="155"/>
      <c r="I316" s="134"/>
      <c r="J316" s="134"/>
      <c r="K316" s="134"/>
      <c r="L316" s="134"/>
      <c r="M316" s="134"/>
      <c r="N316" s="134"/>
      <c r="O316" s="134"/>
      <c r="P316" s="134"/>
    </row>
    <row r="317" spans="4:16" ht="12.75" customHeight="1" x14ac:dyDescent="0.25">
      <c r="D317" s="1472"/>
      <c r="E317" s="1491" t="s">
        <v>533</v>
      </c>
      <c r="F317" s="155"/>
      <c r="I317" s="134"/>
      <c r="J317" s="134"/>
      <c r="K317" s="134"/>
      <c r="L317" s="134"/>
      <c r="M317" s="134"/>
      <c r="N317" s="134"/>
      <c r="O317" s="134"/>
      <c r="P317" s="134"/>
    </row>
    <row r="318" spans="4:16" ht="12.75" customHeight="1" x14ac:dyDescent="0.25">
      <c r="D318" s="1461"/>
      <c r="E318" s="126" t="s">
        <v>1664</v>
      </c>
      <c r="F318" s="1461"/>
      <c r="H318" s="127"/>
      <c r="I318" s="134"/>
      <c r="J318" s="134"/>
      <c r="K318" s="134"/>
      <c r="L318" s="134"/>
      <c r="M318" s="134"/>
      <c r="N318" s="134"/>
      <c r="O318" s="134"/>
      <c r="P318" s="134"/>
    </row>
    <row r="319" spans="4:16" ht="12.75" customHeight="1" x14ac:dyDescent="0.25">
      <c r="D319" s="1461"/>
      <c r="E319" s="1480"/>
      <c r="F319" s="1461"/>
      <c r="H319" s="549"/>
      <c r="I319" s="134"/>
      <c r="J319" s="1455"/>
      <c r="K319" s="1455"/>
      <c r="L319" s="1455"/>
      <c r="M319" s="1455"/>
      <c r="N319" s="1455"/>
      <c r="O319" s="1455"/>
      <c r="P319" s="1455"/>
    </row>
    <row r="320" spans="4:16" ht="12.75" customHeight="1" x14ac:dyDescent="0.25">
      <c r="D320" s="1461">
        <v>43818</v>
      </c>
      <c r="E320" s="1434" t="s">
        <v>1615</v>
      </c>
      <c r="F320" s="1461"/>
      <c r="I320" s="134"/>
      <c r="J320" s="1713">
        <v>2025</v>
      </c>
      <c r="K320" s="1713">
        <v>2026</v>
      </c>
      <c r="L320" s="1713">
        <v>2027</v>
      </c>
      <c r="M320" s="1713">
        <v>2028</v>
      </c>
      <c r="N320" s="1713">
        <v>2029</v>
      </c>
      <c r="O320" s="1713">
        <v>2030</v>
      </c>
      <c r="P320" s="1471"/>
    </row>
    <row r="321" spans="4:20" ht="12.75" customHeight="1" x14ac:dyDescent="0.25">
      <c r="D321" s="1461"/>
      <c r="E321" s="1434"/>
      <c r="F321" s="1461"/>
      <c r="I321" s="134"/>
      <c r="J321" s="1471"/>
      <c r="K321" s="1471"/>
      <c r="L321" s="1471"/>
      <c r="M321" s="1471"/>
      <c r="N321" s="1471"/>
      <c r="O321" s="1471"/>
      <c r="P321" s="1471"/>
    </row>
    <row r="322" spans="4:20" ht="12.75" customHeight="1" x14ac:dyDescent="0.25">
      <c r="D322" s="1461"/>
      <c r="E322" s="1434" t="s">
        <v>1293</v>
      </c>
      <c r="F322" s="1461"/>
      <c r="I322" s="134"/>
      <c r="J322" s="134">
        <v>103827</v>
      </c>
      <c r="K322" s="134">
        <v>106527</v>
      </c>
      <c r="L322" s="134">
        <f>ROUND(K322*T$2,0)</f>
        <v>108764</v>
      </c>
      <c r="M322" s="134">
        <f>ROUND(L322*U$2,0)</f>
        <v>111266</v>
      </c>
      <c r="N322" s="134">
        <f>ROUND(M322*V$2,0)</f>
        <v>113825</v>
      </c>
      <c r="O322" s="134">
        <f>ROUND(N322*W$2,0)</f>
        <v>116443</v>
      </c>
      <c r="P322" s="134"/>
    </row>
    <row r="323" spans="4:20" ht="12.75" customHeight="1" x14ac:dyDescent="0.25">
      <c r="D323" s="1461"/>
      <c r="E323" s="1434" t="s">
        <v>1665</v>
      </c>
      <c r="F323" s="1461"/>
      <c r="I323" s="134"/>
      <c r="J323" s="134"/>
      <c r="K323" s="134"/>
      <c r="L323" s="134"/>
      <c r="M323" s="134"/>
      <c r="N323" s="134"/>
      <c r="O323" s="134"/>
      <c r="P323" s="134"/>
    </row>
    <row r="324" spans="4:20" ht="12.75" customHeight="1" x14ac:dyDescent="0.25">
      <c r="D324" s="1461"/>
      <c r="E324" s="1434" t="s">
        <v>1666</v>
      </c>
      <c r="F324" s="1461"/>
      <c r="I324" s="134"/>
      <c r="J324" s="134"/>
      <c r="K324" s="134"/>
      <c r="L324" s="134"/>
      <c r="M324" s="134"/>
      <c r="N324" s="134"/>
      <c r="O324" s="134"/>
      <c r="P324" s="134"/>
    </row>
    <row r="325" spans="4:20" ht="12.75" customHeight="1" x14ac:dyDescent="0.25">
      <c r="D325" s="1461"/>
      <c r="E325" s="1434" t="s">
        <v>1667</v>
      </c>
      <c r="F325" s="1461"/>
      <c r="I325" s="134"/>
      <c r="J325" s="134"/>
      <c r="K325" s="134"/>
      <c r="L325" s="134"/>
      <c r="M325" s="134"/>
      <c r="N325" s="134"/>
      <c r="O325" s="134"/>
      <c r="P325" s="134"/>
    </row>
    <row r="326" spans="4:20" ht="12.75" customHeight="1" x14ac:dyDescent="0.25">
      <c r="D326" s="1461"/>
      <c r="E326" s="1434" t="s">
        <v>1668</v>
      </c>
      <c r="F326" s="1461"/>
      <c r="I326" s="134"/>
      <c r="J326" s="134"/>
      <c r="K326" s="134"/>
      <c r="L326" s="134"/>
      <c r="M326" s="134"/>
      <c r="N326" s="134"/>
      <c r="O326" s="134"/>
      <c r="P326" s="134"/>
    </row>
    <row r="327" spans="4:20" ht="12.75" customHeight="1" x14ac:dyDescent="0.25">
      <c r="D327" s="1461"/>
      <c r="E327" s="1480" t="str">
        <f>"Totaal "&amp;D320</f>
        <v>Totaal 43818</v>
      </c>
      <c r="F327" s="1461"/>
      <c r="H327" s="549"/>
      <c r="I327" s="134"/>
      <c r="J327" s="1831">
        <v>103827</v>
      </c>
      <c r="K327" s="1831">
        <v>106527</v>
      </c>
      <c r="L327" s="1831">
        <f>SUM(L322:L325)</f>
        <v>108764</v>
      </c>
      <c r="M327" s="1831">
        <f>SUM(M322:M325)</f>
        <v>111266</v>
      </c>
      <c r="N327" s="1831">
        <f>SUM(N322:N325)</f>
        <v>113825</v>
      </c>
      <c r="O327" s="1831">
        <f>SUM(O322:O325)</f>
        <v>116443</v>
      </c>
      <c r="P327" s="1455"/>
      <c r="Q327" s="1434"/>
      <c r="R327" s="1434"/>
      <c r="S327" s="1434"/>
      <c r="T327" s="1434"/>
    </row>
    <row r="328" spans="4:20" ht="12.75" customHeight="1" x14ac:dyDescent="0.25">
      <c r="D328" s="1461"/>
      <c r="E328" s="1480"/>
      <c r="F328" s="1461"/>
      <c r="H328" s="549"/>
      <c r="I328" s="134"/>
      <c r="J328" s="1455"/>
      <c r="K328" s="1455"/>
      <c r="L328" s="1455"/>
      <c r="M328" s="1455"/>
      <c r="N328" s="1455"/>
      <c r="O328" s="1455"/>
      <c r="P328" s="1455"/>
    </row>
    <row r="329" spans="4:20" ht="12.75" customHeight="1" x14ac:dyDescent="0.25">
      <c r="D329" s="1472">
        <v>604016</v>
      </c>
      <c r="E329" s="549" t="s">
        <v>1599</v>
      </c>
      <c r="F329" s="155"/>
      <c r="I329" s="134"/>
      <c r="J329" s="134"/>
      <c r="K329" s="134"/>
      <c r="L329" s="134"/>
      <c r="M329" s="134"/>
      <c r="N329" s="134"/>
      <c r="O329" s="134"/>
      <c r="P329" s="1455"/>
    </row>
    <row r="330" spans="4:20" ht="12.75" customHeight="1" x14ac:dyDescent="0.25">
      <c r="D330" s="1461">
        <v>43812</v>
      </c>
      <c r="E330" s="1434" t="s">
        <v>533</v>
      </c>
      <c r="F330" s="155"/>
      <c r="I330" s="1471"/>
      <c r="P330" s="1471"/>
    </row>
    <row r="331" spans="4:20" ht="12.75" customHeight="1" x14ac:dyDescent="0.25">
      <c r="D331" s="1434"/>
      <c r="E331" s="545" t="s">
        <v>1669</v>
      </c>
      <c r="F331" s="155"/>
      <c r="I331" s="1471"/>
      <c r="J331" s="134">
        <v>6301</v>
      </c>
      <c r="K331" s="134">
        <v>6465</v>
      </c>
      <c r="L331" s="134">
        <f>ROUND(K331*T$2,0)</f>
        <v>6601</v>
      </c>
      <c r="M331" s="134">
        <f>ROUND(L331*U$2,0)</f>
        <v>6753</v>
      </c>
      <c r="N331" s="134">
        <f>ROUND(M331*V$2,0)</f>
        <v>6908</v>
      </c>
      <c r="O331" s="134">
        <f>ROUND(N331*W$2,0)</f>
        <v>7067</v>
      </c>
      <c r="P331" s="1471"/>
    </row>
    <row r="332" spans="4:20" ht="12.75" customHeight="1" x14ac:dyDescent="0.25">
      <c r="D332" s="1461"/>
      <c r="E332" s="2532" t="s">
        <v>1670</v>
      </c>
      <c r="F332" s="2532"/>
      <c r="G332" s="2532"/>
      <c r="H332" s="2532"/>
      <c r="I332" s="2532"/>
      <c r="J332" s="1515"/>
      <c r="K332" s="1515"/>
      <c r="L332" s="1515"/>
      <c r="M332" s="1515"/>
      <c r="N332" s="1515"/>
      <c r="O332" s="1515"/>
      <c r="P332" s="1515"/>
    </row>
    <row r="333" spans="4:20" ht="12.75" customHeight="1" x14ac:dyDescent="0.25">
      <c r="D333" s="1434"/>
      <c r="E333" s="1434" t="s">
        <v>565</v>
      </c>
      <c r="F333" s="1461"/>
      <c r="H333" s="1536"/>
      <c r="I333" s="134"/>
      <c r="P333" s="134"/>
    </row>
    <row r="334" spans="4:20" ht="12.75" customHeight="1" x14ac:dyDescent="0.25">
      <c r="D334" s="1472"/>
      <c r="E334" s="545" t="s">
        <v>1671</v>
      </c>
      <c r="F334" s="155"/>
      <c r="J334" s="134">
        <v>52075</v>
      </c>
      <c r="K334" s="134">
        <v>53429</v>
      </c>
      <c r="L334" s="134">
        <f>ROUND(K334*T$2,0)</f>
        <v>54551</v>
      </c>
      <c r="M334" s="134">
        <f>ROUND(L334*U$2,0)</f>
        <v>55806</v>
      </c>
      <c r="N334" s="134">
        <f>ROUND(M334*V$2,0)</f>
        <v>57090</v>
      </c>
      <c r="O334" s="134">
        <f>ROUND(N334*W$2,0)</f>
        <v>58403</v>
      </c>
      <c r="P334" s="134"/>
    </row>
    <row r="335" spans="4:20" ht="12.75" customHeight="1" x14ac:dyDescent="0.25">
      <c r="D335" s="1535"/>
      <c r="E335" s="2532" t="s">
        <v>1672</v>
      </c>
      <c r="F335" s="2532"/>
      <c r="G335" s="2532"/>
      <c r="H335" s="2532"/>
      <c r="I335" s="2532"/>
      <c r="J335" s="1515"/>
      <c r="K335" s="1515"/>
      <c r="L335" s="1515"/>
      <c r="M335" s="1515"/>
      <c r="N335" s="1515"/>
      <c r="O335" s="1515"/>
      <c r="P335" s="1515"/>
    </row>
    <row r="336" spans="4:20" ht="12.75" customHeight="1" x14ac:dyDescent="0.25">
      <c r="D336" s="1472"/>
      <c r="E336" s="545" t="s">
        <v>1673</v>
      </c>
      <c r="F336" s="155"/>
      <c r="I336" s="1514"/>
      <c r="J336" s="134">
        <v>1168</v>
      </c>
      <c r="K336" s="134">
        <v>1198</v>
      </c>
      <c r="L336" s="134">
        <f>ROUND(K336*T$2,0)</f>
        <v>1223</v>
      </c>
      <c r="M336" s="134">
        <f>ROUND(L336*U$2,0)</f>
        <v>1251</v>
      </c>
      <c r="N336" s="134">
        <f>ROUND(M336*V$2,0)</f>
        <v>1280</v>
      </c>
      <c r="O336" s="134">
        <f>ROUND(N336*W$2,0)</f>
        <v>1309</v>
      </c>
      <c r="P336" s="1594"/>
    </row>
    <row r="337" spans="4:16" ht="12.75" customHeight="1" x14ac:dyDescent="0.25">
      <c r="E337" s="2532" t="s">
        <v>1674</v>
      </c>
      <c r="F337" s="2532"/>
      <c r="G337" s="2532"/>
      <c r="H337" s="2532"/>
      <c r="I337" s="2532"/>
      <c r="J337" s="1515"/>
      <c r="K337" s="1515"/>
      <c r="L337" s="1515"/>
      <c r="M337" s="1515"/>
      <c r="N337" s="1515"/>
      <c r="O337" s="1515"/>
      <c r="P337" s="1515"/>
    </row>
    <row r="338" spans="4:16" ht="12.75" customHeight="1" x14ac:dyDescent="0.25">
      <c r="E338" s="2532" t="s">
        <v>1675</v>
      </c>
      <c r="F338" s="2532"/>
      <c r="G338" s="2532"/>
      <c r="H338" s="2532"/>
      <c r="I338" s="2532"/>
      <c r="J338" s="1515"/>
      <c r="K338" s="1515"/>
      <c r="L338" s="1515"/>
      <c r="M338" s="1515"/>
      <c r="N338" s="1515"/>
      <c r="O338" s="1515"/>
      <c r="P338" s="1515"/>
    </row>
    <row r="339" spans="4:16" ht="12.75" customHeight="1" x14ac:dyDescent="0.25">
      <c r="E339" s="1516" t="str">
        <f>"Totaal "&amp;D330</f>
        <v>Totaal 43812</v>
      </c>
      <c r="H339" s="128"/>
      <c r="I339" s="1514"/>
      <c r="J339" s="1831">
        <v>59544</v>
      </c>
      <c r="K339" s="1831">
        <v>61092</v>
      </c>
      <c r="L339" s="1831">
        <f>+L331+L334+L336</f>
        <v>62375</v>
      </c>
      <c r="M339" s="1831">
        <f>+M331+M334+M336</f>
        <v>63810</v>
      </c>
      <c r="N339" s="1831">
        <f>+N331+N334+N336</f>
        <v>65278</v>
      </c>
      <c r="O339" s="1831">
        <f>+O331+O334+O336</f>
        <v>66779</v>
      </c>
      <c r="P339" s="134"/>
    </row>
    <row r="340" spans="4:16" ht="12.75" customHeight="1" x14ac:dyDescent="0.25">
      <c r="G340" s="128"/>
      <c r="H340" s="128"/>
      <c r="I340" s="134"/>
      <c r="J340" s="134"/>
      <c r="K340" s="134"/>
      <c r="L340" s="134"/>
      <c r="M340" s="134"/>
      <c r="N340" s="134"/>
      <c r="O340" s="134"/>
      <c r="P340" s="134"/>
    </row>
    <row r="341" spans="4:16" ht="12.75" customHeight="1" x14ac:dyDescent="0.25">
      <c r="G341" s="128"/>
      <c r="H341" s="128"/>
      <c r="I341" s="134"/>
      <c r="J341" s="134"/>
      <c r="K341" s="134"/>
      <c r="L341" s="134"/>
      <c r="M341" s="134"/>
      <c r="N341" s="134"/>
      <c r="O341" s="134"/>
      <c r="P341" s="134"/>
    </row>
    <row r="342" spans="4:16" ht="12.75" customHeight="1" x14ac:dyDescent="0.25">
      <c r="D342" s="1472">
        <v>604011</v>
      </c>
      <c r="E342" s="545" t="s">
        <v>1590</v>
      </c>
      <c r="F342" s="155"/>
      <c r="I342" s="1471"/>
      <c r="J342" s="1471"/>
      <c r="K342" s="1471"/>
      <c r="L342" s="1471"/>
      <c r="M342" s="1471"/>
      <c r="N342" s="1471"/>
      <c r="O342" s="1471"/>
      <c r="P342" s="1471"/>
    </row>
    <row r="343" spans="4:16" ht="12.75" customHeight="1" x14ac:dyDescent="0.25">
      <c r="D343" s="1472"/>
      <c r="E343" s="1491" t="s">
        <v>533</v>
      </c>
      <c r="F343" s="155"/>
      <c r="I343" s="1471"/>
      <c r="J343" s="1471"/>
      <c r="K343" s="1471"/>
      <c r="L343" s="1471"/>
      <c r="M343" s="1471"/>
      <c r="N343" s="1471"/>
      <c r="O343" s="1471"/>
      <c r="P343" s="1471"/>
    </row>
    <row r="344" spans="4:16" ht="12.75" customHeight="1" x14ac:dyDescent="0.25">
      <c r="D344" s="1437">
        <v>43812</v>
      </c>
      <c r="E344" s="1434" t="s">
        <v>1676</v>
      </c>
      <c r="H344" s="1514"/>
      <c r="I344" s="134"/>
      <c r="J344" s="134">
        <v>68945</v>
      </c>
      <c r="K344" s="134">
        <v>70738</v>
      </c>
      <c r="L344" s="134">
        <f>ROUND(K344*T$2,0)</f>
        <v>72223</v>
      </c>
      <c r="M344" s="134">
        <f>ROUND(L344*U$2,0)</f>
        <v>73884</v>
      </c>
      <c r="N344" s="134">
        <f>ROUND(M344*V$2,0)</f>
        <v>75583</v>
      </c>
      <c r="O344" s="134">
        <f>ROUND(N344*W$2,0)</f>
        <v>77321</v>
      </c>
      <c r="P344" s="134"/>
    </row>
    <row r="345" spans="4:16" ht="12.75" customHeight="1" x14ac:dyDescent="0.25">
      <c r="D345" s="1437"/>
      <c r="E345" s="1434" t="s">
        <v>1293</v>
      </c>
      <c r="H345" s="1514"/>
      <c r="I345" s="1471"/>
      <c r="J345" s="1471"/>
      <c r="K345" s="1471"/>
      <c r="L345" s="1471"/>
      <c r="M345" s="1471"/>
      <c r="N345" s="1471"/>
      <c r="O345" s="1471"/>
      <c r="P345" s="1471"/>
    </row>
    <row r="346" spans="4:16" ht="12.75" customHeight="1" x14ac:dyDescent="0.25">
      <c r="D346" s="1437"/>
      <c r="E346" s="2543" t="s">
        <v>1677</v>
      </c>
      <c r="F346" s="2543"/>
      <c r="I346" s="134"/>
      <c r="J346" s="134"/>
      <c r="K346" s="134"/>
      <c r="L346" s="134"/>
      <c r="M346" s="134"/>
      <c r="N346" s="134"/>
      <c r="O346" s="134"/>
      <c r="P346" s="134"/>
    </row>
    <row r="347" spans="4:16" ht="12.75" customHeight="1" x14ac:dyDescent="0.25">
      <c r="D347" s="1437"/>
      <c r="E347" s="1434" t="s">
        <v>1678</v>
      </c>
      <c r="I347" s="134"/>
      <c r="J347" s="134"/>
      <c r="K347" s="134"/>
      <c r="L347" s="134"/>
      <c r="M347" s="134"/>
      <c r="N347" s="134"/>
      <c r="O347" s="134"/>
      <c r="P347" s="134"/>
    </row>
    <row r="348" spans="4:16" ht="12.75" customHeight="1" x14ac:dyDescent="0.25">
      <c r="D348" s="1437"/>
      <c r="E348" s="1434" t="s">
        <v>1679</v>
      </c>
      <c r="I348" s="134"/>
      <c r="J348" s="134"/>
      <c r="K348" s="134"/>
      <c r="L348" s="134"/>
      <c r="M348" s="134"/>
      <c r="N348" s="134"/>
      <c r="O348" s="134"/>
      <c r="P348" s="134"/>
    </row>
    <row r="349" spans="4:16" ht="12.75" customHeight="1" x14ac:dyDescent="0.25">
      <c r="D349" s="1437"/>
      <c r="E349" s="1434" t="s">
        <v>1680</v>
      </c>
      <c r="I349" s="134"/>
      <c r="J349" s="134"/>
      <c r="K349" s="134"/>
      <c r="L349" s="134"/>
      <c r="M349" s="134"/>
      <c r="N349" s="134"/>
      <c r="O349" s="134"/>
      <c r="P349" s="134"/>
    </row>
    <row r="350" spans="4:16" ht="12.75" customHeight="1" x14ac:dyDescent="0.25">
      <c r="D350" s="1437"/>
      <c r="E350" s="1480" t="str">
        <f>"Totaal "&amp;D344</f>
        <v>Totaal 43812</v>
      </c>
      <c r="H350" s="549"/>
      <c r="I350" s="1455"/>
      <c r="J350" s="1831">
        <v>68945</v>
      </c>
      <c r="K350" s="1831">
        <v>70738</v>
      </c>
      <c r="L350" s="1831">
        <f>SUM(L344:L348)</f>
        <v>72223</v>
      </c>
      <c r="M350" s="1831">
        <f>SUM(M344:M348)</f>
        <v>73884</v>
      </c>
      <c r="N350" s="1831">
        <f>SUM(N344:N348)</f>
        <v>75583</v>
      </c>
      <c r="O350" s="1831">
        <f>SUM(O344:O348)</f>
        <v>77321</v>
      </c>
      <c r="P350" s="1455"/>
    </row>
    <row r="351" spans="4:16" ht="12.75" customHeight="1" x14ac:dyDescent="0.25">
      <c r="D351" s="1437"/>
      <c r="G351" s="1441"/>
      <c r="I351" s="1595"/>
      <c r="J351" s="1595"/>
      <c r="K351" s="1595"/>
      <c r="L351" s="1595"/>
      <c r="M351" s="1595"/>
      <c r="N351" s="1595"/>
      <c r="O351" s="1595"/>
      <c r="P351" s="1595"/>
    </row>
    <row r="352" spans="4:16" ht="12.75" customHeight="1" x14ac:dyDescent="0.25">
      <c r="D352" s="1472">
        <v>604012</v>
      </c>
      <c r="E352" s="545" t="s">
        <v>1681</v>
      </c>
      <c r="F352" s="155"/>
      <c r="I352" s="1595"/>
      <c r="J352" s="1595"/>
      <c r="K352" s="1595"/>
      <c r="L352" s="1595"/>
      <c r="M352" s="1595"/>
      <c r="N352" s="1595"/>
      <c r="O352" s="1595"/>
      <c r="P352" s="1471"/>
    </row>
    <row r="353" spans="4:16" ht="12.75" customHeight="1" x14ac:dyDescent="0.25">
      <c r="D353" s="1472"/>
      <c r="E353" s="1491" t="s">
        <v>533</v>
      </c>
      <c r="F353" s="155"/>
      <c r="I353" s="1595"/>
      <c r="J353" s="1471"/>
      <c r="K353" s="1471"/>
      <c r="L353" s="1471"/>
      <c r="M353" s="1471"/>
      <c r="N353" s="1471"/>
      <c r="O353" s="1471"/>
      <c r="P353" s="1471"/>
    </row>
    <row r="354" spans="4:16" ht="12.75" customHeight="1" x14ac:dyDescent="0.25">
      <c r="D354" s="1437">
        <v>43818</v>
      </c>
      <c r="E354" s="134" t="s">
        <v>1682</v>
      </c>
      <c r="H354" s="129"/>
      <c r="I354" s="1595"/>
      <c r="J354" s="134">
        <v>23333</v>
      </c>
      <c r="K354" s="134">
        <v>23940</v>
      </c>
      <c r="L354" s="134">
        <f>ROUND(K354*T$2,0)</f>
        <v>24443</v>
      </c>
      <c r="M354" s="134">
        <f>ROUND(L354*U$2,0)</f>
        <v>25005</v>
      </c>
      <c r="N354" s="134">
        <f>ROUND(M354*V$2,0)</f>
        <v>25580</v>
      </c>
      <c r="O354" s="134">
        <f>ROUND(N354*W$2,0)</f>
        <v>26168</v>
      </c>
      <c r="P354" s="134"/>
    </row>
    <row r="355" spans="4:16" ht="12.75" customHeight="1" x14ac:dyDescent="0.25">
      <c r="D355" s="1437"/>
      <c r="E355" s="134" t="s">
        <v>1683</v>
      </c>
      <c r="H355" s="129"/>
      <c r="I355" s="1595"/>
      <c r="J355" s="134"/>
      <c r="K355" s="134"/>
      <c r="L355" s="134"/>
      <c r="M355" s="134"/>
      <c r="N355" s="134"/>
      <c r="O355" s="134"/>
      <c r="P355" s="134"/>
    </row>
    <row r="356" spans="4:16" ht="12.75" customHeight="1" x14ac:dyDescent="0.25">
      <c r="D356" s="1437"/>
      <c r="E356" s="1480" t="str">
        <f>"Totaal "&amp;D352</f>
        <v>Totaal 604012</v>
      </c>
      <c r="H356" s="129"/>
      <c r="I356" s="1595"/>
      <c r="J356" s="1831">
        <v>23333</v>
      </c>
      <c r="K356" s="1831">
        <v>23940</v>
      </c>
      <c r="L356" s="1831">
        <f>SUM(L354:L354)</f>
        <v>24443</v>
      </c>
      <c r="M356" s="1831">
        <f>SUM(M354:M354)</f>
        <v>25005</v>
      </c>
      <c r="N356" s="1831">
        <f>SUM(N354:N354)</f>
        <v>25580</v>
      </c>
      <c r="O356" s="1831">
        <f>SUM(O354:O354)</f>
        <v>26168</v>
      </c>
      <c r="P356" s="1455"/>
    </row>
    <row r="357" spans="4:16" ht="12.75" customHeight="1" x14ac:dyDescent="0.25">
      <c r="D357" s="1437"/>
      <c r="G357" s="545"/>
      <c r="H357" s="129"/>
      <c r="I357" s="1595"/>
      <c r="J357" s="1455"/>
      <c r="K357" s="1455"/>
      <c r="L357" s="1455"/>
      <c r="M357" s="1455"/>
      <c r="N357" s="1455"/>
      <c r="O357" s="1455"/>
      <c r="P357" s="1455"/>
    </row>
    <row r="358" spans="4:16" ht="12.75" customHeight="1" x14ac:dyDescent="0.25">
      <c r="D358" s="1437"/>
      <c r="G358" s="545"/>
      <c r="H358" s="129"/>
      <c r="I358" s="1595"/>
      <c r="J358" s="1455"/>
      <c r="K358" s="1455"/>
      <c r="L358" s="1455"/>
      <c r="M358" s="1455"/>
      <c r="N358" s="1455"/>
      <c r="O358" s="1455"/>
      <c r="P358" s="1455"/>
    </row>
    <row r="359" spans="4:16" ht="12.75" customHeight="1" x14ac:dyDescent="0.25">
      <c r="D359" s="1472">
        <v>604023</v>
      </c>
      <c r="E359" s="549" t="s">
        <v>1593</v>
      </c>
      <c r="F359" s="1472"/>
      <c r="J359" s="1596">
        <v>2025</v>
      </c>
      <c r="K359" s="1596">
        <v>2026</v>
      </c>
      <c r="L359" s="1596">
        <v>2027</v>
      </c>
      <c r="M359" s="1596">
        <v>2028</v>
      </c>
      <c r="N359" s="1596">
        <v>2029</v>
      </c>
      <c r="O359" s="1596">
        <v>2030</v>
      </c>
      <c r="P359" s="1553"/>
    </row>
    <row r="360" spans="4:16" ht="12.75" customHeight="1" x14ac:dyDescent="0.25">
      <c r="D360" s="1472"/>
      <c r="E360" s="1502" t="s">
        <v>533</v>
      </c>
      <c r="F360" s="1472"/>
      <c r="J360" s="1597"/>
      <c r="K360" s="1597"/>
      <c r="L360" s="1597"/>
      <c r="M360" s="1597"/>
      <c r="N360" s="1597"/>
      <c r="O360" s="1597"/>
      <c r="P360" s="1597"/>
    </row>
    <row r="361" spans="4:16" ht="12.75" customHeight="1" x14ac:dyDescent="0.25">
      <c r="D361" s="1437">
        <v>43812</v>
      </c>
      <c r="E361" s="1441" t="s">
        <v>1684</v>
      </c>
      <c r="J361" s="134">
        <v>4516</v>
      </c>
      <c r="K361" s="134">
        <v>4633</v>
      </c>
      <c r="L361" s="134">
        <f>ROUND(K361*T$2,0)</f>
        <v>4730</v>
      </c>
      <c r="M361" s="134">
        <f>ROUND(L361*U$2,0)</f>
        <v>4839</v>
      </c>
      <c r="N361" s="134">
        <f>ROUND(M361*V$2,0)</f>
        <v>4950</v>
      </c>
      <c r="O361" s="134">
        <f>ROUND(N361*W$2,0)</f>
        <v>5064</v>
      </c>
      <c r="P361" s="134"/>
    </row>
    <row r="362" spans="4:16" ht="12.75" customHeight="1" x14ac:dyDescent="0.25">
      <c r="D362" s="1472"/>
      <c r="E362" s="1441" t="s">
        <v>1685</v>
      </c>
      <c r="F362" s="1472"/>
      <c r="J362" s="134"/>
      <c r="K362" s="134"/>
      <c r="L362" s="134"/>
      <c r="M362" s="134"/>
      <c r="N362" s="134"/>
      <c r="O362" s="134"/>
      <c r="P362" s="134"/>
    </row>
    <row r="363" spans="4:16" ht="12.75" customHeight="1" x14ac:dyDescent="0.25">
      <c r="D363" s="1472"/>
      <c r="E363" s="1441" t="s">
        <v>1686</v>
      </c>
      <c r="F363" s="1472"/>
      <c r="H363" s="1441"/>
      <c r="J363" s="134"/>
      <c r="K363" s="134"/>
      <c r="L363" s="134"/>
      <c r="M363" s="134"/>
      <c r="N363" s="134"/>
      <c r="O363" s="134"/>
      <c r="P363" s="134"/>
    </row>
    <row r="364" spans="4:16" ht="12.75" customHeight="1" x14ac:dyDescent="0.25">
      <c r="D364" s="1472"/>
      <c r="E364" s="1441" t="s">
        <v>1687</v>
      </c>
      <c r="F364" s="1472"/>
      <c r="J364" s="134"/>
      <c r="K364" s="134"/>
      <c r="L364" s="134"/>
      <c r="M364" s="134"/>
      <c r="N364" s="134"/>
      <c r="O364" s="134"/>
      <c r="P364" s="134"/>
    </row>
    <row r="365" spans="4:16" ht="12.75" customHeight="1" x14ac:dyDescent="0.25">
      <c r="D365" s="1472"/>
      <c r="E365" s="1441" t="s">
        <v>1688</v>
      </c>
      <c r="F365" s="1472"/>
      <c r="J365" s="134"/>
      <c r="K365" s="134"/>
      <c r="L365" s="134"/>
      <c r="M365" s="134"/>
      <c r="N365" s="134"/>
      <c r="O365" s="134"/>
      <c r="P365" s="134"/>
    </row>
    <row r="366" spans="4:16" ht="12.75" customHeight="1" x14ac:dyDescent="0.25">
      <c r="D366" s="1472"/>
      <c r="E366" s="1441" t="s">
        <v>1689</v>
      </c>
      <c r="F366" s="1472"/>
      <c r="J366" s="134"/>
      <c r="K366" s="134"/>
      <c r="L366" s="134"/>
      <c r="M366" s="134"/>
      <c r="N366" s="134"/>
      <c r="O366" s="134"/>
      <c r="P366" s="134"/>
    </row>
    <row r="367" spans="4:16" ht="12.75" customHeight="1" x14ac:dyDescent="0.25">
      <c r="D367" s="1472"/>
      <c r="E367" s="1441" t="s">
        <v>1690</v>
      </c>
      <c r="F367" s="1472"/>
      <c r="J367" s="134"/>
      <c r="K367" s="134"/>
      <c r="L367" s="134"/>
      <c r="M367" s="134"/>
      <c r="N367" s="134"/>
      <c r="O367" s="134"/>
      <c r="P367" s="134"/>
    </row>
    <row r="368" spans="4:16" ht="12.75" customHeight="1" x14ac:dyDescent="0.25">
      <c r="D368" s="1472"/>
      <c r="E368" s="1441" t="str">
        <f>"Totaal "&amp;D361</f>
        <v>Totaal 43812</v>
      </c>
      <c r="F368" s="1472"/>
      <c r="J368" s="1831">
        <v>4516</v>
      </c>
      <c r="K368" s="1831">
        <v>4633</v>
      </c>
      <c r="L368" s="1831">
        <f>SUM(L361:L367)</f>
        <v>4730</v>
      </c>
      <c r="M368" s="1831">
        <f>SUM(M361:M367)</f>
        <v>4839</v>
      </c>
      <c r="N368" s="1831">
        <f>SUM(N361:N367)</f>
        <v>4950</v>
      </c>
      <c r="O368" s="1831">
        <f>SUM(O361:O367)</f>
        <v>5064</v>
      </c>
      <c r="P368" s="134"/>
    </row>
    <row r="369" spans="4:16" ht="12.75" customHeight="1" x14ac:dyDescent="0.25">
      <c r="D369" s="1472"/>
      <c r="E369" s="1434"/>
      <c r="F369" s="1472"/>
    </row>
    <row r="370" spans="4:16" ht="12.75" customHeight="1" x14ac:dyDescent="0.25">
      <c r="D370" s="1437">
        <v>44360</v>
      </c>
      <c r="E370" s="1441" t="s">
        <v>1691</v>
      </c>
      <c r="J370" s="134"/>
      <c r="K370" s="134"/>
      <c r="L370" s="134"/>
      <c r="M370" s="134"/>
      <c r="N370" s="134"/>
      <c r="O370" s="134"/>
      <c r="P370" s="134"/>
    </row>
    <row r="371" spans="4:16" ht="12.75" customHeight="1" x14ac:dyDescent="0.25">
      <c r="D371" s="1437"/>
      <c r="E371" s="1441" t="s">
        <v>1692</v>
      </c>
      <c r="J371" s="134"/>
      <c r="K371" s="134"/>
      <c r="L371" s="134"/>
      <c r="M371" s="134"/>
      <c r="N371" s="134"/>
      <c r="O371" s="134"/>
      <c r="P371" s="134"/>
    </row>
    <row r="372" spans="4:16" ht="12.75" customHeight="1" x14ac:dyDescent="0.25">
      <c r="D372" s="1437"/>
      <c r="E372" s="1479" t="s">
        <v>1693</v>
      </c>
      <c r="J372" s="134"/>
      <c r="K372" s="134"/>
      <c r="L372" s="134"/>
      <c r="M372" s="134"/>
      <c r="N372" s="134"/>
      <c r="O372" s="134"/>
      <c r="P372" s="134"/>
    </row>
    <row r="373" spans="4:16" ht="12.75" customHeight="1" x14ac:dyDescent="0.25">
      <c r="D373" s="1437"/>
      <c r="E373" s="1598">
        <v>5000</v>
      </c>
      <c r="G373" s="1434" t="s">
        <v>1694</v>
      </c>
      <c r="I373" s="1599">
        <f>2.023*1.021</f>
        <v>2.065483</v>
      </c>
      <c r="J373" s="134">
        <v>10115</v>
      </c>
      <c r="K373" s="134">
        <v>10327.414999999999</v>
      </c>
      <c r="L373" s="134">
        <f t="shared" ref="L373:O374" si="20">ROUND(K373*(T$2+0.01),0)</f>
        <v>10648</v>
      </c>
      <c r="M373" s="134">
        <f t="shared" si="20"/>
        <v>10999</v>
      </c>
      <c r="N373" s="134">
        <f t="shared" si="20"/>
        <v>11362</v>
      </c>
      <c r="O373" s="134">
        <f t="shared" si="20"/>
        <v>11737</v>
      </c>
      <c r="P373" s="134"/>
    </row>
    <row r="374" spans="4:16" ht="12.75" customHeight="1" x14ac:dyDescent="0.25">
      <c r="D374" s="1437"/>
      <c r="E374" s="1598">
        <v>20000</v>
      </c>
      <c r="G374" s="1434" t="s">
        <v>1694</v>
      </c>
      <c r="I374" s="1599">
        <f>1.858*1.021</f>
        <v>1.8970179999999999</v>
      </c>
      <c r="J374" s="134">
        <v>37160</v>
      </c>
      <c r="K374" s="134">
        <v>37940.36</v>
      </c>
      <c r="L374" s="134">
        <f t="shared" si="20"/>
        <v>39117</v>
      </c>
      <c r="M374" s="134">
        <f t="shared" si="20"/>
        <v>40408</v>
      </c>
      <c r="N374" s="134">
        <f t="shared" si="20"/>
        <v>41741</v>
      </c>
      <c r="O374" s="134">
        <f t="shared" si="20"/>
        <v>43118</v>
      </c>
      <c r="P374" s="134"/>
    </row>
    <row r="375" spans="4:16" ht="12.75" customHeight="1" x14ac:dyDescent="0.25">
      <c r="D375" s="1437"/>
      <c r="E375" s="1598">
        <v>6412</v>
      </c>
      <c r="G375" s="1434" t="s">
        <v>1694</v>
      </c>
      <c r="I375" s="1600">
        <v>1.6</v>
      </c>
      <c r="J375" s="134">
        <v>10259.200000000001</v>
      </c>
      <c r="K375" s="134"/>
      <c r="L375" s="134"/>
      <c r="M375" s="134"/>
      <c r="N375" s="134"/>
      <c r="O375" s="134"/>
      <c r="P375" s="134"/>
    </row>
    <row r="376" spans="4:16" ht="12.75" customHeight="1" x14ac:dyDescent="0.25">
      <c r="D376" s="1437"/>
      <c r="E376" s="1598">
        <v>7141</v>
      </c>
      <c r="G376" s="1434" t="s">
        <v>1694</v>
      </c>
      <c r="I376" s="1600">
        <f>ROUND(I375*(1.021),3)</f>
        <v>1.6339999999999999</v>
      </c>
      <c r="J376" s="134"/>
      <c r="K376" s="134">
        <v>11668.393999999998</v>
      </c>
      <c r="L376" s="134"/>
      <c r="M376" s="134"/>
      <c r="N376" s="134"/>
      <c r="O376" s="134"/>
      <c r="P376" s="134"/>
    </row>
    <row r="377" spans="4:16" ht="12.75" customHeight="1" x14ac:dyDescent="0.25">
      <c r="D377" s="1437"/>
      <c r="E377" s="1598">
        <f>32540-25000</f>
        <v>7540</v>
      </c>
      <c r="G377" s="1434" t="s">
        <v>1694</v>
      </c>
      <c r="I377" s="1600">
        <f t="shared" ref="I377:I378" si="21">ROUND(I376*(1.021),3)</f>
        <v>1.6679999999999999</v>
      </c>
      <c r="J377" s="134"/>
      <c r="K377" s="134"/>
      <c r="L377" s="134">
        <f>+E377*I377</f>
        <v>12576.72</v>
      </c>
      <c r="P377" s="134"/>
    </row>
    <row r="378" spans="4:16" ht="12.75" customHeight="1" x14ac:dyDescent="0.25">
      <c r="D378" s="1437"/>
      <c r="E378" s="1598">
        <f>33182-25000</f>
        <v>8182</v>
      </c>
      <c r="G378" s="1434" t="s">
        <v>1694</v>
      </c>
      <c r="I378" s="1600">
        <f t="shared" si="21"/>
        <v>1.7030000000000001</v>
      </c>
      <c r="J378" s="134"/>
      <c r="K378" s="134"/>
      <c r="L378" s="134"/>
      <c r="M378" s="134">
        <f>+E378*I378</f>
        <v>13933.946</v>
      </c>
      <c r="N378" s="134"/>
      <c r="O378" s="134"/>
      <c r="P378" s="134"/>
    </row>
    <row r="379" spans="4:16" ht="12.75" customHeight="1" x14ac:dyDescent="0.25">
      <c r="D379" s="1437"/>
      <c r="E379" s="1598">
        <f>33710-25000</f>
        <v>8710</v>
      </c>
      <c r="G379" s="1434" t="s">
        <v>1694</v>
      </c>
      <c r="I379" s="1600">
        <f>ROUND(I378*(1.021),3)</f>
        <v>1.7390000000000001</v>
      </c>
      <c r="J379" s="134"/>
      <c r="K379" s="134"/>
      <c r="L379" s="134"/>
      <c r="M379" s="134"/>
      <c r="N379" s="134">
        <f>+E379*I379</f>
        <v>15146.69</v>
      </c>
      <c r="O379" s="134"/>
      <c r="P379" s="134"/>
    </row>
    <row r="380" spans="4:16" ht="12.75" customHeight="1" x14ac:dyDescent="0.25">
      <c r="D380" s="1437"/>
      <c r="E380" s="2046">
        <f>33710-25000</f>
        <v>8710</v>
      </c>
      <c r="F380" s="2044"/>
      <c r="G380" s="1444" t="s">
        <v>1694</v>
      </c>
      <c r="H380" s="1444"/>
      <c r="I380" s="2047">
        <f>ROUND(I379*(1.021),3)</f>
        <v>1.776</v>
      </c>
      <c r="J380" s="134"/>
      <c r="K380" s="134"/>
      <c r="L380" s="134"/>
      <c r="M380" s="134"/>
      <c r="N380" s="134"/>
      <c r="O380" s="134">
        <f>+E380*I380</f>
        <v>15468.960000000001</v>
      </c>
      <c r="P380" s="134"/>
    </row>
    <row r="381" spans="4:16" ht="12.75" customHeight="1" x14ac:dyDescent="0.25">
      <c r="D381" s="1437"/>
      <c r="E381" s="1598" t="s">
        <v>1695</v>
      </c>
      <c r="J381" s="134">
        <v>652</v>
      </c>
      <c r="K381" s="134">
        <v>677</v>
      </c>
      <c r="L381" s="2035">
        <f>ROUND(K381*(T$2+0.01),0)+4</f>
        <v>702</v>
      </c>
      <c r="M381" s="2035">
        <f>ROUND(L381*(U$2+0.01),0)+5</f>
        <v>730</v>
      </c>
      <c r="N381" s="2035">
        <f>ROUND(M381*(V$2+0.01),0)+5</f>
        <v>759</v>
      </c>
      <c r="O381" s="134">
        <f t="shared" ref="O381" si="22">ROUND(N381*(W$2+0.01),0)</f>
        <v>784</v>
      </c>
      <c r="P381" s="134"/>
    </row>
    <row r="382" spans="4:16" ht="12.75" customHeight="1" x14ac:dyDescent="0.25">
      <c r="D382" s="1437"/>
      <c r="E382" s="1441" t="s">
        <v>1696</v>
      </c>
      <c r="J382" s="1469">
        <v>58186.2</v>
      </c>
      <c r="K382" s="1469">
        <v>60613.169000000002</v>
      </c>
      <c r="L382" s="1469">
        <f>SUM(L373:L381)</f>
        <v>63043.72</v>
      </c>
      <c r="M382" s="1469">
        <f>SUM(M373:M381)</f>
        <v>66070.945999999996</v>
      </c>
      <c r="N382" s="1469">
        <f>SUM(N373:N381)</f>
        <v>69008.69</v>
      </c>
      <c r="O382" s="1469">
        <f>SUM(O373:O381)</f>
        <v>71107.960000000006</v>
      </c>
      <c r="P382" s="134"/>
    </row>
    <row r="383" spans="4:16" ht="12.75" customHeight="1" x14ac:dyDescent="0.25">
      <c r="D383" s="1437"/>
      <c r="E383" s="1441"/>
      <c r="J383" s="134"/>
      <c r="K383" s="134"/>
      <c r="L383" s="134"/>
      <c r="M383" s="134"/>
      <c r="N383" s="134"/>
      <c r="O383" s="134"/>
      <c r="P383" s="134"/>
    </row>
    <row r="384" spans="4:16" ht="12.75" customHeight="1" x14ac:dyDescent="0.25">
      <c r="D384" s="1437"/>
      <c r="E384" s="1441" t="s">
        <v>1697</v>
      </c>
      <c r="J384" s="134"/>
      <c r="K384" s="134"/>
      <c r="L384" s="134"/>
      <c r="M384" s="134"/>
      <c r="N384" s="134"/>
      <c r="O384" s="134"/>
      <c r="P384" s="134"/>
    </row>
    <row r="385" spans="4:20" ht="12.75" customHeight="1" x14ac:dyDescent="0.25">
      <c r="D385" s="1437"/>
      <c r="E385" s="1441" t="s">
        <v>1698</v>
      </c>
      <c r="J385" s="134"/>
      <c r="K385" s="134"/>
      <c r="L385" s="134"/>
      <c r="M385" s="134"/>
      <c r="N385" s="134"/>
      <c r="O385" s="134"/>
      <c r="P385" s="134"/>
    </row>
    <row r="386" spans="4:20" ht="12.75" customHeight="1" x14ac:dyDescent="0.25">
      <c r="D386" s="1437"/>
      <c r="E386" s="1441" t="s">
        <v>1699</v>
      </c>
      <c r="J386" s="134"/>
      <c r="K386" s="134"/>
      <c r="L386" s="134"/>
      <c r="M386" s="134"/>
      <c r="N386" s="134"/>
      <c r="O386" s="134"/>
      <c r="P386" s="134"/>
      <c r="Q386" s="1434"/>
      <c r="R386" s="1434"/>
      <c r="S386" s="1434"/>
      <c r="T386" s="1434"/>
    </row>
    <row r="387" spans="4:20" ht="12.75" customHeight="1" x14ac:dyDescent="0.25">
      <c r="D387" s="1437"/>
      <c r="E387" s="1598">
        <v>31412</v>
      </c>
      <c r="G387" s="1434" t="s">
        <v>1700</v>
      </c>
      <c r="I387" s="1600">
        <v>4.5739999999999998</v>
      </c>
      <c r="J387" s="134">
        <v>143678</v>
      </c>
      <c r="K387" s="134"/>
      <c r="L387" s="134"/>
      <c r="M387" s="134"/>
      <c r="N387" s="134"/>
      <c r="O387" s="134"/>
      <c r="P387" s="134"/>
    </row>
    <row r="388" spans="4:20" ht="12.75" customHeight="1" x14ac:dyDescent="0.25">
      <c r="D388" s="1437"/>
      <c r="E388" s="1598">
        <v>32141</v>
      </c>
      <c r="G388" s="1434" t="s">
        <v>1700</v>
      </c>
      <c r="I388" s="1600">
        <v>4.6440000000000001</v>
      </c>
      <c r="J388" s="134"/>
      <c r="K388" s="134">
        <v>149262.804</v>
      </c>
      <c r="L388" s="134"/>
      <c r="M388" s="134"/>
      <c r="N388" s="134"/>
      <c r="O388" s="134"/>
      <c r="P388" s="134"/>
    </row>
    <row r="389" spans="4:20" ht="12.75" customHeight="1" x14ac:dyDescent="0.25">
      <c r="D389" s="1437"/>
      <c r="E389" s="1598">
        <v>32540</v>
      </c>
      <c r="G389" s="1434" t="s">
        <v>1700</v>
      </c>
      <c r="I389" s="1600">
        <f>ROUND(I388*$T$2,3)</f>
        <v>4.742</v>
      </c>
      <c r="J389" s="134"/>
      <c r="K389" s="134"/>
      <c r="L389" s="134">
        <f>ROUND($E389*$I389,0)</f>
        <v>154305</v>
      </c>
      <c r="P389" s="134"/>
    </row>
    <row r="390" spans="4:20" ht="12.75" customHeight="1" x14ac:dyDescent="0.25">
      <c r="D390" s="1437"/>
      <c r="E390" s="1598">
        <v>33182</v>
      </c>
      <c r="G390" s="1434" t="s">
        <v>1700</v>
      </c>
      <c r="I390" s="1600">
        <f>ROUND(I389*$U$2,3)</f>
        <v>4.851</v>
      </c>
      <c r="J390" s="134"/>
      <c r="K390" s="134"/>
      <c r="L390" s="134"/>
      <c r="M390" s="134">
        <f>+E390*I390</f>
        <v>160965.88200000001</v>
      </c>
      <c r="N390" s="134"/>
      <c r="O390" s="134"/>
      <c r="P390" s="134"/>
    </row>
    <row r="391" spans="4:20" ht="12.75" customHeight="1" x14ac:dyDescent="0.25">
      <c r="D391" s="1437"/>
      <c r="E391" s="1598">
        <v>33710</v>
      </c>
      <c r="G391" s="1434" t="s">
        <v>1700</v>
      </c>
      <c r="I391" s="1600">
        <f>ROUND(I390*$V$2,3)</f>
        <v>4.9630000000000001</v>
      </c>
      <c r="J391" s="134"/>
      <c r="K391" s="134"/>
      <c r="L391" s="134"/>
      <c r="M391" s="134"/>
      <c r="N391" s="134">
        <f>+E391*I391</f>
        <v>167302.73000000001</v>
      </c>
      <c r="O391" s="134"/>
      <c r="P391" s="134"/>
    </row>
    <row r="392" spans="4:20" ht="12.75" customHeight="1" x14ac:dyDescent="0.25">
      <c r="D392" s="1437"/>
      <c r="E392" s="2046">
        <v>33710</v>
      </c>
      <c r="F392" s="2044"/>
      <c r="G392" s="1444" t="s">
        <v>1700</v>
      </c>
      <c r="H392" s="1444"/>
      <c r="I392" s="2047">
        <f>ROUND(I391*$W$2,3)</f>
        <v>5.077</v>
      </c>
      <c r="J392" s="134"/>
      <c r="K392" s="134"/>
      <c r="L392" s="134"/>
      <c r="M392" s="134"/>
      <c r="N392" s="134"/>
      <c r="O392" s="134">
        <f>+E392*I392</f>
        <v>171145.67</v>
      </c>
      <c r="P392" s="134"/>
    </row>
    <row r="393" spans="4:20" ht="12.75" customHeight="1" x14ac:dyDescent="0.25">
      <c r="D393" s="1437"/>
      <c r="E393" s="1441" t="s">
        <v>1701</v>
      </c>
      <c r="J393" s="134"/>
      <c r="K393" s="134"/>
      <c r="L393" s="134"/>
      <c r="M393" s="134"/>
      <c r="N393" s="134"/>
      <c r="O393" s="134"/>
      <c r="P393" s="134"/>
    </row>
    <row r="394" spans="4:20" ht="12.75" customHeight="1" x14ac:dyDescent="0.25">
      <c r="D394" s="1437"/>
      <c r="E394" s="1441" t="s">
        <v>1269</v>
      </c>
      <c r="J394" s="1831">
        <v>201864.2</v>
      </c>
      <c r="K394" s="1831">
        <v>209875.973</v>
      </c>
      <c r="L394" s="1831">
        <f>SUM(L382:L393)</f>
        <v>217348.72</v>
      </c>
      <c r="M394" s="1831">
        <f>SUM(M382:M393)</f>
        <v>227036.82800000001</v>
      </c>
      <c r="N394" s="1831">
        <f>SUM(N382:N393)</f>
        <v>236311.42</v>
      </c>
      <c r="O394" s="1831">
        <f>SUM(O382:O393)</f>
        <v>242253.63</v>
      </c>
      <c r="P394" s="134"/>
    </row>
    <row r="395" spans="4:20" ht="12.75" customHeight="1" x14ac:dyDescent="0.25">
      <c r="D395" s="1437"/>
      <c r="G395" s="1441"/>
      <c r="J395" s="134"/>
      <c r="K395" s="134"/>
      <c r="L395" s="134"/>
      <c r="M395" s="134"/>
      <c r="N395" s="134"/>
      <c r="O395" s="134"/>
      <c r="P395" s="134"/>
    </row>
    <row r="396" spans="4:20" ht="12.75" customHeight="1" x14ac:dyDescent="0.25">
      <c r="D396" s="1472">
        <v>604013</v>
      </c>
      <c r="E396" s="545" t="s">
        <v>1595</v>
      </c>
      <c r="F396" s="155"/>
      <c r="I396" s="590"/>
      <c r="J396" s="1713">
        <v>2025</v>
      </c>
      <c r="K396" s="1713">
        <v>2026</v>
      </c>
      <c r="L396" s="1713">
        <v>2027</v>
      </c>
      <c r="M396" s="1713">
        <v>2028</v>
      </c>
      <c r="N396" s="1713">
        <v>2029</v>
      </c>
      <c r="O396" s="1713">
        <v>2030</v>
      </c>
      <c r="P396" s="1471"/>
    </row>
    <row r="397" spans="4:20" ht="12.75" customHeight="1" x14ac:dyDescent="0.25">
      <c r="D397" s="1472"/>
      <c r="E397" s="1491" t="s">
        <v>533</v>
      </c>
      <c r="F397" s="155"/>
      <c r="I397" s="1702"/>
      <c r="J397" s="1471"/>
      <c r="K397" s="1471"/>
      <c r="L397" s="1471"/>
      <c r="M397" s="1471"/>
      <c r="N397" s="1471"/>
      <c r="O397" s="1471"/>
      <c r="P397" s="1471"/>
    </row>
    <row r="398" spans="4:20" ht="12.75" customHeight="1" x14ac:dyDescent="0.25">
      <c r="D398" s="1437">
        <v>43812</v>
      </c>
      <c r="E398" s="1434" t="s">
        <v>1676</v>
      </c>
      <c r="I398" s="590"/>
      <c r="J398" s="134">
        <v>4856</v>
      </c>
      <c r="K398" s="134">
        <v>4982</v>
      </c>
      <c r="L398" s="134">
        <f>ROUND(K398*T$2,0)</f>
        <v>5087</v>
      </c>
      <c r="M398" s="134">
        <f>ROUND(L398*U$2,0)</f>
        <v>5204</v>
      </c>
      <c r="N398" s="134">
        <f>ROUND(M398*V$2,0)</f>
        <v>5324</v>
      </c>
      <c r="O398" s="134">
        <f>ROUND(N398*W$2,0)</f>
        <v>5446</v>
      </c>
      <c r="P398" s="134"/>
    </row>
    <row r="399" spans="4:20" ht="12.75" customHeight="1" x14ac:dyDescent="0.25">
      <c r="D399" s="1437"/>
      <c r="E399" s="1434" t="s">
        <v>1702</v>
      </c>
      <c r="I399" s="590"/>
      <c r="J399" s="1474"/>
      <c r="K399" s="1474"/>
      <c r="L399" s="1474"/>
      <c r="M399" s="1474"/>
      <c r="N399" s="1474"/>
      <c r="O399" s="1474"/>
      <c r="P399" s="1474"/>
    </row>
    <row r="400" spans="4:20" ht="12.75" customHeight="1" x14ac:dyDescent="0.25">
      <c r="D400" s="1437"/>
      <c r="E400" s="1434" t="s">
        <v>1703</v>
      </c>
      <c r="I400" s="590"/>
      <c r="J400" s="1474"/>
      <c r="K400" s="1474"/>
      <c r="L400" s="1474"/>
      <c r="M400" s="1474"/>
      <c r="N400" s="1474"/>
      <c r="O400" s="1474"/>
      <c r="P400" s="1474"/>
    </row>
    <row r="401" spans="4:16" ht="12.75" customHeight="1" x14ac:dyDescent="0.25">
      <c r="D401" s="1437"/>
      <c r="E401" s="1434" t="s">
        <v>1704</v>
      </c>
      <c r="I401" s="590"/>
      <c r="J401" s="1474"/>
      <c r="K401" s="1474"/>
      <c r="L401" s="1474"/>
      <c r="M401" s="1474"/>
      <c r="N401" s="1474"/>
      <c r="O401" s="1474"/>
      <c r="P401" s="1474"/>
    </row>
    <row r="402" spans="4:16" ht="12.75" customHeight="1" x14ac:dyDescent="0.25">
      <c r="D402" s="1437"/>
      <c r="E402" s="1434" t="s">
        <v>1705</v>
      </c>
      <c r="I402" s="590"/>
      <c r="J402" s="1474"/>
      <c r="K402" s="1474"/>
      <c r="L402" s="1474"/>
      <c r="M402" s="1474"/>
      <c r="N402" s="1474"/>
      <c r="O402" s="1474"/>
      <c r="P402" s="1474"/>
    </row>
    <row r="403" spans="4:16" ht="12.75" customHeight="1" x14ac:dyDescent="0.25">
      <c r="D403" s="1437"/>
      <c r="E403" s="1434" t="s">
        <v>1706</v>
      </c>
      <c r="I403" s="590"/>
      <c r="J403" s="1474"/>
      <c r="K403" s="1474"/>
      <c r="L403" s="1474"/>
      <c r="M403" s="1474"/>
      <c r="N403" s="1474"/>
      <c r="O403" s="1474"/>
      <c r="P403" s="1474"/>
    </row>
    <row r="404" spans="4:16" ht="12.75" customHeight="1" x14ac:dyDescent="0.25">
      <c r="D404" s="1437"/>
      <c r="E404" s="1434" t="s">
        <v>1707</v>
      </c>
      <c r="I404" s="590"/>
      <c r="J404" s="134"/>
      <c r="K404" s="134"/>
      <c r="L404" s="134"/>
      <c r="M404" s="134"/>
      <c r="N404" s="134"/>
      <c r="O404" s="134"/>
      <c r="P404" s="134"/>
    </row>
    <row r="405" spans="4:16" ht="12.75" customHeight="1" x14ac:dyDescent="0.25">
      <c r="D405" s="1437"/>
      <c r="E405" s="1434" t="s">
        <v>1708</v>
      </c>
      <c r="I405" s="590"/>
      <c r="J405" s="134"/>
      <c r="K405" s="134"/>
      <c r="L405" s="134"/>
      <c r="M405" s="134"/>
      <c r="N405" s="134"/>
      <c r="O405" s="134"/>
      <c r="P405" s="134"/>
    </row>
    <row r="406" spans="4:16" ht="12.75" customHeight="1" x14ac:dyDescent="0.25">
      <c r="D406" s="1437"/>
      <c r="E406" s="1434" t="s">
        <v>1709</v>
      </c>
      <c r="I406" s="590"/>
      <c r="J406" s="134"/>
      <c r="K406" s="134"/>
      <c r="L406" s="134"/>
      <c r="M406" s="134"/>
      <c r="N406" s="134"/>
      <c r="O406" s="134"/>
      <c r="P406" s="134"/>
    </row>
    <row r="407" spans="4:16" ht="12.75" customHeight="1" x14ac:dyDescent="0.25">
      <c r="D407" s="1437"/>
      <c r="E407" s="1434" t="s">
        <v>1710</v>
      </c>
      <c r="I407" s="590"/>
      <c r="J407" s="134"/>
      <c r="K407" s="134"/>
      <c r="L407" s="134"/>
      <c r="M407" s="134"/>
      <c r="N407" s="134"/>
      <c r="O407" s="134"/>
      <c r="P407" s="134"/>
    </row>
    <row r="408" spans="4:16" ht="12.75" customHeight="1" x14ac:dyDescent="0.25">
      <c r="D408" s="1437"/>
      <c r="E408" s="1502" t="s">
        <v>1711</v>
      </c>
      <c r="I408" s="590"/>
      <c r="J408" s="134"/>
      <c r="K408" s="134"/>
      <c r="L408" s="134"/>
      <c r="M408" s="134"/>
      <c r="N408" s="134"/>
      <c r="O408" s="134"/>
      <c r="P408" s="134"/>
    </row>
    <row r="409" spans="4:16" ht="12.75" customHeight="1" x14ac:dyDescent="0.25">
      <c r="D409" s="1437"/>
      <c r="E409" s="1434" t="s">
        <v>1712</v>
      </c>
      <c r="I409" s="590"/>
      <c r="J409" s="134"/>
      <c r="K409" s="134"/>
      <c r="L409" s="134"/>
      <c r="M409" s="134"/>
      <c r="N409" s="134"/>
      <c r="O409" s="134"/>
      <c r="P409" s="134"/>
    </row>
    <row r="410" spans="4:16" ht="12.75" customHeight="1" x14ac:dyDescent="0.25">
      <c r="D410" s="1437"/>
      <c r="E410" s="1480" t="str">
        <f>"Totaal "&amp;D398</f>
        <v>Totaal 43812</v>
      </c>
      <c r="H410" s="549"/>
      <c r="I410" s="590"/>
      <c r="J410" s="1831">
        <v>4856</v>
      </c>
      <c r="K410" s="1831">
        <v>4982</v>
      </c>
      <c r="L410" s="1831">
        <f>SUM(L398:L404)</f>
        <v>5087</v>
      </c>
      <c r="M410" s="1831">
        <f>SUM(M398:M404)</f>
        <v>5204</v>
      </c>
      <c r="N410" s="1831">
        <f>SUM(N398:N404)</f>
        <v>5324</v>
      </c>
      <c r="O410" s="1831">
        <f>SUM(O398:O404)</f>
        <v>5446</v>
      </c>
      <c r="P410" s="1455"/>
    </row>
    <row r="411" spans="4:16" ht="12.75" customHeight="1" x14ac:dyDescent="0.25">
      <c r="D411" s="1437"/>
      <c r="E411" s="1434"/>
      <c r="I411" s="590"/>
      <c r="J411" s="130"/>
      <c r="K411" s="130"/>
      <c r="L411" s="130"/>
      <c r="M411" s="130"/>
      <c r="N411" s="130"/>
      <c r="O411" s="130"/>
      <c r="P411" s="130"/>
    </row>
    <row r="412" spans="4:16" ht="12.75" customHeight="1" x14ac:dyDescent="0.25">
      <c r="D412" s="1437"/>
      <c r="E412" s="590" t="s">
        <v>1713</v>
      </c>
      <c r="H412" s="590"/>
      <c r="I412" s="130"/>
      <c r="J412" s="130"/>
      <c r="K412" s="130"/>
      <c r="L412" s="130"/>
      <c r="M412" s="130"/>
      <c r="N412" s="130"/>
      <c r="O412" s="130"/>
      <c r="P412" s="130"/>
    </row>
    <row r="413" spans="4:16" ht="12.75" customHeight="1" x14ac:dyDescent="0.25">
      <c r="D413" s="1437"/>
      <c r="E413" s="590"/>
      <c r="H413" s="590"/>
      <c r="I413" s="130"/>
      <c r="J413" s="130"/>
      <c r="K413" s="130"/>
      <c r="L413" s="130"/>
      <c r="M413" s="130"/>
      <c r="N413" s="130"/>
      <c r="O413" s="130"/>
      <c r="P413" s="130"/>
    </row>
    <row r="414" spans="4:16" ht="12.75" customHeight="1" x14ac:dyDescent="0.25">
      <c r="D414" s="1472">
        <v>604014</v>
      </c>
      <c r="E414" s="545" t="s">
        <v>1714</v>
      </c>
      <c r="F414" s="155"/>
      <c r="I414" s="1595"/>
      <c r="J414" s="1595"/>
      <c r="K414" s="1595"/>
      <c r="L414" s="1595"/>
      <c r="M414" s="1595"/>
      <c r="N414" s="1595"/>
      <c r="O414" s="1595"/>
      <c r="P414" s="1595"/>
    </row>
    <row r="415" spans="4:16" ht="12.75" customHeight="1" x14ac:dyDescent="0.25">
      <c r="D415" s="1472"/>
      <c r="E415" s="1491" t="s">
        <v>533</v>
      </c>
      <c r="F415" s="155"/>
      <c r="I415" s="1595"/>
      <c r="J415" s="1595"/>
      <c r="K415" s="1595"/>
      <c r="L415" s="1595"/>
      <c r="M415" s="1595"/>
      <c r="N415" s="1595"/>
      <c r="O415" s="1595"/>
      <c r="P415" s="1595"/>
    </row>
    <row r="416" spans="4:16" ht="12.75" customHeight="1" x14ac:dyDescent="0.25">
      <c r="D416" s="1535">
        <v>43812</v>
      </c>
      <c r="E416" s="1434" t="s">
        <v>1715</v>
      </c>
      <c r="F416" s="1535"/>
      <c r="H416" s="1536"/>
    </row>
    <row r="417" spans="4:20" ht="12.75" customHeight="1" x14ac:dyDescent="0.25">
      <c r="D417" s="1535"/>
      <c r="E417" s="1434"/>
      <c r="F417" s="1535"/>
      <c r="H417" s="1536"/>
    </row>
    <row r="418" spans="4:20" ht="12.75" customHeight="1" x14ac:dyDescent="0.25">
      <c r="D418" s="1538">
        <v>604015</v>
      </c>
      <c r="E418" s="549" t="s">
        <v>1716</v>
      </c>
      <c r="F418" s="1473"/>
      <c r="H418" s="549"/>
      <c r="I418" s="1536"/>
      <c r="J418" s="1713">
        <v>2025</v>
      </c>
      <c r="K418" s="1713">
        <v>2026</v>
      </c>
      <c r="L418" s="1713">
        <v>2027</v>
      </c>
      <c r="M418" s="1713">
        <v>2028</v>
      </c>
      <c r="N418" s="1713">
        <v>2029</v>
      </c>
      <c r="O418" s="1713">
        <v>2030</v>
      </c>
      <c r="P418" s="1471"/>
    </row>
    <row r="419" spans="4:20" ht="12.75" customHeight="1" x14ac:dyDescent="0.25">
      <c r="D419" s="1538"/>
      <c r="E419" s="1491" t="s">
        <v>533</v>
      </c>
      <c r="F419" s="1473"/>
      <c r="H419" s="549"/>
      <c r="I419" s="1536"/>
      <c r="J419" s="1455"/>
      <c r="K419" s="1455"/>
      <c r="L419" s="1455"/>
      <c r="M419" s="1455"/>
      <c r="N419" s="1455"/>
      <c r="O419" s="1455"/>
      <c r="P419" s="1455"/>
    </row>
    <row r="420" spans="4:20" ht="12.75" customHeight="1" x14ac:dyDescent="0.25">
      <c r="D420" s="1437">
        <v>43201</v>
      </c>
      <c r="E420" s="1434" t="s">
        <v>1717</v>
      </c>
      <c r="I420" s="1536"/>
      <c r="J420" s="134">
        <v>8517</v>
      </c>
      <c r="K420" s="134">
        <v>8738</v>
      </c>
      <c r="L420" s="134">
        <f>ROUND(K420*T$2,0)</f>
        <v>8921</v>
      </c>
      <c r="M420" s="134">
        <f>ROUND(L420*U$2,0)</f>
        <v>9126</v>
      </c>
      <c r="N420" s="134">
        <f>ROUND(M420*V$2,0)</f>
        <v>9336</v>
      </c>
      <c r="O420" s="134">
        <f>ROUND(N420*W$2,0)</f>
        <v>9551</v>
      </c>
      <c r="P420" s="134"/>
    </row>
    <row r="421" spans="4:20" ht="12.75" customHeight="1" x14ac:dyDescent="0.25">
      <c r="D421" s="1461"/>
      <c r="E421" s="1480" t="str">
        <f>"Totaal "&amp;D420</f>
        <v>Totaal 43201</v>
      </c>
      <c r="F421" s="1461"/>
      <c r="H421" s="549"/>
      <c r="I421" s="1536"/>
      <c r="J421" s="1831">
        <v>8517</v>
      </c>
      <c r="K421" s="1831">
        <v>8738</v>
      </c>
      <c r="L421" s="1831">
        <f>SUM(L420:L420)</f>
        <v>8921</v>
      </c>
      <c r="M421" s="1831">
        <f>SUM(M420:M420)</f>
        <v>9126</v>
      </c>
      <c r="N421" s="1831">
        <f>SUM(N420:N420)</f>
        <v>9336</v>
      </c>
      <c r="O421" s="1831">
        <f>SUM(O420:O420)</f>
        <v>9551</v>
      </c>
      <c r="P421" s="1455"/>
    </row>
    <row r="422" spans="4:20" ht="12.75" customHeight="1" x14ac:dyDescent="0.25">
      <c r="D422" s="1461"/>
      <c r="E422" s="1434"/>
      <c r="F422" s="1461"/>
      <c r="I422" s="1536"/>
      <c r="J422" s="134"/>
      <c r="K422" s="134"/>
      <c r="L422" s="134"/>
      <c r="M422" s="134"/>
      <c r="N422" s="134"/>
      <c r="O422" s="134"/>
      <c r="P422" s="134"/>
    </row>
    <row r="423" spans="4:20" ht="12.75" customHeight="1" x14ac:dyDescent="0.25">
      <c r="D423" s="1437">
        <v>43812</v>
      </c>
      <c r="E423" s="1434" t="s">
        <v>1676</v>
      </c>
      <c r="I423" s="1536"/>
      <c r="J423" s="1474"/>
      <c r="K423" s="1474"/>
      <c r="L423" s="1474"/>
      <c r="M423" s="1474"/>
      <c r="N423" s="1474"/>
      <c r="O423" s="1474"/>
      <c r="P423" s="1474"/>
    </row>
    <row r="424" spans="4:20" ht="12.75" customHeight="1" x14ac:dyDescent="0.25">
      <c r="D424" s="1461"/>
      <c r="E424" s="1434" t="s">
        <v>1718</v>
      </c>
      <c r="F424" s="1461"/>
      <c r="H424" s="549"/>
      <c r="I424" s="1536"/>
      <c r="J424" s="134">
        <v>22807</v>
      </c>
      <c r="K424" s="134">
        <v>23400</v>
      </c>
      <c r="L424" s="134">
        <f t="shared" ref="L424:O426" si="23">ROUND(K424*T$2,0)</f>
        <v>23891</v>
      </c>
      <c r="M424" s="134">
        <f t="shared" si="23"/>
        <v>24440</v>
      </c>
      <c r="N424" s="134">
        <f t="shared" si="23"/>
        <v>25002</v>
      </c>
      <c r="O424" s="134">
        <f t="shared" si="23"/>
        <v>25577</v>
      </c>
      <c r="P424" s="134"/>
    </row>
    <row r="425" spans="4:20" ht="12.75" customHeight="1" x14ac:dyDescent="0.25">
      <c r="D425" s="1461"/>
      <c r="E425" s="1434" t="s">
        <v>1719</v>
      </c>
      <c r="F425" s="1461"/>
      <c r="H425" s="549"/>
      <c r="I425" s="1536"/>
      <c r="J425" s="134">
        <v>7413</v>
      </c>
      <c r="K425" s="134">
        <v>7606</v>
      </c>
      <c r="L425" s="134">
        <f t="shared" si="23"/>
        <v>7766</v>
      </c>
      <c r="M425" s="134">
        <f t="shared" si="23"/>
        <v>7945</v>
      </c>
      <c r="N425" s="134">
        <f t="shared" si="23"/>
        <v>8128</v>
      </c>
      <c r="O425" s="134">
        <f t="shared" si="23"/>
        <v>8315</v>
      </c>
      <c r="P425" s="134"/>
    </row>
    <row r="426" spans="4:20" ht="12.75" customHeight="1" x14ac:dyDescent="0.25">
      <c r="D426" s="1437"/>
      <c r="E426" s="134" t="s">
        <v>1720</v>
      </c>
      <c r="I426" s="1536"/>
      <c r="J426" s="134">
        <v>1367</v>
      </c>
      <c r="K426" s="134">
        <v>1403</v>
      </c>
      <c r="L426" s="134">
        <f t="shared" si="23"/>
        <v>1432</v>
      </c>
      <c r="M426" s="134">
        <f t="shared" si="23"/>
        <v>1465</v>
      </c>
      <c r="N426" s="134">
        <f t="shared" si="23"/>
        <v>1499</v>
      </c>
      <c r="O426" s="134">
        <f t="shared" si="23"/>
        <v>1533</v>
      </c>
      <c r="P426" s="134"/>
    </row>
    <row r="427" spans="4:20" ht="12.75" customHeight="1" x14ac:dyDescent="0.25">
      <c r="D427" s="1461"/>
      <c r="E427" s="1480" t="str">
        <f>"Totaal "&amp;D423</f>
        <v>Totaal 43812</v>
      </c>
      <c r="F427" s="1461"/>
      <c r="H427" s="549"/>
      <c r="I427" s="1536"/>
      <c r="J427" s="1831">
        <v>31587</v>
      </c>
      <c r="K427" s="1831">
        <v>32409</v>
      </c>
      <c r="L427" s="1831">
        <f>SUM(L424:L426)</f>
        <v>33089</v>
      </c>
      <c r="M427" s="1831">
        <f>SUM(M424:M426)</f>
        <v>33850</v>
      </c>
      <c r="N427" s="1831">
        <f>SUM(N424:N426)</f>
        <v>34629</v>
      </c>
      <c r="O427" s="1831">
        <f>SUM(O424:O426)</f>
        <v>35425</v>
      </c>
      <c r="P427" s="1455"/>
    </row>
    <row r="428" spans="4:20" ht="12.75" customHeight="1" x14ac:dyDescent="0.25">
      <c r="D428" s="1461"/>
      <c r="E428" s="1461"/>
      <c r="F428" s="1461"/>
      <c r="G428" s="134"/>
      <c r="I428" s="1536"/>
      <c r="J428" s="134"/>
      <c r="K428" s="134"/>
      <c r="L428" s="134"/>
      <c r="M428" s="134"/>
      <c r="N428" s="134"/>
      <c r="O428" s="134"/>
      <c r="P428" s="134"/>
      <c r="Q428" s="1434"/>
      <c r="R428" s="1434"/>
      <c r="S428" s="1434"/>
      <c r="T428" s="1434"/>
    </row>
    <row r="429" spans="4:20" ht="12.75" customHeight="1" x14ac:dyDescent="0.25">
      <c r="D429" s="1472">
        <v>604018</v>
      </c>
      <c r="E429" s="549" t="s">
        <v>1600</v>
      </c>
      <c r="F429" s="155"/>
      <c r="P429" s="134"/>
    </row>
    <row r="430" spans="4:20" ht="12.75" customHeight="1" x14ac:dyDescent="0.25">
      <c r="D430" s="1472"/>
      <c r="E430" s="1491" t="s">
        <v>533</v>
      </c>
      <c r="F430" s="155"/>
      <c r="I430" s="134"/>
      <c r="J430" s="134"/>
      <c r="K430" s="134"/>
      <c r="L430" s="134"/>
      <c r="M430" s="134"/>
      <c r="N430" s="134"/>
      <c r="O430" s="134"/>
      <c r="P430" s="134"/>
    </row>
    <row r="431" spans="4:20" ht="12.75" customHeight="1" x14ac:dyDescent="0.25">
      <c r="D431" s="1472"/>
      <c r="E431" s="1491"/>
      <c r="F431" s="155"/>
      <c r="I431" s="134"/>
      <c r="J431" s="134"/>
      <c r="K431" s="134"/>
      <c r="L431" s="134"/>
      <c r="M431" s="134"/>
      <c r="N431" s="134"/>
      <c r="O431" s="134"/>
      <c r="P431" s="134"/>
    </row>
    <row r="432" spans="4:20" ht="12.75" customHeight="1" x14ac:dyDescent="0.25">
      <c r="D432" s="1437">
        <v>43812</v>
      </c>
      <c r="E432" s="1434" t="s">
        <v>1721</v>
      </c>
      <c r="I432" s="1471"/>
      <c r="J432" s="134">
        <v>41120</v>
      </c>
      <c r="K432" s="134">
        <v>62709</v>
      </c>
      <c r="L432" s="134">
        <f>ROUND(K432*T$2,0)</f>
        <v>64026</v>
      </c>
      <c r="M432" s="134">
        <f>ROUND(L432*U$2,0)</f>
        <v>65499</v>
      </c>
      <c r="N432" s="134">
        <f>ROUND(M432*V$2,0)</f>
        <v>67005</v>
      </c>
      <c r="O432" s="134">
        <f>ROUND(N432*W$2,0)</f>
        <v>68546</v>
      </c>
      <c r="P432" s="134"/>
    </row>
    <row r="433" spans="4:16" ht="12.75" customHeight="1" x14ac:dyDescent="0.25">
      <c r="D433" s="1437"/>
      <c r="E433" s="1434"/>
      <c r="I433" s="1471"/>
      <c r="J433" s="134"/>
      <c r="K433" s="134"/>
      <c r="L433" s="134"/>
      <c r="M433" s="134"/>
      <c r="N433" s="134"/>
      <c r="O433" s="134"/>
      <c r="P433" s="134"/>
    </row>
    <row r="434" spans="4:16" ht="12.75" customHeight="1" x14ac:dyDescent="0.25">
      <c r="D434" s="1437"/>
      <c r="E434" s="1502" t="s">
        <v>1722</v>
      </c>
      <c r="I434" s="1471"/>
      <c r="J434" s="134"/>
      <c r="K434" s="134"/>
      <c r="L434" s="134"/>
      <c r="M434" s="134"/>
      <c r="N434" s="134"/>
      <c r="O434" s="134"/>
      <c r="P434" s="134"/>
    </row>
    <row r="435" spans="4:16" ht="12.75" customHeight="1" x14ac:dyDescent="0.25">
      <c r="D435" s="1437"/>
      <c r="E435" s="1434" t="s">
        <v>1723</v>
      </c>
      <c r="I435" s="1471"/>
      <c r="J435" s="134">
        <v>60344</v>
      </c>
      <c r="K435" s="134">
        <v>61913</v>
      </c>
      <c r="L435" s="134">
        <f>ROUND(K435*T$2,0)</f>
        <v>63213</v>
      </c>
      <c r="M435" s="134">
        <f>ROUND(L435*U$2,0)</f>
        <v>64667</v>
      </c>
      <c r="N435" s="134">
        <f>ROUND(M435*V$2,0)</f>
        <v>66154</v>
      </c>
      <c r="O435" s="134">
        <f>ROUND(N435*W$2,0)</f>
        <v>67676</v>
      </c>
      <c r="P435" s="134"/>
    </row>
    <row r="436" spans="4:16" ht="12.75" customHeight="1" x14ac:dyDescent="0.25">
      <c r="D436" s="1437"/>
      <c r="E436" s="1434" t="s">
        <v>1724</v>
      </c>
      <c r="I436" s="1471"/>
      <c r="J436" s="134"/>
      <c r="K436" s="134">
        <v>-61913</v>
      </c>
      <c r="L436" s="134">
        <v>-63275</v>
      </c>
      <c r="M436" s="134">
        <v>-64667</v>
      </c>
      <c r="N436" s="134">
        <v>-66090</v>
      </c>
      <c r="O436" s="134">
        <f>-O435</f>
        <v>-67676</v>
      </c>
      <c r="P436" s="134"/>
    </row>
    <row r="437" spans="4:16" ht="12.75" customHeight="1" x14ac:dyDescent="0.25">
      <c r="D437" s="1437"/>
      <c r="E437" s="549" t="s">
        <v>619</v>
      </c>
      <c r="H437" s="549"/>
      <c r="I437" s="1471"/>
      <c r="J437" s="1831">
        <v>101464</v>
      </c>
      <c r="K437" s="1831">
        <v>62709</v>
      </c>
      <c r="L437" s="1831">
        <f>SUM(L432:L436)</f>
        <v>63964</v>
      </c>
      <c r="M437" s="1831">
        <f>SUM(M432:M436)</f>
        <v>65499</v>
      </c>
      <c r="N437" s="1831">
        <f>SUM(N432:N436)</f>
        <v>67069</v>
      </c>
      <c r="O437" s="1831">
        <f>SUM(O432:O436)</f>
        <v>68546</v>
      </c>
      <c r="P437" s="134"/>
    </row>
    <row r="438" spans="4:16" ht="12.75" customHeight="1" x14ac:dyDescent="0.25">
      <c r="D438" s="1461"/>
      <c r="E438" s="1461"/>
      <c r="F438" s="1461"/>
      <c r="G438" s="134"/>
      <c r="I438" s="1536"/>
      <c r="J438" s="1511"/>
      <c r="K438" s="1511"/>
      <c r="L438" s="1511"/>
      <c r="M438" s="1511"/>
      <c r="N438" s="1511"/>
      <c r="O438" s="1511"/>
      <c r="P438" s="134"/>
    </row>
    <row r="439" spans="4:16" ht="12.75" customHeight="1" x14ac:dyDescent="0.25">
      <c r="D439" s="1461"/>
      <c r="E439" s="1461"/>
      <c r="F439" s="1461"/>
      <c r="G439" s="134"/>
      <c r="I439" s="1536"/>
      <c r="J439" s="134"/>
      <c r="K439" s="134"/>
      <c r="L439" s="134"/>
      <c r="M439" s="134"/>
      <c r="N439" s="134"/>
      <c r="O439" s="134"/>
      <c r="P439" s="134"/>
    </row>
    <row r="440" spans="4:16" ht="12.75" customHeight="1" x14ac:dyDescent="0.25">
      <c r="D440" s="1472">
        <v>604017</v>
      </c>
      <c r="E440" s="549" t="s">
        <v>436</v>
      </c>
      <c r="F440" s="155"/>
      <c r="I440" s="134"/>
      <c r="J440" s="1713">
        <v>2025</v>
      </c>
      <c r="K440" s="1713">
        <v>2026</v>
      </c>
      <c r="L440" s="1713">
        <v>2027</v>
      </c>
      <c r="M440" s="1713">
        <v>2028</v>
      </c>
      <c r="N440" s="1713">
        <v>2029</v>
      </c>
      <c r="O440" s="1713">
        <v>2030</v>
      </c>
      <c r="P440" s="134"/>
    </row>
    <row r="441" spans="4:16" ht="12.75" customHeight="1" x14ac:dyDescent="0.25">
      <c r="D441" s="1472"/>
      <c r="E441" s="1491" t="s">
        <v>533</v>
      </c>
      <c r="F441" s="155"/>
      <c r="I441" s="134"/>
      <c r="J441" s="134"/>
      <c r="K441" s="134"/>
      <c r="L441" s="134"/>
      <c r="M441" s="134"/>
      <c r="N441" s="134"/>
      <c r="O441" s="134"/>
      <c r="P441" s="134"/>
    </row>
    <row r="442" spans="4:16" ht="12.75" customHeight="1" x14ac:dyDescent="0.25">
      <c r="D442" s="1437"/>
      <c r="E442" s="1434" t="s">
        <v>1725</v>
      </c>
      <c r="G442" s="1434" t="s">
        <v>1726</v>
      </c>
      <c r="I442" s="1471"/>
      <c r="J442" s="1471"/>
      <c r="K442" s="1471"/>
      <c r="L442" s="1471"/>
      <c r="M442" s="1471"/>
      <c r="N442" s="1471"/>
      <c r="O442" s="1471"/>
      <c r="P442" s="134"/>
    </row>
    <row r="443" spans="4:16" ht="12.75" customHeight="1" x14ac:dyDescent="0.25">
      <c r="D443" s="1437"/>
      <c r="E443" s="1434"/>
      <c r="I443" s="134"/>
      <c r="J443" s="134"/>
      <c r="K443" s="134"/>
      <c r="L443" s="134"/>
      <c r="M443" s="134"/>
      <c r="N443" s="134"/>
      <c r="O443" s="134"/>
      <c r="P443" s="134"/>
    </row>
    <row r="444" spans="4:16" ht="12.75" customHeight="1" x14ac:dyDescent="0.25">
      <c r="D444" s="1437"/>
      <c r="E444" s="1434"/>
      <c r="I444" s="134"/>
      <c r="J444" s="134"/>
      <c r="K444" s="134"/>
      <c r="L444" s="134"/>
      <c r="M444" s="134"/>
      <c r="N444" s="134"/>
      <c r="O444" s="134"/>
      <c r="P444" s="134"/>
    </row>
    <row r="445" spans="4:16" ht="12.75" customHeight="1" x14ac:dyDescent="0.25">
      <c r="D445" s="1434"/>
      <c r="E445" s="1502"/>
      <c r="I445" s="134"/>
      <c r="J445" s="134"/>
      <c r="K445" s="134"/>
      <c r="L445" s="134"/>
      <c r="M445" s="134"/>
      <c r="N445" s="134"/>
      <c r="O445" s="134"/>
      <c r="P445" s="134"/>
    </row>
    <row r="446" spans="4:16" ht="12.75" customHeight="1" x14ac:dyDescent="0.25">
      <c r="D446" s="1437"/>
      <c r="E446" s="1502" t="s">
        <v>1711</v>
      </c>
      <c r="I446" s="134"/>
      <c r="J446" s="1474"/>
      <c r="K446" s="1474"/>
      <c r="L446" s="1474"/>
      <c r="M446" s="1474"/>
      <c r="N446" s="1474"/>
      <c r="O446" s="1474"/>
      <c r="P446" s="134"/>
    </row>
    <row r="447" spans="4:16" ht="12.75" customHeight="1" x14ac:dyDescent="0.25">
      <c r="D447" s="1437">
        <v>41100</v>
      </c>
      <c r="E447" s="1434" t="s">
        <v>1727</v>
      </c>
      <c r="F447" s="1434"/>
      <c r="I447" s="134"/>
      <c r="J447" s="134">
        <v>102800</v>
      </c>
      <c r="K447" s="1474"/>
      <c r="L447" s="1474"/>
      <c r="M447" s="1474"/>
      <c r="N447" s="1474"/>
      <c r="O447" s="1474"/>
      <c r="P447" s="134"/>
    </row>
    <row r="448" spans="4:16" ht="12.75" customHeight="1" x14ac:dyDescent="0.25">
      <c r="D448" s="1437"/>
      <c r="E448" s="1442" t="s">
        <v>1728</v>
      </c>
      <c r="F448" s="1434"/>
      <c r="I448" s="134"/>
      <c r="J448" s="1474">
        <v>31000</v>
      </c>
      <c r="K448" s="134">
        <v>31600</v>
      </c>
      <c r="L448" s="134">
        <f>ROUND(K448*T3,-2)</f>
        <v>32900</v>
      </c>
      <c r="M448" s="134">
        <f>ROUND(L448*U3,-2)</f>
        <v>34100</v>
      </c>
      <c r="N448" s="134">
        <f>ROUND(M448*V3,-2)</f>
        <v>35400</v>
      </c>
      <c r="O448" s="134">
        <f>ROUND(N448*W3,-2)</f>
        <v>36700</v>
      </c>
      <c r="P448" s="134"/>
    </row>
    <row r="449" spans="4:20" ht="12.75" customHeight="1" x14ac:dyDescent="0.25">
      <c r="D449" s="1437"/>
      <c r="E449" s="1434"/>
      <c r="F449" s="1434"/>
      <c r="I449" s="134"/>
      <c r="J449" s="1474"/>
      <c r="K449" s="1474"/>
      <c r="L449" s="1474"/>
      <c r="M449" s="1474"/>
      <c r="N449" s="1474"/>
      <c r="O449" s="1474"/>
      <c r="P449" s="134"/>
    </row>
    <row r="450" spans="4:20" ht="12.75" customHeight="1" x14ac:dyDescent="0.25">
      <c r="D450" s="1437"/>
      <c r="E450" s="1434"/>
      <c r="I450" s="134"/>
      <c r="J450" s="1831">
        <v>133800</v>
      </c>
      <c r="K450" s="1831">
        <v>31600</v>
      </c>
      <c r="L450" s="1831">
        <f>SUM(L446:L449)</f>
        <v>32900</v>
      </c>
      <c r="M450" s="1831">
        <f>SUM(M446:M449)</f>
        <v>34100</v>
      </c>
      <c r="N450" s="1831">
        <f>SUM(N446:N449)</f>
        <v>35400</v>
      </c>
      <c r="O450" s="1831">
        <f>SUM(O446:O449)</f>
        <v>36700</v>
      </c>
      <c r="P450" s="134"/>
    </row>
    <row r="451" spans="4:20" ht="12.75" customHeight="1" x14ac:dyDescent="0.25">
      <c r="D451" s="1437"/>
      <c r="E451" s="1434"/>
      <c r="I451" s="134"/>
      <c r="J451" s="134"/>
      <c r="K451" s="134"/>
      <c r="L451" s="134"/>
      <c r="M451" s="134"/>
      <c r="N451" s="134"/>
      <c r="O451" s="134"/>
      <c r="P451" s="134"/>
    </row>
    <row r="452" spans="4:20" ht="12.75" customHeight="1" x14ac:dyDescent="0.25">
      <c r="D452" s="1437">
        <v>43511</v>
      </c>
      <c r="E452" s="1434" t="s">
        <v>1729</v>
      </c>
      <c r="I452" s="134"/>
      <c r="J452" s="134">
        <v>35952</v>
      </c>
      <c r="K452" s="134">
        <v>36887</v>
      </c>
      <c r="L452" s="134">
        <f>ROUND(K452*T$2,0)</f>
        <v>37662</v>
      </c>
      <c r="M452" s="134">
        <f>ROUND(L452*U$2,0)</f>
        <v>38528</v>
      </c>
      <c r="N452" s="134">
        <f>ROUND(M452*V$2,0)</f>
        <v>39414</v>
      </c>
      <c r="O452" s="134">
        <f>ROUND(N452*W$2,0)</f>
        <v>40321</v>
      </c>
      <c r="P452" s="134"/>
    </row>
    <row r="453" spans="4:20" ht="12.75" customHeight="1" x14ac:dyDescent="0.25">
      <c r="D453" s="1437"/>
      <c r="E453" s="549" t="s">
        <v>711</v>
      </c>
      <c r="I453" s="134"/>
      <c r="J453" s="1831">
        <v>35952</v>
      </c>
      <c r="K453" s="1831">
        <v>36887</v>
      </c>
      <c r="L453" s="1831">
        <f>+L452</f>
        <v>37662</v>
      </c>
      <c r="M453" s="1831">
        <f>+M452</f>
        <v>38528</v>
      </c>
      <c r="N453" s="1831">
        <f>+N452</f>
        <v>39414</v>
      </c>
      <c r="O453" s="1831">
        <f>+O452</f>
        <v>40321</v>
      </c>
      <c r="P453" s="1455"/>
      <c r="Q453" s="1434"/>
      <c r="R453" s="1434"/>
      <c r="S453" s="1434"/>
      <c r="T453" s="1434"/>
    </row>
    <row r="454" spans="4:20" ht="12.75" customHeight="1" x14ac:dyDescent="0.25">
      <c r="D454" s="1472"/>
      <c r="E454" s="549"/>
      <c r="F454" s="155"/>
      <c r="I454" s="134"/>
      <c r="J454" s="134"/>
      <c r="K454" s="134"/>
      <c r="L454" s="134"/>
      <c r="M454" s="134"/>
      <c r="N454" s="134"/>
      <c r="O454" s="134"/>
      <c r="P454" s="134"/>
    </row>
    <row r="455" spans="4:20" ht="12.75" customHeight="1" x14ac:dyDescent="0.25">
      <c r="D455" s="1437">
        <v>43806</v>
      </c>
      <c r="E455" s="1434" t="s">
        <v>1730</v>
      </c>
      <c r="I455" s="134"/>
      <c r="J455" s="134">
        <v>3202</v>
      </c>
      <c r="K455" s="134">
        <v>3285</v>
      </c>
      <c r="L455" s="134">
        <f>ROUND(K455*T$2,0)</f>
        <v>3354</v>
      </c>
      <c r="M455" s="134">
        <f>ROUND(L455*U$2,0)</f>
        <v>3431</v>
      </c>
      <c r="N455" s="134">
        <f>ROUND(M455*V$2,0)</f>
        <v>3510</v>
      </c>
      <c r="O455" s="134">
        <f>ROUND(N455*W$2,0)</f>
        <v>3591</v>
      </c>
      <c r="P455" s="134"/>
    </row>
    <row r="456" spans="4:20" ht="12.75" customHeight="1" x14ac:dyDescent="0.25">
      <c r="D456" s="1437"/>
      <c r="E456" s="549" t="s">
        <v>631</v>
      </c>
      <c r="I456" s="134"/>
      <c r="J456" s="1831">
        <v>3202</v>
      </c>
      <c r="K456" s="1831">
        <v>3285</v>
      </c>
      <c r="L456" s="1831">
        <f>SUM(L455)</f>
        <v>3354</v>
      </c>
      <c r="M456" s="1831">
        <f>SUM(M455)</f>
        <v>3431</v>
      </c>
      <c r="N456" s="1831">
        <f>SUM(N455)</f>
        <v>3510</v>
      </c>
      <c r="O456" s="1831">
        <f>SUM(O455)</f>
        <v>3591</v>
      </c>
      <c r="P456" s="1455"/>
    </row>
    <row r="457" spans="4:20" ht="12.75" customHeight="1" x14ac:dyDescent="0.25">
      <c r="D457" s="1434"/>
      <c r="E457" s="1435"/>
      <c r="F457" s="1435"/>
      <c r="I457" s="1471"/>
      <c r="P457" s="1471"/>
    </row>
    <row r="458" spans="4:20" ht="12.75" customHeight="1" x14ac:dyDescent="0.25">
      <c r="D458" s="1437">
        <v>43812</v>
      </c>
      <c r="E458" s="1434" t="s">
        <v>565</v>
      </c>
      <c r="F458" s="1434"/>
      <c r="I458" s="1471"/>
      <c r="J458" s="1471"/>
      <c r="K458" s="1471"/>
      <c r="L458" s="1471"/>
      <c r="M458" s="1471"/>
      <c r="N458" s="1471"/>
      <c r="O458" s="1471"/>
      <c r="P458" s="1471"/>
    </row>
    <row r="459" spans="4:20" ht="12.75" customHeight="1" x14ac:dyDescent="0.25">
      <c r="D459" s="1442"/>
      <c r="E459" s="1434" t="s">
        <v>1731</v>
      </c>
      <c r="F459" s="1434"/>
      <c r="I459" s="134"/>
      <c r="J459" s="134">
        <v>864916</v>
      </c>
      <c r="K459" s="134">
        <v>908161.8</v>
      </c>
      <c r="L459" s="134">
        <f t="shared" ref="L459:L473" si="24">ROUND(K459*T$2,0)</f>
        <v>927233</v>
      </c>
      <c r="M459" s="134">
        <f t="shared" ref="M459:M473" si="25">ROUND(L459*U$2,0)</f>
        <v>948559</v>
      </c>
      <c r="N459" s="134">
        <f t="shared" ref="N459:N473" si="26">ROUND(M459*V$2,0)</f>
        <v>970376</v>
      </c>
      <c r="O459" s="134">
        <f t="shared" ref="O459:O473" si="27">ROUND(N459*W$2,0)</f>
        <v>992695</v>
      </c>
      <c r="P459" s="134"/>
      <c r="Q459" s="117" t="s">
        <v>1732</v>
      </c>
      <c r="S459" s="117">
        <f>+J459*1.05</f>
        <v>908161.8</v>
      </c>
    </row>
    <row r="460" spans="4:20" ht="12.75" customHeight="1" x14ac:dyDescent="0.25">
      <c r="D460" s="1442"/>
      <c r="E460" s="1434" t="s">
        <v>1733</v>
      </c>
      <c r="F460" s="1434"/>
      <c r="I460" s="134"/>
      <c r="J460" s="134">
        <v>-35018</v>
      </c>
      <c r="K460" s="134">
        <v>-36768.9</v>
      </c>
      <c r="L460" s="134">
        <f t="shared" si="24"/>
        <v>-37541</v>
      </c>
      <c r="M460" s="134">
        <f t="shared" si="25"/>
        <v>-38404</v>
      </c>
      <c r="N460" s="134">
        <f t="shared" si="26"/>
        <v>-39287</v>
      </c>
      <c r="O460" s="134">
        <f t="shared" si="27"/>
        <v>-40191</v>
      </c>
      <c r="P460" s="134"/>
      <c r="S460" s="117">
        <f t="shared" ref="S460:S481" si="28">+J460*1.05</f>
        <v>-36768.9</v>
      </c>
    </row>
    <row r="461" spans="4:20" ht="12.75" customHeight="1" x14ac:dyDescent="0.25">
      <c r="D461" s="1442"/>
      <c r="E461" s="1434" t="s">
        <v>1734</v>
      </c>
      <c r="F461" s="1434"/>
      <c r="I461" s="134"/>
      <c r="J461" s="134">
        <v>137678</v>
      </c>
      <c r="K461" s="134">
        <v>144561.9</v>
      </c>
      <c r="L461" s="134">
        <f t="shared" si="24"/>
        <v>147598</v>
      </c>
      <c r="M461" s="134">
        <f t="shared" si="25"/>
        <v>150993</v>
      </c>
      <c r="N461" s="134">
        <f t="shared" si="26"/>
        <v>154466</v>
      </c>
      <c r="O461" s="134">
        <f t="shared" si="27"/>
        <v>158019</v>
      </c>
      <c r="P461" s="134"/>
      <c r="S461" s="117">
        <f t="shared" si="28"/>
        <v>144561.9</v>
      </c>
    </row>
    <row r="462" spans="4:20" ht="12.75" customHeight="1" x14ac:dyDescent="0.25">
      <c r="D462" s="1442"/>
      <c r="E462" s="1434" t="s">
        <v>1735</v>
      </c>
      <c r="F462" s="1434"/>
      <c r="I462" s="134"/>
      <c r="J462" s="134">
        <v>55345</v>
      </c>
      <c r="K462" s="134">
        <v>58112.25</v>
      </c>
      <c r="L462" s="134">
        <f t="shared" si="24"/>
        <v>59333</v>
      </c>
      <c r="M462" s="134">
        <f t="shared" si="25"/>
        <v>60698</v>
      </c>
      <c r="N462" s="134">
        <f t="shared" si="26"/>
        <v>62094</v>
      </c>
      <c r="O462" s="134">
        <f t="shared" si="27"/>
        <v>63522</v>
      </c>
      <c r="P462" s="134"/>
      <c r="S462" s="117">
        <f t="shared" si="28"/>
        <v>58112.25</v>
      </c>
    </row>
    <row r="463" spans="4:20" ht="12.75" customHeight="1" x14ac:dyDescent="0.25">
      <c r="D463" s="1472"/>
      <c r="E463" s="1434" t="s">
        <v>1736</v>
      </c>
      <c r="F463" s="1434"/>
      <c r="H463" s="1479"/>
      <c r="I463" s="134"/>
      <c r="J463" s="134">
        <v>13423</v>
      </c>
      <c r="K463" s="134">
        <v>14094.150000000001</v>
      </c>
      <c r="L463" s="134">
        <f t="shared" si="24"/>
        <v>14390</v>
      </c>
      <c r="M463" s="134">
        <f t="shared" si="25"/>
        <v>14721</v>
      </c>
      <c r="N463" s="134">
        <f t="shared" si="26"/>
        <v>15060</v>
      </c>
      <c r="O463" s="134">
        <f t="shared" si="27"/>
        <v>15406</v>
      </c>
      <c r="P463" s="134"/>
      <c r="S463" s="117">
        <f t="shared" si="28"/>
        <v>14094.150000000001</v>
      </c>
    </row>
    <row r="464" spans="4:20" ht="12.75" customHeight="1" x14ac:dyDescent="0.25">
      <c r="E464" s="1601" t="s">
        <v>1737</v>
      </c>
      <c r="F464" s="1434"/>
      <c r="I464" s="134"/>
      <c r="J464" s="134">
        <v>33624</v>
      </c>
      <c r="K464" s="134">
        <v>35305.200000000004</v>
      </c>
      <c r="L464" s="134">
        <f t="shared" si="24"/>
        <v>36047</v>
      </c>
      <c r="M464" s="134">
        <f t="shared" si="25"/>
        <v>36876</v>
      </c>
      <c r="N464" s="134">
        <f t="shared" si="26"/>
        <v>37724</v>
      </c>
      <c r="O464" s="134">
        <f t="shared" si="27"/>
        <v>38592</v>
      </c>
      <c r="P464" s="134"/>
      <c r="S464" s="117">
        <f t="shared" si="28"/>
        <v>35305.200000000004</v>
      </c>
    </row>
    <row r="465" spans="4:19" ht="12.75" customHeight="1" x14ac:dyDescent="0.25">
      <c r="D465" s="1472"/>
      <c r="E465" s="1601" t="s">
        <v>1738</v>
      </c>
      <c r="F465" s="1434"/>
      <c r="H465" s="1479"/>
      <c r="I465" s="134"/>
      <c r="J465" s="134">
        <v>-27561</v>
      </c>
      <c r="K465" s="134">
        <v>-28939.050000000003</v>
      </c>
      <c r="L465" s="134">
        <f t="shared" si="24"/>
        <v>-29547</v>
      </c>
      <c r="M465" s="134">
        <f t="shared" si="25"/>
        <v>-30227</v>
      </c>
      <c r="N465" s="134">
        <f t="shared" si="26"/>
        <v>-30922</v>
      </c>
      <c r="O465" s="134">
        <f t="shared" si="27"/>
        <v>-31633</v>
      </c>
      <c r="P465" s="134"/>
      <c r="S465" s="117">
        <f t="shared" si="28"/>
        <v>-28939.050000000003</v>
      </c>
    </row>
    <row r="466" spans="4:19" ht="12.75" customHeight="1" x14ac:dyDescent="0.25">
      <c r="D466" s="1472"/>
      <c r="E466" s="1601" t="s">
        <v>1739</v>
      </c>
      <c r="F466" s="1434"/>
      <c r="H466" s="1479"/>
      <c r="I466" s="134"/>
      <c r="J466" s="134">
        <v>2990</v>
      </c>
      <c r="K466" s="134">
        <v>3139.5</v>
      </c>
      <c r="L466" s="134">
        <f t="shared" si="24"/>
        <v>3205</v>
      </c>
      <c r="M466" s="134">
        <f t="shared" si="25"/>
        <v>3279</v>
      </c>
      <c r="N466" s="134">
        <f t="shared" si="26"/>
        <v>3354</v>
      </c>
      <c r="O466" s="134">
        <f t="shared" si="27"/>
        <v>3431</v>
      </c>
      <c r="P466" s="134"/>
      <c r="S466" s="117">
        <f t="shared" si="28"/>
        <v>3139.5</v>
      </c>
    </row>
    <row r="467" spans="4:19" ht="12.75" customHeight="1" x14ac:dyDescent="0.25">
      <c r="D467" s="1472"/>
      <c r="E467" s="1601" t="s">
        <v>1740</v>
      </c>
      <c r="F467" s="1434"/>
      <c r="H467" s="1479"/>
      <c r="I467" s="134"/>
      <c r="J467" s="134">
        <v>2690</v>
      </c>
      <c r="K467" s="134">
        <v>2824.5</v>
      </c>
      <c r="L467" s="134">
        <f t="shared" si="24"/>
        <v>2884</v>
      </c>
      <c r="M467" s="134">
        <f t="shared" si="25"/>
        <v>2950</v>
      </c>
      <c r="N467" s="134">
        <f t="shared" si="26"/>
        <v>3018</v>
      </c>
      <c r="O467" s="134">
        <f t="shared" si="27"/>
        <v>3087</v>
      </c>
      <c r="P467" s="134"/>
      <c r="S467" s="117">
        <f t="shared" si="28"/>
        <v>2824.5</v>
      </c>
    </row>
    <row r="468" spans="4:19" ht="12.75" customHeight="1" x14ac:dyDescent="0.25">
      <c r="D468" s="1472"/>
      <c r="E468" s="1601" t="s">
        <v>1741</v>
      </c>
      <c r="F468" s="1434"/>
      <c r="H468" s="1479"/>
      <c r="I468" s="134"/>
      <c r="J468" s="134">
        <v>11404</v>
      </c>
      <c r="K468" s="134">
        <v>11974.2</v>
      </c>
      <c r="L468" s="134">
        <f t="shared" si="24"/>
        <v>12226</v>
      </c>
      <c r="M468" s="134">
        <f t="shared" si="25"/>
        <v>12507</v>
      </c>
      <c r="N468" s="134">
        <f t="shared" si="26"/>
        <v>12795</v>
      </c>
      <c r="O468" s="134">
        <f t="shared" si="27"/>
        <v>13089</v>
      </c>
      <c r="P468" s="134"/>
      <c r="S468" s="117">
        <f t="shared" si="28"/>
        <v>11974.2</v>
      </c>
    </row>
    <row r="469" spans="4:19" ht="12.75" customHeight="1" x14ac:dyDescent="0.25">
      <c r="D469" s="1472"/>
      <c r="E469" s="1601" t="s">
        <v>1742</v>
      </c>
      <c r="F469" s="1434"/>
      <c r="H469" s="1479"/>
      <c r="I469" s="134"/>
      <c r="J469" s="134">
        <v>112350</v>
      </c>
      <c r="K469" s="134">
        <v>117967.5</v>
      </c>
      <c r="L469" s="134">
        <f t="shared" si="24"/>
        <v>120445</v>
      </c>
      <c r="M469" s="134">
        <f t="shared" si="25"/>
        <v>123215</v>
      </c>
      <c r="N469" s="134">
        <f t="shared" si="26"/>
        <v>126049</v>
      </c>
      <c r="O469" s="134">
        <f t="shared" si="27"/>
        <v>128948</v>
      </c>
      <c r="P469" s="134"/>
      <c r="S469" s="117">
        <f t="shared" si="28"/>
        <v>117967.5</v>
      </c>
    </row>
    <row r="470" spans="4:19" ht="12.75" customHeight="1" x14ac:dyDescent="0.25">
      <c r="D470" s="1472"/>
      <c r="E470" s="1601" t="s">
        <v>1743</v>
      </c>
      <c r="F470" s="1434"/>
      <c r="H470" s="1479"/>
      <c r="I470" s="134"/>
      <c r="J470" s="134">
        <v>28088</v>
      </c>
      <c r="K470" s="134">
        <v>29492.400000000001</v>
      </c>
      <c r="L470" s="134">
        <f t="shared" si="24"/>
        <v>30112</v>
      </c>
      <c r="M470" s="134">
        <f t="shared" si="25"/>
        <v>30805</v>
      </c>
      <c r="N470" s="134">
        <f t="shared" si="26"/>
        <v>31514</v>
      </c>
      <c r="O470" s="134">
        <f t="shared" si="27"/>
        <v>32239</v>
      </c>
      <c r="P470" s="134"/>
      <c r="S470" s="117">
        <f t="shared" si="28"/>
        <v>29492.400000000001</v>
      </c>
    </row>
    <row r="471" spans="4:19" ht="12.75" customHeight="1" x14ac:dyDescent="0.25">
      <c r="D471" s="1437"/>
      <c r="E471" s="1434" t="s">
        <v>1744</v>
      </c>
      <c r="F471" s="1434"/>
      <c r="I471" s="134"/>
      <c r="J471" s="134">
        <v>124709</v>
      </c>
      <c r="K471" s="134">
        <v>130944.45000000001</v>
      </c>
      <c r="L471" s="134">
        <f t="shared" si="24"/>
        <v>133694</v>
      </c>
      <c r="M471" s="134">
        <f t="shared" si="25"/>
        <v>136769</v>
      </c>
      <c r="N471" s="134">
        <f t="shared" si="26"/>
        <v>139915</v>
      </c>
      <c r="O471" s="134">
        <f t="shared" si="27"/>
        <v>143133</v>
      </c>
      <c r="P471" s="134"/>
      <c r="S471" s="117">
        <f t="shared" si="28"/>
        <v>130944.45000000001</v>
      </c>
    </row>
    <row r="472" spans="4:19" ht="12.75" customHeight="1" x14ac:dyDescent="0.25">
      <c r="D472" s="1437"/>
      <c r="E472" s="1441" t="s">
        <v>1745</v>
      </c>
      <c r="F472" s="1434"/>
      <c r="I472" s="134"/>
      <c r="J472" s="134">
        <v>67411</v>
      </c>
      <c r="K472" s="134">
        <v>70781.55</v>
      </c>
      <c r="L472" s="134">
        <f t="shared" si="24"/>
        <v>72268</v>
      </c>
      <c r="M472" s="134">
        <f t="shared" si="25"/>
        <v>73930</v>
      </c>
      <c r="N472" s="134">
        <f t="shared" si="26"/>
        <v>75630</v>
      </c>
      <c r="O472" s="134">
        <f t="shared" si="27"/>
        <v>77369</v>
      </c>
      <c r="P472" s="134"/>
      <c r="S472" s="117">
        <f t="shared" si="28"/>
        <v>70781.55</v>
      </c>
    </row>
    <row r="473" spans="4:19" ht="12.75" customHeight="1" x14ac:dyDescent="0.25">
      <c r="D473" s="1437"/>
      <c r="E473" s="1545" t="s">
        <v>1746</v>
      </c>
      <c r="F473" s="1434"/>
      <c r="G473" s="1545"/>
      <c r="H473" s="1545"/>
      <c r="I473" s="1545"/>
      <c r="J473" s="134">
        <v>55345</v>
      </c>
      <c r="K473" s="134">
        <v>58112.25</v>
      </c>
      <c r="L473" s="134">
        <f t="shared" si="24"/>
        <v>59333</v>
      </c>
      <c r="M473" s="134">
        <f t="shared" si="25"/>
        <v>60698</v>
      </c>
      <c r="N473" s="134">
        <f t="shared" si="26"/>
        <v>62094</v>
      </c>
      <c r="O473" s="134">
        <f t="shared" si="27"/>
        <v>63522</v>
      </c>
      <c r="P473" s="1491"/>
      <c r="S473" s="117">
        <f t="shared" si="28"/>
        <v>58112.25</v>
      </c>
    </row>
    <row r="474" spans="4:19" ht="12.75" customHeight="1" x14ac:dyDescent="0.25">
      <c r="D474" s="1437"/>
      <c r="E474" s="1545"/>
      <c r="F474" s="1434"/>
      <c r="G474" s="1545"/>
      <c r="H474" s="1545"/>
      <c r="I474" s="1545"/>
      <c r="J474" s="134"/>
      <c r="K474" s="134">
        <v>0</v>
      </c>
      <c r="L474" s="134"/>
      <c r="M474" s="134"/>
      <c r="N474" s="134"/>
      <c r="O474" s="134"/>
      <c r="P474" s="1491"/>
      <c r="S474" s="117">
        <f t="shared" si="28"/>
        <v>0</v>
      </c>
    </row>
    <row r="475" spans="4:19" ht="12.75" customHeight="1" x14ac:dyDescent="0.25">
      <c r="D475" s="1437"/>
      <c r="E475" s="1602" t="s">
        <v>1747</v>
      </c>
      <c r="F475" s="1434"/>
      <c r="G475" s="1545"/>
      <c r="H475" s="1545"/>
      <c r="I475" s="1545"/>
      <c r="J475" s="134"/>
      <c r="K475" s="134">
        <v>0</v>
      </c>
      <c r="L475" s="134"/>
      <c r="M475" s="134"/>
      <c r="N475" s="134"/>
      <c r="O475" s="134"/>
      <c r="P475" s="1491"/>
      <c r="S475" s="117">
        <f t="shared" si="28"/>
        <v>0</v>
      </c>
    </row>
    <row r="476" spans="4:19" ht="12.75" customHeight="1" x14ac:dyDescent="0.25">
      <c r="D476" s="1472"/>
      <c r="E476" s="1442" t="s">
        <v>1748</v>
      </c>
      <c r="F476" s="1434"/>
      <c r="G476" s="549"/>
      <c r="I476" s="134"/>
      <c r="J476" s="134">
        <v>51400</v>
      </c>
      <c r="K476" s="134">
        <v>53970</v>
      </c>
      <c r="L476" s="134">
        <f t="shared" ref="L476:O477" si="29">ROUND(K476*T$2,0)</f>
        <v>55103</v>
      </c>
      <c r="M476" s="134">
        <f t="shared" si="29"/>
        <v>56370</v>
      </c>
      <c r="N476" s="134">
        <f t="shared" si="29"/>
        <v>57667</v>
      </c>
      <c r="O476" s="134">
        <f t="shared" si="29"/>
        <v>58993</v>
      </c>
      <c r="P476" s="134"/>
      <c r="S476" s="117">
        <f t="shared" si="28"/>
        <v>53970</v>
      </c>
    </row>
    <row r="477" spans="4:19" ht="12.75" customHeight="1" x14ac:dyDescent="0.25">
      <c r="D477" s="1472"/>
      <c r="E477" s="1442" t="s">
        <v>1749</v>
      </c>
      <c r="F477" s="1434"/>
      <c r="G477" s="549"/>
      <c r="I477" s="134"/>
      <c r="J477" s="134">
        <v>154200</v>
      </c>
      <c r="K477" s="134">
        <v>161910</v>
      </c>
      <c r="L477" s="134">
        <f t="shared" si="29"/>
        <v>165310</v>
      </c>
      <c r="M477" s="134">
        <f t="shared" si="29"/>
        <v>169112</v>
      </c>
      <c r="N477" s="134">
        <f t="shared" si="29"/>
        <v>173002</v>
      </c>
      <c r="O477" s="134">
        <f t="shared" si="29"/>
        <v>176981</v>
      </c>
      <c r="P477" s="134"/>
      <c r="S477" s="117">
        <f t="shared" si="28"/>
        <v>161910</v>
      </c>
    </row>
    <row r="478" spans="4:19" ht="12.75" customHeight="1" x14ac:dyDescent="0.25">
      <c r="D478" s="1472"/>
      <c r="E478" s="1442" t="s">
        <v>1750</v>
      </c>
      <c r="F478" s="1434"/>
      <c r="G478" s="549"/>
      <c r="I478" s="134"/>
      <c r="J478" s="134"/>
      <c r="K478" s="134">
        <v>0</v>
      </c>
      <c r="L478" s="134"/>
      <c r="M478" s="134"/>
      <c r="N478" s="134"/>
      <c r="O478" s="134"/>
      <c r="P478" s="134"/>
      <c r="S478" s="117">
        <f t="shared" si="28"/>
        <v>0</v>
      </c>
    </row>
    <row r="479" spans="4:19" ht="12.75" customHeight="1" x14ac:dyDescent="0.25">
      <c r="D479" s="1472"/>
      <c r="E479" s="1442" t="s">
        <v>1751</v>
      </c>
      <c r="F479" s="1434"/>
      <c r="G479" s="549"/>
      <c r="I479" s="134"/>
      <c r="J479" s="134">
        <v>20560</v>
      </c>
      <c r="K479" s="134">
        <v>21588</v>
      </c>
      <c r="L479" s="134">
        <f t="shared" ref="L479:O480" si="30">ROUND(K479*T$2,0)</f>
        <v>22041</v>
      </c>
      <c r="M479" s="134">
        <f t="shared" si="30"/>
        <v>22548</v>
      </c>
      <c r="N479" s="134">
        <f t="shared" si="30"/>
        <v>23067</v>
      </c>
      <c r="O479" s="134">
        <f t="shared" si="30"/>
        <v>23598</v>
      </c>
      <c r="P479" s="134"/>
      <c r="S479" s="117">
        <f t="shared" si="28"/>
        <v>21588</v>
      </c>
    </row>
    <row r="480" spans="4:19" ht="12.75" customHeight="1" x14ac:dyDescent="0.25">
      <c r="D480" s="1472"/>
      <c r="E480" s="1434" t="s">
        <v>1752</v>
      </c>
      <c r="F480" s="1434"/>
      <c r="H480" s="134"/>
      <c r="J480" s="134">
        <v>-11068</v>
      </c>
      <c r="K480" s="134">
        <v>-11621.4</v>
      </c>
      <c r="L480" s="134">
        <f t="shared" si="30"/>
        <v>-11865</v>
      </c>
      <c r="M480" s="134">
        <f t="shared" si="30"/>
        <v>-12138</v>
      </c>
      <c r="N480" s="134">
        <f t="shared" si="30"/>
        <v>-12417</v>
      </c>
      <c r="O480" s="134">
        <f t="shared" si="30"/>
        <v>-12703</v>
      </c>
      <c r="P480" s="134"/>
      <c r="S480" s="117">
        <f t="shared" si="28"/>
        <v>-11621.4</v>
      </c>
    </row>
    <row r="481" spans="4:20" ht="12.75" customHeight="1" x14ac:dyDescent="0.25">
      <c r="D481" s="1472"/>
      <c r="E481" s="1442" t="s">
        <v>1753</v>
      </c>
      <c r="F481" s="1434"/>
      <c r="H481" s="134"/>
      <c r="J481" s="134">
        <v>100000</v>
      </c>
      <c r="K481" s="134">
        <v>102600</v>
      </c>
      <c r="L481" s="134">
        <f>ROUND(K481*T2,-2)</f>
        <v>104800</v>
      </c>
      <c r="M481" s="134">
        <f>ROUND(L481*U2,-2)</f>
        <v>107200</v>
      </c>
      <c r="N481" s="134">
        <f>ROUND(M481*V2,-2)</f>
        <v>109700</v>
      </c>
      <c r="O481" s="134">
        <f>ROUND(N481*W2,-2)</f>
        <v>112200</v>
      </c>
      <c r="P481" s="134"/>
      <c r="S481" s="117">
        <f t="shared" si="28"/>
        <v>105000</v>
      </c>
    </row>
    <row r="482" spans="4:20" ht="12.75" customHeight="1" x14ac:dyDescent="0.25">
      <c r="D482" s="1472"/>
      <c r="E482" s="1442" t="s">
        <v>1754</v>
      </c>
      <c r="F482" s="1434"/>
      <c r="H482" s="134"/>
      <c r="J482" s="134"/>
      <c r="K482" s="134">
        <v>500000</v>
      </c>
      <c r="L482" s="134">
        <v>500000</v>
      </c>
      <c r="M482" s="134"/>
      <c r="N482" s="134"/>
      <c r="O482" s="134"/>
      <c r="P482" s="134"/>
      <c r="S482" s="117">
        <v>500000</v>
      </c>
    </row>
    <row r="483" spans="4:20" ht="12.75" customHeight="1" x14ac:dyDescent="0.25">
      <c r="D483" s="1472"/>
      <c r="E483" s="1434"/>
      <c r="F483" s="1434"/>
      <c r="H483" s="134"/>
      <c r="J483" s="1491"/>
      <c r="K483" s="1491"/>
      <c r="L483" s="1491"/>
      <c r="M483" s="1491"/>
      <c r="N483" s="1491"/>
      <c r="O483" s="1491"/>
      <c r="P483" s="1491"/>
      <c r="S483" s="117">
        <f>SUM(S459:S482)</f>
        <v>2350610.2999999998</v>
      </c>
    </row>
    <row r="484" spans="4:20" ht="12.75" customHeight="1" x14ac:dyDescent="0.25">
      <c r="D484" s="1472"/>
      <c r="E484" s="1434"/>
      <c r="F484" s="1434"/>
      <c r="G484" s="549" t="s">
        <v>1317</v>
      </c>
      <c r="J484" s="1834">
        <v>1762486</v>
      </c>
      <c r="K484" s="1834">
        <v>2348210.2999999998</v>
      </c>
      <c r="L484" s="1834">
        <f>SUM(L459:L483)</f>
        <v>2387069</v>
      </c>
      <c r="M484" s="1834">
        <f>SUM(M459:M483)</f>
        <v>1930461</v>
      </c>
      <c r="N484" s="1834">
        <f>SUM(N459:N483)</f>
        <v>1974899</v>
      </c>
      <c r="O484" s="1834">
        <f>SUM(O459:O483)</f>
        <v>2020297</v>
      </c>
      <c r="P484" s="1526" t="s">
        <v>1755</v>
      </c>
    </row>
    <row r="485" spans="4:20" ht="12.75" customHeight="1" x14ac:dyDescent="0.25">
      <c r="D485" s="1472"/>
      <c r="E485" s="1434"/>
      <c r="F485" s="1434"/>
      <c r="G485" s="549"/>
      <c r="J485" s="1517"/>
      <c r="K485" s="1517"/>
      <c r="L485" s="1517"/>
      <c r="M485" s="1517"/>
      <c r="N485" s="1517"/>
      <c r="O485" s="1517"/>
      <c r="P485" s="1526"/>
    </row>
    <row r="486" spans="4:20" ht="12.75" customHeight="1" x14ac:dyDescent="0.25">
      <c r="D486" s="1472"/>
      <c r="E486" s="1434"/>
      <c r="F486" s="1434"/>
      <c r="G486" s="549"/>
      <c r="J486" s="1474"/>
      <c r="K486" s="1474"/>
      <c r="L486" s="1474"/>
      <c r="M486" s="1474"/>
      <c r="N486" s="1474"/>
      <c r="O486" s="1474"/>
      <c r="P486" s="1526"/>
    </row>
    <row r="487" spans="4:20" ht="12.75" customHeight="1" x14ac:dyDescent="0.25">
      <c r="D487" s="1472"/>
      <c r="E487" s="155"/>
      <c r="F487" s="155"/>
      <c r="G487" s="549" t="s">
        <v>1756</v>
      </c>
      <c r="I487" s="134"/>
      <c r="J487" s="1713">
        <v>2025</v>
      </c>
      <c r="K487" s="1713">
        <v>2026</v>
      </c>
      <c r="L487" s="1713">
        <v>2027</v>
      </c>
      <c r="M487" s="1713">
        <v>2028</v>
      </c>
      <c r="N487" s="1713">
        <v>2029</v>
      </c>
      <c r="O487" s="1713">
        <v>2030</v>
      </c>
      <c r="P487" s="1471"/>
      <c r="Q487" s="1434"/>
      <c r="R487" s="1434"/>
      <c r="S487" s="1434"/>
      <c r="T487" s="1434"/>
    </row>
    <row r="488" spans="4:20" ht="12.75" customHeight="1" x14ac:dyDescent="0.25">
      <c r="D488" s="1472"/>
      <c r="E488" s="155"/>
      <c r="F488" s="155"/>
      <c r="G488" s="549"/>
      <c r="I488" s="134"/>
      <c r="J488" s="134"/>
      <c r="K488" s="134"/>
      <c r="L488" s="134"/>
      <c r="M488" s="134"/>
      <c r="N488" s="134"/>
      <c r="O488" s="134"/>
      <c r="P488" s="134"/>
    </row>
    <row r="489" spans="4:20" ht="12.75" customHeight="1" x14ac:dyDescent="0.25">
      <c r="D489" s="1442" t="s">
        <v>1757</v>
      </c>
      <c r="E489" s="1434">
        <v>604027</v>
      </c>
      <c r="F489" s="1434" t="s">
        <v>1758</v>
      </c>
      <c r="I489" s="134"/>
      <c r="J489" s="134">
        <v>43867</v>
      </c>
      <c r="K489" s="134">
        <v>45008</v>
      </c>
      <c r="L489" s="134">
        <f t="shared" ref="L489:L497" si="31">ROUND(K489*T$2,0)</f>
        <v>45953</v>
      </c>
      <c r="M489" s="134">
        <f t="shared" ref="M489:M497" si="32">ROUND(L489*U$2,0)</f>
        <v>47010</v>
      </c>
      <c r="N489" s="134">
        <f t="shared" ref="N489:N497" si="33">ROUND(M489*V$2,0)</f>
        <v>48091</v>
      </c>
      <c r="O489" s="134">
        <f t="shared" ref="O489:O497" si="34">ROUND(N489*W$2,0)</f>
        <v>49197</v>
      </c>
      <c r="P489" s="134"/>
    </row>
    <row r="490" spans="4:20" ht="12.75" customHeight="1" x14ac:dyDescent="0.25">
      <c r="D490" s="1442" t="s">
        <v>75</v>
      </c>
      <c r="E490" s="1434">
        <v>606003</v>
      </c>
      <c r="F490" s="1434" t="s">
        <v>1759</v>
      </c>
      <c r="I490" s="134"/>
      <c r="J490" s="134">
        <v>70823</v>
      </c>
      <c r="K490" s="134">
        <v>72664</v>
      </c>
      <c r="L490" s="134">
        <f t="shared" si="31"/>
        <v>74190</v>
      </c>
      <c r="M490" s="134">
        <f t="shared" si="32"/>
        <v>75896</v>
      </c>
      <c r="N490" s="134">
        <f t="shared" si="33"/>
        <v>77642</v>
      </c>
      <c r="O490" s="134">
        <f t="shared" si="34"/>
        <v>79428</v>
      </c>
      <c r="P490" s="134"/>
    </row>
    <row r="491" spans="4:20" ht="12.75" customHeight="1" x14ac:dyDescent="0.25">
      <c r="D491" s="1442" t="s">
        <v>69</v>
      </c>
      <c r="E491" s="1434">
        <v>602904</v>
      </c>
      <c r="F491" s="1434" t="s">
        <v>1760</v>
      </c>
      <c r="I491" s="134"/>
      <c r="J491" s="134">
        <v>140813</v>
      </c>
      <c r="K491" s="134">
        <v>144474</v>
      </c>
      <c r="L491" s="134">
        <f t="shared" si="31"/>
        <v>147508</v>
      </c>
      <c r="M491" s="134">
        <f t="shared" si="32"/>
        <v>150901</v>
      </c>
      <c r="N491" s="134">
        <f t="shared" si="33"/>
        <v>154372</v>
      </c>
      <c r="O491" s="134">
        <f t="shared" si="34"/>
        <v>157923</v>
      </c>
      <c r="P491" s="134"/>
    </row>
    <row r="492" spans="4:20" ht="12.75" customHeight="1" x14ac:dyDescent="0.25">
      <c r="D492" s="1442" t="s">
        <v>1761</v>
      </c>
      <c r="E492" s="1434">
        <v>642001</v>
      </c>
      <c r="F492" s="1434" t="s">
        <v>1762</v>
      </c>
      <c r="I492" s="134"/>
      <c r="J492" s="134">
        <v>105073</v>
      </c>
      <c r="K492" s="134">
        <v>107805</v>
      </c>
      <c r="L492" s="134">
        <f t="shared" si="31"/>
        <v>110069</v>
      </c>
      <c r="M492" s="134">
        <f t="shared" si="32"/>
        <v>112601</v>
      </c>
      <c r="N492" s="134">
        <f t="shared" si="33"/>
        <v>115191</v>
      </c>
      <c r="O492" s="134">
        <f t="shared" si="34"/>
        <v>117840</v>
      </c>
      <c r="P492" s="134"/>
    </row>
    <row r="493" spans="4:20" ht="12.75" customHeight="1" x14ac:dyDescent="0.25">
      <c r="D493" s="1442" t="s">
        <v>1761</v>
      </c>
      <c r="E493" s="1434">
        <v>642001</v>
      </c>
      <c r="F493" s="1434" t="s">
        <v>1763</v>
      </c>
      <c r="I493" s="134"/>
      <c r="J493" s="134">
        <v>11207</v>
      </c>
      <c r="K493" s="134">
        <v>11498</v>
      </c>
      <c r="L493" s="134">
        <f t="shared" si="31"/>
        <v>11739</v>
      </c>
      <c r="M493" s="134">
        <f t="shared" si="32"/>
        <v>12009</v>
      </c>
      <c r="N493" s="134">
        <f t="shared" si="33"/>
        <v>12285</v>
      </c>
      <c r="O493" s="134">
        <f t="shared" si="34"/>
        <v>12568</v>
      </c>
      <c r="P493" s="134"/>
    </row>
    <row r="494" spans="4:20" ht="12.75" customHeight="1" x14ac:dyDescent="0.25">
      <c r="D494" s="1442" t="s">
        <v>1757</v>
      </c>
      <c r="E494" s="1548">
        <v>604029</v>
      </c>
      <c r="F494" s="1434" t="s">
        <v>1764</v>
      </c>
      <c r="I494" s="134"/>
      <c r="J494" s="134">
        <v>35723</v>
      </c>
      <c r="K494" s="134">
        <v>36652</v>
      </c>
      <c r="L494" s="134">
        <f t="shared" si="31"/>
        <v>37422</v>
      </c>
      <c r="M494" s="134">
        <f t="shared" si="32"/>
        <v>38283</v>
      </c>
      <c r="N494" s="134">
        <f t="shared" si="33"/>
        <v>39164</v>
      </c>
      <c r="O494" s="134">
        <f t="shared" si="34"/>
        <v>40065</v>
      </c>
      <c r="P494" s="134"/>
    </row>
    <row r="495" spans="4:20" ht="12.75" customHeight="1" x14ac:dyDescent="0.25">
      <c r="D495" s="1442" t="s">
        <v>1757</v>
      </c>
      <c r="E495" s="1434">
        <v>604033</v>
      </c>
      <c r="F495" s="1434" t="s">
        <v>1765</v>
      </c>
      <c r="I495" s="134"/>
      <c r="J495" s="134">
        <v>7118</v>
      </c>
      <c r="K495" s="134">
        <v>7303</v>
      </c>
      <c r="L495" s="134">
        <f t="shared" si="31"/>
        <v>7456</v>
      </c>
      <c r="M495" s="134">
        <f t="shared" si="32"/>
        <v>7627</v>
      </c>
      <c r="N495" s="134">
        <f t="shared" si="33"/>
        <v>7802</v>
      </c>
      <c r="O495" s="134">
        <f t="shared" si="34"/>
        <v>7981</v>
      </c>
      <c r="P495" s="134"/>
    </row>
    <row r="496" spans="4:20" ht="12.75" customHeight="1" x14ac:dyDescent="0.25">
      <c r="D496" s="1442" t="s">
        <v>1766</v>
      </c>
      <c r="E496" s="1434">
        <v>643901</v>
      </c>
      <c r="F496" s="1434" t="s">
        <v>1767</v>
      </c>
      <c r="I496" s="134"/>
      <c r="J496" s="134">
        <v>28062</v>
      </c>
      <c r="K496" s="134">
        <v>28792</v>
      </c>
      <c r="L496" s="134">
        <f t="shared" si="31"/>
        <v>29397</v>
      </c>
      <c r="M496" s="134">
        <f t="shared" si="32"/>
        <v>30073</v>
      </c>
      <c r="N496" s="134">
        <f t="shared" si="33"/>
        <v>30765</v>
      </c>
      <c r="O496" s="134">
        <f t="shared" si="34"/>
        <v>31473</v>
      </c>
      <c r="P496" s="134"/>
    </row>
    <row r="497" spans="4:22" ht="12.75" customHeight="1" x14ac:dyDescent="0.25">
      <c r="D497" s="1442" t="s">
        <v>129</v>
      </c>
      <c r="E497" s="1434">
        <v>653902</v>
      </c>
      <c r="F497" s="1434" t="s">
        <v>1768</v>
      </c>
      <c r="I497" s="134"/>
      <c r="J497" s="134">
        <v>68539</v>
      </c>
      <c r="K497" s="134">
        <v>70321</v>
      </c>
      <c r="L497" s="134">
        <f t="shared" si="31"/>
        <v>71798</v>
      </c>
      <c r="M497" s="134">
        <f t="shared" si="32"/>
        <v>73449</v>
      </c>
      <c r="N497" s="134">
        <f t="shared" si="33"/>
        <v>75138</v>
      </c>
      <c r="O497" s="134">
        <f t="shared" si="34"/>
        <v>76866</v>
      </c>
      <c r="P497" s="134"/>
    </row>
    <row r="498" spans="4:22" ht="12.75" customHeight="1" x14ac:dyDescent="0.25">
      <c r="D498" s="1472"/>
      <c r="E498" s="155"/>
      <c r="F498" s="155"/>
      <c r="G498" s="549"/>
      <c r="I498" s="134"/>
      <c r="J498" s="134"/>
      <c r="K498" s="134"/>
      <c r="L498" s="134"/>
      <c r="M498" s="134"/>
      <c r="N498" s="134"/>
      <c r="O498" s="134"/>
      <c r="P498" s="134"/>
    </row>
    <row r="499" spans="4:22" ht="12.75" customHeight="1" x14ac:dyDescent="0.25">
      <c r="D499" s="1472"/>
      <c r="E499" s="155"/>
      <c r="F499" s="155"/>
      <c r="G499" s="549" t="s">
        <v>1769</v>
      </c>
      <c r="I499" s="134"/>
      <c r="J499" s="545">
        <v>511225</v>
      </c>
      <c r="K499" s="545">
        <v>524517</v>
      </c>
      <c r="L499" s="545">
        <f>SUM(L489:L498)</f>
        <v>535532</v>
      </c>
      <c r="M499" s="545">
        <f>SUM(M489:M498)</f>
        <v>547849</v>
      </c>
      <c r="N499" s="545">
        <f>SUM(N489:N498)</f>
        <v>560450</v>
      </c>
      <c r="O499" s="545">
        <f>SUM(O489:O498)</f>
        <v>573341</v>
      </c>
      <c r="P499" s="545"/>
    </row>
    <row r="500" spans="4:22" ht="12.75" customHeight="1" x14ac:dyDescent="0.25">
      <c r="D500" s="1472"/>
      <c r="E500" s="155"/>
      <c r="F500" s="155"/>
      <c r="G500" s="549"/>
      <c r="I500" s="134"/>
      <c r="J500" s="134"/>
      <c r="K500" s="134"/>
      <c r="L500" s="134"/>
      <c r="M500" s="134"/>
      <c r="N500" s="134"/>
      <c r="O500" s="134"/>
      <c r="P500" s="134"/>
    </row>
    <row r="501" spans="4:22" ht="12.75" customHeight="1" x14ac:dyDescent="0.25">
      <c r="D501" s="1472"/>
      <c r="E501" s="155"/>
      <c r="F501" s="155"/>
      <c r="G501" s="549" t="s">
        <v>619</v>
      </c>
      <c r="I501" s="134"/>
      <c r="J501" s="1838">
        <v>1251261</v>
      </c>
      <c r="K501" s="1838">
        <v>1823693.2999999998</v>
      </c>
      <c r="L501" s="1838">
        <f>L484-L499</f>
        <v>1851537</v>
      </c>
      <c r="M501" s="1838">
        <f>M484-M499</f>
        <v>1382612</v>
      </c>
      <c r="N501" s="1838">
        <f>N484-N499</f>
        <v>1414449</v>
      </c>
      <c r="O501" s="1838">
        <f>O484-O499</f>
        <v>1446956</v>
      </c>
      <c r="P501" s="545"/>
    </row>
    <row r="502" spans="4:22" ht="12.75" customHeight="1" x14ac:dyDescent="0.25">
      <c r="D502" s="1472"/>
      <c r="E502" s="155"/>
      <c r="F502" s="155"/>
      <c r="G502" s="549"/>
      <c r="I502" s="134"/>
      <c r="J502" s="134"/>
      <c r="K502" s="134"/>
      <c r="L502" s="134"/>
      <c r="M502" s="134"/>
      <c r="N502" s="134"/>
      <c r="O502" s="134"/>
      <c r="P502" s="134"/>
    </row>
    <row r="503" spans="4:22" ht="12.75" customHeight="1" x14ac:dyDescent="0.25">
      <c r="D503" s="1472"/>
      <c r="E503" s="155"/>
      <c r="F503" s="155"/>
      <c r="I503" s="134"/>
      <c r="J503" s="134"/>
      <c r="K503" s="134"/>
      <c r="L503" s="134"/>
      <c r="M503" s="134"/>
      <c r="N503" s="134"/>
      <c r="O503" s="134"/>
      <c r="P503" s="134"/>
    </row>
    <row r="504" spans="4:22" ht="12.75" customHeight="1" x14ac:dyDescent="0.25">
      <c r="D504" s="1472">
        <v>604019</v>
      </c>
      <c r="E504" s="549" t="s">
        <v>1601</v>
      </c>
      <c r="F504" s="155"/>
      <c r="I504" s="134"/>
      <c r="J504" s="1713">
        <v>2025</v>
      </c>
      <c r="K504" s="1713">
        <v>2026</v>
      </c>
      <c r="L504" s="1713">
        <v>2027</v>
      </c>
      <c r="M504" s="1713">
        <v>2028</v>
      </c>
      <c r="N504" s="1713">
        <v>2029</v>
      </c>
      <c r="O504" s="1713">
        <v>2030</v>
      </c>
      <c r="P504" s="1471"/>
    </row>
    <row r="505" spans="4:22" ht="12.75" customHeight="1" x14ac:dyDescent="0.25">
      <c r="D505" s="1472"/>
      <c r="E505" s="1491" t="s">
        <v>533</v>
      </c>
      <c r="F505" s="155"/>
      <c r="I505" s="134"/>
      <c r="J505" s="1471"/>
      <c r="K505" s="1471"/>
      <c r="L505" s="1471"/>
      <c r="M505" s="1471"/>
      <c r="N505" s="1471"/>
      <c r="O505" s="1471"/>
      <c r="P505" s="1471"/>
    </row>
    <row r="506" spans="4:22" ht="12.75" customHeight="1" x14ac:dyDescent="0.25">
      <c r="D506" s="1472"/>
      <c r="E506" s="549"/>
      <c r="F506" s="155"/>
      <c r="I506" s="134"/>
      <c r="J506" s="134"/>
      <c r="K506" s="134"/>
      <c r="L506" s="134"/>
      <c r="M506" s="134"/>
      <c r="N506" s="134"/>
      <c r="O506" s="134"/>
      <c r="P506" s="134"/>
    </row>
    <row r="507" spans="4:22" ht="12.75" customHeight="1" x14ac:dyDescent="0.25">
      <c r="D507" s="1437">
        <v>43812</v>
      </c>
      <c r="E507" s="1603" t="s">
        <v>1770</v>
      </c>
      <c r="F507" s="155"/>
      <c r="H507" s="1536"/>
      <c r="I507" s="1474"/>
      <c r="J507" s="1474"/>
      <c r="K507" s="1474"/>
      <c r="L507" s="1474"/>
      <c r="M507" s="1474"/>
      <c r="N507" s="1474"/>
      <c r="O507" s="1474"/>
      <c r="P507" s="134"/>
    </row>
    <row r="508" spans="4:22" ht="12.75" customHeight="1" x14ac:dyDescent="0.25">
      <c r="D508" s="1472"/>
      <c r="E508" s="590" t="s">
        <v>1771</v>
      </c>
      <c r="F508" s="155"/>
      <c r="H508" s="1536"/>
      <c r="I508" s="1474"/>
      <c r="J508" s="134">
        <v>55345</v>
      </c>
      <c r="K508" s="134">
        <v>56784</v>
      </c>
      <c r="L508" s="134">
        <f>ROUND(K508*T$2,0)</f>
        <v>57976</v>
      </c>
      <c r="M508" s="134">
        <f>ROUND(L508*U$2,0)</f>
        <v>59309</v>
      </c>
      <c r="N508" s="134">
        <f>ROUND(M508*V$2,0)</f>
        <v>60673</v>
      </c>
      <c r="O508" s="134">
        <f>ROUND(N508*W$2,0)</f>
        <v>62068</v>
      </c>
      <c r="P508" s="134"/>
      <c r="Q508" s="2550"/>
      <c r="R508" s="2550"/>
      <c r="S508" s="2550"/>
      <c r="T508" s="2550"/>
      <c r="U508" s="2550"/>
      <c r="V508" s="2550"/>
    </row>
    <row r="509" spans="4:22" ht="12.75" customHeight="1" x14ac:dyDescent="0.25">
      <c r="D509" s="1472"/>
      <c r="E509" s="794" t="s">
        <v>1772</v>
      </c>
      <c r="F509" s="155"/>
      <c r="H509" s="1536"/>
      <c r="I509" s="1474"/>
      <c r="J509" s="1474"/>
      <c r="K509" s="1474"/>
      <c r="L509" s="1474"/>
      <c r="M509" s="1474"/>
      <c r="N509" s="1474"/>
      <c r="O509" s="1474"/>
      <c r="P509" s="134"/>
      <c r="Q509" s="2550"/>
      <c r="R509" s="2550"/>
      <c r="S509" s="2550"/>
      <c r="T509" s="2550"/>
      <c r="U509" s="2550"/>
      <c r="V509" s="2550"/>
    </row>
    <row r="510" spans="4:22" ht="12.75" customHeight="1" x14ac:dyDescent="0.25">
      <c r="D510" s="1472"/>
      <c r="E510" s="549"/>
      <c r="F510" s="155"/>
      <c r="I510" s="134"/>
      <c r="J510" s="134"/>
      <c r="K510" s="134"/>
      <c r="L510" s="134"/>
      <c r="M510" s="134"/>
      <c r="N510" s="134"/>
      <c r="O510" s="134"/>
      <c r="P510" s="134"/>
      <c r="Q510" s="2550"/>
      <c r="R510" s="2550"/>
      <c r="S510" s="2550"/>
      <c r="T510" s="2550"/>
      <c r="U510" s="2550"/>
      <c r="V510" s="2550"/>
    </row>
    <row r="511" spans="4:22" ht="12.75" customHeight="1" x14ac:dyDescent="0.25">
      <c r="D511" s="1437">
        <v>43812</v>
      </c>
      <c r="E511" s="1434" t="s">
        <v>565</v>
      </c>
      <c r="I511" s="134"/>
      <c r="J511" s="134">
        <v>70111</v>
      </c>
      <c r="K511" s="134">
        <v>71934</v>
      </c>
      <c r="L511" s="134">
        <f>ROUND(K511*T$2,0)</f>
        <v>73445</v>
      </c>
      <c r="M511" s="134">
        <f>ROUND(L511*U$2,0)</f>
        <v>75134</v>
      </c>
      <c r="N511" s="134">
        <f>ROUND(M511*V$2,0)</f>
        <v>76862</v>
      </c>
      <c r="O511" s="134">
        <f>ROUND(N511*W$2,0)</f>
        <v>78630</v>
      </c>
      <c r="P511" s="134"/>
      <c r="Q511" s="2550"/>
      <c r="R511" s="2550"/>
      <c r="S511" s="2550"/>
      <c r="T511" s="2550"/>
      <c r="U511" s="2550"/>
      <c r="V511" s="2550"/>
    </row>
    <row r="512" spans="4:22" ht="12.75" customHeight="1" x14ac:dyDescent="0.25">
      <c r="D512" s="1442"/>
      <c r="E512" s="1434" t="s">
        <v>1293</v>
      </c>
      <c r="I512" s="134"/>
      <c r="J512" s="134"/>
      <c r="K512" s="134"/>
      <c r="L512" s="134"/>
      <c r="M512" s="134"/>
      <c r="N512" s="134"/>
      <c r="O512" s="134"/>
      <c r="P512" s="134"/>
      <c r="Q512" s="2550"/>
      <c r="R512" s="2550"/>
      <c r="S512" s="2550"/>
      <c r="T512" s="2550"/>
      <c r="U512" s="2550"/>
      <c r="V512" s="2550"/>
    </row>
    <row r="513" spans="4:20" ht="12.75" customHeight="1" x14ac:dyDescent="0.25">
      <c r="D513" s="1442"/>
      <c r="E513" s="1434" t="s">
        <v>1773</v>
      </c>
      <c r="I513" s="134"/>
      <c r="J513" s="134"/>
      <c r="K513" s="134"/>
      <c r="L513" s="134"/>
      <c r="M513" s="134"/>
      <c r="N513" s="134"/>
      <c r="O513" s="134"/>
      <c r="P513" s="134"/>
    </row>
    <row r="514" spans="4:20" ht="12.75" customHeight="1" x14ac:dyDescent="0.25">
      <c r="D514" s="1437"/>
      <c r="E514" s="1601" t="s">
        <v>1774</v>
      </c>
      <c r="I514" s="134"/>
      <c r="J514" s="1474"/>
      <c r="K514" s="1474"/>
      <c r="L514" s="1474"/>
      <c r="M514" s="1474"/>
      <c r="N514" s="1474"/>
      <c r="O514" s="1474"/>
      <c r="P514" s="1474"/>
    </row>
    <row r="515" spans="4:20" ht="12.75" customHeight="1" x14ac:dyDescent="0.25">
      <c r="D515" s="1461"/>
      <c r="E515" s="1601" t="s">
        <v>1775</v>
      </c>
      <c r="F515" s="1461"/>
      <c r="H515" s="1441"/>
      <c r="I515" s="134"/>
      <c r="J515" s="1474"/>
      <c r="K515" s="1474"/>
      <c r="L515" s="1474"/>
      <c r="M515" s="1474"/>
      <c r="N515" s="1474"/>
      <c r="O515" s="1474"/>
      <c r="P515" s="1474"/>
    </row>
    <row r="516" spans="4:20" ht="12.75" customHeight="1" x14ac:dyDescent="0.25">
      <c r="D516" s="1461"/>
      <c r="E516" s="1434" t="s">
        <v>1776</v>
      </c>
      <c r="F516" s="1461"/>
      <c r="H516" s="1441"/>
      <c r="I516" s="134"/>
      <c r="J516" s="1474"/>
      <c r="K516" s="1474"/>
      <c r="L516" s="1474"/>
      <c r="M516" s="1474"/>
      <c r="N516" s="1474"/>
      <c r="O516" s="1474"/>
      <c r="P516" s="1474"/>
    </row>
    <row r="517" spans="4:20" ht="12.75" customHeight="1" x14ac:dyDescent="0.25">
      <c r="D517" s="1461"/>
      <c r="E517" s="1434" t="s">
        <v>1777</v>
      </c>
      <c r="F517" s="1461"/>
      <c r="H517" s="1441"/>
      <c r="I517" s="134"/>
      <c r="J517" s="1474"/>
      <c r="K517" s="1474"/>
      <c r="L517" s="1474"/>
      <c r="M517" s="1474"/>
      <c r="N517" s="1474"/>
      <c r="O517" s="1474"/>
      <c r="P517" s="1474"/>
    </row>
    <row r="518" spans="4:20" ht="12.75" customHeight="1" x14ac:dyDescent="0.25">
      <c r="D518" s="1461"/>
      <c r="E518" s="1434" t="s">
        <v>1778</v>
      </c>
      <c r="F518" s="1461"/>
      <c r="H518" s="1441"/>
      <c r="I518" s="134"/>
      <c r="J518" s="1474"/>
      <c r="K518" s="1474"/>
      <c r="L518" s="1474"/>
      <c r="M518" s="1474"/>
      <c r="N518" s="1474"/>
      <c r="O518" s="1474"/>
      <c r="P518" s="1474"/>
    </row>
    <row r="519" spans="4:20" ht="12.75" customHeight="1" x14ac:dyDescent="0.25">
      <c r="D519" s="1461"/>
      <c r="E519" s="1477" t="str">
        <f>"Totaal "&amp;D511</f>
        <v>Totaal 43812</v>
      </c>
      <c r="F519" s="1461"/>
      <c r="H519" s="549"/>
      <c r="I519" s="134"/>
      <c r="J519" s="1831">
        <v>125456</v>
      </c>
      <c r="K519" s="1831">
        <v>128718</v>
      </c>
      <c r="L519" s="1831">
        <f>SUM(L508:L516)</f>
        <v>131421</v>
      </c>
      <c r="M519" s="1831">
        <f>SUM(M508:M516)</f>
        <v>134443</v>
      </c>
      <c r="N519" s="1831">
        <f>SUM(N508:N516)</f>
        <v>137535</v>
      </c>
      <c r="O519" s="1831">
        <f>SUM(O508:O516)</f>
        <v>140698</v>
      </c>
      <c r="P519" s="1455"/>
    </row>
    <row r="520" spans="4:20" ht="12.75" customHeight="1" x14ac:dyDescent="0.25">
      <c r="D520" s="1461"/>
      <c r="E520" s="1470"/>
      <c r="F520" s="1461"/>
      <c r="H520" s="549"/>
      <c r="I520" s="134"/>
      <c r="J520" s="1455"/>
      <c r="K520" s="1455"/>
      <c r="L520" s="1455"/>
      <c r="M520" s="1455"/>
      <c r="N520" s="1455"/>
      <c r="O520" s="1455"/>
      <c r="P520" s="1455"/>
    </row>
    <row r="521" spans="4:20" ht="12.75" customHeight="1" x14ac:dyDescent="0.25">
      <c r="D521" s="1472">
        <v>604019</v>
      </c>
      <c r="E521" s="549" t="s">
        <v>1779</v>
      </c>
      <c r="F521" s="155"/>
      <c r="J521" s="1713">
        <v>2025</v>
      </c>
      <c r="K521" s="1713">
        <v>2026</v>
      </c>
      <c r="L521" s="1713">
        <v>2027</v>
      </c>
      <c r="M521" s="1713">
        <v>2028</v>
      </c>
      <c r="N521" s="1713">
        <v>2029</v>
      </c>
      <c r="O521" s="1713">
        <v>2030</v>
      </c>
      <c r="P521" s="1471"/>
      <c r="Q521" s="1434"/>
      <c r="R521" s="1434"/>
      <c r="S521" s="1434"/>
      <c r="T521" s="1434"/>
    </row>
    <row r="522" spans="4:20" ht="12.75" customHeight="1" x14ac:dyDescent="0.25">
      <c r="D522" s="1472"/>
      <c r="E522" s="1491" t="s">
        <v>533</v>
      </c>
      <c r="F522" s="155"/>
      <c r="J522" s="134"/>
      <c r="K522" s="134"/>
      <c r="L522" s="134"/>
      <c r="M522" s="134"/>
      <c r="N522" s="134"/>
      <c r="O522" s="134"/>
      <c r="P522" s="134"/>
    </row>
    <row r="523" spans="4:20" ht="12.75" customHeight="1" x14ac:dyDescent="0.25">
      <c r="D523" s="1437">
        <v>43812</v>
      </c>
      <c r="E523" s="1434" t="s">
        <v>565</v>
      </c>
      <c r="I523" s="1524"/>
      <c r="J523" s="1471"/>
      <c r="K523" s="1471"/>
      <c r="L523" s="1471"/>
      <c r="M523" s="1471"/>
      <c r="N523" s="1471"/>
      <c r="O523" s="1471"/>
      <c r="P523" s="1471"/>
    </row>
    <row r="524" spans="4:20" ht="12.75" customHeight="1" x14ac:dyDescent="0.25">
      <c r="D524" s="1472"/>
      <c r="E524" s="1434" t="s">
        <v>1293</v>
      </c>
      <c r="F524" s="155"/>
      <c r="I524" s="1837" t="s">
        <v>1339</v>
      </c>
      <c r="J524" s="1471"/>
      <c r="K524" s="1471"/>
      <c r="L524" s="1471"/>
      <c r="M524" s="1471"/>
      <c r="N524" s="1471"/>
      <c r="O524" s="1471"/>
      <c r="P524" s="1471"/>
    </row>
    <row r="525" spans="4:20" ht="12.75" customHeight="1" x14ac:dyDescent="0.25">
      <c r="D525" s="1434"/>
      <c r="E525" s="1470" t="s">
        <v>1780</v>
      </c>
      <c r="F525" s="1435"/>
      <c r="J525" s="1474"/>
      <c r="K525" s="1474"/>
      <c r="L525" s="1474"/>
      <c r="M525" s="1474"/>
      <c r="N525" s="1474"/>
      <c r="O525" s="1474"/>
      <c r="P525" s="1474"/>
    </row>
    <row r="526" spans="4:20" ht="12.75" customHeight="1" x14ac:dyDescent="0.25">
      <c r="E526" s="1604"/>
      <c r="F526" s="1434"/>
      <c r="I526" s="1527"/>
      <c r="J526" s="1474"/>
      <c r="K526" s="1474"/>
      <c r="L526" s="1474"/>
      <c r="M526" s="1474"/>
      <c r="N526" s="1474"/>
      <c r="O526" s="1474"/>
      <c r="P526" s="1474"/>
    </row>
    <row r="527" spans="4:20" ht="12.75" customHeight="1" x14ac:dyDescent="0.25">
      <c r="E527" s="1604">
        <v>13</v>
      </c>
      <c r="F527" s="1434" t="s">
        <v>1781</v>
      </c>
      <c r="I527" s="1527">
        <f>ROUND(156.19*R$2,2)</f>
        <v>160.56</v>
      </c>
      <c r="J527" s="1474">
        <v>2087</v>
      </c>
      <c r="K527" s="1474"/>
      <c r="L527" s="1474"/>
      <c r="M527" s="1474"/>
      <c r="N527" s="1474"/>
      <c r="O527" s="1474"/>
      <c r="P527" s="1474"/>
    </row>
    <row r="528" spans="4:20" ht="12.75" customHeight="1" x14ac:dyDescent="0.25">
      <c r="E528" s="1604">
        <v>13</v>
      </c>
      <c r="F528" s="1434" t="s">
        <v>1781</v>
      </c>
      <c r="I528" s="1527">
        <f>ROUND(+I527*S$2,2)</f>
        <v>164.73</v>
      </c>
      <c r="J528" s="1474"/>
      <c r="K528" s="1474">
        <v>2141</v>
      </c>
      <c r="L528" s="1474"/>
      <c r="M528" s="1474"/>
      <c r="N528" s="1474"/>
      <c r="O528" s="1474"/>
      <c r="P528" s="1474"/>
    </row>
    <row r="529" spans="4:20" ht="12.75" customHeight="1" x14ac:dyDescent="0.25">
      <c r="E529" s="1604">
        <v>13</v>
      </c>
      <c r="F529" s="1434" t="s">
        <v>1781</v>
      </c>
      <c r="I529" s="1527">
        <f>ROUND(+I528*T$2,2)</f>
        <v>168.19</v>
      </c>
      <c r="J529" s="1474"/>
      <c r="K529" s="1474"/>
      <c r="L529" s="1474">
        <f>ROUND($E529*$I529,0)</f>
        <v>2186</v>
      </c>
      <c r="P529" s="1474"/>
    </row>
    <row r="530" spans="4:20" ht="12.75" customHeight="1" x14ac:dyDescent="0.25">
      <c r="E530" s="1604">
        <v>13</v>
      </c>
      <c r="F530" s="1434" t="s">
        <v>1781</v>
      </c>
      <c r="I530" s="1527">
        <f>ROUND(+I529*U$2,2)</f>
        <v>172.06</v>
      </c>
      <c r="J530" s="1474"/>
      <c r="K530" s="1474"/>
      <c r="L530" s="1474"/>
      <c r="M530" s="1474">
        <f>+E530*I530</f>
        <v>2236.7800000000002</v>
      </c>
      <c r="N530" s="1474"/>
      <c r="O530" s="1474"/>
      <c r="P530" s="1474"/>
    </row>
    <row r="531" spans="4:20" ht="12.75" customHeight="1" x14ac:dyDescent="0.25">
      <c r="E531" s="1604">
        <v>13</v>
      </c>
      <c r="F531" s="1434" t="s">
        <v>1781</v>
      </c>
      <c r="I531" s="1527">
        <f>ROUND(+I530*V$2,2)</f>
        <v>176.02</v>
      </c>
      <c r="J531" s="1474"/>
      <c r="K531" s="1474"/>
      <c r="L531" s="1474"/>
      <c r="M531" s="1474"/>
      <c r="N531" s="1474">
        <f>+I531*E531</f>
        <v>2288.2600000000002</v>
      </c>
      <c r="O531" s="1474"/>
      <c r="P531" s="1474"/>
    </row>
    <row r="532" spans="4:20" ht="12.75" customHeight="1" x14ac:dyDescent="0.25">
      <c r="E532" s="2048">
        <v>13</v>
      </c>
      <c r="F532" s="1444" t="s">
        <v>1781</v>
      </c>
      <c r="G532" s="1444"/>
      <c r="H532" s="1444"/>
      <c r="I532" s="2042">
        <f>ROUND(+I531*W$2,2)</f>
        <v>180.07</v>
      </c>
      <c r="J532" s="1474"/>
      <c r="K532" s="1474"/>
      <c r="L532" s="1474"/>
      <c r="M532" s="1474"/>
      <c r="N532" s="1474"/>
      <c r="O532" s="1474">
        <f>+I532*E532</f>
        <v>2340.91</v>
      </c>
      <c r="P532" s="1474"/>
    </row>
    <row r="533" spans="4:20" ht="12.75" customHeight="1" x14ac:dyDescent="0.25">
      <c r="E533" s="1470" t="s">
        <v>1782</v>
      </c>
      <c r="I533" s="134"/>
      <c r="J533" s="134">
        <v>7818</v>
      </c>
      <c r="K533" s="134">
        <v>8021</v>
      </c>
      <c r="L533" s="134">
        <f>ROUND(K533*T$2,0)</f>
        <v>8189</v>
      </c>
      <c r="M533" s="134">
        <f>ROUND(L533*U$2,0)</f>
        <v>8377</v>
      </c>
      <c r="N533" s="134">
        <f>ROUND(M533*V$2,0)</f>
        <v>8570</v>
      </c>
      <c r="O533" s="134">
        <f>ROUND(N533*W$2,0)</f>
        <v>8767</v>
      </c>
      <c r="P533" s="134"/>
    </row>
    <row r="534" spans="4:20" ht="12.75" customHeight="1" x14ac:dyDescent="0.25">
      <c r="E534" s="1434" t="s">
        <v>1783</v>
      </c>
      <c r="I534" s="134"/>
      <c r="J534" s="134"/>
      <c r="K534" s="134"/>
      <c r="L534" s="134"/>
      <c r="M534" s="134"/>
      <c r="N534" s="134"/>
      <c r="O534" s="134"/>
      <c r="P534" s="134"/>
    </row>
    <row r="535" spans="4:20" ht="12.75" customHeight="1" x14ac:dyDescent="0.25">
      <c r="D535" s="1445"/>
      <c r="E535" s="1477" t="str">
        <f>"Totaal "&amp;D523</f>
        <v>Totaal 43812</v>
      </c>
      <c r="F535" s="155"/>
      <c r="H535" s="549"/>
      <c r="I535" s="134"/>
      <c r="J535" s="1831">
        <v>9905</v>
      </c>
      <c r="K535" s="1831">
        <v>10162</v>
      </c>
      <c r="L535" s="1831">
        <f>SUM(L526:L534)</f>
        <v>10375</v>
      </c>
      <c r="M535" s="1831">
        <f>SUM(M526:M534)</f>
        <v>10613.78</v>
      </c>
      <c r="N535" s="1831">
        <f>SUM(N526:N534)</f>
        <v>10858.26</v>
      </c>
      <c r="O535" s="1831">
        <f>SUM(O526:O534)</f>
        <v>11107.91</v>
      </c>
      <c r="P535" s="1455"/>
    </row>
    <row r="536" spans="4:20" ht="12.75" customHeight="1" x14ac:dyDescent="0.25">
      <c r="D536" s="1437"/>
      <c r="G536" s="1480"/>
      <c r="H536" s="549"/>
      <c r="I536" s="1455"/>
      <c r="J536" s="1455"/>
      <c r="K536" s="1455"/>
      <c r="L536" s="1455"/>
      <c r="M536" s="1455"/>
      <c r="N536" s="1455"/>
      <c r="O536" s="1455"/>
      <c r="P536" s="1455"/>
    </row>
    <row r="537" spans="4:20" ht="12.75" customHeight="1" x14ac:dyDescent="0.25">
      <c r="D537" s="1437"/>
      <c r="G537" s="1480"/>
      <c r="H537" s="549"/>
      <c r="I537" s="1455"/>
      <c r="J537" s="1455"/>
      <c r="K537" s="1455"/>
      <c r="L537" s="1455"/>
      <c r="M537" s="1455"/>
      <c r="N537" s="1455"/>
      <c r="O537" s="1455"/>
      <c r="P537" s="1455"/>
    </row>
    <row r="538" spans="4:20" ht="12.75" customHeight="1" x14ac:dyDescent="0.25">
      <c r="D538" s="1472">
        <v>604020</v>
      </c>
      <c r="E538" s="549" t="s">
        <v>1784</v>
      </c>
      <c r="F538" s="155"/>
      <c r="I538" s="1455"/>
      <c r="J538" s="1455"/>
      <c r="K538" s="1455"/>
      <c r="L538" s="1455"/>
      <c r="M538" s="1455"/>
      <c r="N538" s="1455"/>
      <c r="O538" s="1455"/>
      <c r="P538" s="1455"/>
    </row>
    <row r="539" spans="4:20" ht="12.75" customHeight="1" x14ac:dyDescent="0.25">
      <c r="D539" s="1472"/>
      <c r="E539" s="1491" t="s">
        <v>533</v>
      </c>
      <c r="F539" s="155"/>
      <c r="I539" s="1455"/>
      <c r="J539" s="1471"/>
      <c r="K539" s="1471"/>
      <c r="L539" s="1471"/>
      <c r="M539" s="1471"/>
      <c r="N539" s="1471"/>
      <c r="O539" s="1471"/>
      <c r="P539" s="1471"/>
      <c r="Q539" s="1434"/>
      <c r="R539" s="1434"/>
      <c r="S539" s="1434"/>
      <c r="T539" s="1434"/>
    </row>
    <row r="540" spans="4:20" ht="12.75" customHeight="1" x14ac:dyDescent="0.25">
      <c r="D540" s="1472"/>
      <c r="E540" s="549"/>
      <c r="F540" s="155"/>
      <c r="I540" s="1471"/>
      <c r="J540" s="1471"/>
      <c r="K540" s="1471"/>
      <c r="L540" s="1471"/>
      <c r="M540" s="1471"/>
      <c r="N540" s="1471"/>
      <c r="O540" s="1471"/>
      <c r="P540" s="1471"/>
    </row>
    <row r="541" spans="4:20" ht="12.75" customHeight="1" x14ac:dyDescent="0.25">
      <c r="D541" s="1535">
        <v>43819</v>
      </c>
      <c r="E541" s="590" t="s">
        <v>1785</v>
      </c>
      <c r="F541" s="1535"/>
      <c r="H541" s="590"/>
      <c r="I541" s="1471"/>
      <c r="J541" s="134">
        <v>38113</v>
      </c>
      <c r="K541" s="134">
        <v>41090</v>
      </c>
      <c r="L541" s="134">
        <v>44230</v>
      </c>
      <c r="M541" s="134">
        <v>44230</v>
      </c>
      <c r="N541" s="134">
        <v>44230</v>
      </c>
      <c r="O541" s="134">
        <v>44230</v>
      </c>
      <c r="P541" s="134"/>
    </row>
    <row r="542" spans="4:20" ht="12.75" customHeight="1" x14ac:dyDescent="0.25">
      <c r="D542" s="1535"/>
      <c r="E542" s="590" t="s">
        <v>1786</v>
      </c>
      <c r="F542" s="1535"/>
      <c r="H542" s="590"/>
      <c r="I542" s="1471"/>
      <c r="J542" s="134">
        <v>-38113</v>
      </c>
      <c r="K542" s="134">
        <v>-41090</v>
      </c>
      <c r="L542" s="134">
        <v>-44230</v>
      </c>
      <c r="M542" s="134">
        <v>-44230</v>
      </c>
      <c r="N542" s="134">
        <v>-44230</v>
      </c>
      <c r="O542" s="134">
        <v>-44230</v>
      </c>
      <c r="P542" s="134"/>
    </row>
    <row r="543" spans="4:20" ht="12.75" customHeight="1" x14ac:dyDescent="0.25">
      <c r="D543" s="1535"/>
      <c r="E543" s="549" t="str">
        <f>"Totaal "&amp;D541</f>
        <v>Totaal 43819</v>
      </c>
      <c r="F543" s="1535"/>
      <c r="H543" s="1536"/>
      <c r="I543" s="1471"/>
      <c r="J543" s="1831">
        <v>0</v>
      </c>
      <c r="K543" s="1831">
        <v>0</v>
      </c>
      <c r="L543" s="1831">
        <f>SUM(L541:L542)</f>
        <v>0</v>
      </c>
      <c r="M543" s="1831">
        <f>SUM(M541:M542)</f>
        <v>0</v>
      </c>
      <c r="N543" s="1831">
        <f>SUM(N541:N542)</f>
        <v>0</v>
      </c>
      <c r="O543" s="1831">
        <f>SUM(O541:O542)</f>
        <v>0</v>
      </c>
      <c r="P543" s="1455"/>
    </row>
    <row r="544" spans="4:20" ht="12.75" customHeight="1" x14ac:dyDescent="0.25">
      <c r="D544" s="1535"/>
      <c r="E544" s="1536"/>
      <c r="F544" s="1535"/>
      <c r="H544" s="1536"/>
      <c r="I544" s="1471"/>
      <c r="J544" s="1549"/>
      <c r="K544" s="1549"/>
      <c r="L544" s="1549"/>
      <c r="M544" s="1549"/>
      <c r="N544" s="1549"/>
      <c r="O544" s="1549"/>
      <c r="P544" s="1549"/>
    </row>
    <row r="545" spans="4:16" ht="12.75" customHeight="1" x14ac:dyDescent="0.25">
      <c r="D545" s="1437">
        <v>43812</v>
      </c>
      <c r="E545" s="1434" t="s">
        <v>565</v>
      </c>
      <c r="I545" s="1471"/>
      <c r="J545" s="134">
        <v>771</v>
      </c>
      <c r="K545" s="134">
        <v>791</v>
      </c>
      <c r="L545" s="134">
        <f>ROUND(K545*T$2,0)</f>
        <v>808</v>
      </c>
      <c r="M545" s="134">
        <f>ROUND(L545*U$2,0)</f>
        <v>827</v>
      </c>
      <c r="N545" s="134">
        <f>ROUND(M545*V$2,0)</f>
        <v>846</v>
      </c>
      <c r="O545" s="134">
        <f>ROUND(N545*W$2,0)</f>
        <v>865</v>
      </c>
      <c r="P545" s="134"/>
    </row>
    <row r="546" spans="4:16" ht="12.75" customHeight="1" x14ac:dyDescent="0.25">
      <c r="D546" s="1437"/>
      <c r="E546" s="1434" t="s">
        <v>1786</v>
      </c>
      <c r="I546" s="1471"/>
      <c r="J546" s="134">
        <v>-768</v>
      </c>
      <c r="K546" s="134">
        <v>-791</v>
      </c>
      <c r="L546" s="134">
        <v>-808</v>
      </c>
      <c r="M546" s="134">
        <v>-826</v>
      </c>
      <c r="N546" s="134">
        <v>-844</v>
      </c>
      <c r="O546" s="134">
        <f>-O545</f>
        <v>-865</v>
      </c>
      <c r="P546" s="134"/>
    </row>
    <row r="547" spans="4:16" ht="12.75" customHeight="1" x14ac:dyDescent="0.25">
      <c r="D547" s="1437"/>
      <c r="E547" s="549" t="str">
        <f>"Totaal "&amp;D545</f>
        <v>Totaal 43812</v>
      </c>
      <c r="I547" s="1471"/>
      <c r="J547" s="1831">
        <v>3</v>
      </c>
      <c r="K547" s="1831">
        <v>0</v>
      </c>
      <c r="L547" s="1831">
        <f>SUM(L545:L546)</f>
        <v>0</v>
      </c>
      <c r="M547" s="1831">
        <f>SUM(M545:M546)</f>
        <v>1</v>
      </c>
      <c r="N547" s="1831">
        <f>SUM(N545:N546)</f>
        <v>2</v>
      </c>
      <c r="O547" s="1831">
        <f>SUM(O545:O546)</f>
        <v>0</v>
      </c>
      <c r="P547" s="1455"/>
    </row>
    <row r="548" spans="4:16" ht="12.75" customHeight="1" x14ac:dyDescent="0.25">
      <c r="D548" s="1437"/>
      <c r="E548" s="1480"/>
      <c r="H548" s="549"/>
      <c r="I548" s="1471"/>
      <c r="J548" s="1455"/>
      <c r="K548" s="1455"/>
      <c r="L548" s="1455"/>
      <c r="M548" s="1455"/>
      <c r="N548" s="1455"/>
      <c r="O548" s="1455"/>
      <c r="P548" s="1455"/>
    </row>
    <row r="549" spans="4:16" ht="12.75" customHeight="1" x14ac:dyDescent="0.25">
      <c r="D549" s="1472">
        <v>604021</v>
      </c>
      <c r="E549" s="549" t="s">
        <v>1603</v>
      </c>
      <c r="F549" s="155"/>
      <c r="H549" s="1455"/>
      <c r="I549" s="1455"/>
      <c r="J549" s="1455"/>
      <c r="K549" s="1455"/>
      <c r="L549" s="1455"/>
      <c r="M549" s="1455"/>
      <c r="N549" s="1455"/>
      <c r="O549" s="1455"/>
      <c r="P549" s="1455"/>
    </row>
    <row r="550" spans="4:16" ht="12.75" customHeight="1" x14ac:dyDescent="0.25">
      <c r="D550" s="1472"/>
      <c r="E550" s="1491" t="s">
        <v>533</v>
      </c>
      <c r="F550" s="155"/>
      <c r="I550" s="1455"/>
      <c r="J550" s="1455"/>
      <c r="K550" s="1455"/>
      <c r="L550" s="1455"/>
      <c r="M550" s="1455"/>
      <c r="N550" s="1455"/>
      <c r="O550" s="1455"/>
      <c r="P550" s="1455"/>
    </row>
    <row r="551" spans="4:16" ht="12.75" customHeight="1" x14ac:dyDescent="0.25">
      <c r="D551" s="1437">
        <v>43812</v>
      </c>
      <c r="E551" s="1434" t="s">
        <v>1787</v>
      </c>
      <c r="I551" s="1455"/>
      <c r="J551" s="134">
        <v>7116</v>
      </c>
      <c r="K551" s="134">
        <v>7301</v>
      </c>
      <c r="L551" s="134">
        <f>ROUND(K551*T$2,0)</f>
        <v>7454</v>
      </c>
      <c r="M551" s="134">
        <f>ROUND(L551*U$2,0)</f>
        <v>7625</v>
      </c>
      <c r="N551" s="134">
        <f>ROUND(M551*V$2,0)</f>
        <v>7800</v>
      </c>
      <c r="O551" s="134">
        <f>ROUND(N551*W$2,0)</f>
        <v>7979</v>
      </c>
      <c r="P551" s="134"/>
    </row>
    <row r="552" spans="4:16" ht="12.75" customHeight="1" x14ac:dyDescent="0.25">
      <c r="D552" s="155"/>
      <c r="E552" s="1477" t="str">
        <f>"Totaal "&amp;D551</f>
        <v>Totaal 43812</v>
      </c>
      <c r="F552" s="155"/>
      <c r="I552" s="1455"/>
      <c r="J552" s="1831">
        <v>7116</v>
      </c>
      <c r="K552" s="1831">
        <v>7301</v>
      </c>
      <c r="L552" s="1831">
        <f>SUM(L551:L551)</f>
        <v>7454</v>
      </c>
      <c r="M552" s="1831">
        <f>SUM(M551:M551)</f>
        <v>7625</v>
      </c>
      <c r="N552" s="1831">
        <f>SUM(N551:N551)</f>
        <v>7800</v>
      </c>
      <c r="O552" s="1831">
        <f>SUM(O551:O551)</f>
        <v>7979</v>
      </c>
      <c r="P552" s="1455"/>
    </row>
    <row r="553" spans="4:16" ht="12.75" customHeight="1" x14ac:dyDescent="0.25">
      <c r="D553" s="155"/>
      <c r="E553" s="549"/>
      <c r="F553" s="155"/>
      <c r="I553" s="1455"/>
      <c r="J553" s="1455"/>
      <c r="K553" s="1455"/>
      <c r="L553" s="1455"/>
      <c r="M553" s="1455"/>
      <c r="N553" s="1455"/>
      <c r="O553" s="1455"/>
      <c r="P553" s="1455"/>
    </row>
    <row r="554" spans="4:16" ht="12.75" customHeight="1" x14ac:dyDescent="0.25">
      <c r="D554" s="1472">
        <v>604011</v>
      </c>
      <c r="E554" s="1605" t="s">
        <v>1605</v>
      </c>
      <c r="F554" s="155"/>
      <c r="H554" s="1479"/>
      <c r="I554" s="1455"/>
      <c r="J554" s="1455"/>
      <c r="K554" s="1455"/>
      <c r="L554" s="1455"/>
      <c r="M554" s="1455"/>
      <c r="N554" s="1455"/>
      <c r="O554" s="1455"/>
      <c r="P554" s="1471"/>
    </row>
    <row r="555" spans="4:16" ht="12.75" customHeight="1" x14ac:dyDescent="0.25">
      <c r="D555" s="1472"/>
      <c r="E555" s="1606" t="s">
        <v>554</v>
      </c>
      <c r="F555" s="155"/>
      <c r="H555" s="1479"/>
      <c r="I555" s="1455"/>
      <c r="J555" s="134"/>
      <c r="K555" s="134"/>
      <c r="L555" s="134"/>
      <c r="M555" s="134"/>
      <c r="N555" s="134"/>
      <c r="O555" s="134"/>
      <c r="P555" s="134"/>
    </row>
    <row r="556" spans="4:16" ht="12.75" customHeight="1" x14ac:dyDescent="0.25">
      <c r="D556" s="1437">
        <v>83700</v>
      </c>
      <c r="E556" s="1601" t="s">
        <v>1788</v>
      </c>
      <c r="H556" s="1479"/>
      <c r="I556" s="1455"/>
      <c r="J556" s="134"/>
      <c r="K556" s="134"/>
      <c r="L556" s="134"/>
      <c r="M556" s="134"/>
      <c r="N556" s="134"/>
      <c r="O556" s="134"/>
      <c r="P556" s="134"/>
    </row>
    <row r="557" spans="4:16" ht="12.75" customHeight="1" x14ac:dyDescent="0.25">
      <c r="D557" s="1472"/>
      <c r="E557" s="1607" t="s">
        <v>1789</v>
      </c>
      <c r="F557" s="155"/>
      <c r="H557" s="1479"/>
      <c r="I557" s="1455"/>
      <c r="J557" s="134"/>
      <c r="K557" s="134"/>
      <c r="L557" s="134"/>
      <c r="M557" s="134"/>
      <c r="N557" s="134"/>
      <c r="O557" s="134"/>
      <c r="P557" s="134"/>
    </row>
    <row r="558" spans="4:16" ht="12.75" customHeight="1" x14ac:dyDescent="0.25">
      <c r="D558" s="1472"/>
      <c r="E558" s="1607" t="s">
        <v>1790</v>
      </c>
      <c r="F558" s="155"/>
      <c r="H558" s="1479"/>
      <c r="I558" s="1455"/>
      <c r="J558" s="134">
        <v>-4318</v>
      </c>
      <c r="K558" s="134">
        <v>-4430</v>
      </c>
      <c r="L558" s="134">
        <f>ROUND(K558*T$2,0)</f>
        <v>-4523</v>
      </c>
      <c r="M558" s="134">
        <f>ROUND(L558*U$2,0)</f>
        <v>-4627</v>
      </c>
      <c r="N558" s="134">
        <f>ROUND(M558*V$2,0)</f>
        <v>-4733</v>
      </c>
      <c r="O558" s="134">
        <f>ROUND(N558*W$2,0)</f>
        <v>-4842</v>
      </c>
      <c r="P558" s="134"/>
    </row>
    <row r="559" spans="4:16" ht="12.75" customHeight="1" thickBot="1" x14ac:dyDescent="0.3">
      <c r="D559" s="1472"/>
      <c r="E559" s="549" t="s">
        <v>1791</v>
      </c>
      <c r="F559" s="155"/>
      <c r="H559" s="1479"/>
      <c r="I559" s="1455"/>
      <c r="J559" s="1839">
        <v>-4318</v>
      </c>
      <c r="K559" s="1839">
        <v>-4430</v>
      </c>
      <c r="L559" s="1839">
        <f>SUM(L557:L558)</f>
        <v>-4523</v>
      </c>
      <c r="M559" s="1839">
        <f>SUM(M557:M558)</f>
        <v>-4627</v>
      </c>
      <c r="N559" s="1839">
        <f>SUM(N557:N558)</f>
        <v>-4733</v>
      </c>
      <c r="O559" s="1839">
        <f>SUM(O557:O558)</f>
        <v>-4842</v>
      </c>
      <c r="P559" s="545"/>
    </row>
    <row r="560" spans="4:16" ht="12.75" customHeight="1" thickTop="1" x14ac:dyDescent="0.25">
      <c r="D560" s="1472"/>
      <c r="E560" s="155"/>
      <c r="F560" s="155"/>
      <c r="G560" s="1601"/>
      <c r="H560" s="1479"/>
      <c r="I560" s="1455"/>
    </row>
    <row r="561" spans="1:16" ht="12.75" customHeight="1" x14ac:dyDescent="0.25">
      <c r="D561" s="1472">
        <v>604013</v>
      </c>
      <c r="E561" s="549" t="s">
        <v>1792</v>
      </c>
      <c r="F561" s="155"/>
      <c r="I561" s="1455"/>
      <c r="J561" s="1455"/>
      <c r="K561" s="1455"/>
      <c r="L561" s="1455"/>
      <c r="M561" s="1455"/>
      <c r="N561" s="1455"/>
      <c r="O561" s="1455"/>
      <c r="P561" s="1455"/>
    </row>
    <row r="562" spans="1:16" ht="12.75" customHeight="1" x14ac:dyDescent="0.25">
      <c r="D562" s="1461"/>
      <c r="E562" s="1502" t="s">
        <v>554</v>
      </c>
      <c r="F562" s="1461"/>
      <c r="I562" s="1455"/>
      <c r="J562" s="134"/>
      <c r="K562" s="134"/>
      <c r="L562" s="134"/>
      <c r="M562" s="134"/>
      <c r="N562" s="134"/>
      <c r="O562" s="134"/>
      <c r="P562" s="134"/>
    </row>
    <row r="563" spans="1:16" ht="12.75" customHeight="1" x14ac:dyDescent="0.25">
      <c r="D563" s="1437">
        <v>83700</v>
      </c>
      <c r="E563" s="1434" t="s">
        <v>1788</v>
      </c>
      <c r="I563" s="1455"/>
      <c r="J563" s="134"/>
      <c r="K563" s="134"/>
      <c r="L563" s="134"/>
      <c r="M563" s="134"/>
      <c r="N563" s="134"/>
      <c r="O563" s="134"/>
      <c r="P563" s="134"/>
    </row>
    <row r="564" spans="1:16" ht="12.75" customHeight="1" x14ac:dyDescent="0.25">
      <c r="D564" s="1434"/>
      <c r="E564" s="1607" t="s">
        <v>1793</v>
      </c>
      <c r="F564" s="1435"/>
      <c r="I564" s="1455"/>
      <c r="J564" s="134">
        <v>-4051</v>
      </c>
      <c r="K564" s="134">
        <v>-4156</v>
      </c>
      <c r="L564" s="134">
        <f>ROUND(K564*T$2,0)</f>
        <v>-4243</v>
      </c>
      <c r="M564" s="134">
        <f>ROUND(L564*U$2,0)</f>
        <v>-4341</v>
      </c>
      <c r="N564" s="134">
        <f>ROUND(M564*V$2,0)</f>
        <v>-4441</v>
      </c>
      <c r="O564" s="134">
        <f>ROUND(N564*W$2,0)</f>
        <v>-4543</v>
      </c>
      <c r="P564" s="134"/>
    </row>
    <row r="565" spans="1:16" ht="12.75" customHeight="1" x14ac:dyDescent="0.25">
      <c r="D565" s="1434"/>
      <c r="E565" s="1607" t="s">
        <v>1794</v>
      </c>
      <c r="F565" s="1435"/>
      <c r="I565" s="1455"/>
      <c r="J565" s="134"/>
      <c r="K565" s="134"/>
      <c r="L565" s="134"/>
      <c r="M565" s="134"/>
      <c r="N565" s="134"/>
      <c r="O565" s="134"/>
      <c r="P565" s="134"/>
    </row>
    <row r="566" spans="1:16" ht="12.75" customHeight="1" thickBot="1" x14ac:dyDescent="0.3">
      <c r="D566" s="1473"/>
      <c r="E566" s="549" t="s">
        <v>1791</v>
      </c>
      <c r="F566" s="1473"/>
      <c r="H566" s="549"/>
      <c r="I566" s="1455"/>
      <c r="J566" s="1835">
        <v>-4051</v>
      </c>
      <c r="K566" s="1835">
        <v>-4156</v>
      </c>
      <c r="L566" s="1835">
        <f>+L564</f>
        <v>-4243</v>
      </c>
      <c r="M566" s="1835">
        <f>+M564</f>
        <v>-4341</v>
      </c>
      <c r="N566" s="1835">
        <f>+N564</f>
        <v>-4441</v>
      </c>
      <c r="O566" s="1835">
        <f>+O564</f>
        <v>-4543</v>
      </c>
      <c r="P566" s="1455"/>
    </row>
    <row r="567" spans="1:16" ht="12.75" customHeight="1" thickTop="1" x14ac:dyDescent="0.25">
      <c r="D567" s="1472"/>
      <c r="E567" s="155"/>
      <c r="F567" s="155"/>
      <c r="G567" s="1601"/>
      <c r="H567" s="1479"/>
      <c r="I567" s="1455"/>
      <c r="J567" s="134"/>
      <c r="K567" s="134"/>
      <c r="L567" s="134"/>
      <c r="M567" s="134"/>
      <c r="N567" s="134"/>
      <c r="O567" s="134"/>
      <c r="P567" s="134"/>
    </row>
    <row r="568" spans="1:16" ht="12.75" customHeight="1" x14ac:dyDescent="0.25">
      <c r="D568" s="1472">
        <v>604060</v>
      </c>
      <c r="E568" s="1472" t="s">
        <v>1575</v>
      </c>
      <c r="F568" s="155"/>
      <c r="G568" s="1601"/>
      <c r="H568" s="1479"/>
      <c r="I568" s="1455"/>
      <c r="J568" s="134"/>
      <c r="K568" s="134"/>
      <c r="L568" s="134"/>
      <c r="M568" s="134"/>
      <c r="N568" s="134"/>
      <c r="O568" s="134"/>
      <c r="P568" s="134"/>
    </row>
    <row r="569" spans="1:16" ht="12.75" customHeight="1" x14ac:dyDescent="0.25">
      <c r="D569" s="1472"/>
      <c r="E569" s="1608" t="s">
        <v>533</v>
      </c>
      <c r="F569" s="155"/>
      <c r="G569" s="1601"/>
      <c r="H569" s="1479"/>
      <c r="I569" s="1455"/>
      <c r="J569" s="134"/>
      <c r="K569" s="134"/>
      <c r="L569" s="134"/>
      <c r="M569" s="134"/>
      <c r="N569" s="134"/>
      <c r="O569" s="134"/>
      <c r="P569" s="134"/>
    </row>
    <row r="570" spans="1:16" ht="12.75" customHeight="1" x14ac:dyDescent="0.25">
      <c r="D570" s="1609">
        <v>43812</v>
      </c>
      <c r="E570" s="1610" t="s">
        <v>1795</v>
      </c>
      <c r="F570" s="155"/>
      <c r="G570" s="1601"/>
      <c r="H570" s="1479"/>
      <c r="I570" s="1455"/>
      <c r="J570" s="134">
        <v>88000</v>
      </c>
      <c r="K570" s="134">
        <v>0</v>
      </c>
      <c r="L570" s="134">
        <f>ROUND(K570*T$2,0)</f>
        <v>0</v>
      </c>
      <c r="M570" s="134">
        <f>ROUND(L570*U$2,0)</f>
        <v>0</v>
      </c>
      <c r="N570" s="134">
        <f>ROUND(M570*V$2,0)</f>
        <v>0</v>
      </c>
      <c r="O570" s="134">
        <f>ROUND(N570*W$2,0)</f>
        <v>0</v>
      </c>
      <c r="P570" s="134"/>
    </row>
    <row r="571" spans="1:16" ht="12.75" customHeight="1" thickBot="1" x14ac:dyDescent="0.3">
      <c r="D571" s="1472"/>
      <c r="E571" s="155"/>
      <c r="F571" s="155"/>
      <c r="G571" s="1601"/>
      <c r="H571" s="1479"/>
      <c r="I571" s="1455"/>
      <c r="J571" s="1835">
        <v>88000</v>
      </c>
      <c r="K571" s="1835">
        <v>0</v>
      </c>
      <c r="L571" s="1835">
        <f t="shared" ref="L571:N571" si="35">+L570</f>
        <v>0</v>
      </c>
      <c r="M571" s="1835">
        <f t="shared" si="35"/>
        <v>0</v>
      </c>
      <c r="N571" s="1835">
        <f t="shared" si="35"/>
        <v>0</v>
      </c>
      <c r="O571" s="1835">
        <f t="shared" ref="O571" si="36">+O570</f>
        <v>0</v>
      </c>
      <c r="P571" s="134"/>
    </row>
    <row r="572" spans="1:16" ht="12.75" customHeight="1" thickTop="1" x14ac:dyDescent="0.25">
      <c r="D572" s="1472"/>
      <c r="E572" s="155"/>
      <c r="F572" s="155"/>
      <c r="G572" s="1601"/>
      <c r="H572" s="1479"/>
      <c r="I572" s="1455"/>
      <c r="J572" s="134"/>
      <c r="K572" s="134"/>
      <c r="L572" s="134"/>
      <c r="M572" s="134"/>
      <c r="N572" s="134"/>
      <c r="O572" s="134"/>
      <c r="P572" s="134"/>
    </row>
    <row r="573" spans="1:16" ht="12.75" customHeight="1" x14ac:dyDescent="0.25">
      <c r="D573" s="1472"/>
      <c r="E573" s="155"/>
      <c r="F573" s="155"/>
      <c r="G573" s="1601"/>
      <c r="H573" s="1479"/>
      <c r="I573" s="1455"/>
      <c r="J573" s="134"/>
      <c r="K573" s="134"/>
      <c r="L573" s="134"/>
      <c r="M573" s="134"/>
      <c r="N573" s="134"/>
      <c r="O573" s="134"/>
      <c r="P573" s="134"/>
    </row>
    <row r="574" spans="1:16" ht="12.75" customHeight="1" x14ac:dyDescent="0.25">
      <c r="D574" s="1472"/>
      <c r="E574" s="155"/>
      <c r="F574" s="155"/>
      <c r="G574" s="1601"/>
      <c r="H574" s="1479"/>
      <c r="I574" s="1455"/>
      <c r="J574" s="134"/>
      <c r="K574" s="134"/>
      <c r="L574" s="134"/>
      <c r="M574" s="134"/>
      <c r="N574" s="134"/>
      <c r="O574" s="134"/>
      <c r="P574" s="134"/>
    </row>
    <row r="575" spans="1:16" ht="12.75" customHeight="1" x14ac:dyDescent="0.25">
      <c r="D575" s="1472"/>
      <c r="E575" s="155"/>
      <c r="F575" s="155"/>
      <c r="G575" s="1601"/>
      <c r="H575" s="1479"/>
      <c r="I575" s="1455"/>
      <c r="J575" s="134"/>
      <c r="K575" s="134"/>
      <c r="L575" s="134"/>
      <c r="M575" s="134"/>
      <c r="N575" s="134"/>
      <c r="O575" s="134"/>
      <c r="P575" s="134"/>
    </row>
    <row r="576" spans="1:16" ht="12.75" customHeight="1" x14ac:dyDescent="0.25">
      <c r="A576" s="1442"/>
      <c r="D576" s="1472">
        <v>604901</v>
      </c>
      <c r="E576" s="549" t="s">
        <v>1134</v>
      </c>
      <c r="I576" s="134"/>
      <c r="J576" s="1830">
        <v>2025</v>
      </c>
      <c r="K576" s="1830">
        <v>2026</v>
      </c>
      <c r="L576" s="1830">
        <v>2027</v>
      </c>
      <c r="M576" s="1830">
        <v>2028</v>
      </c>
      <c r="N576" s="1830">
        <v>2029</v>
      </c>
      <c r="O576" s="1830">
        <v>2030</v>
      </c>
      <c r="P576" s="134"/>
    </row>
    <row r="577" spans="1:20" ht="12.75" customHeight="1" x14ac:dyDescent="0.25">
      <c r="A577" s="1442"/>
      <c r="D577" s="1472"/>
      <c r="E577" s="549"/>
      <c r="I577" s="134"/>
      <c r="J577" s="1471"/>
      <c r="K577" s="1471"/>
      <c r="L577" s="1471"/>
      <c r="M577" s="1471"/>
      <c r="N577" s="1471"/>
      <c r="O577" s="1471"/>
      <c r="P577" s="134"/>
    </row>
    <row r="578" spans="1:20" ht="12.75" customHeight="1" x14ac:dyDescent="0.25">
      <c r="A578" s="1442"/>
      <c r="D578" s="155"/>
      <c r="E578" s="549" t="s">
        <v>1796</v>
      </c>
      <c r="I578" s="134"/>
      <c r="J578" s="1471"/>
      <c r="K578" s="1471"/>
      <c r="L578" s="1471"/>
      <c r="M578" s="1471"/>
      <c r="N578" s="1471"/>
      <c r="O578" s="1471"/>
      <c r="P578" s="134"/>
    </row>
    <row r="579" spans="1:20" ht="12.75" customHeight="1" x14ac:dyDescent="0.25">
      <c r="A579" s="1442"/>
      <c r="D579" s="1437">
        <v>47300</v>
      </c>
      <c r="E579" s="1434" t="s">
        <v>1797</v>
      </c>
      <c r="I579" s="134"/>
      <c r="J579" s="134">
        <v>63567</v>
      </c>
      <c r="K579" s="134">
        <v>62561</v>
      </c>
      <c r="L579" s="134">
        <v>329228</v>
      </c>
      <c r="M579" s="134">
        <v>321001</v>
      </c>
      <c r="N579" s="134">
        <v>321001</v>
      </c>
      <c r="O579" s="2035">
        <v>321001</v>
      </c>
      <c r="P579" s="134"/>
      <c r="Q579" s="131"/>
      <c r="R579" s="131"/>
      <c r="S579" s="132"/>
      <c r="T579" s="132"/>
    </row>
    <row r="580" spans="1:20" ht="12.75" customHeight="1" x14ac:dyDescent="0.25">
      <c r="A580" s="1442"/>
      <c r="D580" s="1437">
        <v>47300</v>
      </c>
      <c r="E580" s="1434" t="s">
        <v>1798</v>
      </c>
      <c r="I580" s="134"/>
      <c r="J580" s="134">
        <v>58607</v>
      </c>
      <c r="K580" s="134">
        <v>43264</v>
      </c>
      <c r="L580" s="134">
        <v>37848</v>
      </c>
      <c r="M580" s="134">
        <v>28060</v>
      </c>
      <c r="N580" s="134">
        <v>28060</v>
      </c>
      <c r="O580" s="2035">
        <v>28060</v>
      </c>
      <c r="P580" s="134"/>
      <c r="Q580" s="131"/>
      <c r="R580" s="131"/>
      <c r="S580" s="132"/>
      <c r="T580" s="132"/>
    </row>
    <row r="581" spans="1:20" ht="12.75" customHeight="1" x14ac:dyDescent="0.25">
      <c r="A581" s="1442"/>
      <c r="D581" s="1437">
        <v>47300</v>
      </c>
      <c r="E581" s="1434" t="s">
        <v>1799</v>
      </c>
      <c r="I581" s="134"/>
      <c r="J581" s="134">
        <v>421358</v>
      </c>
      <c r="K581" s="134">
        <v>337475</v>
      </c>
      <c r="L581" s="134">
        <v>317704</v>
      </c>
      <c r="M581" s="134">
        <v>308350</v>
      </c>
      <c r="N581" s="134">
        <v>279163</v>
      </c>
      <c r="O581" s="2035">
        <v>0</v>
      </c>
      <c r="P581" s="134"/>
      <c r="Q581" s="132"/>
      <c r="R581" s="132"/>
      <c r="S581" s="132"/>
      <c r="T581" s="132"/>
    </row>
    <row r="582" spans="1:20" ht="12.75" customHeight="1" x14ac:dyDescent="0.25">
      <c r="A582" s="1442"/>
      <c r="D582" s="1437"/>
      <c r="E582" s="1434"/>
      <c r="I582" s="134"/>
      <c r="J582" s="134"/>
      <c r="K582" s="134"/>
      <c r="L582" s="134"/>
      <c r="M582" s="134"/>
      <c r="N582" s="134"/>
      <c r="O582" s="134"/>
      <c r="P582" s="134"/>
      <c r="Q582" s="132"/>
      <c r="R582" s="132"/>
      <c r="S582" s="132"/>
      <c r="T582" s="132"/>
    </row>
    <row r="583" spans="1:20" ht="12.75" customHeight="1" x14ac:dyDescent="0.25">
      <c r="A583" s="1442"/>
      <c r="D583" s="1437"/>
      <c r="E583" s="545" t="s">
        <v>1800</v>
      </c>
      <c r="I583" s="134"/>
      <c r="J583" s="1831">
        <v>543532</v>
      </c>
      <c r="K583" s="1831">
        <v>443300</v>
      </c>
      <c r="L583" s="1831">
        <f>SUM(L579:L582)</f>
        <v>684780</v>
      </c>
      <c r="M583" s="1831">
        <f>SUM(M579:M582)</f>
        <v>657411</v>
      </c>
      <c r="N583" s="1831">
        <f>SUM(N579:N582)</f>
        <v>628224</v>
      </c>
      <c r="O583" s="1831">
        <f>SUM(O579:O582)</f>
        <v>349061</v>
      </c>
      <c r="P583" s="134"/>
    </row>
    <row r="584" spans="1:20" ht="12.75" customHeight="1" x14ac:dyDescent="0.25">
      <c r="A584" s="1442"/>
      <c r="D584" s="1437"/>
      <c r="I584" s="134"/>
      <c r="J584" s="134"/>
      <c r="K584" s="134"/>
      <c r="L584" s="134"/>
      <c r="M584" s="134"/>
      <c r="N584" s="134"/>
      <c r="O584" s="134"/>
      <c r="P584" s="134"/>
    </row>
    <row r="585" spans="1:20" ht="12.75" customHeight="1" x14ac:dyDescent="0.25">
      <c r="A585" s="1442"/>
      <c r="D585" s="1442"/>
      <c r="I585" s="134"/>
      <c r="J585" s="134"/>
      <c r="K585" s="134"/>
      <c r="L585" s="134"/>
      <c r="M585" s="134"/>
      <c r="N585" s="134"/>
      <c r="O585" s="134"/>
      <c r="P585" s="134"/>
    </row>
    <row r="586" spans="1:20" ht="12.75" customHeight="1" x14ac:dyDescent="0.25">
      <c r="B586" s="1440"/>
      <c r="D586" s="1461"/>
      <c r="E586" s="549" t="s">
        <v>1801</v>
      </c>
      <c r="I586" s="134"/>
      <c r="J586" s="134"/>
      <c r="K586" s="134"/>
      <c r="L586" s="134"/>
      <c r="M586" s="134"/>
      <c r="N586" s="134"/>
      <c r="O586" s="134"/>
      <c r="P586" s="134"/>
      <c r="Q586" s="1434"/>
      <c r="R586" s="1434"/>
      <c r="S586" s="1434"/>
    </row>
    <row r="587" spans="1:20" ht="12.75" customHeight="1" x14ac:dyDescent="0.25">
      <c r="B587" s="1440"/>
      <c r="D587" s="1461"/>
      <c r="E587" s="1461"/>
      <c r="F587" s="1461"/>
      <c r="J587" s="1713">
        <v>2025</v>
      </c>
      <c r="K587" s="1713">
        <v>2026</v>
      </c>
      <c r="L587" s="1713">
        <v>2027</v>
      </c>
      <c r="M587" s="1713">
        <v>2028</v>
      </c>
      <c r="N587" s="1713">
        <v>2029</v>
      </c>
      <c r="O587" s="1713">
        <v>2030</v>
      </c>
      <c r="P587" s="545"/>
      <c r="Q587" s="1434"/>
      <c r="R587" s="1434"/>
      <c r="S587" s="1434"/>
    </row>
    <row r="588" spans="1:20" ht="12.75" customHeight="1" x14ac:dyDescent="0.25">
      <c r="B588" s="1440"/>
      <c r="D588" s="1461"/>
      <c r="E588" s="1461"/>
      <c r="F588" s="1461"/>
      <c r="J588" s="134"/>
      <c r="K588" s="134"/>
      <c r="L588" s="134"/>
      <c r="M588" s="134"/>
      <c r="N588" s="134"/>
      <c r="O588" s="134"/>
    </row>
    <row r="589" spans="1:20" ht="12.75" customHeight="1" x14ac:dyDescent="0.25">
      <c r="B589" s="1440"/>
      <c r="E589" s="1434" t="s">
        <v>1802</v>
      </c>
      <c r="J589" s="134">
        <v>478176.47532536299</v>
      </c>
      <c r="K589" s="134">
        <v>509847.39591240161</v>
      </c>
      <c r="L589" s="134">
        <f>L34+L35+L579</f>
        <v>788757.25256116036</v>
      </c>
      <c r="M589" s="134">
        <f>M34+M35+M579</f>
        <v>793692.77590592334</v>
      </c>
      <c r="N589" s="134">
        <f>N34+N35+N579</f>
        <v>807262.98261444247</v>
      </c>
      <c r="O589" s="134">
        <f>O34+O35+O579</f>
        <v>637412</v>
      </c>
      <c r="P589" s="545"/>
    </row>
    <row r="590" spans="1:20" ht="12.75" customHeight="1" x14ac:dyDescent="0.25">
      <c r="B590" s="1440"/>
      <c r="D590" s="1461"/>
      <c r="E590" s="1502"/>
      <c r="F590" s="1461"/>
      <c r="J590" s="134"/>
      <c r="K590" s="134"/>
      <c r="L590" s="134"/>
      <c r="M590" s="134"/>
      <c r="N590" s="134"/>
      <c r="O590" s="134"/>
    </row>
    <row r="591" spans="1:20" ht="12.75" customHeight="1" x14ac:dyDescent="0.25">
      <c r="B591" s="1440"/>
      <c r="D591" s="1461"/>
      <c r="E591" s="1434" t="s">
        <v>1803</v>
      </c>
      <c r="F591" s="1461"/>
      <c r="J591" s="1474">
        <v>16193044</v>
      </c>
      <c r="K591" s="1474">
        <v>17914064</v>
      </c>
      <c r="L591" s="2077">
        <f>+T04L!L873+53742</f>
        <v>18720197</v>
      </c>
      <c r="M591" s="2077">
        <f>+T04L!M873+112590</f>
        <v>19469704</v>
      </c>
      <c r="N591" s="2077">
        <f>+T04L!N873+176907</f>
        <v>20250234</v>
      </c>
      <c r="O591" s="1474">
        <f>+T04L!O873</f>
        <v>20816040</v>
      </c>
    </row>
    <row r="592" spans="1:20" ht="12.75" customHeight="1" x14ac:dyDescent="0.25">
      <c r="B592" s="1440"/>
      <c r="D592" s="1461"/>
      <c r="E592" s="1441" t="s">
        <v>1510</v>
      </c>
      <c r="F592" s="1434" t="s">
        <v>1511</v>
      </c>
      <c r="J592" s="1474">
        <v>-1710061</v>
      </c>
      <c r="K592" s="1474">
        <v>-1657717</v>
      </c>
      <c r="L592" s="1474">
        <f>+T04L!L874</f>
        <v>-1727341</v>
      </c>
      <c r="M592" s="1474">
        <f>+T04L!M874</f>
        <v>-1791253</v>
      </c>
      <c r="N592" s="1474">
        <f>+T04L!N874</f>
        <v>-1857529</v>
      </c>
      <c r="O592" s="1474">
        <f>+T04L!O874</f>
        <v>-1926258</v>
      </c>
      <c r="P592" s="134"/>
    </row>
    <row r="593" spans="2:18" ht="12.75" customHeight="1" x14ac:dyDescent="0.25">
      <c r="B593" s="1440"/>
      <c r="D593" s="1461"/>
      <c r="E593" s="1441" t="s">
        <v>1512</v>
      </c>
      <c r="F593" s="1461"/>
      <c r="J593" s="1474">
        <v>-453953.9</v>
      </c>
      <c r="K593" s="1474">
        <v>-453719.77</v>
      </c>
      <c r="L593" s="1474">
        <f>+T04L!L875</f>
        <v>-472776</v>
      </c>
      <c r="M593" s="1474">
        <f>+T04L!M875</f>
        <v>-490269</v>
      </c>
      <c r="N593" s="1474">
        <f>+T04L!N875</f>
        <v>-508409</v>
      </c>
      <c r="O593" s="1474">
        <f>+T04L!O875</f>
        <v>-527220</v>
      </c>
      <c r="P593" s="1471"/>
    </row>
    <row r="594" spans="2:18" ht="12.75" customHeight="1" x14ac:dyDescent="0.25">
      <c r="B594" s="1440"/>
      <c r="D594" s="1461"/>
      <c r="E594" s="1434"/>
      <c r="F594" s="1461"/>
      <c r="H594" s="1441"/>
      <c r="J594" s="1511"/>
      <c r="K594" s="1511"/>
      <c r="L594" s="1511"/>
      <c r="M594" s="1511"/>
      <c r="N594" s="1511"/>
      <c r="O594" s="1511"/>
      <c r="P594" s="134"/>
      <c r="Q594" s="1434"/>
      <c r="R594" s="1434"/>
    </row>
    <row r="595" spans="2:18" ht="12.75" customHeight="1" x14ac:dyDescent="0.25">
      <c r="B595" s="1440"/>
      <c r="E595" s="1434" t="s">
        <v>1804</v>
      </c>
      <c r="J595" s="1840">
        <v>14029029.1</v>
      </c>
      <c r="K595" s="1840">
        <v>15802627.23</v>
      </c>
      <c r="L595" s="1840">
        <f>SUM(L591:L594)</f>
        <v>16520080</v>
      </c>
      <c r="M595" s="1840">
        <f>SUM(M591:M594)</f>
        <v>17188182</v>
      </c>
      <c r="N595" s="1840">
        <f>SUM(N591:N594)</f>
        <v>17884296</v>
      </c>
      <c r="O595" s="1840">
        <f>SUM(O591:O594)</f>
        <v>18362562</v>
      </c>
      <c r="P595" s="134"/>
      <c r="Q595" s="1434"/>
      <c r="R595" s="1434"/>
    </row>
    <row r="596" spans="2:18" ht="12.75" customHeight="1" x14ac:dyDescent="0.25">
      <c r="B596" s="1440"/>
      <c r="E596" s="1434"/>
      <c r="P596" s="134"/>
    </row>
    <row r="597" spans="2:18" ht="12.75" customHeight="1" x14ac:dyDescent="0.25">
      <c r="B597" s="1440"/>
      <c r="E597" s="1434" t="s">
        <v>1805</v>
      </c>
      <c r="J597" s="1568">
        <v>3.4084787472952294E-2</v>
      </c>
      <c r="K597" s="1568">
        <v>3.2263457746095403E-2</v>
      </c>
      <c r="L597" s="1568">
        <f>L589/L595</f>
        <v>4.7745365189585061E-2</v>
      </c>
      <c r="M597" s="1568">
        <f>M589/M595</f>
        <v>4.6176656490251461E-2</v>
      </c>
      <c r="N597" s="1568">
        <f>N589/N595</f>
        <v>4.5138091128353194E-2</v>
      </c>
      <c r="O597" s="1568">
        <f>O589/O595</f>
        <v>3.4712585313530865E-2</v>
      </c>
      <c r="P597" s="1571"/>
    </row>
    <row r="598" spans="2:18" ht="12.75" customHeight="1" x14ac:dyDescent="0.25">
      <c r="B598" s="1440"/>
      <c r="E598" s="1434"/>
      <c r="P598" s="134"/>
    </row>
    <row r="599" spans="2:18" ht="12.75" customHeight="1" x14ac:dyDescent="0.25">
      <c r="B599" s="1440"/>
      <c r="E599" s="1569" t="s">
        <v>1806</v>
      </c>
      <c r="F599" s="549"/>
      <c r="I599" s="134"/>
      <c r="J599" s="134"/>
      <c r="K599" s="134"/>
      <c r="L599" s="134"/>
      <c r="M599" s="134"/>
      <c r="N599" s="134"/>
      <c r="O599" s="134"/>
      <c r="P599" s="134"/>
    </row>
    <row r="600" spans="2:18" ht="12.75" customHeight="1" x14ac:dyDescent="0.25">
      <c r="B600" s="1440"/>
      <c r="E600" s="1434"/>
      <c r="F600" s="549"/>
      <c r="I600" s="134"/>
      <c r="J600" s="134"/>
      <c r="K600" s="134"/>
      <c r="L600" s="134"/>
      <c r="M600" s="134"/>
      <c r="N600" s="134"/>
      <c r="O600" s="134"/>
      <c r="P600" s="134"/>
    </row>
    <row r="601" spans="2:18" ht="12.75" customHeight="1" x14ac:dyDescent="0.25">
      <c r="B601" s="1440"/>
      <c r="E601" s="1480" t="s">
        <v>1807</v>
      </c>
      <c r="I601" s="134"/>
      <c r="J601" s="134"/>
      <c r="K601" s="134"/>
      <c r="L601" s="134"/>
      <c r="M601" s="134"/>
      <c r="N601" s="134"/>
      <c r="O601" s="134"/>
      <c r="P601" s="134"/>
    </row>
    <row r="602" spans="2:18" ht="12.75" customHeight="1" x14ac:dyDescent="0.25">
      <c r="B602" s="1440"/>
      <c r="E602" s="1480"/>
      <c r="I602" s="134"/>
      <c r="J602" s="134"/>
      <c r="K602" s="134"/>
      <c r="L602" s="134"/>
      <c r="M602" s="134"/>
      <c r="N602" s="134"/>
      <c r="O602" s="134"/>
      <c r="P602" s="134"/>
    </row>
    <row r="603" spans="2:18" ht="12.75" customHeight="1" x14ac:dyDescent="0.25">
      <c r="B603" s="1440"/>
      <c r="E603" s="794" t="s">
        <v>1490</v>
      </c>
      <c r="I603" s="134"/>
      <c r="J603" s="1474"/>
      <c r="K603" s="1474"/>
      <c r="L603" s="1474"/>
      <c r="M603" s="1474"/>
      <c r="N603" s="1474"/>
      <c r="O603" s="1474"/>
      <c r="P603" s="1568"/>
    </row>
    <row r="604" spans="2:18" ht="12.75" customHeight="1" x14ac:dyDescent="0.25">
      <c r="B604" s="1440"/>
      <c r="E604" s="1441" t="s">
        <v>1492</v>
      </c>
      <c r="I604" s="134"/>
      <c r="J604" s="1474">
        <v>4465</v>
      </c>
      <c r="K604" s="1474">
        <v>4459</v>
      </c>
      <c r="L604" s="1474">
        <f>+T04L!L1003</f>
        <v>4646</v>
      </c>
      <c r="M604" s="1474">
        <f>+T04L!M1003</f>
        <v>4818</v>
      </c>
      <c r="N604" s="1474">
        <f>+T04L!N1003</f>
        <v>4996</v>
      </c>
      <c r="O604" s="1474">
        <f>+T04L!O1003</f>
        <v>5181</v>
      </c>
      <c r="P604" s="1568"/>
    </row>
    <row r="605" spans="2:18" ht="12.75" customHeight="1" x14ac:dyDescent="0.25">
      <c r="B605" s="1440"/>
      <c r="E605" s="1441" t="s">
        <v>1493</v>
      </c>
      <c r="I605" s="134"/>
      <c r="J605" s="1474">
        <v>8513</v>
      </c>
      <c r="K605" s="1474">
        <v>6933</v>
      </c>
      <c r="L605" s="1474">
        <f>+T04L!L1004</f>
        <v>7224</v>
      </c>
      <c r="M605" s="1474">
        <f>+T04L!M1004</f>
        <v>7491</v>
      </c>
      <c r="N605" s="1474">
        <f>+T04L!N1004</f>
        <v>7768</v>
      </c>
      <c r="O605" s="1474">
        <f>+T04L!O1004</f>
        <v>8055</v>
      </c>
      <c r="P605" s="1568"/>
    </row>
    <row r="606" spans="2:18" ht="12.75" customHeight="1" x14ac:dyDescent="0.25">
      <c r="B606" s="1440"/>
      <c r="E606" s="1441" t="s">
        <v>1494</v>
      </c>
      <c r="I606" s="134"/>
      <c r="J606" s="1474">
        <v>58123</v>
      </c>
      <c r="K606" s="1474">
        <v>59939.17</v>
      </c>
      <c r="L606" s="1474">
        <f>+T04L!L1005</f>
        <v>62457</v>
      </c>
      <c r="M606" s="1474">
        <f>+T04L!M1005</f>
        <v>64768</v>
      </c>
      <c r="N606" s="1474">
        <f>+T04L!N1005</f>
        <v>67164</v>
      </c>
      <c r="O606" s="1474">
        <f>+T04L!O1005</f>
        <v>69649</v>
      </c>
    </row>
    <row r="607" spans="2:18" ht="12.75" customHeight="1" x14ac:dyDescent="0.25">
      <c r="B607" s="1440"/>
      <c r="E607" s="1441" t="s">
        <v>1495</v>
      </c>
      <c r="I607" s="134"/>
      <c r="J607" s="1474">
        <v>425157</v>
      </c>
      <c r="K607" s="1474">
        <v>469578</v>
      </c>
      <c r="L607" s="1474">
        <f>+T04L!L1006</f>
        <v>489300</v>
      </c>
      <c r="M607" s="1474">
        <f>+T04L!M1006</f>
        <v>507404</v>
      </c>
      <c r="N607" s="1474">
        <f>+T04L!N1006</f>
        <v>526178</v>
      </c>
      <c r="O607" s="1474">
        <f>+T04L!O1006</f>
        <v>545647</v>
      </c>
      <c r="P607" s="134"/>
    </row>
    <row r="608" spans="2:18" ht="12.75" customHeight="1" x14ac:dyDescent="0.25">
      <c r="B608" s="1440"/>
      <c r="E608" s="1441" t="s">
        <v>1808</v>
      </c>
      <c r="I608" s="134"/>
      <c r="J608" s="1469">
        <v>496258</v>
      </c>
      <c r="K608" s="1469">
        <v>540909.17000000004</v>
      </c>
      <c r="L608" s="1469">
        <f>SUM(L604:L607)</f>
        <v>563627</v>
      </c>
      <c r="M608" s="1469">
        <f>SUM(M604:M607)</f>
        <v>584481</v>
      </c>
      <c r="N608" s="1469">
        <f>SUM(N604:N607)</f>
        <v>606106</v>
      </c>
      <c r="O608" s="1469">
        <f>SUM(O604:O607)</f>
        <v>628532</v>
      </c>
      <c r="P608" s="134"/>
    </row>
    <row r="609" spans="2:17" ht="12.75" customHeight="1" x14ac:dyDescent="0.25">
      <c r="B609" s="1440"/>
      <c r="E609" s="1441"/>
      <c r="I609" s="134"/>
      <c r="J609" s="1474"/>
      <c r="K609" s="1474"/>
      <c r="L609" s="1474"/>
      <c r="M609" s="1474"/>
      <c r="N609" s="1474"/>
      <c r="O609" s="1474"/>
      <c r="P609" s="1474"/>
    </row>
    <row r="610" spans="2:17" ht="12.75" customHeight="1" x14ac:dyDescent="0.25">
      <c r="B610" s="1440"/>
      <c r="E610" s="1441" t="s">
        <v>1515</v>
      </c>
      <c r="I610" s="134"/>
      <c r="J610" s="1831">
        <v>-16914.848461752361</v>
      </c>
      <c r="K610" s="1831">
        <v>-17451.600150770537</v>
      </c>
      <c r="L610" s="1831">
        <f>-(L608*L597)</f>
        <v>-26910.576945710258</v>
      </c>
      <c r="M610" s="1831">
        <f>-(M608*M597)</f>
        <v>-26989.378362078663</v>
      </c>
      <c r="N610" s="1831">
        <f>-(N608*N597)</f>
        <v>-27358.467861441641</v>
      </c>
      <c r="O610" s="1831">
        <f>-(O608*O597)</f>
        <v>-21817.97067228418</v>
      </c>
      <c r="P610" s="134"/>
      <c r="Q610" s="117" t="s">
        <v>1809</v>
      </c>
    </row>
    <row r="611" spans="2:17" ht="12.75" customHeight="1" x14ac:dyDescent="0.25">
      <c r="B611" s="1440"/>
      <c r="E611" s="1441"/>
      <c r="I611" s="134"/>
      <c r="J611" s="134"/>
      <c r="K611" s="134"/>
      <c r="L611" s="134"/>
      <c r="M611" s="134"/>
      <c r="N611" s="134"/>
      <c r="O611" s="134"/>
      <c r="P611" s="545"/>
    </row>
    <row r="612" spans="2:17" ht="12.75" customHeight="1" x14ac:dyDescent="0.25">
      <c r="B612" s="1440"/>
      <c r="E612" s="1570" t="s">
        <v>1498</v>
      </c>
      <c r="I612" s="134"/>
      <c r="J612" s="134"/>
      <c r="K612" s="134"/>
      <c r="L612" s="134"/>
      <c r="M612" s="134"/>
      <c r="N612" s="134"/>
      <c r="O612" s="134"/>
      <c r="P612" s="545"/>
    </row>
    <row r="613" spans="2:17" ht="12.75" customHeight="1" x14ac:dyDescent="0.25">
      <c r="B613" s="1440"/>
      <c r="E613" s="1598" t="s">
        <v>1492</v>
      </c>
      <c r="I613" s="134"/>
      <c r="J613" s="1474">
        <v>390437</v>
      </c>
      <c r="K613" s="1474">
        <v>386572</v>
      </c>
      <c r="L613" s="1474">
        <f>+T04L!L893</f>
        <v>402808</v>
      </c>
      <c r="M613" s="1474">
        <f>+T04L!M893</f>
        <v>417712</v>
      </c>
      <c r="N613" s="1474">
        <f>+T04L!N893</f>
        <v>433167</v>
      </c>
      <c r="O613" s="1474">
        <f>+T04L!O893</f>
        <v>449194</v>
      </c>
      <c r="P613" s="545"/>
    </row>
    <row r="614" spans="2:17" ht="12.75" customHeight="1" x14ac:dyDescent="0.25">
      <c r="B614" s="1440"/>
      <c r="E614" s="1441" t="s">
        <v>1810</v>
      </c>
      <c r="I614" s="134"/>
      <c r="J614" s="1469">
        <v>390437</v>
      </c>
      <c r="K614" s="1469">
        <v>386572</v>
      </c>
      <c r="L614" s="1469">
        <f>SUM(L613:L613)</f>
        <v>402808</v>
      </c>
      <c r="M614" s="1469">
        <f>SUM(M613:M613)</f>
        <v>417712</v>
      </c>
      <c r="N614" s="1469">
        <f>SUM(N613:N613)</f>
        <v>433167</v>
      </c>
      <c r="O614" s="1469">
        <f>SUM(O613:O613)</f>
        <v>449194</v>
      </c>
      <c r="P614" s="545"/>
    </row>
    <row r="615" spans="2:17" ht="12.75" customHeight="1" x14ac:dyDescent="0.25">
      <c r="B615" s="1440"/>
      <c r="E615" s="1441"/>
      <c r="I615" s="134"/>
      <c r="J615" s="134"/>
      <c r="K615" s="134"/>
      <c r="L615" s="134"/>
      <c r="M615" s="134"/>
      <c r="N615" s="134"/>
      <c r="O615" s="134"/>
      <c r="P615" s="545"/>
    </row>
    <row r="616" spans="2:17" ht="12.75" customHeight="1" x14ac:dyDescent="0.25">
      <c r="B616" s="1440"/>
      <c r="E616" s="1441" t="s">
        <v>1501</v>
      </c>
      <c r="I616" s="134"/>
      <c r="J616" s="1838">
        <v>-13307.962166577076</v>
      </c>
      <c r="K616" s="1838">
        <v>-12472.149387823592</v>
      </c>
      <c r="L616" s="1838">
        <f>-(L614*L597)</f>
        <v>-19232.215061286381</v>
      </c>
      <c r="M616" s="1838">
        <f>-(M614*M597)</f>
        <v>-19288.543535855919</v>
      </c>
      <c r="N616" s="1838">
        <f>-(N614*N597)</f>
        <v>-19552.331519795367</v>
      </c>
      <c r="O616" s="1838">
        <f>-(O614*O597)</f>
        <v>-15592.685047326184</v>
      </c>
      <c r="P616" s="545"/>
    </row>
    <row r="617" spans="2:17" ht="12.75" customHeight="1" x14ac:dyDescent="0.25">
      <c r="B617" s="1440"/>
      <c r="E617" s="1441"/>
      <c r="I617" s="134"/>
      <c r="J617" s="134"/>
      <c r="K617" s="134"/>
      <c r="L617" s="134"/>
      <c r="M617" s="134"/>
      <c r="N617" s="134"/>
      <c r="O617" s="134"/>
      <c r="P617" s="545"/>
    </row>
    <row r="618" spans="2:17" ht="12.75" customHeight="1" x14ac:dyDescent="0.25">
      <c r="B618" s="1440"/>
      <c r="E618" s="1570" t="s">
        <v>1502</v>
      </c>
      <c r="I618" s="134"/>
      <c r="J618" s="134"/>
      <c r="K618" s="134"/>
      <c r="L618" s="134"/>
      <c r="M618" s="134"/>
      <c r="N618" s="134"/>
      <c r="O618" s="134"/>
      <c r="P618" s="545"/>
    </row>
    <row r="619" spans="2:17" ht="12.75" customHeight="1" x14ac:dyDescent="0.25">
      <c r="B619" s="1440"/>
      <c r="E619" s="1519" t="s">
        <v>1811</v>
      </c>
      <c r="I619" s="134"/>
      <c r="J619" s="134"/>
      <c r="K619" s="134"/>
      <c r="L619" s="134"/>
      <c r="M619" s="134"/>
      <c r="N619" s="134"/>
      <c r="O619" s="134"/>
      <c r="P619" s="545"/>
    </row>
    <row r="620" spans="2:17" ht="12.75" customHeight="1" x14ac:dyDescent="0.25">
      <c r="B620" s="1440"/>
      <c r="E620" s="1441" t="s">
        <v>1492</v>
      </c>
      <c r="I620" s="134"/>
      <c r="J620" s="134">
        <v>288291.3</v>
      </c>
      <c r="K620" s="134">
        <v>286204.64</v>
      </c>
      <c r="L620" s="134">
        <f>+T04L!L899</f>
        <v>298225</v>
      </c>
      <c r="M620" s="134">
        <f>+T04L!M899</f>
        <v>309259</v>
      </c>
      <c r="N620" s="134">
        <f>+T04L!N899</f>
        <v>320702</v>
      </c>
      <c r="O620" s="134">
        <f>+T04L!O899</f>
        <v>332568</v>
      </c>
      <c r="P620" s="545"/>
    </row>
    <row r="621" spans="2:17" ht="12.75" customHeight="1" x14ac:dyDescent="0.25">
      <c r="B621" s="1440"/>
      <c r="E621" s="1441" t="s">
        <v>1812</v>
      </c>
      <c r="I621" s="134"/>
      <c r="J621" s="1840">
        <v>288291.3</v>
      </c>
      <c r="K621" s="1840">
        <v>286204.64</v>
      </c>
      <c r="L621" s="1840">
        <f>SUM(L620)</f>
        <v>298225</v>
      </c>
      <c r="M621" s="1840">
        <f>SUM(M620)</f>
        <v>309259</v>
      </c>
      <c r="N621" s="1840">
        <f>SUM(N620)</f>
        <v>320702</v>
      </c>
      <c r="O621" s="1840">
        <f>SUM(O620)</f>
        <v>332568</v>
      </c>
      <c r="P621" s="545"/>
    </row>
    <row r="622" spans="2:17" ht="12.75" customHeight="1" x14ac:dyDescent="0.25">
      <c r="B622" s="1440"/>
      <c r="E622" s="1441"/>
      <c r="I622" s="134"/>
      <c r="J622" s="134"/>
      <c r="K622" s="134"/>
      <c r="L622" s="134"/>
      <c r="M622" s="134"/>
      <c r="N622" s="134"/>
      <c r="O622" s="134"/>
      <c r="P622" s="545"/>
    </row>
    <row r="623" spans="2:17" ht="12.75" customHeight="1" x14ac:dyDescent="0.25">
      <c r="B623" s="1440"/>
      <c r="E623" s="1441" t="s">
        <v>1505</v>
      </c>
      <c r="I623" s="134"/>
      <c r="J623" s="1838">
        <v>-9826.3476908011307</v>
      </c>
      <c r="K623" s="1838">
        <v>-9233.9513093764472</v>
      </c>
      <c r="L623" s="1838">
        <f>-(L621*L597)</f>
        <v>-14238.861533664005</v>
      </c>
      <c r="M623" s="1838">
        <f>-(M621*M597)</f>
        <v>-14280.546609518677</v>
      </c>
      <c r="N623" s="1838">
        <f>-(N621*N597)</f>
        <v>-14475.876101045125</v>
      </c>
      <c r="O623" s="1838">
        <f>-(O621*O597)</f>
        <v>-11544.295072550332</v>
      </c>
      <c r="P623" s="545"/>
    </row>
    <row r="624" spans="2:17" ht="12.75" customHeight="1" x14ac:dyDescent="0.25">
      <c r="B624" s="1440"/>
      <c r="G624" s="1441"/>
      <c r="I624" s="134"/>
      <c r="J624" s="134"/>
      <c r="K624" s="134"/>
      <c r="L624" s="134"/>
      <c r="M624" s="134"/>
      <c r="N624" s="134"/>
      <c r="O624" s="134"/>
      <c r="P624" s="545"/>
    </row>
    <row r="625" spans="2:16" ht="12.75" customHeight="1" x14ac:dyDescent="0.25">
      <c r="B625" s="1440"/>
      <c r="E625" s="1445" t="s">
        <v>1813</v>
      </c>
      <c r="G625" s="1441"/>
      <c r="I625" s="1572"/>
      <c r="J625" s="545"/>
      <c r="K625" s="545"/>
      <c r="L625" s="545"/>
      <c r="M625" s="545"/>
      <c r="N625" s="545"/>
      <c r="O625" s="545"/>
      <c r="P625" s="134"/>
    </row>
    <row r="626" spans="2:16" ht="12.75" customHeight="1" x14ac:dyDescent="0.25">
      <c r="B626" s="1440"/>
      <c r="G626" s="1441"/>
      <c r="I626" s="134"/>
      <c r="J626" s="134"/>
      <c r="K626" s="134"/>
      <c r="L626" s="134"/>
      <c r="M626" s="134"/>
      <c r="N626" s="134"/>
      <c r="O626" s="134"/>
      <c r="P626" s="134"/>
    </row>
    <row r="627" spans="2:16" ht="12.75" customHeight="1" x14ac:dyDescent="0.25">
      <c r="B627" s="1440"/>
      <c r="E627" s="1434" t="s">
        <v>1814</v>
      </c>
      <c r="I627" s="134"/>
      <c r="J627" s="134">
        <v>2698759.2</v>
      </c>
      <c r="K627" s="134">
        <v>3052827.273</v>
      </c>
      <c r="L627" s="134">
        <f>L37+L38+L39+L40+L41+L42+L44+L43+L45+L46+L47+L48+L49+L50+L51+L57+L58+L580+L581</f>
        <v>3078486.7199999997</v>
      </c>
      <c r="M627" s="134">
        <f>M37+M38+M39+M40+M41+M42+M44+M43+M45+M46+M47+M48+M49+M50+M51+M57+M58+M580+M581</f>
        <v>2614159.6079999995</v>
      </c>
      <c r="N627" s="134">
        <f>N37+N38+N39+N40+N41+N42+N44+N43+N45+N46+N47+N48+N49+N50+N51+N57+N58+N580+N581</f>
        <v>2642066.6799999997</v>
      </c>
      <c r="O627" s="134">
        <f>O37+O38+O39+O40+O41+O42+O44+O43+O45+O46+O47+O48+O49+O50+O51+O57+O58+O580+O581</f>
        <v>2417541.54</v>
      </c>
      <c r="P627" s="134"/>
    </row>
    <row r="628" spans="2:16" ht="12.75" customHeight="1" x14ac:dyDescent="0.25">
      <c r="B628" s="1440"/>
      <c r="E628" s="1441"/>
      <c r="I628" s="134"/>
      <c r="J628" s="134"/>
      <c r="K628" s="134"/>
      <c r="L628" s="134"/>
      <c r="M628" s="134"/>
      <c r="N628" s="134"/>
      <c r="O628" s="134"/>
      <c r="P628" s="134"/>
    </row>
    <row r="629" spans="2:16" ht="12.75" customHeight="1" x14ac:dyDescent="0.25">
      <c r="B629" s="1440"/>
      <c r="E629" s="1441" t="s">
        <v>1815</v>
      </c>
      <c r="I629" s="134"/>
      <c r="J629" s="1840">
        <v>16193044</v>
      </c>
      <c r="K629" s="1840">
        <v>17914064</v>
      </c>
      <c r="L629" s="1840">
        <f>L591</f>
        <v>18720197</v>
      </c>
      <c r="M629" s="1840">
        <f>M591</f>
        <v>19469704</v>
      </c>
      <c r="N629" s="1840">
        <f>N591</f>
        <v>20250234</v>
      </c>
      <c r="O629" s="1840">
        <f>O591</f>
        <v>20816040</v>
      </c>
      <c r="P629" s="134"/>
    </row>
    <row r="630" spans="2:16" ht="12.75" customHeight="1" x14ac:dyDescent="0.25">
      <c r="B630" s="1440"/>
      <c r="E630" s="1441"/>
      <c r="I630" s="134"/>
      <c r="J630" s="134"/>
      <c r="K630" s="134"/>
      <c r="L630" s="134"/>
      <c r="M630" s="134"/>
      <c r="N630" s="134"/>
      <c r="O630" s="134"/>
      <c r="P630" s="134"/>
    </row>
    <row r="631" spans="2:16" ht="12.75" customHeight="1" x14ac:dyDescent="0.25">
      <c r="B631" s="1440"/>
      <c r="E631" s="1434" t="s">
        <v>1816</v>
      </c>
      <c r="J631" s="1568">
        <v>0.16666163569987213</v>
      </c>
      <c r="K631" s="1568">
        <v>0.17041511479472218</v>
      </c>
      <c r="L631" s="1568">
        <f>L627/L629</f>
        <v>0.16444734636072472</v>
      </c>
      <c r="M631" s="1568">
        <f>M627/M629</f>
        <v>0.13426807146117883</v>
      </c>
      <c r="N631" s="1568">
        <f>N627/N629</f>
        <v>0.13047092097799956</v>
      </c>
      <c r="O631" s="1568">
        <f>O627/O629</f>
        <v>0.11613839808147948</v>
      </c>
      <c r="P631" s="134"/>
    </row>
    <row r="632" spans="2:16" ht="12.75" customHeight="1" x14ac:dyDescent="0.25">
      <c r="B632" s="1440"/>
      <c r="E632" s="1441"/>
      <c r="I632" s="134"/>
      <c r="J632" s="134"/>
      <c r="K632" s="134"/>
      <c r="L632" s="134"/>
      <c r="M632" s="134"/>
      <c r="N632" s="134"/>
      <c r="O632" s="134"/>
      <c r="P632" s="134"/>
    </row>
    <row r="633" spans="2:16" ht="12.75" customHeight="1" x14ac:dyDescent="0.25">
      <c r="B633" s="1440"/>
      <c r="E633" s="1569" t="s">
        <v>1817</v>
      </c>
      <c r="I633" s="134"/>
      <c r="J633" s="134"/>
      <c r="K633" s="134"/>
      <c r="L633" s="134"/>
      <c r="M633" s="134"/>
      <c r="N633" s="134"/>
      <c r="O633" s="134"/>
      <c r="P633" s="134"/>
    </row>
    <row r="634" spans="2:16" ht="12.75" customHeight="1" x14ac:dyDescent="0.25">
      <c r="B634" s="1440"/>
      <c r="E634" s="1441"/>
      <c r="I634" s="134"/>
      <c r="J634" s="134"/>
      <c r="K634" s="134"/>
      <c r="L634" s="134"/>
      <c r="M634" s="134"/>
      <c r="N634" s="134"/>
      <c r="O634" s="134"/>
      <c r="P634" s="134"/>
    </row>
    <row r="635" spans="2:16" ht="12.75" customHeight="1" x14ac:dyDescent="0.25">
      <c r="B635" s="1440"/>
      <c r="E635" s="1480" t="s">
        <v>1807</v>
      </c>
      <c r="I635" s="134"/>
      <c r="J635" s="134"/>
      <c r="K635" s="134"/>
      <c r="L635" s="134"/>
      <c r="M635" s="134"/>
      <c r="N635" s="134"/>
      <c r="O635" s="134"/>
      <c r="P635" s="134"/>
    </row>
    <row r="636" spans="2:16" ht="12.75" customHeight="1" x14ac:dyDescent="0.25">
      <c r="B636" s="1440"/>
      <c r="E636" s="1480"/>
      <c r="I636" s="134"/>
      <c r="J636" s="134"/>
      <c r="K636" s="134"/>
      <c r="L636" s="134"/>
      <c r="M636" s="134"/>
      <c r="N636" s="134"/>
      <c r="O636" s="134"/>
      <c r="P636" s="134"/>
    </row>
    <row r="637" spans="2:16" ht="12.75" customHeight="1" x14ac:dyDescent="0.25">
      <c r="B637" s="1440"/>
      <c r="E637" s="794" t="s">
        <v>1490</v>
      </c>
      <c r="I637" s="134"/>
      <c r="J637" s="1474"/>
      <c r="K637" s="1474"/>
      <c r="L637" s="1474"/>
      <c r="M637" s="1474"/>
      <c r="N637" s="1474"/>
      <c r="O637" s="1474"/>
      <c r="P637" s="545"/>
    </row>
    <row r="638" spans="2:16" ht="12.75" customHeight="1" x14ac:dyDescent="0.25">
      <c r="B638" s="1440"/>
      <c r="E638" s="1441" t="str">
        <f>E604</f>
        <v>- Loonkosten beheer en realisatie</v>
      </c>
      <c r="I638" s="134"/>
      <c r="J638" s="1474">
        <v>4465</v>
      </c>
      <c r="K638" s="1474">
        <v>4459</v>
      </c>
      <c r="L638" s="1474">
        <f>+T04L!L923</f>
        <v>4646</v>
      </c>
      <c r="M638" s="1474">
        <f>+T04L!M923</f>
        <v>4818</v>
      </c>
      <c r="N638" s="1474">
        <f>+T04L!N923</f>
        <v>4996</v>
      </c>
      <c r="O638" s="1474">
        <f>+T04L!O923</f>
        <v>5181</v>
      </c>
      <c r="P638" s="134"/>
    </row>
    <row r="639" spans="2:16" ht="12.75" customHeight="1" x14ac:dyDescent="0.25">
      <c r="B639" s="1440"/>
      <c r="E639" s="1441" t="str">
        <f>E605</f>
        <v>- Loonkosten beheer buiten</v>
      </c>
      <c r="I639" s="134"/>
      <c r="J639" s="1474">
        <v>8513</v>
      </c>
      <c r="K639" s="1474">
        <v>6933</v>
      </c>
      <c r="L639" s="1474">
        <f>+T04L!L924</f>
        <v>7224</v>
      </c>
      <c r="M639" s="1474">
        <f>+T04L!M924</f>
        <v>7491</v>
      </c>
      <c r="N639" s="1474">
        <f>+T04L!N924</f>
        <v>7768</v>
      </c>
      <c r="O639" s="1474">
        <f>+T04L!O924</f>
        <v>8055</v>
      </c>
      <c r="P639" s="134"/>
    </row>
    <row r="640" spans="2:16" ht="12.75" customHeight="1" x14ac:dyDescent="0.25">
      <c r="B640" s="1440"/>
      <c r="E640" s="1441" t="str">
        <f>E606</f>
        <v>- Loonkosten omgevingsadvies</v>
      </c>
      <c r="I640" s="134"/>
      <c r="J640" s="1474">
        <v>58123</v>
      </c>
      <c r="K640" s="1474">
        <v>59939.17</v>
      </c>
      <c r="L640" s="1474">
        <f>+T04L!L925</f>
        <v>62457</v>
      </c>
      <c r="M640" s="1474">
        <f>+T04L!M925</f>
        <v>64768</v>
      </c>
      <c r="N640" s="1474">
        <f>+T04L!N925</f>
        <v>67164</v>
      </c>
      <c r="O640" s="1474">
        <f>+T04L!O925</f>
        <v>69649</v>
      </c>
      <c r="P640" s="134"/>
    </row>
    <row r="641" spans="1:16" ht="12.75" customHeight="1" x14ac:dyDescent="0.25">
      <c r="B641" s="1440"/>
      <c r="E641" s="1441" t="str">
        <f>E607</f>
        <v>- Loonkosten ruimtelijke ontwikkeling</v>
      </c>
      <c r="I641" s="134"/>
      <c r="J641" s="1474">
        <v>425157</v>
      </c>
      <c r="K641" s="1474">
        <v>469578</v>
      </c>
      <c r="L641" s="1474">
        <f>+T04L!L926</f>
        <v>489300</v>
      </c>
      <c r="M641" s="1474">
        <f>+T04L!M926</f>
        <v>507404</v>
      </c>
      <c r="N641" s="1474">
        <f>+T04L!N926</f>
        <v>526178</v>
      </c>
      <c r="O641" s="1474">
        <f>+T04L!O926</f>
        <v>545647</v>
      </c>
      <c r="P641" s="134"/>
    </row>
    <row r="642" spans="1:16" ht="12.75" customHeight="1" x14ac:dyDescent="0.25">
      <c r="A642" s="1442"/>
      <c r="E642" s="1441"/>
      <c r="I642" s="1572"/>
      <c r="J642" s="545"/>
      <c r="K642" s="545"/>
      <c r="L642" s="545"/>
      <c r="M642" s="545"/>
      <c r="N642" s="545"/>
      <c r="O642" s="545"/>
      <c r="P642" s="134"/>
    </row>
    <row r="643" spans="1:16" ht="12.75" customHeight="1" x14ac:dyDescent="0.25">
      <c r="A643" s="1442"/>
      <c r="E643" s="1441" t="s">
        <v>1818</v>
      </c>
      <c r="F643" s="1434"/>
      <c r="I643" s="134"/>
      <c r="J643" s="1840">
        <v>496258</v>
      </c>
      <c r="K643" s="1840">
        <v>540909.17000000004</v>
      </c>
      <c r="L643" s="1840">
        <f>SUM(L638:L642)</f>
        <v>563627</v>
      </c>
      <c r="M643" s="1840">
        <f>SUM(M638:M642)</f>
        <v>584481</v>
      </c>
      <c r="N643" s="1840">
        <f>SUM(N638:N642)</f>
        <v>606106</v>
      </c>
      <c r="O643" s="1840">
        <f>SUM(O638:O642)</f>
        <v>628532</v>
      </c>
      <c r="P643" s="134"/>
    </row>
    <row r="644" spans="1:16" ht="12.75" customHeight="1" x14ac:dyDescent="0.25">
      <c r="A644" s="1442"/>
      <c r="E644" s="1434"/>
      <c r="J644" s="1471"/>
      <c r="K644" s="1471"/>
      <c r="L644" s="1471"/>
      <c r="M644" s="1471"/>
      <c r="N644" s="1471"/>
      <c r="O644" s="1471"/>
      <c r="P644" s="545"/>
    </row>
    <row r="645" spans="1:16" ht="12.75" customHeight="1" x14ac:dyDescent="0.25">
      <c r="A645" s="1442"/>
      <c r="E645" s="1441" t="s">
        <v>1515</v>
      </c>
      <c r="J645" s="1838">
        <v>-82707.170009147143</v>
      </c>
      <c r="K645" s="1838">
        <v>-92179.098299067904</v>
      </c>
      <c r="L645" s="1838">
        <f>-(L631*L643)</f>
        <v>-92686.964487256191</v>
      </c>
      <c r="M645" s="1838">
        <f>-(M631*M643)</f>
        <v>-78477.136675701273</v>
      </c>
      <c r="N645" s="1838">
        <f>-(N631*N643)</f>
        <v>-79079.208030291396</v>
      </c>
      <c r="O645" s="1838">
        <f>-(O631*O643)</f>
        <v>-72996.699622948465</v>
      </c>
    </row>
    <row r="646" spans="1:16" ht="12.75" customHeight="1" x14ac:dyDescent="0.25">
      <c r="A646" s="1442"/>
      <c r="E646" s="1434"/>
      <c r="J646" s="134"/>
      <c r="K646" s="134"/>
      <c r="L646" s="134"/>
      <c r="M646" s="134"/>
      <c r="N646" s="134"/>
      <c r="O646" s="134"/>
      <c r="P646" s="545"/>
    </row>
    <row r="647" spans="1:16" ht="12.75" customHeight="1" x14ac:dyDescent="0.25">
      <c r="A647" s="1442"/>
      <c r="E647" s="1570" t="s">
        <v>1498</v>
      </c>
      <c r="J647" s="134"/>
      <c r="K647" s="134"/>
      <c r="L647" s="134"/>
      <c r="M647" s="134"/>
      <c r="N647" s="134"/>
      <c r="O647" s="134"/>
      <c r="P647" s="545"/>
    </row>
    <row r="648" spans="1:16" ht="12.75" customHeight="1" x14ac:dyDescent="0.25">
      <c r="A648" s="1442"/>
      <c r="E648" s="1519" t="s">
        <v>1819</v>
      </c>
      <c r="I648" s="134"/>
      <c r="J648" s="1474"/>
      <c r="K648" s="1474"/>
      <c r="L648" s="1474"/>
      <c r="M648" s="1474"/>
      <c r="N648" s="1474"/>
      <c r="O648" s="1474"/>
    </row>
    <row r="649" spans="1:16" ht="12.75" customHeight="1" x14ac:dyDescent="0.25">
      <c r="A649" s="1442"/>
      <c r="E649" s="1441" t="str">
        <f>+E610</f>
        <v>Toerekening aan planontwikkeling</v>
      </c>
      <c r="I649" s="134"/>
      <c r="J649" s="1474">
        <v>390437</v>
      </c>
      <c r="K649" s="1474">
        <v>386572</v>
      </c>
      <c r="L649" s="1474">
        <f>L613</f>
        <v>402808</v>
      </c>
      <c r="M649" s="1474">
        <f>M613</f>
        <v>417712</v>
      </c>
      <c r="N649" s="1474">
        <f>N613</f>
        <v>433167</v>
      </c>
      <c r="O649" s="1474">
        <f>O613</f>
        <v>449194</v>
      </c>
    </row>
    <row r="650" spans="1:16" ht="12.75" customHeight="1" x14ac:dyDescent="0.25">
      <c r="A650" s="1442"/>
      <c r="E650" s="1441" t="s">
        <v>1820</v>
      </c>
      <c r="I650" s="134"/>
      <c r="J650" s="1840">
        <v>390437</v>
      </c>
      <c r="K650" s="1840">
        <v>386572</v>
      </c>
      <c r="L650" s="1840">
        <f>SUM(L649:L649)</f>
        <v>402808</v>
      </c>
      <c r="M650" s="1840">
        <f>SUM(M649:M649)</f>
        <v>417712</v>
      </c>
      <c r="N650" s="1840">
        <f>SUM(N649:N649)</f>
        <v>433167</v>
      </c>
      <c r="O650" s="1840">
        <f>SUM(O649:O649)</f>
        <v>449194</v>
      </c>
    </row>
    <row r="651" spans="1:16" ht="12.75" customHeight="1" x14ac:dyDescent="0.25">
      <c r="A651" s="1442"/>
      <c r="E651" s="1434"/>
      <c r="J651" s="134"/>
      <c r="K651" s="134"/>
      <c r="L651" s="134"/>
      <c r="M651" s="134"/>
      <c r="N651" s="134"/>
      <c r="O651" s="134"/>
    </row>
    <row r="652" spans="1:16" ht="12.75" customHeight="1" x14ac:dyDescent="0.25">
      <c r="A652" s="1442"/>
      <c r="E652" s="1441" t="s">
        <v>1501</v>
      </c>
      <c r="I652" s="134"/>
      <c r="J652" s="1838">
        <v>-65070.869057750977</v>
      </c>
      <c r="K652" s="1838">
        <v>-65877.711756425342</v>
      </c>
      <c r="L652" s="1838">
        <f>-(L650*L631)</f>
        <v>-66240.706692870808</v>
      </c>
      <c r="M652" s="1838">
        <f>-(M650*M631)</f>
        <v>-56085.384666191931</v>
      </c>
      <c r="N652" s="1838">
        <f>-(N650*N631)</f>
        <v>-56515.697427277133</v>
      </c>
      <c r="O652" s="1838">
        <f>-(O650*O631)</f>
        <v>-52168.671587812096</v>
      </c>
      <c r="P652" s="134"/>
    </row>
    <row r="653" spans="1:16" ht="12.75" customHeight="1" x14ac:dyDescent="0.25">
      <c r="A653" s="1442"/>
      <c r="E653" s="1434"/>
      <c r="H653" s="1441"/>
      <c r="J653" s="134"/>
      <c r="K653" s="134"/>
      <c r="L653" s="134"/>
      <c r="M653" s="134"/>
      <c r="N653" s="134"/>
      <c r="O653" s="134"/>
      <c r="P653" s="134"/>
    </row>
    <row r="654" spans="1:16" ht="12.75" customHeight="1" x14ac:dyDescent="0.25">
      <c r="A654" s="1442"/>
      <c r="E654" s="1570" t="s">
        <v>1502</v>
      </c>
      <c r="I654" s="134"/>
      <c r="J654" s="134"/>
      <c r="K654" s="134"/>
      <c r="L654" s="134"/>
      <c r="M654" s="134"/>
      <c r="N654" s="134"/>
      <c r="O654" s="134"/>
      <c r="P654" s="1471"/>
    </row>
    <row r="655" spans="1:16" ht="12.75" customHeight="1" x14ac:dyDescent="0.25">
      <c r="D655" s="1434"/>
      <c r="E655" s="1519" t="s">
        <v>1811</v>
      </c>
      <c r="F655" s="1435"/>
      <c r="I655" s="134"/>
      <c r="J655" s="134"/>
      <c r="K655" s="134"/>
      <c r="L655" s="134"/>
      <c r="M655" s="134"/>
      <c r="N655" s="134"/>
      <c r="O655" s="134"/>
      <c r="P655" s="134"/>
    </row>
    <row r="656" spans="1:16" ht="12.75" customHeight="1" x14ac:dyDescent="0.25">
      <c r="D656" s="1434"/>
      <c r="E656" s="1441" t="str">
        <f>E620</f>
        <v>- Loonkosten beheer en realisatie</v>
      </c>
      <c r="F656" s="1435"/>
      <c r="I656" s="134"/>
      <c r="J656" s="134">
        <v>288291.3</v>
      </c>
      <c r="K656" s="134">
        <v>286204.64</v>
      </c>
      <c r="L656" s="134">
        <f>L620</f>
        <v>298225</v>
      </c>
      <c r="M656" s="134">
        <f>M620</f>
        <v>309259</v>
      </c>
      <c r="N656" s="134">
        <f>N620</f>
        <v>320702</v>
      </c>
      <c r="O656" s="134">
        <f>O620</f>
        <v>332568</v>
      </c>
      <c r="P656" s="134"/>
    </row>
    <row r="657" spans="4:16" ht="12.75" customHeight="1" x14ac:dyDescent="0.25">
      <c r="D657" s="1434"/>
      <c r="E657" s="1441" t="s">
        <v>1812</v>
      </c>
      <c r="F657" s="1435"/>
      <c r="I657" s="134"/>
      <c r="J657" s="1840">
        <v>288291.3</v>
      </c>
      <c r="K657" s="1840">
        <v>286204.64</v>
      </c>
      <c r="L657" s="1840">
        <f>SUM(L656)</f>
        <v>298225</v>
      </c>
      <c r="M657" s="1840">
        <f>SUM(M656)</f>
        <v>309259</v>
      </c>
      <c r="N657" s="1840">
        <f>SUM(N656)</f>
        <v>320702</v>
      </c>
      <c r="O657" s="1840">
        <f>SUM(O656)</f>
        <v>332568</v>
      </c>
      <c r="P657" s="134"/>
    </row>
    <row r="658" spans="4:16" ht="12.75" customHeight="1" x14ac:dyDescent="0.25">
      <c r="D658" s="1434"/>
      <c r="E658" s="1441"/>
      <c r="F658" s="549"/>
      <c r="I658" s="134"/>
      <c r="J658" s="134"/>
      <c r="K658" s="134"/>
      <c r="L658" s="134"/>
      <c r="M658" s="134"/>
      <c r="N658" s="134"/>
      <c r="O658" s="134"/>
      <c r="P658" s="134"/>
    </row>
    <row r="659" spans="4:16" ht="12.75" customHeight="1" x14ac:dyDescent="0.25">
      <c r="D659" s="1434"/>
      <c r="E659" s="1441" t="s">
        <v>1505</v>
      </c>
      <c r="F659" s="1435"/>
      <c r="I659" s="134"/>
      <c r="J659" s="1838">
        <v>-48047.099616042542</v>
      </c>
      <c r="K659" s="1838">
        <v>-48773.596580382138</v>
      </c>
      <c r="L659" s="1838">
        <f>-(L657*L631)</f>
        <v>-49042.309868427132</v>
      </c>
      <c r="M659" s="1838">
        <f>-(M657*M631)</f>
        <v>-41523.609512012707</v>
      </c>
      <c r="N659" s="1838">
        <f>-(N657*N631)</f>
        <v>-41842.285299486415</v>
      </c>
      <c r="O659" s="1838">
        <f>-(O657*O631)</f>
        <v>-38623.914773161465</v>
      </c>
      <c r="P659" s="134"/>
    </row>
    <row r="660" spans="4:16" ht="12.75" customHeight="1" x14ac:dyDescent="0.25">
      <c r="D660" s="1434"/>
      <c r="E660" s="1441"/>
      <c r="F660" s="1435"/>
      <c r="I660" s="134"/>
      <c r="J660" s="1474"/>
      <c r="K660" s="1474"/>
      <c r="L660" s="1474"/>
      <c r="M660" s="1474"/>
      <c r="N660" s="1474"/>
      <c r="O660" s="1474"/>
    </row>
    <row r="661" spans="4:16" ht="12.75" customHeight="1" x14ac:dyDescent="0.25">
      <c r="D661" s="1434"/>
      <c r="E661" s="1441"/>
      <c r="F661" s="1435"/>
      <c r="I661" s="134"/>
      <c r="J661" s="1474"/>
      <c r="K661" s="1474"/>
      <c r="L661" s="1474"/>
      <c r="M661" s="1474"/>
      <c r="N661" s="1474"/>
      <c r="O661" s="1474"/>
    </row>
    <row r="662" spans="4:16" ht="12.75" customHeight="1" x14ac:dyDescent="0.25">
      <c r="D662" s="1434"/>
      <c r="E662" s="549" t="s">
        <v>1555</v>
      </c>
      <c r="F662" s="1435"/>
      <c r="I662" s="134"/>
      <c r="J662" s="1474"/>
      <c r="K662" s="1474"/>
      <c r="L662" s="1474"/>
      <c r="M662" s="1474"/>
      <c r="N662" s="1474"/>
      <c r="O662" s="1474"/>
    </row>
    <row r="663" spans="4:16" ht="12.75" customHeight="1" x14ac:dyDescent="0.25">
      <c r="D663" s="1434"/>
      <c r="E663" s="1441"/>
      <c r="F663" s="1435"/>
      <c r="I663" s="134"/>
      <c r="J663" s="1474"/>
      <c r="K663" s="1474"/>
      <c r="L663" s="1474"/>
      <c r="M663" s="1474"/>
      <c r="N663" s="1474"/>
      <c r="O663" s="1474"/>
    </row>
    <row r="664" spans="4:16" ht="12.75" customHeight="1" x14ac:dyDescent="0.25">
      <c r="D664" s="1434"/>
      <c r="E664" s="1441" t="s">
        <v>1556</v>
      </c>
      <c r="F664" s="1435"/>
      <c r="I664" s="134"/>
      <c r="J664" s="1474"/>
      <c r="K664" s="1474"/>
      <c r="L664" s="1474"/>
      <c r="M664" s="1474"/>
      <c r="N664" s="1474"/>
      <c r="O664" s="1474"/>
    </row>
    <row r="665" spans="4:16" ht="12.75" customHeight="1" x14ac:dyDescent="0.25">
      <c r="D665" s="1434"/>
      <c r="E665" s="1441" t="str">
        <f>E586</f>
        <v>9. Opslag huisvesting (excl loonkosten)</v>
      </c>
      <c r="F665" s="1435"/>
      <c r="I665" s="134"/>
      <c r="J665" s="1474">
        <v>16914.848461752361</v>
      </c>
      <c r="K665" s="1474">
        <v>17451.600150770537</v>
      </c>
      <c r="L665" s="1474">
        <f>-L610</f>
        <v>26910.576945710258</v>
      </c>
      <c r="M665" s="1474">
        <f>-M610</f>
        <v>26989.378362078663</v>
      </c>
      <c r="N665" s="1474">
        <f>-N610</f>
        <v>27358.467861441641</v>
      </c>
      <c r="O665" s="1474">
        <f>-O610</f>
        <v>21817.97067228418</v>
      </c>
    </row>
    <row r="666" spans="4:16" ht="12.75" customHeight="1" x14ac:dyDescent="0.25">
      <c r="D666" s="1434"/>
      <c r="E666" s="1548" t="str">
        <f>E625</f>
        <v>10. Opslag facilitair (excl loonkosten)</v>
      </c>
      <c r="F666" s="1435"/>
      <c r="I666" s="134"/>
      <c r="J666" s="134">
        <v>82707.170009147143</v>
      </c>
      <c r="K666" s="134">
        <v>92179.098299067904</v>
      </c>
      <c r="L666" s="134">
        <f>-L645</f>
        <v>92686.964487256191</v>
      </c>
      <c r="M666" s="134">
        <f>-M645</f>
        <v>78477.136675701273</v>
      </c>
      <c r="N666" s="134">
        <f>-N645</f>
        <v>79079.208030291396</v>
      </c>
      <c r="O666" s="134">
        <f>-O645</f>
        <v>72996.699622948465</v>
      </c>
    </row>
    <row r="667" spans="4:16" ht="12.75" customHeight="1" x14ac:dyDescent="0.25">
      <c r="D667" s="1434"/>
      <c r="E667" s="1441"/>
      <c r="F667" s="1435"/>
      <c r="I667" s="134"/>
      <c r="J667" s="1474"/>
      <c r="K667" s="1474"/>
      <c r="L667" s="1474"/>
      <c r="M667" s="1474"/>
      <c r="N667" s="1474"/>
      <c r="O667" s="1474"/>
    </row>
    <row r="668" spans="4:16" ht="12.75" customHeight="1" thickBot="1" x14ac:dyDescent="0.3">
      <c r="D668" s="1434"/>
      <c r="E668" s="1480" t="s">
        <v>1557</v>
      </c>
      <c r="F668" s="1435"/>
      <c r="I668" s="134"/>
      <c r="J668" s="1835">
        <v>-99622.018470899508</v>
      </c>
      <c r="K668" s="1835">
        <v>-109630.69844983844</v>
      </c>
      <c r="L668" s="1835">
        <f>-SUM(L665:L667)</f>
        <v>-119597.54143296645</v>
      </c>
      <c r="M668" s="1835">
        <f>-SUM(M665:M667)</f>
        <v>-105466.51503777993</v>
      </c>
      <c r="N668" s="1835">
        <f>-SUM(N665:N667)</f>
        <v>-106437.67589173303</v>
      </c>
      <c r="O668" s="1835">
        <f>-SUM(O665:O667)</f>
        <v>-94814.670295232645</v>
      </c>
    </row>
    <row r="669" spans="4:16" ht="12.75" customHeight="1" thickTop="1" x14ac:dyDescent="0.25">
      <c r="D669" s="1434"/>
      <c r="E669" s="1441"/>
      <c r="F669" s="1435"/>
      <c r="I669" s="134"/>
      <c r="J669" s="1474"/>
      <c r="K669" s="1474"/>
      <c r="L669" s="1474"/>
      <c r="M669" s="1474"/>
      <c r="N669" s="1474"/>
      <c r="O669" s="1474"/>
    </row>
    <row r="670" spans="4:16" ht="12.75" customHeight="1" x14ac:dyDescent="0.25">
      <c r="D670" s="1434"/>
      <c r="E670" s="1441" t="s">
        <v>1558</v>
      </c>
      <c r="F670" s="1435"/>
      <c r="I670" s="134"/>
      <c r="J670" s="1474"/>
      <c r="K670" s="1474"/>
      <c r="L670" s="1474"/>
      <c r="M670" s="1474"/>
      <c r="N670" s="1474"/>
      <c r="O670" s="1474"/>
    </row>
    <row r="671" spans="4:16" ht="12.75" customHeight="1" x14ac:dyDescent="0.25">
      <c r="D671" s="1434"/>
      <c r="E671" s="1441" t="str">
        <f>E665</f>
        <v>9. Opslag huisvesting (excl loonkosten)</v>
      </c>
      <c r="F671" s="1435"/>
      <c r="I671" s="134"/>
      <c r="J671" s="1474">
        <v>13307.962166577076</v>
      </c>
      <c r="K671" s="1474">
        <v>12472.149387823592</v>
      </c>
      <c r="L671" s="1474">
        <f>-L616</f>
        <v>19232.215061286381</v>
      </c>
      <c r="M671" s="1474">
        <f>-M616</f>
        <v>19288.543535855919</v>
      </c>
      <c r="N671" s="1474">
        <f>-N616</f>
        <v>19552.331519795367</v>
      </c>
      <c r="O671" s="1474">
        <f>-O616</f>
        <v>15592.685047326184</v>
      </c>
    </row>
    <row r="672" spans="4:16" ht="12.75" customHeight="1" x14ac:dyDescent="0.25">
      <c r="D672" s="1434"/>
      <c r="E672" s="1548" t="str">
        <f>E666</f>
        <v>10. Opslag facilitair (excl loonkosten)</v>
      </c>
      <c r="F672" s="1435"/>
      <c r="I672" s="134"/>
      <c r="J672" s="1474">
        <v>65070.869057750977</v>
      </c>
      <c r="K672" s="1474">
        <v>65877.711756425342</v>
      </c>
      <c r="L672" s="1474">
        <f>-L652</f>
        <v>66240.706692870808</v>
      </c>
      <c r="M672" s="1474">
        <f>-M652</f>
        <v>56085.384666191931</v>
      </c>
      <c r="N672" s="1474">
        <f>-N652</f>
        <v>56515.697427277133</v>
      </c>
      <c r="O672" s="1474">
        <f>-O652</f>
        <v>52168.671587812096</v>
      </c>
    </row>
    <row r="673" spans="4:16" ht="12.75" customHeight="1" x14ac:dyDescent="0.25">
      <c r="D673" s="1434"/>
      <c r="E673" s="1441"/>
      <c r="F673" s="1435"/>
      <c r="I673" s="134"/>
      <c r="J673" s="1474"/>
      <c r="K673" s="1474"/>
      <c r="L673" s="1474"/>
      <c r="M673" s="1474"/>
      <c r="N673" s="1474"/>
      <c r="O673" s="1474"/>
    </row>
    <row r="674" spans="4:16" ht="12.75" customHeight="1" thickBot="1" x14ac:dyDescent="0.3">
      <c r="D674" s="1434"/>
      <c r="E674" s="1480" t="s">
        <v>1559</v>
      </c>
      <c r="F674" s="1435"/>
      <c r="I674" s="134"/>
      <c r="J674" s="1835">
        <v>-78378.831224328052</v>
      </c>
      <c r="K674" s="1835">
        <v>-78349.861144248935</v>
      </c>
      <c r="L674" s="1835">
        <f>-SUM(L671:L673)</f>
        <v>-85472.921754157185</v>
      </c>
      <c r="M674" s="1835">
        <f>-SUM(M671:M673)</f>
        <v>-75373.928202047857</v>
      </c>
      <c r="N674" s="1835">
        <f>-SUM(N671:N673)</f>
        <v>-76068.028947072497</v>
      </c>
      <c r="O674" s="1835">
        <f>-SUM(O671:O673)</f>
        <v>-67761.356635138276</v>
      </c>
    </row>
    <row r="675" spans="4:16" ht="12.75" customHeight="1" thickTop="1" x14ac:dyDescent="0.25">
      <c r="D675" s="1434"/>
      <c r="E675" s="1441"/>
      <c r="F675" s="1435"/>
      <c r="I675" s="134"/>
      <c r="J675" s="1474"/>
      <c r="K675" s="1474"/>
      <c r="L675" s="1474"/>
      <c r="M675" s="1474"/>
      <c r="N675" s="1474"/>
      <c r="O675" s="1474"/>
    </row>
    <row r="676" spans="4:16" ht="12.75" customHeight="1" x14ac:dyDescent="0.25">
      <c r="D676" s="1434"/>
      <c r="E676" s="1441" t="s">
        <v>1560</v>
      </c>
      <c r="F676" s="1435"/>
      <c r="I676" s="134"/>
      <c r="J676" s="1474"/>
      <c r="K676" s="1474"/>
      <c r="L676" s="1474"/>
      <c r="M676" s="1474"/>
      <c r="N676" s="1474"/>
      <c r="O676" s="1474"/>
    </row>
    <row r="677" spans="4:16" ht="12.75" customHeight="1" x14ac:dyDescent="0.25">
      <c r="D677" s="1434"/>
      <c r="E677" s="1441" t="str">
        <f>E671</f>
        <v>9. Opslag huisvesting (excl loonkosten)</v>
      </c>
      <c r="F677" s="1435"/>
      <c r="I677" s="134"/>
      <c r="J677" s="1474">
        <v>9826.3476908011307</v>
      </c>
      <c r="K677" s="1474">
        <v>9233.9513093764472</v>
      </c>
      <c r="L677" s="1474">
        <f>-L623</f>
        <v>14238.861533664005</v>
      </c>
      <c r="M677" s="1474">
        <f>-M623</f>
        <v>14280.546609518677</v>
      </c>
      <c r="N677" s="1474">
        <f>-N623</f>
        <v>14475.876101045125</v>
      </c>
      <c r="O677" s="1474">
        <f>-O623</f>
        <v>11544.295072550332</v>
      </c>
    </row>
    <row r="678" spans="4:16" ht="12.75" customHeight="1" x14ac:dyDescent="0.25">
      <c r="D678" s="1434"/>
      <c r="E678" s="1548" t="str">
        <f>E672</f>
        <v>10. Opslag facilitair (excl loonkosten)</v>
      </c>
      <c r="F678" s="1435"/>
      <c r="I678" s="134"/>
      <c r="J678" s="1474">
        <v>48047.099616042542</v>
      </c>
      <c r="K678" s="1474">
        <v>48773.596580382138</v>
      </c>
      <c r="L678" s="1474">
        <f>-L659</f>
        <v>49042.309868427132</v>
      </c>
      <c r="M678" s="1474">
        <f>-M659</f>
        <v>41523.609512012707</v>
      </c>
      <c r="N678" s="1474">
        <f>-N659</f>
        <v>41842.285299486415</v>
      </c>
      <c r="O678" s="1474">
        <f>-O659</f>
        <v>38623.914773161465</v>
      </c>
    </row>
    <row r="679" spans="4:16" ht="12.75" customHeight="1" x14ac:dyDescent="0.25">
      <c r="D679" s="1434"/>
      <c r="E679" s="1441"/>
      <c r="F679" s="1435"/>
      <c r="I679" s="134"/>
      <c r="J679" s="1474"/>
      <c r="K679" s="1474"/>
      <c r="L679" s="1474"/>
      <c r="M679" s="1474"/>
      <c r="N679" s="1474"/>
      <c r="O679" s="1474"/>
    </row>
    <row r="680" spans="4:16" ht="12.75" customHeight="1" thickBot="1" x14ac:dyDescent="0.3">
      <c r="D680" s="1434"/>
      <c r="E680" s="1480" t="s">
        <v>1561</v>
      </c>
      <c r="F680" s="1435"/>
      <c r="I680" s="134"/>
      <c r="J680" s="1835">
        <v>-57873.447306843671</v>
      </c>
      <c r="K680" s="1835">
        <v>-58007.547889758585</v>
      </c>
      <c r="L680" s="1835">
        <f>-SUM(L677:L679)</f>
        <v>-63281.171402091139</v>
      </c>
      <c r="M680" s="1835">
        <f>-SUM(M677:M679)</f>
        <v>-55804.156121531385</v>
      </c>
      <c r="N680" s="1835">
        <f>-SUM(N677:N679)</f>
        <v>-56318.161400531542</v>
      </c>
      <c r="O680" s="1835">
        <f>-SUM(O677:O679)</f>
        <v>-50168.209845711797</v>
      </c>
    </row>
    <row r="681" spans="4:16" ht="12.75" customHeight="1" thickTop="1" x14ac:dyDescent="0.25">
      <c r="D681" s="1434"/>
      <c r="E681" s="1441"/>
      <c r="F681" s="1435"/>
      <c r="I681" s="134"/>
      <c r="J681" s="1474"/>
      <c r="K681" s="1474"/>
      <c r="L681" s="1474"/>
      <c r="M681" s="1474"/>
      <c r="N681" s="1474"/>
      <c r="O681" s="1474"/>
    </row>
    <row r="682" spans="4:16" ht="12.75" customHeight="1" x14ac:dyDescent="0.25">
      <c r="D682" s="1434"/>
      <c r="E682" s="1441" t="s">
        <v>1562</v>
      </c>
      <c r="F682" s="1435"/>
      <c r="I682" s="134"/>
      <c r="J682" s="1474">
        <v>-235874.29700207125</v>
      </c>
      <c r="K682" s="1474">
        <v>-245988.10748384596</v>
      </c>
      <c r="L682" s="1474">
        <f>L668+L674+L680</f>
        <v>-268351.63458921481</v>
      </c>
      <c r="M682" s="1474">
        <f>M668+M674+M680</f>
        <v>-236644.59936135917</v>
      </c>
      <c r="N682" s="1474">
        <f>N668+N674+N680</f>
        <v>-238823.86623933708</v>
      </c>
      <c r="O682" s="1474">
        <f>O668+O674+O680</f>
        <v>-212744.23677608272</v>
      </c>
    </row>
    <row r="683" spans="4:16" ht="12.75" customHeight="1" x14ac:dyDescent="0.25">
      <c r="D683" s="1434"/>
      <c r="E683" s="1441"/>
      <c r="F683" s="1435"/>
      <c r="I683" s="134"/>
      <c r="J683" s="1474"/>
      <c r="K683" s="1474"/>
      <c r="L683" s="1474"/>
      <c r="M683" s="1474"/>
      <c r="N683" s="1474"/>
      <c r="O683" s="1474"/>
    </row>
    <row r="684" spans="4:16" ht="12.75" customHeight="1" x14ac:dyDescent="0.25">
      <c r="D684" s="1434"/>
      <c r="E684" s="549" t="s">
        <v>1821</v>
      </c>
      <c r="F684" s="1435"/>
      <c r="I684" s="134"/>
      <c r="J684" s="1474"/>
      <c r="K684" s="1474"/>
      <c r="L684" s="1474"/>
      <c r="M684" s="1474"/>
      <c r="N684" s="1474"/>
      <c r="O684" s="1474"/>
    </row>
    <row r="685" spans="4:16" ht="12.75" customHeight="1" x14ac:dyDescent="0.25">
      <c r="D685" s="1434"/>
      <c r="E685" s="549"/>
      <c r="F685" s="1435"/>
      <c r="I685" s="134"/>
      <c r="J685" s="1474"/>
      <c r="K685" s="1474"/>
      <c r="L685" s="1474"/>
      <c r="M685" s="1474"/>
      <c r="N685" s="1474"/>
      <c r="O685" s="1474"/>
    </row>
    <row r="686" spans="4:16" ht="12.75" customHeight="1" x14ac:dyDescent="0.25">
      <c r="D686" s="1434"/>
      <c r="E686" s="794" t="s">
        <v>1564</v>
      </c>
      <c r="F686" s="1435"/>
      <c r="I686" s="134"/>
      <c r="J686" s="1567">
        <v>2025</v>
      </c>
      <c r="K686" s="1567">
        <v>2026</v>
      </c>
      <c r="L686" s="1567">
        <v>2027</v>
      </c>
      <c r="M686" s="1567">
        <v>2028</v>
      </c>
      <c r="N686" s="1567">
        <v>2029</v>
      </c>
      <c r="O686" s="1567">
        <v>2030</v>
      </c>
    </row>
    <row r="687" spans="4:16" ht="12.75" customHeight="1" x14ac:dyDescent="0.25">
      <c r="D687" s="1434"/>
      <c r="E687" s="1441" t="s">
        <v>1822</v>
      </c>
      <c r="F687" s="1435"/>
      <c r="I687" s="134"/>
      <c r="J687" s="1611">
        <v>3.4084787472952294E-2</v>
      </c>
      <c r="K687" s="1611">
        <v>3.2263457746095403E-2</v>
      </c>
      <c r="L687" s="1611">
        <f>L597</f>
        <v>4.7745365189585061E-2</v>
      </c>
      <c r="M687" s="1611">
        <f>M597</f>
        <v>4.6176656490251461E-2</v>
      </c>
      <c r="N687" s="1611">
        <f>N597</f>
        <v>4.5138091128353194E-2</v>
      </c>
      <c r="O687" s="1611">
        <f>O597</f>
        <v>3.4712585313530865E-2</v>
      </c>
      <c r="P687" s="1568"/>
    </row>
    <row r="688" spans="4:16" ht="12.75" customHeight="1" x14ac:dyDescent="0.25">
      <c r="D688" s="1434"/>
      <c r="E688" s="1441" t="s">
        <v>1823</v>
      </c>
      <c r="F688" s="1435"/>
      <c r="I688" s="134"/>
      <c r="J688" s="1481">
        <v>0.16666163569987213</v>
      </c>
      <c r="K688" s="1481">
        <v>0.17041511479472218</v>
      </c>
      <c r="L688" s="1481">
        <f>L631</f>
        <v>0.16444734636072472</v>
      </c>
      <c r="M688" s="1481">
        <f>M631</f>
        <v>0.13426807146117883</v>
      </c>
      <c r="N688" s="1481">
        <f>N631</f>
        <v>0.13047092097799956</v>
      </c>
      <c r="O688" s="1481">
        <f>O631</f>
        <v>0.11613839808147948</v>
      </c>
    </row>
    <row r="689" spans="4:16" ht="12.75" customHeight="1" x14ac:dyDescent="0.25">
      <c r="D689" s="1434"/>
      <c r="E689" s="1435"/>
      <c r="F689" s="1435"/>
      <c r="G689" s="1441"/>
      <c r="J689" s="545"/>
      <c r="K689" s="545"/>
      <c r="L689" s="545"/>
      <c r="M689" s="545"/>
      <c r="N689" s="545"/>
      <c r="O689" s="545"/>
      <c r="P689" s="134"/>
    </row>
    <row r="690" spans="4:16" ht="12.75" customHeight="1" x14ac:dyDescent="0.25">
      <c r="D690" s="1434"/>
      <c r="E690" s="1435"/>
      <c r="F690" s="1435"/>
      <c r="G690" s="1441"/>
      <c r="J690" s="134"/>
      <c r="K690" s="134"/>
      <c r="L690" s="134"/>
      <c r="M690" s="134"/>
      <c r="N690" s="134"/>
      <c r="O690" s="134"/>
      <c r="P690" s="134"/>
    </row>
    <row r="691" spans="4:16" ht="12.75" customHeight="1" x14ac:dyDescent="0.25">
      <c r="D691" s="1434"/>
      <c r="E691" s="1435"/>
      <c r="F691" s="1435"/>
      <c r="G691" s="1441"/>
      <c r="J691" s="1474"/>
      <c r="K691" s="1474"/>
      <c r="L691" s="1474"/>
      <c r="M691" s="1474"/>
      <c r="N691" s="1474"/>
      <c r="O691" s="1474"/>
      <c r="P691" s="134"/>
    </row>
    <row r="692" spans="4:16" ht="12.75" customHeight="1" x14ac:dyDescent="0.25">
      <c r="D692" s="1434"/>
      <c r="E692" s="1435"/>
      <c r="F692" s="1435"/>
      <c r="G692" s="1441"/>
      <c r="J692" s="1474"/>
      <c r="K692" s="1474"/>
      <c r="L692" s="1474"/>
      <c r="M692" s="1474"/>
      <c r="N692" s="1474"/>
      <c r="O692" s="1474"/>
      <c r="P692" s="1474"/>
    </row>
    <row r="693" spans="4:16" ht="12.75" customHeight="1" x14ac:dyDescent="0.25">
      <c r="D693" s="1434"/>
      <c r="E693" s="1435"/>
      <c r="F693" s="1435"/>
      <c r="G693" s="1441"/>
      <c r="J693" s="134"/>
      <c r="K693" s="134"/>
      <c r="L693" s="134"/>
      <c r="M693" s="134"/>
      <c r="N693" s="134"/>
      <c r="O693" s="134"/>
      <c r="P693" s="134"/>
    </row>
    <row r="694" spans="4:16" ht="12.75" customHeight="1" x14ac:dyDescent="0.25">
      <c r="D694" s="1434"/>
      <c r="E694" s="1435"/>
      <c r="F694" s="1435"/>
      <c r="G694" s="1441"/>
      <c r="J694" s="545"/>
      <c r="K694" s="545"/>
      <c r="L694" s="545"/>
      <c r="M694" s="545"/>
      <c r="N694" s="545"/>
      <c r="O694" s="545"/>
      <c r="P694" s="545"/>
    </row>
    <row r="695" spans="4:16" ht="12.75" customHeight="1" x14ac:dyDescent="0.25">
      <c r="D695" s="1434"/>
      <c r="E695" s="1435"/>
      <c r="F695" s="1435"/>
      <c r="G695" s="1441"/>
      <c r="J695" s="134"/>
      <c r="K695" s="134"/>
      <c r="L695" s="134"/>
      <c r="M695" s="134"/>
      <c r="N695" s="134"/>
      <c r="O695" s="134"/>
      <c r="P695" s="134"/>
    </row>
    <row r="696" spans="4:16" ht="12.75" customHeight="1" x14ac:dyDescent="0.25">
      <c r="D696" s="1434"/>
      <c r="E696" s="1435"/>
      <c r="F696" s="1435"/>
      <c r="J696" s="134"/>
      <c r="K696" s="134"/>
      <c r="L696" s="134"/>
      <c r="M696" s="134"/>
      <c r="N696" s="134"/>
      <c r="O696" s="134"/>
      <c r="P696" s="134"/>
    </row>
    <row r="697" spans="4:16" ht="12.75" customHeight="1" x14ac:dyDescent="0.25">
      <c r="D697" s="1434"/>
      <c r="E697" s="1435"/>
      <c r="F697" s="1435"/>
      <c r="G697" s="1441"/>
      <c r="J697" s="1474"/>
      <c r="K697" s="1474"/>
      <c r="L697" s="1474"/>
      <c r="M697" s="1474"/>
      <c r="N697" s="1474"/>
      <c r="O697" s="1474"/>
      <c r="P697" s="1474"/>
    </row>
    <row r="698" spans="4:16" ht="12.75" customHeight="1" x14ac:dyDescent="0.25">
      <c r="D698" s="1434"/>
      <c r="E698" s="1435"/>
      <c r="F698" s="1435"/>
      <c r="J698" s="1474"/>
      <c r="K698" s="1474"/>
      <c r="L698" s="1474"/>
      <c r="M698" s="1474"/>
      <c r="N698" s="1474"/>
      <c r="O698" s="1474"/>
      <c r="P698" s="134"/>
    </row>
    <row r="699" spans="4:16" ht="12.75" customHeight="1" x14ac:dyDescent="0.25">
      <c r="D699" s="1434"/>
      <c r="E699" s="1435"/>
      <c r="F699" s="1435"/>
      <c r="J699" s="134"/>
      <c r="K699" s="134"/>
      <c r="L699" s="134"/>
      <c r="M699" s="134"/>
      <c r="N699" s="134"/>
      <c r="O699" s="134"/>
      <c r="P699" s="545"/>
    </row>
    <row r="700" spans="4:16" ht="12.75" customHeight="1" x14ac:dyDescent="0.25">
      <c r="D700" s="1434"/>
      <c r="E700" s="1435"/>
      <c r="F700" s="1435"/>
      <c r="G700" s="1441"/>
      <c r="J700" s="545"/>
      <c r="K700" s="545"/>
      <c r="L700" s="545"/>
      <c r="M700" s="545"/>
      <c r="N700" s="545"/>
      <c r="O700" s="545"/>
      <c r="P700" s="134"/>
    </row>
    <row r="701" spans="4:16" ht="12.75" customHeight="1" x14ac:dyDescent="0.25">
      <c r="D701" s="1434"/>
      <c r="E701" s="1435"/>
      <c r="F701" s="1435"/>
      <c r="I701" s="134"/>
      <c r="P701" s="134"/>
    </row>
    <row r="702" spans="4:16" ht="12.75" customHeight="1" x14ac:dyDescent="0.25">
      <c r="D702" s="1434"/>
      <c r="E702" s="1435"/>
      <c r="F702" s="1435"/>
      <c r="G702" s="549"/>
      <c r="I702" s="134"/>
      <c r="J702" s="545"/>
      <c r="K702" s="545"/>
      <c r="L702" s="545"/>
      <c r="M702" s="545"/>
      <c r="N702" s="545"/>
      <c r="O702" s="545"/>
      <c r="P702" s="134"/>
    </row>
    <row r="703" spans="4:16" ht="12.75" customHeight="1" x14ac:dyDescent="0.25">
      <c r="D703" s="1434"/>
      <c r="E703" s="1435"/>
      <c r="F703" s="1435"/>
      <c r="I703" s="134"/>
      <c r="P703" s="134"/>
    </row>
    <row r="704" spans="4:16" ht="12.75" customHeight="1" x14ac:dyDescent="0.25">
      <c r="P704" s="1554"/>
    </row>
    <row r="705" spans="7:15" ht="12.75" customHeight="1" x14ac:dyDescent="0.25">
      <c r="G705" s="549"/>
    </row>
    <row r="706" spans="7:15" ht="12.75" customHeight="1" x14ac:dyDescent="0.25">
      <c r="G706" s="794"/>
      <c r="J706" s="1502"/>
      <c r="K706" s="1502"/>
      <c r="L706" s="1502"/>
      <c r="M706" s="1502"/>
      <c r="N706" s="1502"/>
      <c r="O706" s="1502"/>
    </row>
    <row r="707" spans="7:15" ht="12.75" customHeight="1" x14ac:dyDescent="0.25">
      <c r="J707" s="1481"/>
      <c r="K707" s="1481"/>
      <c r="L707" s="1481"/>
      <c r="M707" s="1481"/>
      <c r="N707" s="1481"/>
      <c r="O707" s="1481"/>
    </row>
    <row r="708" spans="7:15" ht="12.75" customHeight="1" x14ac:dyDescent="0.25">
      <c r="J708" s="1481"/>
      <c r="K708" s="1481"/>
      <c r="L708" s="1481"/>
      <c r="M708" s="1481"/>
      <c r="N708" s="1481"/>
      <c r="O708" s="1481"/>
    </row>
    <row r="709" spans="7:15" ht="12.75" customHeight="1" x14ac:dyDescent="0.25">
      <c r="J709" s="1481"/>
      <c r="K709" s="1481"/>
      <c r="L709" s="1481"/>
      <c r="M709" s="1481"/>
      <c r="N709" s="1481"/>
      <c r="O709" s="1481"/>
    </row>
    <row r="710" spans="7:15" ht="12.75" customHeight="1" x14ac:dyDescent="0.25">
      <c r="J710" s="1481"/>
      <c r="K710" s="1481"/>
      <c r="L710" s="1481"/>
      <c r="M710" s="1481"/>
      <c r="N710" s="1481"/>
      <c r="O710" s="1481"/>
    </row>
    <row r="711" spans="7:15" ht="12.75" customHeight="1" x14ac:dyDescent="0.25">
      <c r="J711" s="1474"/>
      <c r="K711" s="1474"/>
      <c r="L711" s="1474"/>
      <c r="M711" s="1474"/>
      <c r="N711" s="1474"/>
      <c r="O711" s="1474"/>
    </row>
    <row r="712" spans="7:15" ht="12.75" customHeight="1" x14ac:dyDescent="0.25">
      <c r="H712" s="1441"/>
      <c r="J712" s="134"/>
      <c r="K712" s="134"/>
      <c r="L712" s="134"/>
      <c r="M712" s="134"/>
      <c r="N712" s="134"/>
      <c r="O712" s="134"/>
    </row>
    <row r="713" spans="7:15" ht="12.75" customHeight="1" x14ac:dyDescent="0.25">
      <c r="J713" s="134"/>
      <c r="K713" s="134"/>
      <c r="L713" s="134"/>
      <c r="M713" s="134"/>
      <c r="N713" s="134"/>
      <c r="O713" s="134"/>
    </row>
    <row r="716" spans="7:15" ht="12.75" customHeight="1" x14ac:dyDescent="0.25">
      <c r="G716" s="1612"/>
    </row>
    <row r="717" spans="7:15" ht="12.75" customHeight="1" x14ac:dyDescent="0.25">
      <c r="J717" s="133"/>
      <c r="K717" s="133"/>
      <c r="L717" s="133"/>
      <c r="M717" s="133"/>
      <c r="N717" s="133"/>
      <c r="O717" s="133"/>
    </row>
    <row r="718" spans="7:15" ht="12.75" customHeight="1" x14ac:dyDescent="0.25">
      <c r="G718" s="1441"/>
      <c r="J718" s="133"/>
      <c r="K718" s="133"/>
      <c r="L718" s="133"/>
      <c r="M718" s="133"/>
      <c r="N718" s="133"/>
      <c r="O718" s="133"/>
    </row>
    <row r="719" spans="7:15" ht="12.75" customHeight="1" x14ac:dyDescent="0.25">
      <c r="J719" s="133"/>
      <c r="K719" s="133"/>
      <c r="L719" s="133"/>
      <c r="M719" s="133"/>
      <c r="N719" s="133"/>
      <c r="O719" s="133"/>
    </row>
    <row r="720" spans="7:15" ht="12.75" customHeight="1" x14ac:dyDescent="0.25">
      <c r="G720" s="1441"/>
      <c r="J720" s="133"/>
      <c r="K720" s="133"/>
      <c r="L720" s="133"/>
      <c r="M720" s="133"/>
      <c r="N720" s="133"/>
      <c r="O720" s="133"/>
    </row>
    <row r="721" spans="7:15" ht="12.75" customHeight="1" x14ac:dyDescent="0.25">
      <c r="J721" s="133"/>
      <c r="K721" s="133"/>
      <c r="L721" s="133"/>
      <c r="M721" s="133"/>
      <c r="N721" s="133"/>
      <c r="O721" s="133"/>
    </row>
    <row r="722" spans="7:15" ht="12.75" customHeight="1" x14ac:dyDescent="0.25">
      <c r="G722" s="549"/>
      <c r="J722" s="134"/>
      <c r="K722" s="134"/>
      <c r="L722" s="134"/>
      <c r="M722" s="134"/>
      <c r="N722" s="134"/>
      <c r="O722" s="134"/>
    </row>
    <row r="723" spans="7:15" ht="12.75" customHeight="1" x14ac:dyDescent="0.25">
      <c r="J723" s="134"/>
      <c r="K723" s="134"/>
      <c r="L723" s="134"/>
      <c r="M723" s="134"/>
      <c r="N723" s="134"/>
      <c r="O723" s="134"/>
    </row>
    <row r="724" spans="7:15" ht="12.75" customHeight="1" x14ac:dyDescent="0.25">
      <c r="G724" s="1612"/>
    </row>
    <row r="725" spans="7:15" ht="12.75" customHeight="1" x14ac:dyDescent="0.25">
      <c r="G725" s="1441"/>
      <c r="J725" s="133"/>
      <c r="K725" s="133"/>
      <c r="L725" s="133"/>
      <c r="M725" s="133"/>
      <c r="N725" s="133"/>
      <c r="O725" s="133"/>
    </row>
    <row r="726" spans="7:15" ht="12.75" customHeight="1" x14ac:dyDescent="0.25">
      <c r="G726" s="1441"/>
      <c r="J726" s="133"/>
      <c r="K726" s="133"/>
      <c r="L726" s="133"/>
      <c r="M726" s="133"/>
      <c r="N726" s="133"/>
      <c r="O726" s="133"/>
    </row>
    <row r="727" spans="7:15" ht="12.75" customHeight="1" x14ac:dyDescent="0.25">
      <c r="G727" s="1441"/>
      <c r="J727" s="133"/>
      <c r="K727" s="133"/>
      <c r="L727" s="133"/>
      <c r="M727" s="133"/>
      <c r="N727" s="133"/>
      <c r="O727" s="133"/>
    </row>
    <row r="728" spans="7:15" ht="12.75" customHeight="1" x14ac:dyDescent="0.25">
      <c r="G728" s="1441"/>
      <c r="J728" s="133"/>
      <c r="K728" s="133"/>
      <c r="L728" s="133"/>
      <c r="M728" s="133"/>
      <c r="N728" s="133"/>
      <c r="O728" s="133"/>
    </row>
    <row r="729" spans="7:15" ht="12.75" customHeight="1" x14ac:dyDescent="0.25">
      <c r="G729" s="1441"/>
      <c r="J729" s="133"/>
      <c r="K729" s="133"/>
      <c r="L729" s="133"/>
      <c r="M729" s="133"/>
      <c r="N729" s="133"/>
      <c r="O729" s="133"/>
    </row>
    <row r="730" spans="7:15" ht="12.75" customHeight="1" x14ac:dyDescent="0.25">
      <c r="G730" s="549"/>
      <c r="J730" s="134"/>
      <c r="K730" s="134"/>
      <c r="L730" s="134"/>
      <c r="M730" s="134"/>
      <c r="N730" s="134"/>
      <c r="O730" s="134"/>
    </row>
    <row r="731" spans="7:15" ht="12.75" customHeight="1" x14ac:dyDescent="0.25">
      <c r="J731" s="134"/>
      <c r="K731" s="134"/>
      <c r="L731" s="134"/>
      <c r="M731" s="134"/>
      <c r="N731" s="134"/>
      <c r="O731" s="134"/>
    </row>
    <row r="732" spans="7:15" ht="12.75" customHeight="1" x14ac:dyDescent="0.25">
      <c r="G732" s="1612"/>
    </row>
    <row r="733" spans="7:15" ht="12.75" customHeight="1" x14ac:dyDescent="0.25">
      <c r="J733" s="134"/>
      <c r="K733" s="134"/>
      <c r="L733" s="134"/>
      <c r="M733" s="134"/>
      <c r="N733" s="134"/>
      <c r="O733" s="134"/>
    </row>
    <row r="734" spans="7:15" ht="12.75" customHeight="1" x14ac:dyDescent="0.25">
      <c r="J734" s="134"/>
      <c r="K734" s="134"/>
      <c r="L734" s="134"/>
      <c r="M734" s="134"/>
      <c r="N734" s="134"/>
      <c r="O734" s="134"/>
    </row>
    <row r="735" spans="7:15" ht="12.75" customHeight="1" x14ac:dyDescent="0.25">
      <c r="J735" s="134"/>
      <c r="K735" s="134"/>
      <c r="L735" s="134"/>
      <c r="M735" s="134"/>
      <c r="N735" s="134"/>
      <c r="O735" s="134"/>
    </row>
    <row r="736" spans="7:15" ht="12.75" customHeight="1" x14ac:dyDescent="0.25">
      <c r="J736" s="134"/>
      <c r="K736" s="134"/>
      <c r="L736" s="134"/>
      <c r="M736" s="134"/>
      <c r="N736" s="134"/>
      <c r="O736" s="134"/>
    </row>
    <row r="737" spans="7:15" ht="12.75" customHeight="1" x14ac:dyDescent="0.25">
      <c r="J737" s="134"/>
      <c r="K737" s="134"/>
      <c r="L737" s="134"/>
      <c r="M737" s="134"/>
      <c r="N737" s="134"/>
      <c r="O737" s="134"/>
    </row>
    <row r="738" spans="7:15" ht="12.75" customHeight="1" x14ac:dyDescent="0.25">
      <c r="G738" s="549"/>
      <c r="J738" s="134"/>
      <c r="K738" s="134"/>
      <c r="L738" s="134"/>
      <c r="M738" s="134"/>
      <c r="N738" s="134"/>
      <c r="O738" s="134"/>
    </row>
    <row r="740" spans="7:15" ht="12.75" customHeight="1" x14ac:dyDescent="0.25">
      <c r="J740" s="1506"/>
      <c r="K740" s="1506"/>
      <c r="L740" s="1506"/>
      <c r="M740" s="1506"/>
      <c r="N740" s="1506"/>
      <c r="O740" s="1506"/>
    </row>
    <row r="741" spans="7:15" ht="12.75" customHeight="1" x14ac:dyDescent="0.25">
      <c r="G741" s="549"/>
    </row>
    <row r="742" spans="7:15" ht="12.75" customHeight="1" x14ac:dyDescent="0.25">
      <c r="G742" s="794"/>
      <c r="J742" s="1502"/>
      <c r="K742" s="1502"/>
      <c r="L742" s="1502"/>
      <c r="M742" s="1502"/>
      <c r="N742" s="1502"/>
      <c r="O742" s="1502"/>
    </row>
    <row r="743" spans="7:15" ht="12.75" customHeight="1" x14ac:dyDescent="0.25">
      <c r="J743" s="1481"/>
      <c r="K743" s="1481"/>
      <c r="L743" s="1481"/>
      <c r="M743" s="1481"/>
      <c r="N743" s="1481"/>
      <c r="O743" s="1481"/>
    </row>
    <row r="744" spans="7:15" ht="12.75" customHeight="1" x14ac:dyDescent="0.25">
      <c r="J744" s="1481"/>
      <c r="K744" s="1481"/>
      <c r="L744" s="1481"/>
      <c r="M744" s="1481"/>
      <c r="N744" s="1481"/>
      <c r="O744" s="1481"/>
    </row>
    <row r="745" spans="7:15" ht="12.75" customHeight="1" x14ac:dyDescent="0.25">
      <c r="J745" s="1481"/>
      <c r="K745" s="1481"/>
      <c r="L745" s="1481"/>
      <c r="M745" s="1481"/>
      <c r="N745" s="1481"/>
      <c r="O745" s="1481"/>
    </row>
    <row r="746" spans="7:15" ht="12.75" customHeight="1" x14ac:dyDescent="0.25">
      <c r="J746" s="1481"/>
      <c r="K746" s="1481"/>
      <c r="L746" s="1481"/>
      <c r="M746" s="1481"/>
      <c r="N746" s="1481"/>
      <c r="O746" s="1481"/>
    </row>
    <row r="747" spans="7:15" ht="12.75" customHeight="1" x14ac:dyDescent="0.25">
      <c r="J747" s="1481"/>
      <c r="K747" s="1481"/>
      <c r="L747" s="1481"/>
      <c r="M747" s="1481"/>
      <c r="N747" s="1481"/>
      <c r="O747" s="1481"/>
    </row>
    <row r="748" spans="7:15" ht="12.75" customHeight="1" x14ac:dyDescent="0.25">
      <c r="J748" s="1481"/>
      <c r="K748" s="1481"/>
      <c r="L748" s="1481"/>
      <c r="M748" s="1481"/>
      <c r="N748" s="1481"/>
      <c r="O748" s="1481"/>
    </row>
    <row r="749" spans="7:15" ht="12.75" customHeight="1" x14ac:dyDescent="0.25">
      <c r="J749" s="1481"/>
      <c r="K749" s="1481"/>
      <c r="L749" s="1481"/>
      <c r="M749" s="1481"/>
      <c r="N749" s="1481"/>
      <c r="O749" s="1481"/>
    </row>
    <row r="750" spans="7:15" ht="12.75" customHeight="1" x14ac:dyDescent="0.25">
      <c r="J750" s="1481"/>
      <c r="K750" s="1481"/>
      <c r="L750" s="1481"/>
      <c r="M750" s="1481"/>
      <c r="N750" s="1481"/>
      <c r="O750" s="1481"/>
    </row>
    <row r="751" spans="7:15" ht="12.75" customHeight="1" x14ac:dyDescent="0.25">
      <c r="J751" s="1481"/>
      <c r="K751" s="1481"/>
      <c r="L751" s="1481"/>
      <c r="M751" s="1481"/>
      <c r="N751" s="1481"/>
      <c r="O751" s="1481"/>
    </row>
    <row r="752" spans="7:15" ht="12.75" customHeight="1" x14ac:dyDescent="0.25">
      <c r="J752" s="1481"/>
      <c r="K752" s="1481"/>
      <c r="L752" s="1481"/>
      <c r="M752" s="1481"/>
      <c r="N752" s="1481"/>
      <c r="O752" s="1481"/>
    </row>
    <row r="753" spans="10:15" ht="12.75" customHeight="1" x14ac:dyDescent="0.25">
      <c r="J753" s="1481"/>
      <c r="K753" s="1481"/>
      <c r="L753" s="1481"/>
      <c r="M753" s="1481"/>
      <c r="N753" s="1481"/>
      <c r="O753" s="1481"/>
    </row>
    <row r="754" spans="10:15" ht="12.75" customHeight="1" x14ac:dyDescent="0.25">
      <c r="J754" s="1481"/>
      <c r="K754" s="1481"/>
      <c r="L754" s="1481"/>
      <c r="M754" s="1481"/>
      <c r="N754" s="1481"/>
      <c r="O754" s="1481"/>
    </row>
    <row r="755" spans="10:15" ht="12.75" customHeight="1" x14ac:dyDescent="0.25">
      <c r="J755" s="1481"/>
      <c r="K755" s="1481"/>
      <c r="L755" s="1481"/>
      <c r="M755" s="1481"/>
      <c r="N755" s="1481"/>
      <c r="O755" s="1481"/>
    </row>
    <row r="756" spans="10:15" ht="12.75" customHeight="1" x14ac:dyDescent="0.25">
      <c r="J756" s="1481"/>
      <c r="K756" s="1481"/>
      <c r="L756" s="1481"/>
      <c r="M756" s="1481"/>
      <c r="N756" s="1481"/>
      <c r="O756" s="1481"/>
    </row>
    <row r="757" spans="10:15" ht="12.75" customHeight="1" x14ac:dyDescent="0.25">
      <c r="J757" s="1481"/>
      <c r="K757" s="1481"/>
      <c r="L757" s="1481"/>
      <c r="M757" s="1481"/>
      <c r="N757" s="1481"/>
      <c r="O757" s="1481"/>
    </row>
    <row r="758" spans="10:15" ht="12.75" customHeight="1" x14ac:dyDescent="0.25">
      <c r="J758" s="1481"/>
      <c r="K758" s="1481"/>
      <c r="L758" s="1481"/>
      <c r="M758" s="1481"/>
      <c r="N758" s="1481"/>
      <c r="O758" s="1481"/>
    </row>
    <row r="759" spans="10:15" ht="12.75" customHeight="1" x14ac:dyDescent="0.25">
      <c r="J759" s="1481"/>
      <c r="K759" s="1481"/>
      <c r="L759" s="1481"/>
      <c r="M759" s="1481"/>
      <c r="N759" s="1481"/>
      <c r="O759" s="1481"/>
    </row>
    <row r="760" spans="10:15" ht="12.75" customHeight="1" x14ac:dyDescent="0.25">
      <c r="J760" s="1481"/>
      <c r="K760" s="1481"/>
      <c r="L760" s="1481"/>
      <c r="M760" s="1481"/>
      <c r="N760" s="1481"/>
      <c r="O760" s="1481"/>
    </row>
    <row r="761" spans="10:15" ht="12.75" customHeight="1" x14ac:dyDescent="0.25">
      <c r="J761" s="1481"/>
      <c r="K761" s="1481"/>
      <c r="L761" s="1481"/>
      <c r="M761" s="1481"/>
      <c r="N761" s="1481"/>
      <c r="O761" s="1481"/>
    </row>
    <row r="762" spans="10:15" ht="12.75" customHeight="1" x14ac:dyDescent="0.25">
      <c r="J762" s="1481"/>
      <c r="K762" s="1481"/>
      <c r="L762" s="1481"/>
      <c r="M762" s="1481"/>
      <c r="N762" s="1481"/>
      <c r="O762" s="1481"/>
    </row>
    <row r="763" spans="10:15" ht="12.75" customHeight="1" x14ac:dyDescent="0.25">
      <c r="J763" s="1481"/>
      <c r="K763" s="1481"/>
      <c r="L763" s="1481"/>
      <c r="M763" s="1481"/>
      <c r="N763" s="1481"/>
      <c r="O763" s="1481"/>
    </row>
    <row r="764" spans="10:15" ht="12.75" customHeight="1" x14ac:dyDescent="0.25">
      <c r="J764" s="1481"/>
      <c r="K764" s="1481"/>
      <c r="L764" s="1481"/>
      <c r="M764" s="1481"/>
      <c r="N764" s="1481"/>
      <c r="O764" s="1481"/>
    </row>
    <row r="765" spans="10:15" ht="12.75" customHeight="1" x14ac:dyDescent="0.25">
      <c r="J765" s="1481"/>
      <c r="K765" s="1481"/>
      <c r="L765" s="1481"/>
      <c r="M765" s="1481"/>
      <c r="N765" s="1481"/>
      <c r="O765" s="1481"/>
    </row>
    <row r="766" spans="10:15" ht="12.75" customHeight="1" x14ac:dyDescent="0.25">
      <c r="J766" s="1481"/>
      <c r="K766" s="1481"/>
      <c r="L766" s="1481"/>
      <c r="M766" s="1481"/>
      <c r="N766" s="1481"/>
      <c r="O766" s="1481"/>
    </row>
    <row r="767" spans="10:15" ht="12.75" customHeight="1" x14ac:dyDescent="0.25">
      <c r="J767" s="1481"/>
      <c r="K767" s="1481"/>
      <c r="L767" s="1481"/>
      <c r="M767" s="1481"/>
      <c r="N767" s="1481"/>
      <c r="O767" s="1481"/>
    </row>
    <row r="768" spans="10:15" ht="12.75" customHeight="1" x14ac:dyDescent="0.25">
      <c r="J768" s="1481"/>
      <c r="K768" s="1481"/>
      <c r="L768" s="1481"/>
      <c r="M768" s="1481"/>
      <c r="N768" s="1481"/>
      <c r="O768" s="1481"/>
    </row>
    <row r="769" spans="10:15" ht="12.75" customHeight="1" x14ac:dyDescent="0.25">
      <c r="J769" s="1481"/>
      <c r="K769" s="1481"/>
      <c r="L769" s="1481"/>
      <c r="M769" s="1481"/>
      <c r="N769" s="1481"/>
      <c r="O769" s="1481"/>
    </row>
    <row r="770" spans="10:15" ht="12.75" customHeight="1" x14ac:dyDescent="0.25">
      <c r="J770" s="1481"/>
      <c r="K770" s="1481"/>
      <c r="L770" s="1481"/>
      <c r="M770" s="1481"/>
      <c r="N770" s="1481"/>
      <c r="O770" s="1481"/>
    </row>
    <row r="771" spans="10:15" ht="12.75" customHeight="1" x14ac:dyDescent="0.25">
      <c r="J771" s="1481"/>
      <c r="K771" s="1481"/>
      <c r="L771" s="1481"/>
      <c r="M771" s="1481"/>
      <c r="N771" s="1481"/>
      <c r="O771" s="1481"/>
    </row>
    <row r="772" spans="10:15" ht="12.75" customHeight="1" x14ac:dyDescent="0.25">
      <c r="J772" s="1481"/>
      <c r="K772" s="1481"/>
      <c r="L772" s="1481"/>
      <c r="M772" s="1481"/>
      <c r="N772" s="1481"/>
      <c r="O772" s="1481"/>
    </row>
    <row r="773" spans="10:15" ht="12.75" customHeight="1" x14ac:dyDescent="0.25">
      <c r="J773" s="1481"/>
      <c r="K773" s="1481"/>
      <c r="L773" s="1481"/>
      <c r="M773" s="1481"/>
      <c r="N773" s="1481"/>
      <c r="O773" s="1481"/>
    </row>
    <row r="774" spans="10:15" ht="12.75" customHeight="1" x14ac:dyDescent="0.25">
      <c r="J774" s="1481"/>
      <c r="K774" s="1481"/>
      <c r="L774" s="1481"/>
      <c r="M774" s="1481"/>
      <c r="N774" s="1481"/>
      <c r="O774" s="1481"/>
    </row>
    <row r="775" spans="10:15" ht="12.75" customHeight="1" x14ac:dyDescent="0.25">
      <c r="J775" s="1481"/>
      <c r="K775" s="1481"/>
      <c r="L775" s="1481"/>
      <c r="M775" s="1481"/>
      <c r="N775" s="1481"/>
      <c r="O775" s="1481"/>
    </row>
    <row r="776" spans="10:15" ht="12.75" customHeight="1" x14ac:dyDescent="0.25">
      <c r="J776" s="1481"/>
      <c r="K776" s="1481"/>
      <c r="L776" s="1481"/>
      <c r="M776" s="1481"/>
      <c r="N776" s="1481"/>
      <c r="O776" s="1481"/>
    </row>
    <row r="777" spans="10:15" ht="12.75" customHeight="1" x14ac:dyDescent="0.25">
      <c r="J777" s="1481"/>
      <c r="K777" s="1481"/>
      <c r="L777" s="1481"/>
      <c r="M777" s="1481"/>
      <c r="N777" s="1481"/>
      <c r="O777" s="1481"/>
    </row>
    <row r="778" spans="10:15" ht="12.75" customHeight="1" x14ac:dyDescent="0.25">
      <c r="J778" s="1481"/>
      <c r="K778" s="1481"/>
      <c r="L778" s="1481"/>
      <c r="M778" s="1481"/>
      <c r="N778" s="1481"/>
      <c r="O778" s="1481"/>
    </row>
    <row r="779" spans="10:15" ht="12.75" customHeight="1" x14ac:dyDescent="0.25">
      <c r="J779" s="1481"/>
      <c r="K779" s="1481"/>
      <c r="L779" s="1481"/>
      <c r="M779" s="1481"/>
      <c r="N779" s="1481"/>
      <c r="O779" s="1481"/>
    </row>
    <row r="780" spans="10:15" ht="12.75" customHeight="1" x14ac:dyDescent="0.25">
      <c r="J780" s="1481"/>
      <c r="K780" s="1481"/>
      <c r="L780" s="1481"/>
      <c r="M780" s="1481"/>
      <c r="N780" s="1481"/>
      <c r="O780" s="1481"/>
    </row>
    <row r="781" spans="10:15" ht="12.75" customHeight="1" x14ac:dyDescent="0.25">
      <c r="J781" s="1481"/>
      <c r="K781" s="1481"/>
      <c r="L781" s="1481"/>
      <c r="M781" s="1481"/>
      <c r="N781" s="1481"/>
      <c r="O781" s="1481"/>
    </row>
    <row r="782" spans="10:15" ht="12.75" customHeight="1" x14ac:dyDescent="0.25">
      <c r="J782" s="1481"/>
      <c r="K782" s="1481"/>
      <c r="L782" s="1481"/>
      <c r="M782" s="1481"/>
      <c r="N782" s="1481"/>
      <c r="O782" s="1481"/>
    </row>
    <row r="783" spans="10:15" ht="12.75" customHeight="1" x14ac:dyDescent="0.25">
      <c r="J783" s="1481"/>
      <c r="K783" s="1481"/>
      <c r="L783" s="1481"/>
      <c r="M783" s="1481"/>
      <c r="N783" s="1481"/>
      <c r="O783" s="1481"/>
    </row>
    <row r="784" spans="10:15" ht="12.75" customHeight="1" x14ac:dyDescent="0.25">
      <c r="J784" s="1481"/>
      <c r="K784" s="1481"/>
      <c r="L784" s="1481"/>
      <c r="M784" s="1481"/>
      <c r="N784" s="1481"/>
      <c r="O784" s="1481"/>
    </row>
    <row r="785" spans="10:15" ht="12.75" customHeight="1" x14ac:dyDescent="0.25">
      <c r="J785" s="1481"/>
      <c r="K785" s="1481"/>
      <c r="L785" s="1481"/>
      <c r="M785" s="1481"/>
      <c r="N785" s="1481"/>
      <c r="O785" s="1481"/>
    </row>
    <row r="786" spans="10:15" ht="12.75" customHeight="1" x14ac:dyDescent="0.25">
      <c r="J786" s="1481"/>
      <c r="K786" s="1481"/>
      <c r="L786" s="1481"/>
      <c r="M786" s="1481"/>
      <c r="N786" s="1481"/>
      <c r="O786" s="1481"/>
    </row>
    <row r="787" spans="10:15" ht="12.75" customHeight="1" x14ac:dyDescent="0.25">
      <c r="J787" s="1481"/>
      <c r="K787" s="1481"/>
      <c r="L787" s="1481"/>
      <c r="M787" s="1481"/>
      <c r="N787" s="1481"/>
      <c r="O787" s="1481"/>
    </row>
    <row r="788" spans="10:15" ht="12.75" customHeight="1" x14ac:dyDescent="0.25">
      <c r="J788" s="1481"/>
      <c r="K788" s="1481"/>
      <c r="L788" s="1481"/>
      <c r="M788" s="1481"/>
      <c r="N788" s="1481"/>
      <c r="O788" s="1481"/>
    </row>
    <row r="789" spans="10:15" ht="12.75" customHeight="1" x14ac:dyDescent="0.25">
      <c r="J789" s="1481"/>
      <c r="K789" s="1481"/>
      <c r="L789" s="1481"/>
      <c r="M789" s="1481"/>
      <c r="N789" s="1481"/>
      <c r="O789" s="1481"/>
    </row>
    <row r="790" spans="10:15" ht="12.75" customHeight="1" x14ac:dyDescent="0.25">
      <c r="J790" s="1481"/>
      <c r="K790" s="1481"/>
      <c r="L790" s="1481"/>
      <c r="M790" s="1481"/>
      <c r="N790" s="1481"/>
      <c r="O790" s="1481"/>
    </row>
    <row r="791" spans="10:15" ht="12.75" customHeight="1" x14ac:dyDescent="0.25">
      <c r="J791" s="1481"/>
      <c r="K791" s="1481"/>
      <c r="L791" s="1481"/>
      <c r="M791" s="1481"/>
      <c r="N791" s="1481"/>
      <c r="O791" s="1481"/>
    </row>
    <row r="792" spans="10:15" ht="12.75" customHeight="1" x14ac:dyDescent="0.25">
      <c r="J792" s="1481"/>
      <c r="K792" s="1481"/>
      <c r="L792" s="1481"/>
      <c r="M792" s="1481"/>
      <c r="N792" s="1481"/>
      <c r="O792" s="1481"/>
    </row>
    <row r="793" spans="10:15" ht="12.75" customHeight="1" x14ac:dyDescent="0.25">
      <c r="J793" s="1481"/>
      <c r="K793" s="1481"/>
      <c r="L793" s="1481"/>
      <c r="M793" s="1481"/>
      <c r="N793" s="1481"/>
      <c r="O793" s="1481"/>
    </row>
    <row r="794" spans="10:15" ht="12.75" customHeight="1" x14ac:dyDescent="0.25">
      <c r="J794" s="1481"/>
      <c r="K794" s="1481"/>
      <c r="L794" s="1481"/>
      <c r="M794" s="1481"/>
      <c r="N794" s="1481"/>
      <c r="O794" s="1481"/>
    </row>
    <row r="795" spans="10:15" ht="12.75" customHeight="1" x14ac:dyDescent="0.25">
      <c r="J795" s="1481"/>
      <c r="K795" s="1481"/>
      <c r="L795" s="1481"/>
      <c r="M795" s="1481"/>
      <c r="N795" s="1481"/>
      <c r="O795" s="1481"/>
    </row>
    <row r="796" spans="10:15" ht="12.75" customHeight="1" x14ac:dyDescent="0.25">
      <c r="J796" s="1481"/>
      <c r="K796" s="1481"/>
      <c r="L796" s="1481"/>
      <c r="M796" s="1481"/>
      <c r="N796" s="1481"/>
      <c r="O796" s="1481"/>
    </row>
    <row r="797" spans="10:15" ht="12.75" customHeight="1" x14ac:dyDescent="0.25">
      <c r="J797" s="1481"/>
      <c r="K797" s="1481"/>
      <c r="L797" s="1481"/>
      <c r="M797" s="1481"/>
      <c r="N797" s="1481"/>
      <c r="O797" s="1481"/>
    </row>
    <row r="798" spans="10:15" ht="12.75" customHeight="1" x14ac:dyDescent="0.25">
      <c r="J798" s="1481"/>
      <c r="K798" s="1481"/>
      <c r="L798" s="1481"/>
      <c r="M798" s="1481"/>
      <c r="N798" s="1481"/>
      <c r="O798" s="1481"/>
    </row>
    <row r="799" spans="10:15" ht="12.75" customHeight="1" x14ac:dyDescent="0.25">
      <c r="J799" s="1481"/>
      <c r="K799" s="1481"/>
      <c r="L799" s="1481"/>
      <c r="M799" s="1481"/>
      <c r="N799" s="1481"/>
      <c r="O799" s="1481"/>
    </row>
    <row r="800" spans="10:15" ht="12.75" customHeight="1" x14ac:dyDescent="0.25">
      <c r="J800" s="1481"/>
      <c r="K800" s="1481"/>
      <c r="L800" s="1481"/>
      <c r="M800" s="1481"/>
      <c r="N800" s="1481"/>
      <c r="O800" s="1481"/>
    </row>
    <row r="801" spans="10:15" ht="12.75" customHeight="1" x14ac:dyDescent="0.25">
      <c r="J801" s="1481"/>
      <c r="K801" s="1481"/>
      <c r="L801" s="1481"/>
      <c r="M801" s="1481"/>
      <c r="N801" s="1481"/>
      <c r="O801" s="1481"/>
    </row>
    <row r="802" spans="10:15" ht="12.75" customHeight="1" x14ac:dyDescent="0.25">
      <c r="J802" s="1481"/>
      <c r="K802" s="1481"/>
      <c r="L802" s="1481"/>
      <c r="M802" s="1481"/>
      <c r="N802" s="1481"/>
      <c r="O802" s="1481"/>
    </row>
    <row r="803" spans="10:15" ht="12.75" customHeight="1" x14ac:dyDescent="0.25">
      <c r="J803" s="1481"/>
      <c r="K803" s="1481"/>
      <c r="L803" s="1481"/>
      <c r="M803" s="1481"/>
      <c r="N803" s="1481"/>
      <c r="O803" s="1481"/>
    </row>
    <row r="804" spans="10:15" ht="12.75" customHeight="1" x14ac:dyDescent="0.25">
      <c r="J804" s="1481"/>
      <c r="K804" s="1481"/>
      <c r="L804" s="1481"/>
      <c r="M804" s="1481"/>
      <c r="N804" s="1481"/>
      <c r="O804" s="1481"/>
    </row>
    <row r="805" spans="10:15" ht="12.75" customHeight="1" x14ac:dyDescent="0.25">
      <c r="J805" s="1481"/>
      <c r="K805" s="1481"/>
      <c r="L805" s="1481"/>
      <c r="M805" s="1481"/>
      <c r="N805" s="1481"/>
      <c r="O805" s="1481"/>
    </row>
    <row r="806" spans="10:15" ht="12.75" customHeight="1" x14ac:dyDescent="0.25">
      <c r="J806" s="1481"/>
      <c r="K806" s="1481"/>
      <c r="L806" s="1481"/>
      <c r="M806" s="1481"/>
      <c r="N806" s="1481"/>
      <c r="O806" s="1481"/>
    </row>
    <row r="807" spans="10:15" ht="12.75" customHeight="1" x14ac:dyDescent="0.25">
      <c r="J807" s="1481"/>
      <c r="K807" s="1481"/>
      <c r="L807" s="1481"/>
      <c r="M807" s="1481"/>
      <c r="N807" s="1481"/>
      <c r="O807" s="1481"/>
    </row>
    <row r="808" spans="10:15" ht="12.75" customHeight="1" x14ac:dyDescent="0.25">
      <c r="J808" s="1481"/>
      <c r="K808" s="1481"/>
      <c r="L808" s="1481"/>
      <c r="M808" s="1481"/>
      <c r="N808" s="1481"/>
      <c r="O808" s="1481"/>
    </row>
    <row r="809" spans="10:15" ht="12.75" customHeight="1" x14ac:dyDescent="0.25">
      <c r="J809" s="1481"/>
      <c r="K809" s="1481"/>
      <c r="L809" s="1481"/>
      <c r="M809" s="1481"/>
      <c r="N809" s="1481"/>
      <c r="O809" s="1481"/>
    </row>
    <row r="810" spans="10:15" ht="12.75" customHeight="1" x14ac:dyDescent="0.25">
      <c r="J810" s="1481"/>
      <c r="K810" s="1481"/>
      <c r="L810" s="1481"/>
      <c r="M810" s="1481"/>
      <c r="N810" s="1481"/>
      <c r="O810" s="1481"/>
    </row>
    <row r="811" spans="10:15" ht="12.75" customHeight="1" x14ac:dyDescent="0.25">
      <c r="J811" s="1481"/>
      <c r="K811" s="1481"/>
      <c r="L811" s="1481"/>
      <c r="M811" s="1481"/>
      <c r="N811" s="1481"/>
      <c r="O811" s="1481"/>
    </row>
    <row r="812" spans="10:15" ht="12.75" customHeight="1" x14ac:dyDescent="0.25">
      <c r="J812" s="1481"/>
      <c r="K812" s="1481"/>
      <c r="L812" s="1481"/>
      <c r="M812" s="1481"/>
      <c r="N812" s="1481"/>
      <c r="O812" s="1481"/>
    </row>
    <row r="813" spans="10:15" ht="12.75" customHeight="1" x14ac:dyDescent="0.25">
      <c r="J813" s="1481"/>
      <c r="K813" s="1481"/>
      <c r="L813" s="1481"/>
      <c r="M813" s="1481"/>
      <c r="N813" s="1481"/>
      <c r="O813" s="1481"/>
    </row>
    <row r="814" spans="10:15" ht="12.75" customHeight="1" x14ac:dyDescent="0.25">
      <c r="J814" s="1481"/>
      <c r="K814" s="1481"/>
      <c r="L814" s="1481"/>
      <c r="M814" s="1481"/>
      <c r="N814" s="1481"/>
      <c r="O814" s="1481"/>
    </row>
    <row r="815" spans="10:15" ht="12.75" customHeight="1" x14ac:dyDescent="0.25">
      <c r="J815" s="1481"/>
      <c r="K815" s="1481"/>
      <c r="L815" s="1481"/>
      <c r="M815" s="1481"/>
      <c r="N815" s="1481"/>
      <c r="O815" s="1481"/>
    </row>
    <row r="816" spans="10:15" ht="12.75" customHeight="1" x14ac:dyDescent="0.25">
      <c r="J816" s="1481"/>
      <c r="K816" s="1481"/>
      <c r="L816" s="1481"/>
      <c r="M816" s="1481"/>
      <c r="N816" s="1481"/>
      <c r="O816" s="1481"/>
    </row>
    <row r="817" spans="10:15" ht="12.75" customHeight="1" x14ac:dyDescent="0.25">
      <c r="J817" s="1481"/>
      <c r="K817" s="1481"/>
      <c r="L817" s="1481"/>
      <c r="M817" s="1481"/>
      <c r="N817" s="1481"/>
      <c r="O817" s="1481"/>
    </row>
    <row r="818" spans="10:15" ht="12.75" customHeight="1" x14ac:dyDescent="0.25">
      <c r="J818" s="1481"/>
      <c r="K818" s="1481"/>
      <c r="L818" s="1481"/>
      <c r="M818" s="1481"/>
      <c r="N818" s="1481"/>
      <c r="O818" s="1481"/>
    </row>
    <row r="819" spans="10:15" ht="12.75" customHeight="1" x14ac:dyDescent="0.25">
      <c r="J819" s="1481"/>
      <c r="K819" s="1481"/>
      <c r="L819" s="1481"/>
      <c r="M819" s="1481"/>
      <c r="N819" s="1481"/>
      <c r="O819" s="1481"/>
    </row>
    <row r="820" spans="10:15" ht="12.75" customHeight="1" x14ac:dyDescent="0.25">
      <c r="J820" s="1481"/>
      <c r="K820" s="1481"/>
      <c r="L820" s="1481"/>
      <c r="M820" s="1481"/>
      <c r="N820" s="1481"/>
      <c r="O820" s="1481"/>
    </row>
    <row r="821" spans="10:15" ht="12.75" customHeight="1" x14ac:dyDescent="0.25">
      <c r="J821" s="1481"/>
      <c r="K821" s="1481"/>
      <c r="L821" s="1481"/>
      <c r="M821" s="1481"/>
      <c r="N821" s="1481"/>
      <c r="O821" s="1481"/>
    </row>
    <row r="822" spans="10:15" ht="12.75" customHeight="1" x14ac:dyDescent="0.25">
      <c r="J822" s="1481"/>
      <c r="K822" s="1481"/>
      <c r="L822" s="1481"/>
      <c r="M822" s="1481"/>
      <c r="N822" s="1481"/>
      <c r="O822" s="1481"/>
    </row>
    <row r="823" spans="10:15" ht="12.75" customHeight="1" x14ac:dyDescent="0.25">
      <c r="J823" s="1481"/>
      <c r="K823" s="1481"/>
      <c r="L823" s="1481"/>
      <c r="M823" s="1481"/>
      <c r="N823" s="1481"/>
      <c r="O823" s="1481"/>
    </row>
    <row r="824" spans="10:15" ht="12.75" customHeight="1" x14ac:dyDescent="0.25">
      <c r="J824" s="1481"/>
      <c r="K824" s="1481"/>
      <c r="L824" s="1481"/>
      <c r="M824" s="1481"/>
      <c r="N824" s="1481"/>
      <c r="O824" s="1481"/>
    </row>
    <row r="825" spans="10:15" ht="12.75" customHeight="1" x14ac:dyDescent="0.25">
      <c r="J825" s="1481"/>
      <c r="K825" s="1481"/>
      <c r="L825" s="1481"/>
      <c r="M825" s="1481"/>
      <c r="N825" s="1481"/>
      <c r="O825" s="1481"/>
    </row>
    <row r="826" spans="10:15" ht="12.75" customHeight="1" x14ac:dyDescent="0.25">
      <c r="J826" s="1481"/>
      <c r="K826" s="1481"/>
      <c r="L826" s="1481"/>
      <c r="M826" s="1481"/>
      <c r="N826" s="1481"/>
      <c r="O826" s="1481"/>
    </row>
    <row r="827" spans="10:15" ht="12.75" customHeight="1" x14ac:dyDescent="0.25">
      <c r="J827" s="1481"/>
      <c r="K827" s="1481"/>
      <c r="L827" s="1481"/>
      <c r="M827" s="1481"/>
      <c r="N827" s="1481"/>
      <c r="O827" s="1481"/>
    </row>
    <row r="828" spans="10:15" ht="12.75" customHeight="1" x14ac:dyDescent="0.25">
      <c r="J828" s="1481"/>
      <c r="K828" s="1481"/>
      <c r="L828" s="1481"/>
      <c r="M828" s="1481"/>
      <c r="N828" s="1481"/>
      <c r="O828" s="1481"/>
    </row>
    <row r="829" spans="10:15" ht="12.75" customHeight="1" x14ac:dyDescent="0.25">
      <c r="J829" s="1481"/>
      <c r="K829" s="1481"/>
      <c r="L829" s="1481"/>
      <c r="M829" s="1481"/>
      <c r="N829" s="1481"/>
      <c r="O829" s="1481"/>
    </row>
    <row r="830" spans="10:15" ht="12.75" customHeight="1" x14ac:dyDescent="0.25">
      <c r="J830" s="1481"/>
      <c r="K830" s="1481"/>
      <c r="L830" s="1481"/>
      <c r="M830" s="1481"/>
      <c r="N830" s="1481"/>
      <c r="O830" s="1481"/>
    </row>
    <row r="831" spans="10:15" ht="12.75" customHeight="1" x14ac:dyDescent="0.25">
      <c r="J831" s="1481"/>
      <c r="K831" s="1481"/>
      <c r="L831" s="1481"/>
      <c r="M831" s="1481"/>
      <c r="N831" s="1481"/>
      <c r="O831" s="1481"/>
    </row>
    <row r="832" spans="10:15" ht="12.75" customHeight="1" x14ac:dyDescent="0.25">
      <c r="J832" s="1481"/>
      <c r="K832" s="1481"/>
      <c r="L832" s="1481"/>
      <c r="M832" s="1481"/>
      <c r="N832" s="1481"/>
      <c r="O832" s="1481"/>
    </row>
    <row r="833" spans="10:15" ht="12.75" customHeight="1" x14ac:dyDescent="0.25">
      <c r="J833" s="1481"/>
      <c r="K833" s="1481"/>
      <c r="L833" s="1481"/>
      <c r="M833" s="1481"/>
      <c r="N833" s="1481"/>
      <c r="O833" s="1481"/>
    </row>
    <row r="834" spans="10:15" ht="12.75" customHeight="1" x14ac:dyDescent="0.25">
      <c r="J834" s="1481"/>
      <c r="K834" s="1481"/>
      <c r="L834" s="1481"/>
      <c r="M834" s="1481"/>
      <c r="N834" s="1481"/>
      <c r="O834" s="1481"/>
    </row>
    <row r="835" spans="10:15" ht="12.75" customHeight="1" x14ac:dyDescent="0.25">
      <c r="J835" s="1481"/>
      <c r="K835" s="1481"/>
      <c r="L835" s="1481"/>
      <c r="M835" s="1481"/>
      <c r="N835" s="1481"/>
      <c r="O835" s="1481"/>
    </row>
    <row r="836" spans="10:15" ht="12.75" customHeight="1" x14ac:dyDescent="0.25">
      <c r="J836" s="1481"/>
      <c r="K836" s="1481"/>
      <c r="L836" s="1481"/>
      <c r="M836" s="1481"/>
      <c r="N836" s="1481"/>
      <c r="O836" s="1481"/>
    </row>
    <row r="837" spans="10:15" ht="12.75" customHeight="1" x14ac:dyDescent="0.25">
      <c r="J837" s="1481"/>
      <c r="K837" s="1481"/>
      <c r="L837" s="1481"/>
      <c r="M837" s="1481"/>
      <c r="N837" s="1481"/>
      <c r="O837" s="1481"/>
    </row>
    <row r="838" spans="10:15" ht="12.75" customHeight="1" x14ac:dyDescent="0.25">
      <c r="J838" s="1481"/>
      <c r="K838" s="1481"/>
      <c r="L838" s="1481"/>
      <c r="M838" s="1481"/>
      <c r="N838" s="1481"/>
      <c r="O838" s="1481"/>
    </row>
    <row r="839" spans="10:15" ht="12.75" customHeight="1" x14ac:dyDescent="0.25">
      <c r="J839" s="1481"/>
      <c r="K839" s="1481"/>
      <c r="L839" s="1481"/>
      <c r="M839" s="1481"/>
      <c r="N839" s="1481"/>
      <c r="O839" s="1481"/>
    </row>
    <row r="840" spans="10:15" ht="12.75" customHeight="1" x14ac:dyDescent="0.25">
      <c r="J840" s="1481"/>
      <c r="K840" s="1481"/>
      <c r="L840" s="1481"/>
      <c r="M840" s="1481"/>
      <c r="N840" s="1481"/>
      <c r="O840" s="1481"/>
    </row>
    <row r="841" spans="10:15" ht="12.75" customHeight="1" x14ac:dyDescent="0.25">
      <c r="J841" s="1481"/>
      <c r="K841" s="1481"/>
      <c r="L841" s="1481"/>
      <c r="M841" s="1481"/>
      <c r="N841" s="1481"/>
      <c r="O841" s="1481"/>
    </row>
    <row r="842" spans="10:15" ht="12.75" customHeight="1" x14ac:dyDescent="0.25">
      <c r="J842" s="1481"/>
      <c r="K842" s="1481"/>
      <c r="L842" s="1481"/>
      <c r="M842" s="1481"/>
      <c r="N842" s="1481"/>
      <c r="O842" s="1481"/>
    </row>
    <row r="843" spans="10:15" ht="12.75" customHeight="1" x14ac:dyDescent="0.25">
      <c r="J843" s="1481"/>
      <c r="K843" s="1481"/>
      <c r="L843" s="1481"/>
      <c r="M843" s="1481"/>
      <c r="N843" s="1481"/>
      <c r="O843" s="1481"/>
    </row>
    <row r="844" spans="10:15" ht="12.75" customHeight="1" x14ac:dyDescent="0.25">
      <c r="J844" s="1481"/>
      <c r="K844" s="1481"/>
      <c r="L844" s="1481"/>
      <c r="M844" s="1481"/>
      <c r="N844" s="1481"/>
      <c r="O844" s="1481"/>
    </row>
    <row r="845" spans="10:15" ht="12.75" customHeight="1" x14ac:dyDescent="0.25">
      <c r="J845" s="1481"/>
      <c r="K845" s="1481"/>
      <c r="L845" s="1481"/>
      <c r="M845" s="1481"/>
      <c r="N845" s="1481"/>
      <c r="O845" s="1481"/>
    </row>
    <row r="846" spans="10:15" ht="12.75" customHeight="1" x14ac:dyDescent="0.25">
      <c r="J846" s="1481"/>
      <c r="K846" s="1481"/>
      <c r="L846" s="1481"/>
      <c r="M846" s="1481"/>
      <c r="N846" s="1481"/>
      <c r="O846" s="1481"/>
    </row>
    <row r="847" spans="10:15" ht="12.75" customHeight="1" x14ac:dyDescent="0.25">
      <c r="J847" s="1481"/>
      <c r="K847" s="1481"/>
      <c r="L847" s="1481"/>
      <c r="M847" s="1481"/>
      <c r="N847" s="1481"/>
      <c r="O847" s="1481"/>
    </row>
    <row r="848" spans="10:15" ht="12.75" customHeight="1" x14ac:dyDescent="0.25">
      <c r="J848" s="1481"/>
      <c r="K848" s="1481"/>
      <c r="L848" s="1481"/>
      <c r="M848" s="1481"/>
      <c r="N848" s="1481"/>
      <c r="O848" s="1481"/>
    </row>
    <row r="849" spans="10:15" ht="12.75" customHeight="1" x14ac:dyDescent="0.25">
      <c r="J849" s="1481"/>
      <c r="K849" s="1481"/>
      <c r="L849" s="1481"/>
      <c r="M849" s="1481"/>
      <c r="N849" s="1481"/>
      <c r="O849" s="1481"/>
    </row>
    <row r="850" spans="10:15" ht="12.75" customHeight="1" x14ac:dyDescent="0.25">
      <c r="J850" s="1481"/>
      <c r="K850" s="1481"/>
      <c r="L850" s="1481"/>
      <c r="M850" s="1481"/>
      <c r="N850" s="1481"/>
      <c r="O850" s="1481"/>
    </row>
    <row r="851" spans="10:15" ht="12.75" customHeight="1" x14ac:dyDescent="0.25">
      <c r="J851" s="1481"/>
      <c r="K851" s="1481"/>
      <c r="L851" s="1481"/>
      <c r="M851" s="1481"/>
      <c r="N851" s="1481"/>
      <c r="O851" s="1481"/>
    </row>
    <row r="852" spans="10:15" ht="12.75" customHeight="1" x14ac:dyDescent="0.25">
      <c r="J852" s="1481"/>
      <c r="K852" s="1481"/>
      <c r="L852" s="1481"/>
      <c r="M852" s="1481"/>
      <c r="N852" s="1481"/>
      <c r="O852" s="1481"/>
    </row>
    <row r="853" spans="10:15" ht="12.75" customHeight="1" x14ac:dyDescent="0.25">
      <c r="J853" s="1481"/>
      <c r="K853" s="1481"/>
      <c r="L853" s="1481"/>
      <c r="M853" s="1481"/>
      <c r="N853" s="1481"/>
      <c r="O853" s="1481"/>
    </row>
    <row r="854" spans="10:15" ht="12.75" customHeight="1" x14ac:dyDescent="0.25">
      <c r="J854" s="1481"/>
      <c r="K854" s="1481"/>
      <c r="L854" s="1481"/>
      <c r="M854" s="1481"/>
      <c r="N854" s="1481"/>
      <c r="O854" s="1481"/>
    </row>
    <row r="855" spans="10:15" ht="12.75" customHeight="1" x14ac:dyDescent="0.25">
      <c r="J855" s="1481"/>
      <c r="K855" s="1481"/>
      <c r="L855" s="1481"/>
      <c r="M855" s="1481"/>
      <c r="N855" s="1481"/>
      <c r="O855" s="1481"/>
    </row>
    <row r="856" spans="10:15" ht="12.75" customHeight="1" x14ac:dyDescent="0.25">
      <c r="J856" s="1481"/>
      <c r="K856" s="1481"/>
      <c r="L856" s="1481"/>
      <c r="M856" s="1481"/>
      <c r="N856" s="1481"/>
      <c r="O856" s="1481"/>
    </row>
    <row r="857" spans="10:15" ht="12.75" customHeight="1" x14ac:dyDescent="0.25">
      <c r="J857" s="1481"/>
      <c r="K857" s="1481"/>
      <c r="L857" s="1481"/>
      <c r="M857" s="1481"/>
      <c r="N857" s="1481"/>
      <c r="O857" s="1481"/>
    </row>
    <row r="858" spans="10:15" ht="12.75" customHeight="1" x14ac:dyDescent="0.25">
      <c r="J858" s="1481"/>
      <c r="K858" s="1481"/>
      <c r="L858" s="1481"/>
      <c r="M858" s="1481"/>
      <c r="N858" s="1481"/>
      <c r="O858" s="1481"/>
    </row>
    <row r="859" spans="10:15" ht="12.75" customHeight="1" x14ac:dyDescent="0.25">
      <c r="J859" s="1481"/>
      <c r="K859" s="1481"/>
      <c r="L859" s="1481"/>
      <c r="M859" s="1481"/>
      <c r="N859" s="1481"/>
      <c r="O859" s="1481"/>
    </row>
    <row r="860" spans="10:15" ht="12.75" customHeight="1" x14ac:dyDescent="0.25">
      <c r="J860" s="1481"/>
      <c r="K860" s="1481"/>
      <c r="L860" s="1481"/>
      <c r="M860" s="1481"/>
      <c r="N860" s="1481"/>
      <c r="O860" s="1481"/>
    </row>
    <row r="861" spans="10:15" ht="12.75" customHeight="1" x14ac:dyDescent="0.25">
      <c r="J861" s="1481"/>
      <c r="K861" s="1481"/>
      <c r="L861" s="1481"/>
      <c r="M861" s="1481"/>
      <c r="N861" s="1481"/>
      <c r="O861" s="1481"/>
    </row>
    <row r="862" spans="10:15" ht="12.75" customHeight="1" x14ac:dyDescent="0.25">
      <c r="J862" s="1481"/>
      <c r="K862" s="1481"/>
      <c r="L862" s="1481"/>
      <c r="M862" s="1481"/>
      <c r="N862" s="1481"/>
      <c r="O862" s="1481"/>
    </row>
    <row r="863" spans="10:15" ht="12.75" customHeight="1" x14ac:dyDescent="0.25">
      <c r="J863" s="1481"/>
      <c r="K863" s="1481"/>
      <c r="L863" s="1481"/>
      <c r="M863" s="1481"/>
      <c r="N863" s="1481"/>
      <c r="O863" s="1481"/>
    </row>
    <row r="864" spans="10:15" ht="12.75" customHeight="1" x14ac:dyDescent="0.25">
      <c r="J864" s="1481"/>
      <c r="K864" s="1481"/>
      <c r="L864" s="1481"/>
      <c r="M864" s="1481"/>
      <c r="N864" s="1481"/>
      <c r="O864" s="1481"/>
    </row>
    <row r="865" spans="10:15" ht="12.75" customHeight="1" x14ac:dyDescent="0.25">
      <c r="J865" s="1481"/>
      <c r="K865" s="1481"/>
      <c r="L865" s="1481"/>
      <c r="M865" s="1481"/>
      <c r="N865" s="1481"/>
      <c r="O865" s="1481"/>
    </row>
    <row r="866" spans="10:15" ht="12.75" customHeight="1" x14ac:dyDescent="0.25">
      <c r="J866" s="1481"/>
      <c r="K866" s="1481"/>
      <c r="L866" s="1481"/>
      <c r="M866" s="1481"/>
      <c r="N866" s="1481"/>
      <c r="O866" s="1481"/>
    </row>
    <row r="867" spans="10:15" ht="12.75" customHeight="1" x14ac:dyDescent="0.25">
      <c r="J867" s="1481"/>
      <c r="K867" s="1481"/>
      <c r="L867" s="1481"/>
      <c r="M867" s="1481"/>
      <c r="N867" s="1481"/>
      <c r="O867" s="1481"/>
    </row>
    <row r="868" spans="10:15" ht="12.75" customHeight="1" x14ac:dyDescent="0.25">
      <c r="J868" s="1481"/>
      <c r="K868" s="1481"/>
      <c r="L868" s="1481"/>
      <c r="M868" s="1481"/>
      <c r="N868" s="1481"/>
      <c r="O868" s="1481"/>
    </row>
    <row r="869" spans="10:15" ht="12.75" customHeight="1" x14ac:dyDescent="0.25">
      <c r="J869" s="1481"/>
      <c r="K869" s="1481"/>
      <c r="L869" s="1481"/>
      <c r="M869" s="1481"/>
      <c r="N869" s="1481"/>
      <c r="O869" s="1481"/>
    </row>
    <row r="870" spans="10:15" ht="12.75" customHeight="1" x14ac:dyDescent="0.25">
      <c r="J870" s="1481"/>
      <c r="K870" s="1481"/>
      <c r="L870" s="1481"/>
      <c r="M870" s="1481"/>
      <c r="N870" s="1481"/>
      <c r="O870" s="1481"/>
    </row>
    <row r="871" spans="10:15" ht="12.75" customHeight="1" x14ac:dyDescent="0.25">
      <c r="J871" s="1481"/>
      <c r="K871" s="1481"/>
      <c r="L871" s="1481"/>
      <c r="M871" s="1481"/>
      <c r="N871" s="1481"/>
      <c r="O871" s="1481"/>
    </row>
    <row r="872" spans="10:15" ht="12.75" customHeight="1" x14ac:dyDescent="0.25">
      <c r="J872" s="1481"/>
      <c r="K872" s="1481"/>
      <c r="L872" s="1481"/>
      <c r="M872" s="1481"/>
      <c r="N872" s="1481"/>
      <c r="O872" s="1481"/>
    </row>
    <row r="873" spans="10:15" ht="12.75" customHeight="1" x14ac:dyDescent="0.25">
      <c r="J873" s="1481"/>
      <c r="K873" s="1481"/>
      <c r="L873" s="1481"/>
      <c r="M873" s="1481"/>
      <c r="N873" s="1481"/>
      <c r="O873" s="1481"/>
    </row>
    <row r="874" spans="10:15" ht="12.75" customHeight="1" x14ac:dyDescent="0.25">
      <c r="J874" s="1481"/>
      <c r="K874" s="1481"/>
      <c r="L874" s="1481"/>
      <c r="M874" s="1481"/>
      <c r="N874" s="1481"/>
      <c r="O874" s="1481"/>
    </row>
    <row r="875" spans="10:15" ht="12.75" customHeight="1" x14ac:dyDescent="0.25">
      <c r="J875" s="1481"/>
      <c r="K875" s="1481"/>
      <c r="L875" s="1481"/>
      <c r="M875" s="1481"/>
      <c r="N875" s="1481"/>
      <c r="O875" s="1481"/>
    </row>
    <row r="876" spans="10:15" ht="12.75" customHeight="1" x14ac:dyDescent="0.25">
      <c r="J876" s="1481"/>
      <c r="K876" s="1481"/>
      <c r="L876" s="1481"/>
      <c r="M876" s="1481"/>
      <c r="N876" s="1481"/>
      <c r="O876" s="1481"/>
    </row>
    <row r="877" spans="10:15" ht="12.75" customHeight="1" x14ac:dyDescent="0.25">
      <c r="J877" s="1481"/>
      <c r="K877" s="1481"/>
      <c r="L877" s="1481"/>
      <c r="M877" s="1481"/>
      <c r="N877" s="1481"/>
      <c r="O877" s="1481"/>
    </row>
    <row r="878" spans="10:15" ht="12.75" customHeight="1" x14ac:dyDescent="0.25">
      <c r="J878" s="1481"/>
      <c r="K878" s="1481"/>
      <c r="L878" s="1481"/>
      <c r="M878" s="1481"/>
      <c r="N878" s="1481"/>
      <c r="O878" s="1481"/>
    </row>
    <row r="879" spans="10:15" ht="12.75" customHeight="1" x14ac:dyDescent="0.25">
      <c r="J879" s="1481"/>
      <c r="K879" s="1481"/>
      <c r="L879" s="1481"/>
      <c r="M879" s="1481"/>
      <c r="N879" s="1481"/>
      <c r="O879" s="1481"/>
    </row>
    <row r="880" spans="10:15" ht="12.75" customHeight="1" x14ac:dyDescent="0.25">
      <c r="J880" s="1481"/>
      <c r="K880" s="1481"/>
      <c r="L880" s="1481"/>
      <c r="M880" s="1481"/>
      <c r="N880" s="1481"/>
      <c r="O880" s="1481"/>
    </row>
    <row r="881" spans="10:15" ht="12.75" customHeight="1" x14ac:dyDescent="0.25">
      <c r="J881" s="1481"/>
      <c r="K881" s="1481"/>
      <c r="L881" s="1481"/>
      <c r="M881" s="1481"/>
      <c r="N881" s="1481"/>
      <c r="O881" s="1481"/>
    </row>
    <row r="882" spans="10:15" ht="12.75" customHeight="1" x14ac:dyDescent="0.25">
      <c r="J882" s="1481"/>
      <c r="K882" s="1481"/>
      <c r="L882" s="1481"/>
      <c r="M882" s="1481"/>
      <c r="N882" s="1481"/>
      <c r="O882" s="1481"/>
    </row>
    <row r="883" spans="10:15" ht="12.75" customHeight="1" x14ac:dyDescent="0.25">
      <c r="J883" s="1481"/>
      <c r="K883" s="1481"/>
      <c r="L883" s="1481"/>
      <c r="M883" s="1481"/>
      <c r="N883" s="1481"/>
      <c r="O883" s="1481"/>
    </row>
    <row r="884" spans="10:15" ht="12.75" customHeight="1" x14ac:dyDescent="0.25">
      <c r="J884" s="1481"/>
      <c r="K884" s="1481"/>
      <c r="L884" s="1481"/>
      <c r="M884" s="1481"/>
      <c r="N884" s="1481"/>
      <c r="O884" s="1481"/>
    </row>
    <row r="885" spans="10:15" ht="12.75" customHeight="1" x14ac:dyDescent="0.25">
      <c r="J885" s="1481"/>
      <c r="K885" s="1481"/>
      <c r="L885" s="1481"/>
      <c r="M885" s="1481"/>
      <c r="N885" s="1481"/>
      <c r="O885" s="1481"/>
    </row>
    <row r="886" spans="10:15" ht="12.75" customHeight="1" x14ac:dyDescent="0.25">
      <c r="J886" s="1481"/>
      <c r="K886" s="1481"/>
      <c r="L886" s="1481"/>
      <c r="M886" s="1481"/>
      <c r="N886" s="1481"/>
      <c r="O886" s="1481"/>
    </row>
    <row r="887" spans="10:15" ht="12.75" customHeight="1" x14ac:dyDescent="0.25">
      <c r="J887" s="1481"/>
      <c r="K887" s="1481"/>
      <c r="L887" s="1481"/>
      <c r="M887" s="1481"/>
      <c r="N887" s="1481"/>
      <c r="O887" s="1481"/>
    </row>
    <row r="888" spans="10:15" ht="12.75" customHeight="1" x14ac:dyDescent="0.25">
      <c r="J888" s="1481"/>
      <c r="K888" s="1481"/>
      <c r="L888" s="1481"/>
      <c r="M888" s="1481"/>
      <c r="N888" s="1481"/>
      <c r="O888" s="1481"/>
    </row>
    <row r="889" spans="10:15" ht="12.75" customHeight="1" x14ac:dyDescent="0.25">
      <c r="J889" s="1481"/>
      <c r="K889" s="1481"/>
      <c r="L889" s="1481"/>
      <c r="M889" s="1481"/>
      <c r="N889" s="1481"/>
      <c r="O889" s="1481"/>
    </row>
    <row r="890" spans="10:15" ht="12.75" customHeight="1" x14ac:dyDescent="0.25">
      <c r="J890" s="1481"/>
      <c r="K890" s="1481"/>
      <c r="L890" s="1481"/>
      <c r="M890" s="1481"/>
      <c r="N890" s="1481"/>
      <c r="O890" s="1481"/>
    </row>
    <row r="891" spans="10:15" ht="12.75" customHeight="1" x14ac:dyDescent="0.25">
      <c r="J891" s="1481"/>
      <c r="K891" s="1481"/>
      <c r="L891" s="1481"/>
      <c r="M891" s="1481"/>
      <c r="N891" s="1481"/>
      <c r="O891" s="1481"/>
    </row>
    <row r="892" spans="10:15" ht="12.75" customHeight="1" x14ac:dyDescent="0.25">
      <c r="J892" s="1481"/>
      <c r="K892" s="1481"/>
      <c r="L892" s="1481"/>
      <c r="M892" s="1481"/>
      <c r="N892" s="1481"/>
      <c r="O892" s="1481"/>
    </row>
    <row r="893" spans="10:15" ht="12.75" customHeight="1" x14ac:dyDescent="0.25">
      <c r="J893" s="1481"/>
      <c r="K893" s="1481"/>
      <c r="L893" s="1481"/>
      <c r="M893" s="1481"/>
      <c r="N893" s="1481"/>
      <c r="O893" s="1481"/>
    </row>
    <row r="894" spans="10:15" ht="12.75" customHeight="1" x14ac:dyDescent="0.25">
      <c r="J894" s="1481"/>
      <c r="K894" s="1481"/>
      <c r="L894" s="1481"/>
      <c r="M894" s="1481"/>
      <c r="N894" s="1481"/>
      <c r="O894" s="1481"/>
    </row>
    <row r="895" spans="10:15" ht="12.75" customHeight="1" x14ac:dyDescent="0.25">
      <c r="J895" s="1481"/>
      <c r="K895" s="1481"/>
      <c r="L895" s="1481"/>
      <c r="M895" s="1481"/>
      <c r="N895" s="1481"/>
      <c r="O895" s="1481"/>
    </row>
    <row r="896" spans="10:15" ht="12.75" customHeight="1" x14ac:dyDescent="0.25">
      <c r="J896" s="1481"/>
      <c r="K896" s="1481"/>
      <c r="L896" s="1481"/>
      <c r="M896" s="1481"/>
      <c r="N896" s="1481"/>
      <c r="O896" s="1481"/>
    </row>
    <row r="897" spans="10:15" ht="12.75" customHeight="1" x14ac:dyDescent="0.25">
      <c r="J897" s="1481"/>
      <c r="K897" s="1481"/>
      <c r="L897" s="1481"/>
      <c r="M897" s="1481"/>
      <c r="N897" s="1481"/>
      <c r="O897" s="1481"/>
    </row>
    <row r="898" spans="10:15" ht="12.75" customHeight="1" x14ac:dyDescent="0.25">
      <c r="J898" s="1481"/>
      <c r="K898" s="1481"/>
      <c r="L898" s="1481"/>
      <c r="M898" s="1481"/>
      <c r="N898" s="1481"/>
      <c r="O898" s="1481"/>
    </row>
    <row r="899" spans="10:15" ht="12.75" customHeight="1" x14ac:dyDescent="0.25">
      <c r="J899" s="1481"/>
      <c r="K899" s="1481"/>
      <c r="L899" s="1481"/>
      <c r="M899" s="1481"/>
      <c r="N899" s="1481"/>
      <c r="O899" s="1481"/>
    </row>
    <row r="900" spans="10:15" ht="12.75" customHeight="1" x14ac:dyDescent="0.25">
      <c r="J900" s="1481"/>
      <c r="K900" s="1481"/>
      <c r="L900" s="1481"/>
      <c r="M900" s="1481"/>
      <c r="N900" s="1481"/>
      <c r="O900" s="1481"/>
    </row>
    <row r="901" spans="10:15" ht="12.75" customHeight="1" x14ac:dyDescent="0.25">
      <c r="J901" s="1481"/>
      <c r="K901" s="1481"/>
      <c r="L901" s="1481"/>
      <c r="M901" s="1481"/>
      <c r="N901" s="1481"/>
      <c r="O901" s="1481"/>
    </row>
    <row r="902" spans="10:15" ht="12.75" customHeight="1" x14ac:dyDescent="0.25">
      <c r="J902" s="1481"/>
      <c r="K902" s="1481"/>
      <c r="L902" s="1481"/>
      <c r="M902" s="1481"/>
      <c r="N902" s="1481"/>
      <c r="O902" s="1481"/>
    </row>
    <row r="903" spans="10:15" ht="12.75" customHeight="1" x14ac:dyDescent="0.25">
      <c r="J903" s="1481"/>
      <c r="K903" s="1481"/>
      <c r="L903" s="1481"/>
      <c r="M903" s="1481"/>
      <c r="N903" s="1481"/>
      <c r="O903" s="1481"/>
    </row>
    <row r="904" spans="10:15" ht="12.75" customHeight="1" x14ac:dyDescent="0.25">
      <c r="J904" s="1481"/>
      <c r="K904" s="1481"/>
      <c r="L904" s="1481"/>
      <c r="M904" s="1481"/>
      <c r="N904" s="1481"/>
      <c r="O904" s="1481"/>
    </row>
    <row r="905" spans="10:15" ht="12.75" customHeight="1" x14ac:dyDescent="0.25">
      <c r="J905" s="1481"/>
      <c r="K905" s="1481"/>
      <c r="L905" s="1481"/>
      <c r="M905" s="1481"/>
      <c r="N905" s="1481"/>
      <c r="O905" s="1481"/>
    </row>
    <row r="906" spans="10:15" ht="12.75" customHeight="1" x14ac:dyDescent="0.25">
      <c r="J906" s="1481"/>
      <c r="K906" s="1481"/>
      <c r="L906" s="1481"/>
      <c r="M906" s="1481"/>
      <c r="N906" s="1481"/>
      <c r="O906" s="1481"/>
    </row>
    <row r="907" spans="10:15" ht="12.75" customHeight="1" x14ac:dyDescent="0.25">
      <c r="J907" s="1481"/>
      <c r="K907" s="1481"/>
      <c r="L907" s="1481"/>
      <c r="M907" s="1481"/>
      <c r="N907" s="1481"/>
      <c r="O907" s="1481"/>
    </row>
    <row r="908" spans="10:15" ht="12.75" customHeight="1" x14ac:dyDescent="0.25">
      <c r="J908" s="1481"/>
      <c r="K908" s="1481"/>
      <c r="L908" s="1481"/>
      <c r="M908" s="1481"/>
      <c r="N908" s="1481"/>
      <c r="O908" s="1481"/>
    </row>
    <row r="909" spans="10:15" ht="12.75" customHeight="1" x14ac:dyDescent="0.25">
      <c r="J909" s="1481"/>
      <c r="K909" s="1481"/>
      <c r="L909" s="1481"/>
      <c r="M909" s="1481"/>
      <c r="N909" s="1481"/>
      <c r="O909" s="1481"/>
    </row>
    <row r="910" spans="10:15" ht="12.75" customHeight="1" x14ac:dyDescent="0.25">
      <c r="J910" s="1481"/>
      <c r="K910" s="1481"/>
      <c r="L910" s="1481"/>
      <c r="M910" s="1481"/>
      <c r="N910" s="1481"/>
      <c r="O910" s="1481"/>
    </row>
    <row r="911" spans="10:15" ht="12.75" customHeight="1" x14ac:dyDescent="0.25">
      <c r="J911" s="1481"/>
      <c r="K911" s="1481"/>
      <c r="L911" s="1481"/>
      <c r="M911" s="1481"/>
      <c r="N911" s="1481"/>
      <c r="O911" s="1481"/>
    </row>
    <row r="912" spans="10:15" ht="12.75" customHeight="1" x14ac:dyDescent="0.25">
      <c r="J912" s="1481"/>
      <c r="K912" s="1481"/>
      <c r="L912" s="1481"/>
      <c r="M912" s="1481"/>
      <c r="N912" s="1481"/>
      <c r="O912" s="1481"/>
    </row>
    <row r="913" spans="10:15" ht="12.75" customHeight="1" x14ac:dyDescent="0.25">
      <c r="J913" s="1481"/>
      <c r="K913" s="1481"/>
      <c r="L913" s="1481"/>
      <c r="M913" s="1481"/>
      <c r="N913" s="1481"/>
      <c r="O913" s="1481"/>
    </row>
    <row r="914" spans="10:15" ht="12.75" customHeight="1" x14ac:dyDescent="0.25">
      <c r="J914" s="1481"/>
      <c r="K914" s="1481"/>
      <c r="L914" s="1481"/>
      <c r="M914" s="1481"/>
      <c r="N914" s="1481"/>
      <c r="O914" s="1481"/>
    </row>
    <row r="915" spans="10:15" ht="12.75" customHeight="1" x14ac:dyDescent="0.25">
      <c r="J915" s="1481"/>
      <c r="K915" s="1481"/>
      <c r="L915" s="1481"/>
      <c r="M915" s="1481"/>
      <c r="N915" s="1481"/>
      <c r="O915" s="1481"/>
    </row>
    <row r="916" spans="10:15" ht="12.75" customHeight="1" x14ac:dyDescent="0.25">
      <c r="J916" s="1481"/>
      <c r="K916" s="1481"/>
      <c r="L916" s="1481"/>
      <c r="M916" s="1481"/>
      <c r="N916" s="1481"/>
      <c r="O916" s="1481"/>
    </row>
    <row r="917" spans="10:15" ht="12.75" customHeight="1" x14ac:dyDescent="0.25">
      <c r="J917" s="1481"/>
      <c r="K917" s="1481"/>
      <c r="L917" s="1481"/>
      <c r="M917" s="1481"/>
      <c r="N917" s="1481"/>
      <c r="O917" s="1481"/>
    </row>
    <row r="918" spans="10:15" ht="12.75" customHeight="1" x14ac:dyDescent="0.25">
      <c r="J918" s="1481"/>
      <c r="K918" s="1481"/>
      <c r="L918" s="1481"/>
      <c r="M918" s="1481"/>
      <c r="N918" s="1481"/>
      <c r="O918" s="1481"/>
    </row>
    <row r="919" spans="10:15" ht="12.75" customHeight="1" x14ac:dyDescent="0.25">
      <c r="J919" s="1481"/>
      <c r="K919" s="1481"/>
      <c r="L919" s="1481"/>
      <c r="M919" s="1481"/>
      <c r="N919" s="1481"/>
      <c r="O919" s="1481"/>
    </row>
    <row r="920" spans="10:15" ht="12.75" customHeight="1" x14ac:dyDescent="0.25">
      <c r="J920" s="1481"/>
      <c r="K920" s="1481"/>
      <c r="L920" s="1481"/>
      <c r="M920" s="1481"/>
      <c r="N920" s="1481"/>
      <c r="O920" s="1481"/>
    </row>
    <row r="921" spans="10:15" ht="12.75" customHeight="1" x14ac:dyDescent="0.25">
      <c r="J921" s="1481"/>
      <c r="K921" s="1481"/>
      <c r="L921" s="1481"/>
      <c r="M921" s="1481"/>
      <c r="N921" s="1481"/>
      <c r="O921" s="1481"/>
    </row>
    <row r="922" spans="10:15" ht="12.75" customHeight="1" x14ac:dyDescent="0.25">
      <c r="J922" s="1481"/>
      <c r="K922" s="1481"/>
      <c r="L922" s="1481"/>
      <c r="M922" s="1481"/>
      <c r="N922" s="1481"/>
      <c r="O922" s="1481"/>
    </row>
    <row r="923" spans="10:15" ht="12.75" customHeight="1" x14ac:dyDescent="0.25">
      <c r="J923" s="1481"/>
      <c r="K923" s="1481"/>
      <c r="L923" s="1481"/>
      <c r="M923" s="1481"/>
      <c r="N923" s="1481"/>
      <c r="O923" s="1481"/>
    </row>
    <row r="924" spans="10:15" ht="12.75" customHeight="1" x14ac:dyDescent="0.25">
      <c r="J924" s="1481"/>
      <c r="K924" s="1481"/>
      <c r="L924" s="1481"/>
      <c r="M924" s="1481"/>
      <c r="N924" s="1481"/>
      <c r="O924" s="1481"/>
    </row>
    <row r="925" spans="10:15" ht="12.75" customHeight="1" x14ac:dyDescent="0.25">
      <c r="J925" s="1481"/>
      <c r="K925" s="1481"/>
      <c r="L925" s="1481"/>
      <c r="M925" s="1481"/>
      <c r="N925" s="1481"/>
      <c r="O925" s="1481"/>
    </row>
    <row r="926" spans="10:15" ht="12.75" customHeight="1" x14ac:dyDescent="0.25">
      <c r="J926" s="1481"/>
      <c r="K926" s="1481"/>
      <c r="L926" s="1481"/>
      <c r="M926" s="1481"/>
      <c r="N926" s="1481"/>
      <c r="O926" s="1481"/>
    </row>
    <row r="927" spans="10:15" ht="12.75" customHeight="1" x14ac:dyDescent="0.25">
      <c r="J927" s="1481"/>
      <c r="K927" s="1481"/>
      <c r="L927" s="1481"/>
      <c r="M927" s="1481"/>
      <c r="N927" s="1481"/>
      <c r="O927" s="1481"/>
    </row>
    <row r="928" spans="10:15" ht="12.75" customHeight="1" x14ac:dyDescent="0.25">
      <c r="J928" s="1481"/>
      <c r="K928" s="1481"/>
      <c r="L928" s="1481"/>
      <c r="M928" s="1481"/>
      <c r="N928" s="1481"/>
      <c r="O928" s="1481"/>
    </row>
    <row r="929" spans="10:15" ht="12.75" customHeight="1" x14ac:dyDescent="0.25">
      <c r="J929" s="1481"/>
      <c r="K929" s="1481"/>
      <c r="L929" s="1481"/>
      <c r="M929" s="1481"/>
      <c r="N929" s="1481"/>
      <c r="O929" s="1481"/>
    </row>
    <row r="930" spans="10:15" ht="12.75" customHeight="1" x14ac:dyDescent="0.25">
      <c r="J930" s="1481"/>
      <c r="K930" s="1481"/>
      <c r="L930" s="1481"/>
      <c r="M930" s="1481"/>
      <c r="N930" s="1481"/>
      <c r="O930" s="1481"/>
    </row>
    <row r="931" spans="10:15" ht="12.75" customHeight="1" x14ac:dyDescent="0.25">
      <c r="J931" s="1481"/>
      <c r="K931" s="1481"/>
      <c r="L931" s="1481"/>
      <c r="M931" s="1481"/>
      <c r="N931" s="1481"/>
      <c r="O931" s="1481"/>
    </row>
    <row r="932" spans="10:15" ht="12.75" customHeight="1" x14ac:dyDescent="0.25">
      <c r="J932" s="1481"/>
      <c r="K932" s="1481"/>
      <c r="L932" s="1481"/>
      <c r="M932" s="1481"/>
      <c r="N932" s="1481"/>
      <c r="O932" s="1481"/>
    </row>
    <row r="933" spans="10:15" ht="12.75" customHeight="1" x14ac:dyDescent="0.25">
      <c r="J933" s="1481"/>
      <c r="K933" s="1481"/>
      <c r="L933" s="1481"/>
      <c r="M933" s="1481"/>
      <c r="N933" s="1481"/>
      <c r="O933" s="1481"/>
    </row>
    <row r="934" spans="10:15" ht="12.75" customHeight="1" x14ac:dyDescent="0.25">
      <c r="J934" s="1481"/>
      <c r="K934" s="1481"/>
      <c r="L934" s="1481"/>
      <c r="M934" s="1481"/>
      <c r="N934" s="1481"/>
      <c r="O934" s="1481"/>
    </row>
    <row r="935" spans="10:15" ht="12.75" customHeight="1" x14ac:dyDescent="0.25">
      <c r="J935" s="1481"/>
      <c r="K935" s="1481"/>
      <c r="L935" s="1481"/>
      <c r="M935" s="1481"/>
      <c r="N935" s="1481"/>
      <c r="O935" s="1481"/>
    </row>
    <row r="936" spans="10:15" ht="12.75" customHeight="1" x14ac:dyDescent="0.25">
      <c r="J936" s="1481"/>
      <c r="K936" s="1481"/>
      <c r="L936" s="1481"/>
      <c r="M936" s="1481"/>
      <c r="N936" s="1481"/>
      <c r="O936" s="1481"/>
    </row>
    <row r="937" spans="10:15" ht="12.75" customHeight="1" x14ac:dyDescent="0.25">
      <c r="J937" s="1481"/>
      <c r="K937" s="1481"/>
      <c r="L937" s="1481"/>
      <c r="M937" s="1481"/>
      <c r="N937" s="1481"/>
      <c r="O937" s="1481"/>
    </row>
    <row r="938" spans="10:15" ht="12.75" customHeight="1" x14ac:dyDescent="0.25">
      <c r="J938" s="1481"/>
      <c r="K938" s="1481"/>
      <c r="L938" s="1481"/>
      <c r="M938" s="1481"/>
      <c r="N938" s="1481"/>
      <c r="O938" s="1481"/>
    </row>
    <row r="939" spans="10:15" ht="12.75" customHeight="1" x14ac:dyDescent="0.25">
      <c r="J939" s="1481"/>
      <c r="K939" s="1481"/>
      <c r="L939" s="1481"/>
      <c r="M939" s="1481"/>
      <c r="N939" s="1481"/>
      <c r="O939" s="1481"/>
    </row>
  </sheetData>
  <mergeCells count="11">
    <mergeCell ref="E335:I335"/>
    <mergeCell ref="E337:I337"/>
    <mergeCell ref="E338:I338"/>
    <mergeCell ref="E346:F346"/>
    <mergeCell ref="Q508:V512"/>
    <mergeCell ref="E332:I332"/>
    <mergeCell ref="D77:D78"/>
    <mergeCell ref="F77:F78"/>
    <mergeCell ref="G77:H78"/>
    <mergeCell ref="E241:H241"/>
    <mergeCell ref="E242:H242"/>
  </mergeCells>
  <hyperlinks>
    <hyperlink ref="A1" location="Inhoudsopgave!A1" display="Inhoudsopgave" xr:uid="{AE231683-3399-4716-A2FF-7E02429BA24B}"/>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9" manualBreakCount="9">
    <brk id="74" min="3" max="14" man="1"/>
    <brk id="157" min="3" max="14" man="1"/>
    <brk id="214" min="3" max="14" man="1"/>
    <brk id="291" min="3" max="14" man="1"/>
    <brk id="358" min="3" max="14" man="1"/>
    <brk id="439" min="3" max="14" man="1"/>
    <brk id="520" min="3" max="14" man="1"/>
    <brk id="585" min="3" max="14" man="1"/>
    <brk id="661" min="3" max="14"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6C93B-92FC-4F4E-ABAE-D6C50A1FD54E}">
  <sheetPr codeName="Blad6"/>
  <dimension ref="A1:AF556"/>
  <sheetViews>
    <sheetView showGridLines="0" topLeftCell="A25" zoomScaleNormal="100" workbookViewId="0">
      <selection activeCell="G106" sqref="G106"/>
    </sheetView>
  </sheetViews>
  <sheetFormatPr defaultColWidth="9.109375" defaultRowHeight="12.75" customHeight="1" x14ac:dyDescent="0.25"/>
  <cols>
    <col min="1" max="1" width="10.109375" style="1440" bestFit="1" customWidth="1"/>
    <col min="2" max="2" width="9.109375" style="1434"/>
    <col min="3" max="3" width="16.33203125" style="1435" customWidth="1"/>
    <col min="4" max="4" width="9.6640625" style="1436" customWidth="1"/>
    <col min="5" max="6" width="9.6640625" style="1437" customWidth="1"/>
    <col min="7" max="9" width="12.6640625" style="1434" customWidth="1"/>
    <col min="10" max="15" width="11.6640625" style="1434" customWidth="1"/>
    <col min="16" max="16" width="13.33203125" style="1434" customWidth="1"/>
    <col min="17" max="19" width="16.5546875" style="117" customWidth="1"/>
    <col min="20" max="20" width="10.44140625" style="117" customWidth="1"/>
    <col min="21" max="21" width="14" style="117" bestFit="1" customWidth="1"/>
    <col min="22" max="26" width="12.88671875" style="117" bestFit="1" customWidth="1"/>
    <col min="27" max="27" width="9.109375" style="117"/>
    <col min="28" max="29" width="9.109375" style="1434"/>
    <col min="30" max="30" width="12.6640625" style="1434" customWidth="1"/>
    <col min="31" max="32" width="11.88671875" style="1434" customWidth="1"/>
    <col min="33" max="16384" width="9.109375" style="1434"/>
  </cols>
  <sheetData>
    <row r="1" spans="1:23" ht="12.75" customHeight="1" x14ac:dyDescent="0.25">
      <c r="A1" s="165" t="s">
        <v>0</v>
      </c>
      <c r="P1" s="17"/>
      <c r="Q1" s="18">
        <v>2024</v>
      </c>
      <c r="R1" s="794">
        <v>2025</v>
      </c>
      <c r="S1" s="794">
        <v>2026</v>
      </c>
      <c r="T1" s="794">
        <v>2027</v>
      </c>
      <c r="U1" s="794">
        <v>2028</v>
      </c>
      <c r="V1" s="794">
        <v>2029</v>
      </c>
      <c r="W1" s="794">
        <v>2030</v>
      </c>
    </row>
    <row r="2" spans="1:23" ht="12.75" customHeight="1" x14ac:dyDescent="0.25">
      <c r="A2" s="1438"/>
      <c r="B2" s="1439"/>
      <c r="D2" s="1436" t="s">
        <v>504</v>
      </c>
      <c r="H2" s="1434" t="s">
        <v>1085</v>
      </c>
      <c r="P2" s="117"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A3" s="1438"/>
      <c r="B3" s="1439"/>
      <c r="P3" s="117"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D4" s="1436" t="s">
        <v>66</v>
      </c>
      <c r="H4" s="1434" t="s">
        <v>1824</v>
      </c>
      <c r="S4" s="307">
        <f>+Indexering!I6</f>
        <v>1.0228200000000001</v>
      </c>
      <c r="T4" s="307">
        <f>+Indexering!J6</f>
        <v>1.03213</v>
      </c>
      <c r="U4" s="307">
        <f>+Indexering!K6</f>
        <v>1.0304199999999999</v>
      </c>
      <c r="V4" s="307">
        <f>+Indexering!L6</f>
        <v>1.0304199999999999</v>
      </c>
      <c r="W4" s="307">
        <f>+Indexering!M6</f>
        <v>1.0304199999999999</v>
      </c>
    </row>
    <row r="5" spans="1:23" ht="12.75" customHeight="1" x14ac:dyDescent="0.25">
      <c r="H5" s="1441"/>
    </row>
    <row r="25" spans="4:16" ht="12.75" customHeight="1" x14ac:dyDescent="0.25">
      <c r="D25" s="1436" t="s">
        <v>1825</v>
      </c>
    </row>
    <row r="26" spans="4:16" ht="12.75" customHeight="1" x14ac:dyDescent="0.25">
      <c r="D26" s="1436" t="s">
        <v>1826</v>
      </c>
    </row>
    <row r="31" spans="4:16" ht="12.75" customHeight="1" x14ac:dyDescent="0.25">
      <c r="D31" s="452" t="s">
        <v>507</v>
      </c>
      <c r="E31" s="652"/>
      <c r="F31" s="652"/>
      <c r="G31" s="653"/>
      <c r="H31" s="653"/>
      <c r="I31" s="653"/>
      <c r="J31" s="653"/>
      <c r="K31" s="653"/>
      <c r="L31" s="653"/>
      <c r="M31" s="653"/>
      <c r="N31" s="653"/>
      <c r="O31" s="653"/>
      <c r="P31" s="653"/>
    </row>
    <row r="32" spans="4:16" ht="12.75" customHeight="1" x14ac:dyDescent="0.25">
      <c r="D32" s="652"/>
      <c r="E32" s="652"/>
      <c r="F32" s="652"/>
      <c r="G32" s="653"/>
      <c r="H32" s="653"/>
      <c r="I32" s="653"/>
      <c r="J32" s="653"/>
      <c r="K32" s="653"/>
      <c r="L32" s="653"/>
      <c r="M32" s="653"/>
      <c r="N32" s="653"/>
      <c r="O32" s="653"/>
      <c r="P32" s="653"/>
    </row>
    <row r="33" spans="1:32" ht="12.75" customHeight="1" x14ac:dyDescent="0.25">
      <c r="D33" s="1746" t="s">
        <v>508</v>
      </c>
      <c r="E33" s="1747"/>
      <c r="F33" s="1747"/>
      <c r="G33" s="1748"/>
      <c r="H33" s="1748"/>
      <c r="I33" s="1749"/>
      <c r="J33" s="1749">
        <v>2025</v>
      </c>
      <c r="K33" s="1749">
        <v>2026</v>
      </c>
      <c r="L33" s="1749">
        <v>2027</v>
      </c>
      <c r="M33" s="1749">
        <v>2028</v>
      </c>
      <c r="N33" s="1749">
        <v>2029</v>
      </c>
      <c r="O33" s="1749">
        <v>2030</v>
      </c>
      <c r="P33" s="527"/>
      <c r="Q33" s="549">
        <v>2026</v>
      </c>
      <c r="R33" s="549">
        <v>2027</v>
      </c>
      <c r="S33" s="549">
        <v>2028</v>
      </c>
      <c r="T33" s="549"/>
      <c r="U33" s="20"/>
      <c r="V33" s="20"/>
      <c r="W33" s="20"/>
      <c r="X33" s="20"/>
      <c r="Y33" s="20"/>
      <c r="Z33" s="20"/>
    </row>
    <row r="34" spans="1:32" ht="12.75" customHeight="1" x14ac:dyDescent="0.25">
      <c r="A34" s="1442"/>
      <c r="C34" s="1435">
        <v>3</v>
      </c>
      <c r="D34" s="1443" t="s">
        <v>1827</v>
      </c>
      <c r="E34" s="655"/>
      <c r="F34" s="656"/>
      <c r="G34" s="653"/>
      <c r="H34" s="653"/>
      <c r="I34" s="657"/>
      <c r="J34" s="120">
        <v>131540</v>
      </c>
      <c r="K34" s="120">
        <v>137598.14282118401</v>
      </c>
      <c r="L34" s="120">
        <f>+L91</f>
        <v>140429.04996224318</v>
      </c>
      <c r="M34" s="120">
        <f>+M91</f>
        <v>143526.40246035537</v>
      </c>
      <c r="N34" s="120">
        <f>+N91</f>
        <v>146724.87258337313</v>
      </c>
      <c r="O34" s="120">
        <f>+O91</f>
        <v>92967.42</v>
      </c>
      <c r="P34" s="121"/>
      <c r="Q34" s="20"/>
      <c r="R34" s="20"/>
      <c r="V34" s="21"/>
      <c r="W34" s="21"/>
      <c r="AB34" s="117"/>
      <c r="AC34" s="117"/>
      <c r="AD34" s="117"/>
      <c r="AE34" s="21"/>
      <c r="AF34" s="21"/>
    </row>
    <row r="35" spans="1:32" ht="12.75" customHeight="1" x14ac:dyDescent="0.25">
      <c r="A35" s="1442"/>
      <c r="C35" s="1435">
        <v>3</v>
      </c>
      <c r="D35" s="654" t="str">
        <f>G93</f>
        <v>Gereedschappen</v>
      </c>
      <c r="E35" s="655"/>
      <c r="F35" s="656"/>
      <c r="G35" s="653"/>
      <c r="H35" s="653"/>
      <c r="I35" s="657"/>
      <c r="J35" s="120">
        <v>27348</v>
      </c>
      <c r="K35" s="120">
        <v>28059</v>
      </c>
      <c r="L35" s="120">
        <f>+L100</f>
        <v>28648</v>
      </c>
      <c r="M35" s="120">
        <f>+M100</f>
        <v>29307</v>
      </c>
      <c r="N35" s="120">
        <f>+N100</f>
        <v>29982</v>
      </c>
      <c r="O35" s="120">
        <f>+O100</f>
        <v>30671</v>
      </c>
      <c r="P35" s="121"/>
      <c r="AB35" s="117"/>
      <c r="AC35" s="117"/>
      <c r="AD35" s="117"/>
      <c r="AE35" s="21"/>
      <c r="AF35" s="21"/>
    </row>
    <row r="36" spans="1:32" ht="12.75" customHeight="1" x14ac:dyDescent="0.25">
      <c r="A36" s="1442"/>
      <c r="C36" s="1435">
        <v>3</v>
      </c>
      <c r="D36" s="654" t="str">
        <f>G102</f>
        <v xml:space="preserve">Vervoermiddelen (algemeen) </v>
      </c>
      <c r="E36" s="655"/>
      <c r="F36" s="656"/>
      <c r="G36" s="653"/>
      <c r="H36" s="653"/>
      <c r="I36" s="657"/>
      <c r="J36" s="120">
        <v>114168</v>
      </c>
      <c r="K36" s="120">
        <v>78971</v>
      </c>
      <c r="L36" s="120">
        <f>+L111</f>
        <v>86044</v>
      </c>
      <c r="M36" s="120">
        <f>+M111</f>
        <v>93664</v>
      </c>
      <c r="N36" s="120">
        <f>+N111</f>
        <v>95116</v>
      </c>
      <c r="O36" s="120">
        <f>+O111</f>
        <v>66805</v>
      </c>
      <c r="P36" s="121"/>
      <c r="AB36" s="117"/>
      <c r="AC36" s="117"/>
      <c r="AD36" s="117"/>
      <c r="AE36" s="21"/>
      <c r="AF36" s="21"/>
    </row>
    <row r="37" spans="1:32" ht="12.75" customHeight="1" x14ac:dyDescent="0.25">
      <c r="A37" s="1442"/>
      <c r="C37" s="1435">
        <v>3</v>
      </c>
      <c r="D37" s="654" t="s">
        <v>1828</v>
      </c>
      <c r="E37" s="655"/>
      <c r="F37" s="656"/>
      <c r="G37" s="653"/>
      <c r="H37" s="653"/>
      <c r="I37" s="657"/>
      <c r="J37" s="120">
        <v>-131539.99999999997</v>
      </c>
      <c r="K37" s="120">
        <v>-137598.14282118401</v>
      </c>
      <c r="L37" s="120">
        <f>+L201</f>
        <v>-140429.04996224321</v>
      </c>
      <c r="M37" s="120">
        <f>+M201</f>
        <v>-143526.4024603554</v>
      </c>
      <c r="N37" s="120">
        <f>+N201</f>
        <v>-146724.87258337316</v>
      </c>
      <c r="O37" s="120">
        <f>+O201</f>
        <v>-92967.420000000013</v>
      </c>
      <c r="P37" s="121"/>
      <c r="AB37" s="117"/>
      <c r="AC37" s="117"/>
      <c r="AD37" s="117"/>
      <c r="AE37" s="21"/>
      <c r="AF37" s="21"/>
    </row>
    <row r="38" spans="1:32" ht="12.75" customHeight="1" x14ac:dyDescent="0.25">
      <c r="A38" s="1442"/>
      <c r="C38" s="1435">
        <v>3</v>
      </c>
      <c r="D38" s="654" t="s">
        <v>1829</v>
      </c>
      <c r="E38" s="655"/>
      <c r="F38" s="656"/>
      <c r="G38" s="653"/>
      <c r="H38" s="653"/>
      <c r="I38" s="657"/>
      <c r="J38" s="120">
        <v>-27348</v>
      </c>
      <c r="K38" s="120">
        <v>-28059</v>
      </c>
      <c r="L38" s="120">
        <f>+L232</f>
        <v>-28648</v>
      </c>
      <c r="M38" s="120">
        <f>+M232</f>
        <v>-29307</v>
      </c>
      <c r="N38" s="120">
        <f>+N232</f>
        <v>-29981.999999999996</v>
      </c>
      <c r="O38" s="120">
        <f>+O232</f>
        <v>-30671.000000000004</v>
      </c>
      <c r="P38" s="121"/>
      <c r="AE38" s="1444"/>
      <c r="AF38" s="1444"/>
    </row>
    <row r="39" spans="1:32" ht="12.75" customHeight="1" x14ac:dyDescent="0.25">
      <c r="A39" s="1442"/>
      <c r="C39" s="1435">
        <v>3</v>
      </c>
      <c r="D39" s="654" t="s">
        <v>1830</v>
      </c>
      <c r="E39" s="655"/>
      <c r="F39" s="656"/>
      <c r="G39" s="653"/>
      <c r="H39" s="653"/>
      <c r="I39" s="657"/>
      <c r="J39" s="120">
        <v>-114168.00000000001</v>
      </c>
      <c r="K39" s="120">
        <v>-78971</v>
      </c>
      <c r="L39" s="120">
        <f>+L274</f>
        <v>-86044</v>
      </c>
      <c r="M39" s="120">
        <f>+M274</f>
        <v>-93664</v>
      </c>
      <c r="N39" s="120">
        <f>+N274</f>
        <v>-95116</v>
      </c>
      <c r="O39" s="120">
        <f>+O274</f>
        <v>-66805</v>
      </c>
      <c r="P39" s="121"/>
      <c r="Q39" s="117">
        <f>SUM(K34:K39)</f>
        <v>0</v>
      </c>
      <c r="R39" s="117">
        <f>SUM(L34:L39)</f>
        <v>0</v>
      </c>
      <c r="S39" s="117">
        <f>SUM(M34:M39)</f>
        <v>0</v>
      </c>
      <c r="AE39" s="1444"/>
      <c r="AF39" s="1444"/>
    </row>
    <row r="40" spans="1:32" ht="12.75" customHeight="1" x14ac:dyDescent="0.25">
      <c r="A40" s="1442"/>
      <c r="D40" s="654"/>
      <c r="E40" s="655"/>
      <c r="F40" s="656"/>
      <c r="G40" s="653"/>
      <c r="H40" s="653"/>
      <c r="I40" s="657"/>
      <c r="J40" s="120"/>
      <c r="K40" s="120"/>
      <c r="L40" s="120"/>
      <c r="M40" s="120"/>
      <c r="N40" s="120"/>
      <c r="O40" s="120"/>
      <c r="P40" s="121"/>
      <c r="AE40" s="1444"/>
      <c r="AF40" s="1444"/>
    </row>
    <row r="41" spans="1:32" ht="12.75" customHeight="1" x14ac:dyDescent="0.25">
      <c r="D41" s="1810" t="s">
        <v>525</v>
      </c>
      <c r="E41" s="1811"/>
      <c r="F41" s="1812"/>
      <c r="G41" s="1813"/>
      <c r="H41" s="1813"/>
      <c r="I41" s="1814"/>
      <c r="J41" s="1815">
        <v>0</v>
      </c>
      <c r="K41" s="1815">
        <f>SUM(K34:K39)</f>
        <v>0</v>
      </c>
      <c r="L41" s="1815">
        <f>SUM(L34:L39)</f>
        <v>0</v>
      </c>
      <c r="M41" s="1815">
        <f>SUM(M34:M39)</f>
        <v>0</v>
      </c>
      <c r="N41" s="1815">
        <f>SUM(N34:N39)</f>
        <v>0</v>
      </c>
      <c r="O41" s="1815">
        <f>SUM(O34:O39)</f>
        <v>0</v>
      </c>
      <c r="P41" s="119"/>
      <c r="Q41" s="117">
        <f>SUM(K34:K40)</f>
        <v>0</v>
      </c>
      <c r="R41" s="117">
        <f>SUM(L34:L40)</f>
        <v>0</v>
      </c>
      <c r="S41" s="117">
        <f>SUM(M34:M40)</f>
        <v>0</v>
      </c>
    </row>
    <row r="42" spans="1:32" ht="12.75" customHeight="1" x14ac:dyDescent="0.25">
      <c r="D42" s="652"/>
      <c r="E42" s="655"/>
      <c r="F42" s="656"/>
      <c r="G42" s="653"/>
      <c r="H42" s="653"/>
      <c r="I42" s="653"/>
      <c r="J42" s="653"/>
      <c r="K42" s="653"/>
      <c r="L42" s="653"/>
      <c r="M42" s="653"/>
      <c r="N42" s="653"/>
      <c r="O42" s="653"/>
      <c r="P42" s="653"/>
    </row>
    <row r="43" spans="1:32" ht="12.75" customHeight="1" x14ac:dyDescent="0.25">
      <c r="D43" s="1746" t="s">
        <v>526</v>
      </c>
      <c r="E43" s="1747"/>
      <c r="F43" s="1747"/>
      <c r="G43" s="1748"/>
      <c r="H43" s="1748"/>
      <c r="I43" s="1749"/>
      <c r="J43" s="1749">
        <v>2025</v>
      </c>
      <c r="K43" s="1749">
        <v>2026</v>
      </c>
      <c r="L43" s="1749">
        <f>+L33</f>
        <v>2027</v>
      </c>
      <c r="M43" s="1749">
        <f>+M33</f>
        <v>2028</v>
      </c>
      <c r="N43" s="1749">
        <f>+N33</f>
        <v>2029</v>
      </c>
      <c r="O43" s="1749">
        <f>+O33</f>
        <v>2030</v>
      </c>
      <c r="P43" s="527"/>
    </row>
    <row r="44" spans="1:32" ht="12.75" customHeight="1" x14ac:dyDescent="0.25">
      <c r="A44" s="1442"/>
      <c r="D44" s="654"/>
      <c r="E44" s="655"/>
      <c r="F44" s="656"/>
      <c r="G44" s="653"/>
      <c r="H44" s="653"/>
      <c r="I44" s="657"/>
      <c r="J44" s="658"/>
      <c r="K44" s="658"/>
      <c r="L44" s="658"/>
      <c r="M44" s="658"/>
      <c r="N44" s="658"/>
      <c r="O44" s="658"/>
      <c r="P44" s="666"/>
    </row>
    <row r="45" spans="1:32" ht="12.75" customHeight="1" x14ac:dyDescent="0.25">
      <c r="D45" s="654"/>
      <c r="E45" s="655"/>
      <c r="F45" s="656"/>
      <c r="G45" s="653"/>
      <c r="H45" s="653"/>
      <c r="I45" s="657"/>
      <c r="J45" s="658"/>
      <c r="K45" s="658"/>
      <c r="L45" s="658"/>
      <c r="M45" s="658"/>
      <c r="N45" s="658"/>
      <c r="O45" s="658"/>
      <c r="P45" s="666"/>
    </row>
    <row r="46" spans="1:32" ht="12.75" customHeight="1" x14ac:dyDescent="0.25">
      <c r="D46" s="654"/>
      <c r="E46" s="655"/>
      <c r="F46" s="656"/>
      <c r="G46" s="653"/>
      <c r="H46" s="653"/>
      <c r="I46" s="657"/>
      <c r="J46" s="658"/>
      <c r="K46" s="658"/>
      <c r="L46" s="658"/>
      <c r="M46" s="658"/>
      <c r="N46" s="658"/>
      <c r="O46" s="658"/>
      <c r="P46" s="666"/>
    </row>
    <row r="47" spans="1:32" ht="12.75" customHeight="1" x14ac:dyDescent="0.25">
      <c r="D47" s="654"/>
      <c r="E47" s="655"/>
      <c r="F47" s="656"/>
      <c r="G47" s="653"/>
      <c r="H47" s="653"/>
      <c r="I47" s="657"/>
      <c r="J47" s="658"/>
      <c r="K47" s="658"/>
      <c r="L47" s="658"/>
      <c r="M47" s="658"/>
      <c r="N47" s="658"/>
      <c r="O47" s="658"/>
      <c r="P47" s="666"/>
    </row>
    <row r="48" spans="1:32" ht="12.75" customHeight="1" x14ac:dyDescent="0.25">
      <c r="D48" s="654"/>
      <c r="E48" s="655"/>
      <c r="F48" s="656"/>
      <c r="G48" s="653"/>
      <c r="H48" s="653"/>
      <c r="I48" s="657"/>
      <c r="J48" s="661"/>
      <c r="K48" s="661"/>
      <c r="L48" s="661"/>
      <c r="M48" s="661"/>
      <c r="N48" s="661"/>
      <c r="O48" s="661"/>
      <c r="P48" s="666"/>
    </row>
    <row r="49" spans="1:16" ht="12.75" customHeight="1" x14ac:dyDescent="0.25">
      <c r="D49" s="654"/>
      <c r="E49" s="655"/>
      <c r="F49" s="656"/>
      <c r="G49" s="653"/>
      <c r="H49" s="653"/>
      <c r="I49" s="657"/>
      <c r="J49" s="661"/>
      <c r="K49" s="661"/>
      <c r="L49" s="661"/>
      <c r="M49" s="661"/>
      <c r="N49" s="661"/>
      <c r="O49" s="661"/>
      <c r="P49" s="666"/>
    </row>
    <row r="50" spans="1:16" ht="12.75" customHeight="1" x14ac:dyDescent="0.25">
      <c r="D50" s="654"/>
      <c r="E50" s="655"/>
      <c r="F50" s="656"/>
      <c r="G50" s="653"/>
      <c r="H50" s="653"/>
      <c r="I50" s="657"/>
      <c r="J50" s="661"/>
      <c r="K50" s="661"/>
      <c r="L50" s="661"/>
      <c r="M50" s="661"/>
      <c r="N50" s="661"/>
      <c r="O50" s="661"/>
      <c r="P50" s="666"/>
    </row>
    <row r="51" spans="1:16" ht="12.75" customHeight="1" x14ac:dyDescent="0.25">
      <c r="D51" s="654"/>
      <c r="E51" s="655"/>
      <c r="F51" s="656"/>
      <c r="G51" s="653"/>
      <c r="H51" s="653"/>
      <c r="I51" s="657"/>
      <c r="J51" s="661"/>
      <c r="K51" s="661"/>
      <c r="L51" s="661"/>
      <c r="M51" s="661"/>
      <c r="N51" s="661"/>
      <c r="O51" s="661"/>
      <c r="P51" s="666"/>
    </row>
    <row r="52" spans="1:16" ht="12.75" customHeight="1" x14ac:dyDescent="0.25">
      <c r="D52" s="654"/>
      <c r="E52" s="655"/>
      <c r="F52" s="656"/>
      <c r="G52" s="653"/>
      <c r="H52" s="653"/>
      <c r="I52" s="657"/>
      <c r="J52" s="661"/>
      <c r="K52" s="661"/>
      <c r="L52" s="661"/>
      <c r="M52" s="661"/>
      <c r="N52" s="661"/>
      <c r="O52" s="661"/>
      <c r="P52" s="666"/>
    </row>
    <row r="53" spans="1:16" ht="12.75" customHeight="1" x14ac:dyDescent="0.25">
      <c r="D53" s="662"/>
      <c r="E53" s="663"/>
      <c r="F53" s="664"/>
      <c r="G53" s="665"/>
      <c r="H53" s="665"/>
      <c r="I53" s="657"/>
      <c r="J53" s="661"/>
      <c r="K53" s="661"/>
      <c r="L53" s="661"/>
      <c r="M53" s="661"/>
      <c r="N53" s="661"/>
      <c r="O53" s="661"/>
      <c r="P53" s="666"/>
    </row>
    <row r="54" spans="1:16" ht="12.75" customHeight="1" x14ac:dyDescent="0.25">
      <c r="D54" s="1810" t="s">
        <v>328</v>
      </c>
      <c r="E54" s="1811"/>
      <c r="F54" s="1812"/>
      <c r="G54" s="1813"/>
      <c r="H54" s="1813"/>
      <c r="I54" s="1814"/>
      <c r="J54" s="1815">
        <v>0</v>
      </c>
      <c r="K54" s="1815">
        <f t="shared" ref="K54:N54" si="0">SUM(K44:K53)</f>
        <v>0</v>
      </c>
      <c r="L54" s="1815">
        <f t="shared" si="0"/>
        <v>0</v>
      </c>
      <c r="M54" s="1815">
        <f t="shared" si="0"/>
        <v>0</v>
      </c>
      <c r="N54" s="1815">
        <f t="shared" si="0"/>
        <v>0</v>
      </c>
      <c r="O54" s="1815">
        <f t="shared" ref="O54" si="1">SUM(O44:O53)</f>
        <v>0</v>
      </c>
      <c r="P54" s="119"/>
    </row>
    <row r="55" spans="1:16" ht="12.75" customHeight="1" x14ac:dyDescent="0.25">
      <c r="D55" s="652"/>
      <c r="E55" s="655"/>
      <c r="F55" s="656"/>
      <c r="G55" s="653"/>
      <c r="H55" s="653"/>
      <c r="I55" s="653"/>
      <c r="J55" s="666"/>
      <c r="K55" s="666"/>
      <c r="L55" s="666"/>
      <c r="M55" s="666"/>
      <c r="N55" s="666"/>
      <c r="O55" s="666"/>
      <c r="P55" s="666"/>
    </row>
    <row r="56" spans="1:16" ht="12.75" customHeight="1" x14ac:dyDescent="0.25">
      <c r="D56" s="1810" t="s">
        <v>527</v>
      </c>
      <c r="E56" s="1817"/>
      <c r="F56" s="1817"/>
      <c r="G56" s="1813"/>
      <c r="H56" s="1813"/>
      <c r="I56" s="1813"/>
      <c r="J56" s="1818">
        <v>0</v>
      </c>
      <c r="K56" s="1818">
        <v>0</v>
      </c>
      <c r="L56" s="1818">
        <f>L41+L54</f>
        <v>0</v>
      </c>
      <c r="M56" s="1818">
        <f>M41+M54</f>
        <v>0</v>
      </c>
      <c r="N56" s="1818">
        <f>N41+N54</f>
        <v>0</v>
      </c>
      <c r="O56" s="1818">
        <f>O41+O54</f>
        <v>0</v>
      </c>
      <c r="P56" s="666"/>
    </row>
    <row r="57" spans="1:16" ht="12.75" customHeight="1" x14ac:dyDescent="0.25">
      <c r="D57" s="652"/>
      <c r="E57" s="655"/>
      <c r="F57" s="656"/>
      <c r="G57" s="653"/>
      <c r="H57" s="653"/>
      <c r="I57" s="653"/>
      <c r="J57" s="666"/>
      <c r="K57" s="666"/>
      <c r="L57" s="666"/>
      <c r="M57" s="666"/>
      <c r="N57" s="666"/>
      <c r="O57" s="666"/>
      <c r="P57" s="666"/>
    </row>
    <row r="58" spans="1:16" ht="12.75" customHeight="1" x14ac:dyDescent="0.25">
      <c r="D58" s="652"/>
      <c r="E58" s="655"/>
      <c r="F58" s="656"/>
      <c r="G58" s="653"/>
      <c r="H58" s="653"/>
      <c r="I58" s="653"/>
      <c r="J58" s="666"/>
      <c r="K58" s="666"/>
      <c r="L58" s="666"/>
      <c r="M58" s="666"/>
      <c r="N58" s="666"/>
      <c r="O58" s="666"/>
      <c r="P58" s="666"/>
    </row>
    <row r="59" spans="1:16" ht="12.75" customHeight="1" x14ac:dyDescent="0.25">
      <c r="D59" s="652"/>
      <c r="E59" s="652"/>
      <c r="F59" s="652"/>
      <c r="G59" s="653"/>
      <c r="H59" s="653"/>
      <c r="I59" s="653"/>
      <c r="J59" s="666"/>
      <c r="K59" s="666"/>
      <c r="L59" s="666"/>
      <c r="M59" s="666"/>
      <c r="N59" s="666"/>
      <c r="O59" s="666"/>
      <c r="P59" s="666"/>
    </row>
    <row r="60" spans="1:16" ht="12.75" customHeight="1" x14ac:dyDescent="0.25">
      <c r="D60" s="1445" t="s">
        <v>528</v>
      </c>
      <c r="E60" s="155"/>
      <c r="F60" s="155"/>
      <c r="I60" s="134"/>
      <c r="J60" s="134"/>
      <c r="K60" s="134"/>
      <c r="L60" s="134"/>
      <c r="M60" s="134"/>
      <c r="N60" s="134"/>
      <c r="O60" s="134"/>
      <c r="P60" s="134"/>
    </row>
    <row r="61" spans="1:16" ht="12.75" customHeight="1" x14ac:dyDescent="0.25">
      <c r="J61" s="134"/>
      <c r="K61" s="134"/>
      <c r="L61" s="134"/>
      <c r="M61" s="134"/>
      <c r="N61" s="134"/>
      <c r="O61" s="134"/>
    </row>
    <row r="62" spans="1:16" ht="12.75" customHeight="1" x14ac:dyDescent="0.25">
      <c r="A62" s="1442"/>
      <c r="D62" s="2533" t="s">
        <v>529</v>
      </c>
      <c r="E62" s="1819" t="s">
        <v>530</v>
      </c>
      <c r="F62" s="2534" t="s">
        <v>531</v>
      </c>
      <c r="G62" s="2535" t="s">
        <v>206</v>
      </c>
      <c r="H62" s="2546"/>
      <c r="I62" s="1820"/>
      <c r="J62" s="1842"/>
      <c r="K62" s="1842"/>
      <c r="L62" s="1842"/>
      <c r="M62" s="1842"/>
      <c r="N62" s="1842"/>
      <c r="O62" s="1842"/>
    </row>
    <row r="63" spans="1:16" ht="12.75" customHeight="1" x14ac:dyDescent="0.25">
      <c r="A63" s="1442"/>
      <c r="D63" s="2544"/>
      <c r="E63" s="1446" t="s">
        <v>532</v>
      </c>
      <c r="F63" s="2545"/>
      <c r="G63" s="2547"/>
      <c r="H63" s="2548"/>
      <c r="I63" s="122"/>
      <c r="J63" s="1843">
        <v>2025</v>
      </c>
      <c r="K63" s="1843">
        <v>2026</v>
      </c>
      <c r="L63" s="1843">
        <v>2027</v>
      </c>
      <c r="M63" s="1843">
        <v>2028</v>
      </c>
      <c r="N63" s="1843">
        <v>2029</v>
      </c>
      <c r="O63" s="1843">
        <v>2030</v>
      </c>
      <c r="P63" s="123"/>
    </row>
    <row r="64" spans="1:16" ht="12.75" customHeight="1" x14ac:dyDescent="0.25">
      <c r="D64" s="1447"/>
      <c r="E64" s="1823"/>
      <c r="F64" s="1823"/>
      <c r="G64" s="1824"/>
      <c r="H64" s="1448"/>
      <c r="I64" s="1825"/>
      <c r="J64" s="1449"/>
      <c r="K64" s="1449"/>
      <c r="L64" s="1449"/>
      <c r="M64" s="1449"/>
      <c r="N64" s="1449"/>
      <c r="O64" s="1449"/>
      <c r="P64" s="134"/>
    </row>
    <row r="65" spans="1:16" ht="12.75" customHeight="1" x14ac:dyDescent="0.25">
      <c r="A65" s="1442"/>
      <c r="D65" s="1450">
        <v>604041</v>
      </c>
      <c r="E65" s="1451"/>
      <c r="F65" s="1451"/>
      <c r="G65" s="2536" t="s">
        <v>1131</v>
      </c>
      <c r="H65" s="2551"/>
      <c r="I65" s="1452"/>
      <c r="J65" s="1449"/>
      <c r="K65" s="1449"/>
      <c r="L65" s="1449"/>
      <c r="M65" s="1449"/>
      <c r="N65" s="1449"/>
      <c r="O65" s="1449"/>
      <c r="P65" s="134"/>
    </row>
    <row r="66" spans="1:16" ht="12.75" customHeight="1" x14ac:dyDescent="0.25">
      <c r="A66" s="1442"/>
      <c r="D66" s="1447"/>
      <c r="E66" s="1447"/>
      <c r="F66" s="1447"/>
      <c r="G66" s="1453" t="s">
        <v>536</v>
      </c>
      <c r="H66" s="549"/>
      <c r="I66" s="1454"/>
      <c r="J66" s="1826">
        <v>0</v>
      </c>
      <c r="K66" s="1826">
        <v>0</v>
      </c>
      <c r="L66" s="1826">
        <f>+L65</f>
        <v>0</v>
      </c>
      <c r="M66" s="1826">
        <f>+M65</f>
        <v>0</v>
      </c>
      <c r="N66" s="1826">
        <f>+N65</f>
        <v>0</v>
      </c>
      <c r="O66" s="1826">
        <f>+O65</f>
        <v>0</v>
      </c>
      <c r="P66" s="1455"/>
    </row>
    <row r="67" spans="1:16" ht="12.75" customHeight="1" x14ac:dyDescent="0.25">
      <c r="A67" s="1442"/>
      <c r="D67" s="1447"/>
      <c r="E67" s="1447"/>
      <c r="F67" s="1447"/>
      <c r="G67" s="1443"/>
      <c r="I67" s="1452"/>
      <c r="J67" s="1449"/>
      <c r="K67" s="1449"/>
      <c r="L67" s="1449"/>
      <c r="M67" s="1449"/>
      <c r="N67" s="1449"/>
      <c r="O67" s="1449"/>
      <c r="P67" s="134"/>
    </row>
    <row r="68" spans="1:16" ht="12.75" customHeight="1" x14ac:dyDescent="0.25">
      <c r="A68" s="1442"/>
      <c r="D68" s="1450">
        <v>604043</v>
      </c>
      <c r="E68" s="1451"/>
      <c r="F68" s="1451"/>
      <c r="G68" s="2536" t="s">
        <v>1132</v>
      </c>
      <c r="H68" s="2551"/>
      <c r="I68" s="1452"/>
      <c r="J68" s="1449"/>
      <c r="K68" s="1449"/>
      <c r="L68" s="1449"/>
      <c r="M68" s="1449"/>
      <c r="N68" s="1449"/>
      <c r="O68" s="1449"/>
      <c r="P68" s="134"/>
    </row>
    <row r="69" spans="1:16" ht="12.75" customHeight="1" x14ac:dyDescent="0.25">
      <c r="A69" s="1442"/>
      <c r="D69" s="1447"/>
      <c r="E69" s="1447"/>
      <c r="F69" s="1447"/>
      <c r="G69" s="1456" t="s">
        <v>533</v>
      </c>
      <c r="I69" s="1452"/>
      <c r="J69" s="1449"/>
      <c r="K69" s="1449"/>
      <c r="L69" s="1449"/>
      <c r="M69" s="1449"/>
      <c r="N69" s="1449"/>
      <c r="O69" s="1449"/>
      <c r="P69" s="134"/>
    </row>
    <row r="70" spans="1:16" ht="12.75" customHeight="1" x14ac:dyDescent="0.25">
      <c r="A70" s="1442">
        <f>+D68</f>
        <v>604043</v>
      </c>
      <c r="B70" s="1434" t="str">
        <f>G68</f>
        <v xml:space="preserve">Flexibele schil 2e lijn </v>
      </c>
      <c r="C70" s="1457"/>
      <c r="D70" s="1458">
        <v>43511</v>
      </c>
      <c r="E70" s="1458"/>
      <c r="F70" s="1458"/>
      <c r="G70" s="1443" t="s">
        <v>1133</v>
      </c>
      <c r="I70" s="1452"/>
      <c r="J70" s="1449">
        <v>0</v>
      </c>
      <c r="K70" s="1449">
        <v>0</v>
      </c>
      <c r="L70" s="1449">
        <v>0</v>
      </c>
      <c r="M70" s="1449">
        <v>0</v>
      </c>
      <c r="N70" s="1449">
        <v>0</v>
      </c>
      <c r="O70" s="1449">
        <v>0</v>
      </c>
      <c r="P70" s="134"/>
    </row>
    <row r="71" spans="1:16" ht="12.75" customHeight="1" x14ac:dyDescent="0.25">
      <c r="A71" s="1442"/>
      <c r="D71" s="1447"/>
      <c r="E71" s="1447"/>
      <c r="F71" s="1447"/>
      <c r="G71" s="1453" t="s">
        <v>536</v>
      </c>
      <c r="H71" s="549"/>
      <c r="I71" s="1454"/>
      <c r="J71" s="1826">
        <v>0</v>
      </c>
      <c r="K71" s="1826">
        <v>0</v>
      </c>
      <c r="L71" s="1826">
        <f>SUM(L70)</f>
        <v>0</v>
      </c>
      <c r="M71" s="1826">
        <f>SUM(M70)</f>
        <v>0</v>
      </c>
      <c r="N71" s="1826">
        <f>SUM(N70)</f>
        <v>0</v>
      </c>
      <c r="O71" s="1826">
        <f>SUM(O70)</f>
        <v>0</v>
      </c>
      <c r="P71" s="1455"/>
    </row>
    <row r="72" spans="1:16" ht="12.75" customHeight="1" x14ac:dyDescent="0.25">
      <c r="A72" s="1442"/>
      <c r="D72" s="1447"/>
      <c r="E72" s="1447"/>
      <c r="F72" s="1447"/>
      <c r="G72" s="1443"/>
      <c r="I72" s="1452"/>
      <c r="J72" s="1449"/>
      <c r="K72" s="1449"/>
      <c r="L72" s="1449"/>
      <c r="M72" s="1449"/>
      <c r="N72" s="1449"/>
      <c r="O72" s="1449"/>
      <c r="P72" s="134"/>
    </row>
    <row r="73" spans="1:16" ht="12.75" customHeight="1" x14ac:dyDescent="0.25">
      <c r="A73" s="1442"/>
      <c r="D73" s="1450">
        <v>604045</v>
      </c>
      <c r="E73" s="1451"/>
      <c r="F73" s="1451"/>
      <c r="G73" s="1453" t="s">
        <v>1827</v>
      </c>
      <c r="I73" s="1452"/>
      <c r="J73" s="1449"/>
      <c r="K73" s="1449"/>
      <c r="L73" s="1449"/>
      <c r="M73" s="1449"/>
      <c r="N73" s="1449"/>
      <c r="O73" s="1449"/>
      <c r="P73" s="134"/>
    </row>
    <row r="74" spans="1:16" ht="12.75" customHeight="1" x14ac:dyDescent="0.25">
      <c r="A74" s="1442"/>
      <c r="D74" s="1450"/>
      <c r="E74" s="1451"/>
      <c r="F74" s="1458"/>
      <c r="G74" s="1456" t="s">
        <v>533</v>
      </c>
      <c r="I74" s="1452"/>
      <c r="J74" s="1449"/>
      <c r="K74" s="1449"/>
      <c r="L74" s="1449"/>
      <c r="M74" s="1449"/>
      <c r="N74" s="1449"/>
      <c r="O74" s="1449"/>
      <c r="P74" s="134"/>
    </row>
    <row r="75" spans="1:16" ht="12.75" customHeight="1" x14ac:dyDescent="0.25">
      <c r="A75" s="1442">
        <v>604045</v>
      </c>
      <c r="B75" s="1436" t="str">
        <f>G73</f>
        <v>Vijverweg 1 (werf)</v>
      </c>
      <c r="D75" s="1458">
        <v>42100</v>
      </c>
      <c r="E75" s="1458"/>
      <c r="F75" s="1458"/>
      <c r="G75" s="1443" t="s">
        <v>978</v>
      </c>
      <c r="I75" s="1452"/>
      <c r="J75" s="1449">
        <v>8330</v>
      </c>
      <c r="K75" s="1449">
        <v>8563</v>
      </c>
      <c r="L75" s="1449">
        <f>ROUND(K75*T$2,0)</f>
        <v>8743</v>
      </c>
      <c r="M75" s="1449">
        <f t="shared" ref="M75:O75" si="2">ROUND(L75*U$2,0)</f>
        <v>8944</v>
      </c>
      <c r="N75" s="1449">
        <f t="shared" si="2"/>
        <v>9150</v>
      </c>
      <c r="O75" s="1449">
        <f t="shared" si="2"/>
        <v>9360</v>
      </c>
      <c r="P75" s="134"/>
    </row>
    <row r="76" spans="1:16" ht="12.75" customHeight="1" x14ac:dyDescent="0.25">
      <c r="A76" s="1442">
        <v>604045</v>
      </c>
      <c r="B76" s="1436" t="str">
        <f>G73</f>
        <v>Vijverweg 1 (werf)</v>
      </c>
      <c r="D76" s="1458">
        <v>42100</v>
      </c>
      <c r="E76" s="1458"/>
      <c r="F76" s="1458"/>
      <c r="G76" s="1443" t="s">
        <v>979</v>
      </c>
      <c r="I76" s="1452"/>
      <c r="J76" s="1449">
        <v>1422</v>
      </c>
      <c r="K76" s="1449">
        <v>1462</v>
      </c>
      <c r="L76" s="1449">
        <f>ROUND(K76*T$2,0)</f>
        <v>1493</v>
      </c>
      <c r="M76" s="1449">
        <f t="shared" ref="M76" si="3">ROUND(L76*U$2,0)</f>
        <v>1527</v>
      </c>
      <c r="N76" s="1449">
        <f t="shared" ref="N76" si="4">ROUND(M76*V$2,0)</f>
        <v>1562</v>
      </c>
      <c r="O76" s="1449">
        <f t="shared" ref="O76" si="5">ROUND(N76*W$2,0)</f>
        <v>1598</v>
      </c>
      <c r="P76" s="134"/>
    </row>
    <row r="77" spans="1:16" ht="12.75" customHeight="1" x14ac:dyDescent="0.25">
      <c r="A77" s="1442">
        <v>604045</v>
      </c>
      <c r="B77" s="1436" t="str">
        <f>G73</f>
        <v>Vijverweg 1 (werf)</v>
      </c>
      <c r="D77" s="1458">
        <v>42100</v>
      </c>
      <c r="E77" s="1458"/>
      <c r="F77" s="1458"/>
      <c r="G77" s="1443" t="s">
        <v>1578</v>
      </c>
      <c r="I77" s="1452"/>
      <c r="J77" s="1449">
        <v>190</v>
      </c>
      <c r="K77" s="1449">
        <v>195</v>
      </c>
      <c r="L77" s="1449">
        <f>ROUND(K77*T$2,0)</f>
        <v>199</v>
      </c>
      <c r="M77" s="1449">
        <f t="shared" ref="M77" si="6">ROUND(L77*U$2,0)</f>
        <v>204</v>
      </c>
      <c r="N77" s="1449">
        <f t="shared" ref="N77" si="7">ROUND(M77*V$2,0)</f>
        <v>209</v>
      </c>
      <c r="O77" s="1449">
        <f t="shared" ref="O77" si="8">ROUND(N77*W$2,0)</f>
        <v>214</v>
      </c>
      <c r="P77" s="134"/>
    </row>
    <row r="78" spans="1:16" ht="12.75" customHeight="1" x14ac:dyDescent="0.25">
      <c r="A78" s="1442">
        <v>604045</v>
      </c>
      <c r="B78" s="1436" t="str">
        <f>G73</f>
        <v>Vijverweg 1 (werf)</v>
      </c>
      <c r="D78" s="1458">
        <v>43511</v>
      </c>
      <c r="E78" s="1458"/>
      <c r="F78" s="1458"/>
      <c r="G78" s="1443" t="s">
        <v>560</v>
      </c>
      <c r="I78" s="1452"/>
      <c r="J78" s="1452">
        <v>20081</v>
      </c>
      <c r="K78" s="1452">
        <v>20606</v>
      </c>
      <c r="L78" s="1452">
        <f>L289</f>
        <v>21034</v>
      </c>
      <c r="M78" s="1452">
        <f>M289</f>
        <v>21516</v>
      </c>
      <c r="N78" s="1452">
        <f>N289</f>
        <v>22009.05</v>
      </c>
      <c r="O78" s="1452">
        <f>O289</f>
        <v>22512.42</v>
      </c>
      <c r="P78" s="134"/>
    </row>
    <row r="79" spans="1:16" ht="12.75" customHeight="1" x14ac:dyDescent="0.25">
      <c r="A79" s="1442">
        <v>604045</v>
      </c>
      <c r="B79" s="1436" t="str">
        <f>G73</f>
        <v>Vijverweg 1 (werf)</v>
      </c>
      <c r="D79" s="1458">
        <v>43801</v>
      </c>
      <c r="E79" s="1458"/>
      <c r="F79" s="1458"/>
      <c r="G79" s="1443" t="s">
        <v>996</v>
      </c>
      <c r="I79" s="1452"/>
      <c r="J79" s="1449">
        <v>7223</v>
      </c>
      <c r="K79" s="1449">
        <v>7425</v>
      </c>
      <c r="L79" s="1449">
        <f t="shared" ref="L79:L84" si="9">ROUND(K79*T$2,0)</f>
        <v>7581</v>
      </c>
      <c r="M79" s="1449">
        <f t="shared" ref="M79" si="10">ROUND(L79*U$2,0)</f>
        <v>7755</v>
      </c>
      <c r="N79" s="1449">
        <f t="shared" ref="N79" si="11">ROUND(M79*V$2,0)</f>
        <v>7933</v>
      </c>
      <c r="O79" s="1449">
        <f t="shared" ref="O79" si="12">ROUND(N79*W$2,0)</f>
        <v>8115</v>
      </c>
      <c r="P79" s="134"/>
    </row>
    <row r="80" spans="1:16" ht="12.75" customHeight="1" x14ac:dyDescent="0.25">
      <c r="A80" s="1442">
        <v>604045</v>
      </c>
      <c r="B80" s="1436" t="str">
        <f>G73</f>
        <v>Vijverweg 1 (werf)</v>
      </c>
      <c r="D80" s="1458">
        <v>43802</v>
      </c>
      <c r="E80" s="1458"/>
      <c r="F80" s="1458"/>
      <c r="G80" s="1443" t="s">
        <v>991</v>
      </c>
      <c r="I80" s="1452"/>
      <c r="J80" s="1449">
        <v>670</v>
      </c>
      <c r="K80" s="1449">
        <v>689</v>
      </c>
      <c r="L80" s="1449">
        <f t="shared" si="9"/>
        <v>703</v>
      </c>
      <c r="M80" s="1449">
        <f t="shared" ref="M80" si="13">ROUND(L80*U$2,0)</f>
        <v>719</v>
      </c>
      <c r="N80" s="1449">
        <f t="shared" ref="N80" si="14">ROUND(M80*V$2,0)</f>
        <v>736</v>
      </c>
      <c r="O80" s="1449">
        <f t="shared" ref="O80" si="15">ROUND(N80*W$2,0)</f>
        <v>753</v>
      </c>
      <c r="P80" s="134"/>
    </row>
    <row r="81" spans="1:16" ht="12.75" customHeight="1" x14ac:dyDescent="0.25">
      <c r="A81" s="1442">
        <v>604045</v>
      </c>
      <c r="B81" s="1436" t="str">
        <f>G73</f>
        <v>Vijverweg 1 (werf)</v>
      </c>
      <c r="D81" s="1458">
        <v>43803</v>
      </c>
      <c r="E81" s="1458"/>
      <c r="F81" s="1458"/>
      <c r="G81" s="1443" t="s">
        <v>1831</v>
      </c>
      <c r="I81" s="1452"/>
      <c r="J81" s="1449">
        <v>372</v>
      </c>
      <c r="K81" s="1449">
        <v>382</v>
      </c>
      <c r="L81" s="1449">
        <f t="shared" si="9"/>
        <v>390</v>
      </c>
      <c r="M81" s="1449">
        <f t="shared" ref="M81" si="16">ROUND(L81*U$2,0)</f>
        <v>399</v>
      </c>
      <c r="N81" s="1449">
        <f t="shared" ref="N81" si="17">ROUND(M81*V$2,0)</f>
        <v>408</v>
      </c>
      <c r="O81" s="1449">
        <f t="shared" ref="O81" si="18">ROUND(N81*W$2,0)</f>
        <v>417</v>
      </c>
      <c r="P81" s="134"/>
    </row>
    <row r="82" spans="1:16" ht="12.75" customHeight="1" x14ac:dyDescent="0.25">
      <c r="A82" s="1442">
        <v>604045</v>
      </c>
      <c r="B82" s="1436" t="str">
        <f>G73</f>
        <v>Vijverweg 1 (werf)</v>
      </c>
      <c r="D82" s="1458">
        <v>43806</v>
      </c>
      <c r="E82" s="1458"/>
      <c r="F82" s="1458"/>
      <c r="G82" s="1443" t="s">
        <v>1832</v>
      </c>
      <c r="I82" s="1452"/>
      <c r="J82" s="1449">
        <v>546</v>
      </c>
      <c r="K82" s="1449">
        <v>561</v>
      </c>
      <c r="L82" s="1449">
        <f t="shared" si="9"/>
        <v>573</v>
      </c>
      <c r="M82" s="1449">
        <f t="shared" ref="M82" si="19">ROUND(L82*U$2,0)</f>
        <v>586</v>
      </c>
      <c r="N82" s="1449">
        <f t="shared" ref="N82" si="20">ROUND(M82*V$2,0)</f>
        <v>599</v>
      </c>
      <c r="O82" s="1449">
        <f t="shared" ref="O82" si="21">ROUND(N82*W$2,0)</f>
        <v>613</v>
      </c>
      <c r="P82" s="134"/>
    </row>
    <row r="83" spans="1:16" ht="12.75" customHeight="1" x14ac:dyDescent="0.25">
      <c r="A83" s="1442">
        <v>604045</v>
      </c>
      <c r="B83" s="1436" t="str">
        <f>G73</f>
        <v>Vijverweg 1 (werf)</v>
      </c>
      <c r="D83" s="1458">
        <v>43806</v>
      </c>
      <c r="E83" s="1458"/>
      <c r="F83" s="1458"/>
      <c r="G83" s="1443" t="s">
        <v>1833</v>
      </c>
      <c r="I83" s="1452"/>
      <c r="J83" s="1449">
        <v>404</v>
      </c>
      <c r="K83" s="1449">
        <v>415</v>
      </c>
      <c r="L83" s="1449">
        <f t="shared" si="9"/>
        <v>424</v>
      </c>
      <c r="M83" s="1449">
        <f t="shared" ref="M83" si="22">ROUND(L83*U$2,0)</f>
        <v>434</v>
      </c>
      <c r="N83" s="1449">
        <f t="shared" ref="N83" si="23">ROUND(M83*V$2,0)</f>
        <v>444</v>
      </c>
      <c r="O83" s="1449">
        <f t="shared" ref="O83" si="24">ROUND(N83*W$2,0)</f>
        <v>454</v>
      </c>
      <c r="P83" s="134"/>
    </row>
    <row r="84" spans="1:16" ht="12.75" customHeight="1" x14ac:dyDescent="0.25">
      <c r="A84" s="1442">
        <v>604045</v>
      </c>
      <c r="B84" s="1436" t="str">
        <f>G73</f>
        <v>Vijverweg 1 (werf)</v>
      </c>
      <c r="D84" s="1458">
        <v>43806</v>
      </c>
      <c r="E84" s="1458"/>
      <c r="F84" s="1458"/>
      <c r="G84" s="1443" t="s">
        <v>980</v>
      </c>
      <c r="I84" s="1452"/>
      <c r="J84" s="1449">
        <v>3626</v>
      </c>
      <c r="K84" s="1449">
        <v>3728</v>
      </c>
      <c r="L84" s="1449">
        <f t="shared" si="9"/>
        <v>3806</v>
      </c>
      <c r="M84" s="1449">
        <f t="shared" ref="M84" si="25">ROUND(L84*U$2,0)</f>
        <v>3894</v>
      </c>
      <c r="N84" s="1449">
        <f t="shared" ref="N84" si="26">ROUND(M84*V$2,0)</f>
        <v>3984</v>
      </c>
      <c r="O84" s="1449">
        <f t="shared" ref="O84" si="27">ROUND(N84*W$2,0)</f>
        <v>4076</v>
      </c>
      <c r="P84" s="134"/>
    </row>
    <row r="85" spans="1:16" ht="12.75" customHeight="1" x14ac:dyDescent="0.25">
      <c r="A85" s="1442">
        <v>604045</v>
      </c>
      <c r="B85" s="1436" t="str">
        <f>G73</f>
        <v>Vijverweg 1 (werf)</v>
      </c>
      <c r="D85" s="1458">
        <v>43812</v>
      </c>
      <c r="E85" s="1458"/>
      <c r="F85" s="1458"/>
      <c r="G85" s="1443" t="s">
        <v>535</v>
      </c>
      <c r="I85" s="1452"/>
      <c r="J85" s="1452">
        <v>14627</v>
      </c>
      <c r="K85" s="1452">
        <v>15007</v>
      </c>
      <c r="L85" s="1452">
        <f>L293</f>
        <v>15322</v>
      </c>
      <c r="M85" s="1452">
        <f>M293</f>
        <v>15674</v>
      </c>
      <c r="N85" s="1452">
        <f>N293</f>
        <v>16035</v>
      </c>
      <c r="O85" s="1452">
        <f>O293</f>
        <v>16404</v>
      </c>
      <c r="P85" s="134"/>
    </row>
    <row r="86" spans="1:16" ht="12.75" customHeight="1" x14ac:dyDescent="0.25">
      <c r="A86" s="1442">
        <v>604045</v>
      </c>
      <c r="B86" s="1436" t="s">
        <v>1827</v>
      </c>
      <c r="D86" s="1458">
        <v>43814</v>
      </c>
      <c r="E86" s="1458"/>
      <c r="F86" s="1458"/>
      <c r="G86" s="1443" t="s">
        <v>1834</v>
      </c>
      <c r="I86" s="1452"/>
      <c r="J86" s="1452">
        <v>0</v>
      </c>
      <c r="K86" s="1452">
        <v>0</v>
      </c>
      <c r="L86" s="1452">
        <f>+L307</f>
        <v>0</v>
      </c>
      <c r="M86" s="1452">
        <f>+M307</f>
        <v>0</v>
      </c>
      <c r="N86" s="1452">
        <f>+N307</f>
        <v>0</v>
      </c>
      <c r="O86" s="1452">
        <f>+O307</f>
        <v>0</v>
      </c>
      <c r="P86" s="134"/>
    </row>
    <row r="87" spans="1:16" ht="12.75" customHeight="1" x14ac:dyDescent="0.25">
      <c r="A87" s="1442">
        <v>604045</v>
      </c>
      <c r="B87" s="1436" t="s">
        <v>1827</v>
      </c>
      <c r="D87" s="1458">
        <v>43817</v>
      </c>
      <c r="E87" s="1458"/>
      <c r="F87" s="1458"/>
      <c r="G87" s="1443" t="s">
        <v>1835</v>
      </c>
      <c r="I87" s="1452"/>
      <c r="J87" s="1452">
        <v>25368</v>
      </c>
      <c r="K87" s="1452">
        <v>26028</v>
      </c>
      <c r="L87" s="1452">
        <f>L311</f>
        <v>26575</v>
      </c>
      <c r="M87" s="1452">
        <f>M311</f>
        <v>27187</v>
      </c>
      <c r="N87" s="1452">
        <f>N311</f>
        <v>27812</v>
      </c>
      <c r="O87" s="1452">
        <f>O311</f>
        <v>28451</v>
      </c>
      <c r="P87" s="134"/>
    </row>
    <row r="88" spans="1:16" ht="12.75" customHeight="1" x14ac:dyDescent="0.25">
      <c r="A88" s="1442">
        <v>604045</v>
      </c>
      <c r="B88" s="1436" t="str">
        <f>G73</f>
        <v>Vijverweg 1 (werf)</v>
      </c>
      <c r="D88" s="1458">
        <v>47201</v>
      </c>
      <c r="E88" s="1458"/>
      <c r="F88" s="1458"/>
      <c r="G88" s="1443" t="s">
        <v>1836</v>
      </c>
      <c r="I88" s="1452"/>
      <c r="J88" s="1452">
        <v>17122</v>
      </c>
      <c r="K88" s="1452">
        <v>20978.142821183999</v>
      </c>
      <c r="L88" s="1452">
        <v>22027.0499622432</v>
      </c>
      <c r="M88" s="1452">
        <v>23128.402460355363</v>
      </c>
      <c r="N88" s="1452">
        <v>24284.82258337313</v>
      </c>
      <c r="O88" s="1503">
        <v>0</v>
      </c>
      <c r="P88" s="134"/>
    </row>
    <row r="89" spans="1:16" ht="12.75" customHeight="1" x14ac:dyDescent="0.25">
      <c r="A89" s="1442">
        <v>604045</v>
      </c>
      <c r="B89" s="1436" t="s">
        <v>1827</v>
      </c>
      <c r="D89" s="1458">
        <v>47300</v>
      </c>
      <c r="E89" s="1458"/>
      <c r="F89" s="1458"/>
      <c r="G89" s="1443" t="s">
        <v>1033</v>
      </c>
      <c r="I89" s="1452"/>
      <c r="J89" s="1452">
        <v>31559</v>
      </c>
      <c r="K89" s="1452">
        <v>31559</v>
      </c>
      <c r="L89" s="1452">
        <v>31559</v>
      </c>
      <c r="M89" s="1452">
        <v>31559</v>
      </c>
      <c r="N89" s="1452">
        <v>31559</v>
      </c>
      <c r="O89" s="1503">
        <v>0</v>
      </c>
      <c r="P89" s="134"/>
    </row>
    <row r="90" spans="1:16" ht="12.75" customHeight="1" x14ac:dyDescent="0.25">
      <c r="A90" s="1442"/>
      <c r="D90" s="1447"/>
      <c r="E90" s="1447"/>
      <c r="F90" s="1447"/>
      <c r="G90" s="1443"/>
      <c r="I90" s="1452"/>
      <c r="J90" s="1449"/>
      <c r="K90" s="1449"/>
      <c r="L90" s="1449"/>
      <c r="M90" s="1449"/>
      <c r="N90" s="1449"/>
      <c r="O90" s="1449"/>
      <c r="P90" s="134"/>
    </row>
    <row r="91" spans="1:16" ht="12.75" customHeight="1" x14ac:dyDescent="0.25">
      <c r="A91" s="1442"/>
      <c r="D91" s="1447"/>
      <c r="E91" s="1447"/>
      <c r="F91" s="1447"/>
      <c r="G91" s="1453" t="s">
        <v>536</v>
      </c>
      <c r="H91" s="549"/>
      <c r="I91" s="1454"/>
      <c r="J91" s="1826">
        <v>131540</v>
      </c>
      <c r="K91" s="1826">
        <v>137598.14282118401</v>
      </c>
      <c r="L91" s="1826">
        <f>SUM(L75:L90)</f>
        <v>140429.04996224318</v>
      </c>
      <c r="M91" s="1826">
        <f>SUM(M75:M90)</f>
        <v>143526.40246035537</v>
      </c>
      <c r="N91" s="1826">
        <f>SUM(N75:N90)</f>
        <v>146724.87258337313</v>
      </c>
      <c r="O91" s="1826">
        <f>SUM(O75:O90)</f>
        <v>92967.42</v>
      </c>
      <c r="P91" s="134"/>
    </row>
    <row r="92" spans="1:16" ht="12.75" customHeight="1" x14ac:dyDescent="0.25">
      <c r="A92" s="1442"/>
      <c r="D92" s="1447"/>
      <c r="E92" s="1447"/>
      <c r="F92" s="1447"/>
      <c r="G92" s="1443"/>
      <c r="I92" s="141"/>
      <c r="J92" s="1449"/>
      <c r="K92" s="1449"/>
      <c r="L92" s="1449"/>
      <c r="M92" s="1449"/>
      <c r="N92" s="1449"/>
      <c r="O92" s="1449"/>
      <c r="P92" s="134"/>
    </row>
    <row r="93" spans="1:16" ht="12.75" customHeight="1" x14ac:dyDescent="0.25">
      <c r="A93" s="1442"/>
      <c r="D93" s="1450">
        <v>604046</v>
      </c>
      <c r="E93" s="1451"/>
      <c r="F93" s="1451"/>
      <c r="G93" s="1453" t="s">
        <v>1837</v>
      </c>
      <c r="I93" s="1452"/>
      <c r="J93" s="1449"/>
      <c r="K93" s="1449"/>
      <c r="L93" s="1449"/>
      <c r="M93" s="1449"/>
      <c r="N93" s="1449"/>
      <c r="O93" s="1449"/>
      <c r="P93" s="134"/>
    </row>
    <row r="94" spans="1:16" ht="12.75" customHeight="1" x14ac:dyDescent="0.25">
      <c r="A94" s="1442"/>
      <c r="D94" s="1447"/>
      <c r="E94" s="1447"/>
      <c r="F94" s="1447"/>
      <c r="G94" s="1456" t="s">
        <v>533</v>
      </c>
      <c r="I94" s="1452"/>
      <c r="J94" s="1449"/>
      <c r="K94" s="1449"/>
      <c r="L94" s="1449"/>
      <c r="M94" s="1449"/>
      <c r="N94" s="1449"/>
      <c r="O94" s="1449"/>
      <c r="P94" s="134"/>
    </row>
    <row r="95" spans="1:16" ht="12.75" customHeight="1" x14ac:dyDescent="0.25">
      <c r="A95" s="1442">
        <v>604046</v>
      </c>
      <c r="B95" s="1436" t="str">
        <f>G93</f>
        <v>Gereedschappen</v>
      </c>
      <c r="D95" s="1458">
        <v>43803</v>
      </c>
      <c r="E95" s="1458"/>
      <c r="F95" s="1458"/>
      <c r="G95" s="1443" t="s">
        <v>1831</v>
      </c>
      <c r="I95" s="1452"/>
      <c r="J95" s="1449">
        <v>135</v>
      </c>
      <c r="K95" s="1449">
        <v>139</v>
      </c>
      <c r="L95" s="1449">
        <f>ROUND(K95*T$2,0)</f>
        <v>142</v>
      </c>
      <c r="M95" s="1449">
        <f t="shared" ref="M95:O95" si="28">ROUND(L95*U$2,0)</f>
        <v>145</v>
      </c>
      <c r="N95" s="1449">
        <f t="shared" si="28"/>
        <v>148</v>
      </c>
      <c r="O95" s="1449">
        <f t="shared" si="28"/>
        <v>151</v>
      </c>
      <c r="P95" s="134"/>
    </row>
    <row r="96" spans="1:16" ht="12.75" customHeight="1" x14ac:dyDescent="0.25">
      <c r="A96" s="1442">
        <v>604046</v>
      </c>
      <c r="B96" s="1436" t="str">
        <f>G93</f>
        <v>Gereedschappen</v>
      </c>
      <c r="D96" s="1458">
        <v>43812</v>
      </c>
      <c r="E96" s="1458"/>
      <c r="F96" s="1458"/>
      <c r="G96" s="1443" t="s">
        <v>535</v>
      </c>
      <c r="I96" s="1452"/>
      <c r="J96" s="1452">
        <v>18923</v>
      </c>
      <c r="K96" s="1452">
        <v>19415</v>
      </c>
      <c r="L96" s="1452">
        <f>L321</f>
        <v>19822</v>
      </c>
      <c r="M96" s="1452">
        <f>M321</f>
        <v>20278</v>
      </c>
      <c r="N96" s="1452">
        <f>N321</f>
        <v>20745</v>
      </c>
      <c r="O96" s="1452">
        <f>O321</f>
        <v>21222</v>
      </c>
      <c r="P96" s="134"/>
    </row>
    <row r="97" spans="1:32" ht="12.75" customHeight="1" x14ac:dyDescent="0.25">
      <c r="A97" s="1442">
        <v>604046</v>
      </c>
      <c r="B97" s="1436" t="str">
        <f>G93</f>
        <v>Gereedschappen</v>
      </c>
      <c r="D97" s="1458">
        <v>43818</v>
      </c>
      <c r="E97" s="1458"/>
      <c r="F97" s="1458"/>
      <c r="G97" s="1443" t="s">
        <v>1838</v>
      </c>
      <c r="I97" s="1452"/>
      <c r="J97" s="1452">
        <v>8290</v>
      </c>
      <c r="K97" s="1452">
        <v>8505</v>
      </c>
      <c r="L97" s="1452">
        <f>L326</f>
        <v>8684</v>
      </c>
      <c r="M97" s="1452">
        <f>M326</f>
        <v>8884</v>
      </c>
      <c r="N97" s="1452">
        <f>N326</f>
        <v>9089</v>
      </c>
      <c r="O97" s="1452">
        <f>O326</f>
        <v>9298</v>
      </c>
      <c r="P97" s="134"/>
    </row>
    <row r="98" spans="1:32" ht="12.75" customHeight="1" x14ac:dyDescent="0.25">
      <c r="A98" s="1442">
        <v>604046</v>
      </c>
      <c r="B98" s="1436" t="s">
        <v>1837</v>
      </c>
      <c r="D98" s="1458">
        <v>47300</v>
      </c>
      <c r="E98" s="1458"/>
      <c r="F98" s="1458"/>
      <c r="G98" s="1443" t="s">
        <v>1033</v>
      </c>
      <c r="I98" s="1452"/>
      <c r="J98" s="1452">
        <v>0</v>
      </c>
      <c r="K98" s="1452">
        <v>0</v>
      </c>
      <c r="L98" s="1452">
        <v>0</v>
      </c>
      <c r="M98" s="1452">
        <v>0</v>
      </c>
      <c r="N98" s="1452">
        <v>0</v>
      </c>
      <c r="O98" s="1452">
        <v>0</v>
      </c>
      <c r="P98" s="134"/>
    </row>
    <row r="99" spans="1:32" ht="12.75" customHeight="1" x14ac:dyDescent="0.25">
      <c r="A99" s="1442"/>
      <c r="D99" s="1447"/>
      <c r="E99" s="1447"/>
      <c r="F99" s="1447"/>
      <c r="G99" s="1443"/>
      <c r="I99" s="1452"/>
      <c r="J99" s="1449"/>
      <c r="K99" s="1449"/>
      <c r="L99" s="1449"/>
      <c r="M99" s="1449"/>
      <c r="N99" s="1449"/>
      <c r="O99" s="1449"/>
      <c r="P99" s="134"/>
    </row>
    <row r="100" spans="1:32" ht="12.75" customHeight="1" x14ac:dyDescent="0.25">
      <c r="A100" s="1442"/>
      <c r="D100" s="1447"/>
      <c r="E100" s="1447"/>
      <c r="F100" s="1447"/>
      <c r="G100" s="1453" t="s">
        <v>536</v>
      </c>
      <c r="H100" s="549"/>
      <c r="I100" s="1454"/>
      <c r="J100" s="1826">
        <v>27348</v>
      </c>
      <c r="K100" s="1826">
        <v>28059</v>
      </c>
      <c r="L100" s="1826">
        <f>SUM(L95:L99)</f>
        <v>28648</v>
      </c>
      <c r="M100" s="1826">
        <f>SUM(M95:M99)</f>
        <v>29307</v>
      </c>
      <c r="N100" s="1826">
        <f>SUM(N95:N99)</f>
        <v>29982</v>
      </c>
      <c r="O100" s="1826">
        <f>SUM(O95:O99)</f>
        <v>30671</v>
      </c>
      <c r="P100" s="134"/>
    </row>
    <row r="101" spans="1:32" ht="12.75" customHeight="1" x14ac:dyDescent="0.25">
      <c r="A101" s="1442"/>
      <c r="D101" s="1447"/>
      <c r="E101" s="1447"/>
      <c r="F101" s="1447"/>
      <c r="G101" s="1443"/>
      <c r="I101" s="1452"/>
      <c r="J101" s="1449"/>
      <c r="K101" s="1449"/>
      <c r="L101" s="1449"/>
      <c r="M101" s="1449"/>
      <c r="N101" s="1449"/>
      <c r="O101" s="1449"/>
      <c r="P101" s="134"/>
    </row>
    <row r="102" spans="1:32" ht="12.75" customHeight="1" x14ac:dyDescent="0.25">
      <c r="A102" s="1442"/>
      <c r="D102" s="1450">
        <v>604048</v>
      </c>
      <c r="E102" s="1451"/>
      <c r="F102" s="1451"/>
      <c r="G102" s="1453" t="s">
        <v>1839</v>
      </c>
      <c r="I102" s="1452"/>
      <c r="J102" s="1449"/>
      <c r="K102" s="1449"/>
      <c r="L102" s="1449"/>
      <c r="M102" s="1449"/>
      <c r="N102" s="1449"/>
      <c r="O102" s="1449"/>
      <c r="P102" s="134"/>
    </row>
    <row r="103" spans="1:32" s="1436" customFormat="1" ht="12.75" customHeight="1" x14ac:dyDescent="0.25">
      <c r="A103" s="1442"/>
      <c r="B103" s="1434"/>
      <c r="C103" s="1435"/>
      <c r="D103" s="1447"/>
      <c r="E103" s="1447"/>
      <c r="F103" s="1447"/>
      <c r="G103" s="1456" t="s">
        <v>533</v>
      </c>
      <c r="H103" s="1434"/>
      <c r="I103" s="1452"/>
      <c r="J103" s="1449"/>
      <c r="K103" s="1449"/>
      <c r="L103" s="1449"/>
      <c r="M103" s="1449"/>
      <c r="N103" s="1449"/>
      <c r="O103" s="1449"/>
      <c r="P103" s="134"/>
      <c r="Q103" s="117"/>
      <c r="R103" s="117"/>
      <c r="S103" s="117"/>
      <c r="T103" s="117"/>
      <c r="U103" s="117"/>
      <c r="V103" s="117"/>
      <c r="W103" s="117"/>
      <c r="X103" s="117"/>
      <c r="Y103" s="117"/>
      <c r="Z103" s="117"/>
      <c r="AA103" s="117"/>
      <c r="AB103" s="1434"/>
      <c r="AC103" s="1434"/>
      <c r="AD103" s="1434"/>
      <c r="AE103" s="1434"/>
      <c r="AF103" s="1434"/>
    </row>
    <row r="104" spans="1:32" ht="12.75" customHeight="1" x14ac:dyDescent="0.25">
      <c r="A104" s="1442">
        <v>604048</v>
      </c>
      <c r="B104" s="1436" t="str">
        <f>G102</f>
        <v xml:space="preserve">Vervoermiddelen (algemeen) </v>
      </c>
      <c r="D104" s="1458">
        <v>42100</v>
      </c>
      <c r="E104" s="1458"/>
      <c r="F104" s="1458"/>
      <c r="G104" s="1443" t="s">
        <v>1840</v>
      </c>
      <c r="I104" s="1452"/>
      <c r="J104" s="1449">
        <v>13510</v>
      </c>
      <c r="K104" s="1449">
        <v>13861</v>
      </c>
      <c r="L104" s="1449">
        <f t="shared" ref="L104:M105" si="29">+L329</f>
        <v>14151</v>
      </c>
      <c r="M104" s="1449">
        <f t="shared" si="29"/>
        <v>14477</v>
      </c>
      <c r="N104" s="1449">
        <f t="shared" ref="N104:O104" si="30">+N329</f>
        <v>14810</v>
      </c>
      <c r="O104" s="1449">
        <f t="shared" si="30"/>
        <v>15150</v>
      </c>
      <c r="P104" s="134"/>
      <c r="AB104" s="1436"/>
      <c r="AC104" s="1436"/>
      <c r="AD104" s="1436"/>
      <c r="AE104" s="1436"/>
      <c r="AF104" s="1436"/>
    </row>
    <row r="105" spans="1:32" ht="12.75" customHeight="1" x14ac:dyDescent="0.25">
      <c r="A105" s="1442">
        <v>604048</v>
      </c>
      <c r="B105" s="1436" t="str">
        <f>G102</f>
        <v xml:space="preserve">Vervoermiddelen (algemeen) </v>
      </c>
      <c r="D105" s="1458">
        <v>43803</v>
      </c>
      <c r="E105" s="1458"/>
      <c r="F105" s="1458"/>
      <c r="G105" s="1443" t="s">
        <v>1831</v>
      </c>
      <c r="I105" s="1452"/>
      <c r="J105" s="1449">
        <v>15986</v>
      </c>
      <c r="K105" s="1449">
        <v>16402</v>
      </c>
      <c r="L105" s="1449">
        <f t="shared" si="29"/>
        <v>16747</v>
      </c>
      <c r="M105" s="1449">
        <f t="shared" si="29"/>
        <v>17132</v>
      </c>
      <c r="N105" s="1449">
        <f t="shared" ref="N105:O105" si="31">+N330</f>
        <v>17526</v>
      </c>
      <c r="O105" s="1449">
        <f t="shared" si="31"/>
        <v>17930</v>
      </c>
      <c r="P105" s="134"/>
    </row>
    <row r="106" spans="1:32" ht="12.75" customHeight="1" x14ac:dyDescent="0.25">
      <c r="A106" s="1442">
        <v>604048</v>
      </c>
      <c r="B106" s="1436" t="str">
        <f>G104</f>
        <v>Belastingen en heffingen (motorrijtuigenbelasting)</v>
      </c>
      <c r="D106" s="1458">
        <v>43805</v>
      </c>
      <c r="E106" s="1458"/>
      <c r="F106" s="1458"/>
      <c r="G106" s="1443" t="s">
        <v>730</v>
      </c>
      <c r="I106" s="1452"/>
      <c r="J106" s="1449">
        <f>J331</f>
        <v>0</v>
      </c>
      <c r="K106" s="1449">
        <f t="shared" ref="K106:O106" si="32">K331</f>
        <v>21489</v>
      </c>
      <c r="L106" s="1449">
        <f t="shared" si="32"/>
        <v>1940</v>
      </c>
      <c r="M106" s="1449">
        <f t="shared" si="32"/>
        <v>0</v>
      </c>
      <c r="N106" s="1449">
        <f t="shared" si="32"/>
        <v>0</v>
      </c>
      <c r="O106" s="1449">
        <f t="shared" si="32"/>
        <v>0</v>
      </c>
      <c r="P106" s="134"/>
    </row>
    <row r="107" spans="1:32" ht="12.75" customHeight="1" x14ac:dyDescent="0.25">
      <c r="A107" s="1442">
        <v>604048</v>
      </c>
      <c r="B107" s="1436" t="str">
        <f>G102</f>
        <v xml:space="preserve">Vervoermiddelen (algemeen) </v>
      </c>
      <c r="D107" s="1458">
        <v>43806</v>
      </c>
      <c r="E107" s="1458"/>
      <c r="F107" s="1458"/>
      <c r="G107" s="1443" t="s">
        <v>546</v>
      </c>
      <c r="I107" s="1452"/>
      <c r="J107" s="1449">
        <v>23262</v>
      </c>
      <c r="K107" s="1449">
        <v>23867</v>
      </c>
      <c r="L107" s="1449">
        <f>+L332</f>
        <v>24368</v>
      </c>
      <c r="M107" s="1449">
        <f>+M332</f>
        <v>24928</v>
      </c>
      <c r="N107" s="1449">
        <f t="shared" ref="N107:O107" si="33">+N332</f>
        <v>25501</v>
      </c>
      <c r="O107" s="1449">
        <f t="shared" si="33"/>
        <v>26088</v>
      </c>
      <c r="P107" s="134"/>
    </row>
    <row r="108" spans="1:32" ht="12.75" customHeight="1" x14ac:dyDescent="0.25">
      <c r="A108" s="1442">
        <v>604048</v>
      </c>
      <c r="B108" s="1434" t="str">
        <f>G102</f>
        <v xml:space="preserve">Vervoermiddelen (algemeen) </v>
      </c>
      <c r="D108" s="1458">
        <v>43812</v>
      </c>
      <c r="E108" s="1458"/>
      <c r="F108" s="1458"/>
      <c r="G108" s="1443" t="s">
        <v>535</v>
      </c>
      <c r="I108" s="1452"/>
      <c r="J108" s="1449">
        <v>6811</v>
      </c>
      <c r="K108" s="1449">
        <v>6988</v>
      </c>
      <c r="L108" s="1449">
        <f>+L333</f>
        <v>7134</v>
      </c>
      <c r="M108" s="1449">
        <f>+M333</f>
        <v>7298</v>
      </c>
      <c r="N108" s="1449">
        <f t="shared" ref="N108:O108" si="34">+N333</f>
        <v>7466</v>
      </c>
      <c r="O108" s="1449">
        <f t="shared" si="34"/>
        <v>7637</v>
      </c>
      <c r="P108" s="134"/>
    </row>
    <row r="109" spans="1:32" ht="12.75" customHeight="1" x14ac:dyDescent="0.25">
      <c r="A109" s="1442">
        <v>604048</v>
      </c>
      <c r="B109" s="1434" t="s">
        <v>1839</v>
      </c>
      <c r="D109" s="1458">
        <v>47300</v>
      </c>
      <c r="E109" s="1458"/>
      <c r="F109" s="1458"/>
      <c r="G109" s="1443" t="s">
        <v>1033</v>
      </c>
      <c r="I109" s="1452"/>
      <c r="J109" s="1449">
        <v>54599</v>
      </c>
      <c r="K109" s="1449">
        <v>17853</v>
      </c>
      <c r="L109" s="1449">
        <f>21704</f>
        <v>21704</v>
      </c>
      <c r="M109" s="1449">
        <f>29829</f>
        <v>29829</v>
      </c>
      <c r="N109" s="1449">
        <f>29813</f>
        <v>29813</v>
      </c>
      <c r="O109" s="2078">
        <v>0</v>
      </c>
      <c r="P109" s="134"/>
    </row>
    <row r="110" spans="1:32" ht="12.75" customHeight="1" x14ac:dyDescent="0.25">
      <c r="A110" s="1442"/>
      <c r="D110" s="1447"/>
      <c r="E110" s="1447"/>
      <c r="F110" s="1447"/>
      <c r="G110" s="1443"/>
      <c r="I110" s="1452"/>
      <c r="J110" s="1449"/>
      <c r="K110" s="1449"/>
      <c r="L110" s="1449"/>
      <c r="M110" s="1449"/>
      <c r="N110" s="1449"/>
      <c r="O110" s="1449"/>
      <c r="P110" s="134"/>
    </row>
    <row r="111" spans="1:32" ht="12.75" customHeight="1" x14ac:dyDescent="0.25">
      <c r="A111" s="1442"/>
      <c r="D111" s="1447"/>
      <c r="E111" s="1447"/>
      <c r="F111" s="1447"/>
      <c r="G111" s="1453" t="s">
        <v>536</v>
      </c>
      <c r="H111" s="549"/>
      <c r="I111" s="1454"/>
      <c r="J111" s="1826">
        <v>114168</v>
      </c>
      <c r="K111" s="1826">
        <f>SUM(K104:K110)</f>
        <v>100460</v>
      </c>
      <c r="L111" s="1826">
        <f>SUM(L104:L110)</f>
        <v>86044</v>
      </c>
      <c r="M111" s="1826">
        <f>SUM(M104:M110)</f>
        <v>93664</v>
      </c>
      <c r="N111" s="1826">
        <f>SUM(N104:N110)</f>
        <v>95116</v>
      </c>
      <c r="O111" s="1826">
        <f>SUM(O104:O110)</f>
        <v>66805</v>
      </c>
      <c r="P111" s="134"/>
    </row>
    <row r="112" spans="1:32" ht="12.75" customHeight="1" x14ac:dyDescent="0.25">
      <c r="A112" s="1442"/>
      <c r="D112" s="1447"/>
      <c r="E112" s="1447"/>
      <c r="F112" s="1447"/>
      <c r="G112" s="1443"/>
      <c r="I112" s="1452"/>
      <c r="J112" s="1449"/>
      <c r="K112" s="1449"/>
      <c r="L112" s="1449"/>
      <c r="M112" s="1449"/>
      <c r="N112" s="1449"/>
      <c r="O112" s="1449"/>
      <c r="P112" s="134"/>
    </row>
    <row r="113" spans="1:16" ht="12.75" customHeight="1" x14ac:dyDescent="0.25">
      <c r="A113" s="1442"/>
      <c r="B113" s="1436"/>
      <c r="D113" s="1458"/>
      <c r="E113" s="1458"/>
      <c r="F113" s="1458"/>
      <c r="G113" s="1453" t="s">
        <v>1841</v>
      </c>
      <c r="I113" s="1452"/>
      <c r="J113" s="1449"/>
      <c r="K113" s="1449"/>
      <c r="L113" s="1449"/>
      <c r="M113" s="1449"/>
      <c r="N113" s="1449"/>
      <c r="O113" s="1449"/>
      <c r="P113" s="134"/>
    </row>
    <row r="114" spans="1:16" ht="12.75" customHeight="1" x14ac:dyDescent="0.25">
      <c r="A114" s="1442"/>
      <c r="D114" s="1447"/>
      <c r="E114" s="1434"/>
      <c r="F114" s="1447"/>
      <c r="G114" s="1459" t="s">
        <v>1842</v>
      </c>
      <c r="I114" s="141">
        <v>0</v>
      </c>
      <c r="J114" s="1449"/>
      <c r="K114" s="1449"/>
      <c r="L114" s="1449"/>
      <c r="M114" s="1449"/>
      <c r="N114" s="1449"/>
      <c r="O114" s="1449"/>
      <c r="P114" s="134"/>
    </row>
    <row r="115" spans="1:16" ht="12.75" customHeight="1" x14ac:dyDescent="0.25">
      <c r="A115" s="1442"/>
      <c r="B115" s="1434" t="s">
        <v>1827</v>
      </c>
      <c r="D115" s="1447">
        <v>42100</v>
      </c>
      <c r="E115" s="1434"/>
      <c r="F115" s="1447"/>
      <c r="G115" s="1443" t="s">
        <v>978</v>
      </c>
      <c r="I115" s="141"/>
      <c r="J115" s="1449">
        <v>0</v>
      </c>
      <c r="K115" s="1449">
        <v>0</v>
      </c>
      <c r="L115" s="1449">
        <f t="shared" ref="L115:M122" si="35">-L75*$I$114</f>
        <v>0</v>
      </c>
      <c r="M115" s="1449">
        <f t="shared" si="35"/>
        <v>0</v>
      </c>
      <c r="N115" s="1449">
        <f t="shared" ref="N115:O115" si="36">-N75*$I$114</f>
        <v>0</v>
      </c>
      <c r="O115" s="1449">
        <f t="shared" si="36"/>
        <v>0</v>
      </c>
      <c r="P115" s="134"/>
    </row>
    <row r="116" spans="1:16" ht="12.75" customHeight="1" x14ac:dyDescent="0.25">
      <c r="A116" s="1442"/>
      <c r="B116" s="1434" t="s">
        <v>1827</v>
      </c>
      <c r="D116" s="1447">
        <v>42100</v>
      </c>
      <c r="E116" s="1434"/>
      <c r="F116" s="1447"/>
      <c r="G116" s="1443" t="s">
        <v>979</v>
      </c>
      <c r="I116" s="141"/>
      <c r="J116" s="1449">
        <v>0</v>
      </c>
      <c r="K116" s="1449">
        <v>0</v>
      </c>
      <c r="L116" s="1449">
        <f t="shared" si="35"/>
        <v>0</v>
      </c>
      <c r="M116" s="1449">
        <f t="shared" si="35"/>
        <v>0</v>
      </c>
      <c r="N116" s="1449">
        <f t="shared" ref="N116:O116" si="37">-N76*$I$114</f>
        <v>0</v>
      </c>
      <c r="O116" s="1449">
        <f t="shared" si="37"/>
        <v>0</v>
      </c>
      <c r="P116" s="134"/>
    </row>
    <row r="117" spans="1:16" ht="12.75" customHeight="1" x14ac:dyDescent="0.25">
      <c r="A117" s="1442"/>
      <c r="B117" s="1434" t="s">
        <v>1827</v>
      </c>
      <c r="D117" s="1447">
        <v>42100</v>
      </c>
      <c r="E117" s="1447"/>
      <c r="F117" s="1447"/>
      <c r="G117" s="1443" t="s">
        <v>1578</v>
      </c>
      <c r="I117" s="141"/>
      <c r="J117" s="1449">
        <v>0</v>
      </c>
      <c r="K117" s="1449">
        <v>0</v>
      </c>
      <c r="L117" s="1449">
        <f t="shared" si="35"/>
        <v>0</v>
      </c>
      <c r="M117" s="1449">
        <f t="shared" si="35"/>
        <v>0</v>
      </c>
      <c r="N117" s="1449">
        <f t="shared" ref="N117:O117" si="38">-N77*$I$114</f>
        <v>0</v>
      </c>
      <c r="O117" s="1449">
        <f t="shared" si="38"/>
        <v>0</v>
      </c>
      <c r="P117" s="134"/>
    </row>
    <row r="118" spans="1:16" ht="12.75" customHeight="1" x14ac:dyDescent="0.25">
      <c r="A118" s="1442"/>
      <c r="B118" s="1434" t="s">
        <v>1827</v>
      </c>
      <c r="D118" s="1447">
        <v>43511</v>
      </c>
      <c r="E118" s="1447"/>
      <c r="F118" s="1447"/>
      <c r="G118" s="1443" t="s">
        <v>560</v>
      </c>
      <c r="I118" s="141"/>
      <c r="J118" s="1449">
        <v>0</v>
      </c>
      <c r="K118" s="1449">
        <v>0</v>
      </c>
      <c r="L118" s="1449">
        <f t="shared" si="35"/>
        <v>0</v>
      </c>
      <c r="M118" s="1449">
        <f t="shared" si="35"/>
        <v>0</v>
      </c>
      <c r="N118" s="1449">
        <f t="shared" ref="N118:O118" si="39">-N78*$I$114</f>
        <v>0</v>
      </c>
      <c r="O118" s="1449">
        <f t="shared" si="39"/>
        <v>0</v>
      </c>
      <c r="P118" s="134"/>
    </row>
    <row r="119" spans="1:16" ht="12.75" customHeight="1" x14ac:dyDescent="0.25">
      <c r="A119" s="1442"/>
      <c r="B119" s="1434" t="s">
        <v>1827</v>
      </c>
      <c r="D119" s="1447">
        <v>43801</v>
      </c>
      <c r="E119" s="1447"/>
      <c r="F119" s="1447"/>
      <c r="G119" s="1443" t="s">
        <v>996</v>
      </c>
      <c r="I119" s="141"/>
      <c r="J119" s="1449">
        <v>0</v>
      </c>
      <c r="K119" s="1449">
        <v>0</v>
      </c>
      <c r="L119" s="1449">
        <f t="shared" si="35"/>
        <v>0</v>
      </c>
      <c r="M119" s="1449">
        <f t="shared" si="35"/>
        <v>0</v>
      </c>
      <c r="N119" s="1449">
        <f t="shared" ref="N119:O119" si="40">-N79*$I$114</f>
        <v>0</v>
      </c>
      <c r="O119" s="1449">
        <f t="shared" si="40"/>
        <v>0</v>
      </c>
      <c r="P119" s="134"/>
    </row>
    <row r="120" spans="1:16" ht="12.75" customHeight="1" x14ac:dyDescent="0.25">
      <c r="A120" s="1442"/>
      <c r="B120" s="1434" t="s">
        <v>1827</v>
      </c>
      <c r="D120" s="1447">
        <v>43802</v>
      </c>
      <c r="E120" s="1447"/>
      <c r="F120" s="1447"/>
      <c r="G120" s="1443" t="s">
        <v>991</v>
      </c>
      <c r="I120" s="141"/>
      <c r="J120" s="1449">
        <v>0</v>
      </c>
      <c r="K120" s="1449">
        <v>0</v>
      </c>
      <c r="L120" s="1449">
        <f t="shared" si="35"/>
        <v>0</v>
      </c>
      <c r="M120" s="1449">
        <f t="shared" si="35"/>
        <v>0</v>
      </c>
      <c r="N120" s="1449">
        <f t="shared" ref="N120:O120" si="41">-N80*$I$114</f>
        <v>0</v>
      </c>
      <c r="O120" s="1449">
        <f t="shared" si="41"/>
        <v>0</v>
      </c>
      <c r="P120" s="134"/>
    </row>
    <row r="121" spans="1:16" ht="12.75" customHeight="1" x14ac:dyDescent="0.25">
      <c r="A121" s="1442"/>
      <c r="B121" s="1434" t="s">
        <v>1827</v>
      </c>
      <c r="D121" s="1447">
        <v>43803</v>
      </c>
      <c r="E121" s="1447"/>
      <c r="F121" s="1447"/>
      <c r="G121" s="1443" t="s">
        <v>1831</v>
      </c>
      <c r="I121" s="141"/>
      <c r="J121" s="1449">
        <v>0</v>
      </c>
      <c r="K121" s="1449">
        <v>0</v>
      </c>
      <c r="L121" s="1449">
        <f t="shared" si="35"/>
        <v>0</v>
      </c>
      <c r="M121" s="1449">
        <f t="shared" si="35"/>
        <v>0</v>
      </c>
      <c r="N121" s="1449">
        <f t="shared" ref="N121:O121" si="42">-N81*$I$114</f>
        <v>0</v>
      </c>
      <c r="O121" s="1449">
        <f t="shared" si="42"/>
        <v>0</v>
      </c>
      <c r="P121" s="134"/>
    </row>
    <row r="122" spans="1:16" ht="12.75" customHeight="1" x14ac:dyDescent="0.25">
      <c r="A122" s="1442"/>
      <c r="B122" s="1434" t="s">
        <v>1827</v>
      </c>
      <c r="D122" s="1447">
        <v>43806</v>
      </c>
      <c r="E122" s="1447"/>
      <c r="F122" s="1447"/>
      <c r="G122" s="1443" t="s">
        <v>1832</v>
      </c>
      <c r="I122" s="141"/>
      <c r="J122" s="1449">
        <v>0</v>
      </c>
      <c r="K122" s="1449">
        <v>0</v>
      </c>
      <c r="L122" s="1449">
        <f t="shared" si="35"/>
        <v>0</v>
      </c>
      <c r="M122" s="1449">
        <f t="shared" si="35"/>
        <v>0</v>
      </c>
      <c r="N122" s="1449">
        <f t="shared" ref="N122:O122" si="43">-N82*$I$114</f>
        <v>0</v>
      </c>
      <c r="O122" s="1449">
        <f t="shared" si="43"/>
        <v>0</v>
      </c>
      <c r="P122" s="134"/>
    </row>
    <row r="123" spans="1:16" ht="12.75" customHeight="1" x14ac:dyDescent="0.25">
      <c r="A123" s="1442"/>
      <c r="B123" s="1434" t="s">
        <v>1827</v>
      </c>
      <c r="D123" s="1447">
        <v>43806</v>
      </c>
      <c r="E123" s="1447"/>
      <c r="F123" s="1447"/>
      <c r="G123" s="1443" t="s">
        <v>980</v>
      </c>
      <c r="I123" s="141"/>
      <c r="J123" s="1449">
        <v>0</v>
      </c>
      <c r="K123" s="1449">
        <v>0</v>
      </c>
      <c r="L123" s="1449">
        <f t="shared" ref="L123:M127" si="44">-L84*$I$114</f>
        <v>0</v>
      </c>
      <c r="M123" s="1449">
        <f t="shared" si="44"/>
        <v>0</v>
      </c>
      <c r="N123" s="1449">
        <f t="shared" ref="N123:O123" si="45">-N84*$I$114</f>
        <v>0</v>
      </c>
      <c r="O123" s="1449">
        <f t="shared" si="45"/>
        <v>0</v>
      </c>
      <c r="P123" s="134"/>
    </row>
    <row r="124" spans="1:16" ht="12.75" customHeight="1" x14ac:dyDescent="0.25">
      <c r="A124" s="1442"/>
      <c r="B124" s="1434" t="s">
        <v>1827</v>
      </c>
      <c r="D124" s="1447">
        <v>43812</v>
      </c>
      <c r="E124" s="1447"/>
      <c r="F124" s="1447"/>
      <c r="G124" s="1443" t="s">
        <v>535</v>
      </c>
      <c r="I124" s="141"/>
      <c r="J124" s="1449">
        <v>0</v>
      </c>
      <c r="K124" s="1449">
        <v>0</v>
      </c>
      <c r="L124" s="1449">
        <f t="shared" si="44"/>
        <v>0</v>
      </c>
      <c r="M124" s="1449">
        <f t="shared" si="44"/>
        <v>0</v>
      </c>
      <c r="N124" s="1449">
        <f t="shared" ref="N124:O124" si="46">-N85*$I$114</f>
        <v>0</v>
      </c>
      <c r="O124" s="1449">
        <f t="shared" si="46"/>
        <v>0</v>
      </c>
      <c r="P124" s="134"/>
    </row>
    <row r="125" spans="1:16" ht="12.75" customHeight="1" x14ac:dyDescent="0.25">
      <c r="A125" s="1442"/>
      <c r="B125" s="1434" t="s">
        <v>1827</v>
      </c>
      <c r="D125" s="1447">
        <v>43814</v>
      </c>
      <c r="E125" s="1447"/>
      <c r="F125" s="1447"/>
      <c r="G125" s="1443" t="s">
        <v>1834</v>
      </c>
      <c r="I125" s="141"/>
      <c r="J125" s="1449">
        <v>0</v>
      </c>
      <c r="K125" s="1449">
        <v>0</v>
      </c>
      <c r="L125" s="1449">
        <f t="shared" si="44"/>
        <v>0</v>
      </c>
      <c r="M125" s="1449">
        <f t="shared" si="44"/>
        <v>0</v>
      </c>
      <c r="N125" s="1449">
        <f t="shared" ref="N125:O125" si="47">-N86*$I$114</f>
        <v>0</v>
      </c>
      <c r="O125" s="1449">
        <f t="shared" si="47"/>
        <v>0</v>
      </c>
      <c r="P125" s="134"/>
    </row>
    <row r="126" spans="1:16" ht="12.75" customHeight="1" x14ac:dyDescent="0.25">
      <c r="A126" s="1442"/>
      <c r="B126" s="1434" t="s">
        <v>1827</v>
      </c>
      <c r="D126" s="1447">
        <v>43817</v>
      </c>
      <c r="E126" s="1447"/>
      <c r="F126" s="1447"/>
      <c r="G126" s="1443" t="s">
        <v>1835</v>
      </c>
      <c r="I126" s="141"/>
      <c r="J126" s="1449">
        <v>0</v>
      </c>
      <c r="K126" s="1449">
        <v>0</v>
      </c>
      <c r="L126" s="1449">
        <f t="shared" si="44"/>
        <v>0</v>
      </c>
      <c r="M126" s="1449">
        <f t="shared" si="44"/>
        <v>0</v>
      </c>
      <c r="N126" s="1449">
        <f t="shared" ref="N126:O126" si="48">-N87*$I$114</f>
        <v>0</v>
      </c>
      <c r="O126" s="1449">
        <f t="shared" si="48"/>
        <v>0</v>
      </c>
      <c r="P126" s="134"/>
    </row>
    <row r="127" spans="1:16" ht="12.75" customHeight="1" x14ac:dyDescent="0.25">
      <c r="A127" s="1442"/>
      <c r="B127" s="1434" t="s">
        <v>1827</v>
      </c>
      <c r="D127" s="1447">
        <v>47201</v>
      </c>
      <c r="E127" s="1447"/>
      <c r="F127" s="1447"/>
      <c r="G127" s="1443" t="s">
        <v>1843</v>
      </c>
      <c r="I127" s="141"/>
      <c r="J127" s="1449">
        <v>0</v>
      </c>
      <c r="K127" s="1449">
        <v>0</v>
      </c>
      <c r="L127" s="1449">
        <f t="shared" si="44"/>
        <v>0</v>
      </c>
      <c r="M127" s="1449">
        <f t="shared" si="44"/>
        <v>0</v>
      </c>
      <c r="N127" s="1449">
        <f t="shared" ref="N127:O127" si="49">-N88*$I$114</f>
        <v>0</v>
      </c>
      <c r="O127" s="1449">
        <f t="shared" si="49"/>
        <v>0</v>
      </c>
      <c r="P127" s="134"/>
    </row>
    <row r="128" spans="1:16" ht="12.75" customHeight="1" x14ac:dyDescent="0.25">
      <c r="A128" s="1442"/>
      <c r="D128" s="1447"/>
      <c r="E128" s="1447"/>
      <c r="F128" s="1447"/>
      <c r="G128" s="1443"/>
      <c r="I128" s="141"/>
      <c r="J128" s="1449"/>
      <c r="K128" s="1449"/>
      <c r="L128" s="1449"/>
      <c r="M128" s="1449"/>
      <c r="N128" s="1449"/>
      <c r="O128" s="1449"/>
      <c r="P128" s="134"/>
    </row>
    <row r="129" spans="1:16" ht="12.75" customHeight="1" x14ac:dyDescent="0.25">
      <c r="A129" s="1442"/>
      <c r="D129" s="1447"/>
      <c r="E129" s="1447"/>
      <c r="F129" s="1447"/>
      <c r="G129" s="1459" t="s">
        <v>1844</v>
      </c>
      <c r="I129" s="141">
        <v>0</v>
      </c>
      <c r="J129" s="1449"/>
      <c r="K129" s="1449"/>
      <c r="L129" s="1449"/>
      <c r="M129" s="1449"/>
      <c r="N129" s="1449"/>
      <c r="O129" s="1449"/>
      <c r="P129" s="134"/>
    </row>
    <row r="130" spans="1:16" ht="12.75" customHeight="1" x14ac:dyDescent="0.25">
      <c r="A130" s="1442"/>
      <c r="B130" s="1434" t="s">
        <v>1827</v>
      </c>
      <c r="D130" s="1447">
        <v>42100</v>
      </c>
      <c r="E130" s="1434"/>
      <c r="F130" s="1447"/>
      <c r="G130" s="1443" t="s">
        <v>978</v>
      </c>
      <c r="I130" s="141"/>
      <c r="J130" s="1449">
        <v>0</v>
      </c>
      <c r="K130" s="1449">
        <v>0</v>
      </c>
      <c r="L130" s="1449">
        <f t="shared" ref="L130:M137" si="50">-L75*$I$129</f>
        <v>0</v>
      </c>
      <c r="M130" s="1449">
        <f t="shared" si="50"/>
        <v>0</v>
      </c>
      <c r="N130" s="1449">
        <f t="shared" ref="N130:O130" si="51">-N75*$I$129</f>
        <v>0</v>
      </c>
      <c r="O130" s="1449">
        <f t="shared" si="51"/>
        <v>0</v>
      </c>
      <c r="P130" s="134"/>
    </row>
    <row r="131" spans="1:16" ht="12.75" customHeight="1" x14ac:dyDescent="0.25">
      <c r="A131" s="1442"/>
      <c r="B131" s="1434" t="s">
        <v>1827</v>
      </c>
      <c r="D131" s="1447">
        <v>42100</v>
      </c>
      <c r="E131" s="1434"/>
      <c r="F131" s="1447"/>
      <c r="G131" s="1443" t="s">
        <v>979</v>
      </c>
      <c r="I131" s="141"/>
      <c r="J131" s="1449">
        <v>0</v>
      </c>
      <c r="K131" s="1449">
        <v>0</v>
      </c>
      <c r="L131" s="1449">
        <f t="shared" si="50"/>
        <v>0</v>
      </c>
      <c r="M131" s="1449">
        <f t="shared" si="50"/>
        <v>0</v>
      </c>
      <c r="N131" s="1449">
        <f t="shared" ref="N131:O131" si="52">-N76*$I$129</f>
        <v>0</v>
      </c>
      <c r="O131" s="1449">
        <f t="shared" si="52"/>
        <v>0</v>
      </c>
      <c r="P131" s="134"/>
    </row>
    <row r="132" spans="1:16" ht="12.75" customHeight="1" x14ac:dyDescent="0.25">
      <c r="A132" s="1442"/>
      <c r="B132" s="1434" t="s">
        <v>1827</v>
      </c>
      <c r="D132" s="1447">
        <v>42100</v>
      </c>
      <c r="E132" s="1447"/>
      <c r="F132" s="1447"/>
      <c r="G132" s="1443" t="s">
        <v>1578</v>
      </c>
      <c r="I132" s="141"/>
      <c r="J132" s="1449">
        <v>0</v>
      </c>
      <c r="K132" s="1449">
        <v>0</v>
      </c>
      <c r="L132" s="1449">
        <f t="shared" si="50"/>
        <v>0</v>
      </c>
      <c r="M132" s="1449">
        <f t="shared" si="50"/>
        <v>0</v>
      </c>
      <c r="N132" s="1449">
        <f t="shared" ref="N132:O132" si="53">-N77*$I$129</f>
        <v>0</v>
      </c>
      <c r="O132" s="1449">
        <f t="shared" si="53"/>
        <v>0</v>
      </c>
      <c r="P132" s="134"/>
    </row>
    <row r="133" spans="1:16" ht="12.75" customHeight="1" x14ac:dyDescent="0.25">
      <c r="A133" s="1442"/>
      <c r="B133" s="1434" t="s">
        <v>1827</v>
      </c>
      <c r="D133" s="1447">
        <v>43511</v>
      </c>
      <c r="E133" s="1447"/>
      <c r="F133" s="1447"/>
      <c r="G133" s="1443" t="s">
        <v>560</v>
      </c>
      <c r="I133" s="141"/>
      <c r="J133" s="1449">
        <v>0</v>
      </c>
      <c r="K133" s="1449">
        <v>0</v>
      </c>
      <c r="L133" s="1449">
        <f t="shared" si="50"/>
        <v>0</v>
      </c>
      <c r="M133" s="1449">
        <f t="shared" si="50"/>
        <v>0</v>
      </c>
      <c r="N133" s="1449">
        <f t="shared" ref="N133:O133" si="54">-N78*$I$129</f>
        <v>0</v>
      </c>
      <c r="O133" s="1449">
        <f t="shared" si="54"/>
        <v>0</v>
      </c>
      <c r="P133" s="134"/>
    </row>
    <row r="134" spans="1:16" ht="12.75" customHeight="1" x14ac:dyDescent="0.25">
      <c r="A134" s="1442"/>
      <c r="B134" s="1434" t="s">
        <v>1827</v>
      </c>
      <c r="D134" s="1447">
        <v>43801</v>
      </c>
      <c r="E134" s="1447"/>
      <c r="F134" s="1447"/>
      <c r="G134" s="1443" t="s">
        <v>996</v>
      </c>
      <c r="I134" s="141"/>
      <c r="J134" s="1449">
        <v>0</v>
      </c>
      <c r="K134" s="1449">
        <v>0</v>
      </c>
      <c r="L134" s="1449">
        <f t="shared" si="50"/>
        <v>0</v>
      </c>
      <c r="M134" s="1449">
        <f t="shared" si="50"/>
        <v>0</v>
      </c>
      <c r="N134" s="1449">
        <f t="shared" ref="N134:O134" si="55">-N79*$I$129</f>
        <v>0</v>
      </c>
      <c r="O134" s="1449">
        <f t="shared" si="55"/>
        <v>0</v>
      </c>
      <c r="P134" s="134"/>
    </row>
    <row r="135" spans="1:16" ht="12.75" customHeight="1" x14ac:dyDescent="0.25">
      <c r="A135" s="1442"/>
      <c r="B135" s="1434" t="s">
        <v>1827</v>
      </c>
      <c r="D135" s="1447">
        <v>43802</v>
      </c>
      <c r="E135" s="1447"/>
      <c r="F135" s="1447"/>
      <c r="G135" s="1443" t="s">
        <v>991</v>
      </c>
      <c r="I135" s="141"/>
      <c r="J135" s="1449">
        <v>0</v>
      </c>
      <c r="K135" s="1449">
        <v>0</v>
      </c>
      <c r="L135" s="1449">
        <f t="shared" si="50"/>
        <v>0</v>
      </c>
      <c r="M135" s="1449">
        <f t="shared" si="50"/>
        <v>0</v>
      </c>
      <c r="N135" s="1449">
        <f t="shared" ref="N135:O135" si="56">-N80*$I$129</f>
        <v>0</v>
      </c>
      <c r="O135" s="1449">
        <f t="shared" si="56"/>
        <v>0</v>
      </c>
      <c r="P135" s="134"/>
    </row>
    <row r="136" spans="1:16" ht="12.75" customHeight="1" x14ac:dyDescent="0.25">
      <c r="A136" s="1442"/>
      <c r="B136" s="1434" t="s">
        <v>1827</v>
      </c>
      <c r="D136" s="1447">
        <v>43803</v>
      </c>
      <c r="E136" s="1447"/>
      <c r="F136" s="1447"/>
      <c r="G136" s="1443" t="s">
        <v>1831</v>
      </c>
      <c r="I136" s="141"/>
      <c r="J136" s="1449">
        <v>0</v>
      </c>
      <c r="K136" s="1449">
        <v>0</v>
      </c>
      <c r="L136" s="1449">
        <f t="shared" si="50"/>
        <v>0</v>
      </c>
      <c r="M136" s="1449">
        <f t="shared" si="50"/>
        <v>0</v>
      </c>
      <c r="N136" s="1449">
        <f t="shared" ref="N136:O136" si="57">-N81*$I$129</f>
        <v>0</v>
      </c>
      <c r="O136" s="1449">
        <f t="shared" si="57"/>
        <v>0</v>
      </c>
      <c r="P136" s="134"/>
    </row>
    <row r="137" spans="1:16" ht="12.75" customHeight="1" x14ac:dyDescent="0.25">
      <c r="A137" s="1442"/>
      <c r="B137" s="1434" t="s">
        <v>1827</v>
      </c>
      <c r="D137" s="1447">
        <v>43806</v>
      </c>
      <c r="E137" s="1447"/>
      <c r="F137" s="1447"/>
      <c r="G137" s="1443" t="s">
        <v>1832</v>
      </c>
      <c r="I137" s="141"/>
      <c r="J137" s="1449">
        <v>0</v>
      </c>
      <c r="K137" s="1449">
        <v>0</v>
      </c>
      <c r="L137" s="1449">
        <f t="shared" si="50"/>
        <v>0</v>
      </c>
      <c r="M137" s="1449">
        <f t="shared" si="50"/>
        <v>0</v>
      </c>
      <c r="N137" s="1449">
        <f t="shared" ref="N137:O137" si="58">-N82*$I$129</f>
        <v>0</v>
      </c>
      <c r="O137" s="1449">
        <f t="shared" si="58"/>
        <v>0</v>
      </c>
      <c r="P137" s="134"/>
    </row>
    <row r="138" spans="1:16" ht="12.75" customHeight="1" x14ac:dyDescent="0.25">
      <c r="A138" s="1442"/>
      <c r="B138" s="1434" t="s">
        <v>1827</v>
      </c>
      <c r="D138" s="1447">
        <v>43806</v>
      </c>
      <c r="E138" s="1447"/>
      <c r="F138" s="1447"/>
      <c r="G138" s="1443" t="s">
        <v>980</v>
      </c>
      <c r="I138" s="141"/>
      <c r="J138" s="1449">
        <v>0</v>
      </c>
      <c r="K138" s="1449">
        <v>0</v>
      </c>
      <c r="L138" s="1449">
        <f t="shared" ref="L138:M142" si="59">-L84*$I$129</f>
        <v>0</v>
      </c>
      <c r="M138" s="1449">
        <f t="shared" si="59"/>
        <v>0</v>
      </c>
      <c r="N138" s="1449">
        <f t="shared" ref="N138:O138" si="60">-N84*$I$129</f>
        <v>0</v>
      </c>
      <c r="O138" s="1449">
        <f t="shared" si="60"/>
        <v>0</v>
      </c>
      <c r="P138" s="134"/>
    </row>
    <row r="139" spans="1:16" ht="12.75" customHeight="1" x14ac:dyDescent="0.25">
      <c r="A139" s="1442"/>
      <c r="B139" s="1434" t="s">
        <v>1827</v>
      </c>
      <c r="D139" s="1447">
        <v>43812</v>
      </c>
      <c r="E139" s="1447"/>
      <c r="F139" s="1447"/>
      <c r="G139" s="1443" t="s">
        <v>535</v>
      </c>
      <c r="I139" s="141"/>
      <c r="J139" s="1449">
        <v>0</v>
      </c>
      <c r="K139" s="1449">
        <v>0</v>
      </c>
      <c r="L139" s="1449">
        <f t="shared" si="59"/>
        <v>0</v>
      </c>
      <c r="M139" s="1449">
        <f t="shared" si="59"/>
        <v>0</v>
      </c>
      <c r="N139" s="1449">
        <f t="shared" ref="N139:O139" si="61">-N85*$I$129</f>
        <v>0</v>
      </c>
      <c r="O139" s="1449">
        <f t="shared" si="61"/>
        <v>0</v>
      </c>
      <c r="P139" s="134"/>
    </row>
    <row r="140" spans="1:16" ht="12.75" customHeight="1" x14ac:dyDescent="0.25">
      <c r="A140" s="1442"/>
      <c r="B140" s="1434" t="s">
        <v>1827</v>
      </c>
      <c r="D140" s="1447">
        <v>43814</v>
      </c>
      <c r="E140" s="1447"/>
      <c r="F140" s="1447"/>
      <c r="G140" s="1443" t="s">
        <v>1834</v>
      </c>
      <c r="I140" s="141"/>
      <c r="J140" s="1449">
        <v>0</v>
      </c>
      <c r="K140" s="1449">
        <v>0</v>
      </c>
      <c r="L140" s="1449">
        <f t="shared" si="59"/>
        <v>0</v>
      </c>
      <c r="M140" s="1449">
        <f t="shared" si="59"/>
        <v>0</v>
      </c>
      <c r="N140" s="1449">
        <f t="shared" ref="N140:O140" si="62">-N86*$I$129</f>
        <v>0</v>
      </c>
      <c r="O140" s="1449">
        <f t="shared" si="62"/>
        <v>0</v>
      </c>
      <c r="P140" s="134"/>
    </row>
    <row r="141" spans="1:16" ht="12.75" customHeight="1" x14ac:dyDescent="0.25">
      <c r="A141" s="1442"/>
      <c r="B141" s="1434" t="s">
        <v>1827</v>
      </c>
      <c r="D141" s="1447">
        <v>43817</v>
      </c>
      <c r="E141" s="1447"/>
      <c r="F141" s="1447"/>
      <c r="G141" s="1443" t="s">
        <v>1835</v>
      </c>
      <c r="I141" s="141"/>
      <c r="J141" s="1449">
        <v>0</v>
      </c>
      <c r="K141" s="1449">
        <v>0</v>
      </c>
      <c r="L141" s="1449">
        <f t="shared" si="59"/>
        <v>0</v>
      </c>
      <c r="M141" s="1449">
        <f t="shared" si="59"/>
        <v>0</v>
      </c>
      <c r="N141" s="1449">
        <f t="shared" ref="N141:O141" si="63">-N87*$I$129</f>
        <v>0</v>
      </c>
      <c r="O141" s="1449">
        <f t="shared" si="63"/>
        <v>0</v>
      </c>
      <c r="P141" s="134"/>
    </row>
    <row r="142" spans="1:16" ht="12.75" customHeight="1" x14ac:dyDescent="0.25">
      <c r="A142" s="1442"/>
      <c r="B142" s="1434" t="s">
        <v>1827</v>
      </c>
      <c r="D142" s="1447">
        <v>47201</v>
      </c>
      <c r="E142" s="1447"/>
      <c r="F142" s="1447"/>
      <c r="G142" s="1443" t="s">
        <v>1843</v>
      </c>
      <c r="I142" s="141"/>
      <c r="J142" s="1449">
        <v>0</v>
      </c>
      <c r="K142" s="1449">
        <v>0</v>
      </c>
      <c r="L142" s="1449">
        <f t="shared" si="59"/>
        <v>0</v>
      </c>
      <c r="M142" s="1449">
        <f t="shared" si="59"/>
        <v>0</v>
      </c>
      <c r="N142" s="1449">
        <f t="shared" ref="N142:O142" si="64">-N88*$I$129</f>
        <v>0</v>
      </c>
      <c r="O142" s="1449">
        <f t="shared" si="64"/>
        <v>0</v>
      </c>
      <c r="P142" s="134"/>
    </row>
    <row r="143" spans="1:16" ht="12.75" customHeight="1" x14ac:dyDescent="0.25">
      <c r="A143" s="1442"/>
      <c r="D143" s="1447"/>
      <c r="E143" s="1447"/>
      <c r="F143" s="1447"/>
      <c r="G143" s="1443"/>
      <c r="I143" s="141"/>
      <c r="J143" s="1449"/>
      <c r="K143" s="1449"/>
      <c r="L143" s="1449"/>
      <c r="M143" s="1449"/>
      <c r="N143" s="1449"/>
      <c r="O143" s="1449"/>
      <c r="P143" s="134"/>
    </row>
    <row r="144" spans="1:16" ht="12.75" customHeight="1" x14ac:dyDescent="0.25">
      <c r="A144" s="1442"/>
      <c r="D144" s="1460">
        <v>604902</v>
      </c>
      <c r="E144" s="1447"/>
      <c r="F144" s="1447"/>
      <c r="G144" s="549" t="s">
        <v>1845</v>
      </c>
      <c r="J144" s="1449"/>
      <c r="K144" s="1449"/>
      <c r="L144" s="1449"/>
      <c r="M144" s="1449"/>
      <c r="N144" s="1449"/>
      <c r="O144" s="1449"/>
      <c r="P144" s="134"/>
    </row>
    <row r="145" spans="1:16" ht="12.75" customHeight="1" x14ac:dyDescent="0.25">
      <c r="A145" s="1442"/>
      <c r="D145" s="1460"/>
      <c r="E145" s="1461"/>
      <c r="F145" s="1447"/>
      <c r="G145" s="1462" t="s">
        <v>1846</v>
      </c>
      <c r="I145" s="141"/>
      <c r="J145" s="1449"/>
      <c r="K145" s="1449"/>
      <c r="L145" s="1449"/>
      <c r="M145" s="1449"/>
      <c r="N145" s="1449"/>
      <c r="O145" s="1449"/>
      <c r="P145" s="134"/>
    </row>
    <row r="146" spans="1:16" ht="12.75" customHeight="1" x14ac:dyDescent="0.25">
      <c r="A146" s="1442"/>
      <c r="D146" s="1460"/>
      <c r="E146" s="1461"/>
      <c r="F146" s="1447"/>
      <c r="G146" s="1459"/>
      <c r="I146" s="141"/>
      <c r="J146" s="1449"/>
      <c r="K146" s="1449"/>
      <c r="L146" s="1449"/>
      <c r="M146" s="1449"/>
      <c r="N146" s="1449"/>
      <c r="O146" s="1449"/>
      <c r="P146" s="134"/>
    </row>
    <row r="147" spans="1:16" ht="12.75" customHeight="1" x14ac:dyDescent="0.25">
      <c r="A147" s="1442"/>
      <c r="D147" s="1460"/>
      <c r="E147" s="1461"/>
      <c r="F147" s="1447"/>
      <c r="G147" s="1459" t="s">
        <v>1847</v>
      </c>
      <c r="I147" s="141">
        <v>0.38</v>
      </c>
      <c r="J147" s="1449"/>
      <c r="K147" s="1449"/>
      <c r="L147" s="1449"/>
      <c r="M147" s="1449"/>
      <c r="N147" s="1449"/>
      <c r="O147" s="1449"/>
      <c r="P147" s="134"/>
    </row>
    <row r="148" spans="1:16" ht="12.75" customHeight="1" x14ac:dyDescent="0.25">
      <c r="A148" s="1442"/>
      <c r="D148" s="1447"/>
      <c r="E148" s="1461"/>
      <c r="F148" s="1447"/>
      <c r="G148" s="1462" t="s">
        <v>1848</v>
      </c>
      <c r="I148" s="141"/>
      <c r="J148" s="1449"/>
      <c r="K148" s="1449"/>
      <c r="L148" s="1449"/>
      <c r="M148" s="1449"/>
      <c r="N148" s="1449"/>
      <c r="O148" s="1449"/>
      <c r="P148" s="134"/>
    </row>
    <row r="149" spans="1:16" ht="12.75" customHeight="1" x14ac:dyDescent="0.25">
      <c r="A149" s="1442">
        <v>604902</v>
      </c>
      <c r="B149" s="1434" t="s">
        <v>1827</v>
      </c>
      <c r="D149" s="1447">
        <v>42100</v>
      </c>
      <c r="E149" s="1434"/>
      <c r="F149" s="1447"/>
      <c r="G149" s="1443" t="s">
        <v>978</v>
      </c>
      <c r="I149" s="141"/>
      <c r="J149" s="1449">
        <v>-3165.4</v>
      </c>
      <c r="K149" s="1449">
        <v>-3253.94</v>
      </c>
      <c r="L149" s="1449">
        <f t="shared" ref="L149:M162" si="65">-L75*$I$147</f>
        <v>-3322.34</v>
      </c>
      <c r="M149" s="1449">
        <f t="shared" si="65"/>
        <v>-3398.7200000000003</v>
      </c>
      <c r="N149" s="1449">
        <f t="shared" ref="N149:O149" si="66">-N75*$I$147</f>
        <v>-3477</v>
      </c>
      <c r="O149" s="1449">
        <f t="shared" si="66"/>
        <v>-3556.8</v>
      </c>
      <c r="P149" s="134"/>
    </row>
    <row r="150" spans="1:16" ht="12.75" customHeight="1" x14ac:dyDescent="0.25">
      <c r="A150" s="1442">
        <v>604902</v>
      </c>
      <c r="B150" s="1434" t="s">
        <v>1827</v>
      </c>
      <c r="D150" s="1447">
        <v>42100</v>
      </c>
      <c r="E150" s="1434"/>
      <c r="F150" s="1447"/>
      <c r="G150" s="1443" t="s">
        <v>979</v>
      </c>
      <c r="I150" s="141"/>
      <c r="J150" s="1449">
        <v>-540.36</v>
      </c>
      <c r="K150" s="1449">
        <v>-555.56000000000006</v>
      </c>
      <c r="L150" s="1449">
        <f t="shared" si="65"/>
        <v>-567.34</v>
      </c>
      <c r="M150" s="1449">
        <f t="shared" si="65"/>
        <v>-580.26</v>
      </c>
      <c r="N150" s="1449">
        <f t="shared" ref="N150:O150" si="67">-N76*$I$147</f>
        <v>-593.56000000000006</v>
      </c>
      <c r="O150" s="1449">
        <f t="shared" si="67"/>
        <v>-607.24</v>
      </c>
      <c r="P150" s="134"/>
    </row>
    <row r="151" spans="1:16" ht="12.75" customHeight="1" x14ac:dyDescent="0.25">
      <c r="A151" s="1442">
        <v>604902</v>
      </c>
      <c r="B151" s="1434" t="s">
        <v>1827</v>
      </c>
      <c r="D151" s="1447">
        <v>42100</v>
      </c>
      <c r="E151" s="1447"/>
      <c r="F151" s="1447"/>
      <c r="G151" s="1443" t="s">
        <v>1578</v>
      </c>
      <c r="I151" s="141"/>
      <c r="J151" s="1449">
        <v>-72.2</v>
      </c>
      <c r="K151" s="1449">
        <v>-74.099999999999994</v>
      </c>
      <c r="L151" s="1449">
        <f t="shared" si="65"/>
        <v>-75.62</v>
      </c>
      <c r="M151" s="1449">
        <f t="shared" si="65"/>
        <v>-77.52</v>
      </c>
      <c r="N151" s="1449">
        <f t="shared" ref="N151:O151" si="68">-N77*$I$147</f>
        <v>-79.42</v>
      </c>
      <c r="O151" s="1449">
        <f t="shared" si="68"/>
        <v>-81.320000000000007</v>
      </c>
      <c r="P151" s="134"/>
    </row>
    <row r="152" spans="1:16" ht="12.75" customHeight="1" x14ac:dyDescent="0.25">
      <c r="A152" s="1442">
        <v>604902</v>
      </c>
      <c r="B152" s="1434" t="s">
        <v>1827</v>
      </c>
      <c r="D152" s="1447">
        <v>43511</v>
      </c>
      <c r="E152" s="1447"/>
      <c r="F152" s="1447"/>
      <c r="G152" s="1443" t="s">
        <v>560</v>
      </c>
      <c r="I152" s="141"/>
      <c r="J152" s="1449">
        <v>-7630.78</v>
      </c>
      <c r="K152" s="1449">
        <v>-7830.28</v>
      </c>
      <c r="L152" s="1449">
        <f t="shared" si="65"/>
        <v>-7992.92</v>
      </c>
      <c r="M152" s="1449">
        <f t="shared" si="65"/>
        <v>-8176.08</v>
      </c>
      <c r="N152" s="1449">
        <f t="shared" ref="N152:O152" si="69">-N78*$I$147</f>
        <v>-8363.4390000000003</v>
      </c>
      <c r="O152" s="1449">
        <f t="shared" si="69"/>
        <v>-8554.7195999999985</v>
      </c>
      <c r="P152" s="134"/>
    </row>
    <row r="153" spans="1:16" ht="12.75" customHeight="1" x14ac:dyDescent="0.25">
      <c r="A153" s="1442">
        <v>604902</v>
      </c>
      <c r="B153" s="1434" t="s">
        <v>1827</v>
      </c>
      <c r="D153" s="1447">
        <v>43801</v>
      </c>
      <c r="E153" s="1447"/>
      <c r="F153" s="1447"/>
      <c r="G153" s="1443" t="s">
        <v>996</v>
      </c>
      <c r="I153" s="141"/>
      <c r="J153" s="1449">
        <v>-2744.7400000000002</v>
      </c>
      <c r="K153" s="1449">
        <v>-2821.5</v>
      </c>
      <c r="L153" s="1449">
        <f t="shared" si="65"/>
        <v>-2880.78</v>
      </c>
      <c r="M153" s="1449">
        <f t="shared" si="65"/>
        <v>-2946.9</v>
      </c>
      <c r="N153" s="1449">
        <f t="shared" ref="N153:O153" si="70">-N79*$I$147</f>
        <v>-3014.54</v>
      </c>
      <c r="O153" s="1449">
        <f t="shared" si="70"/>
        <v>-3083.7</v>
      </c>
      <c r="P153" s="134"/>
    </row>
    <row r="154" spans="1:16" ht="12.75" customHeight="1" x14ac:dyDescent="0.25">
      <c r="A154" s="1442">
        <v>604902</v>
      </c>
      <c r="B154" s="1434" t="s">
        <v>1827</v>
      </c>
      <c r="D154" s="1447">
        <v>43802</v>
      </c>
      <c r="E154" s="1447"/>
      <c r="F154" s="1447"/>
      <c r="G154" s="1443" t="s">
        <v>991</v>
      </c>
      <c r="I154" s="141"/>
      <c r="J154" s="1449">
        <v>-254.6</v>
      </c>
      <c r="K154" s="1449">
        <v>-261.82</v>
      </c>
      <c r="L154" s="1449">
        <f t="shared" si="65"/>
        <v>-267.14</v>
      </c>
      <c r="M154" s="1449">
        <f t="shared" si="65"/>
        <v>-273.22000000000003</v>
      </c>
      <c r="N154" s="1449">
        <f t="shared" ref="N154:O154" si="71">-N80*$I$147</f>
        <v>-279.68</v>
      </c>
      <c r="O154" s="1449">
        <f t="shared" si="71"/>
        <v>-286.14</v>
      </c>
      <c r="P154" s="134"/>
    </row>
    <row r="155" spans="1:16" ht="12.75" customHeight="1" x14ac:dyDescent="0.25">
      <c r="A155" s="1442">
        <v>604902</v>
      </c>
      <c r="B155" s="1434" t="s">
        <v>1827</v>
      </c>
      <c r="D155" s="1447">
        <v>43803</v>
      </c>
      <c r="E155" s="1447"/>
      <c r="F155" s="1447"/>
      <c r="G155" s="1443" t="s">
        <v>1831</v>
      </c>
      <c r="I155" s="141"/>
      <c r="J155" s="1449">
        <v>-141.36000000000001</v>
      </c>
      <c r="K155" s="1449">
        <v>-145.16</v>
      </c>
      <c r="L155" s="1449">
        <f t="shared" si="65"/>
        <v>-148.19999999999999</v>
      </c>
      <c r="M155" s="1449">
        <f t="shared" si="65"/>
        <v>-151.62</v>
      </c>
      <c r="N155" s="1449">
        <f t="shared" ref="N155:O155" si="72">-N81*$I$147</f>
        <v>-155.04</v>
      </c>
      <c r="O155" s="1449">
        <f t="shared" si="72"/>
        <v>-158.46</v>
      </c>
      <c r="P155" s="134"/>
    </row>
    <row r="156" spans="1:16" ht="12.75" customHeight="1" x14ac:dyDescent="0.25">
      <c r="A156" s="1442">
        <v>604902</v>
      </c>
      <c r="B156" s="1434" t="s">
        <v>1827</v>
      </c>
      <c r="D156" s="1447">
        <v>43806</v>
      </c>
      <c r="E156" s="1447"/>
      <c r="F156" s="1447"/>
      <c r="G156" s="1443" t="s">
        <v>1832</v>
      </c>
      <c r="I156" s="141"/>
      <c r="J156" s="1449">
        <v>-207.48</v>
      </c>
      <c r="K156" s="1449">
        <v>-213.18</v>
      </c>
      <c r="L156" s="1449">
        <f t="shared" si="65"/>
        <v>-217.74</v>
      </c>
      <c r="M156" s="1449">
        <f t="shared" si="65"/>
        <v>-222.68</v>
      </c>
      <c r="N156" s="1449">
        <f t="shared" ref="N156:O156" si="73">-N82*$I$147</f>
        <v>-227.62</v>
      </c>
      <c r="O156" s="1449">
        <f t="shared" si="73"/>
        <v>-232.94</v>
      </c>
      <c r="P156" s="134"/>
    </row>
    <row r="157" spans="1:16" ht="12.75" customHeight="1" x14ac:dyDescent="0.25">
      <c r="A157" s="1442">
        <v>604902</v>
      </c>
      <c r="B157" s="1434" t="s">
        <v>1827</v>
      </c>
      <c r="D157" s="1447">
        <v>43806</v>
      </c>
      <c r="E157" s="1447"/>
      <c r="F157" s="1447"/>
      <c r="G157" s="1443" t="s">
        <v>1833</v>
      </c>
      <c r="I157" s="141"/>
      <c r="J157" s="1449">
        <v>-153.52000000000001</v>
      </c>
      <c r="K157" s="1449">
        <v>-157.69999999999999</v>
      </c>
      <c r="L157" s="1449">
        <f t="shared" si="65"/>
        <v>-161.12</v>
      </c>
      <c r="M157" s="1449">
        <f t="shared" si="65"/>
        <v>-164.92000000000002</v>
      </c>
      <c r="N157" s="1449">
        <f t="shared" ref="N157:O157" si="74">-N83*$I$147</f>
        <v>-168.72</v>
      </c>
      <c r="O157" s="1449">
        <f t="shared" si="74"/>
        <v>-172.52</v>
      </c>
      <c r="P157" s="134"/>
    </row>
    <row r="158" spans="1:16" ht="12.75" customHeight="1" x14ac:dyDescent="0.25">
      <c r="A158" s="1442">
        <v>604902</v>
      </c>
      <c r="B158" s="1434" t="s">
        <v>1827</v>
      </c>
      <c r="D158" s="1447">
        <v>43806</v>
      </c>
      <c r="E158" s="1447"/>
      <c r="F158" s="1447"/>
      <c r="G158" s="1443" t="s">
        <v>980</v>
      </c>
      <c r="I158" s="141"/>
      <c r="J158" s="1449">
        <v>-1377.88</v>
      </c>
      <c r="K158" s="1449">
        <v>-1416.64</v>
      </c>
      <c r="L158" s="1449">
        <f t="shared" si="65"/>
        <v>-1446.28</v>
      </c>
      <c r="M158" s="1449">
        <f t="shared" si="65"/>
        <v>-1479.72</v>
      </c>
      <c r="N158" s="1449">
        <f t="shared" ref="N158:O158" si="75">-N84*$I$147</f>
        <v>-1513.92</v>
      </c>
      <c r="O158" s="1449">
        <f t="shared" si="75"/>
        <v>-1548.88</v>
      </c>
      <c r="P158" s="134"/>
    </row>
    <row r="159" spans="1:16" ht="12.75" customHeight="1" x14ac:dyDescent="0.25">
      <c r="A159" s="1442">
        <v>604902</v>
      </c>
      <c r="B159" s="1434" t="s">
        <v>1827</v>
      </c>
      <c r="D159" s="1447">
        <v>43812</v>
      </c>
      <c r="E159" s="1447"/>
      <c r="F159" s="1447"/>
      <c r="G159" s="1443" t="s">
        <v>535</v>
      </c>
      <c r="I159" s="141"/>
      <c r="J159" s="1449">
        <v>-5558.26</v>
      </c>
      <c r="K159" s="1449">
        <v>-5702.66</v>
      </c>
      <c r="L159" s="1449">
        <f t="shared" si="65"/>
        <v>-5822.36</v>
      </c>
      <c r="M159" s="1449">
        <f t="shared" si="65"/>
        <v>-5956.12</v>
      </c>
      <c r="N159" s="1449">
        <f t="shared" ref="N159:O159" si="76">-N85*$I$147</f>
        <v>-6093.3</v>
      </c>
      <c r="O159" s="1449">
        <f t="shared" si="76"/>
        <v>-6233.52</v>
      </c>
      <c r="P159" s="134"/>
    </row>
    <row r="160" spans="1:16" ht="12.75" customHeight="1" x14ac:dyDescent="0.25">
      <c r="A160" s="1442">
        <v>604902</v>
      </c>
      <c r="B160" s="1434" t="s">
        <v>1827</v>
      </c>
      <c r="D160" s="1447">
        <v>43814</v>
      </c>
      <c r="E160" s="1447"/>
      <c r="F160" s="1447"/>
      <c r="G160" s="1443" t="s">
        <v>1834</v>
      </c>
      <c r="I160" s="141"/>
      <c r="J160" s="1449">
        <v>0</v>
      </c>
      <c r="K160" s="1449">
        <v>0</v>
      </c>
      <c r="L160" s="1449">
        <f t="shared" si="65"/>
        <v>0</v>
      </c>
      <c r="M160" s="1449">
        <f t="shared" si="65"/>
        <v>0</v>
      </c>
      <c r="N160" s="1449">
        <f t="shared" ref="N160:O160" si="77">-N86*$I$147</f>
        <v>0</v>
      </c>
      <c r="O160" s="1449">
        <f t="shared" si="77"/>
        <v>0</v>
      </c>
      <c r="P160" s="134"/>
    </row>
    <row r="161" spans="1:16" ht="12.75" customHeight="1" x14ac:dyDescent="0.25">
      <c r="A161" s="1442">
        <v>604902</v>
      </c>
      <c r="B161" s="1434" t="s">
        <v>1827</v>
      </c>
      <c r="D161" s="1447">
        <v>43817</v>
      </c>
      <c r="E161" s="1447"/>
      <c r="F161" s="1447"/>
      <c r="G161" s="1443" t="s">
        <v>1835</v>
      </c>
      <c r="I161" s="141"/>
      <c r="J161" s="1449">
        <v>-9639.84</v>
      </c>
      <c r="K161" s="1449">
        <v>-9890.64</v>
      </c>
      <c r="L161" s="1449">
        <f t="shared" si="65"/>
        <v>-10098.5</v>
      </c>
      <c r="M161" s="1449">
        <f t="shared" si="65"/>
        <v>-10331.06</v>
      </c>
      <c r="N161" s="1449">
        <f t="shared" ref="N161:O161" si="78">-N87*$I$147</f>
        <v>-10568.56</v>
      </c>
      <c r="O161" s="1449">
        <f t="shared" si="78"/>
        <v>-10811.380000000001</v>
      </c>
      <c r="P161" s="134"/>
    </row>
    <row r="162" spans="1:16" ht="12.75" customHeight="1" x14ac:dyDescent="0.25">
      <c r="A162" s="1442">
        <v>604902</v>
      </c>
      <c r="B162" s="1434" t="s">
        <v>1827</v>
      </c>
      <c r="D162" s="1447">
        <v>47201</v>
      </c>
      <c r="E162" s="1447"/>
      <c r="F162" s="1447"/>
      <c r="G162" s="1443" t="s">
        <v>1843</v>
      </c>
      <c r="I162" s="141"/>
      <c r="J162" s="1449">
        <v>-6506.36</v>
      </c>
      <c r="K162" s="1449">
        <v>-7971.6942720499201</v>
      </c>
      <c r="L162" s="1449">
        <f t="shared" si="65"/>
        <v>-8370.2789856524159</v>
      </c>
      <c r="M162" s="1449">
        <f t="shared" si="65"/>
        <v>-8788.7929349350379</v>
      </c>
      <c r="N162" s="1449">
        <f t="shared" ref="N162:O162" si="79">-N88*$I$147</f>
        <v>-9228.2325816817902</v>
      </c>
      <c r="O162" s="1449">
        <f t="shared" si="79"/>
        <v>0</v>
      </c>
      <c r="P162" s="134"/>
    </row>
    <row r="163" spans="1:16" ht="12.75" customHeight="1" x14ac:dyDescent="0.25">
      <c r="A163" s="1442">
        <v>604902</v>
      </c>
      <c r="B163" s="1434" t="s">
        <v>1827</v>
      </c>
      <c r="D163" s="1447">
        <v>47300</v>
      </c>
      <c r="E163" s="1447"/>
      <c r="F163" s="1447"/>
      <c r="G163" s="1443" t="s">
        <v>1033</v>
      </c>
      <c r="I163" s="141"/>
      <c r="J163" s="1449">
        <v>-11992.42</v>
      </c>
      <c r="K163" s="1449">
        <v>-11992.42</v>
      </c>
      <c r="L163" s="1449">
        <f>-L89*$I147</f>
        <v>-11992.42</v>
      </c>
      <c r="M163" s="1449">
        <f>-M89*$I147</f>
        <v>-11992.42</v>
      </c>
      <c r="N163" s="1449">
        <f>-N89*$I147</f>
        <v>-11992.42</v>
      </c>
      <c r="O163" s="1449">
        <f>-O89*$I147</f>
        <v>0</v>
      </c>
      <c r="P163" s="134"/>
    </row>
    <row r="164" spans="1:16" ht="12.75" customHeight="1" x14ac:dyDescent="0.25">
      <c r="A164" s="1442"/>
      <c r="D164" s="1447"/>
      <c r="E164" s="1447"/>
      <c r="F164" s="1447"/>
      <c r="G164" s="1443"/>
      <c r="I164" s="141"/>
      <c r="J164" s="1449"/>
      <c r="K164" s="1449"/>
      <c r="L164" s="1449"/>
      <c r="M164" s="1449"/>
      <c r="N164" s="1449"/>
      <c r="O164" s="1449"/>
      <c r="P164" s="134"/>
    </row>
    <row r="165" spans="1:16" ht="12.75" customHeight="1" x14ac:dyDescent="0.25">
      <c r="A165" s="1442"/>
      <c r="D165" s="1447"/>
      <c r="E165" s="1447"/>
      <c r="F165" s="1447"/>
      <c r="G165" s="1459" t="s">
        <v>1849</v>
      </c>
      <c r="I165" s="141">
        <v>0.28999999999999998</v>
      </c>
      <c r="J165" s="1449"/>
      <c r="K165" s="1449"/>
      <c r="L165" s="1449"/>
      <c r="M165" s="1449"/>
      <c r="N165" s="1449"/>
      <c r="O165" s="1449"/>
      <c r="P165" s="134"/>
    </row>
    <row r="166" spans="1:16" ht="12.75" customHeight="1" x14ac:dyDescent="0.25">
      <c r="A166" s="1442"/>
      <c r="D166" s="1447"/>
      <c r="E166" s="1461"/>
      <c r="F166" s="1447"/>
      <c r="G166" s="1462" t="s">
        <v>1848</v>
      </c>
      <c r="I166" s="141"/>
      <c r="J166" s="1449"/>
      <c r="K166" s="1449"/>
      <c r="L166" s="1449"/>
      <c r="M166" s="1449"/>
      <c r="N166" s="1449"/>
      <c r="O166" s="1449"/>
      <c r="P166" s="134"/>
    </row>
    <row r="167" spans="1:16" ht="12.75" customHeight="1" x14ac:dyDescent="0.25">
      <c r="A167" s="1442">
        <v>604902</v>
      </c>
      <c r="B167" s="1434" t="s">
        <v>1827</v>
      </c>
      <c r="D167" s="1447">
        <v>42100</v>
      </c>
      <c r="E167" s="1434"/>
      <c r="F167" s="1447"/>
      <c r="G167" s="1443" t="s">
        <v>978</v>
      </c>
      <c r="I167" s="141"/>
      <c r="J167" s="1449">
        <v>-2415.6999999999998</v>
      </c>
      <c r="K167" s="1449">
        <v>-2483.27</v>
      </c>
      <c r="L167" s="1449">
        <f t="shared" ref="L167:M180" si="80">-L75*$I$165</f>
        <v>-2535.4699999999998</v>
      </c>
      <c r="M167" s="1449">
        <f t="shared" si="80"/>
        <v>-2593.7599999999998</v>
      </c>
      <c r="N167" s="1449">
        <f t="shared" ref="N167:O167" si="81">-N75*$I$165</f>
        <v>-2653.5</v>
      </c>
      <c r="O167" s="1449">
        <f t="shared" si="81"/>
        <v>-2714.3999999999996</v>
      </c>
      <c r="P167" s="134"/>
    </row>
    <row r="168" spans="1:16" ht="12.75" customHeight="1" x14ac:dyDescent="0.25">
      <c r="A168" s="1442">
        <v>604902</v>
      </c>
      <c r="B168" s="1434" t="s">
        <v>1827</v>
      </c>
      <c r="D168" s="1447">
        <v>42100</v>
      </c>
      <c r="E168" s="1434"/>
      <c r="F168" s="1447"/>
      <c r="G168" s="1443" t="s">
        <v>979</v>
      </c>
      <c r="I168" s="141"/>
      <c r="J168" s="1449">
        <v>-412.38</v>
      </c>
      <c r="K168" s="1449">
        <v>-423.97999999999996</v>
      </c>
      <c r="L168" s="1449">
        <f t="shared" si="80"/>
        <v>-432.96999999999997</v>
      </c>
      <c r="M168" s="1449">
        <f t="shared" si="80"/>
        <v>-442.83</v>
      </c>
      <c r="N168" s="1449">
        <f t="shared" ref="N168:O168" si="82">-N76*$I$165</f>
        <v>-452.97999999999996</v>
      </c>
      <c r="O168" s="1449">
        <f t="shared" si="82"/>
        <v>-463.41999999999996</v>
      </c>
      <c r="P168" s="134"/>
    </row>
    <row r="169" spans="1:16" ht="12.75" customHeight="1" x14ac:dyDescent="0.25">
      <c r="A169" s="1442">
        <v>604902</v>
      </c>
      <c r="B169" s="1434" t="s">
        <v>1827</v>
      </c>
      <c r="D169" s="1447">
        <v>42100</v>
      </c>
      <c r="E169" s="1447"/>
      <c r="F169" s="1447"/>
      <c r="G169" s="1443" t="s">
        <v>1578</v>
      </c>
      <c r="I169" s="141"/>
      <c r="J169" s="1449">
        <v>-55.099999999999994</v>
      </c>
      <c r="K169" s="1449">
        <v>-56.55</v>
      </c>
      <c r="L169" s="1449">
        <f t="shared" si="80"/>
        <v>-57.709999999999994</v>
      </c>
      <c r="M169" s="1449">
        <f t="shared" si="80"/>
        <v>-59.16</v>
      </c>
      <c r="N169" s="1449">
        <f t="shared" ref="N169:O169" si="83">-N77*$I$165</f>
        <v>-60.609999999999992</v>
      </c>
      <c r="O169" s="1449">
        <f t="shared" si="83"/>
        <v>-62.059999999999995</v>
      </c>
      <c r="P169" s="134"/>
    </row>
    <row r="170" spans="1:16" ht="12.75" customHeight="1" x14ac:dyDescent="0.25">
      <c r="A170" s="1442">
        <v>604902</v>
      </c>
      <c r="B170" s="1434" t="s">
        <v>1827</v>
      </c>
      <c r="D170" s="1447">
        <v>43511</v>
      </c>
      <c r="E170" s="1447"/>
      <c r="F170" s="1447"/>
      <c r="G170" s="1443" t="s">
        <v>560</v>
      </c>
      <c r="I170" s="141"/>
      <c r="J170" s="1449">
        <v>-5823.49</v>
      </c>
      <c r="K170" s="1449">
        <v>-5975.74</v>
      </c>
      <c r="L170" s="1449">
        <f t="shared" si="80"/>
        <v>-6099.86</v>
      </c>
      <c r="M170" s="1449">
        <f t="shared" si="80"/>
        <v>-6239.6399999999994</v>
      </c>
      <c r="N170" s="1449">
        <f t="shared" ref="N170:O170" si="84">-N78*$I$165</f>
        <v>-6382.624499999999</v>
      </c>
      <c r="O170" s="1449">
        <f t="shared" si="84"/>
        <v>-6528.6017999999995</v>
      </c>
      <c r="P170" s="134"/>
    </row>
    <row r="171" spans="1:16" ht="12.75" customHeight="1" x14ac:dyDescent="0.25">
      <c r="A171" s="1442">
        <v>604902</v>
      </c>
      <c r="B171" s="1434" t="s">
        <v>1827</v>
      </c>
      <c r="D171" s="1447">
        <v>43801</v>
      </c>
      <c r="E171" s="1447"/>
      <c r="F171" s="1447"/>
      <c r="G171" s="1443" t="s">
        <v>996</v>
      </c>
      <c r="I171" s="141"/>
      <c r="J171" s="1449">
        <v>-2094.67</v>
      </c>
      <c r="K171" s="1449">
        <v>-2153.25</v>
      </c>
      <c r="L171" s="1449">
        <f t="shared" si="80"/>
        <v>-2198.4899999999998</v>
      </c>
      <c r="M171" s="1449">
        <f t="shared" si="80"/>
        <v>-2248.9499999999998</v>
      </c>
      <c r="N171" s="1449">
        <f t="shared" ref="N171:O171" si="85">-N79*$I$165</f>
        <v>-2300.5699999999997</v>
      </c>
      <c r="O171" s="1449">
        <f t="shared" si="85"/>
        <v>-2353.35</v>
      </c>
      <c r="P171" s="134"/>
    </row>
    <row r="172" spans="1:16" ht="12.75" customHeight="1" x14ac:dyDescent="0.25">
      <c r="A172" s="1442">
        <v>604902</v>
      </c>
      <c r="B172" s="1434" t="s">
        <v>1827</v>
      </c>
      <c r="D172" s="1447">
        <v>43802</v>
      </c>
      <c r="E172" s="1447"/>
      <c r="F172" s="1447"/>
      <c r="G172" s="1443" t="s">
        <v>991</v>
      </c>
      <c r="I172" s="141"/>
      <c r="J172" s="1449">
        <v>-194.29999999999998</v>
      </c>
      <c r="K172" s="1449">
        <v>-199.80999999999997</v>
      </c>
      <c r="L172" s="1449">
        <f t="shared" si="80"/>
        <v>-203.86999999999998</v>
      </c>
      <c r="M172" s="1449">
        <f t="shared" si="80"/>
        <v>-208.51</v>
      </c>
      <c r="N172" s="1449">
        <f t="shared" ref="N172:O172" si="86">-N80*$I$165</f>
        <v>-213.44</v>
      </c>
      <c r="O172" s="1449">
        <f t="shared" si="86"/>
        <v>-218.36999999999998</v>
      </c>
      <c r="P172" s="134"/>
    </row>
    <row r="173" spans="1:16" ht="12.75" customHeight="1" x14ac:dyDescent="0.25">
      <c r="A173" s="1442">
        <v>604902</v>
      </c>
      <c r="B173" s="1434" t="s">
        <v>1827</v>
      </c>
      <c r="D173" s="1447">
        <v>43803</v>
      </c>
      <c r="E173" s="1447"/>
      <c r="F173" s="1447"/>
      <c r="G173" s="1443" t="s">
        <v>1831</v>
      </c>
      <c r="I173" s="141"/>
      <c r="J173" s="1449">
        <v>-107.88</v>
      </c>
      <c r="K173" s="1449">
        <v>-110.77999999999999</v>
      </c>
      <c r="L173" s="1449">
        <f t="shared" si="80"/>
        <v>-113.1</v>
      </c>
      <c r="M173" s="1449">
        <f t="shared" si="80"/>
        <v>-115.71</v>
      </c>
      <c r="N173" s="1449">
        <f t="shared" ref="N173:O173" si="87">-N81*$I$165</f>
        <v>-118.32</v>
      </c>
      <c r="O173" s="1449">
        <f t="shared" si="87"/>
        <v>-120.92999999999999</v>
      </c>
      <c r="P173" s="134"/>
    </row>
    <row r="174" spans="1:16" ht="12.75" customHeight="1" x14ac:dyDescent="0.25">
      <c r="A174" s="1442">
        <v>604902</v>
      </c>
      <c r="B174" s="1434" t="s">
        <v>1827</v>
      </c>
      <c r="D174" s="1447">
        <v>43806</v>
      </c>
      <c r="E174" s="1447"/>
      <c r="F174" s="1447"/>
      <c r="G174" s="1443" t="s">
        <v>1832</v>
      </c>
      <c r="I174" s="141"/>
      <c r="J174" s="1449">
        <v>-158.33999999999997</v>
      </c>
      <c r="K174" s="1449">
        <v>-162.69</v>
      </c>
      <c r="L174" s="1449">
        <f t="shared" si="80"/>
        <v>-166.17</v>
      </c>
      <c r="M174" s="1449">
        <f t="shared" si="80"/>
        <v>-169.94</v>
      </c>
      <c r="N174" s="1449">
        <f t="shared" ref="N174:O174" si="88">-N82*$I$165</f>
        <v>-173.70999999999998</v>
      </c>
      <c r="O174" s="1449">
        <f t="shared" si="88"/>
        <v>-177.76999999999998</v>
      </c>
      <c r="P174" s="134"/>
    </row>
    <row r="175" spans="1:16" ht="12.75" customHeight="1" x14ac:dyDescent="0.25">
      <c r="A175" s="1442">
        <v>604902</v>
      </c>
      <c r="B175" s="1434" t="s">
        <v>1827</v>
      </c>
      <c r="D175" s="1447">
        <v>43806</v>
      </c>
      <c r="E175" s="1447"/>
      <c r="F175" s="1447"/>
      <c r="G175" s="1443" t="s">
        <v>1833</v>
      </c>
      <c r="I175" s="141"/>
      <c r="J175" s="1449">
        <v>-117.16</v>
      </c>
      <c r="K175" s="1449">
        <v>-120.35</v>
      </c>
      <c r="L175" s="1449">
        <f t="shared" si="80"/>
        <v>-122.96</v>
      </c>
      <c r="M175" s="1449">
        <f t="shared" si="80"/>
        <v>-125.85999999999999</v>
      </c>
      <c r="N175" s="1449">
        <f t="shared" ref="N175:O175" si="89">-N83*$I$165</f>
        <v>-128.76</v>
      </c>
      <c r="O175" s="1449">
        <f t="shared" si="89"/>
        <v>-131.66</v>
      </c>
      <c r="P175" s="134"/>
    </row>
    <row r="176" spans="1:16" ht="12.75" customHeight="1" x14ac:dyDescent="0.25">
      <c r="A176" s="1442">
        <v>604902</v>
      </c>
      <c r="B176" s="1434" t="s">
        <v>1827</v>
      </c>
      <c r="D176" s="1447">
        <v>43806</v>
      </c>
      <c r="E176" s="1447"/>
      <c r="F176" s="1447"/>
      <c r="G176" s="1443" t="s">
        <v>980</v>
      </c>
      <c r="I176" s="141"/>
      <c r="J176" s="1449">
        <v>-1051.54</v>
      </c>
      <c r="K176" s="1449">
        <v>-1081.1199999999999</v>
      </c>
      <c r="L176" s="1449">
        <f t="shared" si="80"/>
        <v>-1103.74</v>
      </c>
      <c r="M176" s="1449">
        <f t="shared" si="80"/>
        <v>-1129.26</v>
      </c>
      <c r="N176" s="1449">
        <f t="shared" ref="N176:O176" si="90">-N84*$I$165</f>
        <v>-1155.3599999999999</v>
      </c>
      <c r="O176" s="1449">
        <f t="shared" si="90"/>
        <v>-1182.04</v>
      </c>
      <c r="P176" s="134"/>
    </row>
    <row r="177" spans="1:16" ht="12.75" customHeight="1" x14ac:dyDescent="0.25">
      <c r="A177" s="1442">
        <v>604902</v>
      </c>
      <c r="B177" s="1434" t="s">
        <v>1827</v>
      </c>
      <c r="D177" s="1447">
        <v>43812</v>
      </c>
      <c r="E177" s="1447"/>
      <c r="F177" s="1447"/>
      <c r="G177" s="1443" t="s">
        <v>535</v>
      </c>
      <c r="I177" s="141"/>
      <c r="J177" s="1449">
        <v>-4241.83</v>
      </c>
      <c r="K177" s="1449">
        <v>-4352.03</v>
      </c>
      <c r="L177" s="1449">
        <f t="shared" si="80"/>
        <v>-4443.38</v>
      </c>
      <c r="M177" s="1449">
        <f t="shared" si="80"/>
        <v>-4545.46</v>
      </c>
      <c r="N177" s="1449">
        <f t="shared" ref="N177:O177" si="91">-N85*$I$165</f>
        <v>-4650.1499999999996</v>
      </c>
      <c r="O177" s="1449">
        <f t="shared" si="91"/>
        <v>-4757.16</v>
      </c>
      <c r="P177" s="134"/>
    </row>
    <row r="178" spans="1:16" ht="12.75" customHeight="1" x14ac:dyDescent="0.25">
      <c r="A178" s="1442">
        <v>604902</v>
      </c>
      <c r="B178" s="1434" t="s">
        <v>1827</v>
      </c>
      <c r="D178" s="1447">
        <v>43814</v>
      </c>
      <c r="E178" s="1447"/>
      <c r="F178" s="1447"/>
      <c r="G178" s="1443" t="s">
        <v>1834</v>
      </c>
      <c r="I178" s="141"/>
      <c r="J178" s="1449">
        <v>0</v>
      </c>
      <c r="K178" s="1449">
        <v>0</v>
      </c>
      <c r="L178" s="1449">
        <f t="shared" si="80"/>
        <v>0</v>
      </c>
      <c r="M178" s="1449">
        <f t="shared" si="80"/>
        <v>0</v>
      </c>
      <c r="N178" s="1449">
        <f t="shared" ref="N178:O178" si="92">-N86*$I$165</f>
        <v>0</v>
      </c>
      <c r="O178" s="1449">
        <f t="shared" si="92"/>
        <v>0</v>
      </c>
      <c r="P178" s="134"/>
    </row>
    <row r="179" spans="1:16" ht="12.75" customHeight="1" x14ac:dyDescent="0.25">
      <c r="A179" s="1442">
        <v>604902</v>
      </c>
      <c r="B179" s="1434" t="s">
        <v>1827</v>
      </c>
      <c r="D179" s="1447">
        <v>43817</v>
      </c>
      <c r="E179" s="1447"/>
      <c r="F179" s="1447"/>
      <c r="G179" s="1443" t="s">
        <v>1835</v>
      </c>
      <c r="I179" s="141"/>
      <c r="J179" s="1449">
        <v>-7356.7199999999993</v>
      </c>
      <c r="K179" s="1449">
        <v>-7548.12</v>
      </c>
      <c r="L179" s="1449">
        <f t="shared" si="80"/>
        <v>-7706.7499999999991</v>
      </c>
      <c r="M179" s="1449">
        <f t="shared" si="80"/>
        <v>-7884.23</v>
      </c>
      <c r="N179" s="1449">
        <f t="shared" ref="N179:O179" si="93">-N87*$I$165</f>
        <v>-8065.48</v>
      </c>
      <c r="O179" s="1449">
        <f t="shared" si="93"/>
        <v>-8250.7899999999991</v>
      </c>
      <c r="P179" s="134"/>
    </row>
    <row r="180" spans="1:16" ht="12.75" customHeight="1" x14ac:dyDescent="0.25">
      <c r="A180" s="1442">
        <v>604902</v>
      </c>
      <c r="B180" s="1434" t="s">
        <v>1827</v>
      </c>
      <c r="D180" s="1447">
        <v>47201</v>
      </c>
      <c r="E180" s="1447"/>
      <c r="F180" s="1447"/>
      <c r="G180" s="1443" t="s">
        <v>1843</v>
      </c>
      <c r="I180" s="141"/>
      <c r="J180" s="1449">
        <v>-4965.38</v>
      </c>
      <c r="K180" s="1449">
        <v>-6083.6614181433597</v>
      </c>
      <c r="L180" s="1449">
        <f t="shared" si="80"/>
        <v>-6387.844489050528</v>
      </c>
      <c r="M180" s="1449">
        <f t="shared" si="80"/>
        <v>-6707.2367135030545</v>
      </c>
      <c r="N180" s="1449">
        <f t="shared" ref="N180:O180" si="94">-N88*$I$165</f>
        <v>-7042.5985491782076</v>
      </c>
      <c r="O180" s="1449">
        <f t="shared" si="94"/>
        <v>0</v>
      </c>
      <c r="P180" s="134"/>
    </row>
    <row r="181" spans="1:16" ht="12.75" customHeight="1" x14ac:dyDescent="0.25">
      <c r="A181" s="1442">
        <v>604902</v>
      </c>
      <c r="B181" s="1434" t="s">
        <v>1827</v>
      </c>
      <c r="D181" s="1447">
        <v>47300</v>
      </c>
      <c r="E181" s="1447"/>
      <c r="F181" s="1447"/>
      <c r="G181" s="1443" t="s">
        <v>1033</v>
      </c>
      <c r="I181" s="141"/>
      <c r="J181" s="1449">
        <v>-9152.1099999999988</v>
      </c>
      <c r="K181" s="1449">
        <v>-9152.1099999999988</v>
      </c>
      <c r="L181" s="1449">
        <f>-L89*$I165</f>
        <v>-9152.1099999999988</v>
      </c>
      <c r="M181" s="1449">
        <f>-M89*$I165</f>
        <v>-9152.1099999999988</v>
      </c>
      <c r="N181" s="1449">
        <f>-N89*$I165</f>
        <v>-9152.1099999999988</v>
      </c>
      <c r="O181" s="1449">
        <f>-O89*$I165</f>
        <v>0</v>
      </c>
      <c r="P181" s="134"/>
    </row>
    <row r="182" spans="1:16" ht="12.75" customHeight="1" x14ac:dyDescent="0.25">
      <c r="A182" s="1442"/>
      <c r="D182" s="1447"/>
      <c r="E182" s="1447"/>
      <c r="F182" s="1447"/>
      <c r="G182" s="1443"/>
      <c r="I182" s="141"/>
      <c r="J182" s="1449"/>
      <c r="K182" s="1449"/>
      <c r="L182" s="1449"/>
      <c r="M182" s="1449"/>
      <c r="N182" s="1449"/>
      <c r="O182" s="1449"/>
      <c r="P182" s="134"/>
    </row>
    <row r="183" spans="1:16" ht="12.75" customHeight="1" x14ac:dyDescent="0.25">
      <c r="A183" s="1442"/>
      <c r="D183" s="1447"/>
      <c r="E183" s="1447"/>
      <c r="F183" s="1447"/>
      <c r="G183" s="1459" t="s">
        <v>1850</v>
      </c>
      <c r="I183" s="141">
        <v>0.33</v>
      </c>
      <c r="J183" s="1449"/>
      <c r="K183" s="1449"/>
      <c r="L183" s="1449"/>
      <c r="M183" s="1449"/>
      <c r="N183" s="1449"/>
      <c r="O183" s="1449"/>
      <c r="P183" s="134"/>
    </row>
    <row r="184" spans="1:16" ht="12.75" customHeight="1" x14ac:dyDescent="0.25">
      <c r="A184" s="1442"/>
      <c r="D184" s="1447"/>
      <c r="E184" s="1447"/>
      <c r="F184" s="1447"/>
      <c r="G184" s="1462" t="s">
        <v>1848</v>
      </c>
      <c r="I184" s="141"/>
      <c r="J184" s="1449"/>
      <c r="K184" s="1449"/>
      <c r="L184" s="1449"/>
      <c r="M184" s="1449"/>
      <c r="N184" s="1449"/>
      <c r="O184" s="1449"/>
      <c r="P184" s="134"/>
    </row>
    <row r="185" spans="1:16" ht="12.75" customHeight="1" x14ac:dyDescent="0.25">
      <c r="A185" s="1442">
        <v>604902</v>
      </c>
      <c r="B185" s="1434" t="s">
        <v>1827</v>
      </c>
      <c r="D185" s="1447">
        <v>42100</v>
      </c>
      <c r="E185" s="1447"/>
      <c r="F185" s="1447"/>
      <c r="G185" s="1443" t="s">
        <v>978</v>
      </c>
      <c r="I185" s="141"/>
      <c r="J185" s="1449">
        <v>-2748.9</v>
      </c>
      <c r="K185" s="1449">
        <v>-2825.79</v>
      </c>
      <c r="L185" s="1449">
        <f t="shared" ref="L185:M198" si="95">-L75*$I$183</f>
        <v>-2885.19</v>
      </c>
      <c r="M185" s="1449">
        <f t="shared" si="95"/>
        <v>-2951.52</v>
      </c>
      <c r="N185" s="1449">
        <f t="shared" ref="N185:O185" si="96">-N75*$I$183</f>
        <v>-3019.5</v>
      </c>
      <c r="O185" s="1449">
        <f t="shared" si="96"/>
        <v>-3088.8</v>
      </c>
      <c r="P185" s="134"/>
    </row>
    <row r="186" spans="1:16" ht="12.75" customHeight="1" x14ac:dyDescent="0.25">
      <c r="A186" s="1442">
        <v>604902</v>
      </c>
      <c r="B186" s="1434" t="s">
        <v>1827</v>
      </c>
      <c r="D186" s="1447">
        <v>42100</v>
      </c>
      <c r="E186" s="1447"/>
      <c r="F186" s="1447"/>
      <c r="G186" s="1443" t="s">
        <v>979</v>
      </c>
      <c r="I186" s="141"/>
      <c r="J186" s="1449">
        <v>-469.26000000000005</v>
      </c>
      <c r="K186" s="1449">
        <v>-482.46000000000004</v>
      </c>
      <c r="L186" s="1449">
        <f t="shared" si="95"/>
        <v>-492.69</v>
      </c>
      <c r="M186" s="1449">
        <f t="shared" si="95"/>
        <v>-503.91</v>
      </c>
      <c r="N186" s="1449">
        <f t="shared" ref="N186:O186" si="97">-N76*$I$183</f>
        <v>-515.46</v>
      </c>
      <c r="O186" s="1449">
        <f t="shared" si="97"/>
        <v>-527.34</v>
      </c>
      <c r="P186" s="134"/>
    </row>
    <row r="187" spans="1:16" ht="12.75" customHeight="1" x14ac:dyDescent="0.25">
      <c r="A187" s="1442">
        <v>604902</v>
      </c>
      <c r="B187" s="1434" t="s">
        <v>1827</v>
      </c>
      <c r="D187" s="1447">
        <v>42100</v>
      </c>
      <c r="E187" s="1447"/>
      <c r="F187" s="1447"/>
      <c r="G187" s="1443" t="s">
        <v>1578</v>
      </c>
      <c r="I187" s="141"/>
      <c r="J187" s="1449">
        <v>-62.7</v>
      </c>
      <c r="K187" s="1449">
        <v>-64.350000000000009</v>
      </c>
      <c r="L187" s="1449">
        <f t="shared" si="95"/>
        <v>-65.67</v>
      </c>
      <c r="M187" s="1449">
        <f t="shared" si="95"/>
        <v>-67.320000000000007</v>
      </c>
      <c r="N187" s="1449">
        <f t="shared" ref="N187:O187" si="98">-N77*$I$183</f>
        <v>-68.97</v>
      </c>
      <c r="O187" s="1449">
        <f t="shared" si="98"/>
        <v>-70.62</v>
      </c>
      <c r="P187" s="134"/>
    </row>
    <row r="188" spans="1:16" ht="12.75" customHeight="1" x14ac:dyDescent="0.25">
      <c r="A188" s="1442">
        <v>604902</v>
      </c>
      <c r="B188" s="1434" t="s">
        <v>1827</v>
      </c>
      <c r="D188" s="1447">
        <v>43511</v>
      </c>
      <c r="E188" s="1447"/>
      <c r="F188" s="1447"/>
      <c r="G188" s="1443" t="s">
        <v>560</v>
      </c>
      <c r="I188" s="141"/>
      <c r="J188" s="1449">
        <v>-6626.7300000000005</v>
      </c>
      <c r="K188" s="1449">
        <v>-6799.9800000000005</v>
      </c>
      <c r="L188" s="1449">
        <f t="shared" si="95"/>
        <v>-6941.22</v>
      </c>
      <c r="M188" s="1449">
        <f t="shared" si="95"/>
        <v>-7100.2800000000007</v>
      </c>
      <c r="N188" s="1449">
        <f t="shared" ref="N188:O188" si="99">-N78*$I$183</f>
        <v>-7262.9865</v>
      </c>
      <c r="O188" s="1449">
        <f t="shared" si="99"/>
        <v>-7429.0985999999994</v>
      </c>
      <c r="P188" s="134"/>
    </row>
    <row r="189" spans="1:16" ht="12.75" customHeight="1" x14ac:dyDescent="0.25">
      <c r="A189" s="1442">
        <v>604902</v>
      </c>
      <c r="B189" s="1434" t="s">
        <v>1827</v>
      </c>
      <c r="D189" s="1447">
        <v>43801</v>
      </c>
      <c r="E189" s="1447"/>
      <c r="F189" s="1447"/>
      <c r="G189" s="1443" t="s">
        <v>996</v>
      </c>
      <c r="I189" s="141"/>
      <c r="J189" s="1449">
        <v>-2383.59</v>
      </c>
      <c r="K189" s="1449">
        <v>-2450.25</v>
      </c>
      <c r="L189" s="1449">
        <f t="shared" si="95"/>
        <v>-2501.73</v>
      </c>
      <c r="M189" s="1449">
        <f t="shared" si="95"/>
        <v>-2559.15</v>
      </c>
      <c r="N189" s="1449">
        <f t="shared" ref="N189:O189" si="100">-N79*$I$183</f>
        <v>-2617.8900000000003</v>
      </c>
      <c r="O189" s="1449">
        <f t="shared" si="100"/>
        <v>-2677.9500000000003</v>
      </c>
      <c r="P189" s="134"/>
    </row>
    <row r="190" spans="1:16" ht="12.75" customHeight="1" x14ac:dyDescent="0.25">
      <c r="A190" s="1442">
        <v>604902</v>
      </c>
      <c r="B190" s="1434" t="s">
        <v>1827</v>
      </c>
      <c r="D190" s="1447">
        <v>43802</v>
      </c>
      <c r="E190" s="1447"/>
      <c r="F190" s="1447"/>
      <c r="G190" s="1443" t="s">
        <v>991</v>
      </c>
      <c r="I190" s="141"/>
      <c r="J190" s="1449">
        <v>-221.10000000000002</v>
      </c>
      <c r="K190" s="1449">
        <v>-227.37</v>
      </c>
      <c r="L190" s="1449">
        <f t="shared" si="95"/>
        <v>-231.99</v>
      </c>
      <c r="M190" s="1449">
        <f t="shared" si="95"/>
        <v>-237.27</v>
      </c>
      <c r="N190" s="1449">
        <f t="shared" ref="N190:O190" si="101">-N80*$I$183</f>
        <v>-242.88000000000002</v>
      </c>
      <c r="O190" s="1449">
        <f t="shared" si="101"/>
        <v>-248.49</v>
      </c>
      <c r="P190" s="134"/>
    </row>
    <row r="191" spans="1:16" ht="12.75" customHeight="1" x14ac:dyDescent="0.25">
      <c r="A191" s="1442">
        <v>604902</v>
      </c>
      <c r="B191" s="1434" t="s">
        <v>1827</v>
      </c>
      <c r="D191" s="1447">
        <v>43803</v>
      </c>
      <c r="E191" s="1447"/>
      <c r="F191" s="1447"/>
      <c r="G191" s="1443" t="s">
        <v>1831</v>
      </c>
      <c r="I191" s="141"/>
      <c r="J191" s="1449">
        <v>-122.76</v>
      </c>
      <c r="K191" s="1449">
        <v>-126.06</v>
      </c>
      <c r="L191" s="1449">
        <f t="shared" si="95"/>
        <v>-128.70000000000002</v>
      </c>
      <c r="M191" s="1449">
        <f t="shared" si="95"/>
        <v>-131.67000000000002</v>
      </c>
      <c r="N191" s="1449">
        <f t="shared" ref="N191:O191" si="102">-N81*$I$183</f>
        <v>-134.64000000000001</v>
      </c>
      <c r="O191" s="1449">
        <f t="shared" si="102"/>
        <v>-137.61000000000001</v>
      </c>
      <c r="P191" s="134"/>
    </row>
    <row r="192" spans="1:16" ht="12.75" customHeight="1" x14ac:dyDescent="0.25">
      <c r="A192" s="1442">
        <v>604902</v>
      </c>
      <c r="B192" s="1434" t="s">
        <v>1827</v>
      </c>
      <c r="D192" s="1447">
        <v>43806</v>
      </c>
      <c r="E192" s="1447"/>
      <c r="F192" s="1447"/>
      <c r="G192" s="1443" t="s">
        <v>1832</v>
      </c>
      <c r="I192" s="141"/>
      <c r="J192" s="1449">
        <v>-180.18</v>
      </c>
      <c r="K192" s="1449">
        <v>-185.13</v>
      </c>
      <c r="L192" s="1449">
        <f t="shared" si="95"/>
        <v>-189.09</v>
      </c>
      <c r="M192" s="1449">
        <f t="shared" si="95"/>
        <v>-193.38</v>
      </c>
      <c r="N192" s="1449">
        <f t="shared" ref="N192:O192" si="103">-N82*$I$183</f>
        <v>-197.67000000000002</v>
      </c>
      <c r="O192" s="1449">
        <f t="shared" si="103"/>
        <v>-202.29000000000002</v>
      </c>
      <c r="P192" s="134"/>
    </row>
    <row r="193" spans="1:18" ht="12.75" customHeight="1" x14ac:dyDescent="0.25">
      <c r="A193" s="1442">
        <v>604902</v>
      </c>
      <c r="B193" s="1434" t="s">
        <v>1827</v>
      </c>
      <c r="D193" s="1447">
        <v>43806</v>
      </c>
      <c r="E193" s="1447"/>
      <c r="F193" s="1447"/>
      <c r="G193" s="1443" t="s">
        <v>1833</v>
      </c>
      <c r="I193" s="141"/>
      <c r="J193" s="1449">
        <v>-133.32</v>
      </c>
      <c r="K193" s="1449">
        <v>-136.95000000000002</v>
      </c>
      <c r="L193" s="1449">
        <f t="shared" si="95"/>
        <v>-139.92000000000002</v>
      </c>
      <c r="M193" s="1449">
        <f t="shared" si="95"/>
        <v>-143.22</v>
      </c>
      <c r="N193" s="1449">
        <f t="shared" ref="N193:O193" si="104">-N83*$I$183</f>
        <v>-146.52000000000001</v>
      </c>
      <c r="O193" s="1449">
        <f t="shared" si="104"/>
        <v>-149.82</v>
      </c>
      <c r="P193" s="134"/>
    </row>
    <row r="194" spans="1:18" ht="12.75" customHeight="1" x14ac:dyDescent="0.25">
      <c r="A194" s="1442">
        <v>604902</v>
      </c>
      <c r="B194" s="1434" t="s">
        <v>1827</v>
      </c>
      <c r="D194" s="1447">
        <v>43806</v>
      </c>
      <c r="E194" s="1447"/>
      <c r="F194" s="1447"/>
      <c r="G194" s="1443" t="s">
        <v>980</v>
      </c>
      <c r="I194" s="141"/>
      <c r="J194" s="1449">
        <v>-1196.5800000000002</v>
      </c>
      <c r="K194" s="1449">
        <v>-1230.24</v>
      </c>
      <c r="L194" s="1449">
        <f t="shared" si="95"/>
        <v>-1255.98</v>
      </c>
      <c r="M194" s="1449">
        <f t="shared" si="95"/>
        <v>-1285.02</v>
      </c>
      <c r="N194" s="1449">
        <f t="shared" ref="N194:O194" si="105">-N84*$I$183</f>
        <v>-1314.72</v>
      </c>
      <c r="O194" s="1449">
        <f t="shared" si="105"/>
        <v>-1345.0800000000002</v>
      </c>
      <c r="P194" s="134"/>
    </row>
    <row r="195" spans="1:18" ht="12.75" customHeight="1" x14ac:dyDescent="0.25">
      <c r="A195" s="1442">
        <v>604902</v>
      </c>
      <c r="B195" s="1434" t="s">
        <v>1827</v>
      </c>
      <c r="D195" s="1447">
        <v>43812</v>
      </c>
      <c r="E195" s="1447"/>
      <c r="F195" s="1447"/>
      <c r="G195" s="1443" t="s">
        <v>535</v>
      </c>
      <c r="I195" s="141"/>
      <c r="J195" s="1449">
        <v>-4826.91</v>
      </c>
      <c r="K195" s="1449">
        <v>-4952.3100000000004</v>
      </c>
      <c r="L195" s="1449">
        <f t="shared" si="95"/>
        <v>-5056.26</v>
      </c>
      <c r="M195" s="1449">
        <f t="shared" si="95"/>
        <v>-5172.42</v>
      </c>
      <c r="N195" s="1449">
        <f t="shared" ref="N195:O195" si="106">-N85*$I$183</f>
        <v>-5291.55</v>
      </c>
      <c r="O195" s="1449">
        <f t="shared" si="106"/>
        <v>-5413.3200000000006</v>
      </c>
      <c r="P195" s="134"/>
    </row>
    <row r="196" spans="1:18" ht="12.75" customHeight="1" x14ac:dyDescent="0.25">
      <c r="A196" s="1442">
        <v>604902</v>
      </c>
      <c r="B196" s="1434" t="s">
        <v>1827</v>
      </c>
      <c r="D196" s="1447">
        <v>43814</v>
      </c>
      <c r="E196" s="1447"/>
      <c r="F196" s="1447"/>
      <c r="G196" s="1443" t="s">
        <v>1834</v>
      </c>
      <c r="I196" s="141"/>
      <c r="J196" s="1449">
        <v>0</v>
      </c>
      <c r="K196" s="1449">
        <v>0</v>
      </c>
      <c r="L196" s="1449">
        <f t="shared" si="95"/>
        <v>0</v>
      </c>
      <c r="M196" s="1449">
        <f t="shared" si="95"/>
        <v>0</v>
      </c>
      <c r="N196" s="1449">
        <f t="shared" ref="N196:O196" si="107">-N86*$I$183</f>
        <v>0</v>
      </c>
      <c r="O196" s="1449">
        <f t="shared" si="107"/>
        <v>0</v>
      </c>
      <c r="P196" s="134"/>
    </row>
    <row r="197" spans="1:18" ht="12.75" customHeight="1" x14ac:dyDescent="0.25">
      <c r="A197" s="1442">
        <v>604902</v>
      </c>
      <c r="B197" s="1434" t="s">
        <v>1827</v>
      </c>
      <c r="D197" s="1447">
        <v>43817</v>
      </c>
      <c r="E197" s="1447"/>
      <c r="F197" s="1447"/>
      <c r="G197" s="1443" t="s">
        <v>1835</v>
      </c>
      <c r="I197" s="141"/>
      <c r="J197" s="1449">
        <v>-8371.44</v>
      </c>
      <c r="K197" s="1449">
        <v>-8589.24</v>
      </c>
      <c r="L197" s="1449">
        <f t="shared" si="95"/>
        <v>-8769.75</v>
      </c>
      <c r="M197" s="1449">
        <f t="shared" si="95"/>
        <v>-8971.7100000000009</v>
      </c>
      <c r="N197" s="1449">
        <f t="shared" ref="N197:O197" si="108">-N87*$I$183</f>
        <v>-9177.9600000000009</v>
      </c>
      <c r="O197" s="1449">
        <f t="shared" si="108"/>
        <v>-9388.83</v>
      </c>
      <c r="P197" s="134"/>
    </row>
    <row r="198" spans="1:18" ht="12.75" customHeight="1" x14ac:dyDescent="0.25">
      <c r="A198" s="1442">
        <v>604902</v>
      </c>
      <c r="B198" s="1434" t="s">
        <v>1827</v>
      </c>
      <c r="D198" s="1447">
        <v>47201</v>
      </c>
      <c r="E198" s="1447"/>
      <c r="F198" s="1447"/>
      <c r="G198" s="1443" t="s">
        <v>1843</v>
      </c>
      <c r="I198" s="141"/>
      <c r="J198" s="1449">
        <v>-5650.26</v>
      </c>
      <c r="K198" s="1449">
        <v>-6922.7871309907205</v>
      </c>
      <c r="L198" s="1449">
        <f t="shared" si="95"/>
        <v>-7268.9264875402559</v>
      </c>
      <c r="M198" s="1449">
        <f t="shared" si="95"/>
        <v>-7632.3728119172702</v>
      </c>
      <c r="N198" s="1449">
        <f t="shared" ref="N198:O198" si="109">-N88*$I$183</f>
        <v>-8013.9914525131335</v>
      </c>
      <c r="O198" s="1449">
        <f t="shared" si="109"/>
        <v>0</v>
      </c>
      <c r="P198" s="134"/>
    </row>
    <row r="199" spans="1:18" ht="12.75" customHeight="1" x14ac:dyDescent="0.25">
      <c r="A199" s="1442">
        <v>604902</v>
      </c>
      <c r="B199" s="1434" t="s">
        <v>1827</v>
      </c>
      <c r="D199" s="1447">
        <v>47300</v>
      </c>
      <c r="E199" s="1447"/>
      <c r="F199" s="1447"/>
      <c r="G199" s="1443" t="s">
        <v>1033</v>
      </c>
      <c r="I199" s="141"/>
      <c r="J199" s="1449">
        <v>-10414.470000000001</v>
      </c>
      <c r="K199" s="1449">
        <v>-10414.470000000001</v>
      </c>
      <c r="L199" s="1449">
        <f>-L89*$I183</f>
        <v>-10414.470000000001</v>
      </c>
      <c r="M199" s="1449">
        <f>-M89*$I183</f>
        <v>-10414.470000000001</v>
      </c>
      <c r="N199" s="1449">
        <f>-N89*$I183</f>
        <v>-10414.470000000001</v>
      </c>
      <c r="O199" s="1449">
        <f>-O89*$I183</f>
        <v>0</v>
      </c>
      <c r="P199" s="134"/>
      <c r="Q199" s="117">
        <f>SUM(K184:K199)</f>
        <v>-45407.387130990719</v>
      </c>
      <c r="R199" s="117">
        <f>SUM(L184:L199)</f>
        <v>-46341.586487540262</v>
      </c>
    </row>
    <row r="200" spans="1:18" ht="12.75" customHeight="1" x14ac:dyDescent="0.25">
      <c r="A200" s="1442"/>
      <c r="D200" s="1447"/>
      <c r="E200" s="1447"/>
      <c r="F200" s="1447"/>
      <c r="G200" s="1443"/>
      <c r="I200" s="141"/>
      <c r="J200" s="1449"/>
      <c r="K200" s="1449"/>
      <c r="L200" s="1449"/>
      <c r="M200" s="1449"/>
      <c r="N200" s="1449"/>
      <c r="O200" s="1449"/>
      <c r="P200" s="134"/>
    </row>
    <row r="201" spans="1:18" ht="12.75" customHeight="1" x14ac:dyDescent="0.25">
      <c r="A201" s="1442"/>
      <c r="D201" s="1447"/>
      <c r="E201" s="1447"/>
      <c r="F201" s="1447"/>
      <c r="G201" s="1453" t="s">
        <v>536</v>
      </c>
      <c r="H201" s="549"/>
      <c r="I201" s="1454"/>
      <c r="J201" s="1826">
        <v>-131539.99999999997</v>
      </c>
      <c r="K201" s="1826">
        <v>-137598.14282118401</v>
      </c>
      <c r="L201" s="1826">
        <f>SUM(L144:L200)</f>
        <v>-140429.04996224321</v>
      </c>
      <c r="M201" s="1826">
        <f>SUM(M144:M200)</f>
        <v>-143526.4024603554</v>
      </c>
      <c r="N201" s="1826">
        <f>SUM(N144:N200)</f>
        <v>-146724.87258337316</v>
      </c>
      <c r="O201" s="1826">
        <f>SUM(O144:O200)</f>
        <v>-92967.420000000013</v>
      </c>
      <c r="P201" s="134"/>
    </row>
    <row r="202" spans="1:18" ht="12.75" customHeight="1" x14ac:dyDescent="0.25">
      <c r="A202" s="1442"/>
      <c r="D202" s="1447"/>
      <c r="E202" s="1447"/>
      <c r="F202" s="1447"/>
      <c r="G202" s="1443"/>
      <c r="I202" s="1452"/>
      <c r="J202" s="1452"/>
      <c r="K202" s="1452"/>
      <c r="L202" s="1452"/>
      <c r="M202" s="1452"/>
      <c r="N202" s="1452"/>
      <c r="O202" s="1452"/>
      <c r="P202" s="134"/>
    </row>
    <row r="203" spans="1:18" ht="12.75" customHeight="1" x14ac:dyDescent="0.25">
      <c r="A203" s="1442"/>
      <c r="D203" s="1463">
        <v>604902</v>
      </c>
      <c r="E203" s="1447"/>
      <c r="F203" s="1447"/>
      <c r="G203" s="1453" t="s">
        <v>1851</v>
      </c>
      <c r="I203" s="1452"/>
      <c r="J203" s="1452"/>
      <c r="K203" s="1452"/>
      <c r="L203" s="1452"/>
      <c r="M203" s="1452"/>
      <c r="N203" s="1452"/>
      <c r="O203" s="1452"/>
      <c r="P203" s="134"/>
    </row>
    <row r="204" spans="1:18" ht="12.75" customHeight="1" x14ac:dyDescent="0.25">
      <c r="A204" s="1442"/>
      <c r="D204" s="1447"/>
      <c r="E204" s="1434"/>
      <c r="F204" s="1447"/>
      <c r="G204" s="1459" t="s">
        <v>1842</v>
      </c>
      <c r="I204" s="141">
        <v>0</v>
      </c>
      <c r="J204" s="1449"/>
      <c r="K204" s="1449"/>
      <c r="L204" s="1449"/>
      <c r="M204" s="1449"/>
      <c r="N204" s="1449"/>
      <c r="O204" s="1449"/>
      <c r="P204" s="134"/>
    </row>
    <row r="205" spans="1:18" ht="12.75" customHeight="1" x14ac:dyDescent="0.25">
      <c r="A205" s="1442">
        <v>604902</v>
      </c>
      <c r="B205" s="1434" t="s">
        <v>1837</v>
      </c>
      <c r="D205" s="1447">
        <v>43803</v>
      </c>
      <c r="E205" s="1434"/>
      <c r="F205" s="1447"/>
      <c r="G205" s="1443" t="s">
        <v>1831</v>
      </c>
      <c r="I205" s="141"/>
      <c r="J205" s="1449">
        <v>0</v>
      </c>
      <c r="K205" s="1449">
        <v>0</v>
      </c>
      <c r="L205" s="1449">
        <f t="shared" ref="L205:M207" si="110">-L95*$I$204</f>
        <v>0</v>
      </c>
      <c r="M205" s="1449">
        <f t="shared" si="110"/>
        <v>0</v>
      </c>
      <c r="N205" s="1449">
        <f t="shared" ref="N205:O205" si="111">-N95*$I$204</f>
        <v>0</v>
      </c>
      <c r="O205" s="1449">
        <f t="shared" si="111"/>
        <v>0</v>
      </c>
      <c r="P205" s="134"/>
    </row>
    <row r="206" spans="1:18" ht="12.75" customHeight="1" x14ac:dyDescent="0.25">
      <c r="A206" s="1442">
        <v>604902</v>
      </c>
      <c r="B206" s="1434" t="s">
        <v>1837</v>
      </c>
      <c r="D206" s="1447">
        <v>43812</v>
      </c>
      <c r="E206" s="1434"/>
      <c r="F206" s="1447"/>
      <c r="G206" s="1443" t="s">
        <v>535</v>
      </c>
      <c r="I206" s="141"/>
      <c r="J206" s="1449">
        <v>0</v>
      </c>
      <c r="K206" s="1449">
        <v>0</v>
      </c>
      <c r="L206" s="1449">
        <f t="shared" si="110"/>
        <v>0</v>
      </c>
      <c r="M206" s="1449">
        <f t="shared" si="110"/>
        <v>0</v>
      </c>
      <c r="N206" s="1449">
        <f t="shared" ref="N206:O206" si="112">-N96*$I$204</f>
        <v>0</v>
      </c>
      <c r="O206" s="1449">
        <f t="shared" si="112"/>
        <v>0</v>
      </c>
      <c r="P206" s="134"/>
    </row>
    <row r="207" spans="1:18" ht="12.75" customHeight="1" x14ac:dyDescent="0.25">
      <c r="A207" s="1442">
        <v>604902</v>
      </c>
      <c r="B207" s="1434" t="s">
        <v>1837</v>
      </c>
      <c r="D207" s="1447">
        <v>43818</v>
      </c>
      <c r="E207" s="1447"/>
      <c r="F207" s="1447"/>
      <c r="G207" s="1443" t="s">
        <v>1838</v>
      </c>
      <c r="I207" s="141"/>
      <c r="J207" s="1449">
        <v>0</v>
      </c>
      <c r="K207" s="1449">
        <v>0</v>
      </c>
      <c r="L207" s="1449">
        <f t="shared" si="110"/>
        <v>0</v>
      </c>
      <c r="M207" s="1449">
        <f t="shared" si="110"/>
        <v>0</v>
      </c>
      <c r="N207" s="1449">
        <f t="shared" ref="N207:O207" si="113">-N97*$I$204</f>
        <v>0</v>
      </c>
      <c r="O207" s="1449">
        <f t="shared" si="113"/>
        <v>0</v>
      </c>
      <c r="P207" s="134"/>
    </row>
    <row r="208" spans="1:18" ht="12.75" customHeight="1" x14ac:dyDescent="0.25">
      <c r="A208" s="1442"/>
      <c r="D208" s="1447"/>
      <c r="E208" s="1447"/>
      <c r="F208" s="1447"/>
      <c r="G208" s="1443"/>
      <c r="I208" s="141"/>
      <c r="J208" s="1449"/>
      <c r="K208" s="1449"/>
      <c r="L208" s="1449"/>
      <c r="M208" s="1449"/>
      <c r="N208" s="1449"/>
      <c r="O208" s="1449"/>
      <c r="P208" s="134"/>
    </row>
    <row r="209" spans="1:19" ht="12.75" customHeight="1" x14ac:dyDescent="0.25">
      <c r="A209" s="1442"/>
      <c r="D209" s="1447"/>
      <c r="E209" s="1447"/>
      <c r="F209" s="1447"/>
      <c r="G209" s="1459" t="s">
        <v>1844</v>
      </c>
      <c r="I209" s="141">
        <v>0</v>
      </c>
      <c r="J209" s="1449"/>
      <c r="K209" s="1449"/>
      <c r="L209" s="1449"/>
      <c r="M209" s="1449"/>
      <c r="N209" s="1449"/>
      <c r="O209" s="1449"/>
      <c r="P209" s="134"/>
    </row>
    <row r="210" spans="1:19" ht="12.75" customHeight="1" x14ac:dyDescent="0.25">
      <c r="A210" s="1442">
        <v>604902</v>
      </c>
      <c r="B210" s="1434" t="s">
        <v>1837</v>
      </c>
      <c r="D210" s="1447">
        <v>43803</v>
      </c>
      <c r="E210" s="1434"/>
      <c r="F210" s="1447"/>
      <c r="G210" s="1443" t="s">
        <v>1831</v>
      </c>
      <c r="I210" s="141"/>
      <c r="J210" s="1449">
        <v>0</v>
      </c>
      <c r="K210" s="1449">
        <v>0</v>
      </c>
      <c r="L210" s="1449">
        <f t="shared" ref="L210:M212" si="114">-L95*$I$209</f>
        <v>0</v>
      </c>
      <c r="M210" s="1449">
        <f t="shared" si="114"/>
        <v>0</v>
      </c>
      <c r="N210" s="1449">
        <f t="shared" ref="N210:O210" si="115">-N95*$I$209</f>
        <v>0</v>
      </c>
      <c r="O210" s="1449">
        <f t="shared" si="115"/>
        <v>0</v>
      </c>
      <c r="P210" s="134"/>
    </row>
    <row r="211" spans="1:19" ht="12.75" customHeight="1" x14ac:dyDescent="0.25">
      <c r="A211" s="1442">
        <v>604902</v>
      </c>
      <c r="B211" s="1434" t="s">
        <v>1837</v>
      </c>
      <c r="D211" s="1447">
        <v>43812</v>
      </c>
      <c r="E211" s="1447"/>
      <c r="F211" s="1447"/>
      <c r="G211" s="1443" t="s">
        <v>535</v>
      </c>
      <c r="I211" s="141"/>
      <c r="J211" s="1449">
        <v>0</v>
      </c>
      <c r="K211" s="1449">
        <v>0</v>
      </c>
      <c r="L211" s="1449">
        <f t="shared" si="114"/>
        <v>0</v>
      </c>
      <c r="M211" s="1449">
        <f t="shared" si="114"/>
        <v>0</v>
      </c>
      <c r="N211" s="1449">
        <f t="shared" ref="N211:O211" si="116">-N96*$I$209</f>
        <v>0</v>
      </c>
      <c r="O211" s="1449">
        <f t="shared" si="116"/>
        <v>0</v>
      </c>
      <c r="P211" s="134"/>
      <c r="Q211" s="124"/>
      <c r="R211" s="124"/>
      <c r="S211" s="124"/>
    </row>
    <row r="212" spans="1:19" ht="12.75" customHeight="1" x14ac:dyDescent="0.25">
      <c r="A212" s="1442">
        <v>604902</v>
      </c>
      <c r="B212" s="1434" t="s">
        <v>1837</v>
      </c>
      <c r="D212" s="1447">
        <v>43818</v>
      </c>
      <c r="E212" s="1447"/>
      <c r="F212" s="1447"/>
      <c r="G212" s="1443" t="s">
        <v>1838</v>
      </c>
      <c r="I212" s="141"/>
      <c r="J212" s="1449">
        <v>0</v>
      </c>
      <c r="K212" s="1449">
        <v>0</v>
      </c>
      <c r="L212" s="1449">
        <f t="shared" si="114"/>
        <v>0</v>
      </c>
      <c r="M212" s="1449">
        <f t="shared" si="114"/>
        <v>0</v>
      </c>
      <c r="N212" s="1449">
        <f t="shared" ref="N212:O212" si="117">-N97*$I$209</f>
        <v>0</v>
      </c>
      <c r="O212" s="1449">
        <f t="shared" si="117"/>
        <v>0</v>
      </c>
      <c r="P212" s="134"/>
    </row>
    <row r="213" spans="1:19" ht="12.75" customHeight="1" x14ac:dyDescent="0.25">
      <c r="A213" s="1442"/>
      <c r="D213" s="1447"/>
      <c r="E213" s="1447"/>
      <c r="F213" s="1447"/>
      <c r="G213" s="1443"/>
      <c r="I213" s="141"/>
      <c r="J213" s="1449"/>
      <c r="K213" s="1449"/>
      <c r="L213" s="1449"/>
      <c r="M213" s="1449"/>
      <c r="N213" s="1449"/>
      <c r="O213" s="1449"/>
      <c r="P213" s="134"/>
    </row>
    <row r="214" spans="1:19" ht="12.75" customHeight="1" x14ac:dyDescent="0.25">
      <c r="A214" s="1442"/>
      <c r="D214" s="1447"/>
      <c r="E214" s="1447"/>
      <c r="F214" s="1447"/>
      <c r="G214" s="1456" t="s">
        <v>1848</v>
      </c>
      <c r="I214" s="141"/>
      <c r="J214" s="1449"/>
      <c r="K214" s="1449"/>
      <c r="L214" s="1449"/>
      <c r="M214" s="1449"/>
      <c r="N214" s="1449"/>
      <c r="O214" s="1449"/>
      <c r="P214" s="134"/>
    </row>
    <row r="215" spans="1:19" ht="12.75" customHeight="1" x14ac:dyDescent="0.25">
      <c r="A215" s="1442"/>
      <c r="D215" s="1447"/>
      <c r="E215" s="1447"/>
      <c r="F215" s="1447"/>
      <c r="G215" s="1456"/>
      <c r="I215" s="141"/>
      <c r="J215" s="1449"/>
      <c r="K215" s="1449"/>
      <c r="L215" s="1449"/>
      <c r="M215" s="1449"/>
      <c r="N215" s="1449"/>
      <c r="O215" s="1449"/>
      <c r="P215" s="134"/>
    </row>
    <row r="216" spans="1:19" ht="12.75" customHeight="1" x14ac:dyDescent="0.25">
      <c r="A216" s="1442"/>
      <c r="D216" s="1447"/>
      <c r="E216" s="1447"/>
      <c r="F216" s="1447"/>
      <c r="G216" s="1459" t="s">
        <v>1852</v>
      </c>
      <c r="I216" s="141">
        <v>0.38</v>
      </c>
      <c r="J216" s="1449"/>
      <c r="K216" s="1449"/>
      <c r="L216" s="1449"/>
      <c r="M216" s="1449"/>
      <c r="N216" s="1449"/>
      <c r="O216" s="1449"/>
      <c r="P216" s="134"/>
    </row>
    <row r="217" spans="1:19" ht="12.75" customHeight="1" x14ac:dyDescent="0.25">
      <c r="A217" s="1442"/>
      <c r="D217" s="1447"/>
      <c r="E217" s="1447"/>
      <c r="F217" s="1447"/>
      <c r="G217" s="1462" t="s">
        <v>1848</v>
      </c>
      <c r="I217" s="141"/>
      <c r="J217" s="1449"/>
      <c r="K217" s="1449"/>
      <c r="L217" s="1449"/>
      <c r="M217" s="1449"/>
      <c r="N217" s="1449"/>
      <c r="O217" s="1449"/>
      <c r="P217" s="134"/>
    </row>
    <row r="218" spans="1:19" ht="12.75" customHeight="1" x14ac:dyDescent="0.25">
      <c r="A218" s="1442">
        <v>604902</v>
      </c>
      <c r="B218" s="1434" t="s">
        <v>1837</v>
      </c>
      <c r="D218" s="1447">
        <v>43803</v>
      </c>
      <c r="E218" s="1447"/>
      <c r="F218" s="1447"/>
      <c r="G218" s="1443" t="s">
        <v>1831</v>
      </c>
      <c r="I218" s="141"/>
      <c r="J218" s="1449">
        <v>-51.3</v>
      </c>
      <c r="K218" s="1449">
        <v>-52.82</v>
      </c>
      <c r="L218" s="1449">
        <f t="shared" ref="L218:M220" si="118">-L95*$I$216</f>
        <v>-53.96</v>
      </c>
      <c r="M218" s="1449">
        <f t="shared" si="118"/>
        <v>-55.1</v>
      </c>
      <c r="N218" s="1449">
        <f t="shared" ref="N218:O218" si="119">-N95*$I$216</f>
        <v>-56.24</v>
      </c>
      <c r="O218" s="1449">
        <f t="shared" si="119"/>
        <v>-57.38</v>
      </c>
      <c r="P218" s="134"/>
      <c r="Q218" s="124"/>
      <c r="R218" s="124"/>
      <c r="S218" s="124"/>
    </row>
    <row r="219" spans="1:19" ht="12.75" customHeight="1" x14ac:dyDescent="0.25">
      <c r="A219" s="1442">
        <v>604902</v>
      </c>
      <c r="B219" s="1434" t="s">
        <v>1837</v>
      </c>
      <c r="D219" s="1447">
        <v>43812</v>
      </c>
      <c r="E219" s="1434"/>
      <c r="F219" s="1447"/>
      <c r="G219" s="1443" t="s">
        <v>535</v>
      </c>
      <c r="I219" s="141"/>
      <c r="J219" s="1449">
        <v>-7190.74</v>
      </c>
      <c r="K219" s="1449">
        <v>-7377.7</v>
      </c>
      <c r="L219" s="1449">
        <f t="shared" si="118"/>
        <v>-7532.36</v>
      </c>
      <c r="M219" s="1449">
        <f t="shared" si="118"/>
        <v>-7705.64</v>
      </c>
      <c r="N219" s="1449">
        <f t="shared" ref="N219:O219" si="120">-N96*$I$216</f>
        <v>-7883.1</v>
      </c>
      <c r="O219" s="1449">
        <f t="shared" si="120"/>
        <v>-8064.36</v>
      </c>
      <c r="P219" s="134"/>
      <c r="Q219" s="124"/>
      <c r="R219" s="124"/>
      <c r="S219" s="124"/>
    </row>
    <row r="220" spans="1:19" ht="12.75" customHeight="1" x14ac:dyDescent="0.25">
      <c r="A220" s="1442">
        <v>604902</v>
      </c>
      <c r="B220" s="1434" t="s">
        <v>1837</v>
      </c>
      <c r="D220" s="1447">
        <v>43818</v>
      </c>
      <c r="E220" s="1447"/>
      <c r="F220" s="1447"/>
      <c r="G220" s="1443" t="s">
        <v>1838</v>
      </c>
      <c r="I220" s="141"/>
      <c r="J220" s="1449">
        <v>-3150.2</v>
      </c>
      <c r="K220" s="1449">
        <v>-3231.9</v>
      </c>
      <c r="L220" s="1449">
        <f t="shared" si="118"/>
        <v>-3299.92</v>
      </c>
      <c r="M220" s="1449">
        <f t="shared" si="118"/>
        <v>-3375.92</v>
      </c>
      <c r="N220" s="1449">
        <f t="shared" ref="N220:O220" si="121">-N97*$I$216</f>
        <v>-3453.82</v>
      </c>
      <c r="O220" s="1449">
        <f t="shared" si="121"/>
        <v>-3533.2400000000002</v>
      </c>
      <c r="P220" s="134"/>
      <c r="Q220" s="1434"/>
      <c r="R220" s="1434"/>
      <c r="S220" s="1434"/>
    </row>
    <row r="221" spans="1:19" ht="12.75" customHeight="1" x14ac:dyDescent="0.25">
      <c r="A221" s="1442"/>
      <c r="D221" s="1447"/>
      <c r="E221" s="1447"/>
      <c r="F221" s="1447"/>
      <c r="G221" s="1443"/>
      <c r="I221" s="141"/>
      <c r="J221" s="1449"/>
      <c r="K221" s="1449"/>
      <c r="L221" s="1449"/>
      <c r="M221" s="1449"/>
      <c r="N221" s="1449"/>
      <c r="O221" s="1449"/>
      <c r="P221" s="134"/>
      <c r="Q221" s="124"/>
      <c r="R221" s="124"/>
      <c r="S221" s="124"/>
    </row>
    <row r="222" spans="1:19" ht="12.75" customHeight="1" x14ac:dyDescent="0.25">
      <c r="A222" s="1442"/>
      <c r="D222" s="1447"/>
      <c r="E222" s="1447"/>
      <c r="F222" s="1447"/>
      <c r="G222" s="1459" t="s">
        <v>1853</v>
      </c>
      <c r="I222" s="141">
        <v>0.28999999999999998</v>
      </c>
      <c r="J222" s="1449"/>
      <c r="K222" s="1449"/>
      <c r="L222" s="1449"/>
      <c r="M222" s="1449"/>
      <c r="N222" s="1449"/>
      <c r="O222" s="1449"/>
      <c r="P222" s="134"/>
      <c r="Q222" s="124"/>
      <c r="R222" s="124"/>
      <c r="S222" s="124"/>
    </row>
    <row r="223" spans="1:19" ht="12.75" customHeight="1" x14ac:dyDescent="0.25">
      <c r="A223" s="1442">
        <v>604902</v>
      </c>
      <c r="B223" s="1434" t="s">
        <v>1837</v>
      </c>
      <c r="D223" s="1447">
        <v>43803</v>
      </c>
      <c r="E223" s="1434"/>
      <c r="F223" s="1447"/>
      <c r="G223" s="1443" t="s">
        <v>1831</v>
      </c>
      <c r="I223" s="141"/>
      <c r="J223" s="1449">
        <v>-39.15</v>
      </c>
      <c r="K223" s="1449">
        <v>-40.309999999999995</v>
      </c>
      <c r="L223" s="1449">
        <f t="shared" ref="L223:M225" si="122">-L95*$I$222</f>
        <v>-41.18</v>
      </c>
      <c r="M223" s="1449">
        <f t="shared" si="122"/>
        <v>-42.05</v>
      </c>
      <c r="N223" s="1449">
        <f t="shared" ref="N223:O223" si="123">-N95*$I$222</f>
        <v>-42.919999999999995</v>
      </c>
      <c r="O223" s="1449">
        <f t="shared" si="123"/>
        <v>-43.79</v>
      </c>
      <c r="P223" s="134"/>
      <c r="Q223" s="124"/>
      <c r="R223" s="124"/>
    </row>
    <row r="224" spans="1:19" ht="12.75" customHeight="1" x14ac:dyDescent="0.25">
      <c r="A224" s="1442">
        <v>604902</v>
      </c>
      <c r="B224" s="1434" t="s">
        <v>1837</v>
      </c>
      <c r="D224" s="1447">
        <v>43812</v>
      </c>
      <c r="E224" s="1447"/>
      <c r="F224" s="1447"/>
      <c r="G224" s="1443" t="s">
        <v>535</v>
      </c>
      <c r="I224" s="141"/>
      <c r="J224" s="1449">
        <v>-5487.67</v>
      </c>
      <c r="K224" s="1449">
        <v>-5630.3499999999995</v>
      </c>
      <c r="L224" s="1449">
        <f t="shared" si="122"/>
        <v>-5748.3799999999992</v>
      </c>
      <c r="M224" s="1449">
        <f t="shared" si="122"/>
        <v>-5880.62</v>
      </c>
      <c r="N224" s="1449">
        <f t="shared" ref="N224:O224" si="124">-N96*$I$222</f>
        <v>-6016.0499999999993</v>
      </c>
      <c r="O224" s="1449">
        <f t="shared" si="124"/>
        <v>-6154.3799999999992</v>
      </c>
      <c r="P224" s="134"/>
    </row>
    <row r="225" spans="1:20" ht="12.75" customHeight="1" x14ac:dyDescent="0.25">
      <c r="A225" s="1442">
        <v>604902</v>
      </c>
      <c r="B225" s="1434" t="s">
        <v>1837</v>
      </c>
      <c r="D225" s="1447">
        <v>43818</v>
      </c>
      <c r="E225" s="1447"/>
      <c r="F225" s="1447"/>
      <c r="G225" s="1443" t="s">
        <v>1838</v>
      </c>
      <c r="I225" s="141"/>
      <c r="J225" s="1449">
        <v>-2404.1</v>
      </c>
      <c r="K225" s="1449">
        <v>-2466.4499999999998</v>
      </c>
      <c r="L225" s="1449">
        <f t="shared" si="122"/>
        <v>-2518.3599999999997</v>
      </c>
      <c r="M225" s="1449">
        <f t="shared" si="122"/>
        <v>-2576.3599999999997</v>
      </c>
      <c r="N225" s="1449">
        <f t="shared" ref="N225:O225" si="125">-N97*$I$222</f>
        <v>-2635.81</v>
      </c>
      <c r="O225" s="1449">
        <f t="shared" si="125"/>
        <v>-2696.4199999999996</v>
      </c>
      <c r="P225" s="134"/>
    </row>
    <row r="226" spans="1:20" ht="12.75" customHeight="1" x14ac:dyDescent="0.25">
      <c r="A226" s="1442"/>
      <c r="D226" s="1447"/>
      <c r="E226" s="1447"/>
      <c r="F226" s="1447"/>
      <c r="G226" s="1443"/>
      <c r="I226" s="141"/>
      <c r="J226" s="1449"/>
      <c r="K226" s="1449"/>
      <c r="L226" s="1449"/>
      <c r="M226" s="1449"/>
      <c r="N226" s="1449"/>
      <c r="O226" s="1449"/>
      <c r="P226" s="134"/>
    </row>
    <row r="227" spans="1:20" ht="12.75" customHeight="1" x14ac:dyDescent="0.25">
      <c r="A227" s="1442"/>
      <c r="D227" s="1447"/>
      <c r="E227" s="1447"/>
      <c r="F227" s="1447"/>
      <c r="G227" s="1459" t="s">
        <v>1854</v>
      </c>
      <c r="I227" s="141">
        <v>0.33</v>
      </c>
      <c r="J227" s="1449"/>
      <c r="K227" s="1449"/>
      <c r="L227" s="1449"/>
      <c r="M227" s="1449"/>
      <c r="N227" s="1449"/>
      <c r="O227" s="1449"/>
      <c r="P227" s="134"/>
    </row>
    <row r="228" spans="1:20" ht="12.75" customHeight="1" x14ac:dyDescent="0.25">
      <c r="A228" s="1442">
        <v>604902</v>
      </c>
      <c r="B228" s="1434" t="s">
        <v>1837</v>
      </c>
      <c r="D228" s="1447">
        <v>43803</v>
      </c>
      <c r="E228" s="1447"/>
      <c r="F228" s="1447"/>
      <c r="G228" s="1443" t="s">
        <v>1831</v>
      </c>
      <c r="I228" s="141"/>
      <c r="J228" s="1449">
        <v>-44.550000000000004</v>
      </c>
      <c r="K228" s="1449">
        <v>-45.870000000000005</v>
      </c>
      <c r="L228" s="1449">
        <f t="shared" ref="L228:M230" si="126">-L95*$I$227</f>
        <v>-46.86</v>
      </c>
      <c r="M228" s="1449">
        <f t="shared" si="126"/>
        <v>-47.85</v>
      </c>
      <c r="N228" s="1449">
        <f t="shared" ref="N228:O228" si="127">-N95*$I$227</f>
        <v>-48.84</v>
      </c>
      <c r="O228" s="1449">
        <f t="shared" si="127"/>
        <v>-49.830000000000005</v>
      </c>
      <c r="P228" s="134"/>
    </row>
    <row r="229" spans="1:20" ht="12.75" customHeight="1" x14ac:dyDescent="0.25">
      <c r="A229" s="1442">
        <v>604902</v>
      </c>
      <c r="B229" s="1434" t="s">
        <v>1837</v>
      </c>
      <c r="D229" s="1447">
        <v>43812</v>
      </c>
      <c r="E229" s="1447"/>
      <c r="F229" s="1447"/>
      <c r="G229" s="1443" t="s">
        <v>535</v>
      </c>
      <c r="I229" s="141"/>
      <c r="J229" s="1449">
        <v>-6244.59</v>
      </c>
      <c r="K229" s="1449">
        <v>-6406.9500000000007</v>
      </c>
      <c r="L229" s="1449">
        <f t="shared" si="126"/>
        <v>-6541.26</v>
      </c>
      <c r="M229" s="1449">
        <f t="shared" si="126"/>
        <v>-6691.7400000000007</v>
      </c>
      <c r="N229" s="1449">
        <f t="shared" ref="N229:O229" si="128">-N96*$I$227</f>
        <v>-6845.85</v>
      </c>
      <c r="O229" s="1449">
        <f t="shared" si="128"/>
        <v>-7003.26</v>
      </c>
      <c r="P229" s="134"/>
    </row>
    <row r="230" spans="1:20" ht="12.75" customHeight="1" x14ac:dyDescent="0.25">
      <c r="A230" s="1442">
        <v>604902</v>
      </c>
      <c r="B230" s="1434" t="s">
        <v>1837</v>
      </c>
      <c r="D230" s="1447">
        <v>43818</v>
      </c>
      <c r="E230" s="1447"/>
      <c r="F230" s="1447"/>
      <c r="G230" s="1443" t="s">
        <v>1838</v>
      </c>
      <c r="I230" s="141"/>
      <c r="J230" s="1449">
        <v>-2735.7000000000003</v>
      </c>
      <c r="K230" s="1449">
        <v>-2806.65</v>
      </c>
      <c r="L230" s="1449">
        <f t="shared" si="126"/>
        <v>-2865.7200000000003</v>
      </c>
      <c r="M230" s="1449">
        <f t="shared" si="126"/>
        <v>-2931.7200000000003</v>
      </c>
      <c r="N230" s="1449">
        <f t="shared" ref="N230:O230" si="129">-N97*$I$227</f>
        <v>-2999.3700000000003</v>
      </c>
      <c r="O230" s="1449">
        <f t="shared" si="129"/>
        <v>-3068.34</v>
      </c>
      <c r="P230" s="134"/>
    </row>
    <row r="231" spans="1:20" ht="12.75" customHeight="1" x14ac:dyDescent="0.25">
      <c r="A231" s="1442"/>
      <c r="D231" s="1447"/>
      <c r="E231" s="1447"/>
      <c r="F231" s="1447"/>
      <c r="G231" s="1443"/>
      <c r="I231" s="141"/>
      <c r="J231" s="1449"/>
      <c r="K231" s="1449"/>
      <c r="L231" s="1449"/>
      <c r="M231" s="1449"/>
      <c r="N231" s="1449"/>
      <c r="O231" s="1449"/>
      <c r="P231" s="134"/>
      <c r="Q231" s="117">
        <f>SUM(K228:K230)</f>
        <v>-9259.4700000000012</v>
      </c>
      <c r="R231" s="117">
        <f>SUM(L228:L230)</f>
        <v>-9453.84</v>
      </c>
    </row>
    <row r="232" spans="1:20" ht="12.75" customHeight="1" x14ac:dyDescent="0.25">
      <c r="A232" s="1442"/>
      <c r="D232" s="1447"/>
      <c r="E232" s="1447"/>
      <c r="F232" s="1447"/>
      <c r="G232" s="1453" t="s">
        <v>536</v>
      </c>
      <c r="H232" s="549"/>
      <c r="I232" s="1454"/>
      <c r="J232" s="1826">
        <v>-27348</v>
      </c>
      <c r="K232" s="1826">
        <v>-28059</v>
      </c>
      <c r="L232" s="1826">
        <f>SUM(L204:L230)</f>
        <v>-28648</v>
      </c>
      <c r="M232" s="1826">
        <f>SUM(M204:M230)</f>
        <v>-29307</v>
      </c>
      <c r="N232" s="1826">
        <f>SUM(N204:N230)</f>
        <v>-29981.999999999996</v>
      </c>
      <c r="O232" s="1826">
        <f>SUM(O204:O230)</f>
        <v>-30671.000000000004</v>
      </c>
      <c r="P232" s="134"/>
    </row>
    <row r="233" spans="1:20" ht="12.75" customHeight="1" x14ac:dyDescent="0.25">
      <c r="A233" s="1442"/>
      <c r="D233" s="1447"/>
      <c r="E233" s="1447"/>
      <c r="F233" s="1447"/>
      <c r="G233" s="1443"/>
      <c r="I233" s="1452"/>
      <c r="J233" s="1452"/>
      <c r="K233" s="1452"/>
      <c r="L233" s="1452"/>
      <c r="M233" s="1452"/>
      <c r="N233" s="1452"/>
      <c r="O233" s="1452"/>
      <c r="P233" s="134"/>
    </row>
    <row r="234" spans="1:20" ht="12.75" customHeight="1" x14ac:dyDescent="0.25">
      <c r="A234" s="1442"/>
      <c r="D234" s="1447"/>
      <c r="E234" s="1447"/>
      <c r="F234" s="1447"/>
      <c r="G234" s="1443"/>
      <c r="I234" s="1452"/>
      <c r="J234" s="1452"/>
      <c r="K234" s="1452"/>
      <c r="L234" s="1452"/>
      <c r="M234" s="1452"/>
      <c r="N234" s="1452"/>
      <c r="O234" s="1452"/>
      <c r="P234" s="134"/>
    </row>
    <row r="235" spans="1:20" ht="12.75" customHeight="1" x14ac:dyDescent="0.25">
      <c r="A235" s="1442"/>
      <c r="D235" s="1447"/>
      <c r="E235" s="1447"/>
      <c r="F235" s="1447"/>
      <c r="G235" s="1453" t="s">
        <v>1855</v>
      </c>
      <c r="I235" s="1452"/>
      <c r="J235" s="1452"/>
      <c r="K235" s="1452"/>
      <c r="L235" s="1452"/>
      <c r="M235" s="1452"/>
      <c r="N235" s="1452"/>
      <c r="O235" s="1452"/>
      <c r="P235" s="134"/>
    </row>
    <row r="236" spans="1:20" ht="12.75" customHeight="1" x14ac:dyDescent="0.25">
      <c r="A236" s="1442"/>
      <c r="D236" s="1447"/>
      <c r="E236" s="1434"/>
      <c r="F236" s="1447"/>
      <c r="G236" s="1459" t="s">
        <v>1842</v>
      </c>
      <c r="I236" s="141">
        <v>0</v>
      </c>
      <c r="J236" s="1449"/>
      <c r="K236" s="1449"/>
      <c r="L236" s="1449"/>
      <c r="M236" s="1449"/>
      <c r="N236" s="1449"/>
      <c r="O236" s="1449"/>
      <c r="P236" s="134"/>
    </row>
    <row r="237" spans="1:20" ht="12.75" customHeight="1" x14ac:dyDescent="0.25">
      <c r="A237" s="1442">
        <v>604902</v>
      </c>
      <c r="B237" s="1434" t="s">
        <v>1839</v>
      </c>
      <c r="D237" s="1447">
        <v>42100</v>
      </c>
      <c r="E237" s="1434"/>
      <c r="F237" s="1447"/>
      <c r="G237" s="1443" t="s">
        <v>1840</v>
      </c>
      <c r="I237" s="141"/>
      <c r="J237" s="1449">
        <v>0</v>
      </c>
      <c r="K237" s="1449">
        <v>0</v>
      </c>
      <c r="L237" s="1449">
        <f>-L104*$I$236</f>
        <v>0</v>
      </c>
      <c r="M237" s="1449">
        <f>-M104*$I$236</f>
        <v>0</v>
      </c>
      <c r="N237" s="1449">
        <f t="shared" ref="N237:O237" si="130">-N104*$I$236</f>
        <v>0</v>
      </c>
      <c r="O237" s="1449">
        <f t="shared" si="130"/>
        <v>0</v>
      </c>
      <c r="P237" s="134"/>
    </row>
    <row r="238" spans="1:20" ht="12.75" customHeight="1" x14ac:dyDescent="0.25">
      <c r="A238" s="1442">
        <v>604902</v>
      </c>
      <c r="B238" s="1434" t="s">
        <v>1839</v>
      </c>
      <c r="D238" s="1447">
        <v>43803</v>
      </c>
      <c r="E238" s="1434"/>
      <c r="F238" s="1447"/>
      <c r="G238" s="1443" t="s">
        <v>1831</v>
      </c>
      <c r="I238" s="141"/>
      <c r="J238" s="1449">
        <v>0</v>
      </c>
      <c r="K238" s="1449">
        <v>0</v>
      </c>
      <c r="L238" s="1449">
        <f>-L105*$I$236</f>
        <v>0</v>
      </c>
      <c r="M238" s="1449">
        <f>-M105*$I$236</f>
        <v>0</v>
      </c>
      <c r="N238" s="1449">
        <f t="shared" ref="N238:O238" si="131">-N105*$I$236</f>
        <v>0</v>
      </c>
      <c r="O238" s="1449">
        <f t="shared" si="131"/>
        <v>0</v>
      </c>
      <c r="P238" s="134"/>
    </row>
    <row r="239" spans="1:20" ht="12.75" customHeight="1" x14ac:dyDescent="0.25">
      <c r="A239" s="1442">
        <v>604902</v>
      </c>
      <c r="B239" s="1434" t="s">
        <v>1839</v>
      </c>
      <c r="D239" s="1447">
        <v>43806</v>
      </c>
      <c r="E239" s="1447"/>
      <c r="F239" s="1447"/>
      <c r="G239" s="1443" t="s">
        <v>546</v>
      </c>
      <c r="I239" s="141"/>
      <c r="J239" s="1449">
        <v>0</v>
      </c>
      <c r="K239" s="1449">
        <v>0</v>
      </c>
      <c r="L239" s="1449">
        <f>-L107*$I$236</f>
        <v>0</v>
      </c>
      <c r="M239" s="1449">
        <f>-M107*$I$236</f>
        <v>0</v>
      </c>
      <c r="N239" s="1449">
        <f t="shared" ref="N239:O239" si="132">-N107*$I$236</f>
        <v>0</v>
      </c>
      <c r="O239" s="1449">
        <f t="shared" si="132"/>
        <v>0</v>
      </c>
      <c r="P239" s="134"/>
      <c r="R239" s="117">
        <f>+K201+K232+K274</f>
        <v>-244628.14282118401</v>
      </c>
      <c r="S239" s="117">
        <f>+L201+L232+L274</f>
        <v>-255121.04996224321</v>
      </c>
      <c r="T239" s="117">
        <f>+M201+M232+M274</f>
        <v>-266497.40246035543</v>
      </c>
    </row>
    <row r="240" spans="1:20" ht="12.75" customHeight="1" x14ac:dyDescent="0.25">
      <c r="A240" s="1442">
        <v>604902</v>
      </c>
      <c r="B240" s="1434" t="s">
        <v>1839</v>
      </c>
      <c r="D240" s="1447">
        <v>43812</v>
      </c>
      <c r="E240" s="1447"/>
      <c r="F240" s="1447"/>
      <c r="G240" s="1443" t="s">
        <v>535</v>
      </c>
      <c r="I240" s="141"/>
      <c r="J240" s="1449">
        <v>0</v>
      </c>
      <c r="K240" s="1449">
        <v>0</v>
      </c>
      <c r="L240" s="1449">
        <f>-L108*$I$236</f>
        <v>0</v>
      </c>
      <c r="M240" s="1449">
        <f>-M108*$I$236</f>
        <v>0</v>
      </c>
      <c r="N240" s="1449">
        <f t="shared" ref="N240:O240" si="133">-N108*$I$236</f>
        <v>0</v>
      </c>
      <c r="O240" s="1449">
        <f t="shared" si="133"/>
        <v>0</v>
      </c>
      <c r="P240" s="134"/>
    </row>
    <row r="241" spans="1:16" ht="12.75" customHeight="1" x14ac:dyDescent="0.25">
      <c r="A241" s="1442"/>
      <c r="D241" s="1447"/>
      <c r="E241" s="1447"/>
      <c r="F241" s="1447"/>
      <c r="G241" s="1443"/>
      <c r="I241" s="141"/>
      <c r="J241" s="1449"/>
      <c r="K241" s="1449"/>
      <c r="L241" s="1449"/>
      <c r="M241" s="1449"/>
      <c r="N241" s="1449"/>
      <c r="O241" s="1449"/>
      <c r="P241" s="134"/>
    </row>
    <row r="242" spans="1:16" ht="12.75" customHeight="1" x14ac:dyDescent="0.25">
      <c r="A242" s="1442"/>
      <c r="D242" s="1447"/>
      <c r="E242" s="1447"/>
      <c r="F242" s="1447"/>
      <c r="G242" s="1459" t="s">
        <v>1844</v>
      </c>
      <c r="I242" s="141">
        <v>0</v>
      </c>
      <c r="J242" s="1449"/>
      <c r="K242" s="1449"/>
      <c r="L242" s="1449"/>
      <c r="M242" s="1449"/>
      <c r="N242" s="1449"/>
      <c r="O242" s="1449"/>
      <c r="P242" s="134"/>
    </row>
    <row r="243" spans="1:16" ht="12.75" customHeight="1" x14ac:dyDescent="0.25">
      <c r="A243" s="1442">
        <v>604902</v>
      </c>
      <c r="B243" s="1434" t="s">
        <v>1839</v>
      </c>
      <c r="D243" s="1447">
        <v>42100</v>
      </c>
      <c r="E243" s="1434"/>
      <c r="F243" s="1447"/>
      <c r="G243" s="1443" t="s">
        <v>1840</v>
      </c>
      <c r="I243" s="141"/>
      <c r="J243" s="1449">
        <v>0</v>
      </c>
      <c r="K243" s="1449">
        <v>0</v>
      </c>
      <c r="L243" s="1449">
        <f>-L104*$I$242</f>
        <v>0</v>
      </c>
      <c r="M243" s="1449">
        <f>-M104*$I$242</f>
        <v>0</v>
      </c>
      <c r="N243" s="1449">
        <f t="shared" ref="N243:O243" si="134">-N104*$I$242</f>
        <v>0</v>
      </c>
      <c r="O243" s="1449">
        <f t="shared" si="134"/>
        <v>0</v>
      </c>
      <c r="P243" s="134"/>
    </row>
    <row r="244" spans="1:16" ht="12.75" customHeight="1" x14ac:dyDescent="0.25">
      <c r="A244" s="1442">
        <v>604902</v>
      </c>
      <c r="B244" s="1434" t="s">
        <v>1839</v>
      </c>
      <c r="D244" s="1447">
        <v>43803</v>
      </c>
      <c r="E244" s="1447"/>
      <c r="F244" s="1447"/>
      <c r="G244" s="1443" t="s">
        <v>1831</v>
      </c>
      <c r="I244" s="141"/>
      <c r="J244" s="1449">
        <v>0</v>
      </c>
      <c r="K244" s="1449">
        <v>0</v>
      </c>
      <c r="L244" s="1449">
        <f>-L105*$I$242</f>
        <v>0</v>
      </c>
      <c r="M244" s="1449">
        <f>-M105*$I$242</f>
        <v>0</v>
      </c>
      <c r="N244" s="1449">
        <f t="shared" ref="N244:O244" si="135">-N105*$I$242</f>
        <v>0</v>
      </c>
      <c r="O244" s="1449">
        <f t="shared" si="135"/>
        <v>0</v>
      </c>
      <c r="P244" s="134"/>
    </row>
    <row r="245" spans="1:16" ht="12.75" customHeight="1" x14ac:dyDescent="0.25">
      <c r="A245" s="1442">
        <v>604902</v>
      </c>
      <c r="B245" s="1434" t="s">
        <v>1839</v>
      </c>
      <c r="D245" s="1447">
        <v>43806</v>
      </c>
      <c r="E245" s="1447"/>
      <c r="F245" s="1447"/>
      <c r="G245" s="1443" t="s">
        <v>546</v>
      </c>
      <c r="I245" s="141"/>
      <c r="J245" s="1449">
        <v>0</v>
      </c>
      <c r="K245" s="1449">
        <v>0</v>
      </c>
      <c r="L245" s="1449">
        <f>-L107*$I$242</f>
        <v>0</v>
      </c>
      <c r="M245" s="1449">
        <f>-M107*$I$242</f>
        <v>0</v>
      </c>
      <c r="N245" s="1449">
        <f t="shared" ref="N245:O245" si="136">-N107*$I$242</f>
        <v>0</v>
      </c>
      <c r="O245" s="1449">
        <f t="shared" si="136"/>
        <v>0</v>
      </c>
      <c r="P245" s="134"/>
    </row>
    <row r="246" spans="1:16" ht="12.75" customHeight="1" x14ac:dyDescent="0.25">
      <c r="A246" s="1442">
        <v>604902</v>
      </c>
      <c r="B246" s="1434" t="s">
        <v>1839</v>
      </c>
      <c r="D246" s="1447">
        <v>43812</v>
      </c>
      <c r="E246" s="1447"/>
      <c r="F246" s="1447"/>
      <c r="G246" s="1443" t="s">
        <v>535</v>
      </c>
      <c r="I246" s="141"/>
      <c r="J246" s="1449">
        <v>0</v>
      </c>
      <c r="K246" s="1449">
        <v>0</v>
      </c>
      <c r="L246" s="1449">
        <f>-L108*$I$242</f>
        <v>0</v>
      </c>
      <c r="M246" s="1449">
        <f>-M108*$I$242</f>
        <v>0</v>
      </c>
      <c r="N246" s="1449">
        <f t="shared" ref="N246:O246" si="137">-N108*$I$242</f>
        <v>0</v>
      </c>
      <c r="O246" s="1449">
        <f t="shared" si="137"/>
        <v>0</v>
      </c>
      <c r="P246" s="134"/>
    </row>
    <row r="247" spans="1:16" ht="12.75" customHeight="1" x14ac:dyDescent="0.25">
      <c r="A247" s="1442"/>
      <c r="D247" s="1447"/>
      <c r="E247" s="1447"/>
      <c r="F247" s="1447"/>
      <c r="G247" s="1443"/>
      <c r="I247" s="141"/>
      <c r="J247" s="1449"/>
      <c r="K247" s="1449"/>
      <c r="L247" s="1449"/>
      <c r="M247" s="1449"/>
      <c r="N247" s="1449"/>
      <c r="O247" s="1449"/>
      <c r="P247" s="134"/>
    </row>
    <row r="248" spans="1:16" ht="12.75" customHeight="1" x14ac:dyDescent="0.25">
      <c r="A248" s="1442"/>
      <c r="D248" s="1447"/>
      <c r="E248" s="1447"/>
      <c r="F248" s="1447"/>
      <c r="G248" s="1456" t="s">
        <v>1848</v>
      </c>
      <c r="I248" s="141"/>
      <c r="J248" s="1449"/>
      <c r="K248" s="1449"/>
      <c r="L248" s="1449"/>
      <c r="M248" s="1449"/>
      <c r="N248" s="1449"/>
      <c r="O248" s="1449"/>
      <c r="P248" s="134"/>
    </row>
    <row r="249" spans="1:16" ht="12.75" customHeight="1" x14ac:dyDescent="0.25">
      <c r="A249" s="1442"/>
      <c r="D249" s="1447"/>
      <c r="E249" s="1447"/>
      <c r="F249" s="1447"/>
      <c r="G249" s="1443"/>
      <c r="I249" s="141"/>
      <c r="J249" s="1449"/>
      <c r="K249" s="1449"/>
      <c r="L249" s="1449"/>
      <c r="M249" s="1449"/>
      <c r="N249" s="1449"/>
      <c r="O249" s="1449"/>
      <c r="P249" s="134"/>
    </row>
    <row r="250" spans="1:16" ht="12.75" customHeight="1" x14ac:dyDescent="0.25">
      <c r="A250" s="1442"/>
      <c r="D250" s="1447"/>
      <c r="E250" s="1447"/>
      <c r="F250" s="1447"/>
      <c r="G250" s="1459" t="s">
        <v>1856</v>
      </c>
      <c r="I250" s="141">
        <v>0.38</v>
      </c>
      <c r="J250" s="1449"/>
      <c r="K250" s="1449"/>
      <c r="L250" s="1449"/>
      <c r="M250" s="1449"/>
      <c r="N250" s="1449"/>
      <c r="O250" s="1449"/>
      <c r="P250" s="134"/>
    </row>
    <row r="251" spans="1:16" ht="12.75" customHeight="1" x14ac:dyDescent="0.25">
      <c r="A251" s="1442">
        <v>604902</v>
      </c>
      <c r="B251" s="1434" t="s">
        <v>1839</v>
      </c>
      <c r="D251" s="1447">
        <v>42100</v>
      </c>
      <c r="E251" s="1447"/>
      <c r="F251" s="1447"/>
      <c r="G251" s="1443" t="s">
        <v>1840</v>
      </c>
      <c r="I251" s="141"/>
      <c r="J251" s="1449">
        <v>-5133.8</v>
      </c>
      <c r="K251" s="1449">
        <v>-5267.18</v>
      </c>
      <c r="L251" s="1449">
        <f>-L104*$I$250</f>
        <v>-5377.38</v>
      </c>
      <c r="M251" s="1449">
        <f>-M104*$I$250</f>
        <v>-5501.26</v>
      </c>
      <c r="N251" s="1449">
        <f t="shared" ref="N251:O251" si="138">-N104*$I$250</f>
        <v>-5627.8</v>
      </c>
      <c r="O251" s="1449">
        <f t="shared" si="138"/>
        <v>-5757</v>
      </c>
      <c r="P251" s="134"/>
    </row>
    <row r="252" spans="1:16" ht="12.75" customHeight="1" x14ac:dyDescent="0.25">
      <c r="A252" s="1442">
        <v>604902</v>
      </c>
      <c r="B252" s="1434" t="s">
        <v>1839</v>
      </c>
      <c r="D252" s="1447">
        <v>43803</v>
      </c>
      <c r="E252" s="1434"/>
      <c r="F252" s="1447"/>
      <c r="G252" s="1443" t="s">
        <v>1831</v>
      </c>
      <c r="I252" s="141"/>
      <c r="J252" s="1449">
        <v>-6074.68</v>
      </c>
      <c r="K252" s="1449">
        <v>-6232.76</v>
      </c>
      <c r="L252" s="1449">
        <f>-L105*$I$250</f>
        <v>-6363.86</v>
      </c>
      <c r="M252" s="1449">
        <f>-M105*$I$250</f>
        <v>-6510.16</v>
      </c>
      <c r="N252" s="1449">
        <f t="shared" ref="N252:O252" si="139">-N105*$I$250</f>
        <v>-6659.88</v>
      </c>
      <c r="O252" s="1449">
        <f t="shared" si="139"/>
        <v>-6813.4</v>
      </c>
      <c r="P252" s="134"/>
    </row>
    <row r="253" spans="1:16" ht="12.75" customHeight="1" x14ac:dyDescent="0.25">
      <c r="A253" s="1442">
        <v>604902</v>
      </c>
      <c r="B253" s="1434" t="s">
        <v>1839</v>
      </c>
      <c r="D253" s="1447">
        <v>43805</v>
      </c>
      <c r="E253" s="1434"/>
      <c r="F253" s="1447"/>
      <c r="G253" s="1443" t="s">
        <v>730</v>
      </c>
      <c r="I253" s="141"/>
      <c r="J253" s="1449">
        <f t="shared" ref="J253:K253" si="140">-J106*$I$250</f>
        <v>0</v>
      </c>
      <c r="K253" s="1449">
        <f t="shared" si="140"/>
        <v>-8165.82</v>
      </c>
      <c r="L253" s="1449">
        <f>-L106*$I$250</f>
        <v>-737.2</v>
      </c>
      <c r="M253" s="1449">
        <f t="shared" ref="M253:O253" si="141">-M106*$I$250</f>
        <v>0</v>
      </c>
      <c r="N253" s="1449">
        <f t="shared" si="141"/>
        <v>0</v>
      </c>
      <c r="O253" s="1449">
        <f t="shared" si="141"/>
        <v>0</v>
      </c>
      <c r="P253" s="134"/>
    </row>
    <row r="254" spans="1:16" ht="12.75" customHeight="1" x14ac:dyDescent="0.25">
      <c r="A254" s="1442">
        <v>604902</v>
      </c>
      <c r="B254" s="1434" t="s">
        <v>1839</v>
      </c>
      <c r="D254" s="1447">
        <v>43806</v>
      </c>
      <c r="E254" s="1447"/>
      <c r="F254" s="1447"/>
      <c r="G254" s="1443" t="s">
        <v>546</v>
      </c>
      <c r="I254" s="141"/>
      <c r="J254" s="1449">
        <v>-8839.56</v>
      </c>
      <c r="K254" s="1449">
        <v>-9069.4600000000009</v>
      </c>
      <c r="L254" s="1449">
        <f>-L107*$I$250</f>
        <v>-9259.84</v>
      </c>
      <c r="M254" s="1449">
        <f>-M107*$I$250</f>
        <v>-9472.64</v>
      </c>
      <c r="N254" s="1449">
        <f t="shared" ref="N254:O254" si="142">-N107*$I$250</f>
        <v>-9690.380000000001</v>
      </c>
      <c r="O254" s="1449">
        <f t="shared" si="142"/>
        <v>-9913.44</v>
      </c>
      <c r="P254" s="134"/>
    </row>
    <row r="255" spans="1:16" ht="12.75" customHeight="1" x14ac:dyDescent="0.25">
      <c r="A255" s="1442">
        <v>604902</v>
      </c>
      <c r="B255" s="1434" t="s">
        <v>1839</v>
      </c>
      <c r="D255" s="1447">
        <v>43812</v>
      </c>
      <c r="E255" s="1447"/>
      <c r="F255" s="1447"/>
      <c r="G255" s="1443" t="s">
        <v>535</v>
      </c>
      <c r="I255" s="141"/>
      <c r="J255" s="1449">
        <v>-2588.1799999999998</v>
      </c>
      <c r="K255" s="1449">
        <v>-2655.44</v>
      </c>
      <c r="L255" s="1449">
        <f>-L108*$I$250</f>
        <v>-2710.92</v>
      </c>
      <c r="M255" s="1449">
        <f>-M108*$I$250</f>
        <v>-2773.2400000000002</v>
      </c>
      <c r="N255" s="1449">
        <f t="shared" ref="N255:O255" si="143">-N108*$I$250</f>
        <v>-2837.08</v>
      </c>
      <c r="O255" s="1449">
        <f t="shared" si="143"/>
        <v>-2902.06</v>
      </c>
      <c r="P255" s="134"/>
    </row>
    <row r="256" spans="1:16" ht="12.75" customHeight="1" x14ac:dyDescent="0.25">
      <c r="A256" s="1442">
        <v>604902</v>
      </c>
      <c r="B256" s="1434" t="s">
        <v>1839</v>
      </c>
      <c r="D256" s="1447">
        <v>47300</v>
      </c>
      <c r="E256" s="1447"/>
      <c r="F256" s="1447"/>
      <c r="G256" s="1443" t="s">
        <v>1033</v>
      </c>
      <c r="I256" s="141"/>
      <c r="J256" s="1449">
        <v>-20747.62</v>
      </c>
      <c r="K256" s="1449">
        <v>-6784.14</v>
      </c>
      <c r="L256" s="1449">
        <f>-L109*$I250</f>
        <v>-8247.52</v>
      </c>
      <c r="M256" s="1449">
        <f>-M109*$I250</f>
        <v>-11335.02</v>
      </c>
      <c r="N256" s="1449">
        <f>-N109*$I250</f>
        <v>-11328.94</v>
      </c>
      <c r="O256" s="1449">
        <f>-O109*$I250</f>
        <v>0</v>
      </c>
      <c r="P256" s="134"/>
    </row>
    <row r="257" spans="1:20" ht="12.75" customHeight="1" x14ac:dyDescent="0.25">
      <c r="A257" s="1442"/>
      <c r="D257" s="1447"/>
      <c r="E257" s="1447"/>
      <c r="F257" s="1447"/>
      <c r="G257" s="1443"/>
      <c r="I257" s="141"/>
      <c r="J257" s="1449"/>
      <c r="K257" s="1449"/>
      <c r="L257" s="1449"/>
      <c r="M257" s="1449"/>
      <c r="N257" s="1449"/>
      <c r="O257" s="1449"/>
      <c r="P257" s="134"/>
    </row>
    <row r="258" spans="1:20" ht="12.75" customHeight="1" x14ac:dyDescent="0.25">
      <c r="A258" s="1442"/>
      <c r="D258" s="1447"/>
      <c r="E258" s="1447"/>
      <c r="F258" s="1447"/>
      <c r="G258" s="1459" t="s">
        <v>1857</v>
      </c>
      <c r="I258" s="141">
        <v>0.28999999999999998</v>
      </c>
      <c r="J258" s="1449"/>
      <c r="K258" s="1449"/>
      <c r="L258" s="1449"/>
      <c r="M258" s="1449"/>
      <c r="N258" s="1449"/>
      <c r="O258" s="1449"/>
      <c r="P258" s="134"/>
    </row>
    <row r="259" spans="1:20" ht="12.75" customHeight="1" x14ac:dyDescent="0.25">
      <c r="A259" s="1442">
        <v>604902</v>
      </c>
      <c r="B259" s="1434" t="s">
        <v>1839</v>
      </c>
      <c r="D259" s="1447">
        <v>42100</v>
      </c>
      <c r="E259" s="1434"/>
      <c r="F259" s="1447"/>
      <c r="G259" s="1443" t="s">
        <v>1840</v>
      </c>
      <c r="I259" s="141"/>
      <c r="J259" s="1449">
        <v>-3917.8999999999996</v>
      </c>
      <c r="K259" s="1449">
        <v>-4019.6899999999996</v>
      </c>
      <c r="L259" s="1449">
        <f>-L104*$I$258</f>
        <v>-4103.79</v>
      </c>
      <c r="M259" s="1449">
        <f>-M104*$I$258</f>
        <v>-4198.33</v>
      </c>
      <c r="N259" s="1449">
        <f t="shared" ref="N259:O259" si="144">-N104*$I$258</f>
        <v>-4294.8999999999996</v>
      </c>
      <c r="O259" s="1449">
        <f t="shared" si="144"/>
        <v>-4393.5</v>
      </c>
      <c r="P259" s="134"/>
    </row>
    <row r="260" spans="1:20" ht="12.75" customHeight="1" x14ac:dyDescent="0.25">
      <c r="A260" s="1442">
        <v>604902</v>
      </c>
      <c r="B260" s="1434" t="s">
        <v>1839</v>
      </c>
      <c r="D260" s="1447">
        <v>43803</v>
      </c>
      <c r="E260" s="1447"/>
      <c r="F260" s="1447"/>
      <c r="G260" s="1443" t="s">
        <v>1831</v>
      </c>
      <c r="I260" s="141"/>
      <c r="J260" s="1449">
        <v>-4635.9399999999996</v>
      </c>
      <c r="K260" s="1449">
        <v>-4756.58</v>
      </c>
      <c r="L260" s="1449">
        <f>-L105*$I$258</f>
        <v>-4856.63</v>
      </c>
      <c r="M260" s="1449">
        <f>-M105*$I$258</f>
        <v>-4968.28</v>
      </c>
      <c r="N260" s="1449">
        <f t="shared" ref="N260:O260" si="145">-N105*$I$258</f>
        <v>-5082.54</v>
      </c>
      <c r="O260" s="1449">
        <f t="shared" si="145"/>
        <v>-5199.7</v>
      </c>
      <c r="P260" s="134"/>
    </row>
    <row r="261" spans="1:20" ht="12.75" customHeight="1" x14ac:dyDescent="0.25">
      <c r="A261" s="1442">
        <v>604902</v>
      </c>
      <c r="B261" s="1434" t="s">
        <v>1839</v>
      </c>
      <c r="D261" s="1447">
        <v>43805</v>
      </c>
      <c r="E261" s="1447"/>
      <c r="F261" s="1447"/>
      <c r="G261" s="1443" t="s">
        <v>730</v>
      </c>
      <c r="I261" s="141"/>
      <c r="J261" s="1449">
        <f t="shared" ref="J261:K261" si="146">-J106*$I$258</f>
        <v>0</v>
      </c>
      <c r="K261" s="1449">
        <f t="shared" si="146"/>
        <v>-6231.8099999999995</v>
      </c>
      <c r="L261" s="1449">
        <f>-L106*$I$258</f>
        <v>-562.59999999999991</v>
      </c>
      <c r="M261" s="1449">
        <f t="shared" ref="M261:O261" si="147">-M106*$I$258</f>
        <v>0</v>
      </c>
      <c r="N261" s="1449">
        <f t="shared" si="147"/>
        <v>0</v>
      </c>
      <c r="O261" s="1449">
        <f t="shared" si="147"/>
        <v>0</v>
      </c>
      <c r="P261" s="134"/>
    </row>
    <row r="262" spans="1:20" ht="12.75" customHeight="1" x14ac:dyDescent="0.25">
      <c r="A262" s="1442">
        <v>604902</v>
      </c>
      <c r="B262" s="1434" t="s">
        <v>1839</v>
      </c>
      <c r="D262" s="1447">
        <v>43806</v>
      </c>
      <c r="E262" s="1447"/>
      <c r="F262" s="1447"/>
      <c r="G262" s="1443" t="s">
        <v>546</v>
      </c>
      <c r="I262" s="141"/>
      <c r="J262" s="1449">
        <v>-6745.98</v>
      </c>
      <c r="K262" s="1449">
        <v>-6921.4299999999994</v>
      </c>
      <c r="L262" s="1449">
        <f>-L107*$I$258</f>
        <v>-7066.7199999999993</v>
      </c>
      <c r="M262" s="1449">
        <f>-M107*$I$258</f>
        <v>-7229.12</v>
      </c>
      <c r="N262" s="1449">
        <f t="shared" ref="N262:O262" si="148">-N107*$I$258</f>
        <v>-7395.2899999999991</v>
      </c>
      <c r="O262" s="1449">
        <f t="shared" si="148"/>
        <v>-7565.5199999999995</v>
      </c>
      <c r="P262" s="134"/>
    </row>
    <row r="263" spans="1:20" ht="12.75" customHeight="1" x14ac:dyDescent="0.25">
      <c r="A263" s="1442">
        <v>604902</v>
      </c>
      <c r="B263" s="1434" t="s">
        <v>1839</v>
      </c>
      <c r="D263" s="1447">
        <v>43812</v>
      </c>
      <c r="E263" s="1447"/>
      <c r="F263" s="1447"/>
      <c r="G263" s="1443" t="s">
        <v>535</v>
      </c>
      <c r="I263" s="141"/>
      <c r="J263" s="1449">
        <v>-1975.1899999999998</v>
      </c>
      <c r="K263" s="1449">
        <v>-2026.5199999999998</v>
      </c>
      <c r="L263" s="1449">
        <f>-L108*$I$258</f>
        <v>-2068.8599999999997</v>
      </c>
      <c r="M263" s="1449">
        <f>-M108*$I$258</f>
        <v>-2116.42</v>
      </c>
      <c r="N263" s="1449">
        <f t="shared" ref="N263:O263" si="149">-N108*$I$258</f>
        <v>-2165.14</v>
      </c>
      <c r="O263" s="1449">
        <f t="shared" si="149"/>
        <v>-2214.73</v>
      </c>
      <c r="P263" s="134"/>
    </row>
    <row r="264" spans="1:20" ht="12.75" customHeight="1" x14ac:dyDescent="0.25">
      <c r="A264" s="1442">
        <v>604902</v>
      </c>
      <c r="B264" s="1434" t="s">
        <v>1839</v>
      </c>
      <c r="D264" s="1447">
        <v>47300</v>
      </c>
      <c r="E264" s="1447"/>
      <c r="F264" s="1447"/>
      <c r="G264" s="1443" t="s">
        <v>1033</v>
      </c>
      <c r="I264" s="141"/>
      <c r="J264" s="1449">
        <v>-15833.71</v>
      </c>
      <c r="K264" s="1449">
        <v>-5177.37</v>
      </c>
      <c r="L264" s="1449">
        <f>-L109*$I258</f>
        <v>-6294.16</v>
      </c>
      <c r="M264" s="1449">
        <f>-M109*$I258</f>
        <v>-8650.41</v>
      </c>
      <c r="N264" s="1449">
        <f>-N109*$I258</f>
        <v>-8645.7699999999986</v>
      </c>
      <c r="O264" s="1449">
        <f>-O109*$I258</f>
        <v>0</v>
      </c>
      <c r="P264" s="134"/>
    </row>
    <row r="265" spans="1:20" ht="12.75" customHeight="1" x14ac:dyDescent="0.25">
      <c r="A265" s="1442"/>
      <c r="D265" s="1447"/>
      <c r="E265" s="1447"/>
      <c r="F265" s="1447"/>
      <c r="G265" s="1443"/>
      <c r="I265" s="141"/>
      <c r="J265" s="1449"/>
      <c r="K265" s="1449"/>
      <c r="L265" s="1449"/>
      <c r="M265" s="1449"/>
      <c r="N265" s="1449"/>
      <c r="O265" s="1449"/>
      <c r="P265" s="134"/>
    </row>
    <row r="266" spans="1:20" ht="12.75" customHeight="1" x14ac:dyDescent="0.25">
      <c r="A266" s="1442"/>
      <c r="D266" s="1447"/>
      <c r="E266" s="1447"/>
      <c r="F266" s="1447"/>
      <c r="G266" s="1459" t="s">
        <v>1858</v>
      </c>
      <c r="I266" s="141">
        <v>0.33</v>
      </c>
      <c r="J266" s="1449"/>
      <c r="K266" s="1449"/>
      <c r="L266" s="1449"/>
      <c r="M266" s="1449"/>
      <c r="N266" s="1449"/>
      <c r="O266" s="1449"/>
      <c r="P266" s="134"/>
    </row>
    <row r="267" spans="1:20" ht="12.75" customHeight="1" x14ac:dyDescent="0.25">
      <c r="A267" s="1442">
        <v>604902</v>
      </c>
      <c r="B267" s="1434" t="s">
        <v>1839</v>
      </c>
      <c r="D267" s="1447">
        <v>42100</v>
      </c>
      <c r="E267" s="1447"/>
      <c r="F267" s="1447"/>
      <c r="G267" s="1443" t="s">
        <v>1840</v>
      </c>
      <c r="I267" s="141"/>
      <c r="J267" s="1449">
        <v>-4458.3</v>
      </c>
      <c r="K267" s="1449">
        <v>-4574.13</v>
      </c>
      <c r="L267" s="1449">
        <f>-L104*$I$266</f>
        <v>-4669.83</v>
      </c>
      <c r="M267" s="1449">
        <f>-M104*$I$266</f>
        <v>-4777.41</v>
      </c>
      <c r="N267" s="1449">
        <f t="shared" ref="N267:O267" si="150">-N104*$I$266</f>
        <v>-4887.3</v>
      </c>
      <c r="O267" s="1449">
        <f t="shared" si="150"/>
        <v>-4999.5</v>
      </c>
      <c r="P267" s="134"/>
      <c r="R267" s="124"/>
      <c r="S267" s="124"/>
      <c r="T267" s="124"/>
    </row>
    <row r="268" spans="1:20" ht="12.75" customHeight="1" x14ac:dyDescent="0.25">
      <c r="A268" s="1442">
        <v>604902</v>
      </c>
      <c r="B268" s="1434" t="s">
        <v>1839</v>
      </c>
      <c r="D268" s="1447">
        <v>43803</v>
      </c>
      <c r="E268" s="1447"/>
      <c r="F268" s="1447"/>
      <c r="G268" s="1443" t="s">
        <v>1831</v>
      </c>
      <c r="I268" s="141"/>
      <c r="J268" s="1449">
        <v>-5275.38</v>
      </c>
      <c r="K268" s="1449">
        <v>-5412.66</v>
      </c>
      <c r="L268" s="1449">
        <f>-L105*$I$266</f>
        <v>-5526.51</v>
      </c>
      <c r="M268" s="1449">
        <f>-M105*$I$266</f>
        <v>-5653.56</v>
      </c>
      <c r="N268" s="1449">
        <f t="shared" ref="N268:O268" si="151">-N105*$I$266</f>
        <v>-5783.58</v>
      </c>
      <c r="O268" s="1449">
        <f t="shared" si="151"/>
        <v>-5916.9000000000005</v>
      </c>
      <c r="P268" s="134"/>
      <c r="R268" s="124"/>
      <c r="S268" s="124"/>
      <c r="T268" s="22"/>
    </row>
    <row r="269" spans="1:20" ht="12.75" customHeight="1" x14ac:dyDescent="0.25">
      <c r="A269" s="1442">
        <v>604902</v>
      </c>
      <c r="B269" s="1434" t="s">
        <v>1839</v>
      </c>
      <c r="D269" s="1447">
        <v>43805</v>
      </c>
      <c r="E269" s="1447"/>
      <c r="F269" s="1447"/>
      <c r="G269" s="1443" t="s">
        <v>730</v>
      </c>
      <c r="I269" s="141"/>
      <c r="J269" s="1449">
        <f t="shared" ref="J269:K269" si="152">-J106*$I$266</f>
        <v>0</v>
      </c>
      <c r="K269" s="1449">
        <f t="shared" si="152"/>
        <v>-7091.37</v>
      </c>
      <c r="L269" s="1449">
        <f>-L106*$I$266</f>
        <v>-640.20000000000005</v>
      </c>
      <c r="M269" s="1449">
        <f t="shared" ref="M269:O269" si="153">-M106*$I$266</f>
        <v>0</v>
      </c>
      <c r="N269" s="1449">
        <f t="shared" si="153"/>
        <v>0</v>
      </c>
      <c r="O269" s="1449">
        <f t="shared" si="153"/>
        <v>0</v>
      </c>
      <c r="P269" s="134"/>
      <c r="R269" s="124"/>
      <c r="S269" s="124"/>
      <c r="T269" s="22"/>
    </row>
    <row r="270" spans="1:20" ht="12.75" customHeight="1" x14ac:dyDescent="0.25">
      <c r="A270" s="1442">
        <v>604902</v>
      </c>
      <c r="B270" s="1434" t="s">
        <v>1839</v>
      </c>
      <c r="D270" s="1447">
        <v>43806</v>
      </c>
      <c r="E270" s="1447"/>
      <c r="F270" s="1447"/>
      <c r="G270" s="1443" t="s">
        <v>546</v>
      </c>
      <c r="I270" s="141"/>
      <c r="J270" s="1449">
        <v>-7676.46</v>
      </c>
      <c r="K270" s="1449">
        <v>-7876.1100000000006</v>
      </c>
      <c r="L270" s="1449">
        <f>-L107*$I$266</f>
        <v>-8041.4400000000005</v>
      </c>
      <c r="M270" s="1449">
        <f>-M107*$I$266</f>
        <v>-8226.24</v>
      </c>
      <c r="N270" s="1449">
        <f t="shared" ref="N270:O270" si="154">-N107*$I$266</f>
        <v>-8415.33</v>
      </c>
      <c r="O270" s="1449">
        <f t="shared" si="154"/>
        <v>-8609.0400000000009</v>
      </c>
      <c r="P270" s="134"/>
      <c r="R270" s="124"/>
      <c r="S270" s="124"/>
      <c r="T270" s="22"/>
    </row>
    <row r="271" spans="1:20" ht="12.75" customHeight="1" x14ac:dyDescent="0.25">
      <c r="A271" s="1442">
        <v>604902</v>
      </c>
      <c r="B271" s="1434" t="s">
        <v>1839</v>
      </c>
      <c r="D271" s="1447">
        <v>43812</v>
      </c>
      <c r="E271" s="1447"/>
      <c r="F271" s="1447"/>
      <c r="G271" s="1443" t="s">
        <v>535</v>
      </c>
      <c r="I271" s="141"/>
      <c r="J271" s="1449">
        <v>-2247.63</v>
      </c>
      <c r="K271" s="1449">
        <v>-2306.04</v>
      </c>
      <c r="L271" s="1449">
        <f>-L108*$I$266</f>
        <v>-2354.2200000000003</v>
      </c>
      <c r="M271" s="1449">
        <f>-M108*$I$266</f>
        <v>-2408.34</v>
      </c>
      <c r="N271" s="1449">
        <f t="shared" ref="N271:O271" si="155">-N108*$I$266</f>
        <v>-2463.7800000000002</v>
      </c>
      <c r="O271" s="1449">
        <f t="shared" si="155"/>
        <v>-2520.21</v>
      </c>
      <c r="P271" s="134"/>
      <c r="R271" s="124"/>
      <c r="S271" s="124"/>
      <c r="T271" s="22"/>
    </row>
    <row r="272" spans="1:20" ht="12.75" customHeight="1" x14ac:dyDescent="0.25">
      <c r="A272" s="1442">
        <v>604902</v>
      </c>
      <c r="B272" s="1434" t="s">
        <v>1839</v>
      </c>
      <c r="D272" s="1447">
        <v>47300</v>
      </c>
      <c r="E272" s="1447"/>
      <c r="F272" s="1447"/>
      <c r="G272" s="1443" t="s">
        <v>1033</v>
      </c>
      <c r="I272" s="141"/>
      <c r="J272" s="1449">
        <v>-18017.670000000002</v>
      </c>
      <c r="K272" s="1449">
        <v>-5891.4900000000007</v>
      </c>
      <c r="L272" s="1449">
        <f>-L109*$I266</f>
        <v>-7162.3200000000006</v>
      </c>
      <c r="M272" s="1449">
        <f>-M109*$I266</f>
        <v>-9843.57</v>
      </c>
      <c r="N272" s="1449">
        <f>-N109*$I266</f>
        <v>-9838.2900000000009</v>
      </c>
      <c r="O272" s="1449">
        <f>-O109*$I266</f>
        <v>0</v>
      </c>
      <c r="P272" s="134"/>
      <c r="Q272" s="117">
        <f>SUM(K267:K272)</f>
        <v>-33151.800000000003</v>
      </c>
      <c r="R272" s="117">
        <f>SUM(L267:L272)</f>
        <v>-28394.520000000004</v>
      </c>
      <c r="S272" s="124"/>
      <c r="T272" s="22"/>
    </row>
    <row r="273" spans="1:20" ht="12.75" customHeight="1" x14ac:dyDescent="0.25">
      <c r="A273" s="1442"/>
      <c r="D273" s="1447"/>
      <c r="E273" s="1447"/>
      <c r="F273" s="1447"/>
      <c r="G273" s="1443"/>
      <c r="I273" s="141"/>
      <c r="J273" s="1449"/>
      <c r="K273" s="1449"/>
      <c r="L273" s="1449"/>
      <c r="M273" s="1449"/>
      <c r="N273" s="1449"/>
      <c r="O273" s="1449"/>
      <c r="P273" s="134"/>
      <c r="R273" s="124"/>
      <c r="S273" s="124"/>
      <c r="T273" s="22"/>
    </row>
    <row r="274" spans="1:20" ht="12.75" customHeight="1" x14ac:dyDescent="0.25">
      <c r="A274" s="1442"/>
      <c r="D274" s="1464"/>
      <c r="E274" s="1464"/>
      <c r="F274" s="1464"/>
      <c r="G274" s="1465" t="s">
        <v>536</v>
      </c>
      <c r="H274" s="1466"/>
      <c r="I274" s="1467"/>
      <c r="J274" s="1826">
        <v>-114168.00000000001</v>
      </c>
      <c r="K274" s="1826">
        <v>-78971</v>
      </c>
      <c r="L274" s="1826">
        <f>SUM(L248:L273)</f>
        <v>-86044</v>
      </c>
      <c r="M274" s="1826">
        <f>SUM(M248:M273)</f>
        <v>-93664</v>
      </c>
      <c r="N274" s="1826">
        <f>SUM(N248:N273)</f>
        <v>-95116</v>
      </c>
      <c r="O274" s="1826">
        <f>SUM(O248:O273)</f>
        <v>-66805</v>
      </c>
      <c r="P274" s="134"/>
      <c r="R274" s="124"/>
      <c r="S274" s="124"/>
      <c r="T274" s="22"/>
    </row>
    <row r="275" spans="1:20" ht="12.75" customHeight="1" x14ac:dyDescent="0.25">
      <c r="A275" s="1442"/>
      <c r="D275" s="1468"/>
      <c r="E275" s="1468"/>
      <c r="F275" s="1468"/>
      <c r="G275" s="1448"/>
      <c r="H275" s="1448"/>
      <c r="I275" s="1469"/>
      <c r="J275" s="1469"/>
      <c r="K275" s="1469"/>
      <c r="L275" s="1469"/>
      <c r="M275" s="1469"/>
      <c r="N275" s="1469"/>
      <c r="O275" s="1469"/>
      <c r="P275" s="134"/>
      <c r="Q275" s="117">
        <f t="shared" ref="Q275:R275" si="156">SUM(Q199:Q272)</f>
        <v>-87818.65713099073</v>
      </c>
      <c r="R275" s="117">
        <f t="shared" si="156"/>
        <v>-328818.08930872427</v>
      </c>
      <c r="S275" s="124"/>
      <c r="T275" s="22"/>
    </row>
    <row r="276" spans="1:20" ht="12.75" customHeight="1" x14ac:dyDescent="0.25">
      <c r="D276" s="1461"/>
      <c r="E276" s="549" t="s">
        <v>1150</v>
      </c>
      <c r="F276" s="1461"/>
      <c r="I276" s="134"/>
      <c r="J276" s="134"/>
      <c r="K276" s="134"/>
      <c r="L276" s="134"/>
      <c r="M276" s="134"/>
      <c r="N276" s="134"/>
      <c r="O276" s="134"/>
      <c r="P276" s="134"/>
    </row>
    <row r="277" spans="1:20" ht="12.75" customHeight="1" x14ac:dyDescent="0.25">
      <c r="A277" s="1442"/>
      <c r="D277" s="1437"/>
    </row>
    <row r="278" spans="1:20" ht="12.75" customHeight="1" x14ac:dyDescent="0.25">
      <c r="A278" s="1442"/>
      <c r="D278" s="1437"/>
      <c r="G278" s="1470"/>
      <c r="I278" s="134"/>
      <c r="J278" s="1830">
        <v>2025</v>
      </c>
      <c r="K278" s="1830">
        <v>2026</v>
      </c>
      <c r="L278" s="1830">
        <v>2027</v>
      </c>
      <c r="M278" s="1830">
        <v>2028</v>
      </c>
      <c r="N278" s="1830">
        <v>2029</v>
      </c>
      <c r="O278" s="1830">
        <v>2030</v>
      </c>
      <c r="P278" s="1471"/>
    </row>
    <row r="279" spans="1:20" ht="12.75" customHeight="1" x14ac:dyDescent="0.25">
      <c r="A279" s="1442"/>
      <c r="D279" s="1472">
        <v>604045</v>
      </c>
      <c r="E279" s="549" t="s">
        <v>1859</v>
      </c>
      <c r="F279" s="155"/>
      <c r="I279" s="134"/>
    </row>
    <row r="280" spans="1:20" ht="12.75" customHeight="1" x14ac:dyDescent="0.25">
      <c r="A280" s="1442"/>
      <c r="D280" s="1473"/>
      <c r="E280" s="549"/>
      <c r="F280" s="1473"/>
      <c r="I280" s="1474"/>
      <c r="J280" s="1455"/>
      <c r="K280" s="1455"/>
      <c r="L280" s="1455"/>
      <c r="M280" s="1455"/>
      <c r="N280" s="1455"/>
      <c r="O280" s="1455"/>
      <c r="P280" s="1455"/>
    </row>
    <row r="281" spans="1:20" ht="12.75" customHeight="1" x14ac:dyDescent="0.25">
      <c r="A281" s="1442"/>
      <c r="D281" s="1437">
        <v>43511</v>
      </c>
      <c r="E281" s="1434" t="s">
        <v>1860</v>
      </c>
      <c r="I281" s="1844" t="s">
        <v>1339</v>
      </c>
      <c r="J281" s="134"/>
      <c r="K281" s="134"/>
      <c r="L281" s="134"/>
      <c r="M281" s="134"/>
      <c r="N281" s="134"/>
      <c r="O281" s="134"/>
      <c r="P281" s="134"/>
    </row>
    <row r="282" spans="1:20" ht="12.75" customHeight="1" x14ac:dyDescent="0.25">
      <c r="A282" s="1442"/>
      <c r="D282" s="1461"/>
      <c r="E282" s="134">
        <f t="shared" ref="E282:E288" si="157">1520-449</f>
        <v>1071</v>
      </c>
      <c r="F282" s="1461"/>
      <c r="G282" s="1434" t="str">
        <f t="shared" ref="G282:G286" si="158">"uren à € "&amp;ROUND(I282,2)&amp;" (zonder btw)"</f>
        <v>uren à € 18,24 (zonder btw)</v>
      </c>
      <c r="I282" s="1475">
        <f>ROUND(17.59*$Q$2,2)</f>
        <v>18.239999999999998</v>
      </c>
      <c r="J282" s="1474"/>
      <c r="K282" s="1474"/>
      <c r="L282" s="1474"/>
      <c r="M282" s="1474"/>
      <c r="N282" s="1474"/>
      <c r="O282" s="1474"/>
      <c r="P282" s="1474"/>
    </row>
    <row r="283" spans="1:20" ht="12.75" customHeight="1" x14ac:dyDescent="0.25">
      <c r="A283" s="1442"/>
      <c r="D283" s="1461"/>
      <c r="E283" s="134">
        <f t="shared" si="157"/>
        <v>1071</v>
      </c>
      <c r="F283" s="1461"/>
      <c r="G283" s="1434" t="str">
        <f t="shared" si="158"/>
        <v>uren à € 18,75 (zonder btw)</v>
      </c>
      <c r="I283" s="1475">
        <f>ROUND(I282*$R$2,2)</f>
        <v>18.75</v>
      </c>
      <c r="J283" s="1474">
        <v>20081</v>
      </c>
      <c r="K283" s="1474"/>
      <c r="L283" s="1474"/>
      <c r="M283" s="1474"/>
      <c r="N283" s="1474"/>
      <c r="O283" s="1474"/>
      <c r="P283" s="1474"/>
    </row>
    <row r="284" spans="1:20" ht="12.75" customHeight="1" x14ac:dyDescent="0.25">
      <c r="A284" s="1442"/>
      <c r="D284" s="1461"/>
      <c r="E284" s="134">
        <f t="shared" si="157"/>
        <v>1071</v>
      </c>
      <c r="F284" s="1461"/>
      <c r="G284" s="1434" t="str">
        <f t="shared" si="158"/>
        <v>uren à € 19,24 (zonder btw)</v>
      </c>
      <c r="I284" s="1475">
        <f>ROUND(I283*$S$2,2)</f>
        <v>19.239999999999998</v>
      </c>
      <c r="J284" s="1474"/>
      <c r="K284" s="1474">
        <f>ROUND($E284*$I284,0)</f>
        <v>20606</v>
      </c>
      <c r="L284" s="1474"/>
      <c r="M284" s="1474"/>
      <c r="N284" s="1474"/>
      <c r="O284" s="1474"/>
      <c r="P284" s="1474"/>
    </row>
    <row r="285" spans="1:20" ht="12.75" customHeight="1" x14ac:dyDescent="0.25">
      <c r="A285" s="1442"/>
      <c r="D285" s="1461"/>
      <c r="E285" s="134">
        <f t="shared" si="157"/>
        <v>1071</v>
      </c>
      <c r="F285" s="1461"/>
      <c r="G285" s="1434" t="str">
        <f t="shared" si="158"/>
        <v>uren à € 19,64 (zonder btw)</v>
      </c>
      <c r="I285" s="1475">
        <f>ROUND(I284*$T$2,2)</f>
        <v>19.64</v>
      </c>
      <c r="J285" s="1474"/>
      <c r="K285" s="1474"/>
      <c r="L285" s="1474">
        <f>ROUND($E285*$I285,0)</f>
        <v>21034</v>
      </c>
      <c r="M285" s="1474"/>
      <c r="N285" s="1474"/>
      <c r="O285" s="1474"/>
      <c r="P285" s="1474"/>
    </row>
    <row r="286" spans="1:20" ht="12.75" customHeight="1" x14ac:dyDescent="0.25">
      <c r="A286" s="1442"/>
      <c r="D286" s="1461"/>
      <c r="E286" s="134">
        <f t="shared" si="157"/>
        <v>1071</v>
      </c>
      <c r="F286" s="1461"/>
      <c r="G286" s="1434" t="str">
        <f t="shared" si="158"/>
        <v>uren à € 20,09 (zonder btw)</v>
      </c>
      <c r="I286" s="1475">
        <f>ROUND(I285*$U$2,2)</f>
        <v>20.09</v>
      </c>
      <c r="J286" s="1474"/>
      <c r="K286" s="1474"/>
      <c r="L286" s="1474"/>
      <c r="M286" s="1474">
        <f>ROUND($E286*$I286,0)</f>
        <v>21516</v>
      </c>
      <c r="N286" s="1474"/>
      <c r="O286" s="1474"/>
      <c r="P286" s="1474"/>
    </row>
    <row r="287" spans="1:20" ht="12.75" customHeight="1" x14ac:dyDescent="0.25">
      <c r="A287" s="1442"/>
      <c r="D287" s="1461"/>
      <c r="E287" s="134">
        <f t="shared" si="157"/>
        <v>1071</v>
      </c>
      <c r="F287" s="1461"/>
      <c r="G287" s="1434" t="str">
        <f t="shared" ref="G287" si="159">"uren à € "&amp;ROUND(I287,2)&amp;" (zonder btw)"</f>
        <v>uren à € 20,55 (zonder btw)</v>
      </c>
      <c r="I287" s="1475">
        <f>ROUND(I286*$V$2,2)</f>
        <v>20.55</v>
      </c>
      <c r="J287" s="1474"/>
      <c r="K287" s="1474"/>
      <c r="L287" s="1474"/>
      <c r="M287" s="1474"/>
      <c r="N287" s="1474">
        <f>+E287*I287</f>
        <v>22009.05</v>
      </c>
      <c r="O287" s="1474"/>
      <c r="P287" s="1474"/>
    </row>
    <row r="288" spans="1:20" ht="12.75" customHeight="1" x14ac:dyDescent="0.25">
      <c r="A288" s="1442"/>
      <c r="D288" s="1461"/>
      <c r="E288" s="2035">
        <f t="shared" si="157"/>
        <v>1071</v>
      </c>
      <c r="F288" s="2049"/>
      <c r="G288" s="1444" t="str">
        <f t="shared" ref="G288" si="160">"uren à € "&amp;ROUND(I288,2)&amp;" (zonder btw)"</f>
        <v>uren à € 21,02 (zonder btw)</v>
      </c>
      <c r="H288" s="1444"/>
      <c r="I288" s="2050">
        <f>ROUND(I287*$W$2,2)</f>
        <v>21.02</v>
      </c>
      <c r="J288" s="1474"/>
      <c r="K288" s="1474"/>
      <c r="L288" s="1474"/>
      <c r="M288" s="1474"/>
      <c r="N288" s="1474"/>
      <c r="O288" s="1474">
        <f>+E288*I288</f>
        <v>22512.42</v>
      </c>
      <c r="P288" s="1474"/>
    </row>
    <row r="289" spans="1:16" ht="12.75" customHeight="1" x14ac:dyDescent="0.25">
      <c r="A289" s="1442"/>
      <c r="D289" s="1461"/>
      <c r="E289" s="549" t="str">
        <f>"Totaal "&amp;D281</f>
        <v>Totaal 43511</v>
      </c>
      <c r="F289" s="1461"/>
      <c r="H289" s="549"/>
      <c r="I289" s="134"/>
      <c r="J289" s="1831">
        <f>SUM(J283:J288)</f>
        <v>20081</v>
      </c>
      <c r="K289" s="1831">
        <f t="shared" ref="K289:O289" si="161">SUM(K283:K288)</f>
        <v>20606</v>
      </c>
      <c r="L289" s="1831">
        <f t="shared" si="161"/>
        <v>21034</v>
      </c>
      <c r="M289" s="1831">
        <f t="shared" si="161"/>
        <v>21516</v>
      </c>
      <c r="N289" s="1831">
        <f t="shared" si="161"/>
        <v>22009.05</v>
      </c>
      <c r="O289" s="1831">
        <f t="shared" si="161"/>
        <v>22512.42</v>
      </c>
      <c r="P289" s="1455"/>
    </row>
    <row r="290" spans="1:16" ht="12.75" customHeight="1" x14ac:dyDescent="0.25">
      <c r="A290" s="1442"/>
      <c r="D290" s="1437"/>
      <c r="E290" s="1434"/>
      <c r="I290" s="134"/>
      <c r="J290" s="1474"/>
      <c r="K290" s="1474"/>
      <c r="L290" s="1474"/>
      <c r="M290" s="1474"/>
      <c r="N290" s="1474"/>
      <c r="O290" s="1474"/>
      <c r="P290" s="1474"/>
    </row>
    <row r="291" spans="1:16" ht="12.75" customHeight="1" x14ac:dyDescent="0.25">
      <c r="A291" s="1442"/>
      <c r="D291" s="1437"/>
      <c r="E291" s="1434"/>
      <c r="I291" s="134"/>
    </row>
    <row r="292" spans="1:16" ht="12.75" customHeight="1" x14ac:dyDescent="0.25">
      <c r="A292" s="1442"/>
      <c r="D292" s="1437">
        <v>43812</v>
      </c>
      <c r="E292" s="1434" t="s">
        <v>565</v>
      </c>
      <c r="I292" s="134"/>
    </row>
    <row r="293" spans="1:16" ht="12.75" customHeight="1" x14ac:dyDescent="0.25">
      <c r="A293" s="1442"/>
      <c r="D293" s="1437"/>
      <c r="E293" s="1434" t="s">
        <v>1293</v>
      </c>
      <c r="I293" s="1474"/>
      <c r="J293" s="1474">
        <v>14627</v>
      </c>
      <c r="K293" s="1474">
        <f>ROUND(J293*S$2,0)</f>
        <v>15007</v>
      </c>
      <c r="L293" s="1474">
        <f>ROUND(K293*T$2,0)</f>
        <v>15322</v>
      </c>
      <c r="M293" s="1474">
        <f>ROUND(L293*U$2,0)</f>
        <v>15674</v>
      </c>
      <c r="N293" s="1474">
        <f>ROUND(M293*V$2,0)</f>
        <v>16035</v>
      </c>
      <c r="O293" s="1474">
        <f>ROUND(N293*W$2,0)</f>
        <v>16404</v>
      </c>
      <c r="P293" s="1474"/>
    </row>
    <row r="294" spans="1:16" ht="12.75" customHeight="1" x14ac:dyDescent="0.25">
      <c r="A294" s="1442"/>
      <c r="D294" s="1435"/>
      <c r="E294" s="1476" t="s">
        <v>1861</v>
      </c>
      <c r="I294" s="1474"/>
    </row>
    <row r="295" spans="1:16" ht="12.75" customHeight="1" x14ac:dyDescent="0.25">
      <c r="A295" s="1442"/>
      <c r="D295" s="1437"/>
      <c r="E295" s="1476" t="s">
        <v>1862</v>
      </c>
      <c r="I295" s="1474"/>
      <c r="J295" s="1474"/>
      <c r="K295" s="1474"/>
      <c r="L295" s="1474"/>
      <c r="M295" s="1474"/>
      <c r="N295" s="1474"/>
      <c r="O295" s="1474"/>
      <c r="P295" s="1474"/>
    </row>
    <row r="296" spans="1:16" ht="12.75" customHeight="1" x14ac:dyDescent="0.25">
      <c r="A296" s="1442"/>
      <c r="D296" s="1461"/>
      <c r="E296" s="1476" t="s">
        <v>1863</v>
      </c>
      <c r="H296" s="1441"/>
      <c r="I296" s="1474"/>
      <c r="J296" s="1474"/>
      <c r="K296" s="1474"/>
      <c r="L296" s="1474"/>
      <c r="M296" s="1474"/>
      <c r="N296" s="1474"/>
      <c r="O296" s="1474"/>
      <c r="P296" s="1474"/>
    </row>
    <row r="297" spans="1:16" ht="12.75" customHeight="1" x14ac:dyDescent="0.25">
      <c r="A297" s="1442"/>
      <c r="D297" s="1461"/>
      <c r="E297" s="1476" t="s">
        <v>1864</v>
      </c>
      <c r="I297" s="1474"/>
      <c r="J297" s="1474"/>
      <c r="K297" s="1474"/>
      <c r="L297" s="1474"/>
      <c r="M297" s="1474"/>
      <c r="N297" s="1474"/>
      <c r="O297" s="1474"/>
      <c r="P297" s="1474"/>
    </row>
    <row r="298" spans="1:16" ht="12.75" customHeight="1" x14ac:dyDescent="0.25">
      <c r="A298" s="1442"/>
      <c r="D298" s="1461"/>
      <c r="E298" s="1476" t="s">
        <v>1865</v>
      </c>
      <c r="I298" s="1474"/>
      <c r="J298" s="1474"/>
      <c r="K298" s="1474"/>
      <c r="L298" s="1474"/>
      <c r="M298" s="1474"/>
      <c r="N298" s="1474"/>
      <c r="O298" s="1474"/>
      <c r="P298" s="1474"/>
    </row>
    <row r="299" spans="1:16" ht="12.75" customHeight="1" x14ac:dyDescent="0.25">
      <c r="A299" s="1442"/>
      <c r="D299" s="1461"/>
      <c r="E299" s="1470" t="s">
        <v>1866</v>
      </c>
      <c r="H299" s="1441"/>
      <c r="I299" s="1474"/>
      <c r="J299" s="1474"/>
      <c r="K299" s="1474"/>
      <c r="L299" s="1474"/>
      <c r="M299" s="1474"/>
      <c r="N299" s="1474"/>
      <c r="O299" s="1474"/>
      <c r="P299" s="1474"/>
    </row>
    <row r="300" spans="1:16" ht="12.75" customHeight="1" x14ac:dyDescent="0.25">
      <c r="A300" s="1442"/>
      <c r="D300" s="1461"/>
      <c r="E300" s="1476" t="s">
        <v>1867</v>
      </c>
      <c r="H300" s="1441"/>
      <c r="I300" s="1474"/>
      <c r="J300" s="1474"/>
      <c r="K300" s="1474"/>
      <c r="L300" s="1474"/>
      <c r="M300" s="1474"/>
      <c r="N300" s="1474"/>
      <c r="O300" s="1474"/>
      <c r="P300" s="1474"/>
    </row>
    <row r="301" spans="1:16" ht="12.75" customHeight="1" x14ac:dyDescent="0.25">
      <c r="A301" s="1442"/>
      <c r="D301" s="1461"/>
      <c r="E301" s="1476" t="s">
        <v>1868</v>
      </c>
      <c r="H301" s="1441"/>
      <c r="I301" s="1474"/>
      <c r="J301" s="1474"/>
      <c r="K301" s="1474"/>
      <c r="L301" s="1474"/>
      <c r="M301" s="1474"/>
      <c r="N301" s="1474"/>
      <c r="O301" s="1474"/>
      <c r="P301" s="1474"/>
    </row>
    <row r="302" spans="1:16" ht="12.75" customHeight="1" x14ac:dyDescent="0.25">
      <c r="A302" s="1442"/>
      <c r="D302" s="1461"/>
      <c r="E302" s="1476" t="s">
        <v>1869</v>
      </c>
      <c r="H302" s="1441"/>
      <c r="I302" s="1474"/>
      <c r="J302" s="1474"/>
      <c r="K302" s="1474"/>
      <c r="L302" s="1474"/>
      <c r="M302" s="1474"/>
      <c r="N302" s="1474"/>
      <c r="O302" s="1474"/>
      <c r="P302" s="1474"/>
    </row>
    <row r="303" spans="1:16" ht="12.75" customHeight="1" x14ac:dyDescent="0.25">
      <c r="A303" s="1442"/>
      <c r="D303" s="1461"/>
      <c r="E303" s="1476"/>
      <c r="H303" s="1441"/>
      <c r="I303" s="1474"/>
      <c r="J303" s="1831">
        <v>14627</v>
      </c>
      <c r="K303" s="1831">
        <f>SUM(K293:K302)</f>
        <v>15007</v>
      </c>
      <c r="L303" s="1831">
        <f>SUM(L293:L302)</f>
        <v>15322</v>
      </c>
      <c r="M303" s="1831">
        <f>SUM(M293:M302)</f>
        <v>15674</v>
      </c>
      <c r="N303" s="1831">
        <f>SUM(N293:N302)</f>
        <v>16035</v>
      </c>
      <c r="O303" s="1831">
        <f>SUM(O293:O302)</f>
        <v>16404</v>
      </c>
      <c r="P303" s="1474"/>
    </row>
    <row r="304" spans="1:16" ht="12.75" customHeight="1" x14ac:dyDescent="0.25">
      <c r="A304" s="1442"/>
      <c r="D304" s="1461"/>
      <c r="E304" s="1476"/>
      <c r="H304" s="1441"/>
      <c r="I304" s="1474"/>
      <c r="J304" s="1474"/>
      <c r="K304" s="1474"/>
      <c r="L304" s="1474"/>
      <c r="M304" s="1474"/>
      <c r="N304" s="1474"/>
      <c r="O304" s="1474"/>
      <c r="P304" s="1474"/>
    </row>
    <row r="305" spans="1:16" ht="12.75" customHeight="1" x14ac:dyDescent="0.25">
      <c r="A305" s="1442"/>
      <c r="D305" s="1461">
        <v>43814</v>
      </c>
      <c r="E305" s="1476" t="s">
        <v>1870</v>
      </c>
      <c r="H305" s="1441"/>
      <c r="I305" s="1474"/>
      <c r="J305" s="1474">
        <v>24717</v>
      </c>
      <c r="K305" s="1474">
        <f>ROUND(J305*S$2,0)</f>
        <v>25360</v>
      </c>
      <c r="L305" s="1474">
        <f>ROUND(K305*T$2,0)</f>
        <v>25893</v>
      </c>
      <c r="M305" s="1474">
        <f>ROUND(L305*U$2,0)</f>
        <v>26489</v>
      </c>
      <c r="N305" s="1474">
        <f>ROUND(M305*V$2,0)</f>
        <v>27098</v>
      </c>
      <c r="O305" s="1474">
        <f>ROUND(N305*W$2,0)</f>
        <v>27721</v>
      </c>
      <c r="P305" s="1474"/>
    </row>
    <row r="306" spans="1:16" ht="12.75" customHeight="1" x14ac:dyDescent="0.25">
      <c r="A306" s="1442"/>
      <c r="D306" s="1461"/>
      <c r="E306" s="1476" t="s">
        <v>1871</v>
      </c>
      <c r="H306" s="1441"/>
      <c r="I306" s="1474"/>
      <c r="J306" s="1474">
        <v>-24717</v>
      </c>
      <c r="K306" s="1474">
        <f>-K305</f>
        <v>-25360</v>
      </c>
      <c r="L306" s="1474">
        <f>-L305</f>
        <v>-25893</v>
      </c>
      <c r="M306" s="1474">
        <f>-M305</f>
        <v>-26489</v>
      </c>
      <c r="N306" s="1474">
        <f>-N305</f>
        <v>-27098</v>
      </c>
      <c r="O306" s="1474">
        <f>-O305</f>
        <v>-27721</v>
      </c>
      <c r="P306" s="1474"/>
    </row>
    <row r="307" spans="1:16" ht="12.75" customHeight="1" x14ac:dyDescent="0.25">
      <c r="A307" s="1442"/>
      <c r="D307" s="1461"/>
      <c r="E307" s="1477"/>
      <c r="H307" s="549"/>
      <c r="I307" s="1474"/>
      <c r="J307" s="1831">
        <v>0</v>
      </c>
      <c r="K307" s="1831">
        <f>SUM(K305:K306)</f>
        <v>0</v>
      </c>
      <c r="L307" s="1831">
        <f>SUM(L305:L306)</f>
        <v>0</v>
      </c>
      <c r="M307" s="1831">
        <f>SUM(M305:M306)</f>
        <v>0</v>
      </c>
      <c r="N307" s="1831">
        <f>SUM(N305:N306)</f>
        <v>0</v>
      </c>
      <c r="O307" s="1831">
        <f>SUM(O305:O306)</f>
        <v>0</v>
      </c>
      <c r="P307" s="1455"/>
    </row>
    <row r="308" spans="1:16" ht="12.75" customHeight="1" x14ac:dyDescent="0.25">
      <c r="A308" s="1442"/>
      <c r="D308" s="1461"/>
      <c r="E308" s="1461"/>
      <c r="F308" s="1461"/>
      <c r="G308" s="1470"/>
      <c r="I308" s="1474"/>
      <c r="J308" s="134"/>
      <c r="K308" s="134"/>
      <c r="L308" s="134"/>
      <c r="M308" s="134"/>
      <c r="N308" s="134"/>
      <c r="O308" s="134"/>
      <c r="P308" s="134"/>
    </row>
    <row r="309" spans="1:16" ht="12.75" customHeight="1" x14ac:dyDescent="0.25">
      <c r="A309" s="1442"/>
      <c r="D309" s="1461">
        <v>43817</v>
      </c>
      <c r="E309" s="1434" t="s">
        <v>1627</v>
      </c>
      <c r="F309" s="1461"/>
      <c r="H309" s="549"/>
      <c r="I309" s="134"/>
      <c r="J309" s="1474">
        <v>651</v>
      </c>
      <c r="K309" s="1474">
        <f t="shared" ref="K309:O310" si="162">ROUND(J309*S$2,0)</f>
        <v>668</v>
      </c>
      <c r="L309" s="1474">
        <f t="shared" si="162"/>
        <v>682</v>
      </c>
      <c r="M309" s="1474">
        <f t="shared" si="162"/>
        <v>698</v>
      </c>
      <c r="N309" s="1474">
        <f t="shared" si="162"/>
        <v>714</v>
      </c>
      <c r="O309" s="1474">
        <f t="shared" si="162"/>
        <v>730</v>
      </c>
      <c r="P309" s="1474"/>
    </row>
    <row r="310" spans="1:16" ht="12.75" customHeight="1" x14ac:dyDescent="0.25">
      <c r="A310" s="1442"/>
      <c r="D310" s="1461"/>
      <c r="E310" s="1434" t="s">
        <v>1872</v>
      </c>
      <c r="F310" s="1461"/>
      <c r="H310" s="549"/>
      <c r="I310" s="134"/>
      <c r="J310" s="1474">
        <v>24717</v>
      </c>
      <c r="K310" s="1474">
        <f t="shared" si="162"/>
        <v>25360</v>
      </c>
      <c r="L310" s="1474">
        <f t="shared" si="162"/>
        <v>25893</v>
      </c>
      <c r="M310" s="1474">
        <f t="shared" si="162"/>
        <v>26489</v>
      </c>
      <c r="N310" s="1474">
        <f t="shared" si="162"/>
        <v>27098</v>
      </c>
      <c r="O310" s="1474">
        <f t="shared" si="162"/>
        <v>27721</v>
      </c>
      <c r="P310" s="1474"/>
    </row>
    <row r="311" spans="1:16" ht="12.75" customHeight="1" thickBot="1" x14ac:dyDescent="0.3">
      <c r="A311" s="1442"/>
      <c r="D311" s="1461"/>
      <c r="E311" s="549" t="s">
        <v>1629</v>
      </c>
      <c r="F311" s="1461"/>
      <c r="H311" s="549"/>
      <c r="I311" s="134"/>
      <c r="J311" s="1839">
        <v>25368</v>
      </c>
      <c r="K311" s="1839">
        <f>+SUM(K309:K310)</f>
        <v>26028</v>
      </c>
      <c r="L311" s="1839">
        <f>+SUM(L309:L310)</f>
        <v>26575</v>
      </c>
      <c r="M311" s="1839">
        <f>+SUM(M309:M310)</f>
        <v>27187</v>
      </c>
      <c r="N311" s="1839">
        <f>+SUM(N309:N310)</f>
        <v>27812</v>
      </c>
      <c r="O311" s="1839">
        <f>+SUM(O309:O310)</f>
        <v>28451</v>
      </c>
      <c r="P311" s="545"/>
    </row>
    <row r="312" spans="1:16" ht="12.75" customHeight="1" thickTop="1" x14ac:dyDescent="0.25">
      <c r="A312" s="1442"/>
      <c r="D312" s="1478"/>
      <c r="E312" s="549"/>
      <c r="F312" s="1461"/>
      <c r="H312" s="549"/>
      <c r="I312" s="134"/>
      <c r="J312" s="134"/>
      <c r="K312" s="134"/>
      <c r="L312" s="134"/>
      <c r="M312" s="134"/>
      <c r="N312" s="134"/>
      <c r="O312" s="134"/>
      <c r="P312" s="134"/>
    </row>
    <row r="313" spans="1:16" ht="12.75" customHeight="1" x14ac:dyDescent="0.25">
      <c r="A313" s="1442"/>
      <c r="D313" s="1472">
        <v>604046</v>
      </c>
      <c r="E313" s="549" t="s">
        <v>1837</v>
      </c>
      <c r="F313" s="155"/>
      <c r="I313" s="134"/>
      <c r="J313" s="134"/>
      <c r="K313" s="134"/>
      <c r="L313" s="134"/>
      <c r="M313" s="134"/>
      <c r="N313" s="134"/>
      <c r="O313" s="134"/>
      <c r="P313" s="134"/>
    </row>
    <row r="314" spans="1:16" ht="12.75" customHeight="1" x14ac:dyDescent="0.25">
      <c r="A314" s="1442"/>
      <c r="D314" s="1437">
        <v>43812</v>
      </c>
      <c r="E314" s="1434" t="s">
        <v>565</v>
      </c>
      <c r="I314" s="134"/>
    </row>
    <row r="315" spans="1:16" ht="12.75" customHeight="1" x14ac:dyDescent="0.25">
      <c r="A315" s="1442"/>
      <c r="D315" s="1461"/>
      <c r="E315" s="1434" t="s">
        <v>1293</v>
      </c>
      <c r="F315" s="1461"/>
      <c r="I315" s="134"/>
      <c r="J315" s="1474">
        <v>7257</v>
      </c>
      <c r="K315" s="1474">
        <f>ROUND(J315*S$2,0)</f>
        <v>7446</v>
      </c>
      <c r="L315" s="1474">
        <f>ROUND(K315*T$2,0)</f>
        <v>7602</v>
      </c>
      <c r="M315" s="1474">
        <f>ROUND(L315*U$2,0)</f>
        <v>7777</v>
      </c>
      <c r="N315" s="1474">
        <f>ROUND(M315*V$2,0)</f>
        <v>7956</v>
      </c>
      <c r="O315" s="1474">
        <f>ROUND(N315*W$2,0)</f>
        <v>8139</v>
      </c>
      <c r="P315" s="1474"/>
    </row>
    <row r="316" spans="1:16" ht="12.75" customHeight="1" x14ac:dyDescent="0.25">
      <c r="A316" s="1442"/>
      <c r="D316" s="1435"/>
      <c r="E316" s="1441" t="s">
        <v>1873</v>
      </c>
      <c r="F316" s="1435"/>
      <c r="I316" s="134"/>
      <c r="J316" s="1474"/>
      <c r="K316" s="1474"/>
      <c r="L316" s="1474"/>
      <c r="M316" s="1474"/>
      <c r="N316" s="1474"/>
      <c r="O316" s="1474"/>
      <c r="P316" s="1474"/>
    </row>
    <row r="317" spans="1:16" ht="12.75" customHeight="1" x14ac:dyDescent="0.25">
      <c r="A317" s="1442"/>
      <c r="D317" s="1461"/>
      <c r="E317" s="1441" t="s">
        <v>1874</v>
      </c>
      <c r="F317" s="1461"/>
      <c r="I317" s="134"/>
      <c r="J317" s="1474"/>
      <c r="K317" s="1474"/>
      <c r="L317" s="1474"/>
      <c r="M317" s="1474"/>
      <c r="N317" s="1474"/>
      <c r="O317" s="1474"/>
      <c r="P317" s="1474"/>
    </row>
    <row r="318" spans="1:16" ht="12.75" customHeight="1" x14ac:dyDescent="0.25">
      <c r="A318" s="1442"/>
      <c r="D318" s="1461"/>
      <c r="E318" s="1441" t="s">
        <v>1875</v>
      </c>
      <c r="F318" s="1461"/>
      <c r="H318" s="1441"/>
      <c r="I318" s="134"/>
      <c r="J318" s="1474"/>
      <c r="K318" s="1474"/>
      <c r="L318" s="1474"/>
      <c r="M318" s="1474"/>
      <c r="N318" s="1474"/>
      <c r="O318" s="1474"/>
      <c r="P318" s="1474"/>
    </row>
    <row r="319" spans="1:16" ht="12.75" customHeight="1" x14ac:dyDescent="0.25">
      <c r="A319" s="1442"/>
      <c r="D319" s="1461"/>
      <c r="E319" s="1441" t="s">
        <v>1876</v>
      </c>
      <c r="F319" s="1461"/>
      <c r="H319" s="1441"/>
      <c r="I319" s="134"/>
      <c r="J319" s="1474"/>
      <c r="K319" s="1474"/>
      <c r="L319" s="1474"/>
      <c r="M319" s="1474"/>
      <c r="N319" s="1474"/>
      <c r="O319" s="1474"/>
      <c r="P319" s="1474"/>
    </row>
    <row r="320" spans="1:16" ht="12.75" customHeight="1" x14ac:dyDescent="0.25">
      <c r="A320" s="1442"/>
      <c r="D320" s="1461"/>
      <c r="E320" s="1479" t="s">
        <v>1877</v>
      </c>
      <c r="F320" s="1461"/>
      <c r="H320" s="1479"/>
      <c r="I320" s="134"/>
      <c r="J320" s="1474">
        <v>11666</v>
      </c>
      <c r="K320" s="1474">
        <f>ROUND(J320*S$2,0)</f>
        <v>11969</v>
      </c>
      <c r="L320" s="1474">
        <f>ROUND(K320*T$2,0)</f>
        <v>12220</v>
      </c>
      <c r="M320" s="1474">
        <f>ROUND(L320*U$2,0)</f>
        <v>12501</v>
      </c>
      <c r="N320" s="1474">
        <f>ROUND(M320*V$2,0)</f>
        <v>12789</v>
      </c>
      <c r="O320" s="1474">
        <f>ROUND(N320*W$2,0)</f>
        <v>13083</v>
      </c>
      <c r="P320" s="1474"/>
    </row>
    <row r="321" spans="1:27" ht="12.75" customHeight="1" x14ac:dyDescent="0.25">
      <c r="A321" s="1442"/>
      <c r="D321" s="1461"/>
      <c r="E321" s="549" t="str">
        <f>"Totaal "&amp;D314</f>
        <v>Totaal 43812</v>
      </c>
      <c r="F321" s="1461"/>
      <c r="H321" s="549"/>
      <c r="I321" s="134"/>
      <c r="J321" s="1831">
        <v>18923</v>
      </c>
      <c r="K321" s="1831">
        <f>SUM(K315:K320)</f>
        <v>19415</v>
      </c>
      <c r="L321" s="1831">
        <f>SUM(L315:L320)</f>
        <v>19822</v>
      </c>
      <c r="M321" s="1831">
        <f>SUM(M315:M320)</f>
        <v>20278</v>
      </c>
      <c r="N321" s="1831">
        <f>SUM(N315:N320)</f>
        <v>20745</v>
      </c>
      <c r="O321" s="1831">
        <f>SUM(O315:O320)</f>
        <v>21222</v>
      </c>
      <c r="P321" s="1455"/>
    </row>
    <row r="322" spans="1:27" ht="12.75" customHeight="1" x14ac:dyDescent="0.25">
      <c r="A322" s="1442"/>
      <c r="D322" s="1461"/>
      <c r="E322" s="549"/>
      <c r="F322" s="1461"/>
      <c r="H322" s="549"/>
      <c r="I322" s="134"/>
      <c r="J322" s="1455"/>
      <c r="K322" s="1455"/>
      <c r="L322" s="1455"/>
      <c r="M322" s="1455"/>
      <c r="N322" s="1455"/>
      <c r="O322" s="1455"/>
      <c r="P322" s="1455"/>
    </row>
    <row r="323" spans="1:27" ht="12.75" customHeight="1" x14ac:dyDescent="0.25">
      <c r="A323" s="1442"/>
      <c r="D323" s="1461">
        <v>43818</v>
      </c>
      <c r="E323" s="1434" t="s">
        <v>1878</v>
      </c>
      <c r="F323" s="1461"/>
      <c r="H323" s="549"/>
      <c r="I323" s="134"/>
      <c r="J323" s="1474">
        <v>1776</v>
      </c>
      <c r="K323" s="1474">
        <f t="shared" ref="K323:O325" si="163">ROUND(J323*S$2,0)</f>
        <v>1822</v>
      </c>
      <c r="L323" s="1474">
        <f t="shared" si="163"/>
        <v>1860</v>
      </c>
      <c r="M323" s="1474">
        <f t="shared" si="163"/>
        <v>1903</v>
      </c>
      <c r="N323" s="1474">
        <f t="shared" si="163"/>
        <v>1947</v>
      </c>
      <c r="O323" s="1474">
        <f t="shared" si="163"/>
        <v>1992</v>
      </c>
      <c r="P323" s="1474"/>
    </row>
    <row r="324" spans="1:27" ht="12.75" customHeight="1" x14ac:dyDescent="0.25">
      <c r="A324" s="1442"/>
      <c r="D324" s="1461">
        <v>43818</v>
      </c>
      <c r="E324" s="1434" t="s">
        <v>1879</v>
      </c>
      <c r="F324" s="1461"/>
      <c r="H324" s="549"/>
      <c r="I324" s="134"/>
      <c r="J324" s="1474">
        <v>5920</v>
      </c>
      <c r="K324" s="1474">
        <f t="shared" si="163"/>
        <v>6074</v>
      </c>
      <c r="L324" s="1474">
        <f t="shared" si="163"/>
        <v>6202</v>
      </c>
      <c r="M324" s="1474">
        <f t="shared" si="163"/>
        <v>6345</v>
      </c>
      <c r="N324" s="1474">
        <f t="shared" si="163"/>
        <v>6491</v>
      </c>
      <c r="O324" s="1474">
        <f t="shared" si="163"/>
        <v>6640</v>
      </c>
      <c r="P324" s="1474"/>
    </row>
    <row r="325" spans="1:27" ht="12.75" customHeight="1" x14ac:dyDescent="0.25">
      <c r="A325" s="1442"/>
      <c r="D325" s="1461">
        <v>43818</v>
      </c>
      <c r="E325" s="1434" t="s">
        <v>1880</v>
      </c>
      <c r="F325" s="1461"/>
      <c r="H325" s="549"/>
      <c r="I325" s="134"/>
      <c r="J325" s="1474">
        <v>594</v>
      </c>
      <c r="K325" s="1474">
        <f t="shared" si="163"/>
        <v>609</v>
      </c>
      <c r="L325" s="1474">
        <f t="shared" si="163"/>
        <v>622</v>
      </c>
      <c r="M325" s="1474">
        <f t="shared" si="163"/>
        <v>636</v>
      </c>
      <c r="N325" s="1474">
        <f t="shared" si="163"/>
        <v>651</v>
      </c>
      <c r="O325" s="1474">
        <f t="shared" si="163"/>
        <v>666</v>
      </c>
      <c r="P325" s="1474"/>
    </row>
    <row r="326" spans="1:27" ht="12.75" customHeight="1" thickBot="1" x14ac:dyDescent="0.3">
      <c r="A326" s="1442"/>
      <c r="D326" s="1461"/>
      <c r="E326" s="549" t="s">
        <v>638</v>
      </c>
      <c r="F326" s="1461"/>
      <c r="H326" s="549"/>
      <c r="I326" s="134"/>
      <c r="J326" s="1839">
        <v>8290</v>
      </c>
      <c r="K326" s="1839">
        <f>SUM(K323:K325)</f>
        <v>8505</v>
      </c>
      <c r="L326" s="1839">
        <f>SUM(L323:L325)</f>
        <v>8684</v>
      </c>
      <c r="M326" s="1839">
        <f>SUM(M323:M325)</f>
        <v>8884</v>
      </c>
      <c r="N326" s="1839">
        <f>SUM(N323:N325)</f>
        <v>9089</v>
      </c>
      <c r="O326" s="1839">
        <f>SUM(O323:O325)</f>
        <v>9298</v>
      </c>
      <c r="P326" s="545"/>
    </row>
    <row r="327" spans="1:27" ht="12.75" customHeight="1" thickTop="1" x14ac:dyDescent="0.25">
      <c r="A327" s="1442"/>
      <c r="D327" s="1461"/>
      <c r="E327" s="549"/>
      <c r="F327" s="1461"/>
      <c r="H327" s="549"/>
      <c r="I327" s="134"/>
      <c r="J327" s="134"/>
      <c r="K327" s="134"/>
      <c r="L327" s="134"/>
      <c r="M327" s="134"/>
      <c r="N327" s="134"/>
      <c r="O327" s="134"/>
      <c r="P327" s="134"/>
    </row>
    <row r="328" spans="1:27" ht="12.75" customHeight="1" x14ac:dyDescent="0.25">
      <c r="A328" s="1442"/>
      <c r="D328" s="1472">
        <v>604048</v>
      </c>
      <c r="E328" s="549" t="s">
        <v>1881</v>
      </c>
      <c r="F328" s="155"/>
    </row>
    <row r="329" spans="1:27" ht="12.75" customHeight="1" x14ac:dyDescent="0.25">
      <c r="A329" s="1442"/>
      <c r="D329" s="1437">
        <v>42100</v>
      </c>
      <c r="E329" s="1434" t="s">
        <v>1840</v>
      </c>
      <c r="I329" s="134"/>
      <c r="J329" s="134">
        <v>13510</v>
      </c>
      <c r="K329" s="134">
        <f t="shared" ref="K329:M330" si="164">+K337+K353+K361+K368</f>
        <v>13861</v>
      </c>
      <c r="L329" s="134">
        <f t="shared" si="164"/>
        <v>14151</v>
      </c>
      <c r="M329" s="134">
        <f t="shared" si="164"/>
        <v>14477</v>
      </c>
      <c r="N329" s="134">
        <f t="shared" ref="N329:O329" si="165">+N337+N353+N361+N368</f>
        <v>14810</v>
      </c>
      <c r="O329" s="134">
        <f t="shared" si="165"/>
        <v>15150</v>
      </c>
      <c r="Q329" s="124"/>
      <c r="R329" s="124"/>
      <c r="S329" s="124"/>
    </row>
    <row r="330" spans="1:27" ht="12.75" customHeight="1" x14ac:dyDescent="0.25">
      <c r="A330" s="1442"/>
      <c r="D330" s="1437">
        <v>43803</v>
      </c>
      <c r="E330" s="1434" t="s">
        <v>1831</v>
      </c>
      <c r="I330" s="134"/>
      <c r="J330" s="134">
        <v>15986</v>
      </c>
      <c r="K330" s="134">
        <f t="shared" si="164"/>
        <v>16402</v>
      </c>
      <c r="L330" s="134">
        <f t="shared" si="164"/>
        <v>16747</v>
      </c>
      <c r="M330" s="134">
        <f t="shared" si="164"/>
        <v>17132</v>
      </c>
      <c r="N330" s="134">
        <f t="shared" ref="N330:O330" si="166">+N338+N354+N362+N369</f>
        <v>17526</v>
      </c>
      <c r="O330" s="134">
        <f t="shared" si="166"/>
        <v>17930</v>
      </c>
      <c r="Q330" s="124"/>
      <c r="R330" s="124"/>
      <c r="S330" s="124"/>
    </row>
    <row r="331" spans="1:27" ht="12.75" customHeight="1" x14ac:dyDescent="0.25">
      <c r="A331" s="1442"/>
      <c r="D331" s="1437">
        <v>43805</v>
      </c>
      <c r="E331" s="1434" t="s">
        <v>5315</v>
      </c>
      <c r="I331" s="134"/>
      <c r="J331" s="134"/>
      <c r="K331" s="134">
        <f>9702+11787</f>
        <v>21489</v>
      </c>
      <c r="L331" s="134">
        <v>1940</v>
      </c>
      <c r="M331" s="134"/>
      <c r="N331" s="134"/>
      <c r="O331" s="134"/>
      <c r="Q331" s="124"/>
      <c r="R331" s="124"/>
      <c r="S331" s="124"/>
    </row>
    <row r="332" spans="1:27" ht="12.75" customHeight="1" x14ac:dyDescent="0.25">
      <c r="A332" s="1442"/>
      <c r="D332" s="1437">
        <v>43806</v>
      </c>
      <c r="E332" s="1434" t="s">
        <v>1882</v>
      </c>
      <c r="I332" s="134"/>
      <c r="J332" s="134">
        <v>23262</v>
      </c>
      <c r="K332" s="134">
        <f>ROUND(J332*S$2,0)</f>
        <v>23867</v>
      </c>
      <c r="L332" s="134">
        <f>ROUND(K332*T$2,0)</f>
        <v>24368</v>
      </c>
      <c r="M332" s="134">
        <f>ROUND(L332*U$2,0)</f>
        <v>24928</v>
      </c>
      <c r="N332" s="134">
        <f>ROUND(M332*V$2,0)</f>
        <v>25501</v>
      </c>
      <c r="O332" s="134">
        <f>ROUND(N332*W$2,0)</f>
        <v>26088</v>
      </c>
      <c r="Q332" s="124"/>
      <c r="R332" s="124"/>
      <c r="S332" s="124"/>
    </row>
    <row r="333" spans="1:27" ht="12.75" customHeight="1" x14ac:dyDescent="0.25">
      <c r="A333" s="1442"/>
      <c r="D333" s="1437">
        <v>43812</v>
      </c>
      <c r="E333" s="1434" t="s">
        <v>535</v>
      </c>
      <c r="I333" s="134"/>
      <c r="J333" s="134">
        <v>6811</v>
      </c>
      <c r="K333" s="134">
        <f>+K340+K357+K364+K371</f>
        <v>6988</v>
      </c>
      <c r="L333" s="134">
        <f>+L340+L357+L364+L371</f>
        <v>7134</v>
      </c>
      <c r="M333" s="134">
        <f>+M340+M357+M364+M371</f>
        <v>7298</v>
      </c>
      <c r="N333" s="134">
        <f>+N340+N357+N364+N371</f>
        <v>7466</v>
      </c>
      <c r="O333" s="134">
        <f>+O340+O357+O364+O371</f>
        <v>7637</v>
      </c>
      <c r="Q333" s="124"/>
      <c r="R333" s="124"/>
      <c r="S333" s="124"/>
    </row>
    <row r="334" spans="1:27" ht="12.75" customHeight="1" x14ac:dyDescent="0.25">
      <c r="A334" s="1442"/>
      <c r="D334" s="1461"/>
      <c r="E334" s="545" t="s">
        <v>536</v>
      </c>
      <c r="H334" s="1480"/>
      <c r="J334" s="1831">
        <v>59569</v>
      </c>
      <c r="K334" s="1831">
        <f>SUM(K329:K333)</f>
        <v>82607</v>
      </c>
      <c r="L334" s="1831">
        <f>SUM(L329:L333)</f>
        <v>64340</v>
      </c>
      <c r="M334" s="1831">
        <f>SUM(M329:M333)</f>
        <v>63835</v>
      </c>
      <c r="N334" s="1831">
        <f>SUM(N329:N333)</f>
        <v>65303</v>
      </c>
      <c r="O334" s="1831">
        <f>SUM(O329:O333)</f>
        <v>66805</v>
      </c>
      <c r="Q334" s="124"/>
      <c r="R334" s="124"/>
      <c r="S334" s="124"/>
    </row>
    <row r="335" spans="1:27" ht="12.75" customHeight="1" x14ac:dyDescent="0.25">
      <c r="A335" s="1442"/>
      <c r="D335" s="1461"/>
      <c r="E335" s="545"/>
      <c r="H335" s="1480"/>
      <c r="J335" s="1455"/>
      <c r="K335" s="1455"/>
      <c r="L335" s="1455"/>
      <c r="M335" s="1455"/>
      <c r="N335" s="1455"/>
      <c r="O335" s="1455"/>
    </row>
    <row r="336" spans="1:27" ht="12.75" customHeight="1" x14ac:dyDescent="0.25">
      <c r="A336" s="1442"/>
      <c r="D336" s="1472"/>
      <c r="E336" s="549" t="s">
        <v>1883</v>
      </c>
      <c r="F336" s="155"/>
      <c r="I336" s="134"/>
      <c r="J336" s="134"/>
      <c r="K336" s="134"/>
      <c r="L336" s="134"/>
      <c r="M336" s="134"/>
      <c r="N336" s="134"/>
      <c r="O336" s="134"/>
      <c r="P336" s="134"/>
      <c r="Z336" s="1434"/>
      <c r="AA336" s="1434"/>
    </row>
    <row r="337" spans="1:27" ht="12.75" customHeight="1" x14ac:dyDescent="0.25">
      <c r="A337" s="1442"/>
      <c r="B337" s="1436"/>
      <c r="D337" s="1434"/>
      <c r="F337" s="1437">
        <v>42100</v>
      </c>
      <c r="G337" s="1434" t="s">
        <v>1840</v>
      </c>
      <c r="I337" s="134"/>
      <c r="J337" s="134">
        <v>438</v>
      </c>
      <c r="K337" s="134">
        <f t="shared" ref="K337:O340" si="167">ROUND(J337*S$2,0)</f>
        <v>449</v>
      </c>
      <c r="L337" s="134">
        <f t="shared" si="167"/>
        <v>458</v>
      </c>
      <c r="M337" s="134">
        <f t="shared" si="167"/>
        <v>469</v>
      </c>
      <c r="N337" s="134">
        <f t="shared" si="167"/>
        <v>480</v>
      </c>
      <c r="O337" s="134">
        <f t="shared" si="167"/>
        <v>491</v>
      </c>
      <c r="P337" s="134"/>
      <c r="Z337" s="1434"/>
      <c r="AA337" s="1434"/>
    </row>
    <row r="338" spans="1:27" ht="12.75" customHeight="1" x14ac:dyDescent="0.25">
      <c r="A338" s="1442"/>
      <c r="B338" s="1436"/>
      <c r="D338" s="1434"/>
      <c r="F338" s="1437">
        <v>43803</v>
      </c>
      <c r="G338" s="1434" t="s">
        <v>1831</v>
      </c>
      <c r="I338" s="134"/>
      <c r="J338" s="134">
        <v>4740</v>
      </c>
      <c r="K338" s="134">
        <f t="shared" si="167"/>
        <v>4863</v>
      </c>
      <c r="L338" s="134">
        <f t="shared" si="167"/>
        <v>4965</v>
      </c>
      <c r="M338" s="134">
        <f t="shared" si="167"/>
        <v>5079</v>
      </c>
      <c r="N338" s="134">
        <f t="shared" si="167"/>
        <v>5196</v>
      </c>
      <c r="O338" s="134">
        <f t="shared" si="167"/>
        <v>5316</v>
      </c>
      <c r="P338" s="134"/>
      <c r="Z338" s="1434"/>
      <c r="AA338" s="1434"/>
    </row>
    <row r="339" spans="1:27" ht="12.75" customHeight="1" x14ac:dyDescent="0.25">
      <c r="A339" s="1442"/>
      <c r="B339" s="1436"/>
      <c r="D339" s="1434"/>
      <c r="F339" s="1437">
        <v>43806</v>
      </c>
      <c r="G339" s="1434" t="s">
        <v>1882</v>
      </c>
      <c r="I339" s="134"/>
      <c r="J339" s="134">
        <v>818</v>
      </c>
      <c r="K339" s="134">
        <f t="shared" si="167"/>
        <v>839</v>
      </c>
      <c r="L339" s="134">
        <f t="shared" si="167"/>
        <v>857</v>
      </c>
      <c r="M339" s="134">
        <f t="shared" si="167"/>
        <v>877</v>
      </c>
      <c r="N339" s="134">
        <f t="shared" si="167"/>
        <v>897</v>
      </c>
      <c r="O339" s="134">
        <f t="shared" si="167"/>
        <v>918</v>
      </c>
      <c r="P339" s="134"/>
      <c r="Z339" s="1434"/>
      <c r="AA339" s="1434"/>
    </row>
    <row r="340" spans="1:27" ht="12.75" customHeight="1" x14ac:dyDescent="0.25">
      <c r="A340" s="1442"/>
      <c r="B340" s="1436"/>
      <c r="D340" s="1434"/>
      <c r="F340" s="1437">
        <v>43812</v>
      </c>
      <c r="G340" s="1434" t="s">
        <v>535</v>
      </c>
      <c r="I340" s="134"/>
      <c r="J340" s="134">
        <v>4965</v>
      </c>
      <c r="K340" s="134">
        <f t="shared" si="167"/>
        <v>5094</v>
      </c>
      <c r="L340" s="134">
        <f t="shared" si="167"/>
        <v>5201</v>
      </c>
      <c r="M340" s="134">
        <f t="shared" si="167"/>
        <v>5321</v>
      </c>
      <c r="N340" s="134">
        <f t="shared" si="167"/>
        <v>5443</v>
      </c>
      <c r="O340" s="134">
        <f t="shared" si="167"/>
        <v>5568</v>
      </c>
      <c r="P340" s="134"/>
      <c r="Z340" s="1434"/>
      <c r="AA340" s="1434"/>
    </row>
    <row r="341" spans="1:27" ht="12.75" customHeight="1" x14ac:dyDescent="0.25">
      <c r="A341" s="1442"/>
      <c r="D341" s="1461"/>
      <c r="E341" s="1461"/>
      <c r="F341" s="1461"/>
      <c r="G341" s="549" t="s">
        <v>536</v>
      </c>
      <c r="H341" s="549"/>
      <c r="I341" s="1455"/>
      <c r="J341" s="1831">
        <v>10961</v>
      </c>
      <c r="K341" s="1831">
        <f>SUM(K337:K340)</f>
        <v>11245</v>
      </c>
      <c r="L341" s="1831">
        <f>SUM(L337:L340)</f>
        <v>11481</v>
      </c>
      <c r="M341" s="1831">
        <f>SUM(M337:M340)</f>
        <v>11746</v>
      </c>
      <c r="N341" s="1831">
        <f>SUM(N337:N340)</f>
        <v>12016</v>
      </c>
      <c r="O341" s="1831">
        <f>SUM(O337:O340)</f>
        <v>12293</v>
      </c>
      <c r="P341" s="134"/>
      <c r="Z341" s="1434"/>
      <c r="AA341" s="1434"/>
    </row>
    <row r="342" spans="1:27" ht="12.75" customHeight="1" x14ac:dyDescent="0.25">
      <c r="A342" s="1442"/>
      <c r="D342" s="1461"/>
      <c r="E342" s="1461"/>
      <c r="F342" s="1461"/>
      <c r="I342" s="134"/>
      <c r="J342" s="134"/>
      <c r="K342" s="134"/>
      <c r="L342" s="134"/>
      <c r="M342" s="134"/>
      <c r="N342" s="134"/>
      <c r="O342" s="134"/>
      <c r="P342" s="134"/>
      <c r="Z342" s="1434"/>
      <c r="AA342" s="1434"/>
    </row>
    <row r="343" spans="1:27" ht="12.75" customHeight="1" x14ac:dyDescent="0.25">
      <c r="A343" s="1442"/>
      <c r="D343" s="1472"/>
      <c r="E343" s="549" t="s">
        <v>1884</v>
      </c>
      <c r="F343" s="1434"/>
      <c r="I343" s="134"/>
      <c r="J343" s="134"/>
      <c r="K343" s="134"/>
      <c r="L343" s="134"/>
      <c r="M343" s="134"/>
      <c r="N343" s="134"/>
      <c r="O343" s="134"/>
      <c r="P343" s="134"/>
      <c r="Z343" s="1434"/>
      <c r="AA343" s="1434"/>
    </row>
    <row r="344" spans="1:27" ht="12.75" customHeight="1" x14ac:dyDescent="0.25">
      <c r="A344" s="1442"/>
      <c r="D344" s="1472"/>
      <c r="E344" s="1470"/>
      <c r="F344" s="1470" t="s">
        <v>1885</v>
      </c>
      <c r="I344" s="134"/>
      <c r="J344" s="134"/>
      <c r="K344" s="134"/>
      <c r="L344" s="134"/>
      <c r="M344" s="134"/>
      <c r="N344" s="134"/>
      <c r="O344" s="134"/>
      <c r="P344" s="134"/>
      <c r="Z344" s="1434"/>
      <c r="AA344" s="1434"/>
    </row>
    <row r="345" spans="1:27" ht="12.75" customHeight="1" x14ac:dyDescent="0.25">
      <c r="A345" s="1442"/>
      <c r="D345" s="1472"/>
      <c r="E345" s="1434"/>
      <c r="F345" s="1470" t="s">
        <v>1886</v>
      </c>
      <c r="I345" s="134"/>
      <c r="J345" s="134"/>
      <c r="K345" s="134"/>
      <c r="L345" s="134"/>
      <c r="M345" s="134"/>
      <c r="N345" s="134"/>
      <c r="O345" s="134"/>
      <c r="P345" s="134"/>
      <c r="Z345" s="1434"/>
      <c r="AA345" s="1434"/>
    </row>
    <row r="346" spans="1:27" ht="12.75" customHeight="1" x14ac:dyDescent="0.25">
      <c r="A346" s="1442"/>
      <c r="D346" s="1472"/>
      <c r="E346" s="1434"/>
      <c r="F346" s="1470" t="s">
        <v>1887</v>
      </c>
      <c r="I346" s="134"/>
      <c r="J346" s="134"/>
      <c r="K346" s="134"/>
      <c r="L346" s="134"/>
      <c r="M346" s="134"/>
      <c r="N346" s="134"/>
      <c r="O346" s="134"/>
      <c r="P346" s="134"/>
      <c r="Z346" s="1434"/>
      <c r="AA346" s="1434"/>
    </row>
    <row r="347" spans="1:27" ht="12.75" customHeight="1" x14ac:dyDescent="0.25">
      <c r="A347" s="1442"/>
      <c r="D347" s="1472"/>
      <c r="E347" s="1434"/>
      <c r="F347" s="1470" t="s">
        <v>1888</v>
      </c>
      <c r="I347" s="134"/>
      <c r="J347" s="134"/>
      <c r="K347" s="134"/>
      <c r="L347" s="134"/>
      <c r="M347" s="134"/>
      <c r="N347" s="134"/>
      <c r="O347" s="134"/>
      <c r="P347" s="134"/>
      <c r="Z347" s="1434"/>
      <c r="AA347" s="1434"/>
    </row>
    <row r="348" spans="1:27" ht="12.75" customHeight="1" x14ac:dyDescent="0.25">
      <c r="A348" s="1442"/>
      <c r="D348" s="1472"/>
      <c r="E348" s="1434"/>
      <c r="F348" s="1434" t="s">
        <v>1889</v>
      </c>
      <c r="I348" s="134"/>
      <c r="J348" s="134"/>
      <c r="K348" s="134"/>
      <c r="L348" s="134"/>
      <c r="M348" s="134"/>
      <c r="N348" s="134"/>
      <c r="O348" s="134"/>
      <c r="P348" s="134"/>
      <c r="Z348" s="1434"/>
      <c r="AA348" s="1434"/>
    </row>
    <row r="349" spans="1:27" ht="12.75" customHeight="1" x14ac:dyDescent="0.25">
      <c r="A349" s="1442"/>
      <c r="D349" s="1472"/>
      <c r="E349" s="1434"/>
      <c r="F349" s="1434" t="s">
        <v>1890</v>
      </c>
      <c r="I349" s="134"/>
      <c r="J349" s="134"/>
      <c r="K349" s="134"/>
      <c r="L349" s="134"/>
      <c r="M349" s="134"/>
      <c r="N349" s="134"/>
      <c r="O349" s="134"/>
      <c r="P349" s="134"/>
      <c r="Z349" s="1434"/>
      <c r="AA349" s="1434"/>
    </row>
    <row r="350" spans="1:27" ht="12.75" customHeight="1" x14ac:dyDescent="0.25">
      <c r="A350" s="1442"/>
      <c r="D350" s="1472"/>
      <c r="E350" s="1434"/>
      <c r="F350" s="1434" t="s">
        <v>1891</v>
      </c>
      <c r="I350" s="134"/>
      <c r="J350" s="134"/>
      <c r="K350" s="134"/>
      <c r="L350" s="134"/>
      <c r="M350" s="134"/>
      <c r="N350" s="134"/>
      <c r="O350" s="134"/>
      <c r="P350" s="134"/>
      <c r="Z350" s="1434"/>
      <c r="AA350" s="1434"/>
    </row>
    <row r="351" spans="1:27" ht="12.75" customHeight="1" x14ac:dyDescent="0.25">
      <c r="A351" s="1442"/>
      <c r="D351" s="1472"/>
      <c r="E351" s="1434"/>
      <c r="F351" s="1434" t="s">
        <v>1892</v>
      </c>
      <c r="I351" s="134"/>
      <c r="J351" s="134"/>
      <c r="K351" s="134"/>
      <c r="L351" s="134"/>
      <c r="M351" s="134"/>
      <c r="N351" s="134"/>
      <c r="O351" s="134"/>
      <c r="P351" s="134"/>
      <c r="Z351" s="1434"/>
      <c r="AA351" s="1434"/>
    </row>
    <row r="352" spans="1:27" ht="12.75" customHeight="1" x14ac:dyDescent="0.25">
      <c r="A352" s="1442"/>
      <c r="D352" s="1472"/>
      <c r="E352" s="1434"/>
      <c r="F352" s="1434"/>
      <c r="I352" s="134"/>
      <c r="J352" s="134"/>
      <c r="K352" s="134"/>
      <c r="L352" s="134"/>
      <c r="M352" s="134"/>
      <c r="N352" s="134"/>
      <c r="O352" s="134"/>
      <c r="P352" s="134"/>
      <c r="Z352" s="1434"/>
      <c r="AA352" s="1434"/>
    </row>
    <row r="353" spans="1:27" ht="12.75" customHeight="1" x14ac:dyDescent="0.25">
      <c r="A353" s="1442"/>
      <c r="B353" s="1436"/>
      <c r="D353" s="1434"/>
      <c r="F353" s="1437">
        <v>42100</v>
      </c>
      <c r="G353" s="1434" t="s">
        <v>1840</v>
      </c>
      <c r="I353" s="134"/>
      <c r="J353" s="134">
        <v>10600</v>
      </c>
      <c r="K353" s="134">
        <f t="shared" ref="K353:O357" si="168">ROUND(J353*S$2,0)</f>
        <v>10876</v>
      </c>
      <c r="L353" s="134">
        <f t="shared" si="168"/>
        <v>11104</v>
      </c>
      <c r="M353" s="134">
        <f t="shared" si="168"/>
        <v>11359</v>
      </c>
      <c r="N353" s="134">
        <f t="shared" si="168"/>
        <v>11620</v>
      </c>
      <c r="O353" s="134">
        <f t="shared" si="168"/>
        <v>11887</v>
      </c>
      <c r="P353" s="134"/>
      <c r="Z353" s="1434"/>
      <c r="AA353" s="1434"/>
    </row>
    <row r="354" spans="1:27" ht="12.75" customHeight="1" x14ac:dyDescent="0.25">
      <c r="A354" s="1442"/>
      <c r="B354" s="1436"/>
      <c r="D354" s="1434"/>
      <c r="F354" s="1437">
        <v>43803</v>
      </c>
      <c r="G354" s="1434" t="s">
        <v>1831</v>
      </c>
      <c r="I354" s="134"/>
      <c r="J354" s="134">
        <v>6769</v>
      </c>
      <c r="K354" s="134">
        <f t="shared" si="168"/>
        <v>6945</v>
      </c>
      <c r="L354" s="134">
        <f t="shared" si="168"/>
        <v>7091</v>
      </c>
      <c r="M354" s="134">
        <f t="shared" si="168"/>
        <v>7254</v>
      </c>
      <c r="N354" s="134">
        <f t="shared" si="168"/>
        <v>7421</v>
      </c>
      <c r="O354" s="134">
        <f t="shared" si="168"/>
        <v>7592</v>
      </c>
      <c r="P354" s="134"/>
      <c r="Z354" s="1434"/>
      <c r="AA354" s="1434"/>
    </row>
    <row r="355" spans="1:27" ht="12.75" customHeight="1" x14ac:dyDescent="0.25">
      <c r="A355" s="1442"/>
      <c r="B355" s="1436"/>
      <c r="D355" s="1434"/>
      <c r="F355" s="1437">
        <v>43805</v>
      </c>
      <c r="G355" s="1434" t="s">
        <v>730</v>
      </c>
      <c r="I355" s="134"/>
      <c r="J355" s="134">
        <f>J331</f>
        <v>0</v>
      </c>
      <c r="K355" s="134">
        <f t="shared" ref="K355:O355" si="169">K331</f>
        <v>21489</v>
      </c>
      <c r="L355" s="134">
        <f t="shared" si="169"/>
        <v>1940</v>
      </c>
      <c r="M355" s="134">
        <f t="shared" si="169"/>
        <v>0</v>
      </c>
      <c r="N355" s="134">
        <f t="shared" si="169"/>
        <v>0</v>
      </c>
      <c r="O355" s="134">
        <f t="shared" si="169"/>
        <v>0</v>
      </c>
      <c r="P355" s="134"/>
      <c r="Z355" s="1434"/>
      <c r="AA355" s="1434"/>
    </row>
    <row r="356" spans="1:27" ht="12.75" customHeight="1" x14ac:dyDescent="0.25">
      <c r="A356" s="1442"/>
      <c r="B356" s="1436"/>
      <c r="D356" s="1434"/>
      <c r="F356" s="1437">
        <v>43806</v>
      </c>
      <c r="G356" s="1434" t="s">
        <v>546</v>
      </c>
      <c r="I356" s="134"/>
      <c r="J356" s="134">
        <v>4723</v>
      </c>
      <c r="K356" s="134">
        <f t="shared" si="168"/>
        <v>4846</v>
      </c>
      <c r="L356" s="134">
        <f t="shared" si="168"/>
        <v>4948</v>
      </c>
      <c r="M356" s="134">
        <f t="shared" si="168"/>
        <v>5062</v>
      </c>
      <c r="N356" s="134">
        <f t="shared" si="168"/>
        <v>5178</v>
      </c>
      <c r="O356" s="134">
        <f t="shared" si="168"/>
        <v>5297</v>
      </c>
      <c r="P356" s="134"/>
      <c r="Z356" s="1434"/>
      <c r="AA356" s="1434"/>
    </row>
    <row r="357" spans="1:27" ht="12.75" customHeight="1" x14ac:dyDescent="0.25">
      <c r="A357" s="1442"/>
      <c r="D357" s="1434"/>
      <c r="F357" s="1437">
        <v>43812</v>
      </c>
      <c r="G357" s="1434" t="s">
        <v>535</v>
      </c>
      <c r="I357" s="134"/>
      <c r="J357" s="134">
        <v>1124</v>
      </c>
      <c r="K357" s="134">
        <f t="shared" si="168"/>
        <v>1153</v>
      </c>
      <c r="L357" s="134">
        <f t="shared" si="168"/>
        <v>1177</v>
      </c>
      <c r="M357" s="134">
        <f t="shared" si="168"/>
        <v>1204</v>
      </c>
      <c r="N357" s="134">
        <f t="shared" si="168"/>
        <v>1232</v>
      </c>
      <c r="O357" s="134">
        <f t="shared" si="168"/>
        <v>1260</v>
      </c>
      <c r="P357" s="134"/>
      <c r="Z357" s="1434"/>
      <c r="AA357" s="1434"/>
    </row>
    <row r="358" spans="1:27" ht="12.75" customHeight="1" x14ac:dyDescent="0.25">
      <c r="A358" s="1442"/>
      <c r="D358" s="1461"/>
      <c r="E358" s="1461"/>
      <c r="F358" s="1461"/>
      <c r="G358" s="549" t="s">
        <v>536</v>
      </c>
      <c r="H358" s="549"/>
      <c r="I358" s="1455"/>
      <c r="J358" s="1831">
        <v>23216</v>
      </c>
      <c r="K358" s="1831">
        <f>SUM(K353:K357)</f>
        <v>45309</v>
      </c>
      <c r="L358" s="1831">
        <f>SUM(L353:L357)</f>
        <v>26260</v>
      </c>
      <c r="M358" s="1831">
        <f>SUM(M353:M357)</f>
        <v>24879</v>
      </c>
      <c r="N358" s="1831">
        <f>SUM(N353:N357)</f>
        <v>25451</v>
      </c>
      <c r="O358" s="1831">
        <f>SUM(O353:O357)</f>
        <v>26036</v>
      </c>
      <c r="P358" s="134"/>
      <c r="Z358" s="1434"/>
      <c r="AA358" s="1434"/>
    </row>
    <row r="359" spans="1:27" ht="12.75" customHeight="1" x14ac:dyDescent="0.25">
      <c r="A359" s="1442"/>
      <c r="D359" s="1461"/>
      <c r="E359" s="1461"/>
      <c r="F359" s="1461"/>
      <c r="I359" s="134"/>
      <c r="J359" s="134"/>
      <c r="K359" s="134"/>
      <c r="L359" s="134"/>
      <c r="M359" s="134"/>
      <c r="N359" s="134"/>
      <c r="O359" s="134"/>
      <c r="P359" s="134"/>
      <c r="Z359" s="1434"/>
      <c r="AA359" s="1434"/>
    </row>
    <row r="360" spans="1:27" ht="12.75" customHeight="1" x14ac:dyDescent="0.25">
      <c r="A360" s="1442"/>
      <c r="D360" s="1472"/>
      <c r="E360" s="549" t="s">
        <v>1893</v>
      </c>
      <c r="F360" s="155"/>
      <c r="I360" s="134"/>
      <c r="J360" s="134"/>
      <c r="K360" s="134"/>
      <c r="L360" s="134"/>
      <c r="M360" s="134"/>
      <c r="N360" s="134"/>
      <c r="O360" s="134"/>
      <c r="P360" s="134"/>
      <c r="Z360" s="1434"/>
      <c r="AA360" s="1434"/>
    </row>
    <row r="361" spans="1:27" ht="12.75" customHeight="1" x14ac:dyDescent="0.25">
      <c r="A361" s="1442"/>
      <c r="B361" s="1436"/>
      <c r="D361" s="1434"/>
      <c r="F361" s="1437">
        <v>42100</v>
      </c>
      <c r="G361" s="1434" t="s">
        <v>1840</v>
      </c>
      <c r="I361" s="134"/>
      <c r="J361" s="134">
        <v>1108</v>
      </c>
      <c r="K361" s="134">
        <f t="shared" ref="K361:O364" si="170">ROUND(J361*S$2,0)</f>
        <v>1137</v>
      </c>
      <c r="L361" s="134">
        <f t="shared" si="170"/>
        <v>1161</v>
      </c>
      <c r="M361" s="134">
        <f t="shared" si="170"/>
        <v>1188</v>
      </c>
      <c r="N361" s="134">
        <f t="shared" si="170"/>
        <v>1215</v>
      </c>
      <c r="O361" s="134">
        <f t="shared" si="170"/>
        <v>1243</v>
      </c>
      <c r="P361" s="134"/>
      <c r="Z361" s="1434"/>
      <c r="AA361" s="1434"/>
    </row>
    <row r="362" spans="1:27" ht="12.75" customHeight="1" x14ac:dyDescent="0.25">
      <c r="A362" s="1442"/>
      <c r="B362" s="1436"/>
      <c r="D362" s="1434"/>
      <c r="F362" s="1437">
        <v>43803</v>
      </c>
      <c r="G362" s="1434" t="s">
        <v>1831</v>
      </c>
      <c r="I362" s="134"/>
      <c r="J362" s="134">
        <v>405</v>
      </c>
      <c r="K362" s="134">
        <f t="shared" si="170"/>
        <v>416</v>
      </c>
      <c r="L362" s="134">
        <f t="shared" si="170"/>
        <v>425</v>
      </c>
      <c r="M362" s="134">
        <f t="shared" si="170"/>
        <v>435</v>
      </c>
      <c r="N362" s="134">
        <f t="shared" si="170"/>
        <v>445</v>
      </c>
      <c r="O362" s="134">
        <f t="shared" si="170"/>
        <v>455</v>
      </c>
      <c r="P362" s="134"/>
      <c r="Z362" s="1434"/>
      <c r="AA362" s="1434"/>
    </row>
    <row r="363" spans="1:27" ht="12.75" customHeight="1" x14ac:dyDescent="0.25">
      <c r="A363" s="1442"/>
      <c r="B363" s="1436"/>
      <c r="D363" s="1434"/>
      <c r="F363" s="1437">
        <v>43806</v>
      </c>
      <c r="G363" s="1434" t="s">
        <v>1882</v>
      </c>
      <c r="I363" s="134"/>
      <c r="J363" s="134">
        <v>444</v>
      </c>
      <c r="K363" s="134">
        <f t="shared" si="170"/>
        <v>456</v>
      </c>
      <c r="L363" s="134">
        <f t="shared" si="170"/>
        <v>466</v>
      </c>
      <c r="M363" s="134">
        <f t="shared" si="170"/>
        <v>477</v>
      </c>
      <c r="N363" s="134">
        <f t="shared" si="170"/>
        <v>488</v>
      </c>
      <c r="O363" s="134">
        <f t="shared" si="170"/>
        <v>499</v>
      </c>
      <c r="P363" s="134"/>
      <c r="Z363" s="1434"/>
      <c r="AA363" s="1434"/>
    </row>
    <row r="364" spans="1:27" ht="12.75" customHeight="1" x14ac:dyDescent="0.25">
      <c r="A364" s="1442"/>
      <c r="B364" s="1436"/>
      <c r="D364" s="1434"/>
      <c r="F364" s="1437">
        <v>43812</v>
      </c>
      <c r="G364" s="1434" t="s">
        <v>535</v>
      </c>
      <c r="I364" s="134"/>
      <c r="J364" s="134">
        <v>375</v>
      </c>
      <c r="K364" s="134">
        <f t="shared" si="170"/>
        <v>385</v>
      </c>
      <c r="L364" s="134">
        <f t="shared" si="170"/>
        <v>393</v>
      </c>
      <c r="M364" s="134">
        <f t="shared" si="170"/>
        <v>402</v>
      </c>
      <c r="N364" s="134">
        <f t="shared" si="170"/>
        <v>411</v>
      </c>
      <c r="O364" s="134">
        <f t="shared" si="170"/>
        <v>420</v>
      </c>
      <c r="P364" s="134"/>
      <c r="Z364" s="1434"/>
      <c r="AA364" s="1434"/>
    </row>
    <row r="365" spans="1:27" ht="12.75" customHeight="1" x14ac:dyDescent="0.25">
      <c r="A365" s="1442"/>
      <c r="D365" s="1461"/>
      <c r="E365" s="1461"/>
      <c r="F365" s="1461"/>
      <c r="G365" s="549" t="s">
        <v>536</v>
      </c>
      <c r="H365" s="549"/>
      <c r="I365" s="1455"/>
      <c r="J365" s="1831">
        <v>2332</v>
      </c>
      <c r="K365" s="1831">
        <f>SUM(K361:K364)</f>
        <v>2394</v>
      </c>
      <c r="L365" s="1831">
        <f>SUM(L361:L364)</f>
        <v>2445</v>
      </c>
      <c r="M365" s="1831">
        <f>SUM(M361:M364)</f>
        <v>2502</v>
      </c>
      <c r="N365" s="1831">
        <f>SUM(N361:N364)</f>
        <v>2559</v>
      </c>
      <c r="O365" s="1831">
        <f>SUM(O361:O364)</f>
        <v>2617</v>
      </c>
      <c r="P365" s="134"/>
      <c r="Z365" s="1434"/>
      <c r="AA365" s="1434"/>
    </row>
    <row r="366" spans="1:27" ht="12.75" customHeight="1" x14ac:dyDescent="0.25">
      <c r="A366" s="1442"/>
      <c r="D366" s="1461"/>
      <c r="E366" s="1461"/>
      <c r="F366" s="1461"/>
      <c r="I366" s="134"/>
      <c r="J366" s="134"/>
      <c r="K366" s="134"/>
      <c r="L366" s="134"/>
      <c r="M366" s="134"/>
      <c r="N366" s="134"/>
      <c r="O366" s="134"/>
      <c r="P366" s="134"/>
      <c r="Z366" s="1434"/>
      <c r="AA366" s="1434"/>
    </row>
    <row r="367" spans="1:27" ht="12.75" customHeight="1" x14ac:dyDescent="0.25">
      <c r="A367" s="1442"/>
      <c r="D367" s="1472"/>
      <c r="E367" s="549" t="s">
        <v>1894</v>
      </c>
      <c r="F367" s="155"/>
      <c r="I367" s="134"/>
      <c r="J367" s="134"/>
      <c r="K367" s="134"/>
      <c r="L367" s="134"/>
      <c r="M367" s="134"/>
      <c r="N367" s="134"/>
      <c r="O367" s="134"/>
      <c r="P367" s="134"/>
      <c r="Z367" s="1434"/>
      <c r="AA367" s="1434"/>
    </row>
    <row r="368" spans="1:27" ht="12.75" customHeight="1" x14ac:dyDescent="0.25">
      <c r="A368" s="1442"/>
      <c r="B368" s="1436"/>
      <c r="D368" s="1434"/>
      <c r="F368" s="1437">
        <v>42100</v>
      </c>
      <c r="G368" s="1434" t="s">
        <v>1840</v>
      </c>
      <c r="I368" s="134"/>
      <c r="J368" s="134">
        <v>1364</v>
      </c>
      <c r="K368" s="134">
        <f t="shared" ref="K368:O371" si="171">ROUND(J368*S$2,0)</f>
        <v>1399</v>
      </c>
      <c r="L368" s="134">
        <f t="shared" si="171"/>
        <v>1428</v>
      </c>
      <c r="M368" s="134">
        <f t="shared" si="171"/>
        <v>1461</v>
      </c>
      <c r="N368" s="134">
        <f t="shared" si="171"/>
        <v>1495</v>
      </c>
      <c r="O368" s="134">
        <f t="shared" si="171"/>
        <v>1529</v>
      </c>
      <c r="P368" s="134"/>
      <c r="Z368" s="1434"/>
      <c r="AA368" s="1434"/>
    </row>
    <row r="369" spans="1:16" ht="12.75" customHeight="1" x14ac:dyDescent="0.25">
      <c r="A369" s="1442"/>
      <c r="B369" s="1436"/>
      <c r="D369" s="1434"/>
      <c r="F369" s="1437">
        <v>43803</v>
      </c>
      <c r="G369" s="1434" t="s">
        <v>1831</v>
      </c>
      <c r="I369" s="134"/>
      <c r="J369" s="134">
        <v>4072</v>
      </c>
      <c r="K369" s="134">
        <f t="shared" si="171"/>
        <v>4178</v>
      </c>
      <c r="L369" s="134">
        <f t="shared" si="171"/>
        <v>4266</v>
      </c>
      <c r="M369" s="134">
        <f t="shared" si="171"/>
        <v>4364</v>
      </c>
      <c r="N369" s="134">
        <f t="shared" si="171"/>
        <v>4464</v>
      </c>
      <c r="O369" s="134">
        <f t="shared" si="171"/>
        <v>4567</v>
      </c>
      <c r="P369" s="134"/>
    </row>
    <row r="370" spans="1:16" ht="12.75" customHeight="1" x14ac:dyDescent="0.25">
      <c r="A370" s="1442"/>
      <c r="B370" s="1436"/>
      <c r="D370" s="1434"/>
      <c r="F370" s="1437">
        <v>43806</v>
      </c>
      <c r="G370" s="1434" t="s">
        <v>1882</v>
      </c>
      <c r="I370" s="134"/>
      <c r="J370" s="134">
        <v>739</v>
      </c>
      <c r="K370" s="134">
        <f t="shared" si="171"/>
        <v>758</v>
      </c>
      <c r="L370" s="134">
        <f t="shared" si="171"/>
        <v>774</v>
      </c>
      <c r="M370" s="134">
        <f t="shared" si="171"/>
        <v>792</v>
      </c>
      <c r="N370" s="134">
        <f t="shared" si="171"/>
        <v>810</v>
      </c>
      <c r="O370" s="134">
        <f t="shared" si="171"/>
        <v>829</v>
      </c>
      <c r="P370" s="134"/>
    </row>
    <row r="371" spans="1:16" ht="12.75" customHeight="1" x14ac:dyDescent="0.25">
      <c r="A371" s="1442"/>
      <c r="B371" s="1436"/>
      <c r="D371" s="1434"/>
      <c r="F371" s="1437">
        <v>43812</v>
      </c>
      <c r="G371" s="1434" t="s">
        <v>535</v>
      </c>
      <c r="I371" s="134"/>
      <c r="J371" s="134">
        <v>347</v>
      </c>
      <c r="K371" s="134">
        <f t="shared" si="171"/>
        <v>356</v>
      </c>
      <c r="L371" s="134">
        <f t="shared" si="171"/>
        <v>363</v>
      </c>
      <c r="M371" s="134">
        <f t="shared" si="171"/>
        <v>371</v>
      </c>
      <c r="N371" s="134">
        <f t="shared" si="171"/>
        <v>380</v>
      </c>
      <c r="O371" s="134">
        <f t="shared" si="171"/>
        <v>389</v>
      </c>
      <c r="P371" s="134"/>
    </row>
    <row r="372" spans="1:16" ht="12.75" customHeight="1" x14ac:dyDescent="0.25">
      <c r="A372" s="1442"/>
      <c r="D372" s="1461"/>
      <c r="E372" s="1461"/>
      <c r="F372" s="1461"/>
      <c r="G372" s="549" t="s">
        <v>536</v>
      </c>
      <c r="H372" s="549"/>
      <c r="I372" s="1455"/>
      <c r="J372" s="1831">
        <v>6522</v>
      </c>
      <c r="K372" s="1831">
        <f>SUM(K368:K371)</f>
        <v>6691</v>
      </c>
      <c r="L372" s="1831">
        <f>SUM(L368:L371)</f>
        <v>6831</v>
      </c>
      <c r="M372" s="1831">
        <f>SUM(M368:M371)</f>
        <v>6988</v>
      </c>
      <c r="N372" s="1831">
        <f>SUM(N368:N371)</f>
        <v>7149</v>
      </c>
      <c r="O372" s="1831">
        <f>SUM(O368:O371)</f>
        <v>7314</v>
      </c>
      <c r="P372" s="134"/>
    </row>
    <row r="373" spans="1:16" ht="12.75" customHeight="1" x14ac:dyDescent="0.25">
      <c r="A373" s="1442"/>
      <c r="D373" s="1461"/>
      <c r="E373" s="1461"/>
      <c r="F373" s="1461"/>
      <c r="G373" s="549"/>
      <c r="H373" s="549"/>
      <c r="I373" s="1455"/>
      <c r="J373" s="1455"/>
      <c r="K373" s="1455"/>
      <c r="L373" s="1455"/>
      <c r="M373" s="1455"/>
      <c r="N373" s="1455"/>
      <c r="O373" s="1455"/>
      <c r="P373" s="134"/>
    </row>
    <row r="374" spans="1:16" ht="12.75" customHeight="1" x14ac:dyDescent="0.25">
      <c r="A374" s="1442"/>
      <c r="D374" s="1461"/>
      <c r="E374" s="1461"/>
      <c r="F374" s="1461"/>
      <c r="G374" s="549"/>
      <c r="H374" s="549"/>
      <c r="I374" s="1455"/>
      <c r="J374" s="1455"/>
      <c r="K374" s="1455"/>
      <c r="L374" s="1455"/>
      <c r="M374" s="1455"/>
      <c r="N374" s="1455"/>
      <c r="O374" s="1455"/>
      <c r="P374" s="134"/>
    </row>
    <row r="375" spans="1:16" ht="12.75" customHeight="1" x14ac:dyDescent="0.25">
      <c r="A375" s="1442"/>
      <c r="D375" s="1442"/>
      <c r="I375" s="134"/>
      <c r="J375" s="1455"/>
      <c r="K375" s="1455"/>
      <c r="L375" s="1455"/>
      <c r="M375" s="1455"/>
      <c r="N375" s="1455"/>
      <c r="O375" s="1455"/>
      <c r="P375" s="134"/>
    </row>
    <row r="376" spans="1:16" ht="12.75" customHeight="1" x14ac:dyDescent="0.25">
      <c r="A376" s="1442"/>
      <c r="P376" s="134"/>
    </row>
    <row r="377" spans="1:16" ht="12.75" customHeight="1" x14ac:dyDescent="0.25">
      <c r="A377" s="1442"/>
      <c r="P377" s="134"/>
    </row>
    <row r="378" spans="1:16" ht="12.75" customHeight="1" x14ac:dyDescent="0.25">
      <c r="A378" s="1442"/>
      <c r="P378" s="134"/>
    </row>
    <row r="379" spans="1:16" ht="12.75" customHeight="1" x14ac:dyDescent="0.25">
      <c r="A379" s="1442"/>
      <c r="P379" s="134"/>
    </row>
    <row r="380" spans="1:16" ht="12.75" customHeight="1" x14ac:dyDescent="0.25">
      <c r="A380" s="1442"/>
      <c r="P380" s="134"/>
    </row>
    <row r="381" spans="1:16" ht="12.75" customHeight="1" x14ac:dyDescent="0.25">
      <c r="A381" s="1442"/>
      <c r="P381" s="134"/>
    </row>
    <row r="382" spans="1:16" ht="12.75" customHeight="1" x14ac:dyDescent="0.25">
      <c r="A382" s="1442"/>
      <c r="P382" s="134"/>
    </row>
    <row r="383" spans="1:16" ht="12.75" customHeight="1" x14ac:dyDescent="0.25">
      <c r="A383" s="1442"/>
      <c r="P383" s="134"/>
    </row>
    <row r="384" spans="1:16" ht="12.75" customHeight="1" x14ac:dyDescent="0.25">
      <c r="A384" s="1442"/>
      <c r="P384" s="134"/>
    </row>
    <row r="385" spans="1:16" ht="12.75" customHeight="1" x14ac:dyDescent="0.25">
      <c r="A385" s="1442"/>
      <c r="P385" s="134"/>
    </row>
    <row r="386" spans="1:16" ht="12.75" customHeight="1" x14ac:dyDescent="0.25">
      <c r="A386" s="1442"/>
      <c r="P386" s="134"/>
    </row>
    <row r="387" spans="1:16" ht="12.75" customHeight="1" x14ac:dyDescent="0.25">
      <c r="A387" s="1442"/>
      <c r="P387" s="134"/>
    </row>
    <row r="388" spans="1:16" ht="12.75" customHeight="1" x14ac:dyDescent="0.25">
      <c r="A388" s="1442"/>
    </row>
    <row r="389" spans="1:16" ht="12.75" customHeight="1" x14ac:dyDescent="0.25">
      <c r="A389" s="1442"/>
      <c r="D389" s="1442"/>
      <c r="E389" s="549"/>
      <c r="G389" s="794"/>
      <c r="I389" s="134"/>
      <c r="J389" s="134"/>
      <c r="K389" s="134"/>
      <c r="L389" s="134"/>
      <c r="M389" s="134"/>
      <c r="N389" s="134"/>
      <c r="O389" s="134"/>
    </row>
    <row r="390" spans="1:16" ht="12.75" customHeight="1" x14ac:dyDescent="0.25">
      <c r="A390" s="1442"/>
      <c r="D390" s="1442"/>
      <c r="I390" s="134"/>
      <c r="J390" s="134"/>
      <c r="K390" s="134"/>
      <c r="L390" s="134"/>
      <c r="M390" s="134"/>
      <c r="N390" s="134"/>
      <c r="O390" s="134"/>
    </row>
    <row r="391" spans="1:16" ht="12.75" customHeight="1" x14ac:dyDescent="0.25">
      <c r="J391" s="1481"/>
      <c r="K391" s="1481"/>
      <c r="L391" s="1481"/>
      <c r="M391" s="1481"/>
      <c r="N391" s="1481"/>
      <c r="O391" s="1481"/>
    </row>
    <row r="392" spans="1:16" ht="12.75" customHeight="1" x14ac:dyDescent="0.25">
      <c r="J392" s="1481"/>
      <c r="K392" s="1481"/>
      <c r="L392" s="1481"/>
      <c r="M392" s="1481"/>
      <c r="N392" s="1481"/>
      <c r="O392" s="1481"/>
    </row>
    <row r="393" spans="1:16" ht="12.75" customHeight="1" x14ac:dyDescent="0.25">
      <c r="J393" s="1481"/>
      <c r="K393" s="1481"/>
      <c r="L393" s="1481"/>
      <c r="M393" s="1481"/>
      <c r="N393" s="1481"/>
      <c r="O393" s="1481"/>
    </row>
    <row r="394" spans="1:16" ht="12.75" customHeight="1" x14ac:dyDescent="0.25">
      <c r="J394" s="1481"/>
      <c r="K394" s="1481"/>
      <c r="L394" s="1481"/>
      <c r="M394" s="1481"/>
      <c r="N394" s="1481"/>
      <c r="O394" s="1481"/>
    </row>
    <row r="395" spans="1:16" ht="12.75" customHeight="1" x14ac:dyDescent="0.25">
      <c r="J395" s="1481"/>
      <c r="K395" s="1481"/>
      <c r="L395" s="1481"/>
      <c r="M395" s="1481"/>
      <c r="N395" s="1481"/>
      <c r="O395" s="1481"/>
    </row>
    <row r="396" spans="1:16" ht="12.75" customHeight="1" x14ac:dyDescent="0.25">
      <c r="J396" s="1481"/>
      <c r="K396" s="1481"/>
      <c r="L396" s="1481"/>
      <c r="M396" s="1481"/>
      <c r="N396" s="1481"/>
      <c r="O396" s="1481"/>
    </row>
    <row r="397" spans="1:16" ht="12.75" customHeight="1" x14ac:dyDescent="0.25">
      <c r="J397" s="1481"/>
      <c r="K397" s="1481"/>
      <c r="L397" s="1481"/>
      <c r="M397" s="1481"/>
      <c r="N397" s="1481"/>
      <c r="O397" s="1481"/>
    </row>
    <row r="398" spans="1:16" ht="12.75" customHeight="1" x14ac:dyDescent="0.25">
      <c r="J398" s="1481"/>
      <c r="K398" s="1481"/>
      <c r="L398" s="1481"/>
      <c r="M398" s="1481"/>
      <c r="N398" s="1481"/>
      <c r="O398" s="1481"/>
    </row>
    <row r="399" spans="1:16" ht="12.75" customHeight="1" x14ac:dyDescent="0.25">
      <c r="J399" s="1481"/>
      <c r="K399" s="1481"/>
      <c r="L399" s="1481"/>
      <c r="M399" s="1481"/>
      <c r="N399" s="1481"/>
      <c r="O399" s="1481"/>
    </row>
    <row r="400" spans="1:16" ht="12.75" customHeight="1" x14ac:dyDescent="0.25">
      <c r="J400" s="1481"/>
      <c r="K400" s="1481"/>
      <c r="L400" s="1481"/>
      <c r="M400" s="1481"/>
      <c r="N400" s="1481"/>
      <c r="O400" s="1481"/>
    </row>
    <row r="401" spans="9:15" ht="12.75" customHeight="1" x14ac:dyDescent="0.25">
      <c r="J401" s="1481"/>
      <c r="K401" s="1481"/>
      <c r="L401" s="1481"/>
      <c r="M401" s="1481"/>
      <c r="N401" s="1481"/>
      <c r="O401" s="1481"/>
    </row>
    <row r="402" spans="9:15" ht="12.75" customHeight="1" x14ac:dyDescent="0.25">
      <c r="I402" s="993"/>
      <c r="J402" s="1481"/>
      <c r="K402" s="1481"/>
      <c r="L402" s="1481"/>
      <c r="M402" s="1481"/>
      <c r="N402" s="1481"/>
      <c r="O402" s="1481"/>
    </row>
    <row r="403" spans="9:15" ht="12.75" customHeight="1" x14ac:dyDescent="0.25">
      <c r="J403" s="1481"/>
      <c r="K403" s="1481"/>
      <c r="L403" s="1481"/>
      <c r="M403" s="1481"/>
      <c r="N403" s="1481"/>
      <c r="O403" s="1481"/>
    </row>
    <row r="404" spans="9:15" ht="12.75" customHeight="1" x14ac:dyDescent="0.25">
      <c r="J404" s="1481"/>
      <c r="K404" s="1481"/>
      <c r="L404" s="1481"/>
      <c r="M404" s="1481"/>
      <c r="N404" s="1481"/>
      <c r="O404" s="1481"/>
    </row>
    <row r="405" spans="9:15" ht="12.75" customHeight="1" x14ac:dyDescent="0.25">
      <c r="J405" s="1481"/>
      <c r="K405" s="1481"/>
      <c r="L405" s="1481"/>
      <c r="M405" s="1481"/>
      <c r="N405" s="1481"/>
      <c r="O405" s="1481"/>
    </row>
    <row r="406" spans="9:15" ht="12.75" customHeight="1" x14ac:dyDescent="0.25">
      <c r="J406" s="1481"/>
      <c r="K406" s="1481"/>
      <c r="L406" s="1481"/>
      <c r="M406" s="1481"/>
      <c r="N406" s="1481"/>
      <c r="O406" s="1481"/>
    </row>
    <row r="407" spans="9:15" ht="12.75" customHeight="1" x14ac:dyDescent="0.25">
      <c r="J407" s="1481"/>
      <c r="K407" s="1481"/>
      <c r="L407" s="1481"/>
      <c r="M407" s="1481"/>
      <c r="N407" s="1481"/>
      <c r="O407" s="1481"/>
    </row>
    <row r="408" spans="9:15" ht="12.75" customHeight="1" x14ac:dyDescent="0.25">
      <c r="J408" s="1481"/>
      <c r="K408" s="1481"/>
      <c r="L408" s="1481"/>
      <c r="M408" s="1481"/>
      <c r="N408" s="1481"/>
      <c r="O408" s="1481"/>
    </row>
    <row r="409" spans="9:15" ht="12.75" customHeight="1" x14ac:dyDescent="0.25">
      <c r="J409" s="1481"/>
      <c r="K409" s="1481"/>
      <c r="L409" s="1481"/>
      <c r="M409" s="1481"/>
      <c r="N409" s="1481"/>
      <c r="O409" s="1481"/>
    </row>
    <row r="410" spans="9:15" ht="12.75" customHeight="1" x14ac:dyDescent="0.25">
      <c r="J410" s="1481"/>
      <c r="K410" s="1481"/>
      <c r="L410" s="1481"/>
      <c r="M410" s="1481"/>
      <c r="N410" s="1481"/>
      <c r="O410" s="1481"/>
    </row>
    <row r="411" spans="9:15" ht="12.75" customHeight="1" x14ac:dyDescent="0.25">
      <c r="J411" s="1481"/>
      <c r="K411" s="1481"/>
      <c r="L411" s="1481"/>
      <c r="M411" s="1481"/>
      <c r="N411" s="1481"/>
      <c r="O411" s="1481"/>
    </row>
    <row r="412" spans="9:15" ht="12.75" customHeight="1" x14ac:dyDescent="0.25">
      <c r="J412" s="1481"/>
      <c r="K412" s="1481"/>
      <c r="L412" s="1481"/>
      <c r="M412" s="1481"/>
      <c r="N412" s="1481"/>
      <c r="O412" s="1481"/>
    </row>
    <row r="413" spans="9:15" ht="12.75" customHeight="1" x14ac:dyDescent="0.25">
      <c r="J413" s="1481"/>
      <c r="K413" s="1481"/>
      <c r="L413" s="1481"/>
      <c r="M413" s="1481"/>
      <c r="N413" s="1481"/>
      <c r="O413" s="1481"/>
    </row>
    <row r="414" spans="9:15" ht="12.75" customHeight="1" x14ac:dyDescent="0.25">
      <c r="J414" s="1481"/>
      <c r="K414" s="1481"/>
      <c r="L414" s="1481"/>
      <c r="M414" s="1481"/>
      <c r="N414" s="1481"/>
      <c r="O414" s="1481"/>
    </row>
    <row r="415" spans="9:15" ht="12.75" customHeight="1" x14ac:dyDescent="0.25">
      <c r="J415" s="1481"/>
      <c r="K415" s="1481"/>
      <c r="L415" s="1481"/>
      <c r="M415" s="1481"/>
      <c r="N415" s="1481"/>
      <c r="O415" s="1481"/>
    </row>
    <row r="416" spans="9:15" ht="12.75" customHeight="1" x14ac:dyDescent="0.25">
      <c r="J416" s="1481"/>
      <c r="K416" s="1481"/>
      <c r="L416" s="1481"/>
      <c r="M416" s="1481"/>
      <c r="N416" s="1481"/>
      <c r="O416" s="1481"/>
    </row>
    <row r="417" spans="10:15" ht="12.75" customHeight="1" x14ac:dyDescent="0.25">
      <c r="J417" s="1481"/>
      <c r="K417" s="1481"/>
      <c r="L417" s="1481"/>
      <c r="M417" s="1481"/>
      <c r="N417" s="1481"/>
      <c r="O417" s="1481"/>
    </row>
    <row r="418" spans="10:15" ht="12.75" customHeight="1" x14ac:dyDescent="0.25">
      <c r="J418" s="1481"/>
      <c r="K418" s="1481"/>
      <c r="L418" s="1481"/>
      <c r="M418" s="1481"/>
      <c r="N418" s="1481"/>
      <c r="O418" s="1481"/>
    </row>
    <row r="419" spans="10:15" ht="12.75" customHeight="1" x14ac:dyDescent="0.25">
      <c r="J419" s="1481"/>
      <c r="K419" s="1481"/>
      <c r="L419" s="1481"/>
      <c r="M419" s="1481"/>
      <c r="N419" s="1481"/>
      <c r="O419" s="1481"/>
    </row>
    <row r="420" spans="10:15" ht="12.75" customHeight="1" x14ac:dyDescent="0.25">
      <c r="J420" s="1481"/>
      <c r="K420" s="1481"/>
      <c r="L420" s="1481"/>
      <c r="M420" s="1481"/>
      <c r="N420" s="1481"/>
      <c r="O420" s="1481"/>
    </row>
    <row r="421" spans="10:15" ht="12.75" customHeight="1" x14ac:dyDescent="0.25">
      <c r="J421" s="1481"/>
      <c r="K421" s="1481"/>
      <c r="L421" s="1481"/>
      <c r="M421" s="1481"/>
      <c r="N421" s="1481"/>
      <c r="O421" s="1481"/>
    </row>
    <row r="422" spans="10:15" ht="12.75" customHeight="1" x14ac:dyDescent="0.25">
      <c r="J422" s="1481"/>
      <c r="K422" s="1481"/>
      <c r="L422" s="1481"/>
      <c r="M422" s="1481"/>
      <c r="N422" s="1481"/>
      <c r="O422" s="1481"/>
    </row>
    <row r="423" spans="10:15" ht="12.75" customHeight="1" x14ac:dyDescent="0.25">
      <c r="J423" s="1481"/>
      <c r="K423" s="1481"/>
      <c r="L423" s="1481"/>
      <c r="M423" s="1481"/>
      <c r="N423" s="1481"/>
      <c r="O423" s="1481"/>
    </row>
    <row r="424" spans="10:15" ht="12.75" customHeight="1" x14ac:dyDescent="0.25">
      <c r="J424" s="1481"/>
      <c r="K424" s="1481"/>
      <c r="L424" s="1481"/>
      <c r="M424" s="1481"/>
      <c r="N424" s="1481"/>
      <c r="O424" s="1481"/>
    </row>
    <row r="425" spans="10:15" ht="12.75" customHeight="1" x14ac:dyDescent="0.25">
      <c r="J425" s="1481"/>
      <c r="K425" s="1481"/>
      <c r="L425" s="1481"/>
      <c r="M425" s="1481"/>
      <c r="N425" s="1481"/>
      <c r="O425" s="1481"/>
    </row>
    <row r="426" spans="10:15" ht="12.75" customHeight="1" x14ac:dyDescent="0.25">
      <c r="J426" s="1481"/>
      <c r="K426" s="1481"/>
      <c r="L426" s="1481"/>
      <c r="M426" s="1481"/>
      <c r="N426" s="1481"/>
      <c r="O426" s="1481"/>
    </row>
    <row r="427" spans="10:15" ht="12.75" customHeight="1" x14ac:dyDescent="0.25">
      <c r="J427" s="1481"/>
      <c r="K427" s="1481"/>
      <c r="L427" s="1481"/>
      <c r="M427" s="1481"/>
      <c r="N427" s="1481"/>
      <c r="O427" s="1481"/>
    </row>
    <row r="428" spans="10:15" ht="12.75" customHeight="1" x14ac:dyDescent="0.25">
      <c r="J428" s="1481"/>
      <c r="K428" s="1481"/>
      <c r="L428" s="1481"/>
      <c r="M428" s="1481"/>
      <c r="N428" s="1481"/>
      <c r="O428" s="1481"/>
    </row>
    <row r="429" spans="10:15" ht="12.75" customHeight="1" x14ac:dyDescent="0.25">
      <c r="J429" s="1481"/>
      <c r="K429" s="1481"/>
      <c r="L429" s="1481"/>
      <c r="M429" s="1481"/>
      <c r="N429" s="1481"/>
      <c r="O429" s="1481"/>
    </row>
    <row r="430" spans="10:15" ht="12.75" customHeight="1" x14ac:dyDescent="0.25">
      <c r="J430" s="1481"/>
      <c r="K430" s="1481"/>
      <c r="L430" s="1481"/>
      <c r="M430" s="1481"/>
      <c r="N430" s="1481"/>
      <c r="O430" s="1481"/>
    </row>
    <row r="431" spans="10:15" ht="12.75" customHeight="1" x14ac:dyDescent="0.25">
      <c r="J431" s="1481"/>
      <c r="K431" s="1481"/>
      <c r="L431" s="1481"/>
      <c r="M431" s="1481"/>
      <c r="N431" s="1481"/>
      <c r="O431" s="1481"/>
    </row>
    <row r="432" spans="10:15" ht="12.75" customHeight="1" x14ac:dyDescent="0.25">
      <c r="J432" s="1481"/>
      <c r="K432" s="1481"/>
      <c r="L432" s="1481"/>
      <c r="M432" s="1481"/>
      <c r="N432" s="1481"/>
      <c r="O432" s="1481"/>
    </row>
    <row r="433" spans="10:15" ht="12.75" customHeight="1" x14ac:dyDescent="0.25">
      <c r="J433" s="1481"/>
      <c r="K433" s="1481"/>
      <c r="L433" s="1481"/>
      <c r="M433" s="1481"/>
      <c r="N433" s="1481"/>
      <c r="O433" s="1481"/>
    </row>
    <row r="434" spans="10:15" ht="12.75" customHeight="1" x14ac:dyDescent="0.25">
      <c r="J434" s="1481"/>
      <c r="K434" s="1481"/>
      <c r="L434" s="1481"/>
      <c r="M434" s="1481"/>
      <c r="N434" s="1481"/>
      <c r="O434" s="1481"/>
    </row>
    <row r="435" spans="10:15" ht="12.75" customHeight="1" x14ac:dyDescent="0.25">
      <c r="J435" s="1481"/>
      <c r="K435" s="1481"/>
      <c r="L435" s="1481"/>
      <c r="M435" s="1481"/>
      <c r="N435" s="1481"/>
      <c r="O435" s="1481"/>
    </row>
    <row r="436" spans="10:15" ht="12.75" customHeight="1" x14ac:dyDescent="0.25">
      <c r="J436" s="1481"/>
      <c r="K436" s="1481"/>
      <c r="L436" s="1481"/>
      <c r="M436" s="1481"/>
      <c r="N436" s="1481"/>
      <c r="O436" s="1481"/>
    </row>
    <row r="437" spans="10:15" ht="12.75" customHeight="1" x14ac:dyDescent="0.25">
      <c r="J437" s="1481"/>
      <c r="K437" s="1481"/>
      <c r="L437" s="1481"/>
      <c r="M437" s="1481"/>
      <c r="N437" s="1481"/>
      <c r="O437" s="1481"/>
    </row>
    <row r="438" spans="10:15" ht="12.75" customHeight="1" x14ac:dyDescent="0.25">
      <c r="J438" s="1481"/>
      <c r="K438" s="1481"/>
      <c r="L438" s="1481"/>
      <c r="M438" s="1481"/>
      <c r="N438" s="1481"/>
      <c r="O438" s="1481"/>
    </row>
    <row r="439" spans="10:15" ht="12.75" customHeight="1" x14ac:dyDescent="0.25">
      <c r="J439" s="1481"/>
      <c r="K439" s="1481"/>
      <c r="L439" s="1481"/>
      <c r="M439" s="1481"/>
      <c r="N439" s="1481"/>
      <c r="O439" s="1481"/>
    </row>
    <row r="440" spans="10:15" ht="12.75" customHeight="1" x14ac:dyDescent="0.25">
      <c r="J440" s="1481"/>
      <c r="K440" s="1481"/>
      <c r="L440" s="1481"/>
      <c r="M440" s="1481"/>
      <c r="N440" s="1481"/>
      <c r="O440" s="1481"/>
    </row>
    <row r="441" spans="10:15" ht="12.75" customHeight="1" x14ac:dyDescent="0.25">
      <c r="J441" s="1481"/>
      <c r="K441" s="1481"/>
      <c r="L441" s="1481"/>
      <c r="M441" s="1481"/>
      <c r="N441" s="1481"/>
      <c r="O441" s="1481"/>
    </row>
    <row r="442" spans="10:15" ht="12.75" customHeight="1" x14ac:dyDescent="0.25">
      <c r="J442" s="1481"/>
      <c r="K442" s="1481"/>
      <c r="L442" s="1481"/>
      <c r="M442" s="1481"/>
      <c r="N442" s="1481"/>
      <c r="O442" s="1481"/>
    </row>
    <row r="443" spans="10:15" ht="12.75" customHeight="1" x14ac:dyDescent="0.25">
      <c r="J443" s="1481"/>
      <c r="K443" s="1481"/>
      <c r="L443" s="1481"/>
      <c r="M443" s="1481"/>
      <c r="N443" s="1481"/>
      <c r="O443" s="1481"/>
    </row>
    <row r="444" spans="10:15" ht="12.75" customHeight="1" x14ac:dyDescent="0.25">
      <c r="J444" s="1481"/>
      <c r="K444" s="1481"/>
      <c r="L444" s="1481"/>
      <c r="M444" s="1481"/>
      <c r="N444" s="1481"/>
      <c r="O444" s="1481"/>
    </row>
    <row r="445" spans="10:15" ht="12.75" customHeight="1" x14ac:dyDescent="0.25">
      <c r="J445" s="1481"/>
      <c r="K445" s="1481"/>
      <c r="L445" s="1481"/>
      <c r="M445" s="1481"/>
      <c r="N445" s="1481"/>
      <c r="O445" s="1481"/>
    </row>
    <row r="446" spans="10:15" ht="12.75" customHeight="1" x14ac:dyDescent="0.25">
      <c r="J446" s="1481"/>
      <c r="K446" s="1481"/>
      <c r="L446" s="1481"/>
      <c r="M446" s="1481"/>
      <c r="N446" s="1481"/>
      <c r="O446" s="1481"/>
    </row>
    <row r="447" spans="10:15" ht="12.75" customHeight="1" x14ac:dyDescent="0.25">
      <c r="J447" s="1481"/>
      <c r="K447" s="1481"/>
      <c r="L447" s="1481"/>
      <c r="M447" s="1481"/>
      <c r="N447" s="1481"/>
      <c r="O447" s="1481"/>
    </row>
    <row r="448" spans="10:15" ht="12.75" customHeight="1" x14ac:dyDescent="0.25">
      <c r="J448" s="1481"/>
      <c r="K448" s="1481"/>
      <c r="L448" s="1481"/>
      <c r="M448" s="1481"/>
      <c r="N448" s="1481"/>
      <c r="O448" s="1481"/>
    </row>
    <row r="449" spans="10:15" ht="12.75" customHeight="1" x14ac:dyDescent="0.25">
      <c r="J449" s="1481"/>
      <c r="K449" s="1481"/>
      <c r="L449" s="1481"/>
      <c r="M449" s="1481"/>
      <c r="N449" s="1481"/>
      <c r="O449" s="1481"/>
    </row>
    <row r="450" spans="10:15" ht="12.75" customHeight="1" x14ac:dyDescent="0.25">
      <c r="J450" s="1481"/>
      <c r="K450" s="1481"/>
      <c r="L450" s="1481"/>
      <c r="M450" s="1481"/>
      <c r="N450" s="1481"/>
      <c r="O450" s="1481"/>
    </row>
    <row r="451" spans="10:15" ht="12.75" customHeight="1" x14ac:dyDescent="0.25">
      <c r="J451" s="1481"/>
      <c r="K451" s="1481"/>
      <c r="L451" s="1481"/>
      <c r="M451" s="1481"/>
      <c r="N451" s="1481"/>
      <c r="O451" s="1481"/>
    </row>
    <row r="452" spans="10:15" ht="12.75" customHeight="1" x14ac:dyDescent="0.25">
      <c r="J452" s="1481"/>
      <c r="K452" s="1481"/>
      <c r="L452" s="1481"/>
      <c r="M452" s="1481"/>
      <c r="N452" s="1481"/>
      <c r="O452" s="1481"/>
    </row>
    <row r="453" spans="10:15" ht="12.75" customHeight="1" x14ac:dyDescent="0.25">
      <c r="J453" s="1481"/>
      <c r="K453" s="1481"/>
      <c r="L453" s="1481"/>
      <c r="M453" s="1481"/>
      <c r="N453" s="1481"/>
      <c r="O453" s="1481"/>
    </row>
    <row r="454" spans="10:15" ht="12.75" customHeight="1" x14ac:dyDescent="0.25">
      <c r="J454" s="1481"/>
      <c r="K454" s="1481"/>
      <c r="L454" s="1481"/>
      <c r="M454" s="1481"/>
      <c r="N454" s="1481"/>
      <c r="O454" s="1481"/>
    </row>
    <row r="455" spans="10:15" ht="12.75" customHeight="1" x14ac:dyDescent="0.25">
      <c r="J455" s="1481"/>
      <c r="K455" s="1481"/>
      <c r="L455" s="1481"/>
      <c r="M455" s="1481"/>
      <c r="N455" s="1481"/>
      <c r="O455" s="1481"/>
    </row>
    <row r="456" spans="10:15" ht="12.75" customHeight="1" x14ac:dyDescent="0.25">
      <c r="J456" s="1481"/>
      <c r="K456" s="1481"/>
      <c r="L456" s="1481"/>
      <c r="M456" s="1481"/>
      <c r="N456" s="1481"/>
      <c r="O456" s="1481"/>
    </row>
    <row r="457" spans="10:15" ht="12.75" customHeight="1" x14ac:dyDescent="0.25">
      <c r="J457" s="1481"/>
      <c r="K457" s="1481"/>
      <c r="L457" s="1481"/>
      <c r="M457" s="1481"/>
      <c r="N457" s="1481"/>
      <c r="O457" s="1481"/>
    </row>
    <row r="458" spans="10:15" ht="12.75" customHeight="1" x14ac:dyDescent="0.25">
      <c r="J458" s="1481"/>
      <c r="K458" s="1481"/>
      <c r="L458" s="1481"/>
      <c r="M458" s="1481"/>
      <c r="N458" s="1481"/>
      <c r="O458" s="1481"/>
    </row>
    <row r="459" spans="10:15" ht="12.75" customHeight="1" x14ac:dyDescent="0.25">
      <c r="J459" s="1481"/>
      <c r="K459" s="1481"/>
      <c r="L459" s="1481"/>
      <c r="M459" s="1481"/>
      <c r="N459" s="1481"/>
      <c r="O459" s="1481"/>
    </row>
    <row r="460" spans="10:15" ht="12.75" customHeight="1" x14ac:dyDescent="0.25">
      <c r="J460" s="1481"/>
      <c r="K460" s="1481"/>
      <c r="L460" s="1481"/>
      <c r="M460" s="1481"/>
      <c r="N460" s="1481"/>
      <c r="O460" s="1481"/>
    </row>
    <row r="461" spans="10:15" ht="12.75" customHeight="1" x14ac:dyDescent="0.25">
      <c r="J461" s="1481"/>
      <c r="K461" s="1481"/>
      <c r="L461" s="1481"/>
      <c r="M461" s="1481"/>
      <c r="N461" s="1481"/>
      <c r="O461" s="1481"/>
    </row>
    <row r="462" spans="10:15" ht="12.75" customHeight="1" x14ac:dyDescent="0.25">
      <c r="J462" s="1481"/>
      <c r="K462" s="1481"/>
      <c r="L462" s="1481"/>
      <c r="M462" s="1481"/>
      <c r="N462" s="1481"/>
      <c r="O462" s="1481"/>
    </row>
    <row r="463" spans="10:15" ht="12.75" customHeight="1" x14ac:dyDescent="0.25">
      <c r="J463" s="1481"/>
      <c r="K463" s="1481"/>
      <c r="L463" s="1481"/>
      <c r="M463" s="1481"/>
      <c r="N463" s="1481"/>
      <c r="O463" s="1481"/>
    </row>
    <row r="464" spans="10:15" ht="12.75" customHeight="1" x14ac:dyDescent="0.25">
      <c r="J464" s="1481"/>
      <c r="K464" s="1481"/>
      <c r="L464" s="1481"/>
      <c r="M464" s="1481"/>
      <c r="N464" s="1481"/>
      <c r="O464" s="1481"/>
    </row>
    <row r="465" spans="10:15" ht="12.75" customHeight="1" x14ac:dyDescent="0.25">
      <c r="J465" s="1481"/>
      <c r="K465" s="1481"/>
      <c r="L465" s="1481"/>
      <c r="M465" s="1481"/>
      <c r="N465" s="1481"/>
      <c r="O465" s="1481"/>
    </row>
    <row r="466" spans="10:15" ht="12.75" customHeight="1" x14ac:dyDescent="0.25">
      <c r="J466" s="1481"/>
      <c r="K466" s="1481"/>
      <c r="L466" s="1481"/>
      <c r="M466" s="1481"/>
      <c r="N466" s="1481"/>
      <c r="O466" s="1481"/>
    </row>
    <row r="467" spans="10:15" ht="12.75" customHeight="1" x14ac:dyDescent="0.25">
      <c r="J467" s="1481"/>
      <c r="K467" s="1481"/>
      <c r="L467" s="1481"/>
      <c r="M467" s="1481"/>
      <c r="N467" s="1481"/>
      <c r="O467" s="1481"/>
    </row>
    <row r="468" spans="10:15" ht="12.75" customHeight="1" x14ac:dyDescent="0.25">
      <c r="J468" s="1481"/>
      <c r="K468" s="1481"/>
      <c r="L468" s="1481"/>
      <c r="M468" s="1481"/>
      <c r="N468" s="1481"/>
      <c r="O468" s="1481"/>
    </row>
    <row r="469" spans="10:15" ht="12.75" customHeight="1" x14ac:dyDescent="0.25">
      <c r="J469" s="1481"/>
      <c r="K469" s="1481"/>
      <c r="L469" s="1481"/>
      <c r="M469" s="1481"/>
      <c r="N469" s="1481"/>
      <c r="O469" s="1481"/>
    </row>
    <row r="470" spans="10:15" ht="12.75" customHeight="1" x14ac:dyDescent="0.25">
      <c r="J470" s="1481"/>
      <c r="K470" s="1481"/>
      <c r="L470" s="1481"/>
      <c r="M470" s="1481"/>
      <c r="N470" s="1481"/>
      <c r="O470" s="1481"/>
    </row>
    <row r="471" spans="10:15" ht="12.75" customHeight="1" x14ac:dyDescent="0.25">
      <c r="J471" s="1481"/>
      <c r="K471" s="1481"/>
      <c r="L471" s="1481"/>
      <c r="M471" s="1481"/>
      <c r="N471" s="1481"/>
      <c r="O471" s="1481"/>
    </row>
    <row r="472" spans="10:15" ht="12.75" customHeight="1" x14ac:dyDescent="0.25">
      <c r="J472" s="1481"/>
      <c r="K472" s="1481"/>
      <c r="L472" s="1481"/>
      <c r="M472" s="1481"/>
      <c r="N472" s="1481"/>
      <c r="O472" s="1481"/>
    </row>
    <row r="473" spans="10:15" ht="12.75" customHeight="1" x14ac:dyDescent="0.25">
      <c r="J473" s="1481"/>
      <c r="K473" s="1481"/>
      <c r="L473" s="1481"/>
      <c r="M473" s="1481"/>
      <c r="N473" s="1481"/>
      <c r="O473" s="1481"/>
    </row>
    <row r="474" spans="10:15" ht="12.75" customHeight="1" x14ac:dyDescent="0.25">
      <c r="J474" s="1481"/>
      <c r="K474" s="1481"/>
      <c r="L474" s="1481"/>
      <c r="M474" s="1481"/>
      <c r="N474" s="1481"/>
      <c r="O474" s="1481"/>
    </row>
    <row r="475" spans="10:15" ht="12.75" customHeight="1" x14ac:dyDescent="0.25">
      <c r="J475" s="1481"/>
      <c r="K475" s="1481"/>
      <c r="L475" s="1481"/>
      <c r="M475" s="1481"/>
      <c r="N475" s="1481"/>
      <c r="O475" s="1481"/>
    </row>
    <row r="476" spans="10:15" ht="12.75" customHeight="1" x14ac:dyDescent="0.25">
      <c r="J476" s="1481"/>
      <c r="K476" s="1481"/>
      <c r="L476" s="1481"/>
      <c r="M476" s="1481"/>
      <c r="N476" s="1481"/>
      <c r="O476" s="1481"/>
    </row>
    <row r="477" spans="10:15" ht="12.75" customHeight="1" x14ac:dyDescent="0.25">
      <c r="J477" s="1481"/>
      <c r="K477" s="1481"/>
      <c r="L477" s="1481"/>
      <c r="M477" s="1481"/>
      <c r="N477" s="1481"/>
      <c r="O477" s="1481"/>
    </row>
    <row r="478" spans="10:15" ht="12.75" customHeight="1" x14ac:dyDescent="0.25">
      <c r="J478" s="1481"/>
      <c r="K478" s="1481"/>
      <c r="L478" s="1481"/>
      <c r="M478" s="1481"/>
      <c r="N478" s="1481"/>
      <c r="O478" s="1481"/>
    </row>
    <row r="479" spans="10:15" ht="12.75" customHeight="1" x14ac:dyDescent="0.25">
      <c r="J479" s="1481"/>
      <c r="K479" s="1481"/>
      <c r="L479" s="1481"/>
      <c r="M479" s="1481"/>
      <c r="N479" s="1481"/>
      <c r="O479" s="1481"/>
    </row>
    <row r="480" spans="10:15" ht="12.75" customHeight="1" x14ac:dyDescent="0.25">
      <c r="J480" s="1481"/>
      <c r="K480" s="1481"/>
      <c r="L480" s="1481"/>
      <c r="M480" s="1481"/>
      <c r="N480" s="1481"/>
      <c r="O480" s="1481"/>
    </row>
    <row r="481" spans="10:15" ht="12.75" customHeight="1" x14ac:dyDescent="0.25">
      <c r="J481" s="1481"/>
      <c r="K481" s="1481"/>
      <c r="L481" s="1481"/>
      <c r="M481" s="1481"/>
      <c r="N481" s="1481"/>
      <c r="O481" s="1481"/>
    </row>
    <row r="482" spans="10:15" ht="12.75" customHeight="1" x14ac:dyDescent="0.25">
      <c r="J482" s="1481"/>
      <c r="K482" s="1481"/>
      <c r="L482" s="1481"/>
      <c r="M482" s="1481"/>
      <c r="N482" s="1481"/>
      <c r="O482" s="1481"/>
    </row>
    <row r="483" spans="10:15" ht="12.75" customHeight="1" x14ac:dyDescent="0.25">
      <c r="J483" s="1481"/>
      <c r="K483" s="1481"/>
      <c r="L483" s="1481"/>
      <c r="M483" s="1481"/>
      <c r="N483" s="1481"/>
      <c r="O483" s="1481"/>
    </row>
    <row r="484" spans="10:15" ht="12.75" customHeight="1" x14ac:dyDescent="0.25">
      <c r="J484" s="1481"/>
      <c r="K484" s="1481"/>
      <c r="L484" s="1481"/>
      <c r="M484" s="1481"/>
      <c r="N484" s="1481"/>
      <c r="O484" s="1481"/>
    </row>
    <row r="485" spans="10:15" ht="12.75" customHeight="1" x14ac:dyDescent="0.25">
      <c r="J485" s="1481"/>
      <c r="K485" s="1481"/>
      <c r="L485" s="1481"/>
      <c r="M485" s="1481"/>
      <c r="N485" s="1481"/>
      <c r="O485" s="1481"/>
    </row>
    <row r="486" spans="10:15" ht="12.75" customHeight="1" x14ac:dyDescent="0.25">
      <c r="J486" s="1481"/>
      <c r="K486" s="1481"/>
      <c r="L486" s="1481"/>
      <c r="M486" s="1481"/>
      <c r="N486" s="1481"/>
      <c r="O486" s="1481"/>
    </row>
    <row r="487" spans="10:15" ht="12.75" customHeight="1" x14ac:dyDescent="0.25">
      <c r="J487" s="1481"/>
      <c r="K487" s="1481"/>
      <c r="L487" s="1481"/>
      <c r="M487" s="1481"/>
      <c r="N487" s="1481"/>
      <c r="O487" s="1481"/>
    </row>
    <row r="488" spans="10:15" ht="12.75" customHeight="1" x14ac:dyDescent="0.25">
      <c r="J488" s="1481"/>
      <c r="K488" s="1481"/>
      <c r="L488" s="1481"/>
      <c r="M488" s="1481"/>
      <c r="N488" s="1481"/>
      <c r="O488" s="1481"/>
    </row>
    <row r="489" spans="10:15" ht="12.75" customHeight="1" x14ac:dyDescent="0.25">
      <c r="J489" s="1481"/>
      <c r="K489" s="1481"/>
      <c r="L489" s="1481"/>
      <c r="M489" s="1481"/>
      <c r="N489" s="1481"/>
      <c r="O489" s="1481"/>
    </row>
    <row r="490" spans="10:15" ht="12.75" customHeight="1" x14ac:dyDescent="0.25">
      <c r="J490" s="1481"/>
      <c r="K490" s="1481"/>
      <c r="L490" s="1481"/>
      <c r="M490" s="1481"/>
      <c r="N490" s="1481"/>
      <c r="O490" s="1481"/>
    </row>
    <row r="491" spans="10:15" ht="12.75" customHeight="1" x14ac:dyDescent="0.25">
      <c r="J491" s="1481"/>
      <c r="K491" s="1481"/>
      <c r="L491" s="1481"/>
      <c r="M491" s="1481"/>
      <c r="N491" s="1481"/>
      <c r="O491" s="1481"/>
    </row>
    <row r="492" spans="10:15" ht="12.75" customHeight="1" x14ac:dyDescent="0.25">
      <c r="J492" s="1481"/>
      <c r="K492" s="1481"/>
      <c r="L492" s="1481"/>
      <c r="M492" s="1481"/>
      <c r="N492" s="1481"/>
      <c r="O492" s="1481"/>
    </row>
    <row r="493" spans="10:15" ht="12.75" customHeight="1" x14ac:dyDescent="0.25">
      <c r="J493" s="1481"/>
      <c r="K493" s="1481"/>
      <c r="L493" s="1481"/>
      <c r="M493" s="1481"/>
      <c r="N493" s="1481"/>
      <c r="O493" s="1481"/>
    </row>
    <row r="494" spans="10:15" ht="12.75" customHeight="1" x14ac:dyDescent="0.25">
      <c r="J494" s="1481"/>
      <c r="K494" s="1481"/>
      <c r="L494" s="1481"/>
      <c r="M494" s="1481"/>
      <c r="N494" s="1481"/>
      <c r="O494" s="1481"/>
    </row>
    <row r="495" spans="10:15" ht="12.75" customHeight="1" x14ac:dyDescent="0.25">
      <c r="J495" s="1481"/>
      <c r="K495" s="1481"/>
      <c r="L495" s="1481"/>
      <c r="M495" s="1481"/>
      <c r="N495" s="1481"/>
      <c r="O495" s="1481"/>
    </row>
    <row r="496" spans="10:15" ht="12.75" customHeight="1" x14ac:dyDescent="0.25">
      <c r="J496" s="1481"/>
      <c r="K496" s="1481"/>
      <c r="L496" s="1481"/>
      <c r="M496" s="1481"/>
      <c r="N496" s="1481"/>
      <c r="O496" s="1481"/>
    </row>
    <row r="497" spans="10:15" ht="12.75" customHeight="1" x14ac:dyDescent="0.25">
      <c r="J497" s="1481"/>
      <c r="K497" s="1481"/>
      <c r="L497" s="1481"/>
      <c r="M497" s="1481"/>
      <c r="N497" s="1481"/>
      <c r="O497" s="1481"/>
    </row>
    <row r="498" spans="10:15" ht="12.75" customHeight="1" x14ac:dyDescent="0.25">
      <c r="J498" s="1481"/>
      <c r="K498" s="1481"/>
      <c r="L498" s="1481"/>
      <c r="M498" s="1481"/>
      <c r="N498" s="1481"/>
      <c r="O498" s="1481"/>
    </row>
    <row r="499" spans="10:15" ht="12.75" customHeight="1" x14ac:dyDescent="0.25">
      <c r="J499" s="1481"/>
      <c r="K499" s="1481"/>
      <c r="L499" s="1481"/>
      <c r="M499" s="1481"/>
      <c r="N499" s="1481"/>
      <c r="O499" s="1481"/>
    </row>
    <row r="500" spans="10:15" ht="12.75" customHeight="1" x14ac:dyDescent="0.25">
      <c r="J500" s="1481"/>
      <c r="K500" s="1481"/>
      <c r="L500" s="1481"/>
      <c r="M500" s="1481"/>
      <c r="N500" s="1481"/>
      <c r="O500" s="1481"/>
    </row>
    <row r="501" spans="10:15" ht="12.75" customHeight="1" x14ac:dyDescent="0.25">
      <c r="J501" s="1481"/>
      <c r="K501" s="1481"/>
      <c r="L501" s="1481"/>
      <c r="M501" s="1481"/>
      <c r="N501" s="1481"/>
      <c r="O501" s="1481"/>
    </row>
    <row r="502" spans="10:15" ht="12.75" customHeight="1" x14ac:dyDescent="0.25">
      <c r="J502" s="1481"/>
      <c r="K502" s="1481"/>
      <c r="L502" s="1481"/>
      <c r="M502" s="1481"/>
      <c r="N502" s="1481"/>
      <c r="O502" s="1481"/>
    </row>
    <row r="503" spans="10:15" ht="12.75" customHeight="1" x14ac:dyDescent="0.25">
      <c r="J503" s="1481"/>
      <c r="K503" s="1481"/>
      <c r="L503" s="1481"/>
      <c r="M503" s="1481"/>
      <c r="N503" s="1481"/>
      <c r="O503" s="1481"/>
    </row>
    <row r="504" spans="10:15" ht="12.75" customHeight="1" x14ac:dyDescent="0.25">
      <c r="J504" s="1481"/>
      <c r="K504" s="1481"/>
      <c r="L504" s="1481"/>
      <c r="M504" s="1481"/>
      <c r="N504" s="1481"/>
      <c r="O504" s="1481"/>
    </row>
    <row r="505" spans="10:15" ht="12.75" customHeight="1" x14ac:dyDescent="0.25">
      <c r="J505" s="1481"/>
      <c r="K505" s="1481"/>
      <c r="L505" s="1481"/>
      <c r="M505" s="1481"/>
      <c r="N505" s="1481"/>
      <c r="O505" s="1481"/>
    </row>
    <row r="506" spans="10:15" ht="12.75" customHeight="1" x14ac:dyDescent="0.25">
      <c r="J506" s="1481"/>
      <c r="K506" s="1481"/>
      <c r="L506" s="1481"/>
      <c r="M506" s="1481"/>
      <c r="N506" s="1481"/>
      <c r="O506" s="1481"/>
    </row>
    <row r="507" spans="10:15" ht="12.75" customHeight="1" x14ac:dyDescent="0.25">
      <c r="J507" s="1481"/>
      <c r="K507" s="1481"/>
      <c r="L507" s="1481"/>
      <c r="M507" s="1481"/>
      <c r="N507" s="1481"/>
      <c r="O507" s="1481"/>
    </row>
    <row r="508" spans="10:15" ht="12.75" customHeight="1" x14ac:dyDescent="0.25">
      <c r="J508" s="1481"/>
      <c r="K508" s="1481"/>
      <c r="L508" s="1481"/>
      <c r="M508" s="1481"/>
      <c r="N508" s="1481"/>
      <c r="O508" s="1481"/>
    </row>
    <row r="509" spans="10:15" ht="12.75" customHeight="1" x14ac:dyDescent="0.25">
      <c r="J509" s="1481"/>
      <c r="K509" s="1481"/>
      <c r="L509" s="1481"/>
      <c r="M509" s="1481"/>
      <c r="N509" s="1481"/>
      <c r="O509" s="1481"/>
    </row>
    <row r="510" spans="10:15" ht="12.75" customHeight="1" x14ac:dyDescent="0.25">
      <c r="J510" s="1481"/>
      <c r="K510" s="1481"/>
      <c r="L510" s="1481"/>
      <c r="M510" s="1481"/>
      <c r="N510" s="1481"/>
      <c r="O510" s="1481"/>
    </row>
    <row r="511" spans="10:15" ht="12.75" customHeight="1" x14ac:dyDescent="0.25">
      <c r="J511" s="1481"/>
      <c r="K511" s="1481"/>
      <c r="L511" s="1481"/>
      <c r="M511" s="1481"/>
      <c r="N511" s="1481"/>
      <c r="O511" s="1481"/>
    </row>
    <row r="512" spans="10:15" ht="12.75" customHeight="1" x14ac:dyDescent="0.25">
      <c r="J512" s="1481"/>
      <c r="K512" s="1481"/>
      <c r="L512" s="1481"/>
      <c r="M512" s="1481"/>
      <c r="N512" s="1481"/>
      <c r="O512" s="1481"/>
    </row>
    <row r="513" spans="10:15" ht="12.75" customHeight="1" x14ac:dyDescent="0.25">
      <c r="J513" s="1481"/>
      <c r="K513" s="1481"/>
      <c r="L513" s="1481"/>
      <c r="M513" s="1481"/>
      <c r="N513" s="1481"/>
      <c r="O513" s="1481"/>
    </row>
    <row r="514" spans="10:15" ht="12.75" customHeight="1" x14ac:dyDescent="0.25">
      <c r="J514" s="1481"/>
      <c r="K514" s="1481"/>
      <c r="L514" s="1481"/>
      <c r="M514" s="1481"/>
      <c r="N514" s="1481"/>
      <c r="O514" s="1481"/>
    </row>
    <row r="515" spans="10:15" ht="12.75" customHeight="1" x14ac:dyDescent="0.25">
      <c r="J515" s="1481"/>
      <c r="K515" s="1481"/>
      <c r="L515" s="1481"/>
      <c r="M515" s="1481"/>
      <c r="N515" s="1481"/>
      <c r="O515" s="1481"/>
    </row>
    <row r="516" spans="10:15" ht="12.75" customHeight="1" x14ac:dyDescent="0.25">
      <c r="J516" s="1481"/>
      <c r="K516" s="1481"/>
      <c r="L516" s="1481"/>
      <c r="M516" s="1481"/>
      <c r="N516" s="1481"/>
      <c r="O516" s="1481"/>
    </row>
    <row r="517" spans="10:15" ht="12.75" customHeight="1" x14ac:dyDescent="0.25">
      <c r="J517" s="1481"/>
      <c r="K517" s="1481"/>
      <c r="L517" s="1481"/>
      <c r="M517" s="1481"/>
      <c r="N517" s="1481"/>
      <c r="O517" s="1481"/>
    </row>
    <row r="518" spans="10:15" ht="12.75" customHeight="1" x14ac:dyDescent="0.25">
      <c r="J518" s="1481"/>
      <c r="K518" s="1481"/>
      <c r="L518" s="1481"/>
      <c r="M518" s="1481"/>
      <c r="N518" s="1481"/>
      <c r="O518" s="1481"/>
    </row>
    <row r="519" spans="10:15" ht="12.75" customHeight="1" x14ac:dyDescent="0.25">
      <c r="J519" s="1481"/>
      <c r="K519" s="1481"/>
      <c r="L519" s="1481"/>
      <c r="M519" s="1481"/>
      <c r="N519" s="1481"/>
      <c r="O519" s="1481"/>
    </row>
    <row r="520" spans="10:15" ht="12.75" customHeight="1" x14ac:dyDescent="0.25">
      <c r="J520" s="1481"/>
      <c r="K520" s="1481"/>
      <c r="L520" s="1481"/>
      <c r="M520" s="1481"/>
      <c r="N520" s="1481"/>
      <c r="O520" s="1481"/>
    </row>
    <row r="521" spans="10:15" ht="12.75" customHeight="1" x14ac:dyDescent="0.25">
      <c r="J521" s="1481"/>
      <c r="K521" s="1481"/>
      <c r="L521" s="1481"/>
      <c r="M521" s="1481"/>
      <c r="N521" s="1481"/>
      <c r="O521" s="1481"/>
    </row>
    <row r="522" spans="10:15" ht="12.75" customHeight="1" x14ac:dyDescent="0.25">
      <c r="J522" s="1481"/>
      <c r="K522" s="1481"/>
      <c r="L522" s="1481"/>
      <c r="M522" s="1481"/>
      <c r="N522" s="1481"/>
      <c r="O522" s="1481"/>
    </row>
    <row r="523" spans="10:15" ht="12.75" customHeight="1" x14ac:dyDescent="0.25">
      <c r="J523" s="1481"/>
      <c r="K523" s="1481"/>
      <c r="L523" s="1481"/>
      <c r="M523" s="1481"/>
      <c r="N523" s="1481"/>
      <c r="O523" s="1481"/>
    </row>
    <row r="524" spans="10:15" ht="12.75" customHeight="1" x14ac:dyDescent="0.25">
      <c r="J524" s="1481"/>
      <c r="K524" s="1481"/>
      <c r="L524" s="1481"/>
      <c r="M524" s="1481"/>
      <c r="N524" s="1481"/>
      <c r="O524" s="1481"/>
    </row>
    <row r="525" spans="10:15" ht="12.75" customHeight="1" x14ac:dyDescent="0.25">
      <c r="J525" s="1481"/>
      <c r="K525" s="1481"/>
      <c r="L525" s="1481"/>
      <c r="M525" s="1481"/>
      <c r="N525" s="1481"/>
      <c r="O525" s="1481"/>
    </row>
    <row r="526" spans="10:15" ht="12.75" customHeight="1" x14ac:dyDescent="0.25">
      <c r="J526" s="1481"/>
      <c r="K526" s="1481"/>
      <c r="L526" s="1481"/>
      <c r="M526" s="1481"/>
      <c r="N526" s="1481"/>
      <c r="O526" s="1481"/>
    </row>
    <row r="527" spans="10:15" ht="12.75" customHeight="1" x14ac:dyDescent="0.25">
      <c r="J527" s="1481"/>
      <c r="K527" s="1481"/>
      <c r="L527" s="1481"/>
      <c r="M527" s="1481"/>
      <c r="N527" s="1481"/>
      <c r="O527" s="1481"/>
    </row>
    <row r="528" spans="10:15" ht="12.75" customHeight="1" x14ac:dyDescent="0.25">
      <c r="J528" s="1481"/>
      <c r="K528" s="1481"/>
      <c r="L528" s="1481"/>
      <c r="M528" s="1481"/>
      <c r="N528" s="1481"/>
      <c r="O528" s="1481"/>
    </row>
    <row r="529" spans="10:15" ht="12.75" customHeight="1" x14ac:dyDescent="0.25">
      <c r="J529" s="1481"/>
      <c r="K529" s="1481"/>
      <c r="L529" s="1481"/>
      <c r="M529" s="1481"/>
      <c r="N529" s="1481"/>
      <c r="O529" s="1481"/>
    </row>
    <row r="530" spans="10:15" ht="12.75" customHeight="1" x14ac:dyDescent="0.25">
      <c r="J530" s="1481"/>
      <c r="K530" s="1481"/>
      <c r="L530" s="1481"/>
      <c r="M530" s="1481"/>
      <c r="N530" s="1481"/>
      <c r="O530" s="1481"/>
    </row>
    <row r="531" spans="10:15" ht="12.75" customHeight="1" x14ac:dyDescent="0.25">
      <c r="J531" s="1481"/>
      <c r="K531" s="1481"/>
      <c r="L531" s="1481"/>
      <c r="M531" s="1481"/>
      <c r="N531" s="1481"/>
      <c r="O531" s="1481"/>
    </row>
    <row r="532" spans="10:15" ht="12.75" customHeight="1" x14ac:dyDescent="0.25">
      <c r="J532" s="1481"/>
      <c r="K532" s="1481"/>
      <c r="L532" s="1481"/>
      <c r="M532" s="1481"/>
      <c r="N532" s="1481"/>
      <c r="O532" s="1481"/>
    </row>
    <row r="533" spans="10:15" ht="12.75" customHeight="1" x14ac:dyDescent="0.25">
      <c r="J533" s="1481"/>
      <c r="K533" s="1481"/>
      <c r="L533" s="1481"/>
      <c r="M533" s="1481"/>
      <c r="N533" s="1481"/>
      <c r="O533" s="1481"/>
    </row>
    <row r="534" spans="10:15" ht="12.75" customHeight="1" x14ac:dyDescent="0.25">
      <c r="J534" s="1481"/>
      <c r="K534" s="1481"/>
      <c r="L534" s="1481"/>
      <c r="M534" s="1481"/>
      <c r="N534" s="1481"/>
      <c r="O534" s="1481"/>
    </row>
    <row r="535" spans="10:15" ht="12.75" customHeight="1" x14ac:dyDescent="0.25">
      <c r="J535" s="1481"/>
      <c r="K535" s="1481"/>
      <c r="L535" s="1481"/>
      <c r="M535" s="1481"/>
      <c r="N535" s="1481"/>
      <c r="O535" s="1481"/>
    </row>
    <row r="536" spans="10:15" ht="12.75" customHeight="1" x14ac:dyDescent="0.25">
      <c r="J536" s="1481"/>
      <c r="K536" s="1481"/>
      <c r="L536" s="1481"/>
      <c r="M536" s="1481"/>
      <c r="N536" s="1481"/>
      <c r="O536" s="1481"/>
    </row>
    <row r="537" spans="10:15" ht="12.75" customHeight="1" x14ac:dyDescent="0.25">
      <c r="J537" s="1481"/>
      <c r="K537" s="1481"/>
      <c r="L537" s="1481"/>
      <c r="M537" s="1481"/>
      <c r="N537" s="1481"/>
      <c r="O537" s="1481"/>
    </row>
    <row r="538" spans="10:15" ht="12.75" customHeight="1" x14ac:dyDescent="0.25">
      <c r="J538" s="1481"/>
      <c r="K538" s="1481"/>
      <c r="L538" s="1481"/>
      <c r="M538" s="1481"/>
      <c r="N538" s="1481"/>
      <c r="O538" s="1481"/>
    </row>
    <row r="539" spans="10:15" ht="12.75" customHeight="1" x14ac:dyDescent="0.25">
      <c r="J539" s="1481"/>
      <c r="K539" s="1481"/>
      <c r="L539" s="1481"/>
      <c r="M539" s="1481"/>
      <c r="N539" s="1481"/>
      <c r="O539" s="1481"/>
    </row>
    <row r="540" spans="10:15" ht="12.75" customHeight="1" x14ac:dyDescent="0.25">
      <c r="J540" s="1481"/>
      <c r="K540" s="1481"/>
      <c r="L540" s="1481"/>
      <c r="M540" s="1481"/>
      <c r="N540" s="1481"/>
      <c r="O540" s="1481"/>
    </row>
    <row r="541" spans="10:15" ht="12.75" customHeight="1" x14ac:dyDescent="0.25">
      <c r="J541" s="1481"/>
      <c r="K541" s="1481"/>
      <c r="L541" s="1481"/>
      <c r="M541" s="1481"/>
      <c r="N541" s="1481"/>
      <c r="O541" s="1481"/>
    </row>
    <row r="542" spans="10:15" ht="12.75" customHeight="1" x14ac:dyDescent="0.25">
      <c r="J542" s="1481"/>
      <c r="K542" s="1481"/>
      <c r="L542" s="1481"/>
      <c r="M542" s="1481"/>
      <c r="N542" s="1481"/>
      <c r="O542" s="1481"/>
    </row>
    <row r="543" spans="10:15" ht="12.75" customHeight="1" x14ac:dyDescent="0.25">
      <c r="J543" s="1481"/>
      <c r="K543" s="1481"/>
      <c r="L543" s="1481"/>
      <c r="M543" s="1481"/>
      <c r="N543" s="1481"/>
      <c r="O543" s="1481"/>
    </row>
    <row r="544" spans="10:15" ht="12.75" customHeight="1" x14ac:dyDescent="0.25">
      <c r="J544" s="1481"/>
      <c r="K544" s="1481"/>
      <c r="L544" s="1481"/>
      <c r="M544" s="1481"/>
      <c r="N544" s="1481"/>
      <c r="O544" s="1481"/>
    </row>
    <row r="545" spans="10:15" ht="12.75" customHeight="1" x14ac:dyDescent="0.25">
      <c r="J545" s="1481"/>
      <c r="K545" s="1481"/>
      <c r="L545" s="1481"/>
      <c r="M545" s="1481"/>
      <c r="N545" s="1481"/>
      <c r="O545" s="1481"/>
    </row>
    <row r="546" spans="10:15" ht="12.75" customHeight="1" x14ac:dyDescent="0.25">
      <c r="J546" s="1481"/>
      <c r="K546" s="1481"/>
      <c r="L546" s="1481"/>
      <c r="M546" s="1481"/>
      <c r="N546" s="1481"/>
      <c r="O546" s="1481"/>
    </row>
    <row r="547" spans="10:15" ht="12.75" customHeight="1" x14ac:dyDescent="0.25">
      <c r="J547" s="1481"/>
      <c r="K547" s="1481"/>
      <c r="L547" s="1481"/>
      <c r="M547" s="1481"/>
      <c r="N547" s="1481"/>
      <c r="O547" s="1481"/>
    </row>
    <row r="548" spans="10:15" ht="12.75" customHeight="1" x14ac:dyDescent="0.25">
      <c r="J548" s="1481"/>
      <c r="K548" s="1481"/>
      <c r="L548" s="1481"/>
      <c r="M548" s="1481"/>
      <c r="N548" s="1481"/>
      <c r="O548" s="1481"/>
    </row>
    <row r="549" spans="10:15" ht="12.75" customHeight="1" x14ac:dyDescent="0.25">
      <c r="J549" s="1481"/>
      <c r="K549" s="1481"/>
      <c r="L549" s="1481"/>
      <c r="M549" s="1481"/>
      <c r="N549" s="1481"/>
      <c r="O549" s="1481"/>
    </row>
    <row r="550" spans="10:15" ht="12.75" customHeight="1" x14ac:dyDescent="0.25">
      <c r="J550" s="1481"/>
      <c r="K550" s="1481"/>
      <c r="L550" s="1481"/>
      <c r="M550" s="1481"/>
      <c r="N550" s="1481"/>
      <c r="O550" s="1481"/>
    </row>
    <row r="551" spans="10:15" ht="12.75" customHeight="1" x14ac:dyDescent="0.25">
      <c r="J551" s="1481"/>
      <c r="K551" s="1481"/>
      <c r="L551" s="1481"/>
      <c r="M551" s="1481"/>
      <c r="N551" s="1481"/>
      <c r="O551" s="1481"/>
    </row>
    <row r="552" spans="10:15" ht="12.75" customHeight="1" x14ac:dyDescent="0.25">
      <c r="J552" s="1481"/>
      <c r="K552" s="1481"/>
      <c r="L552" s="1481"/>
      <c r="M552" s="1481"/>
      <c r="N552" s="1481"/>
      <c r="O552" s="1481"/>
    </row>
    <row r="553" spans="10:15" ht="12.75" customHeight="1" x14ac:dyDescent="0.25">
      <c r="J553" s="1481"/>
      <c r="K553" s="1481"/>
      <c r="L553" s="1481"/>
      <c r="M553" s="1481"/>
      <c r="N553" s="1481"/>
      <c r="O553" s="1481"/>
    </row>
    <row r="554" spans="10:15" ht="12.75" customHeight="1" x14ac:dyDescent="0.25">
      <c r="J554" s="1481"/>
      <c r="K554" s="1481"/>
      <c r="L554" s="1481"/>
      <c r="M554" s="1481"/>
      <c r="N554" s="1481"/>
      <c r="O554" s="1481"/>
    </row>
    <row r="555" spans="10:15" ht="12.75" customHeight="1" x14ac:dyDescent="0.25">
      <c r="J555" s="1481"/>
      <c r="K555" s="1481"/>
      <c r="L555" s="1481"/>
      <c r="M555" s="1481"/>
      <c r="N555" s="1481"/>
      <c r="O555" s="1481"/>
    </row>
    <row r="556" spans="10:15" ht="12.75" customHeight="1" x14ac:dyDescent="0.25">
      <c r="J556" s="1481"/>
      <c r="K556" s="1481"/>
      <c r="L556" s="1481"/>
      <c r="M556" s="1481"/>
      <c r="N556" s="1481"/>
      <c r="O556" s="1481"/>
    </row>
  </sheetData>
  <mergeCells count="5">
    <mergeCell ref="D62:D63"/>
    <mergeCell ref="F62:F63"/>
    <mergeCell ref="G62:H63"/>
    <mergeCell ref="G65:H65"/>
    <mergeCell ref="G68:H68"/>
  </mergeCells>
  <hyperlinks>
    <hyperlink ref="A1" location="Inhoudsopgave!A1" display="Inhoudsopgave" xr:uid="{8162D06C-171A-4C5B-A645-CB8462DBC0A2}"/>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5" manualBreakCount="5">
    <brk id="59" min="3" max="14" man="1"/>
    <brk id="143" min="3" max="14" man="1"/>
    <brk id="202" min="3" max="14" man="1"/>
    <brk id="275" min="3" max="14" man="1"/>
    <brk id="359" min="3" max="14" man="1"/>
  </rowBreaks>
  <ignoredErrors>
    <ignoredError sqref="L54:M54" formulaRange="1"/>
    <ignoredError sqref="L78:M78 K332:M332" 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C80C-D068-49E9-8C7D-0B5D43CAD190}">
  <sheetPr codeName="Blad7"/>
  <dimension ref="A1:Y392"/>
  <sheetViews>
    <sheetView showGridLines="0" view="pageBreakPreview" topLeftCell="B76" zoomScaleNormal="100" zoomScaleSheetLayoutView="100" workbookViewId="0">
      <selection activeCell="J110" sqref="J110"/>
    </sheetView>
  </sheetViews>
  <sheetFormatPr defaultColWidth="9.109375" defaultRowHeight="12.75" customHeight="1" x14ac:dyDescent="0.25"/>
  <cols>
    <col min="1" max="3" width="9.109375" style="1298"/>
    <col min="4" max="4" width="9.6640625" style="1296" customWidth="1"/>
    <col min="5" max="6" width="9.6640625" style="1297" customWidth="1"/>
    <col min="7" max="8" width="12.6640625" style="1298" customWidth="1"/>
    <col min="9" max="9" width="12.6640625" style="1368" customWidth="1"/>
    <col min="10" max="15" width="11.6640625" style="1368" customWidth="1"/>
    <col min="16" max="16" width="11.33203125" style="1298" customWidth="1"/>
    <col min="17" max="19" width="9.109375" style="1298"/>
    <col min="20" max="23" width="10.109375" style="1298" customWidth="1"/>
    <col min="24" max="16384" width="9.109375" style="1298"/>
  </cols>
  <sheetData>
    <row r="1" spans="1:23" ht="12.75" customHeight="1" x14ac:dyDescent="0.3">
      <c r="A1" s="157" t="s">
        <v>0</v>
      </c>
      <c r="P1" s="1369"/>
      <c r="Q1" s="1370">
        <v>2024</v>
      </c>
      <c r="R1" s="1370">
        <v>2025</v>
      </c>
      <c r="S1" s="1370">
        <v>2026</v>
      </c>
      <c r="T1" s="1370">
        <v>2027</v>
      </c>
      <c r="U1" s="1370">
        <v>2028</v>
      </c>
      <c r="V1" s="1370">
        <v>2029</v>
      </c>
      <c r="W1" s="1370">
        <v>2030</v>
      </c>
    </row>
    <row r="2" spans="1:23" ht="12.75" customHeight="1" x14ac:dyDescent="0.25">
      <c r="D2" s="1296" t="s">
        <v>504</v>
      </c>
      <c r="H2" s="1298" t="s">
        <v>1895</v>
      </c>
      <c r="P2" s="1369"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P3" s="1369"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25">
      <c r="D6" s="1296" t="s">
        <v>66</v>
      </c>
      <c r="H6" s="1298" t="s">
        <v>8</v>
      </c>
    </row>
    <row r="7" spans="1:23" ht="12.75" customHeight="1" x14ac:dyDescent="0.25">
      <c r="H7" s="1371"/>
    </row>
    <row r="22" spans="1:15" ht="12.75" customHeight="1" x14ac:dyDescent="0.25">
      <c r="D22" s="452" t="s">
        <v>507</v>
      </c>
      <c r="E22" s="438"/>
      <c r="F22" s="438"/>
      <c r="G22" s="453"/>
      <c r="H22" s="453"/>
      <c r="I22" s="453"/>
      <c r="J22" s="453"/>
      <c r="K22" s="453"/>
      <c r="L22" s="453"/>
      <c r="M22" s="453"/>
      <c r="N22" s="453"/>
      <c r="O22" s="453"/>
    </row>
    <row r="23" spans="1:15" ht="12.75" customHeight="1" x14ac:dyDescent="0.25">
      <c r="D23" s="438"/>
      <c r="E23" s="438"/>
      <c r="F23" s="438"/>
      <c r="G23" s="453"/>
      <c r="H23" s="453"/>
      <c r="I23" s="453"/>
      <c r="J23" s="453"/>
      <c r="K23" s="453"/>
      <c r="L23" s="453"/>
      <c r="M23" s="453"/>
      <c r="N23" s="453"/>
      <c r="O23" s="453"/>
    </row>
    <row r="24" spans="1:15" ht="12.75" customHeight="1" x14ac:dyDescent="0.25">
      <c r="D24" s="1746" t="s">
        <v>508</v>
      </c>
      <c r="E24" s="1747"/>
      <c r="F24" s="1747"/>
      <c r="G24" s="1748"/>
      <c r="H24" s="1748"/>
      <c r="I24" s="1749"/>
      <c r="J24" s="1749">
        <v>2025</v>
      </c>
      <c r="K24" s="1749">
        <v>2026</v>
      </c>
      <c r="L24" s="1749">
        <v>2027</v>
      </c>
      <c r="M24" s="1749">
        <v>2028</v>
      </c>
      <c r="N24" s="1749">
        <v>2029</v>
      </c>
      <c r="O24" s="1749">
        <v>2030</v>
      </c>
    </row>
    <row r="25" spans="1:15" ht="12.75" customHeight="1" x14ac:dyDescent="0.25">
      <c r="D25" s="454" t="str">
        <f>G51</f>
        <v>Leningen publieke taak</v>
      </c>
      <c r="E25" s="455"/>
      <c r="F25" s="456"/>
      <c r="G25" s="453"/>
      <c r="H25" s="453"/>
      <c r="I25" s="518"/>
      <c r="J25" s="457">
        <v>23938</v>
      </c>
      <c r="K25" s="457">
        <f t="shared" ref="K25" si="0">K56</f>
        <v>29938</v>
      </c>
      <c r="L25" s="457">
        <f t="shared" ref="L25:M25" si="1">L56</f>
        <v>29938</v>
      </c>
      <c r="M25" s="457">
        <f t="shared" si="1"/>
        <v>29938</v>
      </c>
      <c r="N25" s="457">
        <f t="shared" ref="N25:O25" si="2">N56</f>
        <v>29938</v>
      </c>
      <c r="O25" s="457">
        <f t="shared" si="2"/>
        <v>18000</v>
      </c>
    </row>
    <row r="26" spans="1:15" ht="12.75" customHeight="1" x14ac:dyDescent="0.25">
      <c r="D26" s="454" t="str">
        <f>G63</f>
        <v>Treasury</v>
      </c>
      <c r="E26" s="455"/>
      <c r="F26" s="456"/>
      <c r="G26" s="453"/>
      <c r="H26" s="453"/>
      <c r="I26" s="518"/>
      <c r="J26" s="25">
        <v>37307</v>
      </c>
      <c r="K26" s="25">
        <f t="shared" ref="K26" si="3">K67</f>
        <v>174833</v>
      </c>
      <c r="L26" s="25">
        <f t="shared" ref="L26:M26" si="4">L67</f>
        <v>599140</v>
      </c>
      <c r="M26" s="25">
        <f t="shared" si="4"/>
        <v>1053967</v>
      </c>
      <c r="N26" s="25">
        <f t="shared" ref="N26:O26" si="5">N67</f>
        <v>1750583.33</v>
      </c>
      <c r="O26" s="25">
        <f t="shared" si="5"/>
        <v>0</v>
      </c>
    </row>
    <row r="27" spans="1:15" ht="12.75" customHeight="1" x14ac:dyDescent="0.25">
      <c r="D27" s="454" t="str">
        <f>G74</f>
        <v>Directe toerekening treasury</v>
      </c>
      <c r="E27" s="455"/>
      <c r="F27" s="456"/>
      <c r="G27" s="453"/>
      <c r="H27" s="453"/>
      <c r="I27" s="518"/>
      <c r="J27" s="25">
        <v>0</v>
      </c>
      <c r="K27" s="25">
        <v>0</v>
      </c>
      <c r="L27" s="25">
        <f t="shared" ref="L27:M27" si="6">L78</f>
        <v>0</v>
      </c>
      <c r="M27" s="25">
        <f t="shared" si="6"/>
        <v>0</v>
      </c>
      <c r="N27" s="25">
        <f t="shared" ref="N27:O27" si="7">N78</f>
        <v>0</v>
      </c>
      <c r="O27" s="25">
        <f t="shared" si="7"/>
        <v>0</v>
      </c>
    </row>
    <row r="28" spans="1:15" ht="12.75" customHeight="1" x14ac:dyDescent="0.25">
      <c r="A28" s="1372"/>
      <c r="D28" s="454"/>
      <c r="E28" s="455"/>
      <c r="F28" s="456"/>
      <c r="G28" s="453"/>
      <c r="H28" s="453"/>
      <c r="I28" s="518"/>
      <c r="J28" s="26"/>
      <c r="K28" s="26"/>
      <c r="L28" s="26"/>
      <c r="M28" s="26"/>
      <c r="N28" s="26"/>
      <c r="O28" s="26"/>
    </row>
    <row r="29" spans="1:15" ht="12.75" customHeight="1" x14ac:dyDescent="0.25">
      <c r="A29" s="1372"/>
      <c r="D29" s="1751" t="s">
        <v>525</v>
      </c>
      <c r="E29" s="1752"/>
      <c r="F29" s="1753"/>
      <c r="G29" s="1754"/>
      <c r="H29" s="1754"/>
      <c r="I29" s="1757"/>
      <c r="J29" s="1755">
        <v>61245</v>
      </c>
      <c r="K29" s="1755">
        <f>SUM(K25:K28)</f>
        <v>204771</v>
      </c>
      <c r="L29" s="1755">
        <f>SUM(L25:L28)</f>
        <v>629078</v>
      </c>
      <c r="M29" s="1755">
        <f>SUM(M25:M28)</f>
        <v>1083905</v>
      </c>
      <c r="N29" s="1755">
        <f>SUM(N25:N28)</f>
        <v>1780521.33</v>
      </c>
      <c r="O29" s="1755">
        <f>SUM(O25:O28)</f>
        <v>18000</v>
      </c>
    </row>
    <row r="30" spans="1:15" ht="12.75" customHeight="1" x14ac:dyDescent="0.25">
      <c r="A30" s="1372"/>
      <c r="D30" s="438"/>
      <c r="E30" s="455"/>
      <c r="F30" s="456"/>
      <c r="G30" s="453"/>
      <c r="H30" s="453"/>
      <c r="I30" s="453"/>
      <c r="J30" s="453"/>
      <c r="K30" s="453"/>
      <c r="L30" s="453"/>
      <c r="M30" s="453"/>
      <c r="N30" s="453"/>
      <c r="O30" s="453"/>
    </row>
    <row r="31" spans="1:15" ht="12.75" customHeight="1" x14ac:dyDescent="0.25">
      <c r="A31" s="1372"/>
      <c r="D31" s="1746" t="s">
        <v>526</v>
      </c>
      <c r="E31" s="1747"/>
      <c r="F31" s="1747"/>
      <c r="G31" s="1748"/>
      <c r="H31" s="1748"/>
      <c r="I31" s="1749"/>
      <c r="J31" s="1749">
        <v>2025</v>
      </c>
      <c r="K31" s="1749">
        <v>2026</v>
      </c>
      <c r="L31" s="1749">
        <v>2027</v>
      </c>
      <c r="M31" s="1749">
        <v>2028</v>
      </c>
      <c r="N31" s="1749">
        <v>2029</v>
      </c>
      <c r="O31" s="1749">
        <v>2030</v>
      </c>
    </row>
    <row r="32" spans="1:15" ht="12.75" customHeight="1" x14ac:dyDescent="0.25">
      <c r="A32" s="1372"/>
      <c r="D32" s="454" t="str">
        <f>G45</f>
        <v>Aandelen en dividend</v>
      </c>
      <c r="E32" s="455"/>
      <c r="F32" s="456"/>
      <c r="G32" s="453"/>
      <c r="H32" s="453"/>
      <c r="I32" s="518"/>
      <c r="J32" s="457">
        <v>-53071</v>
      </c>
      <c r="K32" s="457">
        <f>K49</f>
        <v>-53071</v>
      </c>
      <c r="L32" s="457">
        <f>L49</f>
        <v>-53071</v>
      </c>
      <c r="M32" s="457">
        <f>M49</f>
        <v>-53071</v>
      </c>
      <c r="N32" s="457">
        <f>N49</f>
        <v>-53071</v>
      </c>
      <c r="O32" s="457">
        <f>O49</f>
        <v>-53071</v>
      </c>
    </row>
    <row r="33" spans="1:20" ht="12.75" customHeight="1" x14ac:dyDescent="0.25">
      <c r="A33" s="1372"/>
      <c r="D33" s="454" t="str">
        <f>G58</f>
        <v>Leningen publieke taak</v>
      </c>
      <c r="E33" s="455"/>
      <c r="F33" s="456"/>
      <c r="G33" s="453"/>
      <c r="H33" s="453"/>
      <c r="I33" s="518"/>
      <c r="J33" s="457">
        <v>0</v>
      </c>
      <c r="K33" s="457">
        <f>K61</f>
        <v>0</v>
      </c>
      <c r="L33" s="457">
        <f>L61</f>
        <v>0</v>
      </c>
      <c r="M33" s="457">
        <f>M61</f>
        <v>0</v>
      </c>
      <c r="N33" s="457">
        <f>N61</f>
        <v>0</v>
      </c>
      <c r="O33" s="457">
        <f>O61</f>
        <v>0</v>
      </c>
    </row>
    <row r="34" spans="1:20" ht="12.75" customHeight="1" x14ac:dyDescent="0.25">
      <c r="A34" s="1372"/>
      <c r="D34" s="454" t="str">
        <f>G69</f>
        <v>Treasury</v>
      </c>
      <c r="E34" s="455"/>
      <c r="F34" s="456"/>
      <c r="G34" s="453"/>
      <c r="H34" s="453"/>
      <c r="I34" s="518"/>
      <c r="J34" s="457">
        <v>-332132.73802499997</v>
      </c>
      <c r="K34" s="457">
        <f>K72</f>
        <v>-134920.14655</v>
      </c>
      <c r="L34" s="457">
        <f>L72</f>
        <v>-53975.882089999999</v>
      </c>
      <c r="M34" s="457">
        <f>M72</f>
        <v>-53214.455555</v>
      </c>
      <c r="N34" s="457">
        <f>N72</f>
        <v>-52437.46</v>
      </c>
      <c r="O34" s="457">
        <f>O72</f>
        <v>-49100</v>
      </c>
    </row>
    <row r="35" spans="1:20" ht="12.75" customHeight="1" x14ac:dyDescent="0.25">
      <c r="A35" s="1372"/>
      <c r="D35" s="464"/>
      <c r="E35" s="465"/>
      <c r="F35" s="466"/>
      <c r="G35" s="467"/>
      <c r="H35" s="467"/>
      <c r="I35" s="518"/>
      <c r="J35" s="463"/>
      <c r="K35" s="463"/>
      <c r="L35" s="463"/>
      <c r="M35" s="463"/>
      <c r="N35" s="463"/>
      <c r="O35" s="463"/>
    </row>
    <row r="36" spans="1:20" ht="12.75" customHeight="1" x14ac:dyDescent="0.25">
      <c r="A36" s="1372"/>
      <c r="D36" s="1751" t="s">
        <v>328</v>
      </c>
      <c r="E36" s="1752"/>
      <c r="F36" s="1753"/>
      <c r="G36" s="1754"/>
      <c r="H36" s="1754"/>
      <c r="I36" s="1757"/>
      <c r="J36" s="1755">
        <v>-385203.73802499997</v>
      </c>
      <c r="K36" s="1755">
        <f>SUM(K32:K35)</f>
        <v>-187991.14655</v>
      </c>
      <c r="L36" s="1755">
        <f>SUM(L32:L35)</f>
        <v>-107046.88209</v>
      </c>
      <c r="M36" s="1755">
        <f>SUM(M32:M35)</f>
        <v>-106285.45555499999</v>
      </c>
      <c r="N36" s="1755">
        <f>SUM(N32:N35)</f>
        <v>-105508.45999999999</v>
      </c>
      <c r="O36" s="1755">
        <f>SUM(O32:O35)</f>
        <v>-102171</v>
      </c>
    </row>
    <row r="37" spans="1:20" ht="12.75" customHeight="1" x14ac:dyDescent="0.25">
      <c r="A37" s="1372"/>
      <c r="D37" s="438"/>
      <c r="E37" s="455"/>
      <c r="F37" s="456"/>
      <c r="G37" s="453"/>
      <c r="H37" s="453"/>
      <c r="I37" s="453"/>
      <c r="J37" s="469"/>
      <c r="K37" s="469"/>
      <c r="L37" s="469"/>
      <c r="M37" s="469"/>
      <c r="N37" s="469"/>
      <c r="O37" s="469"/>
    </row>
    <row r="38" spans="1:20" ht="12.75" customHeight="1" x14ac:dyDescent="0.25">
      <c r="A38" s="1372"/>
      <c r="D38" s="1751" t="s">
        <v>714</v>
      </c>
      <c r="E38" s="1756"/>
      <c r="F38" s="1756"/>
      <c r="G38" s="1754"/>
      <c r="H38" s="1754"/>
      <c r="I38" s="1754"/>
      <c r="J38" s="1758">
        <v>-323958.73802499997</v>
      </c>
      <c r="K38" s="1758">
        <f>K29+K36</f>
        <v>16779.853449999995</v>
      </c>
      <c r="L38" s="1758">
        <f>L29+L36</f>
        <v>522031.11791000003</v>
      </c>
      <c r="M38" s="1758">
        <f>M29+M36</f>
        <v>977619.54444500001</v>
      </c>
      <c r="N38" s="1758">
        <f>N29+N36</f>
        <v>1675012.87</v>
      </c>
      <c r="O38" s="1758">
        <f>O29+O36</f>
        <v>-84171</v>
      </c>
    </row>
    <row r="39" spans="1:20" ht="12.75" customHeight="1" x14ac:dyDescent="0.25">
      <c r="A39" s="1372"/>
      <c r="D39" s="438"/>
      <c r="E39" s="455"/>
      <c r="F39" s="456"/>
      <c r="G39" s="453"/>
      <c r="H39" s="453"/>
      <c r="I39" s="453"/>
      <c r="J39" s="469"/>
      <c r="K39" s="469"/>
      <c r="L39" s="469"/>
      <c r="M39" s="469"/>
      <c r="N39" s="469"/>
      <c r="O39" s="469"/>
    </row>
    <row r="40" spans="1:20" ht="12.75" customHeight="1" x14ac:dyDescent="0.25">
      <c r="A40" s="1372"/>
      <c r="D40" s="1373" t="s">
        <v>528</v>
      </c>
      <c r="E40" s="1374"/>
      <c r="F40" s="1374"/>
      <c r="I40" s="1375"/>
      <c r="J40" s="1375"/>
      <c r="K40" s="1375"/>
      <c r="L40" s="1375"/>
      <c r="M40" s="1375"/>
      <c r="N40" s="1375"/>
      <c r="O40" s="1375"/>
    </row>
    <row r="41" spans="1:20" ht="12.75" customHeight="1" x14ac:dyDescent="0.25">
      <c r="A41" s="1372"/>
      <c r="I41" s="1375"/>
      <c r="J41" s="1375"/>
      <c r="K41" s="1375"/>
      <c r="L41" s="1375"/>
      <c r="M41" s="1375"/>
      <c r="N41" s="1375"/>
      <c r="O41" s="1375"/>
    </row>
    <row r="42" spans="1:20" s="1369" customFormat="1" ht="12.75" customHeight="1" x14ac:dyDescent="0.25">
      <c r="A42" s="1376"/>
      <c r="D42" s="2523" t="s">
        <v>1896</v>
      </c>
      <c r="E42" s="1761" t="s">
        <v>530</v>
      </c>
      <c r="F42" s="2552" t="s">
        <v>716</v>
      </c>
      <c r="G42" s="2525" t="s">
        <v>206</v>
      </c>
      <c r="H42" s="2526"/>
      <c r="I42" s="1773"/>
      <c r="J42" s="1763"/>
      <c r="K42" s="1763"/>
      <c r="L42" s="1763"/>
      <c r="M42" s="1763"/>
      <c r="N42" s="1763"/>
      <c r="O42" s="1763"/>
    </row>
    <row r="43" spans="1:20" s="1369" customFormat="1" ht="12.75" customHeight="1" x14ac:dyDescent="0.25">
      <c r="A43" s="1376"/>
      <c r="D43" s="2524"/>
      <c r="E43" s="472" t="s">
        <v>532</v>
      </c>
      <c r="F43" s="2553"/>
      <c r="G43" s="2527"/>
      <c r="H43" s="2528"/>
      <c r="I43" s="521"/>
      <c r="J43" s="1764">
        <v>2025</v>
      </c>
      <c r="K43" s="1764">
        <v>2026</v>
      </c>
      <c r="L43" s="1764">
        <v>2027</v>
      </c>
      <c r="M43" s="1764">
        <v>2028</v>
      </c>
      <c r="N43" s="1764">
        <v>2029</v>
      </c>
      <c r="O43" s="1764">
        <v>2030</v>
      </c>
    </row>
    <row r="44" spans="1:20" s="1369" customFormat="1" ht="12.75" customHeight="1" x14ac:dyDescent="0.25">
      <c r="A44" s="1376"/>
      <c r="D44" s="1017"/>
      <c r="E44" s="1018"/>
      <c r="F44" s="1072"/>
      <c r="G44" s="1019"/>
      <c r="H44" s="1020"/>
      <c r="I44" s="1021"/>
      <c r="J44" s="529"/>
      <c r="K44" s="529"/>
      <c r="L44" s="529"/>
      <c r="M44" s="529"/>
      <c r="N44" s="529"/>
      <c r="O44" s="529"/>
    </row>
    <row r="45" spans="1:20" ht="12.75" customHeight="1" x14ac:dyDescent="0.25">
      <c r="A45" s="1372"/>
      <c r="D45" s="1377">
        <v>605001</v>
      </c>
      <c r="E45" s="1378"/>
      <c r="F45" s="1377"/>
      <c r="G45" s="1379" t="s">
        <v>1897</v>
      </c>
      <c r="I45" s="1314"/>
      <c r="J45" s="1380"/>
      <c r="K45" s="1380"/>
      <c r="L45" s="1380"/>
      <c r="M45" s="1380"/>
      <c r="N45" s="1380"/>
      <c r="O45" s="1380"/>
    </row>
    <row r="46" spans="1:20" ht="12.75" customHeight="1" x14ac:dyDescent="0.25">
      <c r="A46" s="1372"/>
      <c r="D46" s="1312"/>
      <c r="E46" s="1312"/>
      <c r="F46" s="1312"/>
      <c r="G46" s="1381" t="s">
        <v>554</v>
      </c>
      <c r="I46" s="1314"/>
      <c r="J46" s="1380"/>
      <c r="K46" s="1380"/>
      <c r="L46" s="1380"/>
      <c r="M46" s="1380"/>
      <c r="N46" s="1380"/>
      <c r="O46" s="1380"/>
    </row>
    <row r="47" spans="1:20" ht="12.75" customHeight="1" x14ac:dyDescent="0.25">
      <c r="A47" s="1310">
        <f>D45</f>
        <v>605001</v>
      </c>
      <c r="B47" s="1371" t="str">
        <f>G45</f>
        <v>Aandelen en dividend</v>
      </c>
      <c r="D47" s="1382">
        <v>85200</v>
      </c>
      <c r="E47" s="1382"/>
      <c r="F47" s="1382"/>
      <c r="G47" s="1313" t="s">
        <v>1898</v>
      </c>
      <c r="I47" s="1314"/>
      <c r="J47" s="1380">
        <v>-53071</v>
      </c>
      <c r="K47" s="1380">
        <v>-53071</v>
      </c>
      <c r="L47" s="1380">
        <f>+L89</f>
        <v>-53071</v>
      </c>
      <c r="M47" s="1380">
        <f>+M89</f>
        <v>-53071</v>
      </c>
      <c r="N47" s="1380">
        <f>+N89</f>
        <v>-53071</v>
      </c>
      <c r="O47" s="1380">
        <f>+O89</f>
        <v>-53071</v>
      </c>
    </row>
    <row r="48" spans="1:20" s="1388" customFormat="1" ht="12.75" customHeight="1" x14ac:dyDescent="0.25">
      <c r="A48" s="1310">
        <f>D45</f>
        <v>605001</v>
      </c>
      <c r="B48" s="1371" t="str">
        <f>G45</f>
        <v>Aandelen en dividend</v>
      </c>
      <c r="C48" s="1383"/>
      <c r="D48" s="1384">
        <v>84480</v>
      </c>
      <c r="E48" s="1384"/>
      <c r="F48" s="1384"/>
      <c r="G48" s="1385" t="s">
        <v>1899</v>
      </c>
      <c r="H48" s="1371"/>
      <c r="I48" s="1386"/>
      <c r="J48" s="1387">
        <v>0</v>
      </c>
      <c r="K48" s="1387">
        <v>0</v>
      </c>
      <c r="L48" s="1387">
        <v>0</v>
      </c>
      <c r="M48" s="1387">
        <v>0</v>
      </c>
      <c r="N48" s="1387">
        <v>0</v>
      </c>
      <c r="O48" s="1387">
        <v>0</v>
      </c>
      <c r="P48" s="1371"/>
      <c r="Q48" s="1371"/>
      <c r="R48" s="1371"/>
      <c r="S48" s="1371"/>
      <c r="T48" s="1371"/>
    </row>
    <row r="49" spans="1:20" ht="12.75" customHeight="1" thickBot="1" x14ac:dyDescent="0.3">
      <c r="A49" s="1372"/>
      <c r="D49" s="1312"/>
      <c r="E49" s="1312"/>
      <c r="F49" s="1312"/>
      <c r="G49" s="1313" t="s">
        <v>536</v>
      </c>
      <c r="I49" s="1314"/>
      <c r="J49" s="1389">
        <v>-53071</v>
      </c>
      <c r="K49" s="1389">
        <v>-53071</v>
      </c>
      <c r="L49" s="1389">
        <f t="shared" ref="L49:M49" si="8">SUM(L47:L48)</f>
        <v>-53071</v>
      </c>
      <c r="M49" s="1389">
        <f t="shared" si="8"/>
        <v>-53071</v>
      </c>
      <c r="N49" s="1389">
        <f t="shared" ref="N49:O49" si="9">SUM(N47:N48)</f>
        <v>-53071</v>
      </c>
      <c r="O49" s="1389">
        <f t="shared" si="9"/>
        <v>-53071</v>
      </c>
    </row>
    <row r="50" spans="1:20" ht="12.75" customHeight="1" thickTop="1" x14ac:dyDescent="0.25">
      <c r="A50" s="1372"/>
      <c r="D50" s="1312"/>
      <c r="E50" s="1312"/>
      <c r="F50" s="1312"/>
      <c r="G50" s="1313"/>
      <c r="I50" s="1314"/>
      <c r="J50" s="1380"/>
      <c r="K50" s="1380"/>
      <c r="L50" s="1380"/>
      <c r="M50" s="1380"/>
      <c r="N50" s="1380"/>
      <c r="O50" s="1380"/>
    </row>
    <row r="51" spans="1:20" ht="12.75" customHeight="1" x14ac:dyDescent="0.25">
      <c r="A51" s="1372"/>
      <c r="D51" s="1390">
        <v>605002</v>
      </c>
      <c r="E51" s="1391"/>
      <c r="F51" s="1390"/>
      <c r="G51" s="1392" t="s">
        <v>1900</v>
      </c>
      <c r="H51" s="1371"/>
      <c r="I51" s="1386"/>
      <c r="J51" s="1393"/>
      <c r="K51" s="1393"/>
      <c r="L51" s="1393"/>
      <c r="M51" s="1393"/>
      <c r="N51" s="1393"/>
      <c r="O51" s="1393"/>
    </row>
    <row r="52" spans="1:20" ht="12.75" customHeight="1" x14ac:dyDescent="0.25">
      <c r="A52" s="1372"/>
      <c r="D52" s="1394"/>
      <c r="E52" s="1394"/>
      <c r="F52" s="1394"/>
      <c r="G52" s="1395" t="s">
        <v>533</v>
      </c>
      <c r="H52" s="1371"/>
      <c r="I52" s="1386"/>
      <c r="J52" s="1393"/>
      <c r="K52" s="1393"/>
      <c r="L52" s="1393"/>
      <c r="M52" s="1393"/>
      <c r="N52" s="1393"/>
      <c r="O52" s="1393"/>
    </row>
    <row r="53" spans="1:20" ht="12.75" customHeight="1" x14ac:dyDescent="0.25">
      <c r="A53" s="1310">
        <f>D51</f>
        <v>605002</v>
      </c>
      <c r="B53" s="1298" t="str">
        <f>G51</f>
        <v>Leningen publieke taak</v>
      </c>
      <c r="D53" s="1394">
        <v>43812</v>
      </c>
      <c r="E53" s="1394"/>
      <c r="F53" s="1394"/>
      <c r="G53" s="1385" t="s">
        <v>535</v>
      </c>
      <c r="H53" s="1371"/>
      <c r="I53" s="1386"/>
      <c r="J53" s="1393">
        <v>12000</v>
      </c>
      <c r="K53" s="1393">
        <v>18000</v>
      </c>
      <c r="L53" s="1393">
        <f t="shared" ref="L53:M53" si="10">L96</f>
        <v>18000</v>
      </c>
      <c r="M53" s="1393">
        <f t="shared" si="10"/>
        <v>18000</v>
      </c>
      <c r="N53" s="1393">
        <f t="shared" ref="N53:O53" si="11">N96</f>
        <v>18000</v>
      </c>
      <c r="O53" s="1393">
        <f t="shared" si="11"/>
        <v>18000</v>
      </c>
    </row>
    <row r="54" spans="1:20" ht="12.75" customHeight="1" x14ac:dyDescent="0.25">
      <c r="A54" s="1310">
        <f>D51</f>
        <v>605002</v>
      </c>
      <c r="B54" s="1371" t="str">
        <f>G51</f>
        <v>Leningen publieke taak</v>
      </c>
      <c r="D54" s="1394">
        <v>44380</v>
      </c>
      <c r="E54" s="1394"/>
      <c r="F54" s="1394"/>
      <c r="G54" s="1385" t="s">
        <v>1899</v>
      </c>
      <c r="H54" s="1371"/>
      <c r="I54" s="1386"/>
      <c r="J54" s="1393">
        <v>11938</v>
      </c>
      <c r="K54" s="1393">
        <v>11938</v>
      </c>
      <c r="L54" s="1393">
        <f t="shared" ref="L54:M54" si="12">+L100</f>
        <v>11938</v>
      </c>
      <c r="M54" s="1393">
        <f t="shared" si="12"/>
        <v>11938</v>
      </c>
      <c r="N54" s="1393">
        <f t="shared" ref="N54:O54" si="13">+N100</f>
        <v>11938</v>
      </c>
      <c r="O54" s="1393">
        <f t="shared" si="13"/>
        <v>0</v>
      </c>
    </row>
    <row r="55" spans="1:20" ht="12.75" customHeight="1" x14ac:dyDescent="0.25">
      <c r="A55" s="1310">
        <f>D51</f>
        <v>605002</v>
      </c>
      <c r="B55" s="1371" t="str">
        <f>G51</f>
        <v>Leningen publieke taak</v>
      </c>
      <c r="C55" s="1371"/>
      <c r="D55" s="1382">
        <v>47300</v>
      </c>
      <c r="E55" s="1382"/>
      <c r="F55" s="1382"/>
      <c r="G55" s="1313" t="s">
        <v>1033</v>
      </c>
      <c r="I55" s="1386"/>
      <c r="J55" s="1393">
        <v>0</v>
      </c>
      <c r="K55" s="1393">
        <v>0</v>
      </c>
      <c r="L55" s="1393">
        <v>0</v>
      </c>
      <c r="M55" s="1393">
        <v>0</v>
      </c>
      <c r="N55" s="1393">
        <v>0</v>
      </c>
      <c r="O55" s="1393">
        <v>0</v>
      </c>
    </row>
    <row r="56" spans="1:20" ht="12.75" customHeight="1" thickBot="1" x14ac:dyDescent="0.3">
      <c r="A56" s="1372"/>
      <c r="D56" s="1394"/>
      <c r="E56" s="1394"/>
      <c r="F56" s="1394"/>
      <c r="G56" s="1385" t="s">
        <v>536</v>
      </c>
      <c r="H56" s="1371"/>
      <c r="I56" s="1386"/>
      <c r="J56" s="1396">
        <v>23938</v>
      </c>
      <c r="K56" s="1396">
        <v>29938</v>
      </c>
      <c r="L56" s="1396">
        <f>SUM(L52:L55)</f>
        <v>29938</v>
      </c>
      <c r="M56" s="1396">
        <f>SUM(M52:M55)</f>
        <v>29938</v>
      </c>
      <c r="N56" s="1396">
        <f>SUM(N52:N55)</f>
        <v>29938</v>
      </c>
      <c r="O56" s="1396">
        <f>SUM(O52:O55)</f>
        <v>18000</v>
      </c>
    </row>
    <row r="57" spans="1:20" ht="12.75" customHeight="1" thickTop="1" x14ac:dyDescent="0.25">
      <c r="A57" s="1372"/>
      <c r="D57" s="1394"/>
      <c r="E57" s="1394"/>
      <c r="F57" s="1394"/>
      <c r="G57" s="1385"/>
      <c r="H57" s="1371"/>
      <c r="I57" s="1386"/>
      <c r="J57" s="1393"/>
      <c r="K57" s="1393"/>
      <c r="L57" s="1393"/>
      <c r="M57" s="1393"/>
      <c r="N57" s="1393"/>
      <c r="O57" s="1393"/>
    </row>
    <row r="58" spans="1:20" ht="12.75" customHeight="1" x14ac:dyDescent="0.25">
      <c r="A58" s="1372"/>
      <c r="D58" s="1390">
        <v>605002</v>
      </c>
      <c r="E58" s="1391"/>
      <c r="F58" s="1390"/>
      <c r="G58" s="1392" t="s">
        <v>1900</v>
      </c>
      <c r="H58" s="1371"/>
      <c r="I58" s="1386"/>
      <c r="J58" s="1393"/>
      <c r="K58" s="1393"/>
      <c r="L58" s="1393"/>
      <c r="M58" s="1393"/>
      <c r="N58" s="1393"/>
      <c r="O58" s="1393"/>
    </row>
    <row r="59" spans="1:20" ht="12.75" customHeight="1" x14ac:dyDescent="0.25">
      <c r="A59" s="1372"/>
      <c r="D59" s="1394"/>
      <c r="E59" s="1394"/>
      <c r="F59" s="1394"/>
      <c r="G59" s="1395" t="s">
        <v>554</v>
      </c>
      <c r="H59" s="1371"/>
      <c r="I59" s="1386"/>
      <c r="J59" s="1393"/>
      <c r="K59" s="1393"/>
      <c r="L59" s="1393"/>
      <c r="M59" s="1393"/>
      <c r="N59" s="1393"/>
      <c r="O59" s="1393"/>
    </row>
    <row r="60" spans="1:20" ht="12.75" customHeight="1" x14ac:dyDescent="0.25">
      <c r="A60" s="1310">
        <f>D58</f>
        <v>605002</v>
      </c>
      <c r="B60" s="1371" t="str">
        <f>G58</f>
        <v>Leningen publieke taak</v>
      </c>
      <c r="C60" s="1371"/>
      <c r="D60" s="1384">
        <v>85100</v>
      </c>
      <c r="E60" s="1384"/>
      <c r="F60" s="1384"/>
      <c r="G60" s="1385" t="s">
        <v>1901</v>
      </c>
      <c r="H60" s="1371"/>
      <c r="I60" s="1386"/>
      <c r="J60" s="1393">
        <v>0</v>
      </c>
      <c r="K60" s="1393">
        <v>0</v>
      </c>
      <c r="L60" s="1393">
        <v>0</v>
      </c>
      <c r="M60" s="1393">
        <v>0</v>
      </c>
      <c r="N60" s="1393">
        <v>0</v>
      </c>
      <c r="O60" s="1393">
        <v>0</v>
      </c>
      <c r="Q60" s="1375"/>
      <c r="R60" s="1375"/>
      <c r="S60" s="1375"/>
      <c r="T60" s="1375"/>
    </row>
    <row r="61" spans="1:20" ht="12.75" customHeight="1" thickBot="1" x14ac:dyDescent="0.3">
      <c r="A61" s="1372"/>
      <c r="D61" s="1394"/>
      <c r="E61" s="1394"/>
      <c r="F61" s="1394"/>
      <c r="G61" s="1385" t="s">
        <v>536</v>
      </c>
      <c r="H61" s="1371"/>
      <c r="I61" s="1386"/>
      <c r="J61" s="1396">
        <v>0</v>
      </c>
      <c r="K61" s="1396">
        <v>0</v>
      </c>
      <c r="L61" s="1396">
        <f>SUM(L60:L60)</f>
        <v>0</v>
      </c>
      <c r="M61" s="1396">
        <f>SUM(M60:M60)</f>
        <v>0</v>
      </c>
      <c r="N61" s="1396">
        <f>SUM(N60:N60)</f>
        <v>0</v>
      </c>
      <c r="O61" s="1396">
        <f>SUM(O60:O60)</f>
        <v>0</v>
      </c>
    </row>
    <row r="62" spans="1:20" ht="12.75" customHeight="1" thickTop="1" x14ac:dyDescent="0.25">
      <c r="A62" s="1372"/>
      <c r="D62" s="1394"/>
      <c r="E62" s="1394"/>
      <c r="F62" s="1394"/>
      <c r="G62" s="1385"/>
      <c r="H62" s="1371"/>
      <c r="I62" s="1386"/>
      <c r="J62" s="1397"/>
      <c r="K62" s="1397"/>
      <c r="L62" s="1397"/>
      <c r="M62" s="1397"/>
      <c r="N62" s="1397"/>
      <c r="O62" s="1397"/>
    </row>
    <row r="63" spans="1:20" ht="12.75" customHeight="1" x14ac:dyDescent="0.25">
      <c r="A63" s="1372"/>
      <c r="D63" s="1390">
        <v>605003</v>
      </c>
      <c r="E63" s="1391"/>
      <c r="F63" s="1390"/>
      <c r="G63" s="1392" t="s">
        <v>223</v>
      </c>
      <c r="H63" s="1371"/>
      <c r="I63" s="1386"/>
      <c r="J63" s="1393"/>
      <c r="K63" s="1393"/>
      <c r="L63" s="1393"/>
      <c r="M63" s="1393"/>
      <c r="N63" s="1393"/>
      <c r="O63" s="1393"/>
    </row>
    <row r="64" spans="1:20" ht="12.75" customHeight="1" x14ac:dyDescent="0.25">
      <c r="A64" s="1372"/>
      <c r="D64" s="1394"/>
      <c r="E64" s="1394"/>
      <c r="F64" s="1394"/>
      <c r="G64" s="1395" t="s">
        <v>533</v>
      </c>
      <c r="H64" s="1371"/>
      <c r="I64" s="1386"/>
      <c r="J64" s="1393"/>
      <c r="K64" s="1393"/>
      <c r="L64" s="1393"/>
      <c r="M64" s="1393"/>
      <c r="N64" s="1393"/>
      <c r="O64" s="1393"/>
      <c r="Q64" s="1298" t="s">
        <v>1902</v>
      </c>
    </row>
    <row r="65" spans="1:20" ht="12.75" customHeight="1" x14ac:dyDescent="0.25">
      <c r="A65" s="1310">
        <f>D63</f>
        <v>605003</v>
      </c>
      <c r="B65" s="1371" t="str">
        <f>G63</f>
        <v>Treasury</v>
      </c>
      <c r="D65" s="1394">
        <v>45100</v>
      </c>
      <c r="E65" s="1394"/>
      <c r="F65" s="1394"/>
      <c r="G65" s="1385" t="s">
        <v>981</v>
      </c>
      <c r="H65" s="1371"/>
      <c r="I65" s="1386"/>
      <c r="J65" s="1386">
        <v>180625</v>
      </c>
      <c r="K65" s="1386">
        <v>174833</v>
      </c>
      <c r="L65" s="1386">
        <f t="shared" ref="L65:M65" si="14">+L109</f>
        <v>599140</v>
      </c>
      <c r="M65" s="1386">
        <f t="shared" si="14"/>
        <v>1053967</v>
      </c>
      <c r="N65" s="1386">
        <f t="shared" ref="N65:O65" si="15">+N109</f>
        <v>1750583.33</v>
      </c>
      <c r="O65" s="2155">
        <f t="shared" si="15"/>
        <v>0</v>
      </c>
      <c r="R65" s="1398" t="s">
        <v>1903</v>
      </c>
      <c r="S65" s="1298" t="s">
        <v>1904</v>
      </c>
    </row>
    <row r="66" spans="1:20" ht="12.75" customHeight="1" x14ac:dyDescent="0.25">
      <c r="A66" s="1310">
        <f>D63</f>
        <v>605003</v>
      </c>
      <c r="B66" s="1371" t="str">
        <f>G63</f>
        <v>Treasury</v>
      </c>
      <c r="D66" s="1384">
        <v>47400</v>
      </c>
      <c r="E66" s="1384"/>
      <c r="F66" s="1384"/>
      <c r="G66" s="1385" t="s">
        <v>1905</v>
      </c>
      <c r="H66" s="1371"/>
      <c r="I66" s="1386"/>
      <c r="J66" s="1393">
        <v>-143318</v>
      </c>
      <c r="K66" s="1393">
        <v>0</v>
      </c>
      <c r="L66" s="1393">
        <f t="shared" ref="L66:M66" si="16">L122</f>
        <v>0</v>
      </c>
      <c r="M66" s="1393">
        <f t="shared" si="16"/>
        <v>0</v>
      </c>
      <c r="N66" s="1393">
        <f t="shared" ref="N66:O66" si="17">N122</f>
        <v>0</v>
      </c>
      <c r="O66" s="2156">
        <f t="shared" si="17"/>
        <v>0</v>
      </c>
      <c r="Q66" s="1371">
        <v>2021</v>
      </c>
      <c r="R66" s="1371">
        <v>1908989.34</v>
      </c>
      <c r="S66" s="1400">
        <v>1.5E-3</v>
      </c>
      <c r="T66" s="1401">
        <f>R66*S66</f>
        <v>2863.4840100000001</v>
      </c>
    </row>
    <row r="67" spans="1:20" ht="12.75" customHeight="1" thickBot="1" x14ac:dyDescent="0.3">
      <c r="A67" s="1372"/>
      <c r="D67" s="1394"/>
      <c r="E67" s="1394"/>
      <c r="F67" s="1394"/>
      <c r="G67" s="1385" t="s">
        <v>536</v>
      </c>
      <c r="H67" s="1371"/>
      <c r="I67" s="1386"/>
      <c r="J67" s="1396">
        <v>37307</v>
      </c>
      <c r="K67" s="1396">
        <v>174833</v>
      </c>
      <c r="L67" s="1396">
        <f>SUM(L64:L66)</f>
        <v>599140</v>
      </c>
      <c r="M67" s="1396">
        <f>SUM(M64:M66)</f>
        <v>1053967</v>
      </c>
      <c r="N67" s="1396">
        <f>SUM(N64:N66)</f>
        <v>1750583.33</v>
      </c>
      <c r="O67" s="1396">
        <f>SUM(O64:O66)</f>
        <v>0</v>
      </c>
      <c r="Q67" s="1298">
        <v>2022</v>
      </c>
      <c r="R67" s="1298">
        <v>1751383.46</v>
      </c>
      <c r="S67" s="1400">
        <v>1.5E-3</v>
      </c>
      <c r="T67" s="1401">
        <f t="shared" ref="T67:T75" si="18">R67*S67</f>
        <v>2627.07519</v>
      </c>
    </row>
    <row r="68" spans="1:20" ht="12.75" customHeight="1" thickTop="1" x14ac:dyDescent="0.25">
      <c r="A68" s="1372"/>
      <c r="D68" s="1394"/>
      <c r="E68" s="1394"/>
      <c r="F68" s="1394"/>
      <c r="G68" s="1385"/>
      <c r="H68" s="1371"/>
      <c r="I68" s="1386"/>
      <c r="J68" s="1393"/>
      <c r="K68" s="1393"/>
      <c r="L68" s="1393"/>
      <c r="M68" s="1393"/>
      <c r="N68" s="1393"/>
      <c r="O68" s="1393"/>
      <c r="Q68" s="1298">
        <v>2023</v>
      </c>
      <c r="R68" s="1298">
        <v>1587173.9</v>
      </c>
      <c r="S68" s="1400">
        <v>1.5E-3</v>
      </c>
      <c r="T68" s="1401">
        <f t="shared" si="18"/>
        <v>2380.7608500000001</v>
      </c>
    </row>
    <row r="69" spans="1:20" ht="12.75" customHeight="1" x14ac:dyDescent="0.25">
      <c r="A69" s="1372"/>
      <c r="D69" s="1390">
        <v>605003</v>
      </c>
      <c r="E69" s="1391"/>
      <c r="F69" s="1390"/>
      <c r="G69" s="1392" t="s">
        <v>223</v>
      </c>
      <c r="H69" s="1371"/>
      <c r="I69" s="1386"/>
      <c r="J69" s="1393"/>
      <c r="K69" s="1393"/>
      <c r="L69" s="1393"/>
      <c r="M69" s="1393"/>
      <c r="N69" s="1393"/>
      <c r="O69" s="1393"/>
      <c r="Q69" s="1298">
        <v>2024</v>
      </c>
      <c r="R69" s="1298">
        <v>1416083.96</v>
      </c>
      <c r="S69" s="1400">
        <v>1.5E-3</v>
      </c>
      <c r="T69" s="1401">
        <f t="shared" si="18"/>
        <v>2124.1259399999999</v>
      </c>
    </row>
    <row r="70" spans="1:20" ht="12.75" customHeight="1" x14ac:dyDescent="0.25">
      <c r="A70" s="1372"/>
      <c r="D70" s="1394"/>
      <c r="E70" s="1394"/>
      <c r="F70" s="1394"/>
      <c r="G70" s="1395" t="s">
        <v>554</v>
      </c>
      <c r="H70" s="1371"/>
      <c r="I70" s="1386"/>
      <c r="J70" s="1393"/>
      <c r="K70" s="1393"/>
      <c r="L70" s="1393"/>
      <c r="M70" s="1393"/>
      <c r="N70" s="1393"/>
      <c r="O70" s="1393"/>
      <c r="Q70" s="1298">
        <v>2025</v>
      </c>
      <c r="R70" s="1298">
        <v>1237825.3500000001</v>
      </c>
      <c r="S70" s="1400">
        <v>1.5E-3</v>
      </c>
      <c r="T70" s="1401">
        <f t="shared" si="18"/>
        <v>1856.7380250000001</v>
      </c>
    </row>
    <row r="71" spans="1:20" ht="12.75" customHeight="1" x14ac:dyDescent="0.25">
      <c r="A71" s="1310">
        <f>D69</f>
        <v>605003</v>
      </c>
      <c r="B71" s="1371" t="str">
        <f>G69</f>
        <v>Treasury</v>
      </c>
      <c r="C71" s="1371"/>
      <c r="D71" s="1384">
        <v>85100</v>
      </c>
      <c r="E71" s="1384"/>
      <c r="F71" s="1384"/>
      <c r="G71" s="1385" t="s">
        <v>1901</v>
      </c>
      <c r="H71" s="1371"/>
      <c r="I71" s="1386"/>
      <c r="J71" s="1386">
        <v>-332132.73802499997</v>
      </c>
      <c r="K71" s="1386">
        <f t="shared" ref="K71:M71" si="19">K137</f>
        <v>-134920.14655</v>
      </c>
      <c r="L71" s="1386">
        <f t="shared" si="19"/>
        <v>-53975.882089999999</v>
      </c>
      <c r="M71" s="1386">
        <f t="shared" si="19"/>
        <v>-53214.455555</v>
      </c>
      <c r="N71" s="1386">
        <f t="shared" ref="N71:O71" si="20">N137</f>
        <v>-52437.46</v>
      </c>
      <c r="O71" s="1386">
        <f t="shared" si="20"/>
        <v>-49100</v>
      </c>
      <c r="Q71" s="1298">
        <v>2026</v>
      </c>
      <c r="R71" s="1298">
        <v>1052097.7</v>
      </c>
      <c r="S71" s="1400">
        <v>1.5E-3</v>
      </c>
      <c r="T71" s="1401">
        <f t="shared" si="18"/>
        <v>1578.1465499999999</v>
      </c>
    </row>
    <row r="72" spans="1:20" ht="12.75" customHeight="1" thickBot="1" x14ac:dyDescent="0.3">
      <c r="A72" s="1372"/>
      <c r="D72" s="1394"/>
      <c r="E72" s="1394"/>
      <c r="F72" s="1394"/>
      <c r="G72" s="1385" t="s">
        <v>536</v>
      </c>
      <c r="H72" s="1371"/>
      <c r="I72" s="1386"/>
      <c r="J72" s="1396">
        <v>-332132.73802499997</v>
      </c>
      <c r="K72" s="1396">
        <f>SUM(K71)</f>
        <v>-134920.14655</v>
      </c>
      <c r="L72" s="1396">
        <f t="shared" ref="L72:O72" si="21">SUM(L71)</f>
        <v>-53975.882089999999</v>
      </c>
      <c r="M72" s="1396">
        <f t="shared" si="21"/>
        <v>-53214.455555</v>
      </c>
      <c r="N72" s="1396">
        <f t="shared" si="21"/>
        <v>-52437.46</v>
      </c>
      <c r="O72" s="1396">
        <f t="shared" si="21"/>
        <v>-49100</v>
      </c>
      <c r="Q72" s="1298">
        <v>2027</v>
      </c>
      <c r="R72" s="1296">
        <v>858588.06</v>
      </c>
      <c r="S72" s="1400">
        <v>1.5E-3</v>
      </c>
      <c r="T72" s="1401">
        <f t="shared" si="18"/>
        <v>1287.8820900000001</v>
      </c>
    </row>
    <row r="73" spans="1:20" ht="12.75" customHeight="1" thickTop="1" x14ac:dyDescent="0.25">
      <c r="A73" s="1372"/>
      <c r="D73" s="1394"/>
      <c r="E73" s="1394"/>
      <c r="F73" s="1394"/>
      <c r="G73" s="1385"/>
      <c r="H73" s="1371"/>
      <c r="I73" s="1386"/>
      <c r="J73" s="1393"/>
      <c r="K73" s="1393"/>
      <c r="L73" s="1393"/>
      <c r="M73" s="1393"/>
      <c r="N73" s="1393"/>
      <c r="O73" s="1393"/>
      <c r="Q73" s="1298">
        <v>2028</v>
      </c>
      <c r="R73" s="1296">
        <v>656970.37</v>
      </c>
      <c r="S73" s="1400">
        <v>1.5E-3</v>
      </c>
      <c r="T73" s="1401">
        <f t="shared" si="18"/>
        <v>985.455555</v>
      </c>
    </row>
    <row r="74" spans="1:20" ht="12.75" customHeight="1" x14ac:dyDescent="0.25">
      <c r="A74" s="1372"/>
      <c r="D74" s="1390">
        <v>605901</v>
      </c>
      <c r="E74" s="1391"/>
      <c r="F74" s="1399"/>
      <c r="G74" s="1392" t="s">
        <v>1906</v>
      </c>
      <c r="H74" s="1371"/>
      <c r="I74" s="1386"/>
      <c r="J74" s="1393"/>
      <c r="K74" s="1393"/>
      <c r="L74" s="1393"/>
      <c r="M74" s="1393"/>
      <c r="N74" s="1393"/>
      <c r="O74" s="1393"/>
      <c r="Q74" s="1298">
        <v>2029</v>
      </c>
      <c r="R74" s="1296">
        <v>446904.9</v>
      </c>
      <c r="S74" s="1400">
        <v>1.5E-3</v>
      </c>
      <c r="T74" s="1401">
        <f t="shared" si="18"/>
        <v>670.35735</v>
      </c>
    </row>
    <row r="75" spans="1:20" ht="12.75" customHeight="1" x14ac:dyDescent="0.25">
      <c r="A75" s="1372"/>
      <c r="D75" s="1394"/>
      <c r="E75" s="1394"/>
      <c r="F75" s="1394"/>
      <c r="G75" s="1395" t="s">
        <v>533</v>
      </c>
      <c r="H75" s="1371"/>
      <c r="I75" s="1386"/>
      <c r="J75" s="1393"/>
      <c r="K75" s="1393"/>
      <c r="L75" s="1393"/>
      <c r="M75" s="1393"/>
      <c r="N75" s="1393"/>
      <c r="O75" s="1393"/>
      <c r="Q75" s="1298">
        <v>2030</v>
      </c>
      <c r="R75" s="1296">
        <v>228037.69</v>
      </c>
      <c r="S75" s="1400">
        <v>1.5E-3</v>
      </c>
      <c r="T75" s="1401">
        <f t="shared" si="18"/>
        <v>342.056535</v>
      </c>
    </row>
    <row r="76" spans="1:20" ht="12.75" customHeight="1" x14ac:dyDescent="0.25">
      <c r="A76" s="1310">
        <f>D74</f>
        <v>605901</v>
      </c>
      <c r="B76" s="1371" t="str">
        <f>G74</f>
        <v>Directe toerekening treasury</v>
      </c>
      <c r="D76" s="1384">
        <v>41100</v>
      </c>
      <c r="E76" s="1384"/>
      <c r="F76" s="1384"/>
      <c r="G76" s="1385" t="s">
        <v>700</v>
      </c>
      <c r="H76" s="1371"/>
      <c r="I76" s="1386"/>
      <c r="J76" s="1393">
        <v>0</v>
      </c>
      <c r="K76" s="1393">
        <v>0</v>
      </c>
      <c r="L76" s="1393">
        <v>0</v>
      </c>
      <c r="M76" s="1393">
        <v>0</v>
      </c>
      <c r="N76" s="1393">
        <v>0</v>
      </c>
      <c r="O76" s="1393">
        <v>0</v>
      </c>
    </row>
    <row r="77" spans="1:20" ht="12.75" customHeight="1" x14ac:dyDescent="0.25">
      <c r="A77" s="1310">
        <v>605901</v>
      </c>
      <c r="B77" s="1371" t="s">
        <v>1906</v>
      </c>
      <c r="D77" s="1382">
        <v>47300</v>
      </c>
      <c r="E77" s="1382"/>
      <c r="F77" s="1382"/>
      <c r="G77" s="1313" t="s">
        <v>1033</v>
      </c>
      <c r="I77" s="1386"/>
      <c r="J77" s="1386">
        <v>0</v>
      </c>
      <c r="K77" s="1393">
        <v>0</v>
      </c>
      <c r="L77" s="1393">
        <v>0</v>
      </c>
      <c r="M77" s="1393">
        <v>0</v>
      </c>
      <c r="N77" s="1393">
        <v>0</v>
      </c>
      <c r="O77" s="1393">
        <v>0</v>
      </c>
    </row>
    <row r="78" spans="1:20" ht="12.75" customHeight="1" thickBot="1" x14ac:dyDescent="0.3">
      <c r="A78" s="1372"/>
      <c r="D78" s="1709"/>
      <c r="E78" s="1709"/>
      <c r="F78" s="1709"/>
      <c r="G78" s="1710" t="s">
        <v>536</v>
      </c>
      <c r="H78" s="1711"/>
      <c r="I78" s="1712"/>
      <c r="J78" s="1708">
        <v>0</v>
      </c>
      <c r="K78" s="1396">
        <v>0</v>
      </c>
      <c r="L78" s="1396">
        <f>SUM(L75:L76)</f>
        <v>0</v>
      </c>
      <c r="M78" s="1396">
        <f>SUM(M75:M76)</f>
        <v>0</v>
      </c>
      <c r="N78" s="1396">
        <f>SUM(N75:N76)</f>
        <v>0</v>
      </c>
      <c r="O78" s="1396">
        <f>SUM(O75:O76)</f>
        <v>0</v>
      </c>
    </row>
    <row r="79" spans="1:20" ht="12.75" customHeight="1" thickTop="1" x14ac:dyDescent="0.25">
      <c r="D79" s="1402"/>
      <c r="E79" s="1402"/>
      <c r="F79" s="1402"/>
      <c r="I79" s="1375"/>
      <c r="J79" s="1375"/>
      <c r="K79" s="1375"/>
      <c r="L79" s="1375"/>
      <c r="M79" s="1375"/>
      <c r="N79" s="1375"/>
      <c r="O79" s="1375"/>
    </row>
    <row r="80" spans="1:20" ht="12.75" customHeight="1" x14ac:dyDescent="0.25">
      <c r="D80" s="1402"/>
      <c r="E80" s="1402"/>
      <c r="F80" s="1402"/>
      <c r="I80" s="1375"/>
      <c r="J80" s="1375"/>
      <c r="K80" s="1375"/>
      <c r="L80" s="1375"/>
      <c r="M80" s="1375"/>
      <c r="N80" s="1375"/>
      <c r="O80" s="1375"/>
    </row>
    <row r="81" spans="4:16" ht="12.75" customHeight="1" x14ac:dyDescent="0.25">
      <c r="D81" s="1402"/>
      <c r="E81" s="1403" t="s">
        <v>561</v>
      </c>
      <c r="F81" s="1298"/>
      <c r="G81" s="1368"/>
      <c r="H81" s="1368"/>
      <c r="J81" s="1298"/>
      <c r="K81" s="1298"/>
      <c r="L81" s="1298"/>
      <c r="M81" s="1298"/>
      <c r="N81" s="1298"/>
      <c r="O81" s="1298"/>
    </row>
    <row r="82" spans="4:16" ht="12.75" customHeight="1" x14ac:dyDescent="0.25">
      <c r="D82" s="1402"/>
      <c r="E82" s="1306" t="s">
        <v>1907</v>
      </c>
      <c r="F82" s="1298"/>
      <c r="G82" s="1368"/>
      <c r="H82" s="1368"/>
      <c r="J82" s="1298"/>
      <c r="K82" s="1298"/>
      <c r="L82" s="1298"/>
      <c r="M82" s="1298"/>
      <c r="N82" s="1298"/>
      <c r="O82" s="1298"/>
    </row>
    <row r="83" spans="4:16" ht="12.75" customHeight="1" x14ac:dyDescent="0.25">
      <c r="D83" s="1402"/>
      <c r="E83" s="1306"/>
      <c r="F83" s="1298"/>
      <c r="G83" s="1368"/>
      <c r="H83" s="1368"/>
      <c r="J83" s="1298"/>
      <c r="K83" s="1298"/>
      <c r="L83" s="1298"/>
      <c r="M83" s="1298"/>
      <c r="N83" s="1298"/>
      <c r="O83" s="1298"/>
    </row>
    <row r="84" spans="4:16" ht="12.75" customHeight="1" x14ac:dyDescent="0.25">
      <c r="D84" s="1305">
        <v>605001</v>
      </c>
      <c r="E84" s="1403" t="s">
        <v>1897</v>
      </c>
      <c r="F84" s="1298"/>
      <c r="G84" s="1375"/>
      <c r="H84" s="1375"/>
      <c r="I84" s="1375"/>
      <c r="J84" s="1404" t="s">
        <v>188</v>
      </c>
      <c r="K84" s="1404" t="s">
        <v>189</v>
      </c>
      <c r="L84" s="1404" t="s">
        <v>190</v>
      </c>
      <c r="M84" s="1404" t="s">
        <v>191</v>
      </c>
      <c r="N84" s="1404" t="s">
        <v>192</v>
      </c>
      <c r="O84" s="1404">
        <v>2030</v>
      </c>
    </row>
    <row r="85" spans="4:16" ht="12.75" customHeight="1" x14ac:dyDescent="0.25">
      <c r="D85" s="1310"/>
      <c r="E85" s="1306" t="s">
        <v>554</v>
      </c>
      <c r="F85" s="1298"/>
      <c r="G85" s="1375"/>
      <c r="H85" s="1375"/>
      <c r="I85" s="1375"/>
      <c r="J85" s="1298"/>
      <c r="K85" s="1298"/>
      <c r="L85" s="1298"/>
      <c r="M85" s="1298"/>
      <c r="N85" s="1298"/>
      <c r="O85" s="1298"/>
    </row>
    <row r="86" spans="4:16" ht="12.75" customHeight="1" x14ac:dyDescent="0.25">
      <c r="D86" s="1297">
        <v>85200</v>
      </c>
      <c r="E86" s="1298" t="s">
        <v>1908</v>
      </c>
      <c r="F86" s="1298"/>
      <c r="G86" s="1375"/>
      <c r="H86" s="1375"/>
      <c r="I86" s="1375"/>
      <c r="J86" s="1298"/>
      <c r="K86" s="1298"/>
      <c r="L86" s="1298"/>
      <c r="M86" s="1298"/>
      <c r="N86" s="1298"/>
      <c r="O86" s="1298"/>
    </row>
    <row r="87" spans="4:16" ht="12.75" customHeight="1" x14ac:dyDescent="0.25">
      <c r="D87" s="1310"/>
      <c r="E87" s="1298" t="s">
        <v>1909</v>
      </c>
      <c r="F87" s="1298"/>
      <c r="G87" s="1375"/>
      <c r="H87" s="1375"/>
      <c r="I87" s="1375"/>
      <c r="J87" s="1298"/>
      <c r="K87" s="1298"/>
      <c r="L87" s="1298"/>
      <c r="M87" s="1298"/>
      <c r="N87" s="1298"/>
      <c r="O87" s="1298"/>
    </row>
    <row r="88" spans="4:16" ht="12.75" customHeight="1" x14ac:dyDescent="0.25">
      <c r="D88" s="1310"/>
      <c r="E88" s="1298" t="s">
        <v>1910</v>
      </c>
      <c r="F88" s="1298"/>
      <c r="G88" s="1375"/>
      <c r="H88" s="1375"/>
      <c r="I88" s="1375"/>
      <c r="J88" s="1375">
        <v>-53071</v>
      </c>
      <c r="K88" s="1375">
        <v>-53071</v>
      </c>
      <c r="L88" s="1375">
        <v>-53071</v>
      </c>
      <c r="M88" s="1375">
        <v>-53071</v>
      </c>
      <c r="N88" s="1375">
        <v>-53071</v>
      </c>
      <c r="O88" s="1375">
        <v>-53071</v>
      </c>
      <c r="P88" s="1298" t="s">
        <v>1911</v>
      </c>
    </row>
    <row r="89" spans="4:16" ht="12.75" customHeight="1" thickBot="1" x14ac:dyDescent="0.3">
      <c r="D89" s="1310"/>
      <c r="E89" s="1298" t="s">
        <v>1912</v>
      </c>
      <c r="F89" s="1298"/>
      <c r="G89" s="1375"/>
      <c r="H89" s="1375"/>
      <c r="I89" s="1375"/>
      <c r="J89" s="1845">
        <v>-53071</v>
      </c>
      <c r="K89" s="1845">
        <v>-53071</v>
      </c>
      <c r="L89" s="1845">
        <f>SUM(L88:L88)</f>
        <v>-53071</v>
      </c>
      <c r="M89" s="1845">
        <f>SUM(M88:M88)</f>
        <v>-53071</v>
      </c>
      <c r="N89" s="1845">
        <f>SUM(N88:N88)</f>
        <v>-53071</v>
      </c>
      <c r="O89" s="1845">
        <f>SUM(O88:O88)</f>
        <v>-53071</v>
      </c>
    </row>
    <row r="90" spans="4:16" ht="12.75" customHeight="1" thickTop="1" x14ac:dyDescent="0.25">
      <c r="D90" s="1310"/>
      <c r="E90" s="1298"/>
      <c r="F90" s="1298"/>
      <c r="G90" s="1375"/>
      <c r="H90" s="1375"/>
      <c r="I90" s="1375"/>
      <c r="J90" s="1375"/>
      <c r="K90" s="1375"/>
      <c r="L90" s="1375"/>
      <c r="M90" s="1375"/>
      <c r="N90" s="1375"/>
      <c r="O90" s="1375"/>
    </row>
    <row r="91" spans="4:16" ht="12.75" customHeight="1" x14ac:dyDescent="0.25">
      <c r="D91" s="1310"/>
      <c r="E91" s="1298"/>
      <c r="F91" s="1298"/>
      <c r="G91" s="1375"/>
      <c r="H91" s="1375"/>
      <c r="I91" s="1375"/>
      <c r="J91" s="1375"/>
      <c r="K91" s="1375"/>
      <c r="L91" s="1375"/>
      <c r="M91" s="1375"/>
      <c r="N91" s="1375"/>
      <c r="O91" s="1375"/>
    </row>
    <row r="92" spans="4:16" ht="12.75" customHeight="1" x14ac:dyDescent="0.25">
      <c r="D92" s="1405">
        <v>605002</v>
      </c>
      <c r="E92" s="1403" t="s">
        <v>1900</v>
      </c>
      <c r="F92" s="1403"/>
      <c r="G92" s="1368"/>
      <c r="H92" s="1368"/>
    </row>
    <row r="93" spans="4:16" ht="12.75" customHeight="1" x14ac:dyDescent="0.25">
      <c r="D93" s="1405"/>
      <c r="E93" s="1406" t="s">
        <v>533</v>
      </c>
      <c r="F93" s="1407"/>
      <c r="G93" s="1368"/>
      <c r="H93" s="1368"/>
      <c r="J93" s="1408"/>
      <c r="K93" s="1408"/>
      <c r="L93" s="1408"/>
      <c r="M93" s="1408"/>
      <c r="N93" s="1408"/>
      <c r="O93" s="1408"/>
    </row>
    <row r="94" spans="4:16" ht="12.75" customHeight="1" x14ac:dyDescent="0.25">
      <c r="D94" s="1409">
        <v>43812</v>
      </c>
      <c r="E94" s="1410" t="s">
        <v>1913</v>
      </c>
      <c r="F94" s="1407"/>
      <c r="G94" s="1368"/>
      <c r="H94" s="1368"/>
      <c r="J94" s="1411">
        <v>12000</v>
      </c>
      <c r="K94" s="1411">
        <v>18000</v>
      </c>
      <c r="L94" s="1411">
        <v>18000</v>
      </c>
      <c r="M94" s="1411">
        <v>18000</v>
      </c>
      <c r="N94" s="1411">
        <v>18000</v>
      </c>
      <c r="O94" s="1411">
        <v>18000</v>
      </c>
      <c r="P94" s="1411" t="s">
        <v>1914</v>
      </c>
    </row>
    <row r="95" spans="4:16" ht="12.75" customHeight="1" x14ac:dyDescent="0.25">
      <c r="D95" s="1409">
        <v>43812</v>
      </c>
      <c r="E95" s="1410" t="s">
        <v>1915</v>
      </c>
      <c r="F95" s="1407"/>
      <c r="G95" s="1368"/>
      <c r="H95" s="1368"/>
      <c r="J95" s="1412" t="s">
        <v>1916</v>
      </c>
      <c r="K95" s="1412">
        <v>0</v>
      </c>
      <c r="L95" s="1412">
        <v>0</v>
      </c>
      <c r="M95" s="1412">
        <v>0</v>
      </c>
      <c r="N95" s="1412">
        <v>0</v>
      </c>
      <c r="O95" s="1412">
        <v>0</v>
      </c>
      <c r="P95" s="1307"/>
    </row>
    <row r="96" spans="4:16" ht="12.75" customHeight="1" thickBot="1" x14ac:dyDescent="0.3">
      <c r="D96" s="1405"/>
      <c r="E96" s="1407" t="s">
        <v>536</v>
      </c>
      <c r="F96" s="1407"/>
      <c r="G96" s="1368"/>
      <c r="H96" s="1368"/>
      <c r="J96" s="1846">
        <v>12000</v>
      </c>
      <c r="K96" s="1846">
        <v>18000</v>
      </c>
      <c r="L96" s="1846">
        <f t="shared" ref="L96:M96" si="22">SUM(L94:L95)</f>
        <v>18000</v>
      </c>
      <c r="M96" s="1846">
        <f t="shared" si="22"/>
        <v>18000</v>
      </c>
      <c r="N96" s="1846">
        <f t="shared" ref="N96:O96" si="23">SUM(N94:N95)</f>
        <v>18000</v>
      </c>
      <c r="O96" s="1846">
        <f t="shared" si="23"/>
        <v>18000</v>
      </c>
    </row>
    <row r="97" spans="4:20" ht="12.75" customHeight="1" thickTop="1" x14ac:dyDescent="0.25">
      <c r="D97" s="1405"/>
      <c r="E97" s="1413"/>
      <c r="F97" s="1407"/>
      <c r="G97" s="1368"/>
      <c r="H97" s="1368"/>
      <c r="J97" s="1408"/>
      <c r="K97" s="1408"/>
      <c r="L97" s="1408"/>
      <c r="M97" s="1408"/>
      <c r="N97" s="1408"/>
      <c r="O97" s="1408"/>
    </row>
    <row r="98" spans="4:20" ht="12.75" customHeight="1" x14ac:dyDescent="0.25">
      <c r="D98" s="1409">
        <v>44380</v>
      </c>
      <c r="E98" s="1371" t="s">
        <v>1917</v>
      </c>
      <c r="F98" s="1407"/>
      <c r="G98" s="1368"/>
      <c r="H98" s="1368"/>
      <c r="J98" s="1414">
        <v>8081</v>
      </c>
      <c r="K98" s="1414">
        <v>7895</v>
      </c>
      <c r="L98" s="1414">
        <v>7700</v>
      </c>
      <c r="M98" s="1414">
        <v>7496</v>
      </c>
      <c r="N98" s="1414">
        <v>7282</v>
      </c>
      <c r="O98" s="2079">
        <v>0</v>
      </c>
      <c r="P98" s="1307"/>
    </row>
    <row r="99" spans="4:20" ht="12.75" customHeight="1" x14ac:dyDescent="0.25">
      <c r="D99" s="1409"/>
      <c r="E99" s="1371" t="s">
        <v>1918</v>
      </c>
      <c r="F99" s="1407"/>
      <c r="G99" s="1368"/>
      <c r="H99" s="1368"/>
      <c r="J99" s="1414">
        <v>3857</v>
      </c>
      <c r="K99" s="1414">
        <v>4043</v>
      </c>
      <c r="L99" s="1414">
        <v>4238</v>
      </c>
      <c r="M99" s="1414">
        <v>4442</v>
      </c>
      <c r="N99" s="1414">
        <v>4656</v>
      </c>
      <c r="O99" s="2079">
        <v>0</v>
      </c>
      <c r="P99" s="1307"/>
    </row>
    <row r="100" spans="4:20" ht="12.75" customHeight="1" thickBot="1" x14ac:dyDescent="0.3">
      <c r="D100" s="1409"/>
      <c r="E100" s="1371" t="s">
        <v>536</v>
      </c>
      <c r="F100" s="1407"/>
      <c r="G100" s="1368"/>
      <c r="H100" s="1368"/>
      <c r="J100" s="1847">
        <v>11938</v>
      </c>
      <c r="K100" s="1847">
        <v>11938</v>
      </c>
      <c r="L100" s="1847">
        <f>SUM(L98:L99)</f>
        <v>11938</v>
      </c>
      <c r="M100" s="1847">
        <f>SUM(M98:M99)</f>
        <v>11938</v>
      </c>
      <c r="N100" s="1847">
        <f>SUM(N98:N99)</f>
        <v>11938</v>
      </c>
      <c r="O100" s="1847">
        <f>SUM(O98:O99)</f>
        <v>0</v>
      </c>
    </row>
    <row r="101" spans="4:20" ht="12.75" customHeight="1" thickTop="1" x14ac:dyDescent="0.25">
      <c r="D101" s="1409"/>
      <c r="E101" s="1371"/>
      <c r="F101" s="1407"/>
      <c r="G101" s="1368"/>
      <c r="H101" s="1368"/>
      <c r="J101" s="1414"/>
      <c r="K101" s="1414"/>
      <c r="L101" s="1414"/>
      <c r="M101" s="1414"/>
      <c r="N101" s="1414"/>
      <c r="O101" s="1414"/>
    </row>
    <row r="102" spans="4:20" ht="12.75" customHeight="1" x14ac:dyDescent="0.25">
      <c r="D102" s="1415">
        <v>605003</v>
      </c>
      <c r="E102" s="1416" t="s">
        <v>223</v>
      </c>
      <c r="F102" s="1371"/>
      <c r="G102" s="1414"/>
      <c r="H102" s="1414"/>
      <c r="I102" s="1414"/>
      <c r="J102" s="1414"/>
      <c r="K102" s="1414"/>
      <c r="L102" s="1414"/>
      <c r="M102" s="1414"/>
      <c r="N102" s="1414"/>
      <c r="O102" s="1414"/>
      <c r="R102" s="1375"/>
      <c r="S102" s="1375"/>
      <c r="T102" s="1375"/>
    </row>
    <row r="103" spans="4:20" ht="12.75" customHeight="1" x14ac:dyDescent="0.25">
      <c r="D103" s="1415"/>
      <c r="E103" s="1417" t="s">
        <v>533</v>
      </c>
      <c r="F103" s="1371"/>
      <c r="G103" s="1414"/>
      <c r="H103" s="1414"/>
      <c r="I103" s="1414"/>
      <c r="J103" s="1418"/>
      <c r="K103" s="1418"/>
      <c r="L103" s="1418"/>
      <c r="M103" s="1418"/>
      <c r="N103" s="1418"/>
      <c r="O103" s="1418"/>
      <c r="S103" s="1375"/>
      <c r="T103" s="1375"/>
    </row>
    <row r="104" spans="4:20" ht="12.75" customHeight="1" x14ac:dyDescent="0.25">
      <c r="D104" s="1419">
        <v>45100</v>
      </c>
      <c r="E104" s="1371" t="s">
        <v>1919</v>
      </c>
      <c r="F104" s="1371"/>
      <c r="G104" s="1414"/>
      <c r="H104" s="1414"/>
      <c r="I104" s="1414"/>
      <c r="J104" s="1420">
        <v>90900</v>
      </c>
      <c r="K104" s="1420">
        <v>87533</v>
      </c>
      <c r="L104" s="1420">
        <v>84167</v>
      </c>
      <c r="M104" s="1420">
        <v>80800</v>
      </c>
      <c r="N104" s="1420">
        <v>77433.33</v>
      </c>
      <c r="O104" s="2296">
        <v>0</v>
      </c>
      <c r="P104" s="1307"/>
    </row>
    <row r="105" spans="4:20" ht="12.75" customHeight="1" x14ac:dyDescent="0.25">
      <c r="D105" s="1419"/>
      <c r="E105" s="1371" t="s">
        <v>1920</v>
      </c>
      <c r="F105" s="1371"/>
      <c r="G105" s="1414"/>
      <c r="H105" s="1414"/>
      <c r="I105" s="1414"/>
      <c r="J105" s="1420">
        <v>89725</v>
      </c>
      <c r="K105" s="1420">
        <v>87300</v>
      </c>
      <c r="L105" s="1420">
        <v>84475</v>
      </c>
      <c r="M105" s="1420">
        <v>82450</v>
      </c>
      <c r="N105" s="1420">
        <v>80025</v>
      </c>
      <c r="O105" s="2296">
        <v>0</v>
      </c>
      <c r="P105" s="1307"/>
    </row>
    <row r="106" spans="4:20" ht="12.75" customHeight="1" x14ac:dyDescent="0.25">
      <c r="D106" s="1421"/>
      <c r="E106" s="1422" t="s">
        <v>1921</v>
      </c>
      <c r="F106" s="1371"/>
      <c r="G106" s="1414"/>
      <c r="H106" s="1414"/>
      <c r="I106" s="1414"/>
      <c r="J106" s="1414"/>
      <c r="K106" s="1414"/>
      <c r="L106" s="1414">
        <v>430498</v>
      </c>
      <c r="M106" s="1414">
        <v>890717</v>
      </c>
      <c r="N106" s="1414">
        <v>1593125</v>
      </c>
      <c r="O106" s="2079">
        <v>0</v>
      </c>
      <c r="P106" s="1375">
        <f>L106-132000</f>
        <v>298498</v>
      </c>
      <c r="Q106" s="1375">
        <f>M106-287000-750000</f>
        <v>-146283</v>
      </c>
      <c r="R106" s="1375">
        <f>N106-850000-287000</f>
        <v>456125</v>
      </c>
    </row>
    <row r="107" spans="4:20" ht="12.75" customHeight="1" x14ac:dyDescent="0.25">
      <c r="D107" s="1421"/>
      <c r="E107" s="2295" t="s">
        <v>5396</v>
      </c>
      <c r="F107" s="2290"/>
      <c r="G107" s="2293"/>
      <c r="H107" s="2293"/>
      <c r="I107" s="2293"/>
      <c r="J107" s="2293"/>
      <c r="K107" s="2293"/>
      <c r="L107" s="2293"/>
      <c r="M107" s="2293">
        <v>-350000</v>
      </c>
      <c r="N107" s="2293">
        <v>-350000</v>
      </c>
      <c r="O107" s="2294"/>
      <c r="P107" s="1375"/>
      <c r="Q107" s="1375"/>
      <c r="R107" s="1375"/>
    </row>
    <row r="108" spans="4:20" ht="12.75" customHeight="1" x14ac:dyDescent="0.25">
      <c r="D108" s="1421"/>
      <c r="E108" s="2295" t="s">
        <v>5401</v>
      </c>
      <c r="F108" s="2290"/>
      <c r="G108" s="2293"/>
      <c r="H108" s="2293"/>
      <c r="I108" s="2293"/>
      <c r="J108" s="2293"/>
      <c r="K108" s="2293"/>
      <c r="L108" s="2293"/>
      <c r="M108" s="2293">
        <v>350000</v>
      </c>
      <c r="N108" s="2293">
        <v>350000</v>
      </c>
      <c r="O108" s="2294"/>
      <c r="P108" s="1375"/>
      <c r="Q108" s="1375"/>
      <c r="R108" s="1375"/>
    </row>
    <row r="109" spans="4:20" ht="12.75" customHeight="1" thickBot="1" x14ac:dyDescent="0.3">
      <c r="D109" s="1421"/>
      <c r="E109" s="1371"/>
      <c r="F109" s="1371"/>
      <c r="G109" s="1414"/>
      <c r="H109" s="1414"/>
      <c r="I109" s="1414"/>
      <c r="J109" s="1847">
        <f t="shared" ref="J109:L109" si="24">SUM(J104:J108)</f>
        <v>180625</v>
      </c>
      <c r="K109" s="1847">
        <f t="shared" si="24"/>
        <v>174833</v>
      </c>
      <c r="L109" s="1847">
        <f t="shared" si="24"/>
        <v>599140</v>
      </c>
      <c r="M109" s="1847">
        <f>SUM(M104:M108)</f>
        <v>1053967</v>
      </c>
      <c r="N109" s="1847">
        <f t="shared" ref="N109:O109" si="25">SUM(N104:N108)</f>
        <v>1750583.33</v>
      </c>
      <c r="O109" s="1847">
        <f t="shared" si="25"/>
        <v>0</v>
      </c>
    </row>
    <row r="110" spans="4:20" ht="12.75" customHeight="1" thickTop="1" x14ac:dyDescent="0.25">
      <c r="D110" s="1421"/>
      <c r="E110" s="1371"/>
      <c r="F110" s="1371"/>
      <c r="G110" s="1414"/>
      <c r="H110" s="1414"/>
      <c r="I110" s="1414"/>
      <c r="J110" s="1414"/>
      <c r="K110" s="1414"/>
      <c r="L110" s="1414"/>
      <c r="M110" s="1414"/>
      <c r="N110" s="1414"/>
      <c r="O110" s="1414"/>
    </row>
    <row r="111" spans="4:20" ht="12.75" customHeight="1" x14ac:dyDescent="0.25">
      <c r="D111" s="1371" t="s">
        <v>1922</v>
      </c>
      <c r="E111" s="1298"/>
      <c r="F111" s="1371"/>
      <c r="G111" s="1414"/>
      <c r="H111" s="1414"/>
      <c r="I111" s="1414"/>
      <c r="J111" s="1414"/>
      <c r="K111" s="1414"/>
      <c r="L111" s="1414"/>
      <c r="M111" s="1414"/>
      <c r="N111" s="1414"/>
      <c r="O111" s="1414"/>
    </row>
    <row r="112" spans="4:20" ht="12.75" customHeight="1" x14ac:dyDescent="0.25">
      <c r="D112" s="1371" t="s">
        <v>1923</v>
      </c>
      <c r="E112" s="1298"/>
      <c r="F112" s="1371"/>
      <c r="G112" s="1414"/>
      <c r="H112" s="1414"/>
      <c r="I112" s="1414"/>
      <c r="J112" s="1414"/>
      <c r="K112" s="1414"/>
      <c r="L112" s="1414"/>
      <c r="M112" s="1414"/>
      <c r="N112" s="1414"/>
      <c r="O112" s="1414"/>
    </row>
    <row r="113" spans="4:16" ht="12.75" customHeight="1" x14ac:dyDescent="0.25">
      <c r="D113" s="1421"/>
      <c r="E113" s="1371" t="s">
        <v>1924</v>
      </c>
      <c r="F113" s="1371"/>
      <c r="G113" s="1414"/>
      <c r="H113" s="1414"/>
      <c r="I113" s="1414"/>
      <c r="J113" s="1414"/>
      <c r="K113" s="1414"/>
      <c r="L113" s="1414"/>
      <c r="M113" s="1414"/>
      <c r="N113" s="1414"/>
      <c r="O113" s="1414"/>
    </row>
    <row r="114" spans="4:16" ht="12.75" customHeight="1" x14ac:dyDescent="0.25">
      <c r="D114" s="1421"/>
      <c r="E114" s="1371" t="s">
        <v>1925</v>
      </c>
      <c r="F114" s="1371"/>
      <c r="G114" s="1414"/>
      <c r="H114" s="1414"/>
      <c r="I114" s="1414"/>
      <c r="J114" s="1414"/>
      <c r="K114" s="1414"/>
      <c r="L114" s="1414"/>
      <c r="M114" s="1414"/>
      <c r="N114" s="1414"/>
      <c r="O114" s="1414"/>
    </row>
    <row r="115" spans="4:16" ht="12.75" customHeight="1" x14ac:dyDescent="0.25">
      <c r="D115" s="1421"/>
      <c r="E115" s="1371" t="s">
        <v>1926</v>
      </c>
      <c r="F115" s="1371"/>
      <c r="G115" s="1414"/>
      <c r="H115" s="1414"/>
      <c r="I115" s="1414"/>
      <c r="J115" s="1414"/>
      <c r="K115" s="1414"/>
      <c r="L115" s="1414"/>
      <c r="M115" s="1414"/>
      <c r="N115" s="1414"/>
      <c r="O115" s="1414"/>
    </row>
    <row r="116" spans="4:16" ht="12.75" customHeight="1" x14ac:dyDescent="0.25">
      <c r="D116" s="1421"/>
      <c r="E116" s="1371"/>
      <c r="F116" s="1371"/>
      <c r="G116" s="1414"/>
      <c r="H116" s="1414"/>
      <c r="I116" s="1414"/>
      <c r="J116" s="1414"/>
      <c r="K116" s="1414"/>
      <c r="L116" s="1414"/>
      <c r="M116" s="1414"/>
      <c r="N116" s="1414"/>
      <c r="O116" s="1414"/>
    </row>
    <row r="117" spans="4:16" ht="12.75" customHeight="1" x14ac:dyDescent="0.25">
      <c r="D117" s="1419">
        <v>47400</v>
      </c>
      <c r="E117" s="1371" t="s">
        <v>1927</v>
      </c>
      <c r="F117" s="1371"/>
      <c r="G117" s="1414"/>
      <c r="H117" s="1414"/>
      <c r="I117" s="1414"/>
      <c r="J117" s="1414"/>
      <c r="K117" s="1414"/>
      <c r="L117" s="1414"/>
      <c r="M117" s="1414"/>
      <c r="N117" s="1414"/>
      <c r="O117" s="1414"/>
    </row>
    <row r="118" spans="4:16" ht="12.75" customHeight="1" x14ac:dyDescent="0.25">
      <c r="D118" s="1421"/>
      <c r="E118" s="1371" t="s">
        <v>1928</v>
      </c>
      <c r="F118" s="1371"/>
      <c r="G118" s="1414"/>
      <c r="H118" s="1414"/>
      <c r="I118" s="1414"/>
      <c r="J118" s="1414"/>
      <c r="K118" s="1414"/>
      <c r="L118" s="1414"/>
      <c r="M118" s="1414"/>
      <c r="N118" s="1414"/>
      <c r="O118" s="1414"/>
    </row>
    <row r="119" spans="4:16" ht="12.75" customHeight="1" x14ac:dyDescent="0.25">
      <c r="D119" s="1421"/>
      <c r="E119" s="1422" t="s">
        <v>1929</v>
      </c>
      <c r="F119" s="1371"/>
      <c r="G119" s="1414"/>
      <c r="H119" s="1414"/>
      <c r="I119" s="1414"/>
      <c r="J119" s="1414">
        <v>-143318</v>
      </c>
      <c r="K119" s="1414">
        <v>0</v>
      </c>
      <c r="L119" s="1414">
        <v>0</v>
      </c>
      <c r="M119" s="1414">
        <v>0</v>
      </c>
      <c r="N119" s="1414">
        <v>0</v>
      </c>
      <c r="O119" s="1414">
        <v>0</v>
      </c>
      <c r="P119" s="1298" t="s">
        <v>1930</v>
      </c>
    </row>
    <row r="120" spans="4:16" ht="12.75" customHeight="1" x14ac:dyDescent="0.25">
      <c r="D120" s="1421"/>
      <c r="E120" s="1422" t="s">
        <v>1931</v>
      </c>
      <c r="F120" s="1371"/>
      <c r="G120" s="1414"/>
      <c r="H120" s="1414"/>
      <c r="I120" s="1414"/>
      <c r="J120" s="1414"/>
      <c r="K120" s="1414"/>
      <c r="L120" s="1414"/>
      <c r="M120" s="1414"/>
      <c r="N120" s="1414"/>
      <c r="O120" s="1414"/>
    </row>
    <row r="121" spans="4:16" ht="12.75" customHeight="1" x14ac:dyDescent="0.25">
      <c r="D121" s="1421"/>
      <c r="E121" s="1422"/>
      <c r="F121" s="1371"/>
      <c r="G121" s="1414"/>
      <c r="H121" s="1414"/>
      <c r="I121" s="1414"/>
      <c r="J121" s="1414"/>
      <c r="K121" s="1414"/>
      <c r="L121" s="1414"/>
      <c r="M121" s="1414"/>
      <c r="N121" s="1414"/>
      <c r="O121" s="1414"/>
    </row>
    <row r="122" spans="4:16" ht="12.75" customHeight="1" thickBot="1" x14ac:dyDescent="0.3">
      <c r="D122" s="1421"/>
      <c r="E122" s="1371" t="s">
        <v>1932</v>
      </c>
      <c r="F122" s="1371"/>
      <c r="G122" s="1414"/>
      <c r="H122" s="1414"/>
      <c r="I122" s="1414"/>
      <c r="J122" s="1847">
        <v>-143318</v>
      </c>
      <c r="K122" s="1847">
        <v>0</v>
      </c>
      <c r="L122" s="1847">
        <f>SUM(L119:L121)</f>
        <v>0</v>
      </c>
      <c r="M122" s="1847">
        <f>SUM(M119:M121)</f>
        <v>0</v>
      </c>
      <c r="N122" s="1847">
        <f>SUM(N119:N121)</f>
        <v>0</v>
      </c>
      <c r="O122" s="1847">
        <f>SUM(O119:O121)</f>
        <v>0</v>
      </c>
    </row>
    <row r="123" spans="4:16" ht="12.75" customHeight="1" thickTop="1" x14ac:dyDescent="0.25">
      <c r="D123" s="1421"/>
      <c r="E123" s="1371"/>
      <c r="F123" s="1371"/>
      <c r="G123" s="1423"/>
      <c r="H123" s="1414"/>
      <c r="I123" s="1414"/>
      <c r="J123" s="1423"/>
      <c r="K123" s="1423"/>
      <c r="L123" s="1423"/>
      <c r="M123" s="1423"/>
      <c r="N123" s="1423"/>
      <c r="O123" s="1423"/>
    </row>
    <row r="124" spans="4:16" ht="12.75" customHeight="1" x14ac:dyDescent="0.25">
      <c r="D124" s="1415">
        <v>605003</v>
      </c>
      <c r="E124" s="1424" t="s">
        <v>223</v>
      </c>
      <c r="F124" s="1371"/>
      <c r="G124" s="1423"/>
      <c r="H124" s="1423"/>
      <c r="I124" s="1423"/>
      <c r="J124" s="1298"/>
      <c r="K124" s="1298"/>
      <c r="L124" s="1298"/>
      <c r="M124" s="1298"/>
      <c r="N124" s="1298"/>
      <c r="O124" s="1298"/>
    </row>
    <row r="125" spans="4:16" ht="12.75" customHeight="1" x14ac:dyDescent="0.25">
      <c r="D125" s="1415"/>
      <c r="E125" s="1425" t="s">
        <v>554</v>
      </c>
      <c r="F125" s="1371"/>
      <c r="G125" s="1423"/>
      <c r="H125" s="1423"/>
      <c r="I125" s="1423"/>
      <c r="J125" s="1404" t="s">
        <v>188</v>
      </c>
      <c r="K125" s="1404" t="s">
        <v>189</v>
      </c>
      <c r="L125" s="1404" t="s">
        <v>190</v>
      </c>
      <c r="M125" s="1404" t="s">
        <v>191</v>
      </c>
      <c r="N125" s="1404" t="s">
        <v>192</v>
      </c>
      <c r="O125" s="1404">
        <v>2030</v>
      </c>
    </row>
    <row r="126" spans="4:16" ht="12.75" customHeight="1" x14ac:dyDescent="0.25">
      <c r="D126" s="1415"/>
      <c r="E126" s="1383" t="s">
        <v>1293</v>
      </c>
      <c r="F126" s="1371"/>
      <c r="G126" s="1423"/>
      <c r="H126" s="1423"/>
      <c r="I126" s="1423"/>
      <c r="J126" s="1298"/>
      <c r="K126" s="1298"/>
      <c r="L126" s="1298"/>
      <c r="M126" s="1298"/>
      <c r="N126" s="1298"/>
      <c r="O126" s="1298"/>
    </row>
    <row r="127" spans="4:16" ht="12.75" customHeight="1" x14ac:dyDescent="0.25">
      <c r="D127" s="1297">
        <v>85100</v>
      </c>
      <c r="E127" s="1307" t="s">
        <v>1933</v>
      </c>
      <c r="F127" s="1298"/>
      <c r="G127" s="1375"/>
      <c r="H127" s="1375"/>
      <c r="I127" s="1375"/>
      <c r="J127" s="1420">
        <v>-80500</v>
      </c>
      <c r="K127" s="1420">
        <v>0</v>
      </c>
      <c r="L127" s="1420">
        <v>0</v>
      </c>
      <c r="M127" s="1420">
        <v>0</v>
      </c>
      <c r="N127" s="1420">
        <v>0</v>
      </c>
      <c r="O127" s="1420">
        <v>0</v>
      </c>
      <c r="P127" s="1307"/>
    </row>
    <row r="128" spans="4:16" ht="12.75" customHeight="1" x14ac:dyDescent="0.25">
      <c r="D128" s="1297">
        <v>85100</v>
      </c>
      <c r="E128" s="1426" t="s">
        <v>1934</v>
      </c>
      <c r="F128" s="1298"/>
      <c r="G128" s="1375"/>
      <c r="H128" s="1375"/>
      <c r="I128" s="1375"/>
      <c r="J128" s="1420"/>
      <c r="K128" s="1420"/>
      <c r="L128" s="1420"/>
      <c r="M128" s="1420"/>
      <c r="N128" s="1420"/>
      <c r="O128" s="1420"/>
      <c r="P128" s="1307"/>
    </row>
    <row r="129" spans="4:25" ht="12.75" customHeight="1" x14ac:dyDescent="0.25">
      <c r="D129" s="1297"/>
      <c r="E129" s="1371" t="s">
        <v>1935</v>
      </c>
      <c r="F129" s="1298"/>
      <c r="G129" s="1375"/>
      <c r="H129" s="1375"/>
      <c r="I129" s="1375"/>
      <c r="J129" s="1414">
        <v>-8776</v>
      </c>
      <c r="K129" s="1414">
        <v>-7572</v>
      </c>
      <c r="L129" s="1414">
        <v>-6316</v>
      </c>
      <c r="M129" s="1414">
        <v>-5004</v>
      </c>
      <c r="N129" s="1414">
        <v>-3633.46</v>
      </c>
      <c r="O129" s="2079">
        <v>0</v>
      </c>
    </row>
    <row r="130" spans="4:25" ht="12.75" customHeight="1" x14ac:dyDescent="0.25">
      <c r="D130" s="1297"/>
      <c r="E130" s="2290" t="s">
        <v>5395</v>
      </c>
      <c r="F130" s="2291"/>
      <c r="G130" s="2292"/>
      <c r="H130" s="2292"/>
      <c r="I130" s="2292"/>
      <c r="J130" s="2293"/>
      <c r="K130" s="2293">
        <v>3529</v>
      </c>
      <c r="L130" s="2293">
        <v>2728</v>
      </c>
      <c r="M130" s="2293">
        <v>1875</v>
      </c>
      <c r="N130" s="2293">
        <v>966</v>
      </c>
      <c r="O130" s="2294"/>
    </row>
    <row r="131" spans="4:25" ht="12.75" customHeight="1" x14ac:dyDescent="0.25">
      <c r="D131" s="1297"/>
      <c r="E131" s="1298" t="s">
        <v>1936</v>
      </c>
      <c r="F131" s="1298"/>
      <c r="G131" s="1375"/>
      <c r="H131" s="1375"/>
      <c r="I131" s="1375"/>
      <c r="J131" s="1375">
        <v>-52000</v>
      </c>
      <c r="K131" s="1375">
        <v>-30000</v>
      </c>
      <c r="L131" s="1375">
        <v>-30000</v>
      </c>
      <c r="M131" s="1375">
        <v>-30000</v>
      </c>
      <c r="N131" s="1375">
        <v>-30000</v>
      </c>
      <c r="O131" s="1375">
        <v>-30000</v>
      </c>
      <c r="P131" s="1307" t="s">
        <v>1937</v>
      </c>
    </row>
    <row r="132" spans="4:25" ht="12.75" customHeight="1" x14ac:dyDescent="0.25">
      <c r="D132" s="1297"/>
      <c r="E132" s="1327" t="s">
        <v>1938</v>
      </c>
      <c r="F132" s="1298"/>
      <c r="G132" s="1375"/>
      <c r="H132" s="1375"/>
      <c r="I132" s="1375"/>
      <c r="J132" s="1375">
        <v>-20000</v>
      </c>
      <c r="K132" s="1375">
        <v>-19100</v>
      </c>
      <c r="L132" s="1375">
        <f>-ROUND(1416954.53*1.35%,-2)</f>
        <v>-19100</v>
      </c>
      <c r="M132" s="1375">
        <f>-ROUND(1416954.53*1.35%,-2)</f>
        <v>-19100</v>
      </c>
      <c r="N132" s="1375">
        <f>-ROUND(1416954.53*1.35%,-2)</f>
        <v>-19100</v>
      </c>
      <c r="O132" s="1375">
        <f>-ROUND(1416954.53*1.35%,-2)</f>
        <v>-19100</v>
      </c>
      <c r="P132" s="1307"/>
    </row>
    <row r="133" spans="4:25" ht="12.75" customHeight="1" x14ac:dyDescent="0.25">
      <c r="D133" s="1297"/>
      <c r="E133" s="1298"/>
      <c r="F133" s="1298"/>
      <c r="G133" s="1375"/>
      <c r="H133" s="1375"/>
      <c r="I133" s="1375"/>
      <c r="P133" s="1307"/>
      <c r="U133" s="1298" t="s">
        <v>1939</v>
      </c>
      <c r="V133" s="1375" t="e">
        <f>#REF!+#REF!</f>
        <v>#REF!</v>
      </c>
      <c r="W133" s="1375" t="e">
        <f>J137+#REF!</f>
        <v>#REF!</v>
      </c>
      <c r="X133" s="1375">
        <f t="shared" ref="X133:Y133" si="26">K137</f>
        <v>-134920.14655</v>
      </c>
      <c r="Y133" s="1375">
        <f t="shared" si="26"/>
        <v>-53975.882089999999</v>
      </c>
    </row>
    <row r="134" spans="4:25" ht="12.75" customHeight="1" x14ac:dyDescent="0.25">
      <c r="D134" s="1297"/>
      <c r="E134" s="1327" t="s">
        <v>1940</v>
      </c>
      <c r="F134" s="1298"/>
      <c r="G134" s="1375"/>
      <c r="H134" s="1375"/>
      <c r="I134" s="1375"/>
      <c r="J134" s="1375">
        <v>-1856.7380250000001</v>
      </c>
      <c r="K134" s="1375">
        <v>-1578.1465499999999</v>
      </c>
      <c r="L134" s="1375">
        <f>-T72</f>
        <v>-1287.8820900000001</v>
      </c>
      <c r="M134" s="1375">
        <f>-T73</f>
        <v>-985.455555</v>
      </c>
      <c r="N134" s="1375">
        <v>-670</v>
      </c>
      <c r="O134" s="2080">
        <v>0</v>
      </c>
      <c r="P134" s="1307"/>
      <c r="V134" s="1375"/>
      <c r="W134" s="1375"/>
      <c r="X134" s="1375"/>
      <c r="Y134" s="1375"/>
    </row>
    <row r="135" spans="4:25" ht="12.75" customHeight="1" x14ac:dyDescent="0.25">
      <c r="D135" s="1297"/>
      <c r="E135" s="1371" t="s">
        <v>1941</v>
      </c>
      <c r="F135" s="1298"/>
      <c r="G135" s="1375"/>
      <c r="H135" s="1375"/>
      <c r="I135" s="1375"/>
      <c r="J135" s="1375">
        <v>-169000</v>
      </c>
      <c r="K135" s="1375">
        <v>-80199</v>
      </c>
      <c r="L135" s="1375"/>
      <c r="M135" s="1375"/>
      <c r="N135" s="1375"/>
      <c r="O135" s="1375"/>
      <c r="P135" s="1307"/>
      <c r="V135" s="1375"/>
      <c r="W135" s="1375"/>
      <c r="X135" s="1375"/>
      <c r="Y135" s="1375"/>
    </row>
    <row r="136" spans="4:25" ht="12.75" customHeight="1" x14ac:dyDescent="0.25">
      <c r="D136" s="1297"/>
      <c r="E136" s="1371" t="s">
        <v>1942</v>
      </c>
      <c r="F136" s="1298"/>
      <c r="G136" s="1375"/>
      <c r="H136" s="1375"/>
      <c r="I136" s="1375"/>
      <c r="J136" s="1375"/>
      <c r="K136" s="1375"/>
      <c r="L136" s="1375"/>
      <c r="M136" s="1375"/>
      <c r="N136" s="1375"/>
      <c r="O136" s="1375"/>
      <c r="P136" s="1307" t="s">
        <v>1943</v>
      </c>
      <c r="V136" s="1375"/>
      <c r="W136" s="1375"/>
      <c r="X136" s="1375"/>
      <c r="Y136" s="1375"/>
    </row>
    <row r="137" spans="4:25" ht="12.75" customHeight="1" thickBot="1" x14ac:dyDescent="0.3">
      <c r="D137" s="1427"/>
      <c r="E137" s="1307"/>
      <c r="F137" s="1298"/>
      <c r="G137" s="1375"/>
      <c r="H137" s="1375"/>
      <c r="I137" s="1375"/>
      <c r="J137" s="1847">
        <v>-332132.73802499997</v>
      </c>
      <c r="K137" s="1847">
        <f>SUM(K127:K136)</f>
        <v>-134920.14655</v>
      </c>
      <c r="L137" s="1847">
        <f t="shared" ref="L137:O137" si="27">SUM(L127:L136)</f>
        <v>-53975.882089999999</v>
      </c>
      <c r="M137" s="1847">
        <f t="shared" si="27"/>
        <v>-53214.455555</v>
      </c>
      <c r="N137" s="1847">
        <f t="shared" si="27"/>
        <v>-52437.46</v>
      </c>
      <c r="O137" s="1847">
        <f t="shared" si="27"/>
        <v>-49100</v>
      </c>
    </row>
    <row r="138" spans="4:25" ht="12.75" customHeight="1" thickTop="1" x14ac:dyDescent="0.25">
      <c r="D138" s="1427"/>
      <c r="E138" s="1307"/>
      <c r="F138" s="1298"/>
      <c r="G138" s="1375"/>
      <c r="H138" s="1375"/>
      <c r="I138" s="1375"/>
      <c r="J138" s="1414"/>
      <c r="K138" s="1414"/>
      <c r="L138" s="1414"/>
      <c r="M138" s="1414"/>
      <c r="N138" s="1414"/>
      <c r="O138" s="1414"/>
    </row>
    <row r="139" spans="4:25" ht="12.75" customHeight="1" x14ac:dyDescent="0.25">
      <c r="D139" s="1427"/>
      <c r="E139" s="1371" t="s">
        <v>1944</v>
      </c>
      <c r="F139" s="1298"/>
      <c r="G139" s="1375"/>
      <c r="H139" s="1375"/>
      <c r="I139" s="1375"/>
      <c r="J139" s="1414"/>
      <c r="K139" s="1414"/>
      <c r="L139" s="1414"/>
      <c r="M139" s="1414"/>
      <c r="N139" s="1414"/>
      <c r="O139" s="1414"/>
    </row>
    <row r="140" spans="4:25" ht="12.75" customHeight="1" x14ac:dyDescent="0.25">
      <c r="D140" s="1427"/>
      <c r="E140" s="1371" t="s">
        <v>1945</v>
      </c>
      <c r="F140" s="1298"/>
      <c r="G140" s="1375"/>
      <c r="H140" s="1375"/>
      <c r="I140" s="1375"/>
      <c r="J140" s="1414"/>
      <c r="K140" s="1414"/>
      <c r="L140" s="1414"/>
      <c r="M140" s="1414"/>
      <c r="N140" s="1414"/>
      <c r="O140" s="1414"/>
    </row>
    <row r="141" spans="4:25" ht="12.75" customHeight="1" x14ac:dyDescent="0.25">
      <c r="D141" s="1427"/>
      <c r="E141" s="1371" t="s">
        <v>1946</v>
      </c>
      <c r="F141" s="1298"/>
      <c r="G141" s="1375"/>
      <c r="H141" s="1375"/>
      <c r="I141" s="1375"/>
      <c r="J141" s="1414"/>
      <c r="K141" s="1414"/>
      <c r="L141" s="1414"/>
      <c r="M141" s="1414"/>
      <c r="N141" s="1414"/>
      <c r="O141" s="1414"/>
    </row>
    <row r="142" spans="4:25" ht="12.75" customHeight="1" x14ac:dyDescent="0.25">
      <c r="D142" s="1419"/>
      <c r="E142" s="1371"/>
      <c r="F142" s="1371"/>
      <c r="G142" s="1423"/>
      <c r="H142" s="1423"/>
      <c r="I142" s="1423"/>
      <c r="J142" s="1298"/>
      <c r="K142" s="1298"/>
      <c r="L142" s="1298"/>
      <c r="M142" s="1298"/>
      <c r="N142" s="1298"/>
      <c r="O142" s="1298"/>
      <c r="U142" s="1375"/>
      <c r="X142" s="1298">
        <f>-169-650+59</f>
        <v>-760</v>
      </c>
    </row>
    <row r="143" spans="4:25" ht="12.75" customHeight="1" x14ac:dyDescent="0.25">
      <c r="D143" s="1401"/>
      <c r="E143" s="1428"/>
      <c r="F143" s="1410"/>
      <c r="G143" s="1423"/>
      <c r="H143" s="1423"/>
      <c r="I143" s="1423"/>
      <c r="J143" s="1298"/>
      <c r="K143" s="1298"/>
      <c r="L143" s="1298"/>
      <c r="M143" s="1298"/>
      <c r="N143" s="1298"/>
      <c r="O143" s="1298"/>
      <c r="V143" s="1298">
        <f>614-186</f>
        <v>428</v>
      </c>
      <c r="X143" s="1298">
        <v>92</v>
      </c>
    </row>
    <row r="144" spans="4:25" ht="12.75" customHeight="1" x14ac:dyDescent="0.25">
      <c r="D144" s="1401"/>
      <c r="E144" s="1429"/>
      <c r="F144" s="1430"/>
      <c r="G144" s="1423"/>
      <c r="H144" s="1423"/>
      <c r="I144" s="1423"/>
      <c r="J144" s="1298"/>
      <c r="K144" s="1298"/>
      <c r="L144" s="1298"/>
      <c r="M144" s="1298"/>
      <c r="N144" s="1298"/>
      <c r="O144" s="1298"/>
    </row>
    <row r="145" spans="4:24" ht="12.75" customHeight="1" x14ac:dyDescent="0.25">
      <c r="D145" s="1415">
        <v>605901</v>
      </c>
      <c r="E145" s="1416" t="s">
        <v>1906</v>
      </c>
      <c r="F145" s="1371"/>
      <c r="G145" s="1423"/>
      <c r="H145" s="1414"/>
      <c r="I145" s="1414"/>
      <c r="J145" s="1423"/>
      <c r="K145" s="1423"/>
      <c r="L145" s="1423"/>
      <c r="M145" s="1423"/>
      <c r="N145" s="1423"/>
      <c r="O145" s="1423"/>
    </row>
    <row r="146" spans="4:24" ht="12.75" customHeight="1" x14ac:dyDescent="0.25">
      <c r="D146" s="1415"/>
      <c r="E146" s="1417" t="s">
        <v>533</v>
      </c>
      <c r="F146" s="1371"/>
      <c r="G146" s="1423"/>
      <c r="H146" s="1414"/>
      <c r="I146" s="1414"/>
      <c r="J146" s="1423"/>
      <c r="K146" s="1423"/>
      <c r="L146" s="1423"/>
      <c r="M146" s="1423"/>
      <c r="N146" s="1423"/>
      <c r="O146" s="1423"/>
      <c r="V146" s="1298">
        <v>428</v>
      </c>
    </row>
    <row r="147" spans="4:24" ht="12.75" customHeight="1" x14ac:dyDescent="0.25">
      <c r="D147" s="1421"/>
      <c r="E147" s="1371" t="s">
        <v>1947</v>
      </c>
      <c r="F147" s="1371"/>
      <c r="G147" s="1423"/>
      <c r="H147" s="1414"/>
      <c r="I147" s="1414"/>
      <c r="J147" s="1423"/>
      <c r="K147" s="1423"/>
      <c r="L147" s="1423"/>
      <c r="M147" s="1423"/>
      <c r="N147" s="1423"/>
      <c r="O147" s="1423"/>
      <c r="X147" s="1298">
        <f>187-59</f>
        <v>128</v>
      </c>
    </row>
    <row r="148" spans="4:24" ht="12.75" customHeight="1" x14ac:dyDescent="0.25">
      <c r="D148" s="1421"/>
      <c r="E148" s="1371" t="s">
        <v>1948</v>
      </c>
      <c r="F148" s="1371"/>
      <c r="G148" s="1423"/>
      <c r="H148" s="1414"/>
      <c r="I148" s="1414"/>
      <c r="J148" s="1423"/>
      <c r="K148" s="1423"/>
      <c r="L148" s="1423"/>
      <c r="M148" s="1423"/>
      <c r="N148" s="1423"/>
      <c r="O148" s="1423"/>
    </row>
    <row r="149" spans="4:24" ht="12.75" customHeight="1" x14ac:dyDescent="0.25">
      <c r="D149" s="1421"/>
      <c r="E149" s="1371"/>
      <c r="F149" s="1371"/>
      <c r="G149" s="1423"/>
      <c r="H149" s="1414"/>
      <c r="I149" s="1414"/>
      <c r="J149" s="1423"/>
      <c r="K149" s="1423"/>
      <c r="L149" s="1423"/>
      <c r="M149" s="1423"/>
      <c r="N149" s="1423"/>
      <c r="O149" s="1423"/>
    </row>
    <row r="150" spans="4:24" ht="12.75" customHeight="1" x14ac:dyDescent="0.25">
      <c r="D150" s="1401"/>
      <c r="E150" s="1431" t="s">
        <v>1949</v>
      </c>
      <c r="F150" s="1430"/>
      <c r="G150" s="1368"/>
      <c r="H150" s="1368"/>
      <c r="J150" s="1298"/>
      <c r="K150" s="1298"/>
      <c r="L150" s="1298"/>
      <c r="M150" s="1298"/>
      <c r="N150" s="1298"/>
      <c r="O150" s="1298"/>
      <c r="P150" s="1375"/>
    </row>
    <row r="151" spans="4:24" ht="12.75" customHeight="1" x14ac:dyDescent="0.25">
      <c r="D151" s="1415"/>
      <c r="E151" s="2554" t="s">
        <v>1950</v>
      </c>
      <c r="F151" s="2555"/>
      <c r="G151" s="1368"/>
      <c r="H151" s="1368"/>
      <c r="J151" s="1404" t="s">
        <v>188</v>
      </c>
      <c r="K151" s="1404" t="s">
        <v>189</v>
      </c>
      <c r="L151" s="1404" t="s">
        <v>190</v>
      </c>
      <c r="M151" s="1404" t="s">
        <v>191</v>
      </c>
      <c r="N151" s="1404" t="s">
        <v>192</v>
      </c>
      <c r="O151" s="1404">
        <v>2030</v>
      </c>
    </row>
    <row r="152" spans="4:24" ht="12.75" customHeight="1" x14ac:dyDescent="0.25">
      <c r="D152" s="1415"/>
      <c r="E152" s="1432"/>
      <c r="F152" s="1433"/>
      <c r="G152" s="1368"/>
      <c r="H152" s="1368"/>
      <c r="J152" s="1418"/>
      <c r="K152" s="1418"/>
      <c r="L152" s="1418"/>
      <c r="M152" s="1418"/>
      <c r="N152" s="1418"/>
      <c r="O152" s="1418"/>
    </row>
    <row r="153" spans="4:24" ht="12.75" customHeight="1" x14ac:dyDescent="0.25">
      <c r="D153" s="1415">
        <v>605002</v>
      </c>
      <c r="E153" s="1416" t="s">
        <v>1900</v>
      </c>
      <c r="F153" s="1371"/>
      <c r="G153" s="1368"/>
      <c r="H153" s="1368"/>
      <c r="J153" s="1375"/>
      <c r="K153" s="1375"/>
      <c r="L153" s="1375"/>
      <c r="M153" s="1375"/>
      <c r="N153" s="1375"/>
      <c r="O153" s="1375"/>
    </row>
    <row r="154" spans="4:24" ht="12.75" customHeight="1" x14ac:dyDescent="0.25">
      <c r="D154" s="1419">
        <v>85100</v>
      </c>
      <c r="E154" s="1371" t="s">
        <v>1951</v>
      </c>
      <c r="F154" s="1371"/>
      <c r="G154" s="1368"/>
      <c r="H154" s="1368"/>
      <c r="J154" s="1375">
        <v>0</v>
      </c>
      <c r="K154" s="1375">
        <v>0</v>
      </c>
      <c r="L154" s="1375">
        <f>L60</f>
        <v>0</v>
      </c>
      <c r="M154" s="1375">
        <f>M60</f>
        <v>0</v>
      </c>
      <c r="N154" s="1375">
        <f>N60</f>
        <v>0</v>
      </c>
      <c r="O154" s="1375">
        <f>O60</f>
        <v>0</v>
      </c>
    </row>
    <row r="155" spans="4:24" ht="12.75" customHeight="1" x14ac:dyDescent="0.25">
      <c r="D155" s="1419"/>
      <c r="E155" s="1371"/>
      <c r="F155" s="1371"/>
      <c r="G155" s="1368"/>
      <c r="H155" s="1368"/>
      <c r="J155" s="1375"/>
      <c r="K155" s="1375"/>
      <c r="L155" s="1375"/>
      <c r="M155" s="1375"/>
      <c r="N155" s="1375"/>
      <c r="O155" s="1375"/>
    </row>
    <row r="156" spans="4:24" ht="12.75" customHeight="1" x14ac:dyDescent="0.25">
      <c r="D156" s="1415">
        <v>605003</v>
      </c>
      <c r="E156" s="1416" t="s">
        <v>223</v>
      </c>
      <c r="F156" s="1371"/>
      <c r="G156" s="1368"/>
      <c r="H156" s="1368"/>
    </row>
    <row r="157" spans="4:24" ht="12.75" customHeight="1" x14ac:dyDescent="0.25">
      <c r="D157" s="1419">
        <v>85100</v>
      </c>
      <c r="E157" s="1371" t="s">
        <v>1951</v>
      </c>
      <c r="F157" s="1298"/>
      <c r="G157" s="1368"/>
      <c r="H157" s="1368"/>
      <c r="J157" s="1375">
        <v>-332132.73802499997</v>
      </c>
      <c r="K157" s="1375">
        <v>-138449.14655</v>
      </c>
      <c r="L157" s="1375">
        <f t="shared" ref="L157:M157" si="28">L137</f>
        <v>-53975.882089999999</v>
      </c>
      <c r="M157" s="1375">
        <f t="shared" si="28"/>
        <v>-53214.455555</v>
      </c>
      <c r="N157" s="1375">
        <f t="shared" ref="N157:O157" si="29">N137</f>
        <v>-52437.46</v>
      </c>
      <c r="O157" s="1375">
        <f t="shared" si="29"/>
        <v>-49100</v>
      </c>
    </row>
    <row r="158" spans="4:24" ht="12.75" customHeight="1" x14ac:dyDescent="0.25">
      <c r="D158" s="1419">
        <v>45100</v>
      </c>
      <c r="E158" s="1414" t="s">
        <v>1952</v>
      </c>
      <c r="F158" s="1371"/>
      <c r="G158" s="1368"/>
      <c r="H158" s="1368"/>
      <c r="J158" s="1414">
        <v>180625</v>
      </c>
      <c r="K158" s="1414">
        <v>174833</v>
      </c>
      <c r="L158" s="1414">
        <f>L109</f>
        <v>599140</v>
      </c>
      <c r="M158" s="1414">
        <f>M109</f>
        <v>1053967</v>
      </c>
      <c r="N158" s="1414">
        <f>N109</f>
        <v>1750583.33</v>
      </c>
      <c r="O158" s="1414">
        <f>O109</f>
        <v>0</v>
      </c>
    </row>
    <row r="159" spans="4:24" ht="12.75" customHeight="1" x14ac:dyDescent="0.25">
      <c r="D159" s="1419">
        <v>47400</v>
      </c>
      <c r="E159" s="1422" t="s">
        <v>1953</v>
      </c>
      <c r="F159" s="1371"/>
      <c r="G159" s="1368"/>
      <c r="H159" s="1368"/>
      <c r="J159" s="1375">
        <v>-143318</v>
      </c>
      <c r="K159" s="1375">
        <v>0</v>
      </c>
      <c r="L159" s="1375">
        <f t="shared" ref="L159:M159" si="30">L122</f>
        <v>0</v>
      </c>
      <c r="M159" s="1375">
        <f t="shared" si="30"/>
        <v>0</v>
      </c>
      <c r="N159" s="1375">
        <f t="shared" ref="N159:O159" si="31">N122</f>
        <v>0</v>
      </c>
      <c r="O159" s="1375">
        <f t="shared" si="31"/>
        <v>0</v>
      </c>
    </row>
    <row r="160" spans="4:24" ht="12.75" customHeight="1" x14ac:dyDescent="0.25">
      <c r="D160" s="1419"/>
      <c r="E160" s="1422"/>
      <c r="F160" s="1371"/>
      <c r="G160" s="1368"/>
      <c r="H160" s="1368"/>
      <c r="J160" s="1375"/>
      <c r="K160" s="1375"/>
      <c r="L160" s="1375"/>
      <c r="M160" s="1375"/>
      <c r="N160" s="1375"/>
      <c r="O160" s="1375"/>
    </row>
    <row r="161" spans="4:18" ht="12.75" customHeight="1" thickBot="1" x14ac:dyDescent="0.3">
      <c r="D161" s="1421"/>
      <c r="E161" s="1371" t="s">
        <v>1954</v>
      </c>
      <c r="F161" s="1371"/>
      <c r="G161" s="1368"/>
      <c r="H161" s="1368"/>
      <c r="J161" s="1845">
        <v>-294825.73802499997</v>
      </c>
      <c r="K161" s="1845">
        <v>36383.853449999995</v>
      </c>
      <c r="L161" s="1845">
        <f>SUM(L153:L159)</f>
        <v>545164.11791000003</v>
      </c>
      <c r="M161" s="1845">
        <f>SUM(M153:M159)</f>
        <v>1000752.544445</v>
      </c>
      <c r="N161" s="1845">
        <f>SUM(N153:N159)</f>
        <v>1698145.87</v>
      </c>
      <c r="O161" s="1845">
        <f>SUM(O153:O159)</f>
        <v>-49100</v>
      </c>
    </row>
    <row r="162" spans="4:18" ht="12.75" customHeight="1" thickTop="1" x14ac:dyDescent="0.25">
      <c r="D162" s="1421"/>
      <c r="E162" s="1371"/>
      <c r="F162" s="1371"/>
      <c r="G162" s="1375"/>
      <c r="H162" s="1375"/>
      <c r="I162" s="1375"/>
      <c r="J162" s="1375"/>
      <c r="K162" s="1375"/>
      <c r="L162" s="1375"/>
      <c r="M162" s="1375"/>
      <c r="N162" s="1375"/>
      <c r="O162" s="1375"/>
    </row>
    <row r="163" spans="4:18" ht="12.75" customHeight="1" x14ac:dyDescent="0.25">
      <c r="D163" s="1401"/>
      <c r="E163" s="1430"/>
      <c r="F163" s="1430"/>
      <c r="G163" s="1368"/>
      <c r="H163" s="1368"/>
    </row>
    <row r="164" spans="4:18" ht="12.75" customHeight="1" x14ac:dyDescent="0.25">
      <c r="D164" s="1401"/>
      <c r="E164" s="1430"/>
      <c r="F164" s="1430"/>
      <c r="G164" s="1368"/>
      <c r="H164" s="1368"/>
      <c r="J164" s="1298"/>
      <c r="K164" s="1298"/>
      <c r="L164" s="1298"/>
      <c r="M164" s="1298"/>
      <c r="N164" s="1298"/>
      <c r="O164" s="1298"/>
    </row>
    <row r="165" spans="4:18" ht="12.75" customHeight="1" x14ac:dyDescent="0.25">
      <c r="D165" s="1401"/>
      <c r="E165" s="1430"/>
      <c r="F165" s="1430"/>
      <c r="G165" s="1375"/>
      <c r="H165" s="1375"/>
      <c r="I165" s="1375"/>
      <c r="J165" s="1375"/>
      <c r="K165" s="1375"/>
      <c r="L165" s="1375"/>
      <c r="M165" s="1375"/>
      <c r="N165" s="1375"/>
      <c r="O165" s="1375"/>
    </row>
    <row r="166" spans="4:18" ht="12.75" customHeight="1" x14ac:dyDescent="0.25">
      <c r="D166" s="1401"/>
      <c r="E166" s="1430"/>
      <c r="F166" s="1430"/>
      <c r="G166" s="1375"/>
      <c r="H166" s="1375"/>
      <c r="I166" s="1375"/>
      <c r="J166" s="1375"/>
      <c r="K166" s="1375"/>
      <c r="L166" s="1375"/>
      <c r="M166" s="1375"/>
      <c r="N166" s="1375"/>
      <c r="O166" s="1375"/>
    </row>
    <row r="167" spans="4:18" ht="12.75" customHeight="1" x14ac:dyDescent="0.25">
      <c r="D167" s="1401"/>
      <c r="E167" s="1419"/>
      <c r="F167" s="1430"/>
      <c r="G167" s="1430"/>
      <c r="H167" s="1368"/>
      <c r="J167" s="1298"/>
      <c r="K167" s="1298"/>
      <c r="L167" s="1298"/>
      <c r="M167" s="1298"/>
      <c r="N167" s="1298"/>
      <c r="O167" s="1298"/>
    </row>
    <row r="168" spans="4:18" ht="12.75" customHeight="1" x14ac:dyDescent="0.25">
      <c r="D168" s="1401"/>
      <c r="E168" s="1419"/>
      <c r="F168" s="1430"/>
      <c r="G168" s="1430"/>
      <c r="H168" s="1368"/>
    </row>
    <row r="169" spans="4:18" ht="12.75" customHeight="1" x14ac:dyDescent="0.25">
      <c r="D169" s="1401"/>
      <c r="E169" s="1419"/>
      <c r="F169" s="1430"/>
      <c r="G169" s="1430"/>
      <c r="H169" s="1368"/>
    </row>
    <row r="170" spans="4:18" ht="12.75" customHeight="1" x14ac:dyDescent="0.25">
      <c r="D170" s="1401"/>
      <c r="E170" s="1419"/>
      <c r="F170" s="1419"/>
      <c r="G170" s="1430"/>
      <c r="H170" s="1430"/>
      <c r="P170" s="1368"/>
    </row>
    <row r="171" spans="4:18" ht="12.75" customHeight="1" x14ac:dyDescent="0.25">
      <c r="D171" s="1401"/>
      <c r="E171" s="1419"/>
      <c r="F171" s="1419"/>
      <c r="G171" s="1430"/>
      <c r="H171" s="1430"/>
      <c r="P171" s="1368"/>
      <c r="R171" s="1298">
        <f>90000000*8.5%</f>
        <v>7650000.0000000009</v>
      </c>
    </row>
    <row r="172" spans="4:18" ht="12.75" customHeight="1" x14ac:dyDescent="0.25">
      <c r="D172" s="1401"/>
      <c r="E172" s="1419"/>
      <c r="F172" s="1419"/>
      <c r="G172" s="1430"/>
      <c r="H172" s="1430"/>
      <c r="P172" s="1368"/>
    </row>
    <row r="173" spans="4:18" ht="12.75" customHeight="1" x14ac:dyDescent="0.25">
      <c r="D173" s="1401"/>
      <c r="E173" s="1419"/>
      <c r="F173" s="1419"/>
      <c r="G173" s="1430"/>
      <c r="H173" s="1430"/>
    </row>
    <row r="174" spans="4:18" ht="12.75" customHeight="1" x14ac:dyDescent="0.25">
      <c r="D174" s="1401"/>
      <c r="E174" s="1419"/>
      <c r="F174" s="1419"/>
      <c r="G174" s="1430"/>
      <c r="H174" s="1430"/>
    </row>
    <row r="175" spans="4:18" ht="12.75" customHeight="1" x14ac:dyDescent="0.25">
      <c r="D175" s="1401"/>
      <c r="E175" s="1419"/>
      <c r="F175" s="1419"/>
      <c r="G175" s="1430"/>
      <c r="H175" s="1430"/>
    </row>
    <row r="176" spans="4:18" ht="12.75" customHeight="1" x14ac:dyDescent="0.25">
      <c r="D176" s="1401"/>
      <c r="E176" s="1419"/>
      <c r="F176" s="1419"/>
      <c r="G176" s="1430"/>
      <c r="H176" s="1430"/>
    </row>
    <row r="177" spans="4:8" ht="12.75" customHeight="1" x14ac:dyDescent="0.25">
      <c r="D177" s="1401"/>
      <c r="E177" s="1419"/>
      <c r="F177" s="1419"/>
      <c r="G177" s="1430"/>
      <c r="H177" s="1430"/>
    </row>
    <row r="178" spans="4:8" ht="12.75" customHeight="1" x14ac:dyDescent="0.25">
      <c r="D178" s="1401"/>
      <c r="E178" s="1419"/>
      <c r="F178" s="1419"/>
      <c r="G178" s="1430"/>
      <c r="H178" s="1430"/>
    </row>
    <row r="179" spans="4:8" ht="12.75" customHeight="1" x14ac:dyDescent="0.25">
      <c r="D179" s="1401"/>
      <c r="E179" s="1419"/>
      <c r="F179" s="1419"/>
      <c r="G179" s="1430"/>
      <c r="H179" s="1430"/>
    </row>
    <row r="180" spans="4:8" ht="12.75" customHeight="1" x14ac:dyDescent="0.25">
      <c r="D180" s="1310"/>
      <c r="G180" s="1307"/>
    </row>
    <row r="392" spans="9:9" ht="12.75" customHeight="1" x14ac:dyDescent="0.25">
      <c r="I392" s="1700"/>
    </row>
  </sheetData>
  <mergeCells count="4">
    <mergeCell ref="D42:D43"/>
    <mergeCell ref="F42:F43"/>
    <mergeCell ref="G42:H43"/>
    <mergeCell ref="E151:F151"/>
  </mergeCells>
  <phoneticPr fontId="52" type="noConversion"/>
  <hyperlinks>
    <hyperlink ref="A1" location="Inhoudsopgave!A1" display="Inhoudsopgave" xr:uid="{A040A4E9-D496-47D5-AC77-F0F483B56B11}"/>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80" min="3" max="14" man="1"/>
  </rowBreaks>
  <ignoredErrors>
    <ignoredError sqref="J151:M151 K125:M125 K83:M83 L93:M93 K85:M87 K84:M84 J84 N84 L96:M101 L88:M91"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E88F-44E2-47E5-A462-2C2F2D3B1D39}">
  <sheetPr codeName="Blad8"/>
  <dimension ref="A1:W277"/>
  <sheetViews>
    <sheetView showGridLines="0" view="pageBreakPreview" topLeftCell="A117" zoomScaleNormal="100" zoomScaleSheetLayoutView="100" workbookViewId="0"/>
  </sheetViews>
  <sheetFormatPr defaultColWidth="9.109375" defaultRowHeight="12.75" customHeight="1" x14ac:dyDescent="0.3"/>
  <cols>
    <col min="1" max="1" width="14" style="27" bestFit="1" customWidth="1"/>
    <col min="2" max="3" width="17.109375" style="115" customWidth="1"/>
    <col min="4" max="4" width="9.6640625" style="301" customWidth="1"/>
    <col min="5" max="6" width="9.6640625" style="143" customWidth="1"/>
    <col min="7" max="9" width="12.6640625" style="115" customWidth="1"/>
    <col min="10" max="15" width="11.6640625" style="115" customWidth="1"/>
    <col min="16" max="16" width="21.109375" style="115" customWidth="1"/>
    <col min="17" max="18" width="12.5546875" style="115" customWidth="1"/>
    <col min="19" max="19" width="12.33203125" style="115" bestFit="1" customWidth="1"/>
    <col min="20"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3">
      <c r="D3" s="1296"/>
      <c r="E3" s="1297"/>
      <c r="F3" s="1297"/>
      <c r="G3" s="1298"/>
      <c r="H3" s="1298"/>
      <c r="P3" s="115"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3">
      <c r="D4" s="1296"/>
      <c r="E4" s="1297"/>
      <c r="F4" s="1297"/>
      <c r="G4" s="1298"/>
      <c r="H4" s="1298"/>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3">
      <c r="D6" s="301" t="s">
        <v>66</v>
      </c>
      <c r="H6" s="115" t="s">
        <v>1955</v>
      </c>
    </row>
    <row r="20" spans="4:17" ht="12.75" customHeight="1" x14ac:dyDescent="0.3">
      <c r="D20" s="452" t="s">
        <v>507</v>
      </c>
      <c r="E20" s="438"/>
      <c r="F20" s="438"/>
      <c r="G20" s="453"/>
      <c r="H20" s="453"/>
      <c r="I20" s="453"/>
      <c r="J20" s="453"/>
      <c r="K20" s="453"/>
      <c r="L20" s="453"/>
      <c r="M20" s="453"/>
      <c r="N20" s="453"/>
      <c r="O20" s="453"/>
    </row>
    <row r="21" spans="4:17" ht="12.75" customHeight="1" x14ac:dyDescent="0.3">
      <c r="D21" s="438"/>
      <c r="E21" s="438"/>
      <c r="F21" s="438"/>
      <c r="G21" s="453"/>
      <c r="H21" s="453"/>
      <c r="I21" s="453"/>
      <c r="J21" s="453"/>
      <c r="K21" s="453"/>
      <c r="L21" s="453"/>
      <c r="M21" s="453"/>
      <c r="N21" s="453"/>
      <c r="O21" s="453"/>
    </row>
    <row r="22" spans="4:17" ht="12.75" customHeight="1" x14ac:dyDescent="0.3">
      <c r="D22" s="1746" t="s">
        <v>508</v>
      </c>
      <c r="E22" s="1747"/>
      <c r="F22" s="1747"/>
      <c r="G22" s="1748"/>
      <c r="H22" s="1748"/>
      <c r="I22" s="1749"/>
      <c r="J22" s="1749">
        <v>2025</v>
      </c>
      <c r="K22" s="1749">
        <v>2026</v>
      </c>
      <c r="L22" s="1749">
        <v>2027</v>
      </c>
      <c r="M22" s="1749">
        <v>2028</v>
      </c>
      <c r="N22" s="1749">
        <v>2029</v>
      </c>
      <c r="O22" s="1749">
        <v>2030</v>
      </c>
    </row>
    <row r="23" spans="4:17" ht="12.75" customHeight="1" x14ac:dyDescent="0.3">
      <c r="D23" s="454" t="str">
        <f>G44</f>
        <v>Uitvoering van de Wet WOZ</v>
      </c>
      <c r="E23" s="455"/>
      <c r="F23" s="456"/>
      <c r="G23" s="453"/>
      <c r="H23" s="453"/>
      <c r="I23" s="518"/>
      <c r="J23" s="25">
        <v>50647</v>
      </c>
      <c r="K23" s="25">
        <v>52200</v>
      </c>
      <c r="L23" s="25">
        <f t="shared" ref="L23:M23" si="0">L50</f>
        <v>53296</v>
      </c>
      <c r="M23" s="25">
        <f t="shared" si="0"/>
        <v>54495</v>
      </c>
      <c r="N23" s="25">
        <f t="shared" ref="N23:O23" si="1">N50</f>
        <v>55721</v>
      </c>
      <c r="O23" s="25">
        <f t="shared" si="1"/>
        <v>56974</v>
      </c>
    </row>
    <row r="24" spans="4:17" ht="12.75" customHeight="1" x14ac:dyDescent="0.3">
      <c r="D24" s="454" t="str">
        <f>G52</f>
        <v>Heffing en invordering belastingen en heffingen</v>
      </c>
      <c r="E24" s="455"/>
      <c r="F24" s="456"/>
      <c r="G24" s="453"/>
      <c r="H24" s="453"/>
      <c r="I24" s="518"/>
      <c r="J24" s="25">
        <v>26919</v>
      </c>
      <c r="K24" s="25">
        <v>27619</v>
      </c>
      <c r="L24" s="25">
        <f t="shared" ref="L24:M24" si="2">L56</f>
        <v>28204</v>
      </c>
      <c r="M24" s="25">
        <f t="shared" si="2"/>
        <v>28847</v>
      </c>
      <c r="N24" s="25">
        <f t="shared" ref="N24:O24" si="3">N56</f>
        <v>29505</v>
      </c>
      <c r="O24" s="25">
        <f t="shared" si="3"/>
        <v>23828</v>
      </c>
    </row>
    <row r="25" spans="4:17" ht="12.75" customHeight="1" x14ac:dyDescent="0.3">
      <c r="D25" s="454" t="str">
        <f>G58</f>
        <v>Directe toerekening OZB woningen</v>
      </c>
      <c r="E25" s="455"/>
      <c r="F25" s="456"/>
      <c r="G25" s="453"/>
      <c r="H25" s="453"/>
      <c r="I25" s="518"/>
      <c r="J25" s="25">
        <v>101480</v>
      </c>
      <c r="K25" s="25">
        <v>92269</v>
      </c>
      <c r="L25" s="25">
        <f>L61</f>
        <v>96144</v>
      </c>
      <c r="M25" s="25">
        <f>M61</f>
        <v>99701</v>
      </c>
      <c r="N25" s="25">
        <f>N61</f>
        <v>103390</v>
      </c>
      <c r="O25" s="25">
        <f>O61</f>
        <v>107215</v>
      </c>
    </row>
    <row r="26" spans="4:17" ht="12.75" customHeight="1" x14ac:dyDescent="0.3">
      <c r="D26" s="454"/>
      <c r="E26" s="455"/>
      <c r="F26" s="456"/>
      <c r="G26" s="453"/>
      <c r="H26" s="453"/>
      <c r="I26" s="518"/>
      <c r="J26" s="26"/>
      <c r="K26" s="26"/>
      <c r="L26" s="26"/>
      <c r="M26" s="26"/>
      <c r="N26" s="26"/>
      <c r="O26" s="26"/>
    </row>
    <row r="27" spans="4:17" ht="12.75" customHeight="1" x14ac:dyDescent="0.3">
      <c r="D27" s="1751" t="s">
        <v>525</v>
      </c>
      <c r="E27" s="1752"/>
      <c r="F27" s="1753"/>
      <c r="G27" s="1754"/>
      <c r="H27" s="1754"/>
      <c r="I27" s="1757"/>
      <c r="J27" s="1755">
        <v>179046</v>
      </c>
      <c r="K27" s="1755">
        <v>172088</v>
      </c>
      <c r="L27" s="1755">
        <f>SUM(L23:L26)</f>
        <v>177644</v>
      </c>
      <c r="M27" s="1755">
        <f>SUM(M23:M26)</f>
        <v>183043</v>
      </c>
      <c r="N27" s="1755">
        <f>SUM(N23:N26)</f>
        <v>188616</v>
      </c>
      <c r="O27" s="1755">
        <f>SUM(O23:O26)</f>
        <v>188017</v>
      </c>
    </row>
    <row r="28" spans="4:17" ht="12.75" customHeight="1" x14ac:dyDescent="0.3">
      <c r="D28" s="438"/>
      <c r="E28" s="455"/>
      <c r="F28" s="456"/>
      <c r="G28" s="453"/>
      <c r="H28" s="453"/>
      <c r="I28" s="453"/>
      <c r="J28" s="453"/>
      <c r="K28" s="453"/>
      <c r="L28" s="453"/>
      <c r="M28" s="453"/>
      <c r="N28" s="453"/>
      <c r="O28" s="453"/>
    </row>
    <row r="29" spans="4:17" ht="12.75" customHeight="1" x14ac:dyDescent="0.3">
      <c r="D29" s="1746" t="s">
        <v>526</v>
      </c>
      <c r="E29" s="1747"/>
      <c r="F29" s="1747"/>
      <c r="G29" s="1748"/>
      <c r="H29" s="1748"/>
      <c r="I29" s="1749"/>
      <c r="J29" s="1749">
        <v>2025</v>
      </c>
      <c r="K29" s="1749">
        <v>2026</v>
      </c>
      <c r="L29" s="1749">
        <v>2027</v>
      </c>
      <c r="M29" s="1749">
        <v>2028</v>
      </c>
      <c r="N29" s="1749">
        <v>2029</v>
      </c>
      <c r="O29" s="1749">
        <v>2028</v>
      </c>
    </row>
    <row r="30" spans="4:17" ht="12.75" customHeight="1" x14ac:dyDescent="0.3">
      <c r="D30" s="454" t="str">
        <f>G63</f>
        <v>OZB eigendom woningen</v>
      </c>
      <c r="E30" s="455"/>
      <c r="F30" s="456"/>
      <c r="G30" s="453"/>
      <c r="H30" s="453"/>
      <c r="I30" s="518"/>
      <c r="J30" s="457">
        <v>-5061000</v>
      </c>
      <c r="K30" s="457">
        <v>-5650000.4835999999</v>
      </c>
      <c r="L30" s="457">
        <f>L66</f>
        <v>-6373000</v>
      </c>
      <c r="M30" s="457">
        <f>M66</f>
        <v>-6970000</v>
      </c>
      <c r="N30" s="457">
        <f>N66</f>
        <v>-7603000</v>
      </c>
      <c r="O30" s="457">
        <f>O66</f>
        <v>0</v>
      </c>
    </row>
    <row r="31" spans="4:17" ht="12.75" customHeight="1" x14ac:dyDescent="0.3">
      <c r="D31" s="454" t="str">
        <f>G68</f>
        <v>Heffing en invordering belastingen en heffingen</v>
      </c>
      <c r="E31" s="455"/>
      <c r="F31" s="456"/>
      <c r="G31" s="453"/>
      <c r="H31" s="453"/>
      <c r="I31" s="518"/>
      <c r="J31" s="457">
        <v>-9056</v>
      </c>
      <c r="K31" s="457">
        <v>-9292</v>
      </c>
      <c r="L31" s="457">
        <f t="shared" ref="L31:M31" si="4">L72</f>
        <v>-9487</v>
      </c>
      <c r="M31" s="457">
        <f t="shared" si="4"/>
        <v>-9704</v>
      </c>
      <c r="N31" s="457">
        <f t="shared" ref="N31:O31" si="5">N72</f>
        <v>-9928</v>
      </c>
      <c r="O31" s="457">
        <f t="shared" si="5"/>
        <v>-10155</v>
      </c>
      <c r="Q31" s="114">
        <f>K30+'T062'!K65+'T062'!K70</f>
        <v>-9660000.4835999999</v>
      </c>
    </row>
    <row r="32" spans="4:17" ht="12.75" customHeight="1" x14ac:dyDescent="0.3">
      <c r="D32" s="464"/>
      <c r="E32" s="465"/>
      <c r="F32" s="466"/>
      <c r="G32" s="467"/>
      <c r="H32" s="467"/>
      <c r="I32" s="518"/>
      <c r="J32" s="463"/>
      <c r="K32" s="463"/>
      <c r="L32" s="463"/>
      <c r="M32" s="463"/>
      <c r="N32" s="463"/>
      <c r="O32" s="463"/>
    </row>
    <row r="33" spans="1:17" ht="12.75" customHeight="1" x14ac:dyDescent="0.3">
      <c r="D33" s="1751" t="s">
        <v>328</v>
      </c>
      <c r="E33" s="1752"/>
      <c r="F33" s="1753"/>
      <c r="G33" s="1754"/>
      <c r="H33" s="1754"/>
      <c r="I33" s="1757"/>
      <c r="J33" s="1755">
        <v>-5070056</v>
      </c>
      <c r="K33" s="1755">
        <v>-5659292.4835999999</v>
      </c>
      <c r="L33" s="1755">
        <f>SUM(L30:L32)</f>
        <v>-6382487</v>
      </c>
      <c r="M33" s="1755">
        <f>SUM(M30:M32)</f>
        <v>-6979704</v>
      </c>
      <c r="N33" s="1755">
        <f>SUM(N30:N32)</f>
        <v>-7612928</v>
      </c>
      <c r="O33" s="1755">
        <f>SUM(O30:O32)</f>
        <v>-10155</v>
      </c>
    </row>
    <row r="34" spans="1:17" ht="12.75" customHeight="1" x14ac:dyDescent="0.3">
      <c r="D34" s="438"/>
      <c r="E34" s="455"/>
      <c r="F34" s="456"/>
      <c r="G34" s="453"/>
      <c r="H34" s="453"/>
      <c r="I34" s="453"/>
      <c r="J34" s="469"/>
      <c r="K34" s="469"/>
      <c r="L34" s="469"/>
      <c r="M34" s="469"/>
      <c r="N34" s="469"/>
      <c r="O34" s="469"/>
      <c r="Q34" s="114">
        <f>J30+'T062'!J65+'T062'!J70</f>
        <v>-8683000</v>
      </c>
    </row>
    <row r="35" spans="1:17" ht="12.75" customHeight="1" x14ac:dyDescent="0.3">
      <c r="D35" s="1751" t="s">
        <v>1956</v>
      </c>
      <c r="E35" s="1756"/>
      <c r="F35" s="1756"/>
      <c r="G35" s="1754"/>
      <c r="H35" s="1754"/>
      <c r="I35" s="1754"/>
      <c r="J35" s="1758">
        <v>-4891010</v>
      </c>
      <c r="K35" s="1758">
        <v>-5487204.4835999999</v>
      </c>
      <c r="L35" s="1758">
        <f>L27+L33</f>
        <v>-6204843</v>
      </c>
      <c r="M35" s="1758">
        <f>M27+M33</f>
        <v>-6796661</v>
      </c>
      <c r="N35" s="1758">
        <f>N27+N33</f>
        <v>-7424312</v>
      </c>
      <c r="O35" s="1758">
        <f>O27+O33</f>
        <v>177862</v>
      </c>
    </row>
    <row r="36" spans="1:17" ht="12.75" customHeight="1" x14ac:dyDescent="0.3">
      <c r="D36" s="438"/>
      <c r="E36" s="455"/>
      <c r="F36" s="456"/>
      <c r="G36" s="453"/>
      <c r="H36" s="453"/>
      <c r="I36" s="453"/>
      <c r="J36" s="469"/>
      <c r="K36" s="469"/>
      <c r="L36" s="469"/>
      <c r="M36" s="469"/>
      <c r="N36" s="469"/>
      <c r="O36" s="469"/>
    </row>
    <row r="37" spans="1:17" ht="12.75" customHeight="1" x14ac:dyDescent="0.3">
      <c r="D37" s="453"/>
      <c r="E37" s="453"/>
      <c r="F37" s="453"/>
      <c r="G37" s="453"/>
      <c r="H37" s="453"/>
      <c r="I37" s="453"/>
      <c r="J37" s="469"/>
      <c r="K37" s="469">
        <v>-5070056</v>
      </c>
      <c r="L37" s="469">
        <v>-5714264</v>
      </c>
      <c r="M37" s="469">
        <v>-6456477</v>
      </c>
      <c r="N37" s="469">
        <v>-7048696</v>
      </c>
      <c r="O37" s="469">
        <v>0</v>
      </c>
    </row>
    <row r="38" spans="1:17" ht="12.75" customHeight="1" x14ac:dyDescent="0.3">
      <c r="K38" s="114"/>
      <c r="L38" s="114"/>
      <c r="M38" s="114"/>
      <c r="N38" s="114"/>
      <c r="O38" s="114"/>
    </row>
    <row r="39" spans="1:17" ht="12.75" customHeight="1" x14ac:dyDescent="0.3">
      <c r="D39" s="312" t="s">
        <v>528</v>
      </c>
      <c r="E39" s="382"/>
      <c r="F39" s="382"/>
      <c r="I39" s="114"/>
      <c r="J39" s="114"/>
      <c r="K39" s="114">
        <v>-589236.48359999992</v>
      </c>
      <c r="L39" s="114">
        <f t="shared" ref="L39:N39" si="6">L33-L37</f>
        <v>-668223</v>
      </c>
      <c r="M39" s="114">
        <f t="shared" si="6"/>
        <v>-523227</v>
      </c>
      <c r="N39" s="114">
        <f t="shared" si="6"/>
        <v>-564232</v>
      </c>
      <c r="O39" s="114">
        <f t="shared" ref="O39" si="7">O33-O37</f>
        <v>-10155</v>
      </c>
    </row>
    <row r="41" spans="1:17" ht="12.75" customHeight="1" x14ac:dyDescent="0.25">
      <c r="A41" s="301"/>
      <c r="D41" s="2523" t="s">
        <v>529</v>
      </c>
      <c r="E41" s="1761" t="s">
        <v>530</v>
      </c>
      <c r="F41" s="2552" t="s">
        <v>531</v>
      </c>
      <c r="G41" s="2525" t="s">
        <v>206</v>
      </c>
      <c r="H41" s="2526"/>
      <c r="I41" s="1773"/>
      <c r="J41" s="1763"/>
      <c r="K41" s="1763"/>
      <c r="L41" s="1763"/>
      <c r="M41" s="1763"/>
      <c r="N41" s="1763"/>
      <c r="O41" s="1763"/>
    </row>
    <row r="42" spans="1:17" ht="12.75" customHeight="1" x14ac:dyDescent="0.25">
      <c r="A42" s="301"/>
      <c r="D42" s="2524"/>
      <c r="E42" s="472" t="s">
        <v>532</v>
      </c>
      <c r="F42" s="2553"/>
      <c r="G42" s="2527"/>
      <c r="H42" s="2528"/>
      <c r="I42" s="521"/>
      <c r="J42" s="1764">
        <v>2025</v>
      </c>
      <c r="K42" s="1764">
        <v>2026</v>
      </c>
      <c r="L42" s="1764">
        <v>2027</v>
      </c>
      <c r="M42" s="1764">
        <v>2028</v>
      </c>
      <c r="N42" s="1764">
        <v>2029</v>
      </c>
      <c r="O42" s="1764">
        <v>2030</v>
      </c>
    </row>
    <row r="43" spans="1:17" ht="12.75" customHeight="1" x14ac:dyDescent="0.3">
      <c r="D43" s="1805"/>
      <c r="E43" s="340"/>
      <c r="F43" s="340"/>
      <c r="G43" s="319"/>
      <c r="I43" s="318"/>
      <c r="J43" s="317"/>
      <c r="K43" s="317"/>
      <c r="L43" s="317"/>
      <c r="M43" s="317"/>
      <c r="N43" s="317"/>
      <c r="O43" s="317"/>
    </row>
    <row r="44" spans="1:17" ht="12.75" customHeight="1" x14ac:dyDescent="0.25">
      <c r="A44" s="115"/>
      <c r="D44" s="333">
        <v>606002</v>
      </c>
      <c r="E44" s="331"/>
      <c r="F44" s="331"/>
      <c r="G44" s="332" t="s">
        <v>1957</v>
      </c>
      <c r="I44" s="318"/>
      <c r="J44" s="317"/>
      <c r="K44" s="317"/>
      <c r="L44" s="317"/>
      <c r="M44" s="317"/>
      <c r="N44" s="317"/>
      <c r="O44" s="317"/>
    </row>
    <row r="45" spans="1:17" ht="12.75" customHeight="1" x14ac:dyDescent="0.25">
      <c r="A45" s="115"/>
      <c r="D45" s="340"/>
      <c r="E45" s="340"/>
      <c r="F45" s="340"/>
      <c r="G45" s="334" t="s">
        <v>533</v>
      </c>
      <c r="I45" s="318"/>
      <c r="J45" s="317"/>
      <c r="K45" s="317"/>
      <c r="L45" s="317"/>
      <c r="M45" s="317"/>
      <c r="N45" s="317"/>
      <c r="O45" s="317"/>
    </row>
    <row r="46" spans="1:17" ht="12.75" customHeight="1" x14ac:dyDescent="0.25">
      <c r="A46" s="229">
        <f>+D44</f>
        <v>606002</v>
      </c>
      <c r="B46" s="115" t="str">
        <f>G44</f>
        <v>Uitvoering van de Wet WOZ</v>
      </c>
      <c r="D46" s="340">
        <v>43511</v>
      </c>
      <c r="E46" s="340"/>
      <c r="F46" s="340"/>
      <c r="G46" s="319" t="s">
        <v>560</v>
      </c>
      <c r="I46" s="318"/>
      <c r="J46" s="318">
        <v>21463</v>
      </c>
      <c r="K46" s="318">
        <v>22000</v>
      </c>
      <c r="L46" s="318">
        <f>L84</f>
        <v>22462</v>
      </c>
      <c r="M46" s="318">
        <f>M84</f>
        <v>22934</v>
      </c>
      <c r="N46" s="318">
        <f>N84</f>
        <v>23416</v>
      </c>
      <c r="O46" s="318">
        <f>O84</f>
        <v>23908</v>
      </c>
    </row>
    <row r="47" spans="1:17" ht="12.75" customHeight="1" x14ac:dyDescent="0.25">
      <c r="A47" s="336">
        <f>+D44</f>
        <v>606002</v>
      </c>
      <c r="B47" s="115" t="str">
        <f>G44</f>
        <v>Uitvoering van de Wet WOZ</v>
      </c>
      <c r="D47" s="337">
        <v>43812</v>
      </c>
      <c r="E47" s="337"/>
      <c r="F47" s="337"/>
      <c r="G47" s="319" t="s">
        <v>535</v>
      </c>
      <c r="I47" s="318"/>
      <c r="J47" s="318">
        <v>62948</v>
      </c>
      <c r="K47" s="318">
        <v>65000</v>
      </c>
      <c r="L47" s="318">
        <f>+L94</f>
        <v>66365</v>
      </c>
      <c r="M47" s="318">
        <f>+M94</f>
        <v>67891</v>
      </c>
      <c r="N47" s="318">
        <f>+N94</f>
        <v>69452</v>
      </c>
      <c r="O47" s="318">
        <f>+O94</f>
        <v>71049</v>
      </c>
    </row>
    <row r="48" spans="1:17" ht="12.75" customHeight="1" x14ac:dyDescent="0.25">
      <c r="A48" s="336">
        <f>+D44</f>
        <v>606002</v>
      </c>
      <c r="B48" s="115" t="str">
        <f>+G44</f>
        <v>Uitvoering van de Wet WOZ</v>
      </c>
      <c r="D48" s="340">
        <v>43511</v>
      </c>
      <c r="E48" s="340"/>
      <c r="F48" s="340"/>
      <c r="G48" s="319" t="s">
        <v>1958</v>
      </c>
      <c r="I48" s="318"/>
      <c r="J48" s="318">
        <v>-8585</v>
      </c>
      <c r="K48" s="318">
        <v>-8800</v>
      </c>
      <c r="L48" s="318">
        <f t="shared" ref="L48:M48" si="8">L106</f>
        <v>-8985</v>
      </c>
      <c r="M48" s="318">
        <f t="shared" si="8"/>
        <v>-9174</v>
      </c>
      <c r="N48" s="318">
        <f t="shared" ref="N48:O48" si="9">N106</f>
        <v>-9366</v>
      </c>
      <c r="O48" s="318">
        <f t="shared" si="9"/>
        <v>-9563</v>
      </c>
    </row>
    <row r="49" spans="1:15" ht="12.75" customHeight="1" x14ac:dyDescent="0.25">
      <c r="A49" s="336">
        <f>+D44</f>
        <v>606002</v>
      </c>
      <c r="B49" s="115" t="str">
        <f>+G44</f>
        <v>Uitvoering van de Wet WOZ</v>
      </c>
      <c r="D49" s="337">
        <v>43812</v>
      </c>
      <c r="E49" s="337"/>
      <c r="F49" s="337"/>
      <c r="G49" s="319" t="s">
        <v>1959</v>
      </c>
      <c r="I49" s="318"/>
      <c r="J49" s="318">
        <v>-25179</v>
      </c>
      <c r="K49" s="318">
        <v>-26000</v>
      </c>
      <c r="L49" s="318">
        <f t="shared" ref="L49:M49" si="10">L108</f>
        <v>-26546</v>
      </c>
      <c r="M49" s="318">
        <f t="shared" si="10"/>
        <v>-27156</v>
      </c>
      <c r="N49" s="318">
        <f t="shared" ref="N49:O49" si="11">N108</f>
        <v>-27781</v>
      </c>
      <c r="O49" s="318">
        <f t="shared" si="11"/>
        <v>-28420</v>
      </c>
    </row>
    <row r="50" spans="1:15" ht="12.75" customHeight="1" thickBot="1" x14ac:dyDescent="0.3">
      <c r="A50" s="115"/>
      <c r="D50" s="340"/>
      <c r="E50" s="340"/>
      <c r="F50" s="340"/>
      <c r="G50" s="319" t="s">
        <v>536</v>
      </c>
      <c r="I50" s="318"/>
      <c r="J50" s="480">
        <v>50647</v>
      </c>
      <c r="K50" s="480">
        <v>52200</v>
      </c>
      <c r="L50" s="480">
        <f t="shared" ref="L50:M50" si="12">SUM(L46:L49)</f>
        <v>53296</v>
      </c>
      <c r="M50" s="480">
        <f t="shared" si="12"/>
        <v>54495</v>
      </c>
      <c r="N50" s="480">
        <f t="shared" ref="N50:O50" si="13">SUM(N46:N49)</f>
        <v>55721</v>
      </c>
      <c r="O50" s="480">
        <f t="shared" si="13"/>
        <v>56974</v>
      </c>
    </row>
    <row r="51" spans="1:15" ht="12.75" customHeight="1" thickTop="1" x14ac:dyDescent="0.25">
      <c r="A51" s="115"/>
      <c r="D51" s="340"/>
      <c r="E51" s="340"/>
      <c r="F51" s="340"/>
      <c r="G51" s="319"/>
      <c r="I51" s="318"/>
      <c r="J51" s="344"/>
      <c r="K51" s="344"/>
      <c r="L51" s="344"/>
      <c r="M51" s="344"/>
      <c r="N51" s="344"/>
      <c r="O51" s="344"/>
    </row>
    <row r="52" spans="1:15" ht="12.75" customHeight="1" x14ac:dyDescent="0.25">
      <c r="A52" s="115"/>
      <c r="D52" s="347">
        <v>606003</v>
      </c>
      <c r="E52" s="476"/>
      <c r="F52" s="340"/>
      <c r="G52" s="332" t="s">
        <v>1960</v>
      </c>
      <c r="I52" s="318"/>
      <c r="J52" s="317"/>
      <c r="K52" s="317"/>
      <c r="L52" s="317"/>
      <c r="M52" s="317"/>
      <c r="N52" s="317"/>
      <c r="O52" s="317"/>
    </row>
    <row r="53" spans="1:15" ht="12.75" customHeight="1" x14ac:dyDescent="0.25">
      <c r="A53" s="115"/>
      <c r="D53" s="340"/>
      <c r="E53" s="340"/>
      <c r="F53" s="340"/>
      <c r="G53" s="334" t="s">
        <v>533</v>
      </c>
      <c r="I53" s="318"/>
      <c r="J53" s="317"/>
      <c r="K53" s="317"/>
      <c r="L53" s="317"/>
      <c r="M53" s="317"/>
      <c r="N53" s="317"/>
      <c r="O53" s="317"/>
    </row>
    <row r="54" spans="1:15" ht="12.75" customHeight="1" x14ac:dyDescent="0.25">
      <c r="A54" s="229">
        <f>+D52</f>
        <v>606003</v>
      </c>
      <c r="B54" s="115" t="str">
        <f>G52</f>
        <v>Heffing en invordering belastingen en heffingen</v>
      </c>
      <c r="D54" s="340">
        <v>43812</v>
      </c>
      <c r="E54" s="340"/>
      <c r="F54" s="340"/>
      <c r="G54" s="319" t="s">
        <v>535</v>
      </c>
      <c r="I54" s="318"/>
      <c r="J54" s="317">
        <v>89730</v>
      </c>
      <c r="K54" s="317">
        <v>92062</v>
      </c>
      <c r="L54" s="317">
        <f t="shared" ref="L54:M54" si="14">L122</f>
        <v>94014</v>
      </c>
      <c r="M54" s="317">
        <f t="shared" si="14"/>
        <v>96156</v>
      </c>
      <c r="N54" s="317">
        <f t="shared" ref="N54:O54" si="15">N122</f>
        <v>98347</v>
      </c>
      <c r="O54" s="317">
        <f t="shared" si="15"/>
        <v>79428</v>
      </c>
    </row>
    <row r="55" spans="1:15" ht="12.75" customHeight="1" x14ac:dyDescent="0.25">
      <c r="A55" s="336">
        <f>+D52</f>
        <v>606003</v>
      </c>
      <c r="B55" s="115" t="str">
        <f>G52</f>
        <v>Heffing en invordering belastingen en heffingen</v>
      </c>
      <c r="D55" s="340">
        <v>43812</v>
      </c>
      <c r="E55" s="340"/>
      <c r="F55" s="340"/>
      <c r="G55" s="319" t="s">
        <v>1961</v>
      </c>
      <c r="I55" s="318"/>
      <c r="J55" s="317">
        <v>-62811</v>
      </c>
      <c r="K55" s="317">
        <v>-64443</v>
      </c>
      <c r="L55" s="317">
        <f t="shared" ref="L55:M55" si="16">L139</f>
        <v>-65810</v>
      </c>
      <c r="M55" s="317">
        <f t="shared" si="16"/>
        <v>-67309</v>
      </c>
      <c r="N55" s="317">
        <f t="shared" ref="N55:O55" si="17">N139</f>
        <v>-68842</v>
      </c>
      <c r="O55" s="317">
        <f t="shared" si="17"/>
        <v>-55600</v>
      </c>
    </row>
    <row r="56" spans="1:15" ht="12.75" customHeight="1" thickBot="1" x14ac:dyDescent="0.3">
      <c r="A56" s="115"/>
      <c r="D56" s="340"/>
      <c r="E56" s="340"/>
      <c r="F56" s="340"/>
      <c r="G56" s="319" t="s">
        <v>536</v>
      </c>
      <c r="I56" s="318"/>
      <c r="J56" s="480">
        <v>26919</v>
      </c>
      <c r="K56" s="480">
        <v>27619</v>
      </c>
      <c r="L56" s="480">
        <f t="shared" ref="L56:M56" si="18">SUM(L53:L55)</f>
        <v>28204</v>
      </c>
      <c r="M56" s="480">
        <f t="shared" si="18"/>
        <v>28847</v>
      </c>
      <c r="N56" s="480">
        <f t="shared" ref="N56:O56" si="19">SUM(N53:N55)</f>
        <v>29505</v>
      </c>
      <c r="O56" s="480">
        <f t="shared" si="19"/>
        <v>23828</v>
      </c>
    </row>
    <row r="57" spans="1:15" ht="12.75" customHeight="1" thickTop="1" x14ac:dyDescent="0.25">
      <c r="A57" s="115"/>
      <c r="D57" s="340"/>
      <c r="E57" s="340"/>
      <c r="F57" s="340"/>
      <c r="G57" s="319"/>
      <c r="I57" s="318"/>
      <c r="J57" s="317"/>
      <c r="K57" s="317"/>
      <c r="L57" s="317"/>
      <c r="M57" s="317"/>
      <c r="N57" s="317"/>
      <c r="O57" s="317"/>
    </row>
    <row r="58" spans="1:15" ht="12.75" customHeight="1" x14ac:dyDescent="0.25">
      <c r="A58" s="115"/>
      <c r="D58" s="333">
        <v>606901</v>
      </c>
      <c r="E58" s="331"/>
      <c r="F58" s="331"/>
      <c r="G58" s="332" t="s">
        <v>1962</v>
      </c>
      <c r="I58" s="318"/>
      <c r="J58" s="317"/>
      <c r="K58" s="317"/>
      <c r="L58" s="317"/>
      <c r="M58" s="317"/>
      <c r="N58" s="317"/>
      <c r="O58" s="317"/>
    </row>
    <row r="59" spans="1:15" ht="12.75" customHeight="1" x14ac:dyDescent="0.25">
      <c r="A59" s="115"/>
      <c r="D59" s="340"/>
      <c r="E59" s="340"/>
      <c r="F59" s="340"/>
      <c r="G59" s="334" t="s">
        <v>533</v>
      </c>
      <c r="I59" s="318"/>
      <c r="J59" s="317"/>
      <c r="K59" s="317"/>
      <c r="L59" s="317"/>
      <c r="M59" s="317"/>
      <c r="N59" s="317"/>
      <c r="O59" s="317"/>
    </row>
    <row r="60" spans="1:15" ht="12.75" customHeight="1" x14ac:dyDescent="0.25">
      <c r="A60" s="229">
        <f>+D58</f>
        <v>606901</v>
      </c>
      <c r="B60" s="115" t="str">
        <f>G58</f>
        <v>Directe toerekening OZB woningen</v>
      </c>
      <c r="D60" s="337">
        <v>41100</v>
      </c>
      <c r="E60" s="337"/>
      <c r="F60" s="337"/>
      <c r="G60" s="319" t="s">
        <v>541</v>
      </c>
      <c r="I60" s="318"/>
      <c r="J60" s="318">
        <v>101480</v>
      </c>
      <c r="K60" s="318">
        <v>92269</v>
      </c>
      <c r="L60" s="318">
        <f>L147</f>
        <v>96144</v>
      </c>
      <c r="M60" s="318">
        <f>M147</f>
        <v>99701</v>
      </c>
      <c r="N60" s="318">
        <f>N147</f>
        <v>103390</v>
      </c>
      <c r="O60" s="318">
        <f>O147</f>
        <v>107215</v>
      </c>
    </row>
    <row r="61" spans="1:15" ht="12.75" customHeight="1" thickBot="1" x14ac:dyDescent="0.3">
      <c r="A61" s="115"/>
      <c r="D61" s="340"/>
      <c r="E61" s="340"/>
      <c r="F61" s="340"/>
      <c r="G61" s="319" t="s">
        <v>536</v>
      </c>
      <c r="I61" s="318"/>
      <c r="J61" s="342">
        <v>101480</v>
      </c>
      <c r="K61" s="342">
        <v>92269</v>
      </c>
      <c r="L61" s="342">
        <f t="shared" ref="L61:M61" si="20">SUM(L59:L60)</f>
        <v>96144</v>
      </c>
      <c r="M61" s="342">
        <f t="shared" si="20"/>
        <v>99701</v>
      </c>
      <c r="N61" s="342">
        <f t="shared" ref="N61:O61" si="21">SUM(N59:N60)</f>
        <v>103390</v>
      </c>
      <c r="O61" s="342">
        <f t="shared" si="21"/>
        <v>107215</v>
      </c>
    </row>
    <row r="62" spans="1:15" ht="12.75" customHeight="1" thickTop="1" x14ac:dyDescent="0.25">
      <c r="A62" s="115"/>
      <c r="D62" s="340"/>
      <c r="E62" s="340"/>
      <c r="F62" s="340"/>
      <c r="G62" s="319"/>
      <c r="I62" s="318"/>
      <c r="J62" s="317"/>
      <c r="K62" s="317"/>
      <c r="L62" s="317"/>
      <c r="M62" s="317"/>
      <c r="N62" s="317"/>
      <c r="O62" s="317"/>
    </row>
    <row r="63" spans="1:15" ht="12.75" customHeight="1" x14ac:dyDescent="0.3">
      <c r="D63" s="333">
        <v>606001</v>
      </c>
      <c r="E63" s="331"/>
      <c r="F63" s="331"/>
      <c r="G63" s="332" t="s">
        <v>1963</v>
      </c>
      <c r="I63" s="318"/>
      <c r="J63" s="317"/>
      <c r="K63" s="317"/>
      <c r="L63" s="317"/>
      <c r="M63" s="317"/>
      <c r="N63" s="317"/>
      <c r="O63" s="317"/>
    </row>
    <row r="64" spans="1:15" ht="12.75" customHeight="1" x14ac:dyDescent="0.3">
      <c r="D64" s="340"/>
      <c r="E64" s="340"/>
      <c r="F64" s="340"/>
      <c r="G64" s="334" t="s">
        <v>554</v>
      </c>
      <c r="I64" s="318"/>
      <c r="J64" s="317"/>
      <c r="K64" s="317"/>
      <c r="L64" s="317"/>
      <c r="M64" s="317"/>
      <c r="N64" s="317"/>
      <c r="O64" s="317"/>
    </row>
    <row r="65" spans="1:16" ht="12.75" customHeight="1" x14ac:dyDescent="0.25">
      <c r="A65" s="229">
        <f>+D63</f>
        <v>606001</v>
      </c>
      <c r="B65" s="115" t="str">
        <f>G63</f>
        <v>OZB eigendom woningen</v>
      </c>
      <c r="D65" s="337">
        <v>82210</v>
      </c>
      <c r="E65" s="337"/>
      <c r="F65" s="337"/>
      <c r="G65" s="319" t="s">
        <v>1964</v>
      </c>
      <c r="I65" s="318"/>
      <c r="J65" s="317">
        <v>-5061000</v>
      </c>
      <c r="K65" s="317">
        <v>-5650000.4835999999</v>
      </c>
      <c r="L65" s="317">
        <f t="shared" ref="L65:M65" si="22">L198</f>
        <v>-6373000</v>
      </c>
      <c r="M65" s="317">
        <f t="shared" si="22"/>
        <v>-6970000</v>
      </c>
      <c r="N65" s="317">
        <f t="shared" ref="N65:O65" si="23">N198</f>
        <v>-7603000</v>
      </c>
      <c r="O65" s="317">
        <f t="shared" si="23"/>
        <v>0</v>
      </c>
    </row>
    <row r="66" spans="1:16" ht="12.75" customHeight="1" thickBot="1" x14ac:dyDescent="0.35">
      <c r="D66" s="340"/>
      <c r="E66" s="340"/>
      <c r="F66" s="340"/>
      <c r="G66" s="319" t="s">
        <v>536</v>
      </c>
      <c r="I66" s="318"/>
      <c r="J66" s="342">
        <v>-5061000</v>
      </c>
      <c r="K66" s="342">
        <v>-5650000.4835999999</v>
      </c>
      <c r="L66" s="342">
        <f t="shared" ref="L66:M66" si="24">SUM(L64:L65)</f>
        <v>-6373000</v>
      </c>
      <c r="M66" s="342">
        <f t="shared" si="24"/>
        <v>-6970000</v>
      </c>
      <c r="N66" s="342">
        <f t="shared" ref="N66:O66" si="25">SUM(N64:N65)</f>
        <v>-7603000</v>
      </c>
      <c r="O66" s="342">
        <f t="shared" si="25"/>
        <v>0</v>
      </c>
    </row>
    <row r="67" spans="1:16" ht="12.75" customHeight="1" thickTop="1" x14ac:dyDescent="0.3">
      <c r="D67" s="340"/>
      <c r="E67" s="340"/>
      <c r="F67" s="340"/>
      <c r="G67" s="319"/>
      <c r="I67" s="318"/>
      <c r="J67" s="317"/>
      <c r="K67" s="317"/>
      <c r="L67" s="317"/>
      <c r="M67" s="317"/>
      <c r="N67" s="317"/>
      <c r="O67" s="317"/>
    </row>
    <row r="68" spans="1:16" ht="12.75" customHeight="1" x14ac:dyDescent="0.3">
      <c r="D68" s="333">
        <v>606003</v>
      </c>
      <c r="E68" s="331"/>
      <c r="F68" s="331"/>
      <c r="G68" s="332" t="s">
        <v>1960</v>
      </c>
      <c r="I68" s="318"/>
      <c r="J68" s="317"/>
      <c r="K68" s="317"/>
      <c r="L68" s="317"/>
      <c r="M68" s="317"/>
      <c r="N68" s="317"/>
      <c r="O68" s="317"/>
    </row>
    <row r="69" spans="1:16" ht="12.75" customHeight="1" x14ac:dyDescent="0.3">
      <c r="D69" s="340"/>
      <c r="E69" s="340"/>
      <c r="F69" s="340"/>
      <c r="G69" s="334" t="s">
        <v>554</v>
      </c>
      <c r="I69" s="318"/>
      <c r="J69" s="317"/>
      <c r="K69" s="317"/>
      <c r="L69" s="317"/>
      <c r="M69" s="317"/>
      <c r="N69" s="317"/>
      <c r="O69" s="317"/>
    </row>
    <row r="70" spans="1:16" ht="12.75" customHeight="1" x14ac:dyDescent="0.25">
      <c r="A70" s="229">
        <f>+D68</f>
        <v>606003</v>
      </c>
      <c r="B70" s="115" t="str">
        <f>G68</f>
        <v>Heffing en invordering belastingen en heffingen</v>
      </c>
      <c r="D70" s="337">
        <v>83800</v>
      </c>
      <c r="E70" s="337"/>
      <c r="F70" s="337"/>
      <c r="G70" s="319" t="s">
        <v>535</v>
      </c>
      <c r="I70" s="318"/>
      <c r="J70" s="318">
        <v>-30186</v>
      </c>
      <c r="K70" s="318">
        <v>-30971</v>
      </c>
      <c r="L70" s="318">
        <f t="shared" ref="L70:M70" si="26">L153</f>
        <v>-31621</v>
      </c>
      <c r="M70" s="318">
        <f t="shared" si="26"/>
        <v>-32348</v>
      </c>
      <c r="N70" s="318">
        <f t="shared" ref="N70:O70" si="27">N153</f>
        <v>-33092</v>
      </c>
      <c r="O70" s="318">
        <f t="shared" si="27"/>
        <v>-33853</v>
      </c>
    </row>
    <row r="71" spans="1:16" ht="12.75" customHeight="1" x14ac:dyDescent="0.25">
      <c r="A71" s="336">
        <f>+D68</f>
        <v>606003</v>
      </c>
      <c r="B71" s="115" t="str">
        <f>G68</f>
        <v>Heffing en invordering belastingen en heffingen</v>
      </c>
      <c r="D71" s="337">
        <v>83800</v>
      </c>
      <c r="E71" s="337"/>
      <c r="F71" s="337"/>
      <c r="G71" s="319" t="s">
        <v>1965</v>
      </c>
      <c r="I71" s="318"/>
      <c r="J71" s="318">
        <v>21130</v>
      </c>
      <c r="K71" s="318">
        <v>21679</v>
      </c>
      <c r="L71" s="318">
        <f t="shared" ref="L71:M71" si="28">L170</f>
        <v>22134</v>
      </c>
      <c r="M71" s="318">
        <f t="shared" si="28"/>
        <v>22644</v>
      </c>
      <c r="N71" s="318">
        <f t="shared" ref="N71:O71" si="29">N170</f>
        <v>23164</v>
      </c>
      <c r="O71" s="318">
        <f t="shared" si="29"/>
        <v>23698</v>
      </c>
    </row>
    <row r="72" spans="1:16" ht="12.75" customHeight="1" thickBot="1" x14ac:dyDescent="0.35">
      <c r="D72" s="340"/>
      <c r="E72" s="340"/>
      <c r="F72" s="340"/>
      <c r="G72" s="319" t="s">
        <v>536</v>
      </c>
      <c r="I72" s="318"/>
      <c r="J72" s="342">
        <v>-9056</v>
      </c>
      <c r="K72" s="342">
        <v>-9292</v>
      </c>
      <c r="L72" s="342">
        <f t="shared" ref="L72:M72" si="30">SUM(L70:L71)</f>
        <v>-9487</v>
      </c>
      <c r="M72" s="342">
        <f t="shared" si="30"/>
        <v>-9704</v>
      </c>
      <c r="N72" s="342">
        <f t="shared" ref="N72:O72" si="31">SUM(N70:N71)</f>
        <v>-9928</v>
      </c>
      <c r="O72" s="342">
        <f t="shared" si="31"/>
        <v>-10155</v>
      </c>
    </row>
    <row r="73" spans="1:16" ht="12.75" customHeight="1" thickTop="1" x14ac:dyDescent="0.3">
      <c r="D73" s="340"/>
      <c r="E73" s="340"/>
      <c r="F73" s="340"/>
      <c r="G73" s="319"/>
      <c r="I73" s="318"/>
      <c r="J73" s="317"/>
      <c r="K73" s="317"/>
      <c r="L73" s="317"/>
      <c r="M73" s="317"/>
      <c r="N73" s="317"/>
      <c r="O73" s="317"/>
    </row>
    <row r="74" spans="1:16" ht="12.75" customHeight="1" x14ac:dyDescent="0.3">
      <c r="D74" s="167"/>
      <c r="E74" s="167"/>
      <c r="F74" s="167"/>
      <c r="G74" s="168"/>
      <c r="H74" s="149"/>
      <c r="I74" s="156"/>
      <c r="J74" s="142"/>
      <c r="K74" s="142"/>
      <c r="L74" s="142"/>
      <c r="M74" s="142"/>
      <c r="N74" s="142"/>
      <c r="O74" s="142"/>
    </row>
    <row r="75" spans="1:16" ht="12.75" customHeight="1" x14ac:dyDescent="0.3">
      <c r="D75" s="384"/>
      <c r="E75" s="384"/>
      <c r="F75" s="384"/>
      <c r="I75" s="114"/>
      <c r="J75" s="114"/>
      <c r="K75" s="114"/>
      <c r="L75" s="114"/>
      <c r="M75" s="114"/>
      <c r="N75" s="114"/>
      <c r="O75" s="114"/>
    </row>
    <row r="76" spans="1:16" ht="12.75" customHeight="1" x14ac:dyDescent="0.3">
      <c r="D76" s="384"/>
      <c r="E76" s="384"/>
      <c r="F76" s="384"/>
      <c r="I76" s="114"/>
      <c r="J76" s="114"/>
      <c r="K76" s="114"/>
      <c r="L76" s="114"/>
      <c r="M76" s="114"/>
      <c r="N76" s="114"/>
      <c r="O76" s="114"/>
    </row>
    <row r="77" spans="1:16" ht="12.75" customHeight="1" x14ac:dyDescent="0.3">
      <c r="D77" s="384"/>
      <c r="E77" s="384"/>
      <c r="F77" s="384"/>
      <c r="I77" s="114"/>
      <c r="J77" s="114"/>
      <c r="K77" s="114"/>
      <c r="L77" s="114"/>
      <c r="M77" s="114"/>
      <c r="N77" s="114"/>
      <c r="O77" s="114"/>
    </row>
    <row r="78" spans="1:16" ht="12.75" customHeight="1" x14ac:dyDescent="0.3">
      <c r="D78" s="384"/>
      <c r="E78" s="384"/>
      <c r="F78" s="384"/>
      <c r="I78" s="114"/>
      <c r="J78" s="114"/>
      <c r="K78" s="114"/>
      <c r="L78" s="114"/>
      <c r="M78" s="114"/>
      <c r="N78" s="114"/>
      <c r="O78" s="114"/>
    </row>
    <row r="79" spans="1:16" ht="12.75" customHeight="1" x14ac:dyDescent="0.3">
      <c r="D79" s="381" t="s">
        <v>561</v>
      </c>
      <c r="E79" s="384"/>
      <c r="F79" s="384"/>
      <c r="I79" s="114"/>
      <c r="J79" s="114"/>
      <c r="K79" s="114"/>
      <c r="L79" s="114"/>
      <c r="M79" s="114"/>
      <c r="N79" s="114"/>
      <c r="O79" s="114"/>
    </row>
    <row r="80" spans="1:16" ht="12.75" customHeight="1" x14ac:dyDescent="0.3">
      <c r="I80" s="114"/>
      <c r="J80" s="1848">
        <v>2025</v>
      </c>
      <c r="K80" s="1848">
        <v>2026</v>
      </c>
      <c r="L80" s="1848">
        <v>2027</v>
      </c>
      <c r="M80" s="1848">
        <v>2028</v>
      </c>
      <c r="N80" s="1848">
        <v>2029</v>
      </c>
      <c r="O80" s="1848">
        <v>2030</v>
      </c>
      <c r="P80" s="114"/>
    </row>
    <row r="81" spans="1:15" ht="12.75" customHeight="1" x14ac:dyDescent="0.25">
      <c r="A81" s="115"/>
      <c r="D81" s="393">
        <v>606002</v>
      </c>
      <c r="E81" s="381" t="s">
        <v>1966</v>
      </c>
      <c r="F81" s="115"/>
      <c r="G81" s="114"/>
      <c r="H81" s="114"/>
      <c r="I81" s="114"/>
      <c r="J81" s="486"/>
      <c r="K81" s="486"/>
      <c r="L81" s="486"/>
      <c r="M81" s="486"/>
      <c r="N81" s="486"/>
      <c r="O81" s="486"/>
    </row>
    <row r="82" spans="1:15" ht="12.75" customHeight="1" x14ac:dyDescent="0.25">
      <c r="A82" s="115"/>
      <c r="E82" s="1063" t="s">
        <v>533</v>
      </c>
      <c r="F82" s="115"/>
      <c r="G82" s="114"/>
      <c r="H82" s="114"/>
      <c r="I82" s="114"/>
    </row>
    <row r="83" spans="1:15" ht="12.75" customHeight="1" x14ac:dyDescent="0.25">
      <c r="A83" s="115"/>
      <c r="D83" s="143">
        <v>43511</v>
      </c>
      <c r="E83" s="308" t="s">
        <v>1967</v>
      </c>
      <c r="F83" s="115"/>
      <c r="G83" s="114"/>
      <c r="H83" s="114"/>
      <c r="I83" s="114"/>
      <c r="J83" s="114"/>
      <c r="K83" s="114"/>
      <c r="L83" s="114"/>
      <c r="M83" s="114"/>
      <c r="N83" s="114"/>
      <c r="O83" s="114"/>
    </row>
    <row r="84" spans="1:15" ht="12.75" customHeight="1" thickBot="1" x14ac:dyDescent="0.3">
      <c r="A84" s="115"/>
      <c r="E84" s="115"/>
      <c r="F84" s="115"/>
      <c r="G84" s="114"/>
      <c r="H84" s="114"/>
      <c r="I84" s="114"/>
      <c r="J84" s="1744">
        <v>21463</v>
      </c>
      <c r="K84" s="1744">
        <v>22000</v>
      </c>
      <c r="L84" s="1744">
        <f>ROUND(K84*$T$2,0)</f>
        <v>22462</v>
      </c>
      <c r="M84" s="1744">
        <f>ROUND(L84*$T$2,0)</f>
        <v>22934</v>
      </c>
      <c r="N84" s="1744">
        <f>ROUND(M84*$T$2,0)</f>
        <v>23416</v>
      </c>
      <c r="O84" s="1744">
        <f>ROUND(N84*$T$2,0)</f>
        <v>23908</v>
      </c>
    </row>
    <row r="85" spans="1:15" ht="12.75" customHeight="1" thickTop="1" x14ac:dyDescent="0.25">
      <c r="A85" s="115"/>
      <c r="E85" s="115"/>
      <c r="F85" s="115"/>
      <c r="G85" s="114"/>
      <c r="H85" s="114"/>
      <c r="I85" s="114"/>
      <c r="J85" s="114"/>
      <c r="K85" s="114"/>
      <c r="L85" s="114"/>
      <c r="M85" s="114"/>
      <c r="N85" s="114"/>
      <c r="O85" s="114"/>
    </row>
    <row r="86" spans="1:15" ht="12.75" customHeight="1" x14ac:dyDescent="0.25">
      <c r="A86" s="115"/>
      <c r="D86" s="143">
        <v>43812</v>
      </c>
      <c r="E86" s="308" t="s">
        <v>1968</v>
      </c>
      <c r="F86" s="115"/>
      <c r="G86" s="114"/>
      <c r="H86" s="114"/>
      <c r="I86" s="114"/>
      <c r="J86" s="114">
        <v>62948</v>
      </c>
      <c r="K86" s="114">
        <v>65000</v>
      </c>
      <c r="L86" s="114">
        <f>ROUND(K86*T$2,0)</f>
        <v>66365</v>
      </c>
      <c r="M86" s="114">
        <f>ROUND(L86*U$2,0)</f>
        <v>67891</v>
      </c>
      <c r="N86" s="114">
        <f>ROUND(M86*V$2,0)</f>
        <v>69452</v>
      </c>
      <c r="O86" s="114">
        <f>ROUND(N86*W$2,0)</f>
        <v>71049</v>
      </c>
    </row>
    <row r="87" spans="1:15" ht="12.75" customHeight="1" x14ac:dyDescent="0.25">
      <c r="A87" s="115"/>
      <c r="E87" s="308" t="s">
        <v>1969</v>
      </c>
      <c r="F87" s="115"/>
      <c r="G87" s="114"/>
      <c r="H87" s="114"/>
      <c r="I87" s="114"/>
      <c r="J87" s="114"/>
      <c r="K87" s="114"/>
      <c r="L87" s="114"/>
      <c r="M87" s="114"/>
      <c r="N87" s="114"/>
      <c r="O87" s="114"/>
    </row>
    <row r="88" spans="1:15" ht="12.75" customHeight="1" x14ac:dyDescent="0.25">
      <c r="A88" s="115"/>
      <c r="E88" s="308" t="s">
        <v>1970</v>
      </c>
      <c r="F88" s="115"/>
      <c r="G88" s="114"/>
      <c r="H88" s="114"/>
      <c r="I88" s="114"/>
    </row>
    <row r="89" spans="1:15" ht="12.75" customHeight="1" x14ac:dyDescent="0.25">
      <c r="A89" s="115"/>
      <c r="E89" s="308" t="s">
        <v>1971</v>
      </c>
      <c r="F89" s="115"/>
      <c r="G89" s="114"/>
      <c r="H89" s="114"/>
      <c r="I89" s="114"/>
      <c r="J89" s="114"/>
      <c r="K89" s="114"/>
      <c r="L89" s="114"/>
      <c r="M89" s="114"/>
      <c r="N89" s="114"/>
      <c r="O89" s="114"/>
    </row>
    <row r="90" spans="1:15" ht="12.75" customHeight="1" x14ac:dyDescent="0.25">
      <c r="A90" s="115"/>
      <c r="E90" s="308" t="s">
        <v>1972</v>
      </c>
      <c r="F90" s="115"/>
      <c r="G90" s="114"/>
      <c r="H90" s="114"/>
      <c r="I90" s="114"/>
      <c r="J90" s="114"/>
      <c r="K90" s="114"/>
      <c r="L90" s="114"/>
      <c r="M90" s="114"/>
      <c r="N90" s="114"/>
      <c r="O90" s="114"/>
    </row>
    <row r="91" spans="1:15" ht="12.75" customHeight="1" x14ac:dyDescent="0.25">
      <c r="A91" s="115"/>
      <c r="E91" s="308" t="s">
        <v>1973</v>
      </c>
      <c r="F91" s="115"/>
      <c r="G91" s="114"/>
      <c r="H91" s="114"/>
      <c r="I91" s="114"/>
      <c r="J91" s="114"/>
      <c r="K91" s="114"/>
      <c r="L91" s="114"/>
      <c r="M91" s="114"/>
      <c r="N91" s="114"/>
      <c r="O91" s="114"/>
    </row>
    <row r="92" spans="1:15" ht="12.75" customHeight="1" x14ac:dyDescent="0.25">
      <c r="A92" s="115"/>
      <c r="E92" s="308" t="s">
        <v>1974</v>
      </c>
      <c r="F92" s="115"/>
      <c r="G92" s="114"/>
      <c r="H92" s="114"/>
      <c r="I92" s="114"/>
      <c r="J92" s="114"/>
      <c r="K92" s="114"/>
      <c r="L92" s="114"/>
      <c r="M92" s="114"/>
      <c r="N92" s="114"/>
      <c r="O92" s="114"/>
    </row>
    <row r="93" spans="1:15" ht="12.75" customHeight="1" x14ac:dyDescent="0.25">
      <c r="A93" s="115"/>
      <c r="D93" s="1360"/>
      <c r="E93" s="1361"/>
      <c r="F93" s="1362"/>
      <c r="G93" s="1363"/>
      <c r="H93" s="1363"/>
      <c r="I93" s="1363"/>
      <c r="J93" s="114"/>
      <c r="K93" s="114"/>
      <c r="L93" s="114"/>
      <c r="M93" s="114"/>
      <c r="N93" s="114"/>
      <c r="O93" s="114"/>
    </row>
    <row r="94" spans="1:15" ht="12.75" customHeight="1" thickBot="1" x14ac:dyDescent="0.3">
      <c r="A94" s="115"/>
      <c r="E94" s="115" t="s">
        <v>619</v>
      </c>
      <c r="F94" s="115"/>
      <c r="G94" s="114"/>
      <c r="H94" s="114"/>
      <c r="I94" s="114"/>
      <c r="J94" s="1744">
        <v>62948</v>
      </c>
      <c r="K94" s="1744">
        <v>65000</v>
      </c>
      <c r="L94" s="1744">
        <f>SUM(L86:L93)</f>
        <v>66365</v>
      </c>
      <c r="M94" s="1744">
        <f>SUM(M86:M93)</f>
        <v>67891</v>
      </c>
      <c r="N94" s="1744">
        <f>SUM(N86:N93)</f>
        <v>69452</v>
      </c>
      <c r="O94" s="1744">
        <f>SUM(O86:O93)</f>
        <v>71049</v>
      </c>
    </row>
    <row r="95" spans="1:15" ht="12.75" customHeight="1" thickTop="1" x14ac:dyDescent="0.25">
      <c r="A95" s="115"/>
      <c r="E95" s="115"/>
      <c r="F95" s="115"/>
      <c r="G95" s="114"/>
      <c r="H95" s="114"/>
      <c r="I95" s="114"/>
      <c r="J95" s="114"/>
      <c r="K95" s="114"/>
      <c r="L95" s="114"/>
      <c r="M95" s="114"/>
      <c r="N95" s="114"/>
      <c r="O95" s="114"/>
    </row>
    <row r="96" spans="1:15" ht="12.75" customHeight="1" x14ac:dyDescent="0.3">
      <c r="D96" s="393"/>
      <c r="E96" s="383" t="s">
        <v>1975</v>
      </c>
      <c r="F96" s="115"/>
    </row>
    <row r="97" spans="1:16" ht="12.75" customHeight="1" x14ac:dyDescent="0.3">
      <c r="D97" s="393"/>
      <c r="E97" s="115" t="s">
        <v>1976</v>
      </c>
      <c r="F97" s="115"/>
    </row>
    <row r="98" spans="1:16" ht="12.75" customHeight="1" x14ac:dyDescent="0.3">
      <c r="D98" s="393"/>
      <c r="E98" s="115" t="s">
        <v>1977</v>
      </c>
      <c r="F98" s="115"/>
    </row>
    <row r="99" spans="1:16" ht="12.75" customHeight="1" x14ac:dyDescent="0.3">
      <c r="D99" s="393"/>
      <c r="E99" s="115"/>
      <c r="F99" s="115"/>
    </row>
    <row r="100" spans="1:16" ht="12.75" customHeight="1" x14ac:dyDescent="0.3">
      <c r="D100" s="393"/>
      <c r="E100" s="115" t="s">
        <v>1978</v>
      </c>
      <c r="F100" s="115"/>
    </row>
    <row r="101" spans="1:16" ht="12.75" customHeight="1" x14ac:dyDescent="0.3">
      <c r="D101" s="393"/>
      <c r="E101" s="115"/>
      <c r="F101" s="115"/>
    </row>
    <row r="102" spans="1:16" ht="12.75" customHeight="1" x14ac:dyDescent="0.3">
      <c r="D102" s="393"/>
      <c r="E102" s="308" t="s">
        <v>1979</v>
      </c>
      <c r="F102" s="115"/>
      <c r="H102" s="1364">
        <v>0.6</v>
      </c>
    </row>
    <row r="103" spans="1:16" ht="12.75" customHeight="1" x14ac:dyDescent="0.3">
      <c r="D103" s="393"/>
      <c r="E103" s="308" t="s">
        <v>1980</v>
      </c>
      <c r="F103" s="115"/>
      <c r="H103" s="1364">
        <v>0.4</v>
      </c>
    </row>
    <row r="104" spans="1:16" ht="12.75" customHeight="1" x14ac:dyDescent="0.3">
      <c r="D104" s="393"/>
      <c r="E104" s="308"/>
      <c r="F104" s="115"/>
      <c r="H104" s="1364"/>
    </row>
    <row r="105" spans="1:16" ht="12.75" customHeight="1" x14ac:dyDescent="0.3">
      <c r="D105" s="143"/>
      <c r="E105" s="396" t="s">
        <v>1981</v>
      </c>
      <c r="H105" s="414"/>
      <c r="I105" s="114"/>
      <c r="J105" s="114"/>
      <c r="K105" s="114"/>
      <c r="L105" s="114"/>
      <c r="M105" s="114"/>
      <c r="N105" s="114"/>
      <c r="O105" s="114"/>
    </row>
    <row r="106" spans="1:16" ht="12.75" customHeight="1" thickBot="1" x14ac:dyDescent="0.35">
      <c r="D106" s="143">
        <v>43511</v>
      </c>
      <c r="E106" s="301" t="s">
        <v>1982</v>
      </c>
      <c r="I106" s="114"/>
      <c r="J106" s="1744">
        <v>-8585</v>
      </c>
      <c r="K106" s="1744">
        <v>-8800</v>
      </c>
      <c r="L106" s="1744">
        <f>ROUND(-L$84*$H$103,0)</f>
        <v>-8985</v>
      </c>
      <c r="M106" s="1744">
        <f>ROUND(-M$84*$H$103,0)</f>
        <v>-9174</v>
      </c>
      <c r="N106" s="1744">
        <f>ROUND(-N$84*$H$103,0)</f>
        <v>-9366</v>
      </c>
      <c r="O106" s="1744">
        <f>ROUND(-O$84*$H$103,0)</f>
        <v>-9563</v>
      </c>
      <c r="P106" s="306" t="s">
        <v>1983</v>
      </c>
    </row>
    <row r="107" spans="1:16" ht="12.75" customHeight="1" thickTop="1" x14ac:dyDescent="0.3">
      <c r="D107" s="143"/>
      <c r="E107" s="301"/>
      <c r="I107" s="114"/>
      <c r="J107" s="114"/>
      <c r="K107" s="114"/>
      <c r="L107" s="114"/>
      <c r="M107" s="114"/>
      <c r="N107" s="114"/>
      <c r="O107" s="114"/>
    </row>
    <row r="108" spans="1:16" ht="12.75" customHeight="1" thickBot="1" x14ac:dyDescent="0.35">
      <c r="D108" s="143">
        <v>43812</v>
      </c>
      <c r="E108" s="301" t="s">
        <v>1984</v>
      </c>
      <c r="H108" s="414"/>
      <c r="I108" s="114"/>
      <c r="J108" s="1744">
        <v>-25179</v>
      </c>
      <c r="K108" s="1744">
        <v>-26000</v>
      </c>
      <c r="L108" s="1744">
        <f>ROUND(-L$94*$H$103,0)</f>
        <v>-26546</v>
      </c>
      <c r="M108" s="1744">
        <f>ROUND(-M$94*$H$103,0)</f>
        <v>-27156</v>
      </c>
      <c r="N108" s="1744">
        <f>ROUND(-N$94*$H$103,0)</f>
        <v>-27781</v>
      </c>
      <c r="O108" s="1744">
        <f>ROUND(-O$94*$H$103,0)</f>
        <v>-28420</v>
      </c>
      <c r="P108" s="306" t="s">
        <v>1983</v>
      </c>
    </row>
    <row r="109" spans="1:16" ht="12.75" customHeight="1" thickTop="1" x14ac:dyDescent="0.3">
      <c r="D109" s="143"/>
      <c r="E109" s="301"/>
      <c r="H109" s="414"/>
      <c r="I109" s="114"/>
      <c r="J109" s="114"/>
      <c r="K109" s="114"/>
      <c r="L109" s="114"/>
      <c r="M109" s="114"/>
      <c r="N109" s="114"/>
      <c r="O109" s="114"/>
    </row>
    <row r="110" spans="1:16" ht="12.75" customHeight="1" x14ac:dyDescent="0.25">
      <c r="A110" s="115"/>
      <c r="E110" s="115"/>
      <c r="F110" s="115"/>
      <c r="G110" s="114"/>
      <c r="H110" s="114"/>
      <c r="I110" s="114"/>
    </row>
    <row r="111" spans="1:16" ht="12.75" customHeight="1" x14ac:dyDescent="0.3">
      <c r="D111" s="393">
        <v>606003</v>
      </c>
      <c r="E111" s="381" t="s">
        <v>1960</v>
      </c>
      <c r="F111" s="115"/>
    </row>
    <row r="112" spans="1:16" ht="12.75" customHeight="1" x14ac:dyDescent="0.3">
      <c r="D112" s="393"/>
      <c r="E112" s="383" t="s">
        <v>533</v>
      </c>
      <c r="F112" s="115"/>
    </row>
    <row r="113" spans="4:16" ht="12.75" customHeight="1" x14ac:dyDescent="0.3">
      <c r="D113" s="393"/>
      <c r="E113" s="405"/>
      <c r="F113" s="405"/>
      <c r="G113" s="405"/>
      <c r="H113" s="405"/>
      <c r="I113" s="405"/>
      <c r="J113" s="405"/>
      <c r="K113" s="405"/>
      <c r="L113" s="405"/>
      <c r="M113" s="405"/>
      <c r="N113" s="405"/>
      <c r="O113" s="405"/>
      <c r="P113" s="405"/>
    </row>
    <row r="114" spans="4:16" ht="12.75" customHeight="1" x14ac:dyDescent="0.3">
      <c r="D114" s="336">
        <v>43812</v>
      </c>
      <c r="E114" s="308" t="s">
        <v>1985</v>
      </c>
      <c r="F114" s="115"/>
      <c r="G114" s="405"/>
      <c r="H114" s="405"/>
      <c r="I114" s="405"/>
      <c r="J114" s="114">
        <v>18907</v>
      </c>
      <c r="K114" s="114">
        <v>19398</v>
      </c>
      <c r="L114" s="114">
        <v>19824</v>
      </c>
      <c r="M114" s="114">
        <v>20260</v>
      </c>
      <c r="N114" s="114">
        <v>20705</v>
      </c>
      <c r="O114" s="544">
        <v>0</v>
      </c>
      <c r="P114" s="114"/>
    </row>
    <row r="115" spans="4:16" ht="12.75" customHeight="1" x14ac:dyDescent="0.3">
      <c r="D115" s="115"/>
      <c r="E115" s="308" t="s">
        <v>1986</v>
      </c>
      <c r="F115" s="115"/>
      <c r="G115" s="405"/>
      <c r="H115" s="405"/>
      <c r="I115" s="405"/>
      <c r="J115" s="114"/>
      <c r="K115" s="114"/>
      <c r="L115" s="114"/>
      <c r="M115" s="114"/>
      <c r="N115" s="114"/>
      <c r="O115" s="114"/>
      <c r="P115" s="114"/>
    </row>
    <row r="116" spans="4:16" ht="12.75" customHeight="1" x14ac:dyDescent="0.3">
      <c r="D116" s="393"/>
      <c r="E116" s="308" t="s">
        <v>1987</v>
      </c>
      <c r="F116" s="115"/>
      <c r="G116" s="405"/>
      <c r="H116" s="405"/>
      <c r="I116" s="405"/>
      <c r="J116" s="114"/>
      <c r="K116" s="114"/>
      <c r="L116" s="114"/>
      <c r="M116" s="114"/>
      <c r="N116" s="114"/>
      <c r="O116" s="114"/>
      <c r="P116" s="114"/>
    </row>
    <row r="117" spans="4:16" ht="12.75" customHeight="1" x14ac:dyDescent="0.3">
      <c r="D117" s="393"/>
      <c r="E117" s="308" t="s">
        <v>1988</v>
      </c>
      <c r="F117" s="115"/>
      <c r="G117" s="405"/>
      <c r="H117" s="405"/>
      <c r="I117" s="405"/>
      <c r="J117" s="114"/>
      <c r="K117" s="114"/>
      <c r="L117" s="114"/>
      <c r="M117" s="114"/>
      <c r="N117" s="114"/>
      <c r="O117" s="114"/>
      <c r="P117" s="114"/>
    </row>
    <row r="118" spans="4:16" ht="12.75" customHeight="1" x14ac:dyDescent="0.3">
      <c r="D118" s="393"/>
      <c r="E118" s="308" t="s">
        <v>1989</v>
      </c>
      <c r="F118" s="115"/>
      <c r="G118" s="405"/>
      <c r="H118" s="405"/>
      <c r="I118" s="405"/>
      <c r="J118" s="114"/>
      <c r="K118" s="114"/>
      <c r="L118" s="114"/>
      <c r="M118" s="114"/>
      <c r="N118" s="114"/>
      <c r="O118" s="114"/>
      <c r="P118" s="114"/>
    </row>
    <row r="119" spans="4:16" ht="12.75" customHeight="1" x14ac:dyDescent="0.3">
      <c r="D119" s="393"/>
      <c r="E119" s="308"/>
      <c r="F119" s="115"/>
      <c r="G119" s="405"/>
      <c r="H119" s="405"/>
      <c r="I119" s="405"/>
      <c r="J119" s="114"/>
      <c r="K119" s="114"/>
      <c r="L119" s="114"/>
      <c r="M119" s="114"/>
      <c r="N119" s="114"/>
      <c r="O119" s="114"/>
      <c r="P119" s="114"/>
    </row>
    <row r="120" spans="4:16" ht="12.75" customHeight="1" x14ac:dyDescent="0.3">
      <c r="D120" s="393"/>
      <c r="E120" s="308" t="s">
        <v>1990</v>
      </c>
      <c r="F120" s="115"/>
      <c r="G120" s="405"/>
      <c r="H120" s="405"/>
      <c r="I120" s="405"/>
      <c r="J120" s="114">
        <v>70823</v>
      </c>
      <c r="K120" s="114">
        <v>72664</v>
      </c>
      <c r="L120" s="114">
        <f>ROUND(K120*T$2,0)</f>
        <v>74190</v>
      </c>
      <c r="M120" s="114">
        <f>ROUND(L120*U$2,0)</f>
        <v>75896</v>
      </c>
      <c r="N120" s="114">
        <f>ROUND(M120*V$2,0)</f>
        <v>77642</v>
      </c>
      <c r="O120" s="114">
        <f>ROUND(N120*W$2,0)</f>
        <v>79428</v>
      </c>
      <c r="P120" s="114"/>
    </row>
    <row r="121" spans="4:16" ht="12.75" customHeight="1" x14ac:dyDescent="0.3">
      <c r="D121" s="393"/>
      <c r="E121" s="115"/>
      <c r="F121" s="115"/>
      <c r="G121" s="405"/>
      <c r="H121" s="405"/>
      <c r="I121" s="405"/>
      <c r="J121" s="114"/>
      <c r="K121" s="114"/>
      <c r="L121" s="114"/>
      <c r="M121" s="114"/>
      <c r="N121" s="114"/>
      <c r="O121" s="114"/>
      <c r="P121" s="114"/>
    </row>
    <row r="122" spans="4:16" ht="12.75" customHeight="1" thickBot="1" x14ac:dyDescent="0.35">
      <c r="D122" s="393"/>
      <c r="E122" s="308"/>
      <c r="F122" s="115"/>
      <c r="G122" s="405"/>
      <c r="H122" s="405"/>
      <c r="I122" s="405"/>
      <c r="J122" s="1744">
        <v>89730</v>
      </c>
      <c r="K122" s="1744">
        <v>92062</v>
      </c>
      <c r="L122" s="1744">
        <f>SUM(L114:L121)</f>
        <v>94014</v>
      </c>
      <c r="M122" s="1744">
        <f>SUM(M114:M121)</f>
        <v>96156</v>
      </c>
      <c r="N122" s="1744">
        <f>SUM(N114:N121)</f>
        <v>98347</v>
      </c>
      <c r="O122" s="1744">
        <f>SUM(O114:O121)</f>
        <v>79428</v>
      </c>
      <c r="P122" s="114"/>
    </row>
    <row r="123" spans="4:16" ht="12.75" customHeight="1" thickTop="1" x14ac:dyDescent="0.3">
      <c r="D123" s="393"/>
      <c r="E123" s="308"/>
      <c r="F123" s="115"/>
      <c r="G123" s="405"/>
      <c r="H123" s="114"/>
      <c r="I123" s="114"/>
      <c r="J123" s="114"/>
      <c r="K123" s="114"/>
      <c r="L123" s="114"/>
      <c r="M123" s="114"/>
      <c r="N123" s="114"/>
      <c r="O123" s="114"/>
      <c r="P123" s="114"/>
    </row>
    <row r="124" spans="4:16" ht="12.75" customHeight="1" x14ac:dyDescent="0.3">
      <c r="D124" s="393"/>
      <c r="E124" s="383" t="s">
        <v>1975</v>
      </c>
      <c r="F124" s="115"/>
    </row>
    <row r="125" spans="4:16" ht="12.75" customHeight="1" x14ac:dyDescent="0.3">
      <c r="D125" s="393"/>
      <c r="E125" s="115" t="s">
        <v>1991</v>
      </c>
      <c r="F125" s="115"/>
    </row>
    <row r="126" spans="4:16" ht="12.75" customHeight="1" x14ac:dyDescent="0.3">
      <c r="D126" s="393"/>
      <c r="E126" s="115" t="s">
        <v>1977</v>
      </c>
      <c r="F126" s="115"/>
    </row>
    <row r="127" spans="4:16" ht="12.75" customHeight="1" x14ac:dyDescent="0.3">
      <c r="D127" s="393"/>
      <c r="E127" s="115"/>
      <c r="F127" s="115"/>
    </row>
    <row r="128" spans="4:16" ht="12.75" customHeight="1" x14ac:dyDescent="0.3">
      <c r="D128" s="393"/>
      <c r="E128" s="115" t="s">
        <v>1992</v>
      </c>
      <c r="F128" s="115"/>
    </row>
    <row r="129" spans="1:16" ht="12.75" customHeight="1" x14ac:dyDescent="0.3">
      <c r="D129" s="393"/>
      <c r="E129" s="115"/>
      <c r="F129" s="115"/>
    </row>
    <row r="130" spans="1:16" ht="12.75" customHeight="1" x14ac:dyDescent="0.3">
      <c r="D130" s="393"/>
      <c r="E130" s="308" t="s">
        <v>1979</v>
      </c>
      <c r="F130" s="115"/>
      <c r="H130" s="1364">
        <v>0.3</v>
      </c>
    </row>
    <row r="131" spans="1:16" ht="12.75" customHeight="1" x14ac:dyDescent="0.3">
      <c r="D131" s="393"/>
      <c r="E131" s="308" t="s">
        <v>1980</v>
      </c>
      <c r="F131" s="115"/>
      <c r="H131" s="1364">
        <v>0.2</v>
      </c>
    </row>
    <row r="132" spans="1:16" ht="12.75" customHeight="1" x14ac:dyDescent="0.3">
      <c r="D132" s="393"/>
      <c r="E132" s="308" t="s">
        <v>1993</v>
      </c>
      <c r="F132" s="115"/>
      <c r="H132" s="1364">
        <v>0.2</v>
      </c>
    </row>
    <row r="133" spans="1:16" ht="12.75" customHeight="1" x14ac:dyDescent="0.3">
      <c r="D133" s="393"/>
      <c r="E133" s="308" t="s">
        <v>1994</v>
      </c>
      <c r="F133" s="115"/>
      <c r="H133" s="1364">
        <v>0.3</v>
      </c>
    </row>
    <row r="134" spans="1:16" ht="12.75" customHeight="1" x14ac:dyDescent="0.3">
      <c r="D134" s="393"/>
      <c r="E134" s="308"/>
      <c r="F134" s="115"/>
      <c r="H134" s="1364"/>
    </row>
    <row r="135" spans="1:16" ht="12.75" customHeight="1" x14ac:dyDescent="0.3">
      <c r="D135" s="143"/>
      <c r="E135" s="396" t="s">
        <v>1981</v>
      </c>
      <c r="H135" s="414"/>
      <c r="I135" s="114"/>
      <c r="J135" s="114"/>
      <c r="K135" s="114"/>
      <c r="L135" s="114"/>
      <c r="M135" s="114"/>
      <c r="N135" s="114"/>
      <c r="O135" s="114"/>
      <c r="P135" s="400"/>
    </row>
    <row r="136" spans="1:16" ht="12.75" customHeight="1" x14ac:dyDescent="0.3">
      <c r="D136" s="143">
        <v>43812</v>
      </c>
      <c r="E136" s="301" t="s">
        <v>1995</v>
      </c>
      <c r="I136" s="114"/>
      <c r="J136" s="114">
        <v>-17946</v>
      </c>
      <c r="K136" s="114">
        <v>-18412</v>
      </c>
      <c r="L136" s="114">
        <f t="shared" ref="L136:M138" si="32">ROUND(-L$122*$H131,0)</f>
        <v>-18803</v>
      </c>
      <c r="M136" s="114">
        <f t="shared" si="32"/>
        <v>-19231</v>
      </c>
      <c r="N136" s="114">
        <f t="shared" ref="N136:O136" si="33">ROUND(-N$122*$H131,0)</f>
        <v>-19669</v>
      </c>
      <c r="O136" s="114">
        <f t="shared" si="33"/>
        <v>-15886</v>
      </c>
      <c r="P136" s="306" t="s">
        <v>1983</v>
      </c>
    </row>
    <row r="137" spans="1:16" ht="12.75" customHeight="1" x14ac:dyDescent="0.3">
      <c r="D137" s="143">
        <v>43812</v>
      </c>
      <c r="E137" s="301" t="s">
        <v>1996</v>
      </c>
      <c r="H137" s="414"/>
      <c r="I137" s="114"/>
      <c r="J137" s="114">
        <v>-17946</v>
      </c>
      <c r="K137" s="114">
        <v>-18412</v>
      </c>
      <c r="L137" s="114">
        <f t="shared" si="32"/>
        <v>-18803</v>
      </c>
      <c r="M137" s="114">
        <f t="shared" si="32"/>
        <v>-19231</v>
      </c>
      <c r="N137" s="114">
        <f t="shared" ref="N137:O137" si="34">ROUND(-N$122*$H132,0)</f>
        <v>-19669</v>
      </c>
      <c r="O137" s="114">
        <f t="shared" si="34"/>
        <v>-15886</v>
      </c>
      <c r="P137" s="400"/>
    </row>
    <row r="138" spans="1:16" ht="12.75" customHeight="1" x14ac:dyDescent="0.3">
      <c r="D138" s="143">
        <v>43812</v>
      </c>
      <c r="E138" s="301" t="s">
        <v>1997</v>
      </c>
      <c r="F138" s="382"/>
      <c r="H138" s="414"/>
      <c r="I138" s="114"/>
      <c r="J138" s="114">
        <v>-26919</v>
      </c>
      <c r="K138" s="114">
        <v>-27619</v>
      </c>
      <c r="L138" s="114">
        <f t="shared" si="32"/>
        <v>-28204</v>
      </c>
      <c r="M138" s="114">
        <f t="shared" si="32"/>
        <v>-28847</v>
      </c>
      <c r="N138" s="114">
        <f t="shared" ref="N138:O138" si="35">ROUND(-N$122*$H133,0)</f>
        <v>-29504</v>
      </c>
      <c r="O138" s="114">
        <f t="shared" si="35"/>
        <v>-23828</v>
      </c>
      <c r="P138" s="400"/>
    </row>
    <row r="139" spans="1:16" ht="12.75" customHeight="1" thickBot="1" x14ac:dyDescent="0.35">
      <c r="D139" s="393"/>
      <c r="E139" s="301" t="s">
        <v>1998</v>
      </c>
      <c r="F139" s="382"/>
      <c r="G139" s="381"/>
      <c r="J139" s="1744">
        <v>-62811</v>
      </c>
      <c r="K139" s="1744">
        <v>-64443</v>
      </c>
      <c r="L139" s="1744">
        <f t="shared" ref="L139:M139" si="36">SUM(L136:L138)</f>
        <v>-65810</v>
      </c>
      <c r="M139" s="1744">
        <f t="shared" si="36"/>
        <v>-67309</v>
      </c>
      <c r="N139" s="1744">
        <f t="shared" ref="N139:O139" si="37">SUM(N136:N138)</f>
        <v>-68842</v>
      </c>
      <c r="O139" s="1744">
        <f t="shared" si="37"/>
        <v>-55600</v>
      </c>
    </row>
    <row r="140" spans="1:16" ht="12.75" customHeight="1" thickTop="1" x14ac:dyDescent="0.3">
      <c r="D140" s="393"/>
      <c r="E140" s="115"/>
      <c r="F140" s="115"/>
    </row>
    <row r="141" spans="1:16" ht="12.75" customHeight="1" x14ac:dyDescent="0.3">
      <c r="D141" s="393"/>
      <c r="E141" s="115"/>
      <c r="F141" s="115"/>
    </row>
    <row r="142" spans="1:16" ht="12.75" customHeight="1" x14ac:dyDescent="0.3">
      <c r="D142" s="393"/>
      <c r="E142" s="115"/>
      <c r="F142" s="115"/>
      <c r="J142" s="1848">
        <v>2025</v>
      </c>
      <c r="K142" s="1848">
        <v>2026</v>
      </c>
      <c r="L142" s="1848">
        <v>2027</v>
      </c>
      <c r="M142" s="1848">
        <v>2028</v>
      </c>
      <c r="N142" s="1848">
        <v>2029</v>
      </c>
      <c r="O142" s="1848">
        <v>2030</v>
      </c>
    </row>
    <row r="143" spans="1:16" ht="12.75" customHeight="1" x14ac:dyDescent="0.25">
      <c r="A143" s="115"/>
      <c r="D143" s="393">
        <v>606901</v>
      </c>
      <c r="E143" s="381" t="s">
        <v>1962</v>
      </c>
      <c r="F143" s="115"/>
      <c r="G143" s="114"/>
      <c r="H143" s="114"/>
      <c r="I143" s="114"/>
    </row>
    <row r="144" spans="1:16" ht="12.75" customHeight="1" x14ac:dyDescent="0.25">
      <c r="A144" s="115"/>
      <c r="D144" s="384"/>
      <c r="E144" s="383" t="s">
        <v>533</v>
      </c>
      <c r="F144" s="115"/>
      <c r="G144" s="114"/>
      <c r="H144" s="114"/>
      <c r="I144" s="114"/>
    </row>
    <row r="145" spans="1:16" ht="12.75" customHeight="1" x14ac:dyDescent="0.25">
      <c r="A145" s="115"/>
      <c r="D145" s="143">
        <v>41100</v>
      </c>
      <c r="E145" s="115" t="s">
        <v>541</v>
      </c>
      <c r="F145" s="115"/>
      <c r="G145" s="114"/>
    </row>
    <row r="146" spans="1:16" ht="12.75" customHeight="1" x14ac:dyDescent="0.25">
      <c r="A146" s="115"/>
      <c r="D146" s="143"/>
      <c r="E146" s="308" t="s">
        <v>1999</v>
      </c>
      <c r="F146" s="115"/>
      <c r="G146" s="114"/>
      <c r="H146" s="114"/>
      <c r="I146" s="114"/>
      <c r="J146" s="114">
        <v>101480</v>
      </c>
      <c r="K146" s="114">
        <v>92269</v>
      </c>
      <c r="L146" s="114">
        <f>ROUND(K146*T$3,0)</f>
        <v>96144</v>
      </c>
      <c r="M146" s="114">
        <f>ROUND(L146*U$3,0)</f>
        <v>99701</v>
      </c>
      <c r="N146" s="114">
        <f>ROUND(M146*V$3,0)</f>
        <v>103390</v>
      </c>
      <c r="O146" s="114">
        <f>ROUND(N146*W$3,0)</f>
        <v>107215</v>
      </c>
    </row>
    <row r="147" spans="1:16" ht="12.75" customHeight="1" thickBot="1" x14ac:dyDescent="0.3">
      <c r="A147" s="115"/>
      <c r="D147" s="384"/>
      <c r="E147" s="115" t="str">
        <f>"Totaal "&amp;D145</f>
        <v>Totaal 41100</v>
      </c>
      <c r="F147" s="115"/>
      <c r="G147" s="114"/>
      <c r="H147" s="114"/>
      <c r="I147" s="114"/>
      <c r="J147" s="1744">
        <v>101480</v>
      </c>
      <c r="K147" s="1744">
        <v>92269</v>
      </c>
      <c r="L147" s="1744">
        <f>SUM(L146:L146)</f>
        <v>96144</v>
      </c>
      <c r="M147" s="1744">
        <f>SUM(M146:M146)</f>
        <v>99701</v>
      </c>
      <c r="N147" s="1744">
        <f>SUM(N146:N146)</f>
        <v>103390</v>
      </c>
      <c r="O147" s="1744">
        <f>SUM(O146:O146)</f>
        <v>107215</v>
      </c>
    </row>
    <row r="148" spans="1:16" ht="12.75" customHeight="1" thickTop="1" x14ac:dyDescent="0.25">
      <c r="A148" s="115"/>
      <c r="E148" s="115"/>
      <c r="F148" s="115"/>
      <c r="G148" s="114"/>
      <c r="H148" s="114"/>
      <c r="I148" s="114"/>
    </row>
    <row r="149" spans="1:16" ht="12.75" customHeight="1" x14ac:dyDescent="0.3">
      <c r="D149" s="393">
        <v>606003</v>
      </c>
      <c r="E149" s="381" t="s">
        <v>1960</v>
      </c>
      <c r="F149" s="115"/>
      <c r="G149" s="114"/>
      <c r="H149" s="414"/>
      <c r="I149" s="414"/>
      <c r="J149" s="114"/>
      <c r="K149" s="114"/>
      <c r="L149" s="114"/>
      <c r="M149" s="114"/>
      <c r="N149" s="114"/>
      <c r="O149" s="114"/>
    </row>
    <row r="150" spans="1:16" ht="12.75" customHeight="1" x14ac:dyDescent="0.3">
      <c r="D150" s="393"/>
      <c r="E150" s="383" t="s">
        <v>554</v>
      </c>
      <c r="F150" s="115"/>
      <c r="G150" s="114"/>
      <c r="H150" s="414"/>
      <c r="I150" s="414"/>
      <c r="J150" s="114"/>
      <c r="K150" s="114"/>
      <c r="L150" s="114"/>
      <c r="M150" s="114"/>
      <c r="N150" s="114"/>
      <c r="O150" s="114"/>
    </row>
    <row r="151" spans="1:16" ht="12.75" customHeight="1" x14ac:dyDescent="0.3">
      <c r="D151" s="143">
        <v>83800</v>
      </c>
      <c r="E151" s="308" t="s">
        <v>2000</v>
      </c>
      <c r="F151" s="414"/>
      <c r="G151" s="114"/>
      <c r="H151" s="414"/>
      <c r="I151" s="414"/>
      <c r="J151" s="114">
        <v>-30186</v>
      </c>
      <c r="K151" s="114">
        <v>-30971</v>
      </c>
      <c r="L151" s="114">
        <f>ROUND(K151*T$2,0)</f>
        <v>-31621</v>
      </c>
      <c r="M151" s="114">
        <f>ROUND(L151*U$2,0)</f>
        <v>-32348</v>
      </c>
      <c r="N151" s="114">
        <f>ROUND(M151*V$2,0)</f>
        <v>-33092</v>
      </c>
      <c r="O151" s="114">
        <f>ROUND(N151*W$2,0)</f>
        <v>-33853</v>
      </c>
    </row>
    <row r="152" spans="1:16" ht="12.75" customHeight="1" x14ac:dyDescent="0.3">
      <c r="D152" s="143"/>
      <c r="E152" s="308"/>
      <c r="F152" s="414"/>
      <c r="G152" s="114"/>
      <c r="H152" s="414"/>
      <c r="I152" s="414"/>
      <c r="J152" s="114"/>
      <c r="K152" s="114"/>
      <c r="L152" s="114"/>
      <c r="M152" s="114"/>
      <c r="N152" s="114"/>
      <c r="O152" s="114"/>
    </row>
    <row r="153" spans="1:16" ht="12.75" customHeight="1" thickBot="1" x14ac:dyDescent="0.35">
      <c r="D153" s="143"/>
      <c r="E153" s="115" t="s">
        <v>2001</v>
      </c>
      <c r="F153" s="414"/>
      <c r="G153" s="114"/>
      <c r="H153" s="414"/>
      <c r="I153" s="414"/>
      <c r="J153" s="1744">
        <v>-30186</v>
      </c>
      <c r="K153" s="1744">
        <v>-30971</v>
      </c>
      <c r="L153" s="1744">
        <f>SUM(L151:L152)</f>
        <v>-31621</v>
      </c>
      <c r="M153" s="1744">
        <f>SUM(M151:M152)</f>
        <v>-32348</v>
      </c>
      <c r="N153" s="1744">
        <f>SUM(N151:N152)</f>
        <v>-33092</v>
      </c>
      <c r="O153" s="1744">
        <f>SUM(O151:O152)</f>
        <v>-33853</v>
      </c>
    </row>
    <row r="154" spans="1:16" ht="12.75" customHeight="1" thickTop="1" x14ac:dyDescent="0.3">
      <c r="D154" s="143"/>
      <c r="H154" s="414"/>
      <c r="I154" s="114"/>
      <c r="J154" s="114"/>
      <c r="K154" s="114"/>
      <c r="L154" s="114"/>
      <c r="M154" s="114"/>
      <c r="N154" s="114"/>
      <c r="O154" s="114"/>
      <c r="P154" s="114"/>
    </row>
    <row r="155" spans="1:16" ht="12.75" customHeight="1" x14ac:dyDescent="0.3">
      <c r="D155" s="383" t="s">
        <v>1975</v>
      </c>
      <c r="E155" s="115"/>
      <c r="F155" s="115"/>
    </row>
    <row r="156" spans="1:16" ht="12.75" customHeight="1" x14ac:dyDescent="0.3">
      <c r="D156" s="115" t="s">
        <v>2002</v>
      </c>
      <c r="E156" s="115"/>
      <c r="F156" s="115"/>
    </row>
    <row r="157" spans="1:16" ht="12.75" customHeight="1" x14ac:dyDescent="0.3">
      <c r="D157" s="115" t="s">
        <v>2003</v>
      </c>
      <c r="E157" s="115"/>
      <c r="F157" s="115"/>
    </row>
    <row r="158" spans="1:16" ht="12.75" customHeight="1" x14ac:dyDescent="0.3">
      <c r="D158" s="115" t="s">
        <v>2004</v>
      </c>
      <c r="E158" s="115"/>
      <c r="F158" s="115"/>
    </row>
    <row r="159" spans="1:16" ht="12.75" customHeight="1" x14ac:dyDescent="0.3">
      <c r="D159" s="393"/>
      <c r="E159" s="115"/>
      <c r="F159" s="115"/>
    </row>
    <row r="160" spans="1:16" ht="12.75" customHeight="1" x14ac:dyDescent="0.3">
      <c r="D160" s="393"/>
      <c r="E160" s="115" t="s">
        <v>2005</v>
      </c>
      <c r="F160" s="115"/>
    </row>
    <row r="161" spans="4:16" ht="12.75" customHeight="1" x14ac:dyDescent="0.3">
      <c r="D161" s="393"/>
      <c r="E161" s="308" t="s">
        <v>1979</v>
      </c>
      <c r="F161" s="115"/>
      <c r="H161" s="1364">
        <v>0.3</v>
      </c>
    </row>
    <row r="162" spans="4:16" ht="12.75" customHeight="1" x14ac:dyDescent="0.3">
      <c r="D162" s="393"/>
      <c r="E162" s="308" t="s">
        <v>1980</v>
      </c>
      <c r="F162" s="115"/>
      <c r="H162" s="1364">
        <v>0.2</v>
      </c>
    </row>
    <row r="163" spans="4:16" ht="12.75" customHeight="1" x14ac:dyDescent="0.3">
      <c r="D163" s="393"/>
      <c r="E163" s="308" t="s">
        <v>1993</v>
      </c>
      <c r="F163" s="115"/>
      <c r="H163" s="1364">
        <v>0.2</v>
      </c>
    </row>
    <row r="164" spans="4:16" ht="12.75" customHeight="1" x14ac:dyDescent="0.3">
      <c r="D164" s="393"/>
      <c r="E164" s="308" t="s">
        <v>1994</v>
      </c>
      <c r="F164" s="115"/>
      <c r="H164" s="1364">
        <v>0.3</v>
      </c>
    </row>
    <row r="165" spans="4:16" ht="12.75" customHeight="1" x14ac:dyDescent="0.3">
      <c r="D165" s="393"/>
      <c r="E165" s="381"/>
      <c r="F165" s="115"/>
      <c r="G165" s="114"/>
      <c r="H165" s="414"/>
      <c r="I165" s="414"/>
      <c r="J165" s="114"/>
      <c r="K165" s="114"/>
      <c r="L165" s="114"/>
      <c r="M165" s="114"/>
      <c r="N165" s="114"/>
      <c r="O165" s="114"/>
    </row>
    <row r="166" spans="4:16" ht="12.75" customHeight="1" x14ac:dyDescent="0.3">
      <c r="D166" s="143"/>
      <c r="E166" s="396" t="s">
        <v>1981</v>
      </c>
      <c r="H166" s="414"/>
      <c r="I166" s="114"/>
      <c r="J166" s="114"/>
      <c r="K166" s="114"/>
      <c r="L166" s="114"/>
      <c r="M166" s="114"/>
      <c r="N166" s="114"/>
      <c r="O166" s="114"/>
      <c r="P166" s="114"/>
    </row>
    <row r="167" spans="4:16" ht="12.75" customHeight="1" x14ac:dyDescent="0.3">
      <c r="D167" s="143">
        <v>83800</v>
      </c>
      <c r="E167" s="301" t="s">
        <v>1995</v>
      </c>
      <c r="I167" s="114"/>
      <c r="J167" s="114">
        <v>6037</v>
      </c>
      <c r="K167" s="114">
        <v>6194</v>
      </c>
      <c r="L167" s="114">
        <f>ROUND(-L$151*$H162,0)</f>
        <v>6324</v>
      </c>
      <c r="M167" s="114">
        <f>ROUND(-M$151*$H162,0)</f>
        <v>6470</v>
      </c>
      <c r="N167" s="114">
        <f>ROUND(-N$151*$H162,0)</f>
        <v>6618</v>
      </c>
      <c r="O167" s="114">
        <f>ROUND(-O$151*$H162,0)</f>
        <v>6771</v>
      </c>
      <c r="P167" s="115" t="s">
        <v>2006</v>
      </c>
    </row>
    <row r="168" spans="4:16" ht="12.75" customHeight="1" x14ac:dyDescent="0.3">
      <c r="D168" s="143">
        <v>83800</v>
      </c>
      <c r="E168" s="301" t="s">
        <v>1996</v>
      </c>
      <c r="H168" s="414"/>
      <c r="I168" s="114"/>
      <c r="J168" s="114">
        <v>6037</v>
      </c>
      <c r="K168" s="114">
        <v>6194</v>
      </c>
      <c r="L168" s="114">
        <f t="shared" ref="L168:M169" si="38">ROUND(-L$151*$H163,0)</f>
        <v>6324</v>
      </c>
      <c r="M168" s="114">
        <f t="shared" si="38"/>
        <v>6470</v>
      </c>
      <c r="N168" s="114">
        <f t="shared" ref="N168:O168" si="39">ROUND(-N$151*$H163,0)</f>
        <v>6618</v>
      </c>
      <c r="O168" s="114">
        <f t="shared" si="39"/>
        <v>6771</v>
      </c>
    </row>
    <row r="169" spans="4:16" ht="12.75" customHeight="1" x14ac:dyDescent="0.3">
      <c r="D169" s="143">
        <v>83800</v>
      </c>
      <c r="E169" s="301" t="s">
        <v>1997</v>
      </c>
      <c r="F169" s="382"/>
      <c r="H169" s="414"/>
      <c r="I169" s="114"/>
      <c r="J169" s="114">
        <v>9056</v>
      </c>
      <c r="K169" s="114">
        <v>9291</v>
      </c>
      <c r="L169" s="114">
        <f t="shared" si="38"/>
        <v>9486</v>
      </c>
      <c r="M169" s="114">
        <f>ROUND(-M$151*$H164,0)</f>
        <v>9704</v>
      </c>
      <c r="N169" s="114">
        <f>ROUND(-N$151*$H164,0)</f>
        <v>9928</v>
      </c>
      <c r="O169" s="114">
        <f>ROUND(-O$151*$H164,0)</f>
        <v>10156</v>
      </c>
    </row>
    <row r="170" spans="4:16" ht="12.75" customHeight="1" thickBot="1" x14ac:dyDescent="0.35">
      <c r="D170" s="393"/>
      <c r="E170" s="301" t="s">
        <v>2007</v>
      </c>
      <c r="F170" s="382"/>
      <c r="G170" s="381"/>
      <c r="J170" s="1744">
        <v>21130</v>
      </c>
      <c r="K170" s="1744">
        <v>21679</v>
      </c>
      <c r="L170" s="1744">
        <f t="shared" ref="L170:M170" si="40">SUM(L167:L169)</f>
        <v>22134</v>
      </c>
      <c r="M170" s="1744">
        <f t="shared" si="40"/>
        <v>22644</v>
      </c>
      <c r="N170" s="1744">
        <f t="shared" ref="N170:O170" si="41">SUM(N167:N169)</f>
        <v>23164</v>
      </c>
      <c r="O170" s="1744">
        <f t="shared" si="41"/>
        <v>23698</v>
      </c>
    </row>
    <row r="171" spans="4:16" ht="12.75" customHeight="1" thickTop="1" x14ac:dyDescent="0.3">
      <c r="D171" s="393"/>
      <c r="E171" s="382"/>
      <c r="F171" s="382"/>
      <c r="G171" s="2556"/>
      <c r="H171" s="2556"/>
      <c r="I171" s="2556"/>
      <c r="J171" s="399"/>
      <c r="K171" s="399"/>
      <c r="L171" s="399"/>
      <c r="M171" s="399"/>
      <c r="N171" s="399"/>
      <c r="O171" s="399"/>
    </row>
    <row r="172" spans="4:16" ht="12.75" customHeight="1" x14ac:dyDescent="0.3">
      <c r="D172" s="384"/>
      <c r="E172" s="384"/>
      <c r="F172" s="384"/>
      <c r="I172" s="114"/>
      <c r="J172" s="114"/>
      <c r="K172" s="114"/>
      <c r="L172" s="114"/>
      <c r="M172" s="114"/>
      <c r="N172" s="114"/>
      <c r="O172" s="114"/>
    </row>
    <row r="173" spans="4:16" ht="12.75" customHeight="1" x14ac:dyDescent="0.3">
      <c r="D173" s="115"/>
      <c r="E173" s="400"/>
      <c r="F173" s="400"/>
      <c r="I173" s="405"/>
      <c r="J173" s="1848">
        <v>2025</v>
      </c>
      <c r="K173" s="1848">
        <v>2026</v>
      </c>
      <c r="L173" s="1848">
        <v>2027</v>
      </c>
      <c r="M173" s="1848">
        <v>2028</v>
      </c>
      <c r="N173" s="1848">
        <v>2029</v>
      </c>
      <c r="O173" s="1848">
        <v>2028</v>
      </c>
    </row>
    <row r="174" spans="4:16" ht="12.75" customHeight="1" x14ac:dyDescent="0.3">
      <c r="D174" s="393">
        <v>606001</v>
      </c>
      <c r="E174" s="381" t="s">
        <v>1963</v>
      </c>
      <c r="I174" s="114"/>
      <c r="J174" s="114"/>
      <c r="K174" s="114"/>
      <c r="L174" s="114"/>
      <c r="M174" s="114"/>
      <c r="N174" s="114"/>
      <c r="O174" s="114"/>
    </row>
    <row r="175" spans="4:16" ht="12.75" customHeight="1" x14ac:dyDescent="0.3">
      <c r="D175" s="143">
        <v>82210</v>
      </c>
      <c r="E175" s="383" t="s">
        <v>554</v>
      </c>
      <c r="F175" s="115"/>
      <c r="H175" s="114"/>
      <c r="I175" s="114"/>
    </row>
    <row r="176" spans="4:16" ht="12.75" customHeight="1" x14ac:dyDescent="0.3">
      <c r="D176" s="1195" t="s">
        <v>2008</v>
      </c>
      <c r="E176" s="1354"/>
      <c r="F176" s="1354"/>
      <c r="I176" s="114"/>
      <c r="J176" s="114"/>
      <c r="K176" s="114"/>
      <c r="L176" s="114"/>
      <c r="M176" s="114"/>
      <c r="N176" s="114"/>
      <c r="O176" s="114"/>
      <c r="P176" s="114"/>
    </row>
    <row r="177" spans="4:20" ht="12.75" customHeight="1" x14ac:dyDescent="0.3">
      <c r="D177" s="312" t="s">
        <v>2009</v>
      </c>
      <c r="E177" s="382"/>
      <c r="F177" s="382"/>
      <c r="I177" s="114"/>
      <c r="J177" s="114"/>
      <c r="K177" s="114"/>
      <c r="L177" s="114"/>
      <c r="M177" s="114"/>
      <c r="N177" s="114"/>
      <c r="O177" s="114"/>
      <c r="P177" s="114"/>
    </row>
    <row r="178" spans="4:20" ht="12.75" customHeight="1" x14ac:dyDescent="0.3">
      <c r="D178" s="301" t="s">
        <v>2010</v>
      </c>
      <c r="I178" s="114"/>
      <c r="J178" s="114"/>
      <c r="K178" s="114"/>
      <c r="L178" s="114"/>
      <c r="M178" s="1365"/>
      <c r="N178" s="114"/>
      <c r="O178" s="114"/>
      <c r="P178" s="114"/>
    </row>
    <row r="179" spans="4:20" ht="12.75" customHeight="1" x14ac:dyDescent="0.3">
      <c r="I179" s="114"/>
      <c r="J179" s="114"/>
      <c r="K179" s="114"/>
      <c r="L179" s="114"/>
      <c r="M179" s="114"/>
      <c r="N179" s="114"/>
      <c r="O179" s="114"/>
      <c r="P179" s="114"/>
    </row>
    <row r="180" spans="4:20" ht="12.75" customHeight="1" x14ac:dyDescent="0.3">
      <c r="D180" s="301" t="s">
        <v>2011</v>
      </c>
      <c r="I180" s="114"/>
      <c r="J180" s="114"/>
      <c r="K180" s="114"/>
      <c r="L180" s="114"/>
      <c r="M180" s="114"/>
      <c r="N180" s="114"/>
      <c r="O180" s="114"/>
      <c r="P180" s="114"/>
    </row>
    <row r="181" spans="4:20" ht="12.75" customHeight="1" x14ac:dyDescent="0.3">
      <c r="I181" s="114"/>
      <c r="J181" s="114"/>
      <c r="K181" s="114"/>
      <c r="L181" s="114"/>
      <c r="M181" s="114"/>
      <c r="N181" s="114"/>
      <c r="O181" s="114"/>
      <c r="P181" s="114"/>
    </row>
    <row r="182" spans="4:20" ht="12.75" customHeight="1" x14ac:dyDescent="0.3">
      <c r="D182" s="312" t="s">
        <v>2009</v>
      </c>
      <c r="E182" s="382"/>
      <c r="F182" s="382"/>
      <c r="I182" s="114"/>
      <c r="J182" s="114"/>
      <c r="K182" s="114"/>
      <c r="L182" s="114"/>
      <c r="M182" s="114"/>
      <c r="N182" s="114"/>
      <c r="O182" s="114"/>
      <c r="P182" s="114"/>
      <c r="R182" s="115">
        <v>371</v>
      </c>
      <c r="T182" s="115">
        <v>407</v>
      </c>
    </row>
    <row r="183" spans="4:20" ht="12.75" customHeight="1" x14ac:dyDescent="0.3">
      <c r="H183" s="1033"/>
      <c r="I183" s="114"/>
      <c r="J183" s="114"/>
      <c r="K183" s="114"/>
      <c r="L183" s="114"/>
      <c r="M183" s="114"/>
      <c r="N183" s="114"/>
      <c r="O183" s="114"/>
      <c r="P183" s="114"/>
      <c r="R183" s="115">
        <v>389</v>
      </c>
      <c r="T183" s="115">
        <v>403</v>
      </c>
    </row>
    <row r="184" spans="4:20" ht="12.75" customHeight="1" x14ac:dyDescent="0.3">
      <c r="D184" s="301" t="s">
        <v>2012</v>
      </c>
      <c r="I184" s="114">
        <f>6313181000+56996000</f>
        <v>6370177000</v>
      </c>
      <c r="J184" s="114"/>
      <c r="K184" s="114"/>
      <c r="L184" s="114"/>
      <c r="M184" s="114"/>
      <c r="N184" s="114"/>
      <c r="O184" s="114"/>
      <c r="P184" s="114"/>
      <c r="R184" s="115">
        <v>198</v>
      </c>
      <c r="T184" s="115">
        <v>202</v>
      </c>
    </row>
    <row r="185" spans="4:20" ht="12.75" customHeight="1" x14ac:dyDescent="0.3">
      <c r="D185" s="301" t="s">
        <v>2013</v>
      </c>
      <c r="I185" s="431">
        <v>84744000</v>
      </c>
      <c r="J185" s="114"/>
      <c r="K185" s="114"/>
      <c r="L185" s="114"/>
      <c r="M185" s="114"/>
      <c r="N185" s="114"/>
      <c r="O185" s="114"/>
      <c r="P185" s="114"/>
    </row>
    <row r="186" spans="4:20" ht="12.75" customHeight="1" x14ac:dyDescent="0.3">
      <c r="D186" s="301" t="s">
        <v>2014</v>
      </c>
      <c r="I186" s="114">
        <f>SUM(I184:I185)</f>
        <v>6454921000</v>
      </c>
      <c r="J186" s="114"/>
      <c r="K186" s="114"/>
      <c r="L186" s="114"/>
      <c r="M186" s="114"/>
      <c r="N186" s="114"/>
      <c r="O186" s="114"/>
      <c r="P186" s="114"/>
    </row>
    <row r="187" spans="4:20" ht="12.75" customHeight="1" x14ac:dyDescent="0.3">
      <c r="D187" s="301" t="s">
        <v>2015</v>
      </c>
      <c r="I187" s="114">
        <v>-31565905</v>
      </c>
      <c r="J187" s="114"/>
      <c r="K187" s="114"/>
      <c r="L187" s="114"/>
      <c r="M187" s="114"/>
      <c r="N187" s="114"/>
      <c r="O187" s="114"/>
      <c r="P187" s="114"/>
    </row>
    <row r="188" spans="4:20" ht="12.75" customHeight="1" x14ac:dyDescent="0.3">
      <c r="D188" s="301" t="s">
        <v>2016</v>
      </c>
      <c r="I188" s="114">
        <f>+I186+I187</f>
        <v>6423355095</v>
      </c>
      <c r="J188" s="114"/>
      <c r="K188" s="114"/>
      <c r="L188" s="114"/>
      <c r="M188" s="114"/>
      <c r="N188" s="114"/>
      <c r="O188" s="114"/>
      <c r="P188" s="114"/>
    </row>
    <row r="189" spans="4:20" ht="12.75" customHeight="1" x14ac:dyDescent="0.3">
      <c r="I189" s="114"/>
      <c r="J189" s="114"/>
      <c r="K189" s="114"/>
      <c r="L189" s="114"/>
      <c r="M189" s="114"/>
      <c r="N189" s="114"/>
      <c r="O189" s="114"/>
      <c r="P189" s="114"/>
    </row>
    <row r="190" spans="4:20" ht="12.75" customHeight="1" x14ac:dyDescent="0.3">
      <c r="D190" s="1355" t="s">
        <v>2017</v>
      </c>
      <c r="E190" s="1356"/>
      <c r="F190" s="1356"/>
      <c r="I190" s="114"/>
      <c r="J190" s="114"/>
      <c r="K190" s="114"/>
      <c r="L190" s="114"/>
      <c r="M190" s="114"/>
      <c r="N190" s="114"/>
      <c r="O190" s="114"/>
      <c r="P190" s="114"/>
    </row>
    <row r="191" spans="4:20" ht="12.75" customHeight="1" x14ac:dyDescent="0.3">
      <c r="D191" s="411" t="s">
        <v>2018</v>
      </c>
      <c r="E191" s="384"/>
      <c r="F191" s="384"/>
      <c r="I191" s="114">
        <f>+I188</f>
        <v>6423355095</v>
      </c>
      <c r="J191" s="114"/>
      <c r="K191" s="114"/>
      <c r="L191" s="114"/>
      <c r="M191" s="114"/>
      <c r="N191" s="114"/>
      <c r="O191" s="114"/>
      <c r="P191" s="114"/>
    </row>
    <row r="192" spans="4:20" ht="12.75" customHeight="1" x14ac:dyDescent="0.3">
      <c r="D192" s="411" t="s">
        <v>2019</v>
      </c>
      <c r="E192" s="384"/>
      <c r="F192" s="384"/>
      <c r="H192" s="633"/>
      <c r="I192" s="1357">
        <v>8.8000000000000003E-4</v>
      </c>
      <c r="J192" s="508"/>
      <c r="K192" s="114"/>
      <c r="L192" s="114"/>
      <c r="M192" s="114"/>
      <c r="N192" s="114"/>
      <c r="O192" s="114"/>
      <c r="P192" s="114"/>
    </row>
    <row r="193" spans="4:17" ht="12.75" customHeight="1" x14ac:dyDescent="0.3">
      <c r="D193" s="115"/>
      <c r="E193" s="400"/>
      <c r="F193" s="400"/>
      <c r="I193" s="564">
        <f>+I192*I191</f>
        <v>5652552.4835999999</v>
      </c>
      <c r="J193" s="114"/>
      <c r="K193" s="114"/>
      <c r="L193" s="114"/>
      <c r="M193" s="114"/>
      <c r="N193" s="114"/>
      <c r="O193" s="114"/>
      <c r="P193" s="114"/>
    </row>
    <row r="194" spans="4:17" ht="12.75" customHeight="1" x14ac:dyDescent="0.3">
      <c r="D194" s="115" t="s">
        <v>2020</v>
      </c>
      <c r="E194" s="400"/>
      <c r="F194" s="400"/>
      <c r="I194" s="114">
        <v>-2552</v>
      </c>
      <c r="J194" s="114"/>
      <c r="K194" s="114"/>
      <c r="L194" s="114"/>
      <c r="M194" s="114"/>
      <c r="N194" s="114"/>
      <c r="O194" s="114"/>
      <c r="P194" s="114"/>
    </row>
    <row r="195" spans="4:17" ht="12.75" customHeight="1" thickBot="1" x14ac:dyDescent="0.35">
      <c r="D195" s="301" t="s">
        <v>2021</v>
      </c>
      <c r="I195" s="1744">
        <f>SUM(I193:I194)</f>
        <v>5650000.4835999999</v>
      </c>
      <c r="J195" s="114"/>
      <c r="K195" s="114"/>
      <c r="L195" s="114"/>
      <c r="M195" s="114"/>
      <c r="N195" s="114"/>
      <c r="O195" s="114"/>
      <c r="P195" s="114"/>
    </row>
    <row r="196" spans="4:17" ht="12.75" customHeight="1" thickTop="1" x14ac:dyDescent="0.3"/>
    <row r="197" spans="4:17" ht="12.75" customHeight="1" x14ac:dyDescent="0.3">
      <c r="D197" s="301" t="s">
        <v>2022</v>
      </c>
      <c r="J197" s="114">
        <v>-5061000</v>
      </c>
      <c r="K197" s="114">
        <v>-5650000.4835999999</v>
      </c>
      <c r="L197" s="114">
        <v>-6373000</v>
      </c>
      <c r="M197" s="114">
        <v>-6970000</v>
      </c>
      <c r="N197" s="114">
        <v>-7603000</v>
      </c>
      <c r="O197" s="544">
        <v>0</v>
      </c>
    </row>
    <row r="198" spans="4:17" ht="12.75" customHeight="1" thickBot="1" x14ac:dyDescent="0.35">
      <c r="D198" s="301" t="s">
        <v>2023</v>
      </c>
      <c r="I198" s="115">
        <v>606001</v>
      </c>
      <c r="J198" s="1744">
        <v>-5061000</v>
      </c>
      <c r="K198" s="1744">
        <v>-5650000.4835999999</v>
      </c>
      <c r="L198" s="1744">
        <f>SUM(L197:L197)</f>
        <v>-6373000</v>
      </c>
      <c r="M198" s="1744">
        <f>SUM(M197:M197)</f>
        <v>-6970000</v>
      </c>
      <c r="N198" s="1744">
        <f>SUM(N197:N197)</f>
        <v>-7603000</v>
      </c>
      <c r="O198" s="1744">
        <f>SUM(O197:O197)</f>
        <v>0</v>
      </c>
      <c r="P198" s="114"/>
      <c r="Q198" s="114"/>
    </row>
    <row r="199" spans="4:17" ht="12.75" customHeight="1" thickTop="1" x14ac:dyDescent="0.3">
      <c r="D199" s="393"/>
      <c r="E199" s="382"/>
      <c r="F199" s="382"/>
      <c r="G199" s="399"/>
      <c r="H199" s="399"/>
      <c r="I199" s="399"/>
      <c r="J199" s="399"/>
      <c r="K199" s="399"/>
      <c r="L199" s="399"/>
      <c r="M199" s="399"/>
      <c r="N199" s="399"/>
      <c r="O199" s="399"/>
    </row>
    <row r="200" spans="4:17" ht="12.75" customHeight="1" x14ac:dyDescent="0.3">
      <c r="D200" s="1195" t="s">
        <v>2008</v>
      </c>
      <c r="E200" s="382"/>
      <c r="F200" s="382"/>
      <c r="G200" s="399"/>
      <c r="H200" s="399"/>
      <c r="I200" s="399"/>
      <c r="J200" s="399"/>
      <c r="K200" s="399"/>
      <c r="L200" s="399"/>
      <c r="M200" s="399"/>
      <c r="N200" s="399"/>
      <c r="O200" s="399"/>
    </row>
    <row r="201" spans="4:17" ht="12.75" customHeight="1" x14ac:dyDescent="0.3">
      <c r="D201" s="306" t="s">
        <v>200</v>
      </c>
      <c r="E201" s="115"/>
      <c r="F201" s="115"/>
      <c r="H201" s="115">
        <v>2.6</v>
      </c>
      <c r="I201" s="115" t="s">
        <v>2024</v>
      </c>
      <c r="J201" s="399"/>
      <c r="K201" s="399"/>
      <c r="L201" s="399"/>
      <c r="M201" s="399"/>
      <c r="N201" s="399"/>
      <c r="O201" s="399"/>
    </row>
    <row r="202" spans="4:17" ht="12.75" customHeight="1" x14ac:dyDescent="0.3">
      <c r="D202" s="306" t="s">
        <v>201</v>
      </c>
      <c r="E202" s="115"/>
      <c r="F202" s="115"/>
      <c r="H202" s="115">
        <v>2</v>
      </c>
      <c r="I202" s="115" t="s">
        <v>2025</v>
      </c>
      <c r="J202" s="399"/>
      <c r="K202" s="399"/>
      <c r="L202" s="399"/>
      <c r="M202" s="399"/>
      <c r="N202" s="399"/>
      <c r="O202" s="399"/>
    </row>
    <row r="203" spans="4:17" ht="12.75" customHeight="1" x14ac:dyDescent="0.3">
      <c r="D203" s="306" t="s">
        <v>2026</v>
      </c>
      <c r="E203" s="115"/>
      <c r="F203" s="115"/>
      <c r="H203" s="1358">
        <f>ROUND((H201*47+H202*53)/100,1)</f>
        <v>2.2999999999999998</v>
      </c>
      <c r="I203" s="115" t="s">
        <v>2027</v>
      </c>
      <c r="J203" s="399"/>
      <c r="K203" s="399"/>
      <c r="L203" s="399"/>
      <c r="M203" s="399"/>
      <c r="N203" s="399"/>
      <c r="O203" s="399"/>
    </row>
    <row r="204" spans="4:17" ht="12.75" customHeight="1" x14ac:dyDescent="0.3">
      <c r="D204" s="306" t="s">
        <v>2028</v>
      </c>
      <c r="E204" s="115"/>
      <c r="F204" s="115"/>
      <c r="H204" s="1358">
        <v>4</v>
      </c>
      <c r="J204" s="399"/>
      <c r="K204" s="399"/>
      <c r="L204" s="399"/>
      <c r="M204" s="399"/>
      <c r="N204" s="399"/>
      <c r="O204" s="399"/>
    </row>
    <row r="205" spans="4:17" ht="12.75" customHeight="1" x14ac:dyDescent="0.3">
      <c r="D205" s="306" t="s">
        <v>2029</v>
      </c>
      <c r="E205" s="115"/>
      <c r="F205" s="115"/>
      <c r="H205" s="1359">
        <v>4</v>
      </c>
      <c r="I205" s="115" t="s">
        <v>2027</v>
      </c>
      <c r="J205" s="399"/>
      <c r="K205" s="399"/>
      <c r="L205" s="399"/>
      <c r="M205" s="399"/>
      <c r="N205" s="399"/>
      <c r="O205" s="399"/>
    </row>
    <row r="206" spans="4:17" ht="12.75" customHeight="1" x14ac:dyDescent="0.3">
      <c r="D206" s="306" t="s">
        <v>2030</v>
      </c>
      <c r="E206" s="115"/>
      <c r="F206" s="115"/>
      <c r="H206" s="1358">
        <f>SUM(H203:H205)</f>
        <v>10.3</v>
      </c>
      <c r="I206" s="115" t="s">
        <v>2027</v>
      </c>
      <c r="J206" s="399"/>
      <c r="K206" s="399"/>
      <c r="L206" s="399"/>
      <c r="M206" s="399"/>
      <c r="N206" s="399"/>
      <c r="O206" s="399"/>
    </row>
    <row r="207" spans="4:17" ht="12.75" customHeight="1" x14ac:dyDescent="0.3">
      <c r="D207" s="1195" t="s">
        <v>2031</v>
      </c>
      <c r="E207" s="382"/>
      <c r="F207" s="382"/>
      <c r="G207" s="399"/>
      <c r="H207" s="399"/>
      <c r="I207" s="399"/>
      <c r="J207" s="399"/>
      <c r="K207" s="399"/>
      <c r="L207" s="399"/>
      <c r="M207" s="399"/>
      <c r="N207" s="399"/>
      <c r="O207" s="399"/>
    </row>
    <row r="208" spans="4:17" ht="12.75" customHeight="1" x14ac:dyDescent="0.3">
      <c r="D208" s="306" t="s">
        <v>200</v>
      </c>
      <c r="E208" s="115"/>
      <c r="F208" s="115"/>
      <c r="H208" s="115">
        <v>2.2000000000000002</v>
      </c>
      <c r="I208" s="115" t="s">
        <v>2024</v>
      </c>
      <c r="J208" s="399"/>
      <c r="K208" s="399"/>
      <c r="L208" s="399"/>
      <c r="M208" s="399"/>
      <c r="N208" s="399"/>
      <c r="O208" s="399"/>
    </row>
    <row r="209" spans="4:15" ht="12.75" customHeight="1" x14ac:dyDescent="0.3">
      <c r="D209" s="306" t="s">
        <v>201</v>
      </c>
      <c r="E209" s="115"/>
      <c r="F209" s="115"/>
      <c r="H209" s="115">
        <v>4.5999999999999996</v>
      </c>
      <c r="I209" s="115" t="s">
        <v>2025</v>
      </c>
      <c r="J209" s="399"/>
      <c r="K209" s="399"/>
      <c r="L209" s="399"/>
      <c r="M209" s="399"/>
      <c r="N209" s="399"/>
      <c r="O209" s="399"/>
    </row>
    <row r="210" spans="4:15" ht="12.75" customHeight="1" x14ac:dyDescent="0.3">
      <c r="D210" s="306" t="s">
        <v>2026</v>
      </c>
      <c r="E210" s="115"/>
      <c r="F210" s="115"/>
      <c r="H210" s="1358">
        <f>ROUND((H208*47+H209*53)/100,1)</f>
        <v>3.5</v>
      </c>
      <c r="I210" s="115" t="s">
        <v>2027</v>
      </c>
      <c r="J210" s="399"/>
      <c r="K210" s="399"/>
      <c r="L210" s="399"/>
      <c r="M210" s="399"/>
      <c r="N210" s="399"/>
      <c r="O210" s="399"/>
    </row>
    <row r="211" spans="4:15" ht="12.75" customHeight="1" x14ac:dyDescent="0.3">
      <c r="D211" s="306" t="s">
        <v>2028</v>
      </c>
      <c r="E211" s="115"/>
      <c r="F211" s="115"/>
      <c r="H211" s="1358">
        <v>4</v>
      </c>
      <c r="I211" s="115" t="s">
        <v>2027</v>
      </c>
      <c r="J211" s="399"/>
      <c r="K211" s="399"/>
      <c r="L211" s="399"/>
      <c r="M211" s="399"/>
      <c r="N211" s="399"/>
      <c r="O211" s="399"/>
    </row>
    <row r="212" spans="4:15" ht="12.75" customHeight="1" x14ac:dyDescent="0.3">
      <c r="D212" s="306" t="s">
        <v>2029</v>
      </c>
      <c r="E212" s="115"/>
      <c r="F212" s="115"/>
      <c r="H212" s="1359">
        <v>4</v>
      </c>
      <c r="I212" s="115" t="s">
        <v>2027</v>
      </c>
      <c r="J212" s="399"/>
      <c r="K212" s="399"/>
      <c r="L212" s="399"/>
      <c r="M212" s="399"/>
      <c r="N212" s="399"/>
      <c r="O212" s="399"/>
    </row>
    <row r="213" spans="4:15" ht="12.75" customHeight="1" x14ac:dyDescent="0.3">
      <c r="D213" s="306" t="s">
        <v>2032</v>
      </c>
      <c r="E213" s="115"/>
      <c r="F213" s="115"/>
      <c r="H213" s="1358">
        <f>+H210+H211+H212</f>
        <v>11.5</v>
      </c>
      <c r="I213" s="115" t="s">
        <v>2027</v>
      </c>
      <c r="J213" s="399"/>
      <c r="K213" s="399"/>
      <c r="L213" s="399"/>
      <c r="M213" s="399"/>
      <c r="N213" s="399"/>
      <c r="O213" s="399"/>
    </row>
    <row r="214" spans="4:15" ht="12.75" customHeight="1" x14ac:dyDescent="0.3">
      <c r="D214" s="1195" t="s">
        <v>2033</v>
      </c>
      <c r="E214" s="382"/>
      <c r="F214" s="382"/>
      <c r="G214" s="399"/>
      <c r="H214" s="399"/>
      <c r="I214" s="399"/>
      <c r="J214" s="399"/>
      <c r="K214" s="399"/>
      <c r="L214" s="399"/>
      <c r="M214" s="399"/>
      <c r="N214" s="399"/>
      <c r="O214" s="399"/>
    </row>
    <row r="215" spans="4:15" ht="12.75" customHeight="1" x14ac:dyDescent="0.3">
      <c r="D215" s="306" t="s">
        <v>200</v>
      </c>
      <c r="E215" s="115"/>
      <c r="F215" s="115"/>
      <c r="H215" s="115">
        <v>2.2000000000000002</v>
      </c>
      <c r="I215" s="115" t="s">
        <v>2024</v>
      </c>
      <c r="J215" s="399"/>
      <c r="K215" s="399"/>
      <c r="L215" s="399"/>
      <c r="M215" s="399"/>
      <c r="N215" s="399"/>
      <c r="O215" s="399"/>
    </row>
    <row r="216" spans="4:15" ht="12.75" customHeight="1" x14ac:dyDescent="0.3">
      <c r="D216" s="306" t="s">
        <v>201</v>
      </c>
      <c r="E216" s="115"/>
      <c r="F216" s="115"/>
      <c r="H216" s="115">
        <v>4.5999999999999996</v>
      </c>
      <c r="I216" s="115" t="s">
        <v>2025</v>
      </c>
      <c r="J216" s="399"/>
      <c r="K216" s="399"/>
      <c r="L216" s="399"/>
      <c r="M216" s="399"/>
      <c r="N216" s="399"/>
      <c r="O216" s="399"/>
    </row>
    <row r="217" spans="4:15" ht="12.75" customHeight="1" x14ac:dyDescent="0.3">
      <c r="D217" s="306" t="s">
        <v>2026</v>
      </c>
      <c r="E217" s="115"/>
      <c r="F217" s="115"/>
      <c r="H217" s="1358">
        <f>ROUND((H215*47+H216*53)/100,1)</f>
        <v>3.5</v>
      </c>
      <c r="I217" s="115" t="s">
        <v>2027</v>
      </c>
      <c r="J217" s="399"/>
      <c r="K217" s="399"/>
      <c r="L217" s="399"/>
      <c r="M217" s="399"/>
      <c r="N217" s="399"/>
      <c r="O217" s="399"/>
    </row>
    <row r="218" spans="4:15" ht="12.75" customHeight="1" x14ac:dyDescent="0.3">
      <c r="D218" s="306" t="s">
        <v>2028</v>
      </c>
      <c r="E218" s="115"/>
      <c r="F218" s="115"/>
      <c r="H218" s="1359">
        <v>4</v>
      </c>
      <c r="I218" s="115" t="s">
        <v>2027</v>
      </c>
      <c r="J218" s="399"/>
      <c r="K218" s="399"/>
      <c r="L218" s="399"/>
      <c r="M218" s="399"/>
      <c r="N218" s="399"/>
      <c r="O218" s="399"/>
    </row>
    <row r="219" spans="4:15" ht="12.75" customHeight="1" x14ac:dyDescent="0.3">
      <c r="D219" s="306" t="s">
        <v>2034</v>
      </c>
      <c r="E219" s="115"/>
      <c r="F219" s="115"/>
      <c r="H219" s="1358">
        <f>+H217+H218</f>
        <v>7.5</v>
      </c>
      <c r="I219" s="115" t="s">
        <v>2027</v>
      </c>
      <c r="J219" s="399"/>
      <c r="K219" s="399"/>
      <c r="L219" s="399"/>
      <c r="M219" s="399"/>
      <c r="N219" s="399"/>
      <c r="O219" s="399"/>
    </row>
    <row r="220" spans="4:15" ht="12.75" customHeight="1" x14ac:dyDescent="0.3">
      <c r="D220" s="306"/>
      <c r="E220" s="115"/>
      <c r="F220" s="115"/>
      <c r="H220" s="1358"/>
      <c r="J220" s="399"/>
      <c r="K220" s="399"/>
      <c r="L220" s="399"/>
      <c r="M220" s="399"/>
      <c r="N220" s="399"/>
      <c r="O220" s="399"/>
    </row>
    <row r="222" spans="4:15" ht="12.75" customHeight="1" x14ac:dyDescent="0.3">
      <c r="D222" s="500" t="s">
        <v>2035</v>
      </c>
    </row>
    <row r="224" spans="4:15" ht="12.75" customHeight="1" x14ac:dyDescent="0.3">
      <c r="E224" s="381" t="s">
        <v>2036</v>
      </c>
    </row>
    <row r="225" spans="5:21" ht="12.75" customHeight="1" x14ac:dyDescent="0.3">
      <c r="E225" s="496" t="s">
        <v>2037</v>
      </c>
      <c r="J225" s="114">
        <v>101480</v>
      </c>
      <c r="K225" s="114">
        <v>92269</v>
      </c>
      <c r="L225" s="114">
        <f>L60</f>
        <v>96144</v>
      </c>
      <c r="M225" s="114">
        <f>M60</f>
        <v>99701</v>
      </c>
      <c r="N225" s="114">
        <f>N60</f>
        <v>103390</v>
      </c>
      <c r="O225" s="114">
        <f>O60</f>
        <v>107215</v>
      </c>
    </row>
    <row r="226" spans="5:21" ht="12.75" customHeight="1" x14ac:dyDescent="0.3">
      <c r="E226" s="496"/>
      <c r="J226" s="431"/>
      <c r="K226" s="431"/>
      <c r="L226" s="431"/>
      <c r="M226" s="431"/>
      <c r="N226" s="431"/>
      <c r="O226" s="431"/>
    </row>
    <row r="227" spans="5:21" ht="12.75" customHeight="1" x14ac:dyDescent="0.3">
      <c r="E227" s="496" t="s">
        <v>2038</v>
      </c>
      <c r="J227" s="114">
        <v>101480</v>
      </c>
      <c r="K227" s="114">
        <v>92269</v>
      </c>
      <c r="L227" s="114">
        <f t="shared" ref="L227:M227" si="42">SUM(L225:L226)</f>
        <v>96144</v>
      </c>
      <c r="M227" s="114">
        <f t="shared" si="42"/>
        <v>99701</v>
      </c>
      <c r="N227" s="114">
        <f t="shared" ref="N227:O227" si="43">SUM(N225:N226)</f>
        <v>103390</v>
      </c>
      <c r="O227" s="114">
        <f t="shared" si="43"/>
        <v>107215</v>
      </c>
    </row>
    <row r="228" spans="5:21" ht="12.75" customHeight="1" x14ac:dyDescent="0.3">
      <c r="E228" s="496"/>
      <c r="J228" s="114"/>
      <c r="K228" s="114"/>
      <c r="L228" s="114"/>
      <c r="M228" s="114"/>
      <c r="N228" s="114"/>
      <c r="O228" s="114"/>
    </row>
    <row r="229" spans="5:21" ht="12.75" customHeight="1" x14ac:dyDescent="0.3">
      <c r="E229" s="496" t="s">
        <v>2039</v>
      </c>
      <c r="J229" s="114"/>
      <c r="K229" s="114"/>
      <c r="L229" s="114"/>
      <c r="M229" s="114"/>
      <c r="N229" s="114"/>
      <c r="O229" s="114"/>
    </row>
    <row r="230" spans="5:21" ht="12.75" customHeight="1" x14ac:dyDescent="0.3">
      <c r="E230" s="496" t="s">
        <v>1957</v>
      </c>
      <c r="J230" s="114">
        <v>50647</v>
      </c>
      <c r="K230" s="114">
        <v>52200</v>
      </c>
      <c r="L230" s="114">
        <f>+L50</f>
        <v>53296</v>
      </c>
      <c r="M230" s="114">
        <f>+M50</f>
        <v>54495</v>
      </c>
      <c r="N230" s="114">
        <f>+N50</f>
        <v>55721</v>
      </c>
      <c r="O230" s="114">
        <f>+O50</f>
        <v>56974</v>
      </c>
    </row>
    <row r="231" spans="5:21" ht="12.75" customHeight="1" x14ac:dyDescent="0.3">
      <c r="E231" s="496" t="s">
        <v>1960</v>
      </c>
      <c r="J231" s="114">
        <v>17863</v>
      </c>
      <c r="K231" s="114">
        <v>18327</v>
      </c>
      <c r="L231" s="114">
        <f>+L56+L72</f>
        <v>18717</v>
      </c>
      <c r="M231" s="114">
        <f>+M56+M72</f>
        <v>19143</v>
      </c>
      <c r="N231" s="114">
        <f>+N56+N72</f>
        <v>19577</v>
      </c>
      <c r="O231" s="114">
        <f>+O56+O72</f>
        <v>13673</v>
      </c>
    </row>
    <row r="232" spans="5:21" ht="12.75" customHeight="1" x14ac:dyDescent="0.3">
      <c r="J232" s="149"/>
      <c r="K232" s="149"/>
      <c r="L232" s="149"/>
      <c r="M232" s="149"/>
      <c r="N232" s="149"/>
      <c r="O232" s="149"/>
    </row>
    <row r="233" spans="5:21" ht="12.75" customHeight="1" x14ac:dyDescent="0.3">
      <c r="E233" s="336" t="s">
        <v>2040</v>
      </c>
      <c r="J233" s="114">
        <v>169990</v>
      </c>
      <c r="K233" s="114">
        <v>162796</v>
      </c>
      <c r="L233" s="114">
        <f t="shared" ref="L233:M233" si="44">SUM(L227:L232)</f>
        <v>168157</v>
      </c>
      <c r="M233" s="114">
        <f t="shared" si="44"/>
        <v>173339</v>
      </c>
      <c r="N233" s="114">
        <f t="shared" ref="N233:O233" si="45">SUM(N227:N232)</f>
        <v>178688</v>
      </c>
      <c r="O233" s="114">
        <f t="shared" si="45"/>
        <v>177862</v>
      </c>
    </row>
    <row r="234" spans="5:21" ht="12.75" customHeight="1" x14ac:dyDescent="0.3">
      <c r="P234" s="1345">
        <v>2025</v>
      </c>
      <c r="Q234" s="1345">
        <v>2026</v>
      </c>
      <c r="R234" s="1345">
        <v>2027</v>
      </c>
      <c r="S234" s="1345">
        <v>2028</v>
      </c>
      <c r="T234" s="1345">
        <v>2029</v>
      </c>
      <c r="U234" s="381">
        <v>2030</v>
      </c>
    </row>
    <row r="235" spans="5:21" ht="12.75" customHeight="1" x14ac:dyDescent="0.3">
      <c r="E235" s="505" t="s">
        <v>939</v>
      </c>
      <c r="P235" s="571"/>
    </row>
    <row r="236" spans="5:21" ht="12.75" customHeight="1" x14ac:dyDescent="0.3">
      <c r="E236" s="336" t="s">
        <v>2041</v>
      </c>
      <c r="J236" s="510">
        <v>0</v>
      </c>
      <c r="K236" s="510">
        <v>0</v>
      </c>
      <c r="L236" s="510">
        <f t="shared" ref="L236:O240" si="46">ROUND(L$227*R236,0)</f>
        <v>0</v>
      </c>
      <c r="M236" s="510">
        <f t="shared" si="46"/>
        <v>0</v>
      </c>
      <c r="N236" s="510">
        <f t="shared" si="46"/>
        <v>0</v>
      </c>
      <c r="O236" s="510">
        <f t="shared" si="46"/>
        <v>0</v>
      </c>
      <c r="P236" s="1346"/>
      <c r="Q236" s="514"/>
    </row>
    <row r="237" spans="5:21" ht="12.75" customHeight="1" x14ac:dyDescent="0.3">
      <c r="E237" s="336" t="s">
        <v>2042</v>
      </c>
      <c r="J237" s="510">
        <v>0</v>
      </c>
      <c r="K237" s="510">
        <v>0</v>
      </c>
      <c r="L237" s="510">
        <f t="shared" si="46"/>
        <v>0</v>
      </c>
      <c r="M237" s="510">
        <f t="shared" si="46"/>
        <v>0</v>
      </c>
      <c r="N237" s="510">
        <f t="shared" si="46"/>
        <v>0</v>
      </c>
      <c r="O237" s="510">
        <f t="shared" si="46"/>
        <v>0</v>
      </c>
      <c r="P237" s="1346"/>
      <c r="Q237" s="514"/>
    </row>
    <row r="238" spans="5:21" ht="12.75" customHeight="1" x14ac:dyDescent="0.3">
      <c r="E238" s="336" t="s">
        <v>2043</v>
      </c>
      <c r="J238" s="510">
        <v>0</v>
      </c>
      <c r="K238" s="510">
        <v>0</v>
      </c>
      <c r="L238" s="510">
        <f t="shared" si="46"/>
        <v>0</v>
      </c>
      <c r="M238" s="510">
        <f t="shared" si="46"/>
        <v>0</v>
      </c>
      <c r="N238" s="510">
        <f t="shared" si="46"/>
        <v>0</v>
      </c>
      <c r="O238" s="510">
        <f t="shared" si="46"/>
        <v>0</v>
      </c>
      <c r="P238" s="1346"/>
      <c r="Q238" s="514"/>
    </row>
    <row r="239" spans="5:21" ht="12.75" customHeight="1" x14ac:dyDescent="0.3">
      <c r="E239" s="336" t="s">
        <v>2044</v>
      </c>
      <c r="J239" s="510">
        <v>0</v>
      </c>
      <c r="K239" s="510">
        <v>0</v>
      </c>
      <c r="L239" s="510">
        <f t="shared" si="46"/>
        <v>0</v>
      </c>
      <c r="M239" s="510">
        <f t="shared" si="46"/>
        <v>0</v>
      </c>
      <c r="N239" s="510">
        <f t="shared" si="46"/>
        <v>0</v>
      </c>
      <c r="O239" s="510">
        <f t="shared" si="46"/>
        <v>0</v>
      </c>
      <c r="P239" s="1346"/>
      <c r="Q239" s="514"/>
    </row>
    <row r="240" spans="5:21" ht="12.75" customHeight="1" x14ac:dyDescent="0.3">
      <c r="E240" s="336" t="s">
        <v>2045</v>
      </c>
      <c r="J240" s="510">
        <v>0</v>
      </c>
      <c r="K240" s="510">
        <v>0</v>
      </c>
      <c r="L240" s="510">
        <f t="shared" si="46"/>
        <v>0</v>
      </c>
      <c r="M240" s="510">
        <f t="shared" si="46"/>
        <v>0</v>
      </c>
      <c r="N240" s="510">
        <f t="shared" si="46"/>
        <v>0</v>
      </c>
      <c r="O240" s="510">
        <f t="shared" si="46"/>
        <v>0</v>
      </c>
      <c r="P240" s="1346"/>
      <c r="Q240" s="514"/>
    </row>
    <row r="241" spans="5:21" ht="12.75" customHeight="1" x14ac:dyDescent="0.3">
      <c r="E241" s="507" t="s">
        <v>945</v>
      </c>
      <c r="F241" s="115"/>
      <c r="J241" s="508"/>
      <c r="K241" s="508"/>
      <c r="L241" s="508"/>
      <c r="M241" s="151"/>
      <c r="N241" s="151"/>
      <c r="O241" s="151"/>
      <c r="P241" s="151"/>
      <c r="Q241" s="1349"/>
    </row>
    <row r="242" spans="5:21" ht="12.75" customHeight="1" x14ac:dyDescent="0.3">
      <c r="E242" s="507"/>
      <c r="F242" s="115"/>
      <c r="J242" s="508"/>
      <c r="K242" s="508"/>
      <c r="L242" s="508"/>
      <c r="M242" s="151"/>
      <c r="N242" s="151"/>
      <c r="O242" s="151"/>
      <c r="P242" s="151"/>
      <c r="Q242" s="1349"/>
    </row>
    <row r="243" spans="5:21" ht="12.75" customHeight="1" x14ac:dyDescent="0.3">
      <c r="E243" s="115" t="s">
        <v>946</v>
      </c>
      <c r="F243" s="115"/>
      <c r="J243" s="151">
        <v>10150.90532947357</v>
      </c>
      <c r="K243" s="151">
        <v>8317.129056031059</v>
      </c>
      <c r="L243" s="151">
        <f t="shared" ref="L243:O250" si="47">L$225*R243</f>
        <v>9048.6936312241269</v>
      </c>
      <c r="M243" s="151">
        <f t="shared" si="47"/>
        <v>9899.5124963386461</v>
      </c>
      <c r="N243" s="151">
        <f t="shared" si="47"/>
        <v>10792.682998978175</v>
      </c>
      <c r="O243" s="547">
        <f t="shared" si="47"/>
        <v>11191.96738306843</v>
      </c>
      <c r="P243" s="170">
        <v>0.10002862957699615</v>
      </c>
      <c r="Q243" s="1249">
        <v>9.0140015130011811E-2</v>
      </c>
      <c r="R243" s="1249">
        <v>9.4116051248378754E-2</v>
      </c>
      <c r="S243" s="1249">
        <v>9.9292008067508306E-2</v>
      </c>
      <c r="T243" s="1249">
        <v>0.10438807427196223</v>
      </c>
      <c r="U243" s="2082">
        <v>0.10438807427196223</v>
      </c>
    </row>
    <row r="244" spans="5:21" ht="12.75" customHeight="1" x14ac:dyDescent="0.3">
      <c r="E244" s="115" t="s">
        <v>947</v>
      </c>
      <c r="F244" s="115"/>
      <c r="J244" s="151">
        <v>236.51597745990847</v>
      </c>
      <c r="K244" s="151">
        <v>201.88195398569809</v>
      </c>
      <c r="L244" s="151">
        <f t="shared" si="47"/>
        <v>209.67756723786414</v>
      </c>
      <c r="M244" s="151">
        <f t="shared" si="47"/>
        <v>216.7326234850091</v>
      </c>
      <c r="N244" s="151">
        <f t="shared" si="47"/>
        <v>224.02303671802059</v>
      </c>
      <c r="O244" s="547">
        <f t="shared" si="47"/>
        <v>232.31095736263254</v>
      </c>
      <c r="P244" s="170">
        <v>2.3306659189979155E-3</v>
      </c>
      <c r="Q244" s="1249">
        <v>2.1879716262850806E-3</v>
      </c>
      <c r="R244" s="1249">
        <v>2.1808700203638722E-3</v>
      </c>
      <c r="S244" s="1249">
        <v>2.1738259745138874E-3</v>
      </c>
      <c r="T244" s="1249">
        <v>2.1667766391142334E-3</v>
      </c>
      <c r="U244" s="2082">
        <v>2.1667766391142334E-3</v>
      </c>
    </row>
    <row r="245" spans="5:21" ht="12.75" customHeight="1" x14ac:dyDescent="0.3">
      <c r="E245" s="115" t="s">
        <v>948</v>
      </c>
      <c r="F245" s="115"/>
      <c r="J245" s="151">
        <v>19418.892500335329</v>
      </c>
      <c r="K245" s="151">
        <v>16136.617746675462</v>
      </c>
      <c r="L245" s="151">
        <f t="shared" si="47"/>
        <v>16766.218351324907</v>
      </c>
      <c r="M245" s="151">
        <f t="shared" si="47"/>
        <v>17336.787364603468</v>
      </c>
      <c r="N245" s="151">
        <f t="shared" si="47"/>
        <v>17926.842369304577</v>
      </c>
      <c r="O245" s="547">
        <f t="shared" si="47"/>
        <v>18590.060979059774</v>
      </c>
      <c r="P245" s="170">
        <v>0.19135684371635128</v>
      </c>
      <c r="Q245" s="509">
        <v>0.17488666558297436</v>
      </c>
      <c r="R245" s="509">
        <v>0.17438652803424973</v>
      </c>
      <c r="S245" s="509">
        <v>0.17388779816254066</v>
      </c>
      <c r="T245" s="509">
        <v>0.17339048621050948</v>
      </c>
      <c r="U245" s="2083">
        <v>0.17339048621050948</v>
      </c>
    </row>
    <row r="246" spans="5:21" ht="12.75" customHeight="1" x14ac:dyDescent="0.3">
      <c r="E246" s="115" t="s">
        <v>949</v>
      </c>
      <c r="F246" s="115"/>
      <c r="J246" s="151">
        <v>25756.291170121571</v>
      </c>
      <c r="K246" s="151">
        <v>20944.693923999999</v>
      </c>
      <c r="L246" s="151">
        <f t="shared" si="47"/>
        <v>21357.332015999997</v>
      </c>
      <c r="M246" s="151">
        <f t="shared" si="47"/>
        <v>21997.231032</v>
      </c>
      <c r="N246" s="151">
        <f t="shared" si="47"/>
        <v>22655.747310000002</v>
      </c>
      <c r="O246" s="547">
        <f t="shared" si="47"/>
        <v>23493.915735000002</v>
      </c>
      <c r="P246" s="170">
        <v>0.2538065744000943</v>
      </c>
      <c r="Q246" s="509">
        <v>0.226996</v>
      </c>
      <c r="R246" s="509">
        <v>0.22213899999999998</v>
      </c>
      <c r="S246" s="509">
        <v>0.22063199999999999</v>
      </c>
      <c r="T246" s="509">
        <v>0.21912900000000002</v>
      </c>
      <c r="U246" s="2083">
        <v>0.21912900000000002</v>
      </c>
    </row>
    <row r="247" spans="5:21" ht="12.75" customHeight="1" x14ac:dyDescent="0.3">
      <c r="E247" s="308" t="s">
        <v>950</v>
      </c>
      <c r="F247" s="115"/>
      <c r="J247" s="151">
        <v>3565.7050973739092</v>
      </c>
      <c r="K247" s="151">
        <v>2850.6522111906042</v>
      </c>
      <c r="L247" s="151">
        <f t="shared" si="47"/>
        <v>2958.006469718553</v>
      </c>
      <c r="M247" s="151">
        <f t="shared" si="47"/>
        <v>3054.7490245605691</v>
      </c>
      <c r="N247" s="151">
        <f t="shared" si="47"/>
        <v>3154.7624270416322</v>
      </c>
      <c r="O247" s="547">
        <f t="shared" si="47"/>
        <v>3271.4755161550306</v>
      </c>
      <c r="P247" s="170">
        <v>3.513702303285287E-2</v>
      </c>
      <c r="Q247" s="509">
        <v>3.0895015782013507E-2</v>
      </c>
      <c r="R247" s="509">
        <v>3.0766417766252215E-2</v>
      </c>
      <c r="S247" s="509">
        <v>3.0639101158068314E-2</v>
      </c>
      <c r="T247" s="509">
        <v>3.051322591199954E-2</v>
      </c>
      <c r="U247" s="2083">
        <v>3.051322591199954E-2</v>
      </c>
    </row>
    <row r="248" spans="5:21" ht="12.75" customHeight="1" x14ac:dyDescent="0.3">
      <c r="E248" s="308" t="s">
        <v>951</v>
      </c>
      <c r="F248" s="115"/>
      <c r="J248" s="151">
        <v>12231.99204146139</v>
      </c>
      <c r="K248" s="151">
        <v>11258.94535646113</v>
      </c>
      <c r="L248" s="151">
        <f t="shared" si="47"/>
        <v>11687.414364907549</v>
      </c>
      <c r="M248" s="151">
        <f t="shared" si="47"/>
        <v>12074.860325254338</v>
      </c>
      <c r="N248" s="151">
        <f t="shared" si="47"/>
        <v>12476.102039298183</v>
      </c>
      <c r="O248" s="547">
        <f t="shared" si="47"/>
        <v>12937.665926524371</v>
      </c>
      <c r="P248" s="170">
        <v>0.12053598779524428</v>
      </c>
      <c r="Q248" s="509">
        <v>0.12202305602597979</v>
      </c>
      <c r="R248" s="509">
        <v>0.12156155729850587</v>
      </c>
      <c r="S248" s="509">
        <v>0.12111072431825497</v>
      </c>
      <c r="T248" s="509">
        <v>0.120670297314036</v>
      </c>
      <c r="U248" s="2083">
        <v>0.120670297314036</v>
      </c>
    </row>
    <row r="249" spans="5:21" ht="12.75" customHeight="1" x14ac:dyDescent="0.3">
      <c r="E249" s="308" t="s">
        <v>952</v>
      </c>
      <c r="F249" s="115"/>
      <c r="J249" s="151">
        <v>0</v>
      </c>
      <c r="K249" s="151">
        <v>0</v>
      </c>
      <c r="L249" s="151">
        <f t="shared" si="47"/>
        <v>0</v>
      </c>
      <c r="M249" s="151">
        <f t="shared" si="47"/>
        <v>0</v>
      </c>
      <c r="N249" s="151">
        <f t="shared" si="47"/>
        <v>0</v>
      </c>
      <c r="O249" s="547">
        <f t="shared" si="47"/>
        <v>0</v>
      </c>
      <c r="P249" s="170">
        <v>0</v>
      </c>
      <c r="Q249" s="509">
        <v>0</v>
      </c>
      <c r="R249" s="509">
        <v>0</v>
      </c>
      <c r="S249" s="509">
        <v>0</v>
      </c>
      <c r="T249" s="509">
        <v>0</v>
      </c>
      <c r="U249" s="2083">
        <v>0</v>
      </c>
    </row>
    <row r="250" spans="5:21" ht="12.75" customHeight="1" x14ac:dyDescent="0.3">
      <c r="E250" s="308" t="s">
        <v>953</v>
      </c>
      <c r="F250" s="115"/>
      <c r="J250" s="151">
        <v>0</v>
      </c>
      <c r="K250" s="151">
        <v>0</v>
      </c>
      <c r="L250" s="151">
        <f t="shared" si="47"/>
        <v>0</v>
      </c>
      <c r="M250" s="151">
        <f t="shared" si="47"/>
        <v>0</v>
      </c>
      <c r="N250" s="151">
        <f t="shared" si="47"/>
        <v>0</v>
      </c>
      <c r="O250" s="547">
        <f t="shared" si="47"/>
        <v>0</v>
      </c>
      <c r="P250" s="170">
        <v>0</v>
      </c>
      <c r="Q250" s="509">
        <v>0</v>
      </c>
      <c r="R250" s="509">
        <v>0</v>
      </c>
      <c r="S250" s="509">
        <v>0</v>
      </c>
      <c r="T250" s="509">
        <v>0</v>
      </c>
      <c r="U250" s="2083">
        <v>0</v>
      </c>
    </row>
    <row r="251" spans="5:21" ht="12.75" customHeight="1" x14ac:dyDescent="0.3">
      <c r="E251" s="115"/>
      <c r="F251" s="115"/>
      <c r="J251" s="359"/>
      <c r="K251" s="359"/>
      <c r="L251" s="151"/>
      <c r="M251" s="151"/>
      <c r="N251" s="151"/>
      <c r="O251" s="547"/>
      <c r="P251" s="170"/>
      <c r="Q251" s="170"/>
      <c r="R251" s="170"/>
      <c r="S251" s="170"/>
      <c r="T251" s="170"/>
      <c r="U251" s="2081"/>
    </row>
    <row r="252" spans="5:21" ht="12.75" customHeight="1" x14ac:dyDescent="0.3">
      <c r="E252" s="507" t="s">
        <v>954</v>
      </c>
      <c r="F252" s="115"/>
      <c r="J252" s="359"/>
      <c r="K252" s="359"/>
      <c r="L252" s="151"/>
      <c r="M252" s="151"/>
      <c r="N252" s="151"/>
      <c r="O252" s="547"/>
      <c r="P252" s="170"/>
      <c r="Q252" s="170"/>
      <c r="R252" s="170"/>
      <c r="S252" s="170"/>
      <c r="T252" s="170"/>
      <c r="U252" s="2081"/>
    </row>
    <row r="253" spans="5:21" ht="12.75" customHeight="1" x14ac:dyDescent="0.3">
      <c r="E253" s="115"/>
      <c r="F253" s="115"/>
      <c r="J253" s="359"/>
      <c r="K253" s="359"/>
      <c r="L253" s="151"/>
      <c r="M253" s="151"/>
      <c r="N253" s="151"/>
      <c r="O253" s="547"/>
      <c r="P253" s="170"/>
      <c r="Q253" s="170"/>
      <c r="R253" s="170"/>
      <c r="S253" s="170"/>
      <c r="T253" s="170"/>
      <c r="U253" s="2081"/>
    </row>
    <row r="254" spans="5:21" ht="12.75" customHeight="1" x14ac:dyDescent="0.3">
      <c r="E254" s="115" t="s">
        <v>955</v>
      </c>
      <c r="F254" s="115"/>
      <c r="J254" s="151">
        <v>4146.1136263533635</v>
      </c>
      <c r="K254" s="151">
        <v>2976.9169827744768</v>
      </c>
      <c r="L254" s="151">
        <f t="shared" ref="L254:L255" si="48">L$225*R254</f>
        <v>4574.4753661209688</v>
      </c>
      <c r="M254" s="151">
        <f t="shared" ref="M254:O255" si="49">M$225*S254</f>
        <v>4547.149989372012</v>
      </c>
      <c r="N254" s="151">
        <f t="shared" si="49"/>
        <v>4568.6601529670497</v>
      </c>
      <c r="O254" s="547">
        <f t="shared" si="49"/>
        <v>4737.6815775255072</v>
      </c>
      <c r="P254" s="170">
        <v>4.085646064597323E-2</v>
      </c>
      <c r="Q254" s="509">
        <v>3.2263457746095403E-2</v>
      </c>
      <c r="R254" s="509">
        <v>4.7579415939850316E-2</v>
      </c>
      <c r="S254" s="509">
        <v>4.5607867417297838E-2</v>
      </c>
      <c r="T254" s="509">
        <v>4.4188607727701418E-2</v>
      </c>
      <c r="U254" s="2083">
        <v>4.4188607727701418E-2</v>
      </c>
    </row>
    <row r="255" spans="5:21" ht="12.75" customHeight="1" x14ac:dyDescent="0.3">
      <c r="E255" s="115" t="s">
        <v>956</v>
      </c>
      <c r="F255" s="115"/>
      <c r="J255" s="151">
        <v>16912.822790823026</v>
      </c>
      <c r="K255" s="151">
        <v>15518.538571999999</v>
      </c>
      <c r="L255" s="151">
        <f t="shared" si="48"/>
        <v>15553.791744000004</v>
      </c>
      <c r="M255" s="151">
        <f t="shared" si="49"/>
        <v>13013.273622999999</v>
      </c>
      <c r="N255" s="151">
        <f t="shared" si="49"/>
        <v>12989.40265</v>
      </c>
      <c r="O255" s="547">
        <f t="shared" si="49"/>
        <v>13469.956525</v>
      </c>
      <c r="P255" s="170">
        <v>0.16666163569987213</v>
      </c>
      <c r="Q255" s="509">
        <v>0.168188</v>
      </c>
      <c r="R255" s="509">
        <v>0.16177600000000003</v>
      </c>
      <c r="S255" s="509">
        <v>0.130523</v>
      </c>
      <c r="T255" s="509">
        <v>0.125635</v>
      </c>
      <c r="U255" s="2083">
        <v>0.125635</v>
      </c>
    </row>
    <row r="256" spans="5:21" ht="12.75" customHeight="1" x14ac:dyDescent="0.3">
      <c r="E256" s="411"/>
      <c r="F256" s="301"/>
      <c r="G256" s="301"/>
      <c r="H256" s="359"/>
      <c r="I256" s="359"/>
      <c r="J256" s="151"/>
      <c r="K256" s="151"/>
      <c r="L256" s="151"/>
      <c r="M256" s="151"/>
      <c r="N256" s="151"/>
      <c r="O256" s="151"/>
      <c r="P256" s="151"/>
      <c r="Q256" s="1349"/>
    </row>
    <row r="257" spans="5:19" ht="12.75" customHeight="1" thickBot="1" x14ac:dyDescent="0.35">
      <c r="E257" s="301" t="s">
        <v>957</v>
      </c>
      <c r="F257" s="301"/>
      <c r="G257" s="301"/>
      <c r="H257" s="359"/>
      <c r="I257" s="359"/>
      <c r="J257" s="1745">
        <v>92419.238533402066</v>
      </c>
      <c r="K257" s="1745">
        <v>78205.375803118426</v>
      </c>
      <c r="L257" s="1745">
        <f t="shared" ref="L257:M257" si="50">SUM(L236:L256)</f>
        <v>82155.609510533963</v>
      </c>
      <c r="M257" s="1745">
        <f t="shared" si="50"/>
        <v>82140.296478614036</v>
      </c>
      <c r="N257" s="1745">
        <f t="shared" ref="N257:O257" si="51">SUM(N236:N256)</f>
        <v>84788.222984307635</v>
      </c>
      <c r="O257" s="1745">
        <f t="shared" si="51"/>
        <v>87925.034599695748</v>
      </c>
      <c r="P257" s="503"/>
      <c r="Q257" s="458"/>
    </row>
    <row r="258" spans="5:19" ht="12.75" customHeight="1" thickTop="1" x14ac:dyDescent="0.3">
      <c r="E258" s="301"/>
      <c r="F258" s="301"/>
      <c r="G258" s="301"/>
      <c r="H258" s="359"/>
      <c r="I258" s="359"/>
      <c r="J258" s="503"/>
      <c r="K258" s="503"/>
      <c r="L258" s="503"/>
      <c r="M258" s="503"/>
      <c r="N258" s="503"/>
      <c r="O258" s="503"/>
      <c r="P258" s="503"/>
      <c r="Q258" s="458"/>
    </row>
    <row r="259" spans="5:19" ht="12.75" customHeight="1" x14ac:dyDescent="0.3">
      <c r="E259" s="301" t="s">
        <v>959</v>
      </c>
      <c r="F259" s="301"/>
      <c r="G259" s="301"/>
      <c r="H259" s="359"/>
      <c r="I259" s="359"/>
      <c r="J259" s="503">
        <v>169990</v>
      </c>
      <c r="K259" s="503">
        <v>162796</v>
      </c>
      <c r="L259" s="503">
        <f t="shared" ref="L259:M259" si="52">L233</f>
        <v>168157</v>
      </c>
      <c r="M259" s="503">
        <f t="shared" si="52"/>
        <v>173339</v>
      </c>
      <c r="N259" s="503">
        <f t="shared" ref="N259:O259" si="53">N233</f>
        <v>178688</v>
      </c>
      <c r="O259" s="503">
        <f t="shared" si="53"/>
        <v>177862</v>
      </c>
      <c r="P259" s="503"/>
      <c r="Q259" s="458"/>
    </row>
    <row r="260" spans="5:19" ht="12.75" customHeight="1" x14ac:dyDescent="0.3">
      <c r="E260" s="301" t="s">
        <v>960</v>
      </c>
      <c r="F260" s="301"/>
      <c r="G260" s="301"/>
      <c r="H260" s="359"/>
      <c r="I260" s="359"/>
      <c r="J260" s="503">
        <v>92419.238533402066</v>
      </c>
      <c r="K260" s="503">
        <v>78205.375803118426</v>
      </c>
      <c r="L260" s="503">
        <f t="shared" ref="L260:M260" si="54">L257</f>
        <v>82155.609510533963</v>
      </c>
      <c r="M260" s="503">
        <f t="shared" si="54"/>
        <v>82140.296478614036</v>
      </c>
      <c r="N260" s="503">
        <f t="shared" ref="N260:O260" si="55">N257</f>
        <v>84788.222984307635</v>
      </c>
      <c r="O260" s="503">
        <f t="shared" si="55"/>
        <v>87925.034599695748</v>
      </c>
      <c r="P260" s="503"/>
    </row>
    <row r="261" spans="5:19" ht="12.75" customHeight="1" x14ac:dyDescent="0.3">
      <c r="E261" s="301" t="s">
        <v>961</v>
      </c>
      <c r="F261" s="301"/>
      <c r="G261" s="301"/>
      <c r="H261" s="359"/>
      <c r="I261" s="359"/>
      <c r="J261" s="511">
        <v>-5070056</v>
      </c>
      <c r="K261" s="511">
        <v>-5659292.4835999999</v>
      </c>
      <c r="L261" s="511">
        <f>L30+L31</f>
        <v>-6382487</v>
      </c>
      <c r="M261" s="511">
        <f>M30+M31</f>
        <v>-6979704</v>
      </c>
      <c r="N261" s="511">
        <f>N30+N31</f>
        <v>-7612928</v>
      </c>
      <c r="O261" s="511">
        <f>O30+O31</f>
        <v>-10155</v>
      </c>
      <c r="P261" s="503"/>
    </row>
    <row r="262" spans="5:19" ht="12.75" customHeight="1" x14ac:dyDescent="0.3">
      <c r="E262" s="301"/>
      <c r="F262" s="301"/>
      <c r="G262" s="301"/>
      <c r="H262" s="359"/>
      <c r="I262" s="359"/>
      <c r="J262" s="503"/>
      <c r="K262" s="503"/>
      <c r="L262" s="503"/>
      <c r="M262" s="503"/>
      <c r="N262" s="503"/>
      <c r="O262" s="503"/>
      <c r="P262" s="503"/>
    </row>
    <row r="263" spans="5:19" ht="12.75" customHeight="1" x14ac:dyDescent="0.3">
      <c r="E263" s="301"/>
      <c r="F263" s="301"/>
      <c r="G263" s="301"/>
      <c r="H263" s="359"/>
      <c r="I263" s="359"/>
      <c r="J263" s="503"/>
      <c r="K263" s="503"/>
      <c r="L263" s="503"/>
      <c r="M263" s="503"/>
      <c r="N263" s="503"/>
      <c r="O263" s="503"/>
      <c r="P263" s="503"/>
      <c r="Q263" s="149"/>
    </row>
    <row r="264" spans="5:19" ht="12.75" customHeight="1" x14ac:dyDescent="0.3">
      <c r="E264" s="301" t="s">
        <v>962</v>
      </c>
      <c r="F264" s="301"/>
      <c r="G264" s="301"/>
      <c r="H264" s="359"/>
      <c r="I264" s="359"/>
      <c r="J264" s="510">
        <v>-4807646.7614665981</v>
      </c>
      <c r="K264" s="510">
        <v>-5418291.1077968813</v>
      </c>
      <c r="L264" s="510">
        <f t="shared" ref="L264:M264" si="56">SUM(L259:L263)</f>
        <v>-6132174.3904894665</v>
      </c>
      <c r="M264" s="510">
        <f t="shared" si="56"/>
        <v>-6724224.7035213858</v>
      </c>
      <c r="N264" s="510">
        <f t="shared" ref="N264" si="57">SUM(N259:N263)</f>
        <v>-7349451.7770156926</v>
      </c>
      <c r="O264" s="510">
        <f>SUM(O259:O263)</f>
        <v>255632.03459969576</v>
      </c>
      <c r="P264" s="510"/>
    </row>
    <row r="265" spans="5:19" ht="12.75" customHeight="1" x14ac:dyDescent="0.3">
      <c r="E265" s="301"/>
      <c r="F265" s="301"/>
      <c r="G265" s="301"/>
      <c r="H265" s="359"/>
      <c r="I265" s="359"/>
      <c r="J265" s="512"/>
      <c r="K265" s="512"/>
      <c r="L265" s="512"/>
      <c r="M265" s="512"/>
      <c r="N265" s="512"/>
      <c r="O265" s="512"/>
      <c r="P265" s="1366">
        <v>0.91071382078638219</v>
      </c>
      <c r="Q265" s="514">
        <v>0.89868378535651505</v>
      </c>
      <c r="R265" s="115">
        <v>0.88228056130654664</v>
      </c>
      <c r="S265" s="115">
        <v>0.87797819413231803</v>
      </c>
    </row>
    <row r="266" spans="5:19" ht="12.75" customHeight="1" x14ac:dyDescent="0.3">
      <c r="E266" s="427"/>
      <c r="J266" s="114"/>
      <c r="K266" s="114"/>
      <c r="L266" s="114"/>
      <c r="M266" s="114"/>
      <c r="N266" s="114"/>
      <c r="O266" s="114"/>
      <c r="P266" s="458"/>
    </row>
    <row r="267" spans="5:19" ht="12.75" customHeight="1" x14ac:dyDescent="0.3">
      <c r="P267" s="458"/>
    </row>
    <row r="268" spans="5:19" ht="12.75" customHeight="1" x14ac:dyDescent="0.3">
      <c r="E268" s="601" t="s">
        <v>2046</v>
      </c>
      <c r="P268" s="458"/>
    </row>
    <row r="269" spans="5:19" ht="12.75" customHeight="1" x14ac:dyDescent="0.3">
      <c r="E269" s="115" t="s">
        <v>2047</v>
      </c>
    </row>
    <row r="270" spans="5:19" ht="12.75" customHeight="1" x14ac:dyDescent="0.3">
      <c r="E270" s="115" t="s">
        <v>2048</v>
      </c>
      <c r="I270" s="114">
        <f>I195</f>
        <v>5650000.4835999999</v>
      </c>
      <c r="J270" s="115">
        <v>5830644755.7603693</v>
      </c>
      <c r="K270" s="115" t="s">
        <v>2049</v>
      </c>
    </row>
    <row r="271" spans="5:19" ht="12.75" customHeight="1" x14ac:dyDescent="0.3">
      <c r="E271" s="115" t="s">
        <v>2050</v>
      </c>
      <c r="G271" s="114">
        <v>1292000</v>
      </c>
      <c r="H271" s="115">
        <f>+'T062'!I138</f>
        <v>1.9610000000000001E-3</v>
      </c>
      <c r="I271" s="114">
        <v>1370000</v>
      </c>
      <c r="J271" s="115">
        <v>738544474.39353096</v>
      </c>
      <c r="K271" s="115" t="s">
        <v>2049</v>
      </c>
    </row>
    <row r="272" spans="5:19" ht="12.75" customHeight="1" x14ac:dyDescent="0.3">
      <c r="E272" s="115" t="s">
        <v>2051</v>
      </c>
      <c r="G272" s="114">
        <v>1741000</v>
      </c>
      <c r="H272" s="115">
        <f>+'T062'!I131</f>
        <v>2.5720000000000001E-3</v>
      </c>
      <c r="I272" s="431">
        <v>1882000</v>
      </c>
      <c r="J272" s="115">
        <v>803243704.6521554</v>
      </c>
      <c r="K272" s="115" t="s">
        <v>2049</v>
      </c>
    </row>
    <row r="273" spans="9:16" ht="12.75" customHeight="1" x14ac:dyDescent="0.3">
      <c r="I273" s="114">
        <f>SUM(I270:I272)</f>
        <v>8902000.4835999999</v>
      </c>
    </row>
    <row r="274" spans="9:16" ht="12.75" customHeight="1" x14ac:dyDescent="0.3">
      <c r="P274" s="1367"/>
    </row>
    <row r="275" spans="9:16" ht="12.75" customHeight="1" x14ac:dyDescent="0.3">
      <c r="I275" s="114" t="e">
        <f>+J275*#REF!</f>
        <v>#REF!</v>
      </c>
      <c r="J275" s="115">
        <v>7372432934.8060551</v>
      </c>
      <c r="K275" s="115" t="s">
        <v>2052</v>
      </c>
    </row>
    <row r="277" spans="9:16" ht="12.75" customHeight="1" x14ac:dyDescent="0.3">
      <c r="I277" s="114" t="e">
        <f>+I275-I273</f>
        <v>#REF!</v>
      </c>
    </row>
  </sheetData>
  <mergeCells count="4">
    <mergeCell ref="D41:D42"/>
    <mergeCell ref="F41:F42"/>
    <mergeCell ref="G41:H42"/>
    <mergeCell ref="G171:I171"/>
  </mergeCells>
  <hyperlinks>
    <hyperlink ref="A1" location="Inhoudsopgave!A1" display="Inhoudsopgave" xr:uid="{54A06195-F9CD-44F0-A8E3-DA605D1735AA}"/>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3" manualBreakCount="3">
    <brk id="77" min="3" max="14" man="1"/>
    <brk id="148" min="3" max="14" man="1"/>
    <brk id="221" min="3"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D534-A0E2-4421-AB00-D93784F76A31}">
  <sheetPr codeName="Blad9"/>
  <dimension ref="A1:W237"/>
  <sheetViews>
    <sheetView showGridLines="0" view="pageBreakPreview" topLeftCell="D155" zoomScaleNormal="100" zoomScaleSheetLayoutView="100" workbookViewId="0"/>
  </sheetViews>
  <sheetFormatPr defaultColWidth="9.109375" defaultRowHeight="12.75" customHeight="1" x14ac:dyDescent="0.3"/>
  <cols>
    <col min="1" max="1" width="14" style="29" bestFit="1" customWidth="1"/>
    <col min="2" max="3" width="17.109375" style="115" customWidth="1"/>
    <col min="4" max="4" width="9.6640625" style="301" customWidth="1"/>
    <col min="5" max="6" width="9.6640625" style="143" customWidth="1"/>
    <col min="7" max="9" width="12.6640625" style="115" customWidth="1"/>
    <col min="10" max="15" width="11.6640625" style="115" customWidth="1"/>
    <col min="16" max="16" width="21.109375" style="115" customWidth="1"/>
    <col min="17" max="18" width="15.33203125" style="115" bestFit="1" customWidth="1"/>
    <col min="19" max="19" width="13.6640625" style="115" bestFit="1" customWidth="1"/>
    <col min="20" max="20" width="15.33203125" style="115" bestFit="1" customWidth="1"/>
    <col min="21" max="21" width="11.33203125" style="115" bestFit="1" customWidth="1"/>
    <col min="22" max="22" width="10.6640625" style="115" customWidth="1"/>
    <col min="23" max="23" width="9.44140625" style="115" bestFit="1" customWidth="1"/>
    <col min="24"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3">
      <c r="D3" s="1296"/>
      <c r="E3" s="1297"/>
      <c r="F3" s="1297"/>
      <c r="G3" s="1298"/>
      <c r="H3" s="1298"/>
      <c r="P3" s="115"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3">
      <c r="D4" s="1296"/>
      <c r="E4" s="1297"/>
      <c r="F4" s="1297"/>
      <c r="G4" s="1298"/>
      <c r="H4" s="1298"/>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3">
      <c r="D6" s="301" t="s">
        <v>66</v>
      </c>
      <c r="H6" s="115" t="s">
        <v>2053</v>
      </c>
    </row>
    <row r="18" spans="4:20" ht="12.75" customHeight="1" x14ac:dyDescent="0.3">
      <c r="D18" s="452" t="s">
        <v>507</v>
      </c>
      <c r="E18" s="438"/>
      <c r="F18" s="438"/>
      <c r="G18" s="453"/>
      <c r="H18" s="453"/>
      <c r="I18" s="453"/>
      <c r="J18" s="453"/>
      <c r="K18" s="453"/>
      <c r="L18" s="453"/>
      <c r="M18" s="453"/>
      <c r="N18" s="453"/>
      <c r="O18" s="453"/>
    </row>
    <row r="19" spans="4:20" ht="12.75" customHeight="1" x14ac:dyDescent="0.3">
      <c r="D19" s="438"/>
      <c r="E19" s="438"/>
      <c r="F19" s="438"/>
      <c r="G19" s="453"/>
      <c r="H19" s="453"/>
      <c r="I19" s="453"/>
      <c r="J19" s="453"/>
      <c r="K19" s="453"/>
      <c r="L19" s="453"/>
      <c r="M19" s="453"/>
      <c r="N19" s="453"/>
      <c r="O19" s="453"/>
    </row>
    <row r="20" spans="4:20" ht="12.75" customHeight="1" x14ac:dyDescent="0.3">
      <c r="D20" s="1746" t="s">
        <v>508</v>
      </c>
      <c r="E20" s="1747"/>
      <c r="F20" s="1747"/>
      <c r="G20" s="1748"/>
      <c r="H20" s="1748"/>
      <c r="I20" s="1749"/>
      <c r="J20" s="1749">
        <v>2025</v>
      </c>
      <c r="K20" s="1749">
        <v>2026</v>
      </c>
      <c r="L20" s="1749">
        <v>2027</v>
      </c>
      <c r="M20" s="1749">
        <v>2028</v>
      </c>
      <c r="N20" s="1749">
        <v>2029</v>
      </c>
      <c r="O20" s="1749">
        <v>2030</v>
      </c>
    </row>
    <row r="21" spans="4:20" ht="12.75" customHeight="1" x14ac:dyDescent="0.3">
      <c r="D21" s="454" t="str">
        <f>G53</f>
        <v>Directe toerekening OZB niet woningen</v>
      </c>
      <c r="E21" s="455"/>
      <c r="F21" s="456"/>
      <c r="G21" s="453"/>
      <c r="H21" s="453"/>
      <c r="I21" s="518"/>
      <c r="J21" s="28">
        <v>138814</v>
      </c>
      <c r="K21" s="28">
        <v>130667</v>
      </c>
      <c r="L21" s="28">
        <f t="shared" ref="L21:M21" si="0">L60</f>
        <v>135042</v>
      </c>
      <c r="M21" s="28">
        <f t="shared" si="0"/>
        <v>139255</v>
      </c>
      <c r="N21" s="28">
        <f t="shared" ref="N21:O21" si="1">N60</f>
        <v>143607</v>
      </c>
      <c r="O21" s="28">
        <f t="shared" si="1"/>
        <v>143871</v>
      </c>
    </row>
    <row r="22" spans="4:20" ht="12.75" customHeight="1" x14ac:dyDescent="0.3">
      <c r="D22" s="454"/>
      <c r="E22" s="455"/>
      <c r="F22" s="456"/>
      <c r="G22" s="453"/>
      <c r="H22" s="453"/>
      <c r="I22" s="518"/>
      <c r="J22" s="28"/>
      <c r="K22" s="28"/>
      <c r="L22" s="28"/>
      <c r="M22" s="28"/>
      <c r="N22" s="28"/>
      <c r="O22" s="28"/>
    </row>
    <row r="23" spans="4:20" ht="12.75" customHeight="1" x14ac:dyDescent="0.3">
      <c r="D23" s="454"/>
      <c r="E23" s="455"/>
      <c r="F23" s="456"/>
      <c r="G23" s="453"/>
      <c r="H23" s="453"/>
      <c r="I23" s="518"/>
      <c r="J23" s="28"/>
      <c r="K23" s="28"/>
      <c r="L23" s="28"/>
      <c r="M23" s="28"/>
      <c r="N23" s="28"/>
      <c r="O23" s="28"/>
    </row>
    <row r="24" spans="4:20" ht="12.75" customHeight="1" x14ac:dyDescent="0.3">
      <c r="D24" s="454"/>
      <c r="E24" s="455"/>
      <c r="F24" s="456"/>
      <c r="G24" s="453"/>
      <c r="H24" s="453"/>
      <c r="I24" s="518"/>
      <c r="J24" s="28"/>
      <c r="K24" s="28"/>
      <c r="L24" s="28"/>
      <c r="M24" s="28"/>
      <c r="N24" s="28"/>
      <c r="O24" s="28"/>
    </row>
    <row r="25" spans="4:20" ht="12.75" customHeight="1" x14ac:dyDescent="0.3">
      <c r="D25" s="454"/>
      <c r="E25" s="455"/>
      <c r="F25" s="456"/>
      <c r="G25" s="453"/>
      <c r="H25" s="453"/>
      <c r="I25" s="518"/>
      <c r="J25" s="28"/>
      <c r="K25" s="28"/>
      <c r="L25" s="28"/>
      <c r="M25" s="28"/>
      <c r="N25" s="28"/>
      <c r="O25" s="28"/>
    </row>
    <row r="26" spans="4:20" ht="12.75" customHeight="1" x14ac:dyDescent="0.3">
      <c r="D26" s="454"/>
      <c r="E26" s="455"/>
      <c r="F26" s="456"/>
      <c r="G26" s="453"/>
      <c r="H26" s="453"/>
      <c r="I26" s="518"/>
      <c r="J26" s="28"/>
      <c r="K26" s="28"/>
      <c r="L26" s="28"/>
      <c r="M26" s="28"/>
      <c r="N26" s="28"/>
      <c r="O26" s="28"/>
    </row>
    <row r="27" spans="4:20" ht="12.75" customHeight="1" x14ac:dyDescent="0.3">
      <c r="D27" s="454"/>
      <c r="E27" s="455"/>
      <c r="F27" s="456"/>
      <c r="G27" s="453"/>
      <c r="H27" s="453"/>
      <c r="I27" s="518"/>
      <c r="J27" s="28"/>
      <c r="K27" s="28"/>
      <c r="L27" s="28"/>
      <c r="M27" s="28"/>
      <c r="N27" s="28"/>
      <c r="O27" s="28"/>
    </row>
    <row r="28" spans="4:20" ht="12.75" customHeight="1" x14ac:dyDescent="0.3">
      <c r="D28" s="454"/>
      <c r="E28" s="455"/>
      <c r="F28" s="456"/>
      <c r="G28" s="453"/>
      <c r="H28" s="453"/>
      <c r="I28" s="518"/>
      <c r="J28" s="26"/>
      <c r="K28" s="26"/>
      <c r="L28" s="26"/>
      <c r="M28" s="26"/>
      <c r="N28" s="26"/>
      <c r="O28" s="26"/>
    </row>
    <row r="29" spans="4:20" ht="12.75" customHeight="1" x14ac:dyDescent="0.3">
      <c r="D29" s="1751" t="s">
        <v>525</v>
      </c>
      <c r="E29" s="1752"/>
      <c r="F29" s="1753"/>
      <c r="G29" s="1754"/>
      <c r="H29" s="1754"/>
      <c r="I29" s="1757"/>
      <c r="J29" s="1755">
        <v>138814</v>
      </c>
      <c r="K29" s="1755">
        <v>130667</v>
      </c>
      <c r="L29" s="1755">
        <f>SUM(L21:L28)</f>
        <v>135042</v>
      </c>
      <c r="M29" s="1755">
        <f>SUM(M21:M28)</f>
        <v>139255</v>
      </c>
      <c r="N29" s="1755">
        <f>SUM(N21:N28)</f>
        <v>143607</v>
      </c>
      <c r="O29" s="1755">
        <f>SUM(O21:O28)</f>
        <v>143871</v>
      </c>
    </row>
    <row r="30" spans="4:20" ht="12.75" customHeight="1" x14ac:dyDescent="0.3">
      <c r="D30" s="438"/>
      <c r="E30" s="455"/>
      <c r="F30" s="456"/>
      <c r="G30" s="453"/>
      <c r="H30" s="453"/>
      <c r="I30" s="453"/>
      <c r="J30" s="453"/>
      <c r="K30" s="453"/>
      <c r="L30" s="453"/>
      <c r="M30" s="453"/>
      <c r="N30" s="453"/>
      <c r="O30" s="453"/>
      <c r="Q30" s="114">
        <v>-342018</v>
      </c>
      <c r="R30" s="114">
        <v>-377012</v>
      </c>
      <c r="S30" s="114">
        <v>-402007</v>
      </c>
      <c r="T30" s="114">
        <v>-819149</v>
      </c>
    </row>
    <row r="31" spans="4:20" ht="12.75" customHeight="1" x14ac:dyDescent="0.3">
      <c r="D31" s="1746" t="s">
        <v>526</v>
      </c>
      <c r="E31" s="1747"/>
      <c r="F31" s="1747"/>
      <c r="G31" s="1748"/>
      <c r="H31" s="1748"/>
      <c r="I31" s="1749"/>
      <c r="J31" s="1749">
        <v>2025</v>
      </c>
      <c r="K31" s="1749">
        <v>2026</v>
      </c>
      <c r="L31" s="1749">
        <v>2027</v>
      </c>
      <c r="M31" s="1749">
        <v>2028</v>
      </c>
      <c r="N31" s="1749">
        <v>2029</v>
      </c>
      <c r="O31" s="1749">
        <v>2030</v>
      </c>
    </row>
    <row r="32" spans="4:20" ht="12.75" customHeight="1" x14ac:dyDescent="0.3">
      <c r="D32" s="454" t="str">
        <f>G63</f>
        <v>OZB gebruik niet woningen</v>
      </c>
      <c r="E32" s="455"/>
      <c r="F32" s="456"/>
      <c r="G32" s="453"/>
      <c r="H32" s="453"/>
      <c r="I32" s="518"/>
      <c r="J32" s="457">
        <v>-1537000</v>
      </c>
      <c r="K32" s="457">
        <v>-1644000</v>
      </c>
      <c r="L32" s="457">
        <f t="shared" ref="L32:M32" si="2">+L66</f>
        <v>-1851000</v>
      </c>
      <c r="M32" s="457">
        <f t="shared" si="2"/>
        <v>-2010000</v>
      </c>
      <c r="N32" s="457">
        <f t="shared" ref="N32:O32" si="3">+N66</f>
        <v>-2183000</v>
      </c>
      <c r="O32" s="457">
        <f t="shared" si="3"/>
        <v>0</v>
      </c>
    </row>
    <row r="33" spans="4:20" ht="12.75" customHeight="1" x14ac:dyDescent="0.3">
      <c r="D33" s="454" t="str">
        <f>G68</f>
        <v>OZB eigendom niet woningen</v>
      </c>
      <c r="E33" s="455"/>
      <c r="F33" s="456"/>
      <c r="G33" s="453"/>
      <c r="H33" s="453"/>
      <c r="I33" s="518"/>
      <c r="J33" s="457">
        <v>-2085000</v>
      </c>
      <c r="K33" s="457">
        <v>-2366000</v>
      </c>
      <c r="L33" s="457">
        <f t="shared" ref="L33:M33" si="4">+L71</f>
        <v>-2662000</v>
      </c>
      <c r="M33" s="457">
        <f t="shared" si="4"/>
        <v>-2887000</v>
      </c>
      <c r="N33" s="457">
        <f t="shared" ref="N33:O33" si="5">+N71</f>
        <v>-3131000</v>
      </c>
      <c r="O33" s="457">
        <f t="shared" si="5"/>
        <v>0</v>
      </c>
    </row>
    <row r="34" spans="4:20" ht="12.75" customHeight="1" x14ac:dyDescent="0.3">
      <c r="D34" s="454"/>
      <c r="E34" s="455"/>
      <c r="F34" s="456"/>
      <c r="G34" s="453"/>
      <c r="H34" s="453"/>
      <c r="I34" s="518"/>
      <c r="J34" s="463"/>
      <c r="K34" s="463"/>
      <c r="L34" s="463"/>
      <c r="M34" s="463"/>
      <c r="N34" s="463"/>
      <c r="O34" s="463"/>
    </row>
    <row r="35" spans="4:20" ht="12.75" customHeight="1" x14ac:dyDescent="0.3">
      <c r="D35" s="454"/>
      <c r="E35" s="455"/>
      <c r="F35" s="456"/>
      <c r="G35" s="453"/>
      <c r="H35" s="453"/>
      <c r="I35" s="518"/>
      <c r="J35" s="463"/>
      <c r="K35" s="463"/>
      <c r="L35" s="463"/>
      <c r="M35" s="463"/>
      <c r="N35" s="463"/>
      <c r="O35" s="463"/>
    </row>
    <row r="36" spans="4:20" ht="12.75" customHeight="1" x14ac:dyDescent="0.3">
      <c r="D36" s="454" t="s">
        <v>2054</v>
      </c>
      <c r="E36" s="455"/>
      <c r="F36" s="456"/>
      <c r="G36" s="453"/>
      <c r="H36" s="453"/>
      <c r="I36" s="518"/>
      <c r="J36" s="463">
        <v>-6037</v>
      </c>
      <c r="K36" s="463">
        <v>-6194</v>
      </c>
      <c r="L36" s="463">
        <f t="shared" ref="L36:M36" si="6">+L76</f>
        <v>-6324</v>
      </c>
      <c r="M36" s="463">
        <f t="shared" si="6"/>
        <v>-6470</v>
      </c>
      <c r="N36" s="463">
        <f t="shared" ref="N36:O36" si="7">+N76</f>
        <v>-6618</v>
      </c>
      <c r="O36" s="463">
        <f t="shared" si="7"/>
        <v>-6771</v>
      </c>
    </row>
    <row r="37" spans="4:20" ht="12.75" customHeight="1" x14ac:dyDescent="0.3">
      <c r="D37" s="454"/>
      <c r="E37" s="455"/>
      <c r="F37" s="456"/>
      <c r="G37" s="453"/>
      <c r="H37" s="453"/>
      <c r="I37" s="518"/>
      <c r="J37" s="463"/>
      <c r="K37" s="463"/>
      <c r="L37" s="463"/>
      <c r="M37" s="463"/>
      <c r="N37" s="463"/>
      <c r="O37" s="463"/>
    </row>
    <row r="38" spans="4:20" ht="12.75" customHeight="1" x14ac:dyDescent="0.3">
      <c r="D38" s="454"/>
      <c r="E38" s="455"/>
      <c r="F38" s="456"/>
      <c r="G38" s="453"/>
      <c r="H38" s="453"/>
      <c r="I38" s="518"/>
      <c r="J38" s="463"/>
      <c r="K38" s="463"/>
      <c r="L38" s="463"/>
      <c r="M38" s="463"/>
      <c r="N38" s="463"/>
      <c r="O38" s="463"/>
    </row>
    <row r="39" spans="4:20" ht="12.75" customHeight="1" x14ac:dyDescent="0.3">
      <c r="D39" s="454"/>
      <c r="E39" s="455"/>
      <c r="F39" s="456"/>
      <c r="G39" s="453"/>
      <c r="H39" s="453"/>
      <c r="I39" s="518"/>
      <c r="J39" s="463"/>
      <c r="K39" s="463"/>
      <c r="L39" s="463"/>
      <c r="M39" s="463"/>
      <c r="N39" s="463"/>
      <c r="O39" s="463"/>
    </row>
    <row r="40" spans="4:20" ht="12.75" customHeight="1" x14ac:dyDescent="0.3">
      <c r="D40" s="454"/>
      <c r="E40" s="455"/>
      <c r="F40" s="456"/>
      <c r="G40" s="453"/>
      <c r="H40" s="453"/>
      <c r="I40" s="518"/>
      <c r="J40" s="463"/>
      <c r="K40" s="463"/>
      <c r="L40" s="463"/>
      <c r="M40" s="463"/>
      <c r="N40" s="463"/>
      <c r="O40" s="463"/>
    </row>
    <row r="41" spans="4:20" ht="12.75" customHeight="1" x14ac:dyDescent="0.3">
      <c r="D41" s="464"/>
      <c r="E41" s="465"/>
      <c r="F41" s="466"/>
      <c r="G41" s="467"/>
      <c r="H41" s="467"/>
      <c r="I41" s="518"/>
      <c r="J41" s="463"/>
      <c r="K41" s="463"/>
      <c r="L41" s="463"/>
      <c r="M41" s="463"/>
      <c r="N41" s="463"/>
      <c r="O41" s="463"/>
      <c r="Q41" s="1350">
        <v>-589236.48359999992</v>
      </c>
      <c r="R41" s="1350">
        <v>-668232</v>
      </c>
      <c r="S41" s="1350">
        <v>-523227</v>
      </c>
      <c r="T41" s="1350">
        <v>-564222</v>
      </c>
    </row>
    <row r="42" spans="4:20" ht="12.75" customHeight="1" x14ac:dyDescent="0.3">
      <c r="D42" s="1751" t="s">
        <v>328</v>
      </c>
      <c r="E42" s="1752"/>
      <c r="F42" s="1753"/>
      <c r="G42" s="1754"/>
      <c r="H42" s="1754"/>
      <c r="I42" s="1757"/>
      <c r="J42" s="1755">
        <v>-3628037</v>
      </c>
      <c r="K42" s="1755">
        <v>-4016194</v>
      </c>
      <c r="L42" s="1755">
        <f>SUM(L32:L41)</f>
        <v>-4519324</v>
      </c>
      <c r="M42" s="1755">
        <f>SUM(M32:M41)</f>
        <v>-4903470</v>
      </c>
      <c r="N42" s="1755">
        <f>SUM(N32:N41)</f>
        <v>-5320618</v>
      </c>
      <c r="O42" s="1755">
        <f>SUM(O32:O41)</f>
        <v>-6771</v>
      </c>
      <c r="Q42" s="1351">
        <v>-342018</v>
      </c>
      <c r="R42" s="1351">
        <v>-377012</v>
      </c>
      <c r="S42" s="1351">
        <v>-402007</v>
      </c>
      <c r="T42" s="1351">
        <v>-819149</v>
      </c>
    </row>
    <row r="43" spans="4:20" ht="12.75" customHeight="1" x14ac:dyDescent="0.3">
      <c r="D43" s="438"/>
      <c r="E43" s="455"/>
      <c r="F43" s="456"/>
      <c r="G43" s="453"/>
      <c r="H43" s="453"/>
      <c r="I43" s="453"/>
      <c r="J43" s="469"/>
      <c r="K43" s="469"/>
      <c r="L43" s="469"/>
      <c r="M43" s="469"/>
      <c r="N43" s="469"/>
      <c r="O43" s="469"/>
      <c r="Q43" s="1352">
        <f>Q41+Q42</f>
        <v>-931254.48359999992</v>
      </c>
      <c r="R43" s="1352">
        <f t="shared" ref="R43:T43" si="8">R41+R42</f>
        <v>-1045244</v>
      </c>
      <c r="S43" s="1352">
        <f t="shared" si="8"/>
        <v>-925234</v>
      </c>
      <c r="T43" s="1352">
        <f t="shared" si="8"/>
        <v>-1383371</v>
      </c>
    </row>
    <row r="44" spans="4:20" ht="12.75" customHeight="1" x14ac:dyDescent="0.3">
      <c r="D44" s="1751" t="s">
        <v>2055</v>
      </c>
      <c r="E44" s="1756"/>
      <c r="F44" s="1756"/>
      <c r="G44" s="1754"/>
      <c r="H44" s="1754"/>
      <c r="I44" s="1754"/>
      <c r="J44" s="1758">
        <v>-3489223</v>
      </c>
      <c r="K44" s="1758">
        <v>-3885527</v>
      </c>
      <c r="L44" s="1758">
        <f>L29+L42</f>
        <v>-4384282</v>
      </c>
      <c r="M44" s="1758">
        <f>M29+M42</f>
        <v>-4764215</v>
      </c>
      <c r="N44" s="1758">
        <f>N29+N42</f>
        <v>-5177011</v>
      </c>
      <c r="O44" s="1758">
        <f>O29+O42</f>
        <v>137100</v>
      </c>
      <c r="Q44" s="1351">
        <v>370000</v>
      </c>
      <c r="R44" s="1351">
        <v>370000</v>
      </c>
      <c r="S44" s="1351">
        <v>370000</v>
      </c>
      <c r="T44" s="1351">
        <v>370000</v>
      </c>
    </row>
    <row r="45" spans="4:20" ht="12.75" customHeight="1" x14ac:dyDescent="0.3">
      <c r="D45" s="438"/>
      <c r="E45" s="455"/>
      <c r="F45" s="456"/>
      <c r="G45" s="453"/>
      <c r="H45" s="453"/>
      <c r="I45" s="453"/>
      <c r="J45" s="469"/>
      <c r="K45" s="469"/>
      <c r="L45" s="469"/>
      <c r="M45" s="469"/>
      <c r="N45" s="469"/>
      <c r="O45" s="469"/>
      <c r="Q45" s="1353">
        <f>Q43+Q44</f>
        <v>-561254.48359999992</v>
      </c>
      <c r="R45" s="1353">
        <f t="shared" ref="R45:T45" si="9">R43+R44</f>
        <v>-675244</v>
      </c>
      <c r="S45" s="1353">
        <f t="shared" si="9"/>
        <v>-555234</v>
      </c>
      <c r="T45" s="1353">
        <f t="shared" si="9"/>
        <v>-1013371</v>
      </c>
    </row>
    <row r="46" spans="4:20" ht="12.75" customHeight="1" x14ac:dyDescent="0.3">
      <c r="D46" s="438"/>
      <c r="E46" s="455"/>
      <c r="F46" s="456"/>
      <c r="G46" s="453"/>
      <c r="H46" s="453"/>
      <c r="I46" s="453"/>
      <c r="J46" s="469"/>
      <c r="K46" s="469">
        <v>-3674176</v>
      </c>
      <c r="L46" s="469">
        <v>-4142318</v>
      </c>
      <c r="M46" s="469">
        <v>-4501463</v>
      </c>
      <c r="N46" s="469">
        <v>-4501463</v>
      </c>
      <c r="O46" s="469">
        <v>0</v>
      </c>
    </row>
    <row r="47" spans="4:20" ht="12.75" customHeight="1" x14ac:dyDescent="0.3">
      <c r="D47" s="438"/>
      <c r="E47" s="455"/>
      <c r="F47" s="456"/>
      <c r="G47" s="453"/>
      <c r="H47" s="453"/>
      <c r="I47" s="453"/>
      <c r="J47" s="469"/>
      <c r="K47" s="114">
        <v>-342018</v>
      </c>
      <c r="L47" s="114">
        <f>L42-L46</f>
        <v>-377006</v>
      </c>
      <c r="M47" s="114">
        <f>M42-M46</f>
        <v>-402007</v>
      </c>
      <c r="N47" s="114">
        <f>N42-N46</f>
        <v>-819155</v>
      </c>
      <c r="O47" s="114">
        <f>O42-O46</f>
        <v>-6771</v>
      </c>
    </row>
    <row r="48" spans="4:20" ht="12.75" customHeight="1" x14ac:dyDescent="0.3">
      <c r="D48" s="312" t="s">
        <v>528</v>
      </c>
      <c r="E48" s="455"/>
      <c r="F48" s="456"/>
      <c r="G48" s="453"/>
      <c r="H48" s="453"/>
      <c r="I48" s="453"/>
      <c r="J48" s="469"/>
      <c r="K48" s="469"/>
      <c r="L48" s="469"/>
      <c r="M48" s="469"/>
      <c r="N48" s="469"/>
      <c r="O48" s="469"/>
    </row>
    <row r="49" spans="1:15" ht="12.75" customHeight="1" x14ac:dyDescent="0.3">
      <c r="D49" s="115"/>
    </row>
    <row r="50" spans="1:15" ht="12.75" customHeight="1" x14ac:dyDescent="0.25">
      <c r="A50" s="336"/>
      <c r="D50" s="2523" t="s">
        <v>529</v>
      </c>
      <c r="E50" s="1761" t="s">
        <v>530</v>
      </c>
      <c r="F50" s="2552" t="s">
        <v>531</v>
      </c>
      <c r="G50" s="2525" t="s">
        <v>206</v>
      </c>
      <c r="H50" s="2526"/>
      <c r="I50" s="1773"/>
      <c r="J50" s="1763"/>
      <c r="K50" s="1763"/>
      <c r="L50" s="1763"/>
      <c r="M50" s="1763"/>
      <c r="N50" s="1763"/>
      <c r="O50" s="1763"/>
    </row>
    <row r="51" spans="1:15" ht="12.75" customHeight="1" x14ac:dyDescent="0.25">
      <c r="A51" s="336"/>
      <c r="D51" s="2524"/>
      <c r="E51" s="472" t="s">
        <v>532</v>
      </c>
      <c r="F51" s="2553"/>
      <c r="G51" s="2527"/>
      <c r="H51" s="2528"/>
      <c r="I51" s="521"/>
      <c r="J51" s="1764">
        <v>2025</v>
      </c>
      <c r="K51" s="1764">
        <v>2026</v>
      </c>
      <c r="L51" s="1764">
        <v>2027</v>
      </c>
      <c r="M51" s="1764">
        <v>2028</v>
      </c>
      <c r="N51" s="1764">
        <v>2029</v>
      </c>
      <c r="O51" s="1764">
        <v>2028</v>
      </c>
    </row>
    <row r="52" spans="1:15" ht="12.75" customHeight="1" x14ac:dyDescent="0.3">
      <c r="D52" s="340"/>
      <c r="E52" s="340"/>
      <c r="F52" s="340"/>
      <c r="G52" s="319"/>
      <c r="I52" s="318"/>
      <c r="J52" s="317"/>
      <c r="K52" s="317"/>
      <c r="L52" s="317"/>
      <c r="M52" s="317"/>
      <c r="N52" s="317"/>
      <c r="O52" s="317"/>
    </row>
    <row r="53" spans="1:15" ht="12.75" customHeight="1" x14ac:dyDescent="0.3">
      <c r="D53" s="333">
        <v>607901</v>
      </c>
      <c r="E53" s="476"/>
      <c r="F53" s="340"/>
      <c r="G53" s="332" t="s">
        <v>2056</v>
      </c>
      <c r="I53" s="318"/>
      <c r="J53" s="317"/>
      <c r="K53" s="317"/>
      <c r="L53" s="317"/>
      <c r="M53" s="317"/>
      <c r="N53" s="317"/>
      <c r="O53" s="317"/>
    </row>
    <row r="54" spans="1:15" ht="12.75" customHeight="1" x14ac:dyDescent="0.3">
      <c r="D54" s="340"/>
      <c r="E54" s="340"/>
      <c r="F54" s="340"/>
      <c r="G54" s="334" t="s">
        <v>533</v>
      </c>
      <c r="I54" s="318"/>
      <c r="J54" s="317"/>
      <c r="K54" s="317"/>
      <c r="L54" s="317"/>
      <c r="M54" s="317"/>
      <c r="N54" s="317"/>
      <c r="O54" s="317"/>
    </row>
    <row r="55" spans="1:15" ht="12.75" customHeight="1" x14ac:dyDescent="0.3">
      <c r="A55" s="30">
        <f>D53</f>
        <v>607901</v>
      </c>
      <c r="B55" s="115" t="str">
        <f>G53</f>
        <v>Directe toerekening OZB niet woningen</v>
      </c>
      <c r="D55" s="340">
        <v>41100</v>
      </c>
      <c r="E55" s="340"/>
      <c r="F55" s="340"/>
      <c r="G55" s="319" t="s">
        <v>700</v>
      </c>
      <c r="I55" s="318"/>
      <c r="J55" s="317">
        <v>87104</v>
      </c>
      <c r="K55" s="317">
        <v>77455</v>
      </c>
      <c r="L55" s="317">
        <f t="shared" ref="L55:M55" si="10">L89</f>
        <v>80708</v>
      </c>
      <c r="M55" s="317">
        <f t="shared" si="10"/>
        <v>83694</v>
      </c>
      <c r="N55" s="317">
        <f t="shared" ref="N55:O55" si="11">N89</f>
        <v>86791</v>
      </c>
      <c r="O55" s="317">
        <f t="shared" si="11"/>
        <v>90002</v>
      </c>
    </row>
    <row r="56" spans="1:15" ht="12.75" customHeight="1" x14ac:dyDescent="0.3">
      <c r="A56" s="30">
        <f>+D53</f>
        <v>607901</v>
      </c>
      <c r="B56" s="115" t="str">
        <f>+G53</f>
        <v>Directe toerekening OZB niet woningen</v>
      </c>
      <c r="D56" s="340">
        <v>43511</v>
      </c>
      <c r="E56" s="340"/>
      <c r="F56" s="340"/>
      <c r="G56" s="319" t="s">
        <v>2057</v>
      </c>
      <c r="I56" s="318"/>
      <c r="J56" s="317">
        <v>8585</v>
      </c>
      <c r="K56" s="317">
        <v>8800</v>
      </c>
      <c r="L56" s="317">
        <f t="shared" ref="L56:M56" si="12">L96</f>
        <v>8985</v>
      </c>
      <c r="M56" s="317">
        <f t="shared" si="12"/>
        <v>9174</v>
      </c>
      <c r="N56" s="317">
        <f t="shared" ref="N56:O56" si="13">N96</f>
        <v>9366</v>
      </c>
      <c r="O56" s="317">
        <f t="shared" si="13"/>
        <v>9563</v>
      </c>
    </row>
    <row r="57" spans="1:15" ht="12.75" customHeight="1" x14ac:dyDescent="0.3">
      <c r="A57" s="30">
        <f>+D53</f>
        <v>607901</v>
      </c>
      <c r="B57" s="115" t="str">
        <f>+G53</f>
        <v>Directe toerekening OZB niet woningen</v>
      </c>
      <c r="D57" s="340">
        <v>43812</v>
      </c>
      <c r="E57" s="340"/>
      <c r="F57" s="340"/>
      <c r="G57" s="319" t="s">
        <v>2058</v>
      </c>
      <c r="I57" s="318"/>
      <c r="J57" s="317">
        <v>25179</v>
      </c>
      <c r="K57" s="317">
        <v>26000</v>
      </c>
      <c r="L57" s="317">
        <f t="shared" ref="L57:M57" si="14">L98</f>
        <v>26546</v>
      </c>
      <c r="M57" s="317">
        <f t="shared" si="14"/>
        <v>27156</v>
      </c>
      <c r="N57" s="317">
        <f t="shared" ref="N57:O57" si="15">N98</f>
        <v>27781</v>
      </c>
      <c r="O57" s="317">
        <f t="shared" si="15"/>
        <v>28420</v>
      </c>
    </row>
    <row r="58" spans="1:15" ht="12.75" customHeight="1" x14ac:dyDescent="0.3">
      <c r="A58" s="30">
        <f>+D53</f>
        <v>607901</v>
      </c>
      <c r="B58" s="115" t="str">
        <f>+G53</f>
        <v>Directe toerekening OZB niet woningen</v>
      </c>
      <c r="D58" s="340">
        <v>43812</v>
      </c>
      <c r="E58" s="340"/>
      <c r="F58" s="340"/>
      <c r="G58" s="319" t="s">
        <v>2059</v>
      </c>
      <c r="I58" s="318"/>
      <c r="J58" s="317">
        <v>17946</v>
      </c>
      <c r="K58" s="317">
        <v>18412</v>
      </c>
      <c r="L58" s="317">
        <f t="shared" ref="L58:M58" si="16">L101</f>
        <v>18803</v>
      </c>
      <c r="M58" s="317">
        <f t="shared" si="16"/>
        <v>19231</v>
      </c>
      <c r="N58" s="317">
        <f t="shared" ref="N58:O58" si="17">N101</f>
        <v>19669</v>
      </c>
      <c r="O58" s="317">
        <f t="shared" si="17"/>
        <v>15886</v>
      </c>
    </row>
    <row r="59" spans="1:15" ht="12.75" customHeight="1" x14ac:dyDescent="0.3">
      <c r="D59" s="340"/>
      <c r="E59" s="340"/>
      <c r="F59" s="340"/>
      <c r="G59" s="319"/>
      <c r="I59" s="318"/>
      <c r="J59" s="317"/>
      <c r="K59" s="317"/>
      <c r="L59" s="317"/>
      <c r="M59" s="317"/>
      <c r="N59" s="317"/>
      <c r="O59" s="317"/>
    </row>
    <row r="60" spans="1:15" ht="12.75" customHeight="1" thickBot="1" x14ac:dyDescent="0.35">
      <c r="D60" s="340"/>
      <c r="E60" s="340"/>
      <c r="F60" s="340"/>
      <c r="G60" s="319" t="s">
        <v>536</v>
      </c>
      <c r="I60" s="318"/>
      <c r="J60" s="342">
        <v>138814</v>
      </c>
      <c r="K60" s="342">
        <v>130667</v>
      </c>
      <c r="L60" s="342">
        <f t="shared" ref="L60:M60" si="18">SUM(L55:L59)</f>
        <v>135042</v>
      </c>
      <c r="M60" s="342">
        <f t="shared" si="18"/>
        <v>139255</v>
      </c>
      <c r="N60" s="342">
        <f t="shared" ref="N60:O60" si="19">SUM(N55:N59)</f>
        <v>143607</v>
      </c>
      <c r="O60" s="342">
        <f t="shared" si="19"/>
        <v>143871</v>
      </c>
    </row>
    <row r="61" spans="1:15" ht="12.75" customHeight="1" thickTop="1" x14ac:dyDescent="0.3">
      <c r="D61" s="340"/>
      <c r="E61" s="340"/>
      <c r="F61" s="340"/>
      <c r="G61" s="319"/>
      <c r="I61" s="318"/>
      <c r="J61" s="317"/>
      <c r="K61" s="317"/>
      <c r="L61" s="317"/>
      <c r="M61" s="317"/>
      <c r="N61" s="317"/>
      <c r="O61" s="317"/>
    </row>
    <row r="62" spans="1:15" ht="12.75" customHeight="1" x14ac:dyDescent="0.3">
      <c r="D62" s="340"/>
      <c r="E62" s="340"/>
      <c r="F62" s="340"/>
      <c r="G62" s="319"/>
      <c r="I62" s="318"/>
      <c r="J62" s="317"/>
      <c r="K62" s="317"/>
      <c r="L62" s="317"/>
      <c r="M62" s="317"/>
      <c r="N62" s="317"/>
      <c r="O62" s="317"/>
    </row>
    <row r="63" spans="1:15" ht="12.75" customHeight="1" x14ac:dyDescent="0.3">
      <c r="D63" s="333">
        <v>607001</v>
      </c>
      <c r="E63" s="331"/>
      <c r="F63" s="331"/>
      <c r="G63" s="332" t="s">
        <v>2060</v>
      </c>
      <c r="I63" s="318"/>
      <c r="J63" s="317"/>
      <c r="K63" s="317"/>
      <c r="L63" s="317"/>
      <c r="M63" s="317"/>
      <c r="N63" s="317"/>
      <c r="O63" s="317"/>
    </row>
    <row r="64" spans="1:15" ht="12.75" customHeight="1" x14ac:dyDescent="0.3">
      <c r="D64" s="340"/>
      <c r="E64" s="340"/>
      <c r="F64" s="340"/>
      <c r="G64" s="334" t="s">
        <v>554</v>
      </c>
      <c r="I64" s="318"/>
      <c r="J64" s="317"/>
      <c r="K64" s="317"/>
      <c r="L64" s="317"/>
      <c r="M64" s="317"/>
      <c r="N64" s="317"/>
      <c r="O64" s="317"/>
    </row>
    <row r="65" spans="1:16" ht="12.75" customHeight="1" x14ac:dyDescent="0.25">
      <c r="A65" s="229">
        <f>+D63</f>
        <v>607001</v>
      </c>
      <c r="B65" s="115" t="str">
        <f>G63</f>
        <v>OZB gebruik niet woningen</v>
      </c>
      <c r="D65" s="337">
        <v>82210</v>
      </c>
      <c r="E65" s="337"/>
      <c r="F65" s="337"/>
      <c r="G65" s="319" t="s">
        <v>1964</v>
      </c>
      <c r="I65" s="318"/>
      <c r="J65" s="317">
        <v>-1537000</v>
      </c>
      <c r="K65" s="317">
        <v>-1644000</v>
      </c>
      <c r="L65" s="317">
        <f t="shared" ref="L65:M65" si="20">+L154</f>
        <v>-1851000</v>
      </c>
      <c r="M65" s="317">
        <f t="shared" si="20"/>
        <v>-2010000</v>
      </c>
      <c r="N65" s="317">
        <f t="shared" ref="N65:O65" si="21">+N154</f>
        <v>-2183000</v>
      </c>
      <c r="O65" s="317">
        <f t="shared" si="21"/>
        <v>0</v>
      </c>
    </row>
    <row r="66" spans="1:16" ht="12.75" customHeight="1" thickBot="1" x14ac:dyDescent="0.35">
      <c r="D66" s="340"/>
      <c r="E66" s="340"/>
      <c r="F66" s="340"/>
      <c r="G66" s="319" t="s">
        <v>536</v>
      </c>
      <c r="I66" s="318"/>
      <c r="J66" s="342">
        <v>-1537000</v>
      </c>
      <c r="K66" s="342">
        <v>-1644000</v>
      </c>
      <c r="L66" s="342">
        <f t="shared" ref="L66:M66" si="22">SUM(L64:L65)</f>
        <v>-1851000</v>
      </c>
      <c r="M66" s="342">
        <f t="shared" si="22"/>
        <v>-2010000</v>
      </c>
      <c r="N66" s="342">
        <f t="shared" ref="N66:O66" si="23">SUM(N64:N65)</f>
        <v>-2183000</v>
      </c>
      <c r="O66" s="342">
        <f t="shared" si="23"/>
        <v>0</v>
      </c>
    </row>
    <row r="67" spans="1:16" ht="12.75" customHeight="1" thickTop="1" x14ac:dyDescent="0.3">
      <c r="D67" s="340"/>
      <c r="E67" s="340"/>
      <c r="F67" s="340"/>
      <c r="G67" s="319"/>
      <c r="I67" s="318"/>
      <c r="J67" s="317"/>
      <c r="K67" s="317"/>
      <c r="L67" s="317"/>
      <c r="M67" s="317"/>
      <c r="N67" s="317"/>
      <c r="O67" s="317"/>
    </row>
    <row r="68" spans="1:16" ht="12.75" customHeight="1" x14ac:dyDescent="0.3">
      <c r="D68" s="333">
        <v>607002</v>
      </c>
      <c r="E68" s="331"/>
      <c r="F68" s="331"/>
      <c r="G68" s="332" t="s">
        <v>2061</v>
      </c>
      <c r="I68" s="318"/>
      <c r="J68" s="317"/>
      <c r="K68" s="317"/>
      <c r="L68" s="317"/>
      <c r="M68" s="317"/>
      <c r="N68" s="317"/>
      <c r="O68" s="317"/>
    </row>
    <row r="69" spans="1:16" ht="12.75" customHeight="1" x14ac:dyDescent="0.3">
      <c r="D69" s="340"/>
      <c r="E69" s="340"/>
      <c r="F69" s="340"/>
      <c r="G69" s="334" t="s">
        <v>554</v>
      </c>
      <c r="I69" s="318"/>
      <c r="J69" s="317"/>
      <c r="K69" s="317"/>
      <c r="L69" s="317"/>
      <c r="M69" s="317"/>
      <c r="N69" s="317"/>
      <c r="O69" s="317"/>
    </row>
    <row r="70" spans="1:16" ht="12.75" customHeight="1" x14ac:dyDescent="0.25">
      <c r="A70" s="229">
        <f>+D68</f>
        <v>607002</v>
      </c>
      <c r="B70" s="115" t="str">
        <f>G68</f>
        <v>OZB eigendom niet woningen</v>
      </c>
      <c r="D70" s="337">
        <v>82210</v>
      </c>
      <c r="E70" s="337"/>
      <c r="F70" s="337"/>
      <c r="G70" s="319" t="s">
        <v>1964</v>
      </c>
      <c r="I70" s="318"/>
      <c r="J70" s="317">
        <v>-2085000</v>
      </c>
      <c r="K70" s="317">
        <v>-2366000</v>
      </c>
      <c r="L70" s="317">
        <f t="shared" ref="L70:M70" si="24">+L148</f>
        <v>-2662000</v>
      </c>
      <c r="M70" s="317">
        <f t="shared" si="24"/>
        <v>-2887000</v>
      </c>
      <c r="N70" s="317">
        <f t="shared" ref="N70:O70" si="25">+N148</f>
        <v>-3131000</v>
      </c>
      <c r="O70" s="317">
        <f t="shared" si="25"/>
        <v>0</v>
      </c>
    </row>
    <row r="71" spans="1:16" ht="12.75" customHeight="1" thickBot="1" x14ac:dyDescent="0.35">
      <c r="D71" s="340"/>
      <c r="E71" s="340"/>
      <c r="F71" s="340"/>
      <c r="G71" s="319" t="s">
        <v>536</v>
      </c>
      <c r="I71" s="318"/>
      <c r="J71" s="342">
        <v>-2085000</v>
      </c>
      <c r="K71" s="342">
        <v>-2366000</v>
      </c>
      <c r="L71" s="342">
        <f>SUM(L69:L70)</f>
        <v>-2662000</v>
      </c>
      <c r="M71" s="342">
        <f>SUM(M69:M70)</f>
        <v>-2887000</v>
      </c>
      <c r="N71" s="342">
        <f>SUM(N69:N70)</f>
        <v>-3131000</v>
      </c>
      <c r="O71" s="342">
        <f>SUM(O69:O70)</f>
        <v>0</v>
      </c>
      <c r="P71" s="114"/>
    </row>
    <row r="72" spans="1:16" ht="12.75" customHeight="1" thickTop="1" x14ac:dyDescent="0.3">
      <c r="D72" s="340"/>
      <c r="E72" s="340"/>
      <c r="F72" s="340"/>
      <c r="G72" s="319"/>
      <c r="I72" s="318"/>
      <c r="J72" s="317"/>
      <c r="K72" s="317"/>
      <c r="L72" s="317"/>
      <c r="M72" s="317"/>
      <c r="N72" s="317"/>
      <c r="O72" s="317"/>
    </row>
    <row r="73" spans="1:16" ht="12.75" customHeight="1" x14ac:dyDescent="0.3">
      <c r="D73" s="340"/>
      <c r="E73" s="340"/>
      <c r="F73" s="340"/>
      <c r="G73" s="319"/>
      <c r="I73" s="318"/>
      <c r="J73" s="317"/>
      <c r="K73" s="317"/>
      <c r="L73" s="317"/>
      <c r="M73" s="317"/>
      <c r="N73" s="317"/>
      <c r="O73" s="317"/>
    </row>
    <row r="74" spans="1:16" ht="12.75" customHeight="1" x14ac:dyDescent="0.3">
      <c r="D74" s="333">
        <v>607901</v>
      </c>
      <c r="E74" s="476"/>
      <c r="F74" s="340"/>
      <c r="G74" s="332" t="s">
        <v>2056</v>
      </c>
      <c r="I74" s="114"/>
      <c r="J74" s="317"/>
      <c r="K74" s="317"/>
      <c r="L74" s="317"/>
      <c r="M74" s="317"/>
      <c r="N74" s="317"/>
      <c r="O74" s="317"/>
    </row>
    <row r="75" spans="1:16" ht="12.75" customHeight="1" x14ac:dyDescent="0.3">
      <c r="A75" s="30">
        <f>+D53</f>
        <v>607901</v>
      </c>
      <c r="B75" s="115" t="str">
        <f>+G53</f>
        <v>Directe toerekening OZB niet woningen</v>
      </c>
      <c r="D75" s="340">
        <v>83800</v>
      </c>
      <c r="E75" s="340"/>
      <c r="F75" s="340"/>
      <c r="G75" s="319" t="s">
        <v>535</v>
      </c>
      <c r="I75" s="318"/>
      <c r="J75" s="317">
        <v>-6037</v>
      </c>
      <c r="K75" s="317">
        <v>-6194</v>
      </c>
      <c r="L75" s="317">
        <f>L103</f>
        <v>-6324</v>
      </c>
      <c r="M75" s="317">
        <f>M103</f>
        <v>-6470</v>
      </c>
      <c r="N75" s="317">
        <f>N103</f>
        <v>-6618</v>
      </c>
      <c r="O75" s="317">
        <f>O103</f>
        <v>-6771</v>
      </c>
    </row>
    <row r="76" spans="1:16" ht="12.75" customHeight="1" thickBot="1" x14ac:dyDescent="0.35">
      <c r="D76" s="340"/>
      <c r="E76" s="340"/>
      <c r="F76" s="340"/>
      <c r="G76" s="319" t="s">
        <v>536</v>
      </c>
      <c r="I76" s="318"/>
      <c r="J76" s="342">
        <v>-6037</v>
      </c>
      <c r="K76" s="342">
        <v>-6194</v>
      </c>
      <c r="L76" s="342">
        <f t="shared" ref="L76:M76" si="26">+L75</f>
        <v>-6324</v>
      </c>
      <c r="M76" s="342">
        <f t="shared" si="26"/>
        <v>-6470</v>
      </c>
      <c r="N76" s="342">
        <f t="shared" ref="N76:O76" si="27">+N75</f>
        <v>-6618</v>
      </c>
      <c r="O76" s="342">
        <f t="shared" si="27"/>
        <v>-6771</v>
      </c>
    </row>
    <row r="77" spans="1:16" ht="12.75" customHeight="1" thickTop="1" x14ac:dyDescent="0.3">
      <c r="D77" s="340"/>
      <c r="E77" s="340"/>
      <c r="F77" s="340"/>
      <c r="G77" s="319"/>
      <c r="I77" s="318"/>
      <c r="J77" s="317"/>
      <c r="K77" s="317"/>
      <c r="L77" s="317"/>
      <c r="M77" s="317"/>
      <c r="N77" s="317"/>
      <c r="O77" s="317"/>
    </row>
    <row r="78" spans="1:16" ht="12.75" customHeight="1" x14ac:dyDescent="0.3">
      <c r="D78" s="167"/>
      <c r="E78" s="167"/>
      <c r="F78" s="167"/>
      <c r="G78" s="168"/>
      <c r="H78" s="149"/>
      <c r="I78" s="156"/>
      <c r="J78" s="142"/>
      <c r="K78" s="142"/>
      <c r="L78" s="142"/>
      <c r="M78" s="142"/>
      <c r="N78" s="142"/>
      <c r="O78" s="142"/>
    </row>
    <row r="79" spans="1:16" ht="12.75" customHeight="1" x14ac:dyDescent="0.3">
      <c r="D79" s="384"/>
      <c r="E79" s="384"/>
      <c r="F79" s="384"/>
      <c r="G79" s="383"/>
      <c r="I79" s="154"/>
    </row>
    <row r="80" spans="1:16" ht="12.75" customHeight="1" x14ac:dyDescent="0.3">
      <c r="D80" s="384"/>
      <c r="E80" s="384"/>
      <c r="F80" s="384"/>
      <c r="I80" s="114"/>
      <c r="J80" s="114"/>
      <c r="K80" s="114"/>
      <c r="L80" s="114"/>
      <c r="M80" s="114"/>
      <c r="N80" s="114"/>
      <c r="O80" s="114"/>
    </row>
    <row r="81" spans="1:16" ht="12.75" customHeight="1" x14ac:dyDescent="0.25">
      <c r="A81" s="306"/>
      <c r="I81" s="114"/>
      <c r="J81" s="114"/>
      <c r="K81" s="114"/>
      <c r="L81" s="114"/>
      <c r="M81" s="114"/>
      <c r="N81" s="114"/>
      <c r="O81" s="114"/>
    </row>
    <row r="82" spans="1:16" ht="12.75" customHeight="1" x14ac:dyDescent="0.25">
      <c r="A82" s="306"/>
      <c r="I82" s="114"/>
      <c r="J82" s="114"/>
      <c r="K82" s="114"/>
      <c r="L82" s="114"/>
      <c r="M82" s="114"/>
      <c r="N82" s="114"/>
      <c r="O82" s="114"/>
    </row>
    <row r="83" spans="1:16" ht="12.75" customHeight="1" x14ac:dyDescent="0.25">
      <c r="A83" s="306"/>
      <c r="D83" s="381" t="s">
        <v>561</v>
      </c>
      <c r="I83" s="114"/>
      <c r="J83" s="114"/>
      <c r="K83" s="114"/>
      <c r="L83" s="114"/>
      <c r="M83" s="114"/>
      <c r="N83" s="114"/>
      <c r="O83" s="114"/>
    </row>
    <row r="84" spans="1:16" ht="12.75" customHeight="1" x14ac:dyDescent="0.25">
      <c r="A84" s="306"/>
      <c r="I84" s="114"/>
      <c r="J84" s="114"/>
      <c r="K84" s="114"/>
      <c r="L84" s="114"/>
      <c r="M84" s="114"/>
      <c r="N84" s="114"/>
      <c r="O84" s="114"/>
    </row>
    <row r="85" spans="1:16" ht="12.75" customHeight="1" x14ac:dyDescent="0.25">
      <c r="A85" s="306"/>
      <c r="D85" s="393">
        <v>607901</v>
      </c>
      <c r="E85" s="312" t="s">
        <v>2062</v>
      </c>
      <c r="I85" s="114"/>
      <c r="J85" s="1848">
        <v>2025</v>
      </c>
      <c r="K85" s="1848">
        <v>2026</v>
      </c>
      <c r="L85" s="1848">
        <v>2027</v>
      </c>
      <c r="M85" s="1848">
        <v>2028</v>
      </c>
      <c r="N85" s="1848">
        <v>2029</v>
      </c>
      <c r="O85" s="1848">
        <v>2028</v>
      </c>
    </row>
    <row r="86" spans="1:16" ht="12.75" customHeight="1" x14ac:dyDescent="0.25">
      <c r="A86" s="306"/>
      <c r="E86" s="396" t="s">
        <v>533</v>
      </c>
      <c r="I86" s="114"/>
      <c r="J86" s="114"/>
      <c r="K86" s="114"/>
      <c r="L86" s="114"/>
      <c r="M86" s="114"/>
      <c r="N86" s="114"/>
      <c r="O86" s="114"/>
    </row>
    <row r="87" spans="1:16" ht="12.75" customHeight="1" x14ac:dyDescent="0.25">
      <c r="A87" s="115"/>
      <c r="D87" s="143">
        <v>41100</v>
      </c>
      <c r="E87" s="115" t="s">
        <v>541</v>
      </c>
      <c r="F87" s="115"/>
      <c r="G87" s="114"/>
    </row>
    <row r="88" spans="1:16" ht="12.75" customHeight="1" x14ac:dyDescent="0.25">
      <c r="A88" s="115"/>
      <c r="D88" s="143"/>
      <c r="E88" s="308" t="s">
        <v>1999</v>
      </c>
      <c r="F88" s="115"/>
      <c r="G88" s="114"/>
      <c r="H88" s="114"/>
      <c r="I88" s="114"/>
      <c r="J88" s="114">
        <v>87104</v>
      </c>
      <c r="K88" s="114">
        <v>77455</v>
      </c>
      <c r="L88" s="114">
        <f>ROUND(K88*T$3,0)</f>
        <v>80708</v>
      </c>
      <c r="M88" s="114">
        <f>ROUND(L88*U$3,0)</f>
        <v>83694</v>
      </c>
      <c r="N88" s="114">
        <f>ROUND(M88*V$3,0)</f>
        <v>86791</v>
      </c>
      <c r="O88" s="114">
        <f>ROUND(N88*W$3,0)</f>
        <v>90002</v>
      </c>
    </row>
    <row r="89" spans="1:16" ht="12.75" customHeight="1" thickBot="1" x14ac:dyDescent="0.3">
      <c r="A89" s="115"/>
      <c r="D89" s="384"/>
      <c r="E89" s="115" t="str">
        <f>"Totaal "&amp;D87</f>
        <v>Totaal 41100</v>
      </c>
      <c r="F89" s="115"/>
      <c r="G89" s="114"/>
      <c r="H89" s="114"/>
      <c r="I89" s="114"/>
      <c r="J89" s="1744">
        <v>87104</v>
      </c>
      <c r="K89" s="1744">
        <v>77455</v>
      </c>
      <c r="L89" s="1744">
        <f>SUM(L88:L88)</f>
        <v>80708</v>
      </c>
      <c r="M89" s="1744">
        <f>SUM(M88:M88)</f>
        <v>83694</v>
      </c>
      <c r="N89" s="1744">
        <f>SUM(N88:N88)</f>
        <v>86791</v>
      </c>
      <c r="O89" s="1744">
        <f>SUM(O88:O88)</f>
        <v>90002</v>
      </c>
    </row>
    <row r="90" spans="1:16" ht="12.75" customHeight="1" thickTop="1" x14ac:dyDescent="0.25">
      <c r="A90" s="306"/>
      <c r="E90" s="396"/>
      <c r="I90" s="114"/>
      <c r="J90" s="114"/>
      <c r="K90" s="114"/>
      <c r="L90" s="114"/>
      <c r="M90" s="114"/>
      <c r="N90" s="114"/>
      <c r="O90" s="114"/>
    </row>
    <row r="91" spans="1:16" ht="12.75" customHeight="1" x14ac:dyDescent="0.25">
      <c r="A91" s="306"/>
      <c r="E91" s="301" t="s">
        <v>2063</v>
      </c>
      <c r="I91" s="114"/>
      <c r="J91" s="114"/>
      <c r="K91" s="114"/>
      <c r="L91" s="114"/>
      <c r="M91" s="114"/>
      <c r="N91" s="114"/>
      <c r="O91" s="114"/>
    </row>
    <row r="92" spans="1:16" ht="12.75" customHeight="1" x14ac:dyDescent="0.25">
      <c r="A92" s="306"/>
      <c r="E92" s="396" t="s">
        <v>2064</v>
      </c>
      <c r="I92" s="114"/>
      <c r="J92" s="114"/>
      <c r="K92" s="114"/>
      <c r="L92" s="114"/>
      <c r="M92" s="114"/>
      <c r="N92" s="114"/>
      <c r="O92" s="114"/>
    </row>
    <row r="93" spans="1:16" ht="12.75" customHeight="1" x14ac:dyDescent="0.25">
      <c r="A93" s="306"/>
      <c r="E93" s="301" t="s">
        <v>2065</v>
      </c>
      <c r="I93" s="114"/>
      <c r="J93" s="114"/>
      <c r="K93" s="114"/>
      <c r="L93" s="114"/>
      <c r="M93" s="114"/>
      <c r="N93" s="114"/>
      <c r="O93" s="114"/>
    </row>
    <row r="94" spans="1:16" ht="12.75" customHeight="1" x14ac:dyDescent="0.25">
      <c r="A94" s="306"/>
      <c r="E94" s="396"/>
      <c r="I94" s="114"/>
      <c r="J94" s="114"/>
      <c r="K94" s="114"/>
      <c r="L94" s="114"/>
      <c r="M94" s="114"/>
      <c r="N94" s="114"/>
      <c r="O94" s="114"/>
    </row>
    <row r="95" spans="1:16" ht="12.75" customHeight="1" x14ac:dyDescent="0.25">
      <c r="A95" s="306"/>
      <c r="E95" s="396" t="s">
        <v>2066</v>
      </c>
      <c r="I95" s="114"/>
      <c r="J95" s="114"/>
      <c r="K95" s="114"/>
      <c r="L95" s="114"/>
      <c r="M95" s="114"/>
      <c r="N95" s="114"/>
      <c r="O95" s="114"/>
    </row>
    <row r="96" spans="1:16" ht="12.75" customHeight="1" thickBot="1" x14ac:dyDescent="0.3">
      <c r="A96" s="306"/>
      <c r="D96" s="143">
        <v>43511</v>
      </c>
      <c r="E96" s="301" t="s">
        <v>2067</v>
      </c>
      <c r="I96" s="114"/>
      <c r="J96" s="1744">
        <v>8585</v>
      </c>
      <c r="K96" s="1744">
        <v>8800</v>
      </c>
      <c r="L96" s="1744">
        <f>-'T061'!L106</f>
        <v>8985</v>
      </c>
      <c r="M96" s="1744">
        <f>-'T061'!M106</f>
        <v>9174</v>
      </c>
      <c r="N96" s="1744">
        <f>-'T061'!N106</f>
        <v>9366</v>
      </c>
      <c r="O96" s="1744">
        <f>-'T061'!O106</f>
        <v>9563</v>
      </c>
      <c r="P96" s="115">
        <v>4041</v>
      </c>
    </row>
    <row r="97" spans="1:16" ht="12.75" customHeight="1" thickTop="1" x14ac:dyDescent="0.25">
      <c r="A97" s="306"/>
      <c r="D97" s="143"/>
      <c r="E97" s="301"/>
      <c r="I97" s="114"/>
      <c r="J97" s="114"/>
      <c r="K97" s="114"/>
      <c r="L97" s="114"/>
      <c r="M97" s="114"/>
      <c r="N97" s="114"/>
      <c r="O97" s="114"/>
    </row>
    <row r="98" spans="1:16" ht="12.75" customHeight="1" thickBot="1" x14ac:dyDescent="0.3">
      <c r="A98" s="306"/>
      <c r="D98" s="143">
        <v>43812</v>
      </c>
      <c r="E98" s="301" t="s">
        <v>2068</v>
      </c>
      <c r="I98" s="114"/>
      <c r="J98" s="1744">
        <v>25179</v>
      </c>
      <c r="K98" s="1744">
        <v>26000</v>
      </c>
      <c r="L98" s="1744">
        <f>-'T061'!L108</f>
        <v>26546</v>
      </c>
      <c r="M98" s="1744">
        <f>-'T061'!M108</f>
        <v>27156</v>
      </c>
      <c r="N98" s="1744">
        <f>-'T061'!N108</f>
        <v>27781</v>
      </c>
      <c r="O98" s="1744">
        <f>-'T061'!O108</f>
        <v>28420</v>
      </c>
      <c r="P98" s="115">
        <v>22747</v>
      </c>
    </row>
    <row r="99" spans="1:16" ht="12.75" customHeight="1" thickTop="1" x14ac:dyDescent="0.25">
      <c r="A99" s="306"/>
      <c r="E99" s="301"/>
      <c r="I99" s="114"/>
      <c r="J99" s="114"/>
      <c r="K99" s="114"/>
      <c r="L99" s="114"/>
      <c r="M99" s="114"/>
      <c r="N99" s="114"/>
      <c r="O99" s="114"/>
    </row>
    <row r="100" spans="1:16" ht="12.75" customHeight="1" x14ac:dyDescent="0.25">
      <c r="A100" s="306"/>
      <c r="E100" s="396" t="s">
        <v>2069</v>
      </c>
      <c r="I100" s="114"/>
      <c r="J100" s="114"/>
      <c r="K100" s="114"/>
      <c r="L100" s="114"/>
      <c r="M100" s="114"/>
      <c r="N100" s="114"/>
      <c r="O100" s="114"/>
    </row>
    <row r="101" spans="1:16" ht="12.75" customHeight="1" thickBot="1" x14ac:dyDescent="0.3">
      <c r="A101" s="306"/>
      <c r="D101" s="143">
        <v>43812</v>
      </c>
      <c r="E101" s="301" t="s">
        <v>2070</v>
      </c>
      <c r="I101" s="114"/>
      <c r="J101" s="1744">
        <v>17946</v>
      </c>
      <c r="K101" s="1744">
        <v>18412</v>
      </c>
      <c r="L101" s="1744">
        <f>-'T061'!L136</f>
        <v>18803</v>
      </c>
      <c r="M101" s="1744">
        <f>-'T061'!M136</f>
        <v>19231</v>
      </c>
      <c r="N101" s="1744">
        <f>-'T061'!N136</f>
        <v>19669</v>
      </c>
      <c r="O101" s="1744">
        <f>-'T061'!O136</f>
        <v>15886</v>
      </c>
      <c r="P101" s="115">
        <v>14597</v>
      </c>
    </row>
    <row r="102" spans="1:16" ht="12.75" customHeight="1" thickTop="1" x14ac:dyDescent="0.25">
      <c r="A102" s="306"/>
      <c r="E102" s="301"/>
      <c r="I102" s="114"/>
      <c r="J102" s="114"/>
      <c r="K102" s="114"/>
      <c r="L102" s="114"/>
      <c r="M102" s="114"/>
      <c r="N102" s="114"/>
      <c r="O102" s="114"/>
    </row>
    <row r="103" spans="1:16" ht="12.75" customHeight="1" thickBot="1" x14ac:dyDescent="0.3">
      <c r="A103" s="306"/>
      <c r="D103" s="143">
        <v>83800</v>
      </c>
      <c r="E103" s="301" t="s">
        <v>2054</v>
      </c>
      <c r="I103" s="114"/>
      <c r="J103" s="1744">
        <v>-6037</v>
      </c>
      <c r="K103" s="1744">
        <v>-6194</v>
      </c>
      <c r="L103" s="1744">
        <f>-'T061'!L167</f>
        <v>-6324</v>
      </c>
      <c r="M103" s="1744">
        <f>-'T061'!M167</f>
        <v>-6470</v>
      </c>
      <c r="N103" s="1744">
        <f>-'T061'!N167</f>
        <v>-6618</v>
      </c>
      <c r="O103" s="1744">
        <f>-'T061'!O167</f>
        <v>-6771</v>
      </c>
      <c r="P103" s="115">
        <v>-5616</v>
      </c>
    </row>
    <row r="104" spans="1:16" ht="12.75" customHeight="1" thickTop="1" x14ac:dyDescent="0.25">
      <c r="A104" s="306"/>
      <c r="E104" s="301"/>
      <c r="I104" s="114"/>
      <c r="J104" s="114"/>
      <c r="K104" s="114"/>
      <c r="L104" s="114"/>
      <c r="M104" s="114"/>
      <c r="N104" s="114"/>
      <c r="O104" s="114"/>
    </row>
    <row r="105" spans="1:16" ht="12.75" customHeight="1" x14ac:dyDescent="0.25">
      <c r="A105" s="306"/>
      <c r="D105" s="393">
        <v>607001</v>
      </c>
      <c r="E105" s="381" t="s">
        <v>2060</v>
      </c>
      <c r="I105" s="114"/>
      <c r="J105" s="1848">
        <v>2025</v>
      </c>
      <c r="K105" s="1848">
        <v>2026</v>
      </c>
      <c r="L105" s="1848">
        <v>2027</v>
      </c>
      <c r="M105" s="1848">
        <v>2028</v>
      </c>
      <c r="N105" s="1848">
        <v>2029</v>
      </c>
      <c r="O105" s="1848">
        <v>2030</v>
      </c>
    </row>
    <row r="106" spans="1:16" ht="12.75" customHeight="1" x14ac:dyDescent="0.3">
      <c r="D106" s="393">
        <v>607002</v>
      </c>
      <c r="E106" s="410" t="s">
        <v>2061</v>
      </c>
      <c r="F106" s="401"/>
      <c r="H106" s="114"/>
      <c r="I106" s="114"/>
    </row>
    <row r="107" spans="1:16" ht="12.75" customHeight="1" x14ac:dyDescent="0.3">
      <c r="D107" s="143">
        <v>82210</v>
      </c>
      <c r="E107" s="1063" t="s">
        <v>554</v>
      </c>
      <c r="F107" s="401"/>
      <c r="G107" s="114"/>
      <c r="H107" s="114"/>
      <c r="I107" s="114"/>
    </row>
    <row r="108" spans="1:16" ht="12.75" customHeight="1" x14ac:dyDescent="0.3">
      <c r="D108" s="1195" t="s">
        <v>2008</v>
      </c>
      <c r="E108" s="1354"/>
      <c r="F108" s="1354"/>
      <c r="I108" s="114"/>
      <c r="J108" s="114"/>
      <c r="K108" s="114"/>
      <c r="L108" s="114"/>
      <c r="M108" s="114"/>
      <c r="N108" s="114"/>
      <c r="O108" s="114"/>
    </row>
    <row r="109" spans="1:16" ht="12.75" customHeight="1" x14ac:dyDescent="0.3">
      <c r="D109" s="312" t="s">
        <v>2071</v>
      </c>
      <c r="E109" s="382"/>
      <c r="F109" s="382"/>
      <c r="I109" s="114"/>
      <c r="J109" s="114"/>
      <c r="K109" s="114"/>
      <c r="L109" s="114"/>
      <c r="M109" s="114"/>
      <c r="N109" s="114"/>
      <c r="O109" s="114"/>
    </row>
    <row r="110" spans="1:16" ht="12.75" customHeight="1" x14ac:dyDescent="0.3">
      <c r="D110" s="301" t="s">
        <v>2072</v>
      </c>
      <c r="I110" s="114"/>
      <c r="J110" s="114"/>
      <c r="K110" s="114"/>
      <c r="L110" s="114"/>
      <c r="M110" s="114"/>
      <c r="N110" s="114"/>
      <c r="O110" s="114"/>
    </row>
    <row r="111" spans="1:16" ht="12.75" customHeight="1" x14ac:dyDescent="0.3">
      <c r="D111" s="301" t="s">
        <v>2073</v>
      </c>
      <c r="I111" s="114"/>
      <c r="J111" s="114"/>
      <c r="K111" s="114"/>
      <c r="L111" s="114"/>
      <c r="M111" s="114"/>
      <c r="N111" s="114"/>
      <c r="O111" s="114"/>
    </row>
    <row r="112" spans="1:16" ht="12.75" customHeight="1" x14ac:dyDescent="0.3">
      <c r="I112" s="114"/>
      <c r="J112" s="114"/>
      <c r="K112" s="114"/>
      <c r="L112" s="114"/>
      <c r="M112" s="114"/>
      <c r="N112" s="114"/>
      <c r="O112" s="114"/>
    </row>
    <row r="113" spans="4:15" ht="12.75" customHeight="1" x14ac:dyDescent="0.3">
      <c r="D113" s="301" t="s">
        <v>2011</v>
      </c>
      <c r="I113" s="114"/>
      <c r="J113" s="114"/>
      <c r="K113" s="114"/>
      <c r="L113" s="114"/>
      <c r="M113" s="114"/>
      <c r="N113" s="114"/>
      <c r="O113" s="114"/>
    </row>
    <row r="114" spans="4:15" ht="12.75" customHeight="1" x14ac:dyDescent="0.3">
      <c r="I114" s="114"/>
      <c r="J114" s="114"/>
      <c r="K114" s="114"/>
      <c r="L114" s="114"/>
      <c r="M114" s="114"/>
      <c r="N114" s="114"/>
      <c r="O114" s="114"/>
    </row>
    <row r="115" spans="4:15" ht="12.75" customHeight="1" x14ac:dyDescent="0.3">
      <c r="D115" s="312" t="s">
        <v>2071</v>
      </c>
      <c r="E115" s="382"/>
      <c r="F115" s="382"/>
      <c r="I115" s="114"/>
      <c r="J115" s="114"/>
      <c r="K115" s="114"/>
      <c r="L115" s="114"/>
      <c r="M115" s="114"/>
      <c r="N115" s="114"/>
      <c r="O115" s="114"/>
    </row>
    <row r="116" spans="4:15" ht="12.75" customHeight="1" x14ac:dyDescent="0.3">
      <c r="I116" s="114"/>
      <c r="J116" s="114"/>
      <c r="K116" s="114"/>
      <c r="L116" s="114"/>
      <c r="M116" s="114"/>
      <c r="N116" s="114"/>
      <c r="O116" s="114"/>
    </row>
    <row r="117" spans="4:15" ht="12.75" customHeight="1" x14ac:dyDescent="0.3">
      <c r="D117" s="301" t="s">
        <v>2074</v>
      </c>
      <c r="I117" s="114">
        <f>818895000+7406000</f>
        <v>826301000</v>
      </c>
      <c r="J117" s="114"/>
      <c r="K117" s="114"/>
      <c r="L117" s="114"/>
      <c r="M117" s="114"/>
      <c r="N117" s="114"/>
      <c r="O117" s="114"/>
    </row>
    <row r="118" spans="4:15" ht="12.75" customHeight="1" x14ac:dyDescent="0.3">
      <c r="D118" s="301" t="s">
        <v>2075</v>
      </c>
      <c r="I118" s="114">
        <v>7406000</v>
      </c>
      <c r="J118" s="114"/>
      <c r="K118" s="114"/>
      <c r="L118" s="114"/>
      <c r="M118" s="114"/>
      <c r="N118" s="114"/>
      <c r="O118" s="114"/>
    </row>
    <row r="119" spans="4:15" ht="12.75" customHeight="1" x14ac:dyDescent="0.3">
      <c r="D119" s="301" t="s">
        <v>2074</v>
      </c>
      <c r="I119" s="114">
        <f>SUM(I117:I118)</f>
        <v>833707000</v>
      </c>
      <c r="J119" s="114"/>
      <c r="K119" s="114"/>
      <c r="L119" s="114"/>
      <c r="M119" s="114"/>
      <c r="N119" s="114"/>
      <c r="O119" s="114"/>
    </row>
    <row r="120" spans="4:15" ht="12.75" customHeight="1" x14ac:dyDescent="0.3">
      <c r="D120" s="301" t="s">
        <v>2015</v>
      </c>
      <c r="I120" s="431">
        <v>-4094475</v>
      </c>
      <c r="J120" s="114"/>
      <c r="K120" s="114"/>
      <c r="L120" s="114"/>
      <c r="M120" s="114"/>
      <c r="N120" s="114"/>
      <c r="O120" s="114"/>
    </row>
    <row r="121" spans="4:15" ht="12.75" customHeight="1" x14ac:dyDescent="0.3">
      <c r="D121" s="301" t="s">
        <v>2076</v>
      </c>
      <c r="I121" s="114">
        <f>SUM(I119:I120)</f>
        <v>829612525</v>
      </c>
      <c r="J121" s="114"/>
      <c r="K121" s="114"/>
      <c r="L121" s="114"/>
      <c r="M121" s="114"/>
      <c r="N121" s="114"/>
      <c r="O121" s="114"/>
    </row>
    <row r="122" spans="4:15" ht="12.75" customHeight="1" x14ac:dyDescent="0.3">
      <c r="I122" s="114"/>
      <c r="J122" s="114"/>
      <c r="K122" s="114"/>
      <c r="L122" s="114"/>
      <c r="M122" s="114"/>
      <c r="N122" s="114"/>
      <c r="O122" s="114"/>
    </row>
    <row r="123" spans="4:15" ht="12.75" customHeight="1" x14ac:dyDescent="0.3">
      <c r="D123" s="301" t="s">
        <v>2077</v>
      </c>
      <c r="I123" s="114">
        <v>-53136720</v>
      </c>
      <c r="J123" s="114"/>
      <c r="K123" s="114"/>
      <c r="L123" s="114"/>
      <c r="M123" s="114"/>
      <c r="N123" s="114"/>
      <c r="O123" s="114"/>
    </row>
    <row r="124" spans="4:15" ht="12.75" customHeight="1" x14ac:dyDescent="0.3">
      <c r="D124" s="301" t="s">
        <v>2078</v>
      </c>
      <c r="I124" s="114">
        <f>4094475-3964345+208999</f>
        <v>339129</v>
      </c>
      <c r="J124" s="114"/>
      <c r="K124" s="114"/>
      <c r="L124" s="114"/>
      <c r="M124" s="114"/>
      <c r="N124" s="114"/>
      <c r="O124" s="114"/>
    </row>
    <row r="125" spans="4:15" ht="12.75" customHeight="1" x14ac:dyDescent="0.3">
      <c r="D125" s="301" t="s">
        <v>2079</v>
      </c>
      <c r="I125" s="114">
        <v>-39999</v>
      </c>
      <c r="J125" s="114"/>
      <c r="K125" s="114"/>
      <c r="L125" s="114"/>
      <c r="M125" s="114"/>
      <c r="N125" s="114"/>
      <c r="O125" s="114"/>
    </row>
    <row r="126" spans="4:15" ht="12.75" customHeight="1" x14ac:dyDescent="0.3">
      <c r="D126" s="301" t="s">
        <v>2080</v>
      </c>
      <c r="I126" s="431">
        <v>-26195000</v>
      </c>
      <c r="J126" s="114"/>
      <c r="K126" s="114"/>
      <c r="L126" s="114"/>
      <c r="M126" s="114"/>
      <c r="N126" s="114"/>
      <c r="O126" s="114"/>
    </row>
    <row r="127" spans="4:15" ht="12.75" customHeight="1" x14ac:dyDescent="0.3">
      <c r="D127" s="301" t="s">
        <v>2081</v>
      </c>
      <c r="I127" s="114">
        <f>SUM(I121:I126)</f>
        <v>750579935</v>
      </c>
      <c r="J127" s="114"/>
      <c r="K127" s="114"/>
      <c r="L127" s="114"/>
      <c r="M127" s="114"/>
      <c r="N127" s="114"/>
      <c r="O127" s="114"/>
    </row>
    <row r="128" spans="4:15" ht="12.75" customHeight="1" x14ac:dyDescent="0.3">
      <c r="I128" s="114"/>
      <c r="J128" s="114"/>
      <c r="K128" s="114"/>
      <c r="L128" s="114"/>
      <c r="M128" s="114"/>
      <c r="N128" s="114"/>
      <c r="O128" s="114"/>
    </row>
    <row r="129" spans="4:15" ht="12.75" customHeight="1" x14ac:dyDescent="0.3">
      <c r="D129" s="1355" t="s">
        <v>2017</v>
      </c>
      <c r="E129" s="1356"/>
      <c r="F129" s="1356"/>
      <c r="I129" s="114"/>
      <c r="J129" s="114"/>
      <c r="K129" s="114"/>
      <c r="L129" s="114"/>
      <c r="M129" s="114"/>
      <c r="N129" s="114"/>
      <c r="O129" s="114"/>
    </row>
    <row r="130" spans="4:15" ht="12.75" customHeight="1" x14ac:dyDescent="0.3">
      <c r="D130" s="411" t="s">
        <v>2082</v>
      </c>
      <c r="E130" s="384"/>
      <c r="F130" s="384"/>
      <c r="I130" s="114">
        <f>I121</f>
        <v>829612525</v>
      </c>
      <c r="J130" s="114"/>
      <c r="K130" s="114"/>
      <c r="L130" s="114"/>
      <c r="M130" s="114"/>
      <c r="N130" s="114"/>
      <c r="O130" s="114"/>
    </row>
    <row r="131" spans="4:15" ht="12.75" customHeight="1" x14ac:dyDescent="0.3">
      <c r="D131" s="411" t="s">
        <v>2019</v>
      </c>
      <c r="E131" s="384"/>
      <c r="F131" s="384"/>
      <c r="H131" s="633"/>
      <c r="I131" s="508">
        <v>2.5720000000000001E-3</v>
      </c>
      <c r="J131" s="114"/>
      <c r="K131" s="114"/>
      <c r="L131" s="114"/>
      <c r="M131" s="114"/>
      <c r="N131" s="114"/>
      <c r="O131" s="114"/>
    </row>
    <row r="132" spans="4:15" ht="12.75" customHeight="1" x14ac:dyDescent="0.3">
      <c r="D132" s="115"/>
      <c r="E132" s="400"/>
      <c r="F132" s="400"/>
      <c r="I132" s="564">
        <f>ROUND(I130*I131,0)</f>
        <v>2133763</v>
      </c>
      <c r="J132" s="114"/>
      <c r="K132" s="114"/>
      <c r="L132" s="114"/>
      <c r="M132" s="114"/>
      <c r="N132" s="114"/>
      <c r="O132" s="114"/>
    </row>
    <row r="133" spans="4:15" ht="12.75" customHeight="1" x14ac:dyDescent="0.3">
      <c r="D133" s="115" t="s">
        <v>2020</v>
      </c>
      <c r="E133" s="400"/>
      <c r="F133" s="400"/>
      <c r="I133" s="114">
        <v>-18763</v>
      </c>
      <c r="J133" s="114"/>
      <c r="K133" s="114"/>
      <c r="L133" s="114"/>
      <c r="M133" s="114"/>
      <c r="N133" s="114"/>
      <c r="O133" s="114"/>
    </row>
    <row r="134" spans="4:15" ht="12.75" customHeight="1" thickBot="1" x14ac:dyDescent="0.35">
      <c r="D134" s="301" t="s">
        <v>2083</v>
      </c>
      <c r="I134" s="1744">
        <f>SUM(I132:I133)</f>
        <v>2115000</v>
      </c>
      <c r="J134" s="114" t="s">
        <v>2084</v>
      </c>
      <c r="K134" s="114"/>
      <c r="L134" s="114"/>
      <c r="M134" s="114"/>
      <c r="N134" s="114"/>
      <c r="O134" s="114"/>
    </row>
    <row r="135" spans="4:15" ht="12.75" customHeight="1" thickTop="1" x14ac:dyDescent="0.3">
      <c r="I135" s="114"/>
      <c r="J135" s="114"/>
      <c r="K135" s="114"/>
      <c r="L135" s="114"/>
      <c r="M135" s="114"/>
      <c r="N135" s="114"/>
      <c r="O135" s="114"/>
    </row>
    <row r="136" spans="4:15" ht="12.75" customHeight="1" x14ac:dyDescent="0.3">
      <c r="D136" s="1355" t="s">
        <v>2085</v>
      </c>
      <c r="E136" s="1356"/>
      <c r="F136" s="1356"/>
      <c r="I136" s="114"/>
      <c r="J136" s="114"/>
      <c r="K136" s="114"/>
      <c r="L136" s="114"/>
      <c r="M136" s="114"/>
      <c r="N136" s="114"/>
      <c r="O136" s="114"/>
    </row>
    <row r="137" spans="4:15" ht="12.75" customHeight="1" x14ac:dyDescent="0.3">
      <c r="D137" s="411" t="s">
        <v>2086</v>
      </c>
      <c r="E137" s="384"/>
      <c r="F137" s="384"/>
      <c r="H137" s="633"/>
      <c r="I137" s="114">
        <f>I127</f>
        <v>750579935</v>
      </c>
      <c r="J137" s="114"/>
      <c r="K137" s="114"/>
      <c r="L137" s="114"/>
      <c r="M137" s="114"/>
      <c r="N137" s="114"/>
      <c r="O137" s="114"/>
    </row>
    <row r="138" spans="4:15" ht="12.75" customHeight="1" x14ac:dyDescent="0.3">
      <c r="D138" s="411" t="s">
        <v>2019</v>
      </c>
      <c r="E138" s="384"/>
      <c r="F138" s="384"/>
      <c r="I138" s="1357">
        <v>1.9610000000000001E-3</v>
      </c>
      <c r="J138" s="114"/>
      <c r="K138" s="114"/>
      <c r="L138" s="114"/>
      <c r="M138" s="114"/>
      <c r="N138" s="114"/>
      <c r="O138" s="114"/>
    </row>
    <row r="139" spans="4:15" ht="12.75" customHeight="1" x14ac:dyDescent="0.3">
      <c r="D139" s="115"/>
      <c r="E139" s="400"/>
      <c r="F139" s="400"/>
      <c r="I139" s="564">
        <f>ROUND(I137*I138,0)</f>
        <v>1471887</v>
      </c>
      <c r="J139" s="114"/>
      <c r="K139" s="114"/>
      <c r="L139" s="114"/>
      <c r="M139" s="114"/>
      <c r="N139" s="114"/>
      <c r="O139" s="114"/>
    </row>
    <row r="140" spans="4:15" ht="12.75" customHeight="1" x14ac:dyDescent="0.3">
      <c r="D140" s="115" t="s">
        <v>2020</v>
      </c>
      <c r="E140" s="400"/>
      <c r="F140" s="400"/>
      <c r="I140" s="114">
        <v>-13887</v>
      </c>
      <c r="J140" s="114"/>
      <c r="K140" s="114"/>
      <c r="L140" s="114"/>
      <c r="M140" s="114"/>
      <c r="N140" s="114"/>
      <c r="O140" s="114"/>
    </row>
    <row r="141" spans="4:15" ht="12.75" customHeight="1" thickBot="1" x14ac:dyDescent="0.35">
      <c r="D141" s="301" t="s">
        <v>2087</v>
      </c>
      <c r="I141" s="1744">
        <f>SUM(I139:I140)</f>
        <v>1458000</v>
      </c>
      <c r="J141" s="114" t="s">
        <v>2084</v>
      </c>
      <c r="K141" s="114"/>
      <c r="L141" s="114"/>
      <c r="M141" s="114"/>
      <c r="N141" s="114"/>
      <c r="O141" s="114"/>
    </row>
    <row r="142" spans="4:15" ht="12.75" customHeight="1" thickTop="1" x14ac:dyDescent="0.3"/>
    <row r="145" spans="4:16" ht="12.75" customHeight="1" x14ac:dyDescent="0.3">
      <c r="D145" s="301" t="s">
        <v>2088</v>
      </c>
      <c r="J145" s="114">
        <v>-203000</v>
      </c>
      <c r="K145" s="114">
        <v>-251000</v>
      </c>
      <c r="L145" s="114">
        <v>-283000</v>
      </c>
      <c r="M145" s="114">
        <v>-307000</v>
      </c>
      <c r="N145" s="114">
        <v>-332000</v>
      </c>
      <c r="O145" s="544">
        <v>0</v>
      </c>
      <c r="P145" s="115" t="s">
        <v>2089</v>
      </c>
    </row>
    <row r="146" spans="4:16" ht="12.75" customHeight="1" x14ac:dyDescent="0.3">
      <c r="D146" s="301" t="s">
        <v>2090</v>
      </c>
      <c r="I146" s="115">
        <v>607002</v>
      </c>
      <c r="J146" s="114">
        <v>-1882000</v>
      </c>
      <c r="K146" s="114">
        <v>-2115000</v>
      </c>
      <c r="L146" s="114">
        <v>-2379000</v>
      </c>
      <c r="M146" s="114">
        <v>-2580000</v>
      </c>
      <c r="N146" s="114">
        <v>-2799000</v>
      </c>
      <c r="O146" s="544">
        <v>0</v>
      </c>
      <c r="P146" s="114"/>
    </row>
    <row r="147" spans="4:16" ht="12.75" hidden="1" customHeight="1" x14ac:dyDescent="0.3">
      <c r="J147" s="114"/>
      <c r="K147" s="114"/>
      <c r="L147" s="114"/>
      <c r="M147" s="114"/>
      <c r="N147" s="114"/>
      <c r="O147" s="114"/>
      <c r="P147" s="114"/>
    </row>
    <row r="148" spans="4:16" ht="12.75" customHeight="1" thickBot="1" x14ac:dyDescent="0.35">
      <c r="D148" s="301" t="s">
        <v>2091</v>
      </c>
      <c r="J148" s="1744">
        <v>-2085000</v>
      </c>
      <c r="K148" s="1744">
        <v>-2366000</v>
      </c>
      <c r="L148" s="1744">
        <f>+L145+L146</f>
        <v>-2662000</v>
      </c>
      <c r="M148" s="1744">
        <f>+M145+M146</f>
        <v>-2887000</v>
      </c>
      <c r="N148" s="1744">
        <f>+N145+N146</f>
        <v>-3131000</v>
      </c>
      <c r="O148" s="1744">
        <f>+O145+O146</f>
        <v>0</v>
      </c>
      <c r="P148" s="114"/>
    </row>
    <row r="149" spans="4:16" ht="12.75" customHeight="1" thickTop="1" x14ac:dyDescent="0.3">
      <c r="J149" s="114"/>
      <c r="K149" s="114"/>
      <c r="L149" s="114"/>
      <c r="M149" s="114"/>
      <c r="N149" s="114"/>
      <c r="O149" s="114"/>
      <c r="P149" s="114"/>
    </row>
    <row r="150" spans="4:16" ht="12.75" customHeight="1" x14ac:dyDescent="0.3">
      <c r="J150" s="114"/>
      <c r="K150" s="114"/>
      <c r="L150" s="114"/>
      <c r="M150" s="114"/>
      <c r="N150" s="114"/>
      <c r="O150" s="114"/>
      <c r="P150" s="114"/>
    </row>
    <row r="151" spans="4:16" ht="12.75" customHeight="1" x14ac:dyDescent="0.3">
      <c r="J151" s="114"/>
      <c r="K151" s="114"/>
      <c r="L151" s="114"/>
      <c r="M151" s="114"/>
      <c r="N151" s="114"/>
      <c r="O151" s="114"/>
      <c r="P151" s="114"/>
    </row>
    <row r="152" spans="4:16" ht="12.75" customHeight="1" x14ac:dyDescent="0.3">
      <c r="D152" s="301" t="s">
        <v>2088</v>
      </c>
      <c r="J152" s="114">
        <v>-167000</v>
      </c>
      <c r="K152" s="114">
        <v>-186000</v>
      </c>
      <c r="L152" s="114">
        <v>-209000</v>
      </c>
      <c r="M152" s="114">
        <v>-227000</v>
      </c>
      <c r="N152" s="114">
        <v>-247000</v>
      </c>
      <c r="O152" s="544">
        <v>0</v>
      </c>
      <c r="P152" s="115" t="s">
        <v>2089</v>
      </c>
    </row>
    <row r="153" spans="4:16" ht="12.75" customHeight="1" x14ac:dyDescent="0.3">
      <c r="D153" s="301" t="s">
        <v>2092</v>
      </c>
      <c r="I153" s="115">
        <v>607001</v>
      </c>
      <c r="J153" s="114">
        <v>-1370000</v>
      </c>
      <c r="K153" s="114">
        <v>-1458000</v>
      </c>
      <c r="L153" s="114">
        <v>-1642000</v>
      </c>
      <c r="M153" s="114">
        <v>-1783000</v>
      </c>
      <c r="N153" s="114">
        <v>-1936000</v>
      </c>
      <c r="O153" s="544">
        <v>0</v>
      </c>
      <c r="P153" s="115" t="s">
        <v>2093</v>
      </c>
    </row>
    <row r="154" spans="4:16" ht="12.75" customHeight="1" thickBot="1" x14ac:dyDescent="0.35">
      <c r="D154" s="301" t="s">
        <v>2094</v>
      </c>
      <c r="J154" s="1744">
        <v>-1537000</v>
      </c>
      <c r="K154" s="1744">
        <v>-1644000</v>
      </c>
      <c r="L154" s="1744">
        <f t="shared" ref="L154:N154" si="28">+L152+L153</f>
        <v>-1851000</v>
      </c>
      <c r="M154" s="1744">
        <f t="shared" si="28"/>
        <v>-2010000</v>
      </c>
      <c r="N154" s="1744">
        <f t="shared" si="28"/>
        <v>-2183000</v>
      </c>
      <c r="O154" s="1744">
        <f t="shared" ref="O154" si="29">+O152+O153</f>
        <v>0</v>
      </c>
    </row>
    <row r="155" spans="4:16" ht="12.75" customHeight="1" thickTop="1" x14ac:dyDescent="0.3">
      <c r="J155" s="114"/>
      <c r="K155" s="114"/>
      <c r="L155" s="114"/>
      <c r="M155" s="114"/>
      <c r="N155" s="114"/>
      <c r="O155" s="114"/>
    </row>
    <row r="156" spans="4:16" ht="12.75" customHeight="1" x14ac:dyDescent="0.3">
      <c r="D156" s="301" t="s">
        <v>2095</v>
      </c>
      <c r="J156" s="397">
        <v>-3622000</v>
      </c>
      <c r="K156" s="397">
        <v>-4010000</v>
      </c>
      <c r="L156" s="397">
        <f>+L148+L154</f>
        <v>-4513000</v>
      </c>
      <c r="M156" s="397">
        <f>+M148+M154</f>
        <v>-4897000</v>
      </c>
      <c r="N156" s="397">
        <f>+N148+N154</f>
        <v>-5314000</v>
      </c>
      <c r="O156" s="2084">
        <f>+O148+O154</f>
        <v>0</v>
      </c>
    </row>
    <row r="157" spans="4:16" ht="12.75" customHeight="1" x14ac:dyDescent="0.3">
      <c r="J157" s="397"/>
      <c r="K157" s="397"/>
      <c r="L157" s="397"/>
      <c r="M157" s="397"/>
      <c r="N157" s="397"/>
      <c r="O157" s="397"/>
    </row>
    <row r="158" spans="4:16" ht="12.75" customHeight="1" x14ac:dyDescent="0.3">
      <c r="J158" s="397"/>
      <c r="K158" s="397"/>
      <c r="L158" s="397"/>
      <c r="M158" s="397"/>
      <c r="N158" s="397"/>
      <c r="O158" s="397"/>
    </row>
    <row r="159" spans="4:16" ht="12.75" customHeight="1" x14ac:dyDescent="0.3">
      <c r="D159" s="396" t="s">
        <v>2096</v>
      </c>
      <c r="J159" s="397"/>
      <c r="K159" s="397"/>
      <c r="L159" s="397"/>
      <c r="M159" s="397"/>
      <c r="N159" s="397"/>
      <c r="O159" s="397"/>
    </row>
    <row r="160" spans="4:16" ht="12.75" customHeight="1" x14ac:dyDescent="0.3">
      <c r="J160" s="397"/>
      <c r="K160" s="397"/>
      <c r="L160" s="397"/>
      <c r="M160" s="397"/>
      <c r="N160" s="397"/>
      <c r="O160" s="397"/>
    </row>
    <row r="161" spans="4:16" ht="12.75" customHeight="1" x14ac:dyDescent="0.3">
      <c r="J161" s="397"/>
      <c r="K161" s="397"/>
      <c r="L161" s="397"/>
      <c r="M161" s="397"/>
      <c r="N161" s="397"/>
      <c r="O161" s="397"/>
    </row>
    <row r="162" spans="4:16" ht="12.75" customHeight="1" x14ac:dyDescent="0.3">
      <c r="J162" s="397"/>
      <c r="K162" s="397"/>
      <c r="L162" s="397"/>
      <c r="M162" s="397"/>
      <c r="N162" s="397"/>
      <c r="O162" s="397"/>
    </row>
    <row r="163" spans="4:16" ht="12.75" customHeight="1" x14ac:dyDescent="0.3">
      <c r="J163" s="397"/>
      <c r="K163" s="397"/>
      <c r="L163" s="397"/>
      <c r="M163" s="397"/>
      <c r="N163" s="397"/>
      <c r="O163" s="397"/>
    </row>
    <row r="164" spans="4:16" ht="12.75" customHeight="1" x14ac:dyDescent="0.3">
      <c r="J164" s="397"/>
      <c r="K164" s="397"/>
      <c r="L164" s="397"/>
      <c r="M164" s="397"/>
      <c r="N164" s="397"/>
      <c r="O164" s="397"/>
    </row>
    <row r="165" spans="4:16" ht="12.75" customHeight="1" x14ac:dyDescent="0.3">
      <c r="J165" s="397"/>
      <c r="K165" s="397"/>
      <c r="L165" s="397"/>
      <c r="M165" s="397"/>
      <c r="N165" s="397"/>
      <c r="O165" s="397"/>
    </row>
    <row r="166" spans="4:16" ht="13.2" customHeight="1" x14ac:dyDescent="0.3">
      <c r="J166" s="114"/>
      <c r="K166" s="114"/>
      <c r="L166" s="114"/>
      <c r="M166" s="114"/>
      <c r="N166" s="114"/>
      <c r="O166" s="114"/>
    </row>
    <row r="167" spans="4:16" ht="12.75" customHeight="1" x14ac:dyDescent="0.3">
      <c r="D167" s="312" t="s">
        <v>2097</v>
      </c>
      <c r="J167" s="114"/>
      <c r="K167" s="114"/>
      <c r="L167" s="114"/>
      <c r="M167" s="114"/>
      <c r="N167" s="114"/>
      <c r="O167" s="114"/>
    </row>
    <row r="168" spans="4:16" ht="12.75" customHeight="1" x14ac:dyDescent="0.3">
      <c r="D168" s="312"/>
      <c r="J168" s="114"/>
      <c r="K168" s="114"/>
      <c r="L168" s="114"/>
      <c r="M168" s="114"/>
      <c r="N168" s="114"/>
      <c r="O168" s="114"/>
    </row>
    <row r="169" spans="4:16" ht="12.75" customHeight="1" x14ac:dyDescent="0.3">
      <c r="D169" s="301" t="s">
        <v>2098</v>
      </c>
      <c r="J169" s="114">
        <f>-J145-J152</f>
        <v>370000</v>
      </c>
      <c r="K169" s="114">
        <v>437000</v>
      </c>
      <c r="L169" s="114">
        <f t="shared" ref="L169:N169" si="30">-L145-L152</f>
        <v>492000</v>
      </c>
      <c r="M169" s="114">
        <f t="shared" si="30"/>
        <v>534000</v>
      </c>
      <c r="N169" s="114">
        <f t="shared" si="30"/>
        <v>579000</v>
      </c>
      <c r="O169" s="544">
        <f t="shared" ref="O169" si="31">-O145-O152</f>
        <v>0</v>
      </c>
    </row>
    <row r="170" spans="4:16" ht="12.75" customHeight="1" x14ac:dyDescent="0.3">
      <c r="D170" s="301" t="s">
        <v>2099</v>
      </c>
      <c r="J170" s="114">
        <f>J152+J145</f>
        <v>-370000</v>
      </c>
      <c r="K170" s="114">
        <v>-380000</v>
      </c>
      <c r="L170" s="114">
        <f>ROUND(K170*T$2,-3)</f>
        <v>-388000</v>
      </c>
      <c r="M170" s="114">
        <f>ROUND(L170*U$2,-3)</f>
        <v>-397000</v>
      </c>
      <c r="N170" s="114">
        <f>ROUND(M170*V$2,-3)</f>
        <v>-406000</v>
      </c>
      <c r="O170" s="114">
        <f>ROUND(N170*W$2,-3)</f>
        <v>-415000</v>
      </c>
      <c r="P170" s="115" t="s">
        <v>2100</v>
      </c>
    </row>
    <row r="171" spans="4:16" ht="12.75" customHeight="1" thickBot="1" x14ac:dyDescent="0.35">
      <c r="D171" s="301" t="s">
        <v>2101</v>
      </c>
      <c r="J171" s="1744">
        <f>SUM(J169:J170)</f>
        <v>0</v>
      </c>
      <c r="K171" s="1744">
        <v>57000</v>
      </c>
      <c r="L171" s="1744">
        <f t="shared" ref="L171:N171" si="32">SUM(L169:L170)</f>
        <v>104000</v>
      </c>
      <c r="M171" s="1744">
        <f t="shared" si="32"/>
        <v>137000</v>
      </c>
      <c r="N171" s="1744">
        <f t="shared" si="32"/>
        <v>173000</v>
      </c>
      <c r="O171" s="1744">
        <f t="shared" ref="O171" si="33">SUM(O169:O170)</f>
        <v>-415000</v>
      </c>
      <c r="P171" s="115" t="s">
        <v>2102</v>
      </c>
    </row>
    <row r="172" spans="4:16" ht="12.75" customHeight="1" thickTop="1" x14ac:dyDescent="0.3"/>
    <row r="173" spans="4:16" ht="12.75" customHeight="1" x14ac:dyDescent="0.3">
      <c r="D173" s="1195" t="s">
        <v>2008</v>
      </c>
      <c r="E173" s="382"/>
      <c r="F173" s="382"/>
      <c r="G173" s="399"/>
      <c r="H173" s="399"/>
      <c r="I173" s="399"/>
    </row>
    <row r="174" spans="4:16" ht="12.75" customHeight="1" x14ac:dyDescent="0.3">
      <c r="D174" s="306" t="s">
        <v>200</v>
      </c>
      <c r="E174" s="115"/>
      <c r="F174" s="115"/>
      <c r="H174" s="115">
        <v>2.6</v>
      </c>
      <c r="I174" s="115" t="s">
        <v>2024</v>
      </c>
      <c r="P174" s="114"/>
    </row>
    <row r="175" spans="4:16" ht="12.75" customHeight="1" x14ac:dyDescent="0.3">
      <c r="D175" s="306" t="s">
        <v>201</v>
      </c>
      <c r="E175" s="115"/>
      <c r="F175" s="115"/>
      <c r="H175" s="115">
        <v>2</v>
      </c>
      <c r="I175" s="115" t="s">
        <v>2025</v>
      </c>
    </row>
    <row r="176" spans="4:16" ht="12.75" customHeight="1" x14ac:dyDescent="0.3">
      <c r="D176" s="306" t="s">
        <v>2026</v>
      </c>
      <c r="E176" s="115"/>
      <c r="F176" s="115"/>
      <c r="H176" s="1358">
        <f>ROUND((H174*47+H175*53)/100,1)</f>
        <v>2.2999999999999998</v>
      </c>
      <c r="I176" s="115" t="s">
        <v>2027</v>
      </c>
    </row>
    <row r="177" spans="4:15" ht="12.75" customHeight="1" x14ac:dyDescent="0.3">
      <c r="D177" s="306" t="s">
        <v>2028</v>
      </c>
      <c r="E177" s="115"/>
      <c r="F177" s="115"/>
      <c r="H177" s="1358">
        <v>4</v>
      </c>
    </row>
    <row r="178" spans="4:15" ht="12.75" customHeight="1" x14ac:dyDescent="0.3">
      <c r="D178" s="306" t="s">
        <v>2029</v>
      </c>
      <c r="E178" s="115"/>
      <c r="F178" s="115"/>
      <c r="H178" s="1359">
        <v>4</v>
      </c>
      <c r="I178" s="115" t="s">
        <v>2027</v>
      </c>
    </row>
    <row r="179" spans="4:15" ht="12.75" customHeight="1" x14ac:dyDescent="0.3">
      <c r="D179" s="306" t="s">
        <v>2030</v>
      </c>
      <c r="E179" s="115"/>
      <c r="F179" s="115"/>
      <c r="H179" s="1358">
        <f>SUM(H176:H178)</f>
        <v>10.3</v>
      </c>
      <c r="I179" s="115" t="s">
        <v>2027</v>
      </c>
    </row>
    <row r="180" spans="4:15" ht="12.75" customHeight="1" x14ac:dyDescent="0.3">
      <c r="D180" s="1195" t="s">
        <v>2031</v>
      </c>
      <c r="E180" s="382"/>
      <c r="F180" s="382"/>
      <c r="G180" s="399"/>
      <c r="H180" s="399"/>
      <c r="I180" s="399"/>
    </row>
    <row r="181" spans="4:15" ht="12.75" customHeight="1" x14ac:dyDescent="0.3">
      <c r="D181" s="306" t="s">
        <v>200</v>
      </c>
      <c r="E181" s="115"/>
      <c r="F181" s="115"/>
      <c r="H181" s="115">
        <v>2.2000000000000002</v>
      </c>
      <c r="I181" s="115" t="s">
        <v>2024</v>
      </c>
    </row>
    <row r="182" spans="4:15" ht="12.75" customHeight="1" x14ac:dyDescent="0.3">
      <c r="D182" s="306" t="s">
        <v>201</v>
      </c>
      <c r="E182" s="115"/>
      <c r="F182" s="115"/>
      <c r="H182" s="115">
        <v>4.5999999999999996</v>
      </c>
      <c r="I182" s="115" t="s">
        <v>2025</v>
      </c>
    </row>
    <row r="183" spans="4:15" ht="12.75" customHeight="1" x14ac:dyDescent="0.3">
      <c r="D183" s="306" t="s">
        <v>2026</v>
      </c>
      <c r="E183" s="115"/>
      <c r="F183" s="115"/>
      <c r="H183" s="1358">
        <f>ROUND((H181*47+H182*53)/100,1)</f>
        <v>3.5</v>
      </c>
      <c r="I183" s="115" t="s">
        <v>2027</v>
      </c>
    </row>
    <row r="184" spans="4:15" ht="12.75" customHeight="1" x14ac:dyDescent="0.3">
      <c r="D184" s="306" t="s">
        <v>2028</v>
      </c>
      <c r="E184" s="115"/>
      <c r="F184" s="115"/>
      <c r="H184" s="1358">
        <v>4</v>
      </c>
      <c r="I184" s="115" t="s">
        <v>2027</v>
      </c>
    </row>
    <row r="185" spans="4:15" ht="12.75" customHeight="1" x14ac:dyDescent="0.3">
      <c r="D185" s="306" t="s">
        <v>2029</v>
      </c>
      <c r="E185" s="115"/>
      <c r="F185" s="115"/>
      <c r="H185" s="1359">
        <v>4</v>
      </c>
      <c r="I185" s="115" t="s">
        <v>2027</v>
      </c>
    </row>
    <row r="186" spans="4:15" ht="12.75" customHeight="1" x14ac:dyDescent="0.3">
      <c r="D186" s="306" t="s">
        <v>2032</v>
      </c>
      <c r="E186" s="115"/>
      <c r="F186" s="115"/>
      <c r="H186" s="1358">
        <f>+H183+H184+H185</f>
        <v>11.5</v>
      </c>
      <c r="I186" s="115" t="s">
        <v>2027</v>
      </c>
    </row>
    <row r="187" spans="4:15" ht="12.75" customHeight="1" x14ac:dyDescent="0.3">
      <c r="D187" s="1195" t="s">
        <v>2033</v>
      </c>
      <c r="E187" s="382"/>
      <c r="F187" s="382"/>
      <c r="G187" s="399"/>
      <c r="H187" s="399"/>
      <c r="I187" s="399"/>
    </row>
    <row r="188" spans="4:15" ht="12.75" customHeight="1" x14ac:dyDescent="0.3">
      <c r="D188" s="306" t="s">
        <v>200</v>
      </c>
      <c r="E188" s="115"/>
      <c r="F188" s="115"/>
      <c r="H188" s="115">
        <v>2.2000000000000002</v>
      </c>
      <c r="I188" s="115" t="s">
        <v>2024</v>
      </c>
    </row>
    <row r="189" spans="4:15" ht="12.75" customHeight="1" x14ac:dyDescent="0.3">
      <c r="D189" s="306" t="s">
        <v>201</v>
      </c>
      <c r="E189" s="115"/>
      <c r="F189" s="115"/>
      <c r="H189" s="115">
        <v>4.5999999999999996</v>
      </c>
      <c r="I189" s="115" t="s">
        <v>2025</v>
      </c>
      <c r="J189" s="114"/>
      <c r="K189" s="114"/>
      <c r="L189" s="114"/>
      <c r="M189" s="114"/>
      <c r="N189" s="114"/>
      <c r="O189" s="114"/>
    </row>
    <row r="190" spans="4:15" ht="12.75" customHeight="1" x14ac:dyDescent="0.3">
      <c r="D190" s="306" t="s">
        <v>2026</v>
      </c>
      <c r="E190" s="115"/>
      <c r="F190" s="115"/>
      <c r="H190" s="1358">
        <f>ROUND((H188*47+H189*53)/100,1)</f>
        <v>3.5</v>
      </c>
      <c r="I190" s="115" t="s">
        <v>2027</v>
      </c>
      <c r="J190" s="114"/>
      <c r="K190" s="114"/>
      <c r="L190" s="114"/>
      <c r="M190" s="114"/>
      <c r="N190" s="114"/>
      <c r="O190" s="114"/>
    </row>
    <row r="191" spans="4:15" ht="12.75" customHeight="1" x14ac:dyDescent="0.3">
      <c r="D191" s="306" t="s">
        <v>2028</v>
      </c>
      <c r="E191" s="115"/>
      <c r="F191" s="115"/>
      <c r="H191" s="1359">
        <v>4</v>
      </c>
      <c r="I191" s="115" t="s">
        <v>2027</v>
      </c>
    </row>
    <row r="192" spans="4:15" ht="12.75" customHeight="1" x14ac:dyDescent="0.3">
      <c r="D192" s="306" t="s">
        <v>2034</v>
      </c>
      <c r="E192" s="115"/>
      <c r="F192" s="115"/>
      <c r="H192" s="1358">
        <f>+H190+H191</f>
        <v>7.5</v>
      </c>
      <c r="I192" s="115" t="s">
        <v>2027</v>
      </c>
    </row>
    <row r="193" spans="4:23" ht="12.75" customHeight="1" x14ac:dyDescent="0.3">
      <c r="D193" s="306"/>
      <c r="E193" s="115"/>
      <c r="F193" s="115"/>
      <c r="H193" s="1358"/>
    </row>
    <row r="194" spans="4:23" ht="12.75" customHeight="1" x14ac:dyDescent="0.3">
      <c r="E194" s="381" t="s">
        <v>2036</v>
      </c>
    </row>
    <row r="195" spans="4:23" ht="12.75" customHeight="1" x14ac:dyDescent="0.3">
      <c r="E195" s="496" t="s">
        <v>2037</v>
      </c>
      <c r="J195" s="114">
        <v>87104</v>
      </c>
      <c r="K195" s="114">
        <v>77455</v>
      </c>
      <c r="L195" s="114">
        <f>L55</f>
        <v>80708</v>
      </c>
      <c r="M195" s="114">
        <f>M55</f>
        <v>83694</v>
      </c>
      <c r="N195" s="114">
        <f>N55</f>
        <v>86791</v>
      </c>
      <c r="O195" s="114">
        <f>O55</f>
        <v>90002</v>
      </c>
    </row>
    <row r="196" spans="4:23" ht="12.75" customHeight="1" x14ac:dyDescent="0.3">
      <c r="E196" s="496"/>
      <c r="J196" s="431"/>
      <c r="K196" s="431"/>
      <c r="L196" s="431"/>
      <c r="M196" s="431"/>
      <c r="N196" s="431"/>
      <c r="O196" s="431"/>
    </row>
    <row r="197" spans="4:23" ht="12.75" customHeight="1" x14ac:dyDescent="0.3">
      <c r="E197" s="496" t="s">
        <v>2038</v>
      </c>
      <c r="J197" s="114">
        <v>87104</v>
      </c>
      <c r="K197" s="114">
        <v>77455</v>
      </c>
      <c r="L197" s="114">
        <f t="shared" ref="L197:M197" si="34">SUM(L195:L196)</f>
        <v>80708</v>
      </c>
      <c r="M197" s="114">
        <f t="shared" si="34"/>
        <v>83694</v>
      </c>
      <c r="N197" s="114">
        <f t="shared" ref="N197:O197" si="35">SUM(N195:N196)</f>
        <v>86791</v>
      </c>
      <c r="O197" s="114">
        <f t="shared" si="35"/>
        <v>90002</v>
      </c>
    </row>
    <row r="198" spans="4:23" ht="12.75" customHeight="1" x14ac:dyDescent="0.3">
      <c r="E198" s="496"/>
      <c r="J198" s="114"/>
      <c r="K198" s="114"/>
      <c r="L198" s="114"/>
      <c r="M198" s="114"/>
      <c r="N198" s="114"/>
      <c r="O198" s="114"/>
    </row>
    <row r="199" spans="4:23" ht="12.75" customHeight="1" x14ac:dyDescent="0.3">
      <c r="E199" s="496" t="s">
        <v>2039</v>
      </c>
      <c r="J199" s="114"/>
      <c r="K199" s="114"/>
      <c r="L199" s="114"/>
      <c r="M199" s="114"/>
      <c r="N199" s="114"/>
      <c r="O199" s="114"/>
    </row>
    <row r="200" spans="4:23" ht="12.75" customHeight="1" x14ac:dyDescent="0.3">
      <c r="E200" s="496" t="s">
        <v>2056</v>
      </c>
      <c r="J200" s="114">
        <v>45673</v>
      </c>
      <c r="K200" s="114">
        <v>47018</v>
      </c>
      <c r="L200" s="114">
        <f>L56+L57+L58+L75</f>
        <v>48010</v>
      </c>
      <c r="M200" s="114">
        <f>M56+M57+M58+M75</f>
        <v>49091</v>
      </c>
      <c r="N200" s="114">
        <f>N56+N57+N58+N75</f>
        <v>50198</v>
      </c>
      <c r="O200" s="114">
        <f>O56+O57+O58+O75</f>
        <v>47098</v>
      </c>
    </row>
    <row r="201" spans="4:23" ht="12.75" customHeight="1" x14ac:dyDescent="0.3">
      <c r="J201" s="149"/>
      <c r="K201" s="149"/>
      <c r="L201" s="149"/>
      <c r="M201" s="149"/>
      <c r="N201" s="149"/>
      <c r="O201" s="149"/>
    </row>
    <row r="202" spans="4:23" ht="12.75" customHeight="1" x14ac:dyDescent="0.3">
      <c r="E202" s="336" t="s">
        <v>2040</v>
      </c>
      <c r="J202" s="114">
        <v>132777</v>
      </c>
      <c r="K202" s="114">
        <v>124473</v>
      </c>
      <c r="L202" s="114">
        <f>SUM(L197:L201)</f>
        <v>128718</v>
      </c>
      <c r="M202" s="114">
        <f>SUM(M197:M201)</f>
        <v>132785</v>
      </c>
      <c r="N202" s="114">
        <f>SUM(N197:N201)</f>
        <v>136989</v>
      </c>
      <c r="O202" s="114">
        <f>SUM(O197:O201)</f>
        <v>137100</v>
      </c>
    </row>
    <row r="203" spans="4:23" ht="12.75" customHeight="1" x14ac:dyDescent="0.3">
      <c r="P203" s="571"/>
      <c r="Q203" s="571"/>
      <c r="R203" s="115" t="s">
        <v>940</v>
      </c>
      <c r="S203" s="115" t="s">
        <v>941</v>
      </c>
      <c r="T203" s="115" t="s">
        <v>942</v>
      </c>
      <c r="U203" s="115" t="s">
        <v>943</v>
      </c>
      <c r="V203" s="115" t="s">
        <v>944</v>
      </c>
      <c r="W203" s="2147">
        <v>20.3</v>
      </c>
    </row>
    <row r="204" spans="4:23" ht="12.75" customHeight="1" x14ac:dyDescent="0.3">
      <c r="E204" s="505" t="s">
        <v>939</v>
      </c>
      <c r="P204" s="571"/>
      <c r="Q204" s="571"/>
    </row>
    <row r="205" spans="4:23" ht="12.75" customHeight="1" x14ac:dyDescent="0.3">
      <c r="E205" s="336" t="s">
        <v>2041</v>
      </c>
      <c r="J205" s="534">
        <v>0</v>
      </c>
      <c r="K205" s="151">
        <v>0</v>
      </c>
      <c r="L205" s="151">
        <f t="shared" ref="L205:O209" si="36">L$195*T205</f>
        <v>0</v>
      </c>
      <c r="M205" s="151">
        <f t="shared" si="36"/>
        <v>0</v>
      </c>
      <c r="N205" s="151">
        <f t="shared" si="36"/>
        <v>0</v>
      </c>
      <c r="O205" s="151">
        <f t="shared" si="36"/>
        <v>0</v>
      </c>
      <c r="P205" s="1346"/>
      <c r="Q205" s="514"/>
    </row>
    <row r="206" spans="4:23" ht="12.75" customHeight="1" x14ac:dyDescent="0.3">
      <c r="E206" s="336" t="s">
        <v>2042</v>
      </c>
      <c r="J206" s="534">
        <v>0</v>
      </c>
      <c r="K206" s="151">
        <v>0</v>
      </c>
      <c r="L206" s="151">
        <f t="shared" si="36"/>
        <v>0</v>
      </c>
      <c r="M206" s="151">
        <f t="shared" si="36"/>
        <v>0</v>
      </c>
      <c r="N206" s="151">
        <f t="shared" si="36"/>
        <v>0</v>
      </c>
      <c r="O206" s="151">
        <f t="shared" si="36"/>
        <v>0</v>
      </c>
      <c r="P206" s="1346"/>
      <c r="Q206" s="514"/>
    </row>
    <row r="207" spans="4:23" ht="12.75" customHeight="1" x14ac:dyDescent="0.3">
      <c r="E207" s="336" t="s">
        <v>2043</v>
      </c>
      <c r="J207" s="534">
        <v>0</v>
      </c>
      <c r="K207" s="151">
        <v>0</v>
      </c>
      <c r="L207" s="151">
        <f t="shared" si="36"/>
        <v>0</v>
      </c>
      <c r="M207" s="151">
        <f t="shared" si="36"/>
        <v>0</v>
      </c>
      <c r="N207" s="151">
        <f t="shared" si="36"/>
        <v>0</v>
      </c>
      <c r="O207" s="151">
        <f t="shared" si="36"/>
        <v>0</v>
      </c>
      <c r="P207" s="1346"/>
      <c r="Q207" s="514"/>
    </row>
    <row r="208" spans="4:23" ht="12.75" customHeight="1" x14ac:dyDescent="0.3">
      <c r="E208" s="336" t="s">
        <v>2044</v>
      </c>
      <c r="J208" s="534">
        <v>0</v>
      </c>
      <c r="K208" s="151">
        <v>0</v>
      </c>
      <c r="L208" s="151">
        <f t="shared" si="36"/>
        <v>0</v>
      </c>
      <c r="M208" s="151">
        <f t="shared" si="36"/>
        <v>0</v>
      </c>
      <c r="N208" s="151">
        <f t="shared" si="36"/>
        <v>0</v>
      </c>
      <c r="O208" s="151">
        <f t="shared" si="36"/>
        <v>0</v>
      </c>
      <c r="P208" s="1346"/>
      <c r="Q208" s="514"/>
    </row>
    <row r="209" spans="5:23" ht="12.75" customHeight="1" x14ac:dyDescent="0.3">
      <c r="E209" s="336" t="s">
        <v>2045</v>
      </c>
      <c r="J209" s="534">
        <v>0</v>
      </c>
      <c r="K209" s="151">
        <v>0</v>
      </c>
      <c r="L209" s="151">
        <f t="shared" si="36"/>
        <v>0</v>
      </c>
      <c r="M209" s="151">
        <f t="shared" si="36"/>
        <v>0</v>
      </c>
      <c r="N209" s="151">
        <f t="shared" si="36"/>
        <v>0</v>
      </c>
      <c r="O209" s="151">
        <f t="shared" si="36"/>
        <v>0</v>
      </c>
      <c r="P209" s="1346"/>
      <c r="Q209" s="514"/>
    </row>
    <row r="210" spans="5:23" ht="12.75" customHeight="1" x14ac:dyDescent="0.3">
      <c r="E210" s="336" t="s">
        <v>2103</v>
      </c>
      <c r="J210" s="633">
        <v>0</v>
      </c>
      <c r="K210" s="115">
        <v>0</v>
      </c>
      <c r="L210" s="115">
        <v>0</v>
      </c>
      <c r="M210" s="115">
        <v>0</v>
      </c>
      <c r="N210" s="115">
        <v>0</v>
      </c>
      <c r="O210" s="115">
        <v>0</v>
      </c>
      <c r="P210" s="1346"/>
      <c r="Q210" s="514"/>
    </row>
    <row r="211" spans="5:23" ht="12.75" customHeight="1" x14ac:dyDescent="0.3">
      <c r="E211" s="336" t="s">
        <v>2104</v>
      </c>
      <c r="J211" s="633">
        <v>0</v>
      </c>
      <c r="K211" s="115">
        <v>0</v>
      </c>
      <c r="L211" s="115">
        <v>0</v>
      </c>
      <c r="M211" s="115">
        <v>0</v>
      </c>
      <c r="N211" s="115">
        <v>0</v>
      </c>
      <c r="O211" s="115">
        <v>0</v>
      </c>
      <c r="P211" s="1346"/>
      <c r="Q211" s="514"/>
    </row>
    <row r="212" spans="5:23" ht="12.75" customHeight="1" x14ac:dyDescent="0.3">
      <c r="E212" s="336" t="s">
        <v>2105</v>
      </c>
      <c r="J212" s="633">
        <v>0</v>
      </c>
      <c r="K212" s="115">
        <v>0</v>
      </c>
      <c r="L212" s="115">
        <v>0</v>
      </c>
      <c r="M212" s="115">
        <v>0</v>
      </c>
      <c r="N212" s="115">
        <v>0</v>
      </c>
      <c r="O212" s="115">
        <v>0</v>
      </c>
      <c r="P212" s="1346"/>
      <c r="Q212" s="514"/>
    </row>
    <row r="213" spans="5:23" ht="12.75" customHeight="1" x14ac:dyDescent="0.3">
      <c r="E213" s="336" t="s">
        <v>2106</v>
      </c>
      <c r="J213" s="633">
        <v>0</v>
      </c>
      <c r="K213" s="115">
        <v>0</v>
      </c>
      <c r="L213" s="115">
        <v>0</v>
      </c>
      <c r="M213" s="510">
        <f>ROUND(M$197*Q213,0)</f>
        <v>0</v>
      </c>
      <c r="N213" s="510">
        <f>ROUND(N$197*R213,0)</f>
        <v>0</v>
      </c>
      <c r="O213" s="510">
        <f>ROUND(O$197*S213,0)</f>
        <v>0</v>
      </c>
      <c r="P213" s="1346"/>
      <c r="Q213" s="514"/>
    </row>
    <row r="214" spans="5:23" ht="12.75" customHeight="1" x14ac:dyDescent="0.3">
      <c r="E214" s="507" t="s">
        <v>945</v>
      </c>
      <c r="F214" s="115"/>
      <c r="J214" s="508"/>
      <c r="K214" s="508"/>
      <c r="L214" s="508"/>
      <c r="M214" s="151"/>
      <c r="N214" s="151"/>
      <c r="O214" s="151"/>
      <c r="P214" s="151"/>
      <c r="Q214" s="1349"/>
      <c r="R214" s="169"/>
      <c r="S214" s="169"/>
      <c r="T214" s="169"/>
      <c r="U214" s="169"/>
      <c r="V214" s="169"/>
    </row>
    <row r="215" spans="5:23" ht="12.75" customHeight="1" x14ac:dyDescent="0.3">
      <c r="E215" s="507"/>
      <c r="F215" s="115"/>
      <c r="J215" s="508"/>
      <c r="K215" s="508"/>
      <c r="L215" s="508"/>
      <c r="M215" s="151"/>
      <c r="N215" s="151"/>
      <c r="O215" s="151"/>
      <c r="P215" s="151"/>
      <c r="Q215" s="1349"/>
      <c r="R215" s="169"/>
      <c r="S215" s="169"/>
      <c r="T215" s="169"/>
      <c r="U215" s="169"/>
      <c r="V215" s="169"/>
    </row>
    <row r="216" spans="5:23" ht="12.75" customHeight="1" x14ac:dyDescent="0.3">
      <c r="E216" s="115" t="s">
        <v>946</v>
      </c>
      <c r="F216" s="115"/>
      <c r="J216" s="151">
        <v>8712.8937506746734</v>
      </c>
      <c r="K216" s="151">
        <v>6981.7948718950647</v>
      </c>
      <c r="L216" s="151">
        <f>L$195*T216</f>
        <v>7595.9182641541529</v>
      </c>
      <c r="M216" s="151">
        <f>M$195*U216</f>
        <v>8310.1453232020394</v>
      </c>
      <c r="N216" s="151">
        <f>N$195*V216</f>
        <v>9059.9453541378734</v>
      </c>
      <c r="O216" s="547">
        <f>O$195*W216</f>
        <v>9395.1354606251443</v>
      </c>
      <c r="Q216" s="508"/>
      <c r="R216" s="169">
        <v>0.10002862957699615</v>
      </c>
      <c r="S216" s="1249">
        <v>9.0140015130011811E-2</v>
      </c>
      <c r="T216" s="1249">
        <v>9.4116051248378754E-2</v>
      </c>
      <c r="U216" s="1249">
        <v>9.9292008067508306E-2</v>
      </c>
      <c r="V216" s="1249">
        <v>0.10438807427196223</v>
      </c>
      <c r="W216" s="2082">
        <v>0.10438807427196223</v>
      </c>
    </row>
    <row r="217" spans="5:23" ht="12.75" customHeight="1" x14ac:dyDescent="0.3">
      <c r="E217" s="115" t="s">
        <v>947</v>
      </c>
      <c r="F217" s="115"/>
      <c r="J217" s="151">
        <v>203.01032420839442</v>
      </c>
      <c r="K217" s="151">
        <v>169.46934231391091</v>
      </c>
      <c r="L217" s="151">
        <f t="shared" ref="L217:L228" si="37">L$195*T217</f>
        <v>176.01365760352741</v>
      </c>
      <c r="M217" s="151">
        <f t="shared" ref="M217:M228" si="38">M$195*U217</f>
        <v>181.9361911109653</v>
      </c>
      <c r="N217" s="151">
        <f t="shared" ref="N217:O228" si="39">N$195*V217</f>
        <v>188.05671128536343</v>
      </c>
      <c r="O217" s="547">
        <f t="shared" si="39"/>
        <v>195.01423107355924</v>
      </c>
      <c r="Q217" s="508"/>
      <c r="R217" s="169">
        <v>2.3306659189979155E-3</v>
      </c>
      <c r="S217" s="1249">
        <v>2.1879716262850806E-3</v>
      </c>
      <c r="T217" s="1249">
        <v>2.1808700203638722E-3</v>
      </c>
      <c r="U217" s="1249">
        <v>2.1738259745138874E-3</v>
      </c>
      <c r="V217" s="1249">
        <v>2.1667766391142334E-3</v>
      </c>
      <c r="W217" s="2082">
        <v>2.1667766391142334E-3</v>
      </c>
    </row>
    <row r="218" spans="5:23" ht="12.75" customHeight="1" x14ac:dyDescent="0.3">
      <c r="E218" s="115" t="s">
        <v>948</v>
      </c>
      <c r="F218" s="115"/>
      <c r="J218" s="151">
        <v>16667.946515069063</v>
      </c>
      <c r="K218" s="151">
        <v>13545.84668272928</v>
      </c>
      <c r="L218" s="151">
        <f t="shared" si="37"/>
        <v>14074.387904588228</v>
      </c>
      <c r="M218" s="151">
        <f t="shared" si="38"/>
        <v>14553.365379415678</v>
      </c>
      <c r="N218" s="151">
        <f t="shared" si="39"/>
        <v>15048.733688696328</v>
      </c>
      <c r="O218" s="547">
        <f t="shared" si="39"/>
        <v>15605.490539918273</v>
      </c>
      <c r="Q218" s="508"/>
      <c r="R218" s="169">
        <v>0.19135684371635128</v>
      </c>
      <c r="S218" s="509">
        <v>0.17488666558297436</v>
      </c>
      <c r="T218" s="509">
        <v>0.17438652803424973</v>
      </c>
      <c r="U218" s="509">
        <v>0.17388779816254066</v>
      </c>
      <c r="V218" s="509">
        <v>0.17339048621050948</v>
      </c>
      <c r="W218" s="2083">
        <v>0.17339048621050948</v>
      </c>
    </row>
    <row r="219" spans="5:23" ht="12.75" customHeight="1" x14ac:dyDescent="0.3">
      <c r="E219" s="115" t="s">
        <v>949</v>
      </c>
      <c r="F219" s="115"/>
      <c r="J219" s="151">
        <v>22107.567856545815</v>
      </c>
      <c r="K219" s="151">
        <v>17581.975180000001</v>
      </c>
      <c r="L219" s="151">
        <f t="shared" si="37"/>
        <v>17928.394411999998</v>
      </c>
      <c r="M219" s="151">
        <f t="shared" si="38"/>
        <v>18465.574607999999</v>
      </c>
      <c r="N219" s="151">
        <f t="shared" si="39"/>
        <v>19018.425039000002</v>
      </c>
      <c r="O219" s="547">
        <f t="shared" si="39"/>
        <v>19722.048258000003</v>
      </c>
      <c r="Q219" s="508"/>
      <c r="R219" s="169">
        <v>0.2538065744000943</v>
      </c>
      <c r="S219" s="509">
        <v>0.226996</v>
      </c>
      <c r="T219" s="509">
        <v>0.22213899999999998</v>
      </c>
      <c r="U219" s="509">
        <v>0.22063199999999999</v>
      </c>
      <c r="V219" s="509">
        <v>0.21912900000000002</v>
      </c>
      <c r="W219" s="2083">
        <v>0.21912900000000002</v>
      </c>
    </row>
    <row r="220" spans="5:23" ht="12.75" customHeight="1" x14ac:dyDescent="0.3">
      <c r="E220" s="308" t="s">
        <v>950</v>
      </c>
      <c r="F220" s="115"/>
      <c r="J220" s="151">
        <v>3060.5752542536165</v>
      </c>
      <c r="K220" s="151">
        <v>2392.9734473958561</v>
      </c>
      <c r="L220" s="151">
        <f t="shared" si="37"/>
        <v>2483.0960450786838</v>
      </c>
      <c r="M220" s="151">
        <f t="shared" si="38"/>
        <v>2564.3089323233694</v>
      </c>
      <c r="N220" s="151">
        <f t="shared" si="39"/>
        <v>2648.2733901283523</v>
      </c>
      <c r="O220" s="547">
        <f t="shared" si="39"/>
        <v>2746.2513585317824</v>
      </c>
      <c r="Q220" s="508"/>
      <c r="R220" s="169">
        <v>3.513702303285287E-2</v>
      </c>
      <c r="S220" s="509">
        <v>3.0895015782013507E-2</v>
      </c>
      <c r="T220" s="509">
        <v>3.0766417766252215E-2</v>
      </c>
      <c r="U220" s="509">
        <v>3.0639101158068314E-2</v>
      </c>
      <c r="V220" s="509">
        <v>3.051322591199954E-2</v>
      </c>
      <c r="W220" s="2083">
        <v>3.051322591199954E-2</v>
      </c>
    </row>
    <row r="221" spans="5:23" ht="12.75" customHeight="1" x14ac:dyDescent="0.3">
      <c r="E221" s="308" t="s">
        <v>951</v>
      </c>
      <c r="F221" s="115"/>
      <c r="J221" s="151">
        <v>10499.166680916958</v>
      </c>
      <c r="K221" s="151">
        <v>9451.2958044922652</v>
      </c>
      <c r="L221" s="151">
        <f t="shared" si="37"/>
        <v>9810.9901664478111</v>
      </c>
      <c r="M221" s="151">
        <f t="shared" si="38"/>
        <v>10136.240961092031</v>
      </c>
      <c r="N221" s="151">
        <f t="shared" si="39"/>
        <v>10473.095774182499</v>
      </c>
      <c r="O221" s="547">
        <f t="shared" si="39"/>
        <v>10860.568098857868</v>
      </c>
      <c r="Q221" s="508"/>
      <c r="R221" s="169">
        <v>0.12053598779524428</v>
      </c>
      <c r="S221" s="509">
        <v>0.12202305602597979</v>
      </c>
      <c r="T221" s="509">
        <v>0.12156155729850587</v>
      </c>
      <c r="U221" s="509">
        <v>0.12111072431825497</v>
      </c>
      <c r="V221" s="509">
        <v>0.120670297314036</v>
      </c>
      <c r="W221" s="2083">
        <v>0.120670297314036</v>
      </c>
    </row>
    <row r="222" spans="5:23" ht="12.75" customHeight="1" x14ac:dyDescent="0.3">
      <c r="E222" s="308" t="s">
        <v>952</v>
      </c>
      <c r="F222" s="115"/>
      <c r="J222" s="151">
        <v>0</v>
      </c>
      <c r="K222" s="151">
        <v>0</v>
      </c>
      <c r="L222" s="151">
        <f t="shared" si="37"/>
        <v>0</v>
      </c>
      <c r="M222" s="151">
        <f t="shared" si="38"/>
        <v>0</v>
      </c>
      <c r="N222" s="151">
        <f t="shared" si="39"/>
        <v>0</v>
      </c>
      <c r="O222" s="547">
        <f t="shared" si="39"/>
        <v>0</v>
      </c>
      <c r="Q222" s="508"/>
      <c r="R222" s="169">
        <v>0</v>
      </c>
      <c r="S222" s="509">
        <v>0</v>
      </c>
      <c r="T222" s="509">
        <v>0</v>
      </c>
      <c r="U222" s="509">
        <v>0</v>
      </c>
      <c r="V222" s="509">
        <v>0</v>
      </c>
      <c r="W222" s="2083">
        <v>0</v>
      </c>
    </row>
    <row r="223" spans="5:23" ht="12.75" customHeight="1" x14ac:dyDescent="0.3">
      <c r="E223" s="308" t="s">
        <v>953</v>
      </c>
      <c r="F223" s="115"/>
      <c r="J223" s="151">
        <v>0</v>
      </c>
      <c r="K223" s="151">
        <v>0</v>
      </c>
      <c r="L223" s="151">
        <f t="shared" si="37"/>
        <v>0</v>
      </c>
      <c r="M223" s="151">
        <f t="shared" si="38"/>
        <v>0</v>
      </c>
      <c r="N223" s="151">
        <f t="shared" si="39"/>
        <v>0</v>
      </c>
      <c r="O223" s="547">
        <f t="shared" si="39"/>
        <v>0</v>
      </c>
      <c r="Q223" s="508"/>
      <c r="R223" s="169">
        <v>0</v>
      </c>
      <c r="S223" s="509">
        <v>0</v>
      </c>
      <c r="T223" s="509">
        <v>0</v>
      </c>
      <c r="U223" s="509">
        <v>0</v>
      </c>
      <c r="V223" s="509">
        <v>0</v>
      </c>
      <c r="W223" s="2083">
        <v>0</v>
      </c>
    </row>
    <row r="224" spans="5:23" ht="12.75" customHeight="1" x14ac:dyDescent="0.3">
      <c r="E224" s="115"/>
      <c r="F224" s="115"/>
      <c r="J224" s="151">
        <v>0</v>
      </c>
      <c r="K224" s="151">
        <v>0</v>
      </c>
      <c r="L224" s="151">
        <f t="shared" si="37"/>
        <v>0</v>
      </c>
      <c r="M224" s="151">
        <f t="shared" si="38"/>
        <v>0</v>
      </c>
      <c r="N224" s="151">
        <f t="shared" si="39"/>
        <v>0</v>
      </c>
      <c r="O224" s="547">
        <f t="shared" si="39"/>
        <v>0</v>
      </c>
      <c r="Q224" s="508"/>
      <c r="R224" s="169"/>
      <c r="S224" s="169"/>
      <c r="T224" s="169"/>
      <c r="U224" s="169"/>
      <c r="V224" s="169"/>
      <c r="W224" s="2085"/>
    </row>
    <row r="225" spans="5:23" ht="12.75" customHeight="1" x14ac:dyDescent="0.3">
      <c r="E225" s="507" t="s">
        <v>954</v>
      </c>
      <c r="F225" s="115"/>
      <c r="J225" s="151">
        <v>0</v>
      </c>
      <c r="K225" s="151">
        <v>0</v>
      </c>
      <c r="L225" s="151">
        <f t="shared" si="37"/>
        <v>0</v>
      </c>
      <c r="M225" s="151">
        <f t="shared" si="38"/>
        <v>0</v>
      </c>
      <c r="N225" s="151">
        <f t="shared" si="39"/>
        <v>0</v>
      </c>
      <c r="O225" s="547">
        <f t="shared" si="39"/>
        <v>0</v>
      </c>
      <c r="Q225" s="508"/>
      <c r="R225" s="169"/>
      <c r="S225" s="169"/>
      <c r="T225" s="169"/>
      <c r="U225" s="169"/>
      <c r="V225" s="169"/>
      <c r="W225" s="2085"/>
    </row>
    <row r="226" spans="5:23" ht="12.75" customHeight="1" x14ac:dyDescent="0.3">
      <c r="E226" s="115"/>
      <c r="F226" s="115"/>
      <c r="J226" s="151">
        <v>0</v>
      </c>
      <c r="K226" s="151">
        <v>0</v>
      </c>
      <c r="L226" s="151">
        <f t="shared" si="37"/>
        <v>0</v>
      </c>
      <c r="M226" s="151">
        <f t="shared" si="38"/>
        <v>0</v>
      </c>
      <c r="N226" s="151">
        <f t="shared" si="39"/>
        <v>0</v>
      </c>
      <c r="O226" s="547">
        <f t="shared" si="39"/>
        <v>0</v>
      </c>
      <c r="Q226" s="508"/>
      <c r="R226" s="169"/>
      <c r="S226" s="169"/>
      <c r="T226" s="169"/>
      <c r="U226" s="169"/>
      <c r="V226" s="169"/>
      <c r="W226" s="2085"/>
    </row>
    <row r="227" spans="5:23" ht="12.75" customHeight="1" x14ac:dyDescent="0.3">
      <c r="E227" s="115" t="s">
        <v>955</v>
      </c>
      <c r="F227" s="115"/>
      <c r="J227" s="151">
        <v>3558.7611481068525</v>
      </c>
      <c r="K227" s="151">
        <v>2498.9661197238192</v>
      </c>
      <c r="L227" s="151">
        <f t="shared" si="37"/>
        <v>3840.0395016734392</v>
      </c>
      <c r="M227" s="151">
        <f t="shared" si="38"/>
        <v>3817.1048556233254</v>
      </c>
      <c r="N227" s="151">
        <f t="shared" si="39"/>
        <v>3835.1734532949336</v>
      </c>
      <c r="O227" s="547">
        <f t="shared" si="39"/>
        <v>3977.0630727085831</v>
      </c>
      <c r="Q227" s="508"/>
      <c r="R227" s="169">
        <v>4.085646064597323E-2</v>
      </c>
      <c r="S227" s="509">
        <v>3.2263457746095403E-2</v>
      </c>
      <c r="T227" s="509">
        <v>4.7579415939850316E-2</v>
      </c>
      <c r="U227" s="509">
        <v>4.5607867417297838E-2</v>
      </c>
      <c r="V227" s="509">
        <v>4.4188607727701418E-2</v>
      </c>
      <c r="W227" s="2083">
        <v>4.4188607727701418E-2</v>
      </c>
    </row>
    <row r="228" spans="5:23" ht="12.75" customHeight="1" x14ac:dyDescent="0.3">
      <c r="E228" s="115" t="s">
        <v>956</v>
      </c>
      <c r="F228" s="115"/>
      <c r="J228" s="151">
        <v>14516.895116001662</v>
      </c>
      <c r="K228" s="151">
        <v>13027.001540000001</v>
      </c>
      <c r="L228" s="151">
        <f t="shared" si="37"/>
        <v>13056.617408000002</v>
      </c>
      <c r="M228" s="151">
        <f t="shared" si="38"/>
        <v>10923.991962</v>
      </c>
      <c r="N228" s="151">
        <f t="shared" si="39"/>
        <v>10903.987284999999</v>
      </c>
      <c r="O228" s="547">
        <f t="shared" si="39"/>
        <v>11307.40127</v>
      </c>
      <c r="P228" s="151"/>
      <c r="Q228" s="508"/>
      <c r="R228" s="169">
        <v>0.16666163569987213</v>
      </c>
      <c r="S228" s="509">
        <v>0.168188</v>
      </c>
      <c r="T228" s="509">
        <v>0.16177600000000003</v>
      </c>
      <c r="U228" s="509">
        <v>0.130523</v>
      </c>
      <c r="V228" s="509">
        <v>0.125635</v>
      </c>
      <c r="W228" s="2083">
        <v>0.125635</v>
      </c>
    </row>
    <row r="229" spans="5:23" ht="12.75" customHeight="1" x14ac:dyDescent="0.3">
      <c r="E229" s="411"/>
      <c r="F229" s="301"/>
      <c r="G229" s="301"/>
      <c r="H229" s="359"/>
      <c r="I229" s="359"/>
      <c r="J229" s="151"/>
      <c r="K229" s="151"/>
      <c r="L229" s="151"/>
      <c r="M229" s="151"/>
      <c r="N229" s="151"/>
      <c r="O229" s="547"/>
      <c r="P229" s="151"/>
      <c r="Q229" s="1349"/>
      <c r="R229" s="169"/>
      <c r="S229" s="169"/>
      <c r="T229" s="169"/>
      <c r="U229" s="169"/>
      <c r="V229" s="169"/>
      <c r="W229" s="2085"/>
    </row>
    <row r="230" spans="5:23" ht="12.75" customHeight="1" x14ac:dyDescent="0.3">
      <c r="E230" s="427" t="s">
        <v>957</v>
      </c>
      <c r="J230" s="114">
        <v>79326.816645777042</v>
      </c>
      <c r="K230" s="114">
        <v>65649.322988550193</v>
      </c>
      <c r="L230" s="114">
        <f t="shared" ref="L230:M230" si="40">SUM(L205:L229)</f>
        <v>68965.457359545835</v>
      </c>
      <c r="M230" s="114">
        <f t="shared" si="40"/>
        <v>68952.668212767414</v>
      </c>
      <c r="N230" s="114">
        <f t="shared" ref="N230:O230" si="41">SUM(N205:N229)</f>
        <v>71175.690695725352</v>
      </c>
      <c r="O230" s="544">
        <f t="shared" si="41"/>
        <v>73808.97228971521</v>
      </c>
      <c r="R230" s="169"/>
      <c r="S230" s="169"/>
      <c r="T230" s="169"/>
      <c r="U230" s="169"/>
      <c r="V230" s="169"/>
      <c r="W230" s="2085"/>
    </row>
    <row r="231" spans="5:23" ht="12.75" customHeight="1" x14ac:dyDescent="0.3">
      <c r="P231" s="381" t="s">
        <v>958</v>
      </c>
      <c r="Q231" s="514"/>
      <c r="R231" s="169">
        <v>0.91071382078638219</v>
      </c>
      <c r="S231" s="169">
        <f>SUM(S216:S230)</f>
        <v>0.84758018189335993</v>
      </c>
      <c r="T231" s="169">
        <f t="shared" ref="T231:V231" si="42">SUM(T216:T230)</f>
        <v>0.85450584030760068</v>
      </c>
      <c r="U231" s="169">
        <f t="shared" si="42"/>
        <v>0.82386632509818392</v>
      </c>
      <c r="V231" s="169">
        <f t="shared" si="42"/>
        <v>0.82008146807532278</v>
      </c>
      <c r="W231" s="2085">
        <f t="shared" ref="W231" si="43">SUM(W216:W230)</f>
        <v>0.82008146807532278</v>
      </c>
    </row>
    <row r="232" spans="5:23" ht="12.75" customHeight="1" x14ac:dyDescent="0.3">
      <c r="E232" s="301" t="s">
        <v>959</v>
      </c>
      <c r="F232" s="301"/>
      <c r="G232" s="301"/>
      <c r="H232" s="359"/>
      <c r="I232" s="359"/>
      <c r="J232" s="503">
        <v>132777</v>
      </c>
      <c r="K232" s="503">
        <v>124473</v>
      </c>
      <c r="L232" s="503">
        <f t="shared" ref="L232:M232" si="44">L202</f>
        <v>128718</v>
      </c>
      <c r="M232" s="503">
        <f t="shared" si="44"/>
        <v>132785</v>
      </c>
      <c r="N232" s="503">
        <f t="shared" ref="N232:O232" si="45">N202</f>
        <v>136989</v>
      </c>
      <c r="O232" s="503">
        <f t="shared" si="45"/>
        <v>137100</v>
      </c>
      <c r="R232" s="169"/>
      <c r="S232" s="169"/>
      <c r="T232" s="169"/>
      <c r="U232" s="169"/>
      <c r="V232" s="169"/>
    </row>
    <row r="233" spans="5:23" ht="12.75" customHeight="1" x14ac:dyDescent="0.3">
      <c r="E233" s="301" t="s">
        <v>960</v>
      </c>
      <c r="F233" s="301"/>
      <c r="G233" s="301"/>
      <c r="H233" s="359"/>
      <c r="I233" s="359"/>
      <c r="J233" s="503">
        <v>79326.816645777042</v>
      </c>
      <c r="K233" s="503">
        <v>65649.322988550193</v>
      </c>
      <c r="L233" s="503">
        <f t="shared" ref="L233:M233" si="46">L230</f>
        <v>68965.457359545835</v>
      </c>
      <c r="M233" s="503">
        <f t="shared" si="46"/>
        <v>68952.668212767414</v>
      </c>
      <c r="N233" s="503">
        <f t="shared" ref="N233:O233" si="47">N230</f>
        <v>71175.690695725352</v>
      </c>
      <c r="O233" s="503">
        <f t="shared" si="47"/>
        <v>73808.97228971521</v>
      </c>
    </row>
    <row r="234" spans="5:23" ht="12.75" customHeight="1" x14ac:dyDescent="0.3">
      <c r="E234" s="301" t="s">
        <v>961</v>
      </c>
      <c r="F234" s="301"/>
      <c r="G234" s="301"/>
      <c r="H234" s="359"/>
      <c r="I234" s="359"/>
      <c r="J234" s="511">
        <v>-3628037</v>
      </c>
      <c r="K234" s="511">
        <v>-4016194</v>
      </c>
      <c r="L234" s="511">
        <f>L65+L70+L75</f>
        <v>-4519324</v>
      </c>
      <c r="M234" s="511">
        <f>M65+M70+M75</f>
        <v>-4903470</v>
      </c>
      <c r="N234" s="511">
        <f>N65+N70+N75</f>
        <v>-5320618</v>
      </c>
      <c r="O234" s="511">
        <f>O65+O70+O75</f>
        <v>-6771</v>
      </c>
    </row>
    <row r="235" spans="5:23" ht="12.75" customHeight="1" x14ac:dyDescent="0.3">
      <c r="E235" s="301"/>
      <c r="F235" s="301"/>
      <c r="G235" s="301"/>
      <c r="H235" s="359"/>
      <c r="I235" s="359"/>
      <c r="J235" s="503"/>
      <c r="K235" s="503"/>
      <c r="L235" s="503"/>
      <c r="M235" s="503"/>
      <c r="N235" s="503"/>
      <c r="O235" s="503"/>
    </row>
    <row r="236" spans="5:23" ht="12.75" customHeight="1" x14ac:dyDescent="0.3">
      <c r="E236" s="301"/>
      <c r="F236" s="301"/>
      <c r="G236" s="301"/>
      <c r="H236" s="359"/>
      <c r="I236" s="359"/>
      <c r="J236" s="503"/>
      <c r="K236" s="503"/>
      <c r="L236" s="503"/>
      <c r="M236" s="503"/>
      <c r="N236" s="503"/>
      <c r="O236" s="503"/>
    </row>
    <row r="237" spans="5:23" ht="12.75" customHeight="1" x14ac:dyDescent="0.3">
      <c r="E237" s="301" t="s">
        <v>962</v>
      </c>
      <c r="F237" s="301"/>
      <c r="G237" s="301"/>
      <c r="H237" s="359"/>
      <c r="I237" s="359"/>
      <c r="J237" s="510">
        <v>-3415933.1833542231</v>
      </c>
      <c r="K237" s="510">
        <v>-3826071.6770114498</v>
      </c>
      <c r="L237" s="510">
        <f t="shared" ref="L237:M237" si="48">SUM(L232:L236)</f>
        <v>-4321640.5426404541</v>
      </c>
      <c r="M237" s="510">
        <f t="shared" si="48"/>
        <v>-4701732.3317872323</v>
      </c>
      <c r="N237" s="510">
        <f t="shared" ref="N237:O237" si="49">SUM(N232:N236)</f>
        <v>-5112453.3093042746</v>
      </c>
      <c r="O237" s="510">
        <f t="shared" si="49"/>
        <v>204137.9722897152</v>
      </c>
    </row>
  </sheetData>
  <mergeCells count="3">
    <mergeCell ref="D50:D51"/>
    <mergeCell ref="F50:F51"/>
    <mergeCell ref="G50:H51"/>
  </mergeCells>
  <phoneticPr fontId="52" type="noConversion"/>
  <hyperlinks>
    <hyperlink ref="A1" location="Inhoudsopgave!A1" display="Inhoudsopgave" xr:uid="{28CE795A-F129-4048-93D3-2F88C41833F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82" min="3" max="14" man="1"/>
    <brk id="164" min="3" max="14"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D522-ECEC-4987-A8BC-513DA570756F}">
  <sheetPr codeName="Blad10"/>
  <dimension ref="A1:W145"/>
  <sheetViews>
    <sheetView showGridLines="0" view="pageBreakPreview" topLeftCell="D55" zoomScaleNormal="100" zoomScaleSheetLayoutView="100" workbookViewId="0"/>
  </sheetViews>
  <sheetFormatPr defaultColWidth="9.109375" defaultRowHeight="12.75" customHeight="1" x14ac:dyDescent="0.3"/>
  <cols>
    <col min="1" max="1" width="14" style="27" bestFit="1" customWidth="1"/>
    <col min="2" max="3" width="17.109375" style="115" customWidth="1"/>
    <col min="4" max="4" width="9.6640625" style="301" customWidth="1"/>
    <col min="5" max="6" width="9.6640625" style="143" customWidth="1"/>
    <col min="7" max="9" width="12.6640625" style="115" customWidth="1"/>
    <col min="10" max="15" width="11.6640625" style="115" customWidth="1"/>
    <col min="16" max="16" width="21.109375" style="115" customWidth="1"/>
    <col min="17" max="17" width="15.44140625" style="115" customWidth="1"/>
    <col min="18" max="20" width="11.5546875" style="115" bestFit="1" customWidth="1"/>
    <col min="21" max="22" width="10.44140625" style="115" bestFit="1" customWidth="1"/>
    <col min="23"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1296"/>
      <c r="E3" s="1297"/>
      <c r="F3" s="1297"/>
      <c r="G3" s="1298"/>
      <c r="H3" s="1298"/>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1296"/>
      <c r="E4" s="1297"/>
      <c r="F4" s="1297"/>
      <c r="G4" s="1298"/>
      <c r="H4" s="1298"/>
      <c r="P4" s="115" t="s">
        <v>2107</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3">
      <c r="D6" s="301" t="s">
        <v>66</v>
      </c>
      <c r="H6" s="115" t="s">
        <v>2108</v>
      </c>
    </row>
    <row r="22" spans="4:20" ht="12.75" customHeight="1" x14ac:dyDescent="0.3">
      <c r="D22" s="452" t="s">
        <v>507</v>
      </c>
      <c r="E22" s="438"/>
      <c r="F22" s="438"/>
      <c r="G22" s="453"/>
      <c r="H22" s="453"/>
      <c r="I22" s="453"/>
      <c r="J22" s="453"/>
      <c r="K22" s="453"/>
      <c r="L22" s="453"/>
      <c r="M22" s="453"/>
      <c r="N22" s="453"/>
      <c r="O22" s="453"/>
    </row>
    <row r="23" spans="4:20" ht="12.75" customHeight="1" x14ac:dyDescent="0.3">
      <c r="D23" s="438"/>
      <c r="E23" s="438"/>
      <c r="F23" s="438"/>
      <c r="G23" s="453"/>
      <c r="H23" s="453"/>
      <c r="I23" s="453"/>
      <c r="J23" s="453"/>
      <c r="K23" s="453"/>
      <c r="L23" s="453"/>
      <c r="M23" s="453"/>
      <c r="N23" s="453"/>
      <c r="O23" s="453"/>
    </row>
    <row r="24" spans="4:20" ht="12.75" customHeight="1" x14ac:dyDescent="0.3">
      <c r="D24" s="1746" t="s">
        <v>508</v>
      </c>
      <c r="E24" s="1747"/>
      <c r="F24" s="1747"/>
      <c r="G24" s="1748"/>
      <c r="H24" s="1748"/>
      <c r="I24" s="1749"/>
      <c r="J24" s="1749">
        <v>2025</v>
      </c>
      <c r="K24" s="1749">
        <v>2026</v>
      </c>
      <c r="L24" s="1749">
        <v>2027</v>
      </c>
      <c r="M24" s="1749">
        <v>2028</v>
      </c>
      <c r="N24" s="1749">
        <v>2029</v>
      </c>
      <c r="O24" s="1749">
        <v>2030</v>
      </c>
    </row>
    <row r="25" spans="4:20" ht="12.75" customHeight="1" x14ac:dyDescent="0.3">
      <c r="D25" s="454" t="str">
        <f>G51</f>
        <v>Directe toerekening belastingen</v>
      </c>
      <c r="E25" s="455"/>
      <c r="F25" s="456"/>
      <c r="G25" s="453"/>
      <c r="H25" s="453"/>
      <c r="I25" s="518"/>
      <c r="J25" s="25">
        <v>63955</v>
      </c>
      <c r="K25" s="25">
        <v>65986</v>
      </c>
      <c r="L25" s="25">
        <f t="shared" ref="L25:M25" si="0">L54</f>
        <v>68757</v>
      </c>
      <c r="M25" s="25">
        <f t="shared" si="0"/>
        <v>71301</v>
      </c>
      <c r="N25" s="25">
        <f t="shared" ref="N25:O25" si="1">N54</f>
        <v>73939</v>
      </c>
      <c r="O25" s="25">
        <f t="shared" si="1"/>
        <v>76675</v>
      </c>
    </row>
    <row r="26" spans="4:20" ht="12.75" customHeight="1" x14ac:dyDescent="0.3">
      <c r="D26" s="454"/>
      <c r="E26" s="455"/>
      <c r="F26" s="456"/>
      <c r="G26" s="453"/>
      <c r="H26" s="453"/>
      <c r="I26" s="518"/>
      <c r="J26" s="25"/>
      <c r="K26" s="25"/>
      <c r="L26" s="25"/>
      <c r="M26" s="25"/>
      <c r="N26" s="25"/>
      <c r="O26" s="25"/>
    </row>
    <row r="27" spans="4:20" ht="12.75" customHeight="1" x14ac:dyDescent="0.3">
      <c r="D27" s="454"/>
      <c r="E27" s="455"/>
      <c r="F27" s="456"/>
      <c r="G27" s="453"/>
      <c r="H27" s="453"/>
      <c r="I27" s="518"/>
      <c r="J27" s="28"/>
      <c r="K27" s="28"/>
      <c r="L27" s="28"/>
      <c r="M27" s="28"/>
      <c r="N27" s="28"/>
      <c r="O27" s="28"/>
      <c r="Q27" s="114"/>
      <c r="T27" s="310"/>
    </row>
    <row r="28" spans="4:20" ht="12.75" customHeight="1" x14ac:dyDescent="0.3">
      <c r="D28" s="454"/>
      <c r="E28" s="455"/>
      <c r="F28" s="456"/>
      <c r="G28" s="453"/>
      <c r="H28" s="453"/>
      <c r="I28" s="518"/>
      <c r="J28" s="26"/>
      <c r="K28" s="26"/>
      <c r="L28" s="26"/>
      <c r="M28" s="26"/>
      <c r="N28" s="26"/>
      <c r="O28" s="26"/>
      <c r="Q28" s="114"/>
      <c r="T28" s="310"/>
    </row>
    <row r="29" spans="4:20" ht="12.75" customHeight="1" x14ac:dyDescent="0.3">
      <c r="D29" s="1751" t="s">
        <v>525</v>
      </c>
      <c r="E29" s="1752"/>
      <c r="F29" s="1753"/>
      <c r="G29" s="1754"/>
      <c r="H29" s="1754"/>
      <c r="I29" s="1757"/>
      <c r="J29" s="1755">
        <v>63955</v>
      </c>
      <c r="K29" s="1755">
        <v>65986</v>
      </c>
      <c r="L29" s="1755">
        <f>SUM(L25:L28)</f>
        <v>68757</v>
      </c>
      <c r="M29" s="1755">
        <f>SUM(M25:M28)</f>
        <v>71301</v>
      </c>
      <c r="N29" s="1755">
        <f>SUM(N25:N28)</f>
        <v>73939</v>
      </c>
      <c r="O29" s="1755">
        <f>SUM(O25:O28)</f>
        <v>76675</v>
      </c>
      <c r="Q29" s="114"/>
      <c r="T29" s="310"/>
    </row>
    <row r="30" spans="4:20" ht="12.75" customHeight="1" x14ac:dyDescent="0.3">
      <c r="D30" s="438"/>
      <c r="E30" s="455"/>
      <c r="F30" s="456"/>
      <c r="G30" s="453"/>
      <c r="H30" s="453"/>
      <c r="I30" s="453"/>
      <c r="J30" s="453"/>
      <c r="K30" s="453"/>
      <c r="L30" s="453"/>
      <c r="M30" s="453"/>
      <c r="N30" s="453"/>
      <c r="O30" s="453"/>
    </row>
    <row r="31" spans="4:20" ht="12.75" customHeight="1" x14ac:dyDescent="0.3">
      <c r="D31" s="1746" t="s">
        <v>526</v>
      </c>
      <c r="E31" s="1747"/>
      <c r="F31" s="1747"/>
      <c r="G31" s="1748"/>
      <c r="H31" s="1748"/>
      <c r="I31" s="1749"/>
      <c r="J31" s="1749">
        <v>2025</v>
      </c>
      <c r="K31" s="1749">
        <v>2026</v>
      </c>
      <c r="L31" s="1749">
        <v>2027</v>
      </c>
      <c r="M31" s="1749">
        <v>2028</v>
      </c>
      <c r="N31" s="1749">
        <v>2029</v>
      </c>
      <c r="O31" s="1749">
        <v>2030</v>
      </c>
    </row>
    <row r="32" spans="4:20" ht="12.75" customHeight="1" x14ac:dyDescent="0.3">
      <c r="D32" s="454" t="str">
        <f>G56</f>
        <v>Bouwgrondbelasting Koekoekbos</v>
      </c>
      <c r="E32" s="455"/>
      <c r="F32" s="456"/>
      <c r="G32" s="453"/>
      <c r="H32" s="453"/>
      <c r="I32" s="518"/>
      <c r="J32" s="463">
        <v>0</v>
      </c>
      <c r="K32" s="463">
        <v>0</v>
      </c>
      <c r="L32" s="463">
        <f t="shared" ref="L32:M32" si="2">+L59</f>
        <v>0</v>
      </c>
      <c r="M32" s="463">
        <f t="shared" si="2"/>
        <v>0</v>
      </c>
      <c r="N32" s="463">
        <f t="shared" ref="N32:O32" si="3">+N59</f>
        <v>0</v>
      </c>
      <c r="O32" s="463">
        <f t="shared" si="3"/>
        <v>0</v>
      </c>
    </row>
    <row r="33" spans="1:20" ht="12.75" customHeight="1" x14ac:dyDescent="0.3">
      <c r="D33" s="454" t="str">
        <f>G66</f>
        <v>Precariobelasting</v>
      </c>
      <c r="E33" s="455"/>
      <c r="F33" s="456"/>
      <c r="G33" s="453"/>
      <c r="H33" s="453"/>
      <c r="I33" s="518"/>
      <c r="J33" s="463">
        <v>-83519</v>
      </c>
      <c r="K33" s="463">
        <v>-86286.491999999998</v>
      </c>
      <c r="L33" s="463">
        <f t="shared" ref="L33:M33" si="4">+L69</f>
        <v>-89404.379220000003</v>
      </c>
      <c r="M33" s="463">
        <f t="shared" si="4"/>
        <v>-92635.337492699997</v>
      </c>
      <c r="N33" s="463">
        <f t="shared" ref="N33:O33" si="5">+N69</f>
        <v>-95557.279304944488</v>
      </c>
      <c r="O33" s="463">
        <f t="shared" si="5"/>
        <v>-98572.149080617542</v>
      </c>
    </row>
    <row r="34" spans="1:20" ht="12.75" customHeight="1" x14ac:dyDescent="0.3">
      <c r="D34" s="454" t="str">
        <f>G71</f>
        <v>Reclamebelasting</v>
      </c>
      <c r="E34" s="455"/>
      <c r="F34" s="456"/>
      <c r="G34" s="453"/>
      <c r="H34" s="453"/>
      <c r="I34" s="518"/>
      <c r="J34" s="463">
        <v>0</v>
      </c>
      <c r="K34" s="463">
        <v>0</v>
      </c>
      <c r="L34" s="463">
        <f t="shared" ref="L34:M34" si="6">+L74</f>
        <v>0</v>
      </c>
      <c r="M34" s="463">
        <f t="shared" si="6"/>
        <v>0</v>
      </c>
      <c r="N34" s="463">
        <f t="shared" ref="N34:O34" si="7">+N74</f>
        <v>0</v>
      </c>
      <c r="O34" s="463">
        <f t="shared" si="7"/>
        <v>0</v>
      </c>
    </row>
    <row r="35" spans="1:20" ht="12.75" customHeight="1" x14ac:dyDescent="0.3">
      <c r="D35" s="454"/>
      <c r="E35" s="455"/>
      <c r="F35" s="456"/>
      <c r="G35" s="453"/>
      <c r="H35" s="453"/>
      <c r="I35" s="518"/>
      <c r="J35" s="463"/>
      <c r="K35" s="463"/>
      <c r="L35" s="463"/>
      <c r="M35" s="463"/>
      <c r="N35" s="463"/>
      <c r="O35" s="463"/>
      <c r="Q35" s="114"/>
      <c r="T35" s="310"/>
    </row>
    <row r="36" spans="1:20" ht="12.75" customHeight="1" x14ac:dyDescent="0.3">
      <c r="D36" s="454"/>
      <c r="E36" s="455"/>
      <c r="F36" s="456"/>
      <c r="G36" s="453"/>
      <c r="H36" s="453"/>
      <c r="I36" s="518"/>
      <c r="J36" s="463"/>
      <c r="K36" s="463"/>
      <c r="L36" s="463"/>
      <c r="M36" s="463"/>
      <c r="N36" s="463"/>
      <c r="O36" s="463"/>
      <c r="Q36" s="114"/>
      <c r="T36" s="310"/>
    </row>
    <row r="37" spans="1:20" ht="12.75" customHeight="1" x14ac:dyDescent="0.3">
      <c r="D37" s="454"/>
      <c r="E37" s="455"/>
      <c r="F37" s="456"/>
      <c r="G37" s="453"/>
      <c r="H37" s="453"/>
      <c r="I37" s="518"/>
      <c r="J37" s="463"/>
      <c r="K37" s="463"/>
      <c r="L37" s="463"/>
      <c r="M37" s="463"/>
      <c r="N37" s="463"/>
      <c r="O37" s="463"/>
      <c r="Q37" s="114"/>
      <c r="T37" s="310"/>
    </row>
    <row r="38" spans="1:20" ht="12.75" customHeight="1" x14ac:dyDescent="0.3">
      <c r="D38" s="454"/>
      <c r="E38" s="455"/>
      <c r="F38" s="456"/>
      <c r="G38" s="453"/>
      <c r="H38" s="453"/>
      <c r="I38" s="518"/>
      <c r="J38" s="463"/>
      <c r="K38" s="463"/>
      <c r="L38" s="463"/>
      <c r="M38" s="463"/>
      <c r="N38" s="463"/>
      <c r="O38" s="463"/>
      <c r="Q38" s="114"/>
      <c r="T38" s="310"/>
    </row>
    <row r="39" spans="1:20" ht="12.75" customHeight="1" x14ac:dyDescent="0.3">
      <c r="D39" s="464"/>
      <c r="E39" s="465"/>
      <c r="F39" s="466"/>
      <c r="G39" s="467"/>
      <c r="H39" s="467"/>
      <c r="I39" s="518"/>
      <c r="J39" s="463"/>
      <c r="K39" s="463"/>
      <c r="L39" s="463"/>
      <c r="M39" s="463"/>
      <c r="N39" s="463"/>
      <c r="O39" s="463"/>
      <c r="Q39" s="114"/>
      <c r="T39" s="310"/>
    </row>
    <row r="40" spans="1:20" ht="12.75" customHeight="1" x14ac:dyDescent="0.3">
      <c r="D40" s="1751" t="s">
        <v>328</v>
      </c>
      <c r="E40" s="1752"/>
      <c r="F40" s="1753"/>
      <c r="G40" s="1754"/>
      <c r="H40" s="1754"/>
      <c r="I40" s="1757"/>
      <c r="J40" s="1755">
        <v>-83519</v>
      </c>
      <c r="K40" s="1755">
        <v>-86286.491999999998</v>
      </c>
      <c r="L40" s="1755">
        <f>SUM(L32:L39)</f>
        <v>-89404.379220000003</v>
      </c>
      <c r="M40" s="1755">
        <f>SUM(M32:M39)</f>
        <v>-92635.337492699997</v>
      </c>
      <c r="N40" s="1755">
        <f>SUM(N32:N39)</f>
        <v>-95557.279304944488</v>
      </c>
      <c r="O40" s="1755">
        <f>SUM(O32:O39)</f>
        <v>-98572.149080617542</v>
      </c>
      <c r="Q40" s="114"/>
      <c r="T40" s="310"/>
    </row>
    <row r="41" spans="1:20" ht="12.75" customHeight="1" x14ac:dyDescent="0.3">
      <c r="D41" s="438"/>
      <c r="E41" s="455"/>
      <c r="F41" s="456"/>
      <c r="G41" s="453"/>
      <c r="H41" s="453"/>
      <c r="I41" s="453"/>
      <c r="J41" s="469"/>
      <c r="K41" s="469"/>
      <c r="L41" s="469"/>
      <c r="M41" s="469"/>
      <c r="N41" s="469"/>
      <c r="O41" s="469"/>
      <c r="Q41" s="114"/>
      <c r="T41" s="310"/>
    </row>
    <row r="42" spans="1:20" ht="12.75" customHeight="1" x14ac:dyDescent="0.3">
      <c r="D42" s="1751" t="s">
        <v>2055</v>
      </c>
      <c r="E42" s="1756"/>
      <c r="F42" s="1756"/>
      <c r="G42" s="1754"/>
      <c r="H42" s="1754"/>
      <c r="I42" s="1754"/>
      <c r="J42" s="1758">
        <v>-19564</v>
      </c>
      <c r="K42" s="1758">
        <v>-20300.491999999998</v>
      </c>
      <c r="L42" s="1758">
        <f>L29+L40</f>
        <v>-20647.379220000003</v>
      </c>
      <c r="M42" s="1758">
        <f>M29+M40</f>
        <v>-21334.337492699997</v>
      </c>
      <c r="N42" s="1758">
        <f>N29+N40</f>
        <v>-21618.279304944488</v>
      </c>
      <c r="O42" s="1758">
        <f>O29+O40</f>
        <v>-21897.149080617542</v>
      </c>
      <c r="Q42" s="114"/>
      <c r="T42" s="310"/>
    </row>
    <row r="43" spans="1:20" ht="12.75" customHeight="1" x14ac:dyDescent="0.3">
      <c r="D43" s="438"/>
      <c r="E43" s="455"/>
      <c r="F43" s="456"/>
      <c r="G43" s="453"/>
      <c r="H43" s="453"/>
      <c r="I43" s="453"/>
      <c r="J43" s="469"/>
      <c r="K43" s="469"/>
      <c r="L43" s="469"/>
      <c r="M43" s="469"/>
      <c r="N43" s="469"/>
      <c r="O43" s="469"/>
      <c r="Q43" s="114"/>
      <c r="T43" s="310"/>
    </row>
    <row r="44" spans="1:20" ht="12.75" customHeight="1" x14ac:dyDescent="0.3">
      <c r="D44" s="438"/>
      <c r="E44" s="455"/>
      <c r="F44" s="456"/>
      <c r="G44" s="453"/>
      <c r="H44" s="453"/>
      <c r="I44" s="453"/>
      <c r="J44" s="469">
        <v>-54196</v>
      </c>
      <c r="K44" s="469">
        <v>-54196</v>
      </c>
      <c r="L44" s="469">
        <v>-54196</v>
      </c>
      <c r="M44" s="469">
        <v>-54195</v>
      </c>
      <c r="N44" s="469">
        <v>-54195</v>
      </c>
      <c r="O44" s="469">
        <v>-54195</v>
      </c>
      <c r="Q44" s="114"/>
      <c r="T44" s="310"/>
    </row>
    <row r="45" spans="1:20" ht="12.75" customHeight="1" x14ac:dyDescent="0.3">
      <c r="Q45" s="114"/>
      <c r="T45" s="310"/>
    </row>
    <row r="46" spans="1:20" ht="12.75" customHeight="1" x14ac:dyDescent="0.3">
      <c r="D46" s="312" t="s">
        <v>528</v>
      </c>
      <c r="E46" s="382"/>
      <c r="F46" s="382"/>
      <c r="I46" s="114"/>
      <c r="J46" s="114"/>
      <c r="K46" s="114"/>
      <c r="L46" s="114"/>
      <c r="M46" s="114"/>
      <c r="N46" s="114"/>
      <c r="O46" s="114"/>
    </row>
    <row r="48" spans="1:20" ht="12.75" customHeight="1" x14ac:dyDescent="0.25">
      <c r="A48" s="301"/>
      <c r="D48" s="2523" t="s">
        <v>529</v>
      </c>
      <c r="E48" s="1761" t="s">
        <v>530</v>
      </c>
      <c r="F48" s="2552" t="s">
        <v>531</v>
      </c>
      <c r="G48" s="2525" t="s">
        <v>206</v>
      </c>
      <c r="H48" s="2526"/>
      <c r="I48" s="1773"/>
      <c r="J48" s="1763"/>
      <c r="K48" s="1763"/>
      <c r="L48" s="1763"/>
      <c r="M48" s="1763"/>
      <c r="N48" s="1763"/>
      <c r="O48" s="1763"/>
    </row>
    <row r="49" spans="1:15" ht="12.75" customHeight="1" x14ac:dyDescent="0.25">
      <c r="A49" s="301"/>
      <c r="D49" s="2524"/>
      <c r="E49" s="472" t="s">
        <v>532</v>
      </c>
      <c r="F49" s="2553"/>
      <c r="G49" s="2527"/>
      <c r="H49" s="2528"/>
      <c r="I49" s="521"/>
      <c r="J49" s="1764">
        <v>2025</v>
      </c>
      <c r="K49" s="1764">
        <v>2026</v>
      </c>
      <c r="L49" s="1764">
        <v>2027</v>
      </c>
      <c r="M49" s="1764">
        <v>2028</v>
      </c>
      <c r="N49" s="1764">
        <v>2029</v>
      </c>
      <c r="O49" s="1764">
        <v>2030</v>
      </c>
    </row>
    <row r="50" spans="1:15" ht="12.75" customHeight="1" x14ac:dyDescent="0.3">
      <c r="D50" s="1772"/>
      <c r="E50" s="1772"/>
      <c r="F50" s="1772"/>
      <c r="G50" s="1774"/>
      <c r="H50" s="326"/>
      <c r="I50" s="1775"/>
      <c r="J50" s="1775"/>
      <c r="K50" s="1775"/>
      <c r="L50" s="1775"/>
      <c r="M50" s="1775"/>
      <c r="N50" s="1775"/>
      <c r="O50" s="1775"/>
    </row>
    <row r="51" spans="1:15" ht="12.75" customHeight="1" x14ac:dyDescent="0.3">
      <c r="D51" s="333">
        <v>609901</v>
      </c>
      <c r="E51" s="331"/>
      <c r="F51" s="331"/>
      <c r="G51" s="332" t="s">
        <v>2036</v>
      </c>
      <c r="I51" s="316"/>
      <c r="J51" s="335"/>
      <c r="K51" s="335"/>
      <c r="L51" s="335"/>
      <c r="M51" s="335"/>
      <c r="N51" s="335"/>
      <c r="O51" s="335"/>
    </row>
    <row r="52" spans="1:15" ht="12.75" customHeight="1" x14ac:dyDescent="0.3">
      <c r="D52" s="333"/>
      <c r="E52" s="331"/>
      <c r="F52" s="331"/>
      <c r="G52" s="334" t="s">
        <v>533</v>
      </c>
      <c r="I52" s="316"/>
      <c r="J52" s="335"/>
      <c r="K52" s="335"/>
      <c r="L52" s="335"/>
      <c r="M52" s="335"/>
      <c r="N52" s="335"/>
      <c r="O52" s="335"/>
    </row>
    <row r="53" spans="1:15" ht="12.75" customHeight="1" x14ac:dyDescent="0.25">
      <c r="A53" s="229">
        <f>+D51</f>
        <v>609901</v>
      </c>
      <c r="B53" s="115" t="str">
        <f>G51</f>
        <v>Directe toerekening belastingen</v>
      </c>
      <c r="D53" s="337">
        <v>41100</v>
      </c>
      <c r="E53" s="337"/>
      <c r="F53" s="337"/>
      <c r="G53" s="319" t="s">
        <v>541</v>
      </c>
      <c r="I53" s="318"/>
      <c r="J53" s="317">
        <v>63955</v>
      </c>
      <c r="K53" s="317">
        <v>65986</v>
      </c>
      <c r="L53" s="317">
        <f t="shared" ref="L53:N53" si="8">+L85</f>
        <v>68757</v>
      </c>
      <c r="M53" s="317">
        <f t="shared" si="8"/>
        <v>71301</v>
      </c>
      <c r="N53" s="317">
        <f t="shared" si="8"/>
        <v>73939</v>
      </c>
      <c r="O53" s="317">
        <f t="shared" ref="O53" si="9">+O85</f>
        <v>76675</v>
      </c>
    </row>
    <row r="54" spans="1:15" ht="12.75" customHeight="1" thickBot="1" x14ac:dyDescent="0.35">
      <c r="D54" s="340"/>
      <c r="E54" s="340"/>
      <c r="F54" s="340"/>
      <c r="G54" s="319" t="s">
        <v>536</v>
      </c>
      <c r="I54" s="318"/>
      <c r="J54" s="342">
        <v>63955</v>
      </c>
      <c r="K54" s="342">
        <v>65986</v>
      </c>
      <c r="L54" s="342">
        <f t="shared" ref="L54:N54" si="10">SUM(L52:L53)</f>
        <v>68757</v>
      </c>
      <c r="M54" s="342">
        <f t="shared" si="10"/>
        <v>71301</v>
      </c>
      <c r="N54" s="342">
        <f t="shared" si="10"/>
        <v>73939</v>
      </c>
      <c r="O54" s="342">
        <f t="shared" ref="O54" si="11">SUM(O52:O53)</f>
        <v>76675</v>
      </c>
    </row>
    <row r="55" spans="1:15" ht="12.75" customHeight="1" thickTop="1" x14ac:dyDescent="0.3">
      <c r="D55" s="340"/>
      <c r="E55" s="340"/>
      <c r="F55" s="340"/>
      <c r="G55" s="319"/>
      <c r="I55" s="318"/>
      <c r="J55" s="317"/>
      <c r="K55" s="317"/>
      <c r="L55" s="317"/>
      <c r="M55" s="317"/>
      <c r="N55" s="317"/>
      <c r="O55" s="317"/>
    </row>
    <row r="56" spans="1:15" ht="12.75" customHeight="1" x14ac:dyDescent="0.3">
      <c r="D56" s="333">
        <v>609001</v>
      </c>
      <c r="E56" s="331"/>
      <c r="F56" s="331"/>
      <c r="G56" s="332" t="s">
        <v>2109</v>
      </c>
      <c r="I56" s="318"/>
      <c r="J56" s="317"/>
      <c r="K56" s="317"/>
      <c r="L56" s="317"/>
      <c r="M56" s="317"/>
      <c r="N56" s="317"/>
      <c r="O56" s="317"/>
    </row>
    <row r="57" spans="1:15" ht="12.75" customHeight="1" x14ac:dyDescent="0.3">
      <c r="D57" s="340"/>
      <c r="E57" s="340"/>
      <c r="F57" s="340"/>
      <c r="G57" s="334" t="s">
        <v>554</v>
      </c>
      <c r="I57" s="318"/>
      <c r="J57" s="317"/>
      <c r="K57" s="317"/>
      <c r="L57" s="317"/>
      <c r="M57" s="317"/>
      <c r="N57" s="317"/>
      <c r="O57" s="317"/>
    </row>
    <row r="58" spans="1:15" ht="12.75" customHeight="1" x14ac:dyDescent="0.25">
      <c r="A58" s="229">
        <f>+D56</f>
        <v>609001</v>
      </c>
      <c r="B58" s="115" t="str">
        <f>G56</f>
        <v>Bouwgrondbelasting Koekoekbos</v>
      </c>
      <c r="D58" s="337">
        <v>84480</v>
      </c>
      <c r="E58" s="337"/>
      <c r="F58" s="337"/>
      <c r="G58" s="319" t="s">
        <v>2110</v>
      </c>
      <c r="I58" s="318"/>
      <c r="J58" s="317">
        <v>0</v>
      </c>
      <c r="K58" s="317">
        <v>0</v>
      </c>
      <c r="L58" s="317">
        <v>0</v>
      </c>
      <c r="M58" s="317">
        <v>0</v>
      </c>
      <c r="N58" s="317">
        <v>0</v>
      </c>
      <c r="O58" s="317">
        <v>0</v>
      </c>
    </row>
    <row r="59" spans="1:15" ht="12.75" customHeight="1" thickBot="1" x14ac:dyDescent="0.35">
      <c r="D59" s="340"/>
      <c r="E59" s="340"/>
      <c r="F59" s="340"/>
      <c r="G59" s="319" t="s">
        <v>536</v>
      </c>
      <c r="I59" s="318"/>
      <c r="J59" s="342">
        <v>0</v>
      </c>
      <c r="K59" s="342">
        <v>0</v>
      </c>
      <c r="L59" s="342">
        <f t="shared" ref="L59:N59" si="12">SUM(L57:L58)</f>
        <v>0</v>
      </c>
      <c r="M59" s="342">
        <f t="shared" si="12"/>
        <v>0</v>
      </c>
      <c r="N59" s="342">
        <f t="shared" si="12"/>
        <v>0</v>
      </c>
      <c r="O59" s="342">
        <f t="shared" ref="O59" si="13">SUM(O57:O58)</f>
        <v>0</v>
      </c>
    </row>
    <row r="60" spans="1:15" ht="12.75" customHeight="1" thickTop="1" x14ac:dyDescent="0.3">
      <c r="D60" s="340"/>
      <c r="E60" s="340"/>
      <c r="F60" s="340"/>
      <c r="G60" s="319"/>
      <c r="I60" s="318"/>
      <c r="J60" s="318"/>
      <c r="K60" s="318"/>
      <c r="L60" s="318"/>
      <c r="M60" s="318"/>
      <c r="N60" s="318"/>
      <c r="O60" s="318"/>
    </row>
    <row r="61" spans="1:15" ht="12.75" customHeight="1" x14ac:dyDescent="0.3">
      <c r="D61" s="333">
        <v>6937101</v>
      </c>
      <c r="E61" s="331"/>
      <c r="F61" s="331"/>
      <c r="G61" s="332" t="s">
        <v>2111</v>
      </c>
      <c r="I61" s="318"/>
      <c r="J61" s="318"/>
      <c r="K61" s="318"/>
      <c r="L61" s="318"/>
      <c r="M61" s="318"/>
      <c r="N61" s="318"/>
      <c r="O61" s="318"/>
    </row>
    <row r="62" spans="1:15" ht="12.75" customHeight="1" x14ac:dyDescent="0.3">
      <c r="D62" s="340"/>
      <c r="E62" s="340"/>
      <c r="F62" s="340"/>
      <c r="G62" s="334" t="s">
        <v>554</v>
      </c>
      <c r="I62" s="318"/>
      <c r="J62" s="318"/>
      <c r="K62" s="318"/>
      <c r="L62" s="318"/>
      <c r="M62" s="318"/>
      <c r="N62" s="318"/>
      <c r="O62" s="318"/>
    </row>
    <row r="63" spans="1:15" ht="12.75" customHeight="1" x14ac:dyDescent="0.25">
      <c r="A63" s="230"/>
      <c r="D63" s="337">
        <v>840201</v>
      </c>
      <c r="E63" s="337"/>
      <c r="F63" s="337"/>
      <c r="G63" s="319" t="s">
        <v>2112</v>
      </c>
      <c r="I63" s="318"/>
      <c r="J63" s="317">
        <v>3</v>
      </c>
      <c r="K63" s="317">
        <v>4</v>
      </c>
      <c r="L63" s="317">
        <v>4</v>
      </c>
      <c r="M63" s="317">
        <v>5</v>
      </c>
      <c r="N63" s="317">
        <v>5</v>
      </c>
      <c r="O63" s="317">
        <v>6</v>
      </c>
    </row>
    <row r="64" spans="1:15" ht="12.75" customHeight="1" thickBot="1" x14ac:dyDescent="0.35">
      <c r="D64" s="340"/>
      <c r="E64" s="340"/>
      <c r="F64" s="340"/>
      <c r="G64" s="319" t="s">
        <v>536</v>
      </c>
      <c r="I64" s="318"/>
      <c r="J64" s="342">
        <v>3</v>
      </c>
      <c r="K64" s="342">
        <v>4</v>
      </c>
      <c r="L64" s="342">
        <f t="shared" ref="L64:N64" si="14">SUM(L62:L63)</f>
        <v>4</v>
      </c>
      <c r="M64" s="342">
        <f t="shared" si="14"/>
        <v>5</v>
      </c>
      <c r="N64" s="342">
        <f t="shared" si="14"/>
        <v>5</v>
      </c>
      <c r="O64" s="342">
        <f t="shared" ref="O64" si="15">SUM(O62:O63)</f>
        <v>6</v>
      </c>
    </row>
    <row r="65" spans="1:16" ht="12.75" customHeight="1" thickTop="1" x14ac:dyDescent="0.3">
      <c r="D65" s="340"/>
      <c r="E65" s="340"/>
      <c r="F65" s="340"/>
      <c r="G65" s="319"/>
      <c r="I65" s="318"/>
      <c r="J65" s="318"/>
      <c r="K65" s="318"/>
      <c r="L65" s="318"/>
      <c r="M65" s="318"/>
      <c r="N65" s="318"/>
      <c r="O65" s="318"/>
    </row>
    <row r="66" spans="1:16" ht="12.75" customHeight="1" x14ac:dyDescent="0.3">
      <c r="D66" s="333">
        <v>609003</v>
      </c>
      <c r="E66" s="331"/>
      <c r="F66" s="331"/>
      <c r="G66" s="332" t="s">
        <v>2113</v>
      </c>
      <c r="I66" s="318"/>
      <c r="J66" s="317"/>
      <c r="K66" s="317"/>
      <c r="L66" s="317"/>
      <c r="M66" s="317"/>
      <c r="N66" s="317"/>
      <c r="O66" s="317"/>
    </row>
    <row r="67" spans="1:16" ht="12.75" customHeight="1" x14ac:dyDescent="0.3">
      <c r="D67" s="340"/>
      <c r="E67" s="340"/>
      <c r="F67" s="340"/>
      <c r="G67" s="334" t="s">
        <v>554</v>
      </c>
      <c r="I67" s="318"/>
      <c r="J67" s="317"/>
      <c r="K67" s="317"/>
      <c r="L67" s="317"/>
      <c r="M67" s="317"/>
      <c r="N67" s="317"/>
      <c r="O67" s="317"/>
    </row>
    <row r="68" spans="1:16" ht="12.75" customHeight="1" x14ac:dyDescent="0.25">
      <c r="A68" s="229">
        <f>+D66</f>
        <v>609003</v>
      </c>
      <c r="B68" s="115" t="str">
        <f>G66</f>
        <v>Precariobelasting</v>
      </c>
      <c r="D68" s="337">
        <v>83300</v>
      </c>
      <c r="E68" s="337"/>
      <c r="F68" s="337"/>
      <c r="G68" s="319" t="s">
        <v>1009</v>
      </c>
      <c r="I68" s="318"/>
      <c r="J68" s="317">
        <v>-83519</v>
      </c>
      <c r="K68" s="317">
        <v>-86286.491999999998</v>
      </c>
      <c r="L68" s="317">
        <f t="shared" ref="L68:M68" si="16">+L98</f>
        <v>-89404.379220000003</v>
      </c>
      <c r="M68" s="317">
        <f t="shared" si="16"/>
        <v>-92635.337492699997</v>
      </c>
      <c r="N68" s="317">
        <f t="shared" ref="N68:O68" si="17">+N98</f>
        <v>-95557.279304944488</v>
      </c>
      <c r="O68" s="317">
        <f t="shared" si="17"/>
        <v>-98572.149080617542</v>
      </c>
    </row>
    <row r="69" spans="1:16" ht="12.75" customHeight="1" thickBot="1" x14ac:dyDescent="0.35">
      <c r="D69" s="340"/>
      <c r="E69" s="340"/>
      <c r="F69" s="340"/>
      <c r="G69" s="319" t="s">
        <v>536</v>
      </c>
      <c r="I69" s="318"/>
      <c r="J69" s="342">
        <v>-83519</v>
      </c>
      <c r="K69" s="342">
        <v>-86286.491999999998</v>
      </c>
      <c r="L69" s="342">
        <f t="shared" ref="L69:N69" si="18">SUM(L67:L68)</f>
        <v>-89404.379220000003</v>
      </c>
      <c r="M69" s="342">
        <f t="shared" si="18"/>
        <v>-92635.337492699997</v>
      </c>
      <c r="N69" s="342">
        <f t="shared" si="18"/>
        <v>-95557.279304944488</v>
      </c>
      <c r="O69" s="342">
        <f t="shared" ref="O69" si="19">SUM(O67:O68)</f>
        <v>-98572.149080617542</v>
      </c>
    </row>
    <row r="70" spans="1:16" ht="12.75" customHeight="1" thickTop="1" x14ac:dyDescent="0.3">
      <c r="D70" s="340"/>
      <c r="E70" s="340"/>
      <c r="F70" s="340"/>
      <c r="G70" s="319"/>
      <c r="I70" s="318"/>
      <c r="J70" s="317"/>
      <c r="K70" s="317"/>
      <c r="L70" s="317"/>
      <c r="M70" s="317"/>
      <c r="N70" s="317"/>
      <c r="O70" s="317"/>
    </row>
    <row r="71" spans="1:16" ht="12.75" customHeight="1" x14ac:dyDescent="0.3">
      <c r="D71" s="333">
        <v>609002</v>
      </c>
      <c r="E71" s="331"/>
      <c r="F71" s="331"/>
      <c r="G71" s="332" t="s">
        <v>2114</v>
      </c>
      <c r="I71" s="318"/>
      <c r="J71" s="317"/>
      <c r="K71" s="317"/>
      <c r="L71" s="317"/>
      <c r="M71" s="317"/>
      <c r="N71" s="317"/>
      <c r="O71" s="317"/>
    </row>
    <row r="72" spans="1:16" ht="12.75" customHeight="1" x14ac:dyDescent="0.3">
      <c r="D72" s="340"/>
      <c r="E72" s="340"/>
      <c r="F72" s="340"/>
      <c r="G72" s="334" t="s">
        <v>554</v>
      </c>
      <c r="I72" s="318"/>
      <c r="J72" s="317"/>
      <c r="K72" s="317"/>
      <c r="L72" s="317"/>
      <c r="M72" s="317"/>
      <c r="N72" s="317"/>
      <c r="O72" s="317"/>
    </row>
    <row r="73" spans="1:16" ht="12.75" customHeight="1" x14ac:dyDescent="0.25">
      <c r="A73" s="229">
        <f>+D71</f>
        <v>609002</v>
      </c>
      <c r="B73" s="115" t="str">
        <f>G71</f>
        <v>Reclamebelasting</v>
      </c>
      <c r="D73" s="337">
        <v>82210</v>
      </c>
      <c r="E73" s="337"/>
      <c r="F73" s="337"/>
      <c r="G73" s="319" t="s">
        <v>1964</v>
      </c>
      <c r="I73" s="318"/>
      <c r="J73" s="317">
        <v>0</v>
      </c>
      <c r="K73" s="317">
        <v>0</v>
      </c>
      <c r="L73" s="317">
        <f>ROUND(K73*T$2,0)</f>
        <v>0</v>
      </c>
      <c r="M73" s="317">
        <f t="shared" ref="M73:O73" si="20">ROUND(L73*U$2,0)</f>
        <v>0</v>
      </c>
      <c r="N73" s="317">
        <f t="shared" si="20"/>
        <v>0</v>
      </c>
      <c r="O73" s="317">
        <f t="shared" si="20"/>
        <v>0</v>
      </c>
      <c r="P73" s="115" t="s">
        <v>2115</v>
      </c>
    </row>
    <row r="74" spans="1:16" ht="12.75" customHeight="1" thickBot="1" x14ac:dyDescent="0.35">
      <c r="D74" s="340"/>
      <c r="E74" s="340"/>
      <c r="F74" s="340"/>
      <c r="G74" s="319" t="s">
        <v>536</v>
      </c>
      <c r="I74" s="318"/>
      <c r="J74" s="342">
        <v>0</v>
      </c>
      <c r="K74" s="342">
        <v>0</v>
      </c>
      <c r="L74" s="342">
        <f t="shared" ref="L74:N74" si="21">SUM(L72:L73)</f>
        <v>0</v>
      </c>
      <c r="M74" s="342">
        <f t="shared" si="21"/>
        <v>0</v>
      </c>
      <c r="N74" s="342">
        <f t="shared" si="21"/>
        <v>0</v>
      </c>
      <c r="O74" s="342">
        <f t="shared" ref="O74" si="22">SUM(O72:O73)</f>
        <v>0</v>
      </c>
    </row>
    <row r="75" spans="1:16" ht="12.75" customHeight="1" thickTop="1" x14ac:dyDescent="0.3">
      <c r="D75" s="167"/>
      <c r="E75" s="167"/>
      <c r="F75" s="167"/>
      <c r="G75" s="168"/>
      <c r="H75" s="149"/>
      <c r="I75" s="156"/>
      <c r="J75" s="142"/>
      <c r="K75" s="142"/>
      <c r="L75" s="142"/>
      <c r="M75" s="142"/>
      <c r="N75" s="142"/>
      <c r="O75" s="142"/>
    </row>
    <row r="76" spans="1:16" ht="12.75" customHeight="1" x14ac:dyDescent="0.3">
      <c r="D76" s="384"/>
      <c r="E76" s="384"/>
      <c r="F76" s="384"/>
      <c r="I76" s="114"/>
      <c r="J76" s="114"/>
      <c r="K76" s="114"/>
      <c r="L76" s="114"/>
      <c r="M76" s="114"/>
      <c r="N76" s="114"/>
      <c r="O76" s="114"/>
    </row>
    <row r="77" spans="1:16" ht="12.75" customHeight="1" x14ac:dyDescent="0.3">
      <c r="D77" s="384"/>
      <c r="E77" s="384"/>
      <c r="F77" s="384"/>
      <c r="I77" s="114"/>
      <c r="J77" s="114"/>
      <c r="K77" s="114"/>
      <c r="L77" s="114"/>
      <c r="M77" s="114"/>
      <c r="N77" s="114"/>
      <c r="O77" s="114"/>
    </row>
    <row r="78" spans="1:16" ht="12.75" customHeight="1" x14ac:dyDescent="0.3">
      <c r="D78" s="381" t="s">
        <v>561</v>
      </c>
      <c r="E78" s="384"/>
      <c r="F78" s="384"/>
      <c r="I78" s="114"/>
      <c r="J78" s="114"/>
      <c r="K78" s="114"/>
      <c r="L78" s="114"/>
      <c r="M78" s="114"/>
      <c r="N78" s="114"/>
      <c r="O78" s="114"/>
    </row>
    <row r="79" spans="1:16" ht="12.75" customHeight="1" x14ac:dyDescent="0.3">
      <c r="D79" s="384"/>
      <c r="E79" s="384"/>
      <c r="F79" s="384"/>
      <c r="G79" s="383"/>
      <c r="I79" s="154"/>
      <c r="J79" s="154"/>
      <c r="K79" s="154"/>
      <c r="L79" s="154"/>
      <c r="M79" s="154"/>
      <c r="N79" s="154"/>
      <c r="O79" s="154"/>
    </row>
    <row r="80" spans="1:16" ht="12.75" customHeight="1" x14ac:dyDescent="0.3">
      <c r="J80" s="114"/>
      <c r="K80" s="114"/>
      <c r="L80" s="114"/>
      <c r="M80" s="114"/>
      <c r="N80" s="114"/>
      <c r="O80" s="114"/>
    </row>
    <row r="81" spans="4:19" ht="12.75" customHeight="1" x14ac:dyDescent="0.3">
      <c r="D81" s="393">
        <v>609901</v>
      </c>
      <c r="E81" s="381" t="s">
        <v>2036</v>
      </c>
      <c r="F81" s="115"/>
      <c r="G81" s="405"/>
      <c r="H81" s="114"/>
      <c r="I81" s="114"/>
      <c r="J81" s="605">
        <v>2025</v>
      </c>
      <c r="K81" s="605">
        <v>2026</v>
      </c>
      <c r="L81" s="605">
        <v>2027</v>
      </c>
      <c r="M81" s="605">
        <v>2028</v>
      </c>
      <c r="N81" s="605">
        <v>2029</v>
      </c>
      <c r="O81" s="605">
        <v>2030</v>
      </c>
      <c r="P81" s="154"/>
    </row>
    <row r="82" spans="4:19" ht="12.75" customHeight="1" x14ac:dyDescent="0.3">
      <c r="D82" s="393"/>
      <c r="E82" s="383" t="s">
        <v>533</v>
      </c>
      <c r="F82" s="115"/>
      <c r="G82" s="405"/>
      <c r="H82" s="114"/>
      <c r="I82" s="114"/>
    </row>
    <row r="83" spans="4:19" ht="12.75" customHeight="1" x14ac:dyDescent="0.3">
      <c r="D83" s="143">
        <v>41100</v>
      </c>
      <c r="E83" s="115" t="s">
        <v>541</v>
      </c>
      <c r="F83" s="115"/>
      <c r="G83" s="405"/>
      <c r="H83" s="114"/>
      <c r="I83" s="114"/>
      <c r="J83" s="114"/>
      <c r="K83" s="114"/>
      <c r="L83" s="114"/>
      <c r="M83" s="114"/>
      <c r="N83" s="114"/>
      <c r="O83" s="114"/>
      <c r="P83" s="114"/>
      <c r="S83" s="114" t="e">
        <f>#REF!</f>
        <v>#REF!</v>
      </c>
    </row>
    <row r="84" spans="4:19" ht="12.75" customHeight="1" x14ac:dyDescent="0.3">
      <c r="D84" s="143"/>
      <c r="E84" s="496" t="s">
        <v>1999</v>
      </c>
      <c r="F84" s="115"/>
      <c r="G84" s="405"/>
      <c r="H84" s="114"/>
      <c r="I84" s="114"/>
      <c r="J84" s="114">
        <v>63955</v>
      </c>
      <c r="K84" s="114">
        <v>65986</v>
      </c>
      <c r="L84" s="114">
        <f>ROUND(K84*T$3,0)</f>
        <v>68757</v>
      </c>
      <c r="M84" s="114">
        <f>ROUND(L84*U$3,0)</f>
        <v>71301</v>
      </c>
      <c r="N84" s="114">
        <f>ROUND(M84*V$3,0)</f>
        <v>73939</v>
      </c>
      <c r="O84" s="114">
        <f>ROUND(N84*W$3,0)</f>
        <v>76675</v>
      </c>
      <c r="P84" s="114"/>
    </row>
    <row r="85" spans="4:19" ht="12.75" customHeight="1" thickBot="1" x14ac:dyDescent="0.35">
      <c r="D85" s="384"/>
      <c r="E85" s="115" t="str">
        <f>"Totaal "&amp;D83</f>
        <v>Totaal 41100</v>
      </c>
      <c r="F85" s="115"/>
      <c r="G85" s="405"/>
      <c r="H85" s="114"/>
      <c r="I85" s="114"/>
      <c r="J85" s="1744">
        <v>63955</v>
      </c>
      <c r="K85" s="1744">
        <v>65986</v>
      </c>
      <c r="L85" s="1744">
        <f t="shared" ref="L85:M85" si="23">+L84</f>
        <v>68757</v>
      </c>
      <c r="M85" s="1744">
        <f t="shared" si="23"/>
        <v>71301</v>
      </c>
      <c r="N85" s="1744">
        <f t="shared" ref="N85:O85" si="24">+N84</f>
        <v>73939</v>
      </c>
      <c r="O85" s="1744">
        <f t="shared" si="24"/>
        <v>76675</v>
      </c>
      <c r="P85" s="114"/>
    </row>
    <row r="86" spans="4:19" ht="12.75" customHeight="1" thickTop="1" x14ac:dyDescent="0.3">
      <c r="D86" s="115"/>
      <c r="E86" s="115"/>
      <c r="F86" s="115"/>
      <c r="G86" s="405"/>
      <c r="H86" s="114"/>
      <c r="I86" s="114"/>
      <c r="J86" s="114"/>
      <c r="K86" s="114"/>
      <c r="L86" s="114"/>
      <c r="M86" s="114"/>
      <c r="N86" s="114"/>
      <c r="O86" s="114"/>
      <c r="P86" s="114"/>
    </row>
    <row r="87" spans="4:19" ht="12.75" customHeight="1" x14ac:dyDescent="0.3">
      <c r="D87" s="393">
        <v>609001</v>
      </c>
      <c r="E87" s="381" t="s">
        <v>2109</v>
      </c>
      <c r="F87" s="115"/>
    </row>
    <row r="88" spans="4:19" ht="12.75" customHeight="1" x14ac:dyDescent="0.3">
      <c r="D88" s="497"/>
      <c r="E88" s="399"/>
      <c r="F88" s="399"/>
      <c r="G88" s="399"/>
      <c r="H88" s="399"/>
      <c r="I88" s="399"/>
    </row>
    <row r="89" spans="4:19" ht="12.75" customHeight="1" x14ac:dyDescent="0.3">
      <c r="D89" s="393">
        <v>609002</v>
      </c>
      <c r="E89" s="381" t="s">
        <v>2116</v>
      </c>
      <c r="F89" s="115"/>
    </row>
    <row r="90" spans="4:19" ht="12.75" customHeight="1" x14ac:dyDescent="0.3">
      <c r="D90" s="393"/>
      <c r="E90" s="405"/>
      <c r="F90" s="405"/>
      <c r="G90" s="405"/>
      <c r="H90" s="405"/>
      <c r="I90" s="405"/>
      <c r="P90" s="115" t="s">
        <v>2117</v>
      </c>
    </row>
    <row r="91" spans="4:19" ht="12.75" customHeight="1" x14ac:dyDescent="0.3">
      <c r="D91" s="393"/>
      <c r="E91" s="414"/>
      <c r="F91" s="414"/>
      <c r="G91" s="414"/>
      <c r="H91" s="414"/>
      <c r="I91" s="414"/>
    </row>
    <row r="92" spans="4:19" ht="12.75" customHeight="1" x14ac:dyDescent="0.3">
      <c r="D92" s="393">
        <v>609003</v>
      </c>
      <c r="E92" s="381" t="s">
        <v>2113</v>
      </c>
      <c r="F92" s="414"/>
      <c r="G92" s="414"/>
      <c r="H92" s="414"/>
      <c r="I92" s="414"/>
      <c r="J92" s="407">
        <v>2025</v>
      </c>
      <c r="K92" s="407">
        <v>2026</v>
      </c>
      <c r="L92" s="407">
        <v>2027</v>
      </c>
      <c r="M92" s="407">
        <v>2028</v>
      </c>
      <c r="N92" s="407">
        <v>2029</v>
      </c>
      <c r="O92" s="407">
        <v>2030</v>
      </c>
    </row>
    <row r="93" spans="4:19" ht="12.75" customHeight="1" x14ac:dyDescent="0.3">
      <c r="D93" s="393"/>
      <c r="E93" s="381"/>
      <c r="F93" s="414"/>
      <c r="G93" s="414"/>
      <c r="H93" s="414"/>
      <c r="I93" s="414"/>
      <c r="J93" s="414"/>
      <c r="K93" s="414"/>
      <c r="L93" s="414"/>
      <c r="M93" s="414"/>
      <c r="N93" s="414"/>
      <c r="O93" s="414"/>
    </row>
    <row r="94" spans="4:19" ht="12.75" customHeight="1" x14ac:dyDescent="0.3">
      <c r="D94" s="143">
        <v>83300</v>
      </c>
      <c r="E94" s="115" t="s">
        <v>2118</v>
      </c>
      <c r="F94" s="414"/>
      <c r="G94" s="414"/>
      <c r="H94" s="414"/>
      <c r="I94" s="414"/>
      <c r="J94" s="114">
        <v>-49696</v>
      </c>
      <c r="K94" s="114">
        <v>-51510</v>
      </c>
      <c r="L94" s="114">
        <v>-53390</v>
      </c>
      <c r="M94" s="114">
        <v>-55339</v>
      </c>
      <c r="N94" s="114">
        <f>ROUND(M94*V$4,0)</f>
        <v>-57022</v>
      </c>
      <c r="O94" s="114">
        <f>ROUND(N94*W$4,0)</f>
        <v>-58757</v>
      </c>
      <c r="P94" s="115" t="s">
        <v>2119</v>
      </c>
    </row>
    <row r="95" spans="4:19" ht="12.75" customHeight="1" x14ac:dyDescent="0.3">
      <c r="D95" s="393"/>
      <c r="E95" s="115" t="s">
        <v>2120</v>
      </c>
      <c r="F95" s="414"/>
      <c r="G95" s="414"/>
      <c r="H95" s="414"/>
      <c r="I95" s="414"/>
      <c r="J95" s="114"/>
      <c r="K95" s="114"/>
      <c r="L95" s="114"/>
      <c r="M95" s="114"/>
      <c r="N95" s="114"/>
      <c r="O95" s="114"/>
    </row>
    <row r="96" spans="4:19" ht="12.75" customHeight="1" x14ac:dyDescent="0.3">
      <c r="D96" s="393"/>
      <c r="E96" s="308" t="s">
        <v>2121</v>
      </c>
      <c r="F96" s="414"/>
      <c r="G96" s="414"/>
      <c r="H96" s="414"/>
      <c r="I96" s="414"/>
      <c r="J96" s="114">
        <v>-20804</v>
      </c>
      <c r="K96" s="114">
        <v>-21282.491999999998</v>
      </c>
      <c r="L96" s="114">
        <f>+K96*1.035</f>
        <v>-22027.379219999995</v>
      </c>
      <c r="M96" s="114">
        <f>+L96*1.035</f>
        <v>-22798.337492699993</v>
      </c>
      <c r="N96" s="114">
        <f>+M96*1.035</f>
        <v>-23596.279304944492</v>
      </c>
      <c r="O96" s="114">
        <f>+N96*1.035</f>
        <v>-24422.149080617546</v>
      </c>
      <c r="P96" s="115" t="s">
        <v>2122</v>
      </c>
    </row>
    <row r="97" spans="4:23" ht="12.75" customHeight="1" x14ac:dyDescent="0.3">
      <c r="D97" s="393"/>
      <c r="E97" s="308" t="s">
        <v>2123</v>
      </c>
      <c r="F97" s="414"/>
      <c r="G97" s="414"/>
      <c r="H97" s="414"/>
      <c r="I97" s="414"/>
      <c r="J97" s="114">
        <v>-13019</v>
      </c>
      <c r="K97" s="114">
        <v>-13494</v>
      </c>
      <c r="L97" s="114">
        <v>-13987</v>
      </c>
      <c r="M97" s="114">
        <v>-14498</v>
      </c>
      <c r="N97" s="114">
        <f t="shared" ref="N97:O97" si="25">ROUND(M97*V$4,0)</f>
        <v>-14939</v>
      </c>
      <c r="O97" s="114">
        <f t="shared" si="25"/>
        <v>-15393</v>
      </c>
    </row>
    <row r="98" spans="4:23" ht="12.75" customHeight="1" thickBot="1" x14ac:dyDescent="0.35">
      <c r="D98" s="393"/>
      <c r="E98" s="115"/>
      <c r="F98" s="414"/>
      <c r="G98" s="414"/>
      <c r="H98" s="414"/>
      <c r="I98" s="414"/>
      <c r="J98" s="1744">
        <v>-83519</v>
      </c>
      <c r="K98" s="1744">
        <v>-86286.491999999998</v>
      </c>
      <c r="L98" s="1744">
        <f>SUM(L94:L97)</f>
        <v>-89404.379220000003</v>
      </c>
      <c r="M98" s="1744">
        <f>SUM(M94:M97)</f>
        <v>-92635.337492699997</v>
      </c>
      <c r="N98" s="1744">
        <f>SUM(N94:N97)</f>
        <v>-95557.279304944488</v>
      </c>
      <c r="O98" s="1744">
        <f>SUM(O94:O97)</f>
        <v>-98572.149080617542</v>
      </c>
    </row>
    <row r="99" spans="4:23" ht="12.75" customHeight="1" thickTop="1" x14ac:dyDescent="0.3">
      <c r="D99" s="393"/>
      <c r="E99" s="115"/>
      <c r="F99" s="414"/>
      <c r="G99" s="114"/>
      <c r="H99" s="414"/>
      <c r="I99" s="414"/>
      <c r="J99" s="114"/>
      <c r="K99" s="114"/>
      <c r="L99" s="114"/>
      <c r="M99" s="114"/>
      <c r="N99" s="114"/>
      <c r="O99" s="114"/>
    </row>
    <row r="102" spans="4:23" ht="12.75" customHeight="1" x14ac:dyDescent="0.3">
      <c r="D102" s="500" t="s">
        <v>2124</v>
      </c>
    </row>
    <row r="104" spans="4:23" ht="12.75" customHeight="1" x14ac:dyDescent="0.3">
      <c r="E104" s="381" t="s">
        <v>2036</v>
      </c>
    </row>
    <row r="105" spans="4:23" ht="12.75" customHeight="1" x14ac:dyDescent="0.3">
      <c r="E105" s="496" t="s">
        <v>2037</v>
      </c>
      <c r="I105" s="383"/>
      <c r="J105" s="114">
        <v>63955</v>
      </c>
      <c r="K105" s="114">
        <v>65986</v>
      </c>
      <c r="L105" s="114">
        <f>+L53</f>
        <v>68757</v>
      </c>
      <c r="M105" s="114">
        <f>+M53</f>
        <v>71301</v>
      </c>
      <c r="N105" s="114">
        <f>+N53</f>
        <v>73939</v>
      </c>
      <c r="O105" s="114">
        <f>+O53</f>
        <v>76675</v>
      </c>
    </row>
    <row r="106" spans="4:23" ht="12.75" customHeight="1" x14ac:dyDescent="0.3">
      <c r="J106" s="149"/>
      <c r="K106" s="149"/>
      <c r="L106" s="149"/>
      <c r="M106" s="149"/>
      <c r="N106" s="149"/>
      <c r="O106" s="149"/>
    </row>
    <row r="107" spans="4:23" ht="12.75" customHeight="1" x14ac:dyDescent="0.3">
      <c r="E107" s="336" t="s">
        <v>2125</v>
      </c>
      <c r="J107" s="114">
        <v>63955</v>
      </c>
      <c r="K107" s="114">
        <v>65986</v>
      </c>
      <c r="L107" s="114">
        <f t="shared" ref="L107:M107" si="26">SUM(L105:L106)</f>
        <v>68757</v>
      </c>
      <c r="M107" s="114">
        <f t="shared" si="26"/>
        <v>71301</v>
      </c>
      <c r="N107" s="114">
        <f t="shared" ref="N107:O107" si="27">SUM(N105:N106)</f>
        <v>73939</v>
      </c>
      <c r="O107" s="114">
        <f t="shared" si="27"/>
        <v>76675</v>
      </c>
      <c r="Q107" s="115" t="s">
        <v>2126</v>
      </c>
      <c r="R107" s="301"/>
      <c r="S107" s="301"/>
      <c r="T107" s="301"/>
      <c r="U107" s="301"/>
      <c r="V107" s="301"/>
    </row>
    <row r="108" spans="4:23" ht="12.75" customHeight="1" x14ac:dyDescent="0.3">
      <c r="P108" s="571"/>
      <c r="Q108" s="571"/>
      <c r="R108" s="1345">
        <v>2025</v>
      </c>
      <c r="S108" s="1345">
        <v>2026</v>
      </c>
      <c r="T108" s="1345">
        <v>2027</v>
      </c>
      <c r="U108" s="1345">
        <v>2028</v>
      </c>
      <c r="V108" s="1345">
        <v>2029</v>
      </c>
      <c r="W108" s="2086">
        <v>2029</v>
      </c>
    </row>
    <row r="109" spans="4:23" ht="12.75" customHeight="1" x14ac:dyDescent="0.3">
      <c r="E109" s="505" t="s">
        <v>939</v>
      </c>
      <c r="P109" s="571"/>
      <c r="Q109" s="571"/>
      <c r="R109" s="571"/>
      <c r="S109" s="571"/>
      <c r="W109" s="358"/>
    </row>
    <row r="110" spans="4:23" ht="12.75" customHeight="1" x14ac:dyDescent="0.3">
      <c r="E110" s="336" t="s">
        <v>2041</v>
      </c>
      <c r="J110" s="510">
        <v>0</v>
      </c>
      <c r="K110" s="510">
        <v>0</v>
      </c>
      <c r="L110" s="510">
        <f t="shared" ref="L110:O114" si="28">ROUND(L$107*T110,0)</f>
        <v>0</v>
      </c>
      <c r="M110" s="510">
        <f t="shared" si="28"/>
        <v>0</v>
      </c>
      <c r="N110" s="510">
        <f t="shared" si="28"/>
        <v>0</v>
      </c>
      <c r="O110" s="510">
        <f t="shared" si="28"/>
        <v>0</v>
      </c>
      <c r="P110" s="1346"/>
      <c r="Q110" s="514"/>
      <c r="R110" s="514"/>
      <c r="S110" s="514"/>
      <c r="T110" s="514"/>
      <c r="U110" s="514"/>
      <c r="V110" s="514"/>
      <c r="W110" s="2087"/>
    </row>
    <row r="111" spans="4:23" ht="12.75" customHeight="1" x14ac:dyDescent="0.3">
      <c r="E111" s="336" t="s">
        <v>2042</v>
      </c>
      <c r="J111" s="510">
        <v>0</v>
      </c>
      <c r="K111" s="510">
        <v>0</v>
      </c>
      <c r="L111" s="510">
        <f t="shared" si="28"/>
        <v>0</v>
      </c>
      <c r="M111" s="510">
        <f t="shared" si="28"/>
        <v>0</v>
      </c>
      <c r="N111" s="510">
        <f t="shared" si="28"/>
        <v>0</v>
      </c>
      <c r="O111" s="510">
        <f t="shared" si="28"/>
        <v>0</v>
      </c>
      <c r="P111" s="1346"/>
      <c r="Q111" s="514"/>
      <c r="R111" s="514"/>
      <c r="S111" s="514"/>
      <c r="T111" s="514"/>
      <c r="U111" s="514"/>
      <c r="V111" s="514"/>
      <c r="W111" s="2087"/>
    </row>
    <row r="112" spans="4:23" ht="12.75" customHeight="1" x14ac:dyDescent="0.3">
      <c r="E112" s="336" t="s">
        <v>2043</v>
      </c>
      <c r="J112" s="510">
        <v>0</v>
      </c>
      <c r="K112" s="510">
        <v>0</v>
      </c>
      <c r="L112" s="510">
        <f t="shared" si="28"/>
        <v>0</v>
      </c>
      <c r="M112" s="510">
        <f t="shared" si="28"/>
        <v>0</v>
      </c>
      <c r="N112" s="510">
        <f t="shared" si="28"/>
        <v>0</v>
      </c>
      <c r="O112" s="510">
        <f t="shared" si="28"/>
        <v>0</v>
      </c>
      <c r="P112" s="1346"/>
      <c r="Q112" s="514"/>
      <c r="R112" s="514"/>
      <c r="S112" s="514"/>
      <c r="T112" s="514"/>
      <c r="U112" s="514"/>
      <c r="V112" s="514"/>
      <c r="W112" s="2087"/>
    </row>
    <row r="113" spans="5:23" ht="12.75" customHeight="1" x14ac:dyDescent="0.3">
      <c r="E113" s="336" t="s">
        <v>2044</v>
      </c>
      <c r="J113" s="510">
        <v>0</v>
      </c>
      <c r="K113" s="510">
        <v>0</v>
      </c>
      <c r="L113" s="510">
        <f t="shared" si="28"/>
        <v>0</v>
      </c>
      <c r="M113" s="510">
        <f t="shared" si="28"/>
        <v>0</v>
      </c>
      <c r="N113" s="510">
        <f t="shared" si="28"/>
        <v>0</v>
      </c>
      <c r="O113" s="510">
        <f t="shared" si="28"/>
        <v>0</v>
      </c>
      <c r="P113" s="1346"/>
      <c r="Q113" s="514"/>
      <c r="R113" s="514"/>
      <c r="S113" s="514"/>
      <c r="T113" s="514"/>
      <c r="U113" s="514"/>
      <c r="V113" s="514"/>
      <c r="W113" s="2087"/>
    </row>
    <row r="114" spans="5:23" ht="12.75" customHeight="1" x14ac:dyDescent="0.3">
      <c r="E114" s="336" t="s">
        <v>2045</v>
      </c>
      <c r="J114" s="510">
        <v>0</v>
      </c>
      <c r="K114" s="510">
        <v>0</v>
      </c>
      <c r="L114" s="510">
        <f t="shared" si="28"/>
        <v>0</v>
      </c>
      <c r="M114" s="510">
        <f t="shared" si="28"/>
        <v>0</v>
      </c>
      <c r="N114" s="510">
        <f t="shared" si="28"/>
        <v>0</v>
      </c>
      <c r="O114" s="510">
        <f t="shared" si="28"/>
        <v>0</v>
      </c>
      <c r="P114" s="1346"/>
      <c r="Q114" s="514"/>
      <c r="R114" s="514"/>
      <c r="S114" s="514"/>
      <c r="T114" s="514"/>
      <c r="U114" s="514"/>
      <c r="V114" s="514"/>
      <c r="W114" s="2087"/>
    </row>
    <row r="115" spans="5:23" ht="12.75" customHeight="1" x14ac:dyDescent="0.3">
      <c r="E115" s="336" t="s">
        <v>2103</v>
      </c>
      <c r="J115" s="115">
        <v>0</v>
      </c>
      <c r="K115" s="115">
        <v>0</v>
      </c>
      <c r="L115" s="115">
        <v>0</v>
      </c>
      <c r="M115" s="115">
        <v>0</v>
      </c>
      <c r="N115" s="115">
        <v>0</v>
      </c>
      <c r="O115" s="115">
        <v>0</v>
      </c>
      <c r="P115" s="1346"/>
      <c r="Q115" s="514"/>
      <c r="R115" s="514"/>
      <c r="S115" s="514"/>
      <c r="T115" s="514"/>
      <c r="U115" s="514"/>
      <c r="V115" s="514"/>
      <c r="W115" s="2087"/>
    </row>
    <row r="116" spans="5:23" ht="12.75" customHeight="1" x14ac:dyDescent="0.3">
      <c r="E116" s="336" t="s">
        <v>2104</v>
      </c>
      <c r="J116" s="115">
        <v>0</v>
      </c>
      <c r="K116" s="115">
        <v>0</v>
      </c>
      <c r="L116" s="115">
        <v>0</v>
      </c>
      <c r="M116" s="115">
        <v>0</v>
      </c>
      <c r="N116" s="115">
        <v>0</v>
      </c>
      <c r="O116" s="115">
        <v>0</v>
      </c>
      <c r="P116" s="1346"/>
      <c r="Q116" s="514"/>
      <c r="R116" s="514"/>
      <c r="S116" s="514"/>
      <c r="T116" s="514"/>
      <c r="U116" s="514"/>
      <c r="V116" s="514"/>
      <c r="W116" s="2087"/>
    </row>
    <row r="117" spans="5:23" ht="12.75" customHeight="1" x14ac:dyDescent="0.3">
      <c r="E117" s="336" t="s">
        <v>2105</v>
      </c>
      <c r="J117" s="115">
        <v>0</v>
      </c>
      <c r="K117" s="115">
        <v>0</v>
      </c>
      <c r="L117" s="115">
        <v>0</v>
      </c>
      <c r="M117" s="115">
        <v>0</v>
      </c>
      <c r="N117" s="115">
        <v>0</v>
      </c>
      <c r="O117" s="115">
        <v>0</v>
      </c>
      <c r="P117" s="1346"/>
      <c r="Q117" s="514"/>
      <c r="R117" s="514"/>
      <c r="S117" s="514"/>
      <c r="T117" s="514"/>
      <c r="U117" s="514"/>
      <c r="V117" s="514"/>
      <c r="W117" s="2087"/>
    </row>
    <row r="118" spans="5:23" ht="12.75" customHeight="1" x14ac:dyDescent="0.3">
      <c r="E118" s="336" t="s">
        <v>2106</v>
      </c>
      <c r="J118" s="115">
        <v>0</v>
      </c>
      <c r="K118" s="115">
        <v>0</v>
      </c>
      <c r="L118" s="115">
        <v>0</v>
      </c>
      <c r="M118" s="115">
        <v>0</v>
      </c>
      <c r="N118" s="115">
        <v>0</v>
      </c>
      <c r="O118" s="115">
        <v>0</v>
      </c>
      <c r="P118" s="1346"/>
      <c r="Q118" s="514"/>
      <c r="R118" s="1347"/>
      <c r="S118" s="1347"/>
      <c r="T118" s="1347"/>
      <c r="U118" s="1347"/>
      <c r="V118" s="1347"/>
      <c r="W118" s="2088"/>
    </row>
    <row r="119" spans="5:23" ht="12.75" customHeight="1" x14ac:dyDescent="0.3">
      <c r="E119" s="507" t="s">
        <v>945</v>
      </c>
      <c r="F119" s="115"/>
      <c r="J119" s="508"/>
      <c r="K119" s="508"/>
      <c r="L119" s="508"/>
      <c r="M119" s="151"/>
      <c r="N119" s="151"/>
      <c r="O119" s="151"/>
      <c r="P119" s="151"/>
      <c r="Q119" s="1348"/>
      <c r="R119" s="11"/>
      <c r="S119" s="1349"/>
      <c r="T119" s="1349"/>
      <c r="U119" s="1349"/>
      <c r="V119" s="1349"/>
      <c r="W119" s="2089"/>
    </row>
    <row r="120" spans="5:23" ht="12.75" customHeight="1" x14ac:dyDescent="0.3">
      <c r="E120" s="507"/>
      <c r="F120" s="115"/>
      <c r="J120" s="508"/>
      <c r="K120" s="508"/>
      <c r="L120" s="508"/>
      <c r="M120" s="151"/>
      <c r="N120" s="151"/>
      <c r="O120" s="151"/>
      <c r="P120" s="151"/>
      <c r="Q120" s="1348"/>
      <c r="R120" s="11"/>
      <c r="S120" s="1349"/>
      <c r="T120" s="1349"/>
      <c r="U120" s="1349"/>
      <c r="V120" s="1349"/>
      <c r="W120" s="2089"/>
    </row>
    <row r="121" spans="5:23" ht="12.75" customHeight="1" x14ac:dyDescent="0.3">
      <c r="E121" s="115" t="s">
        <v>946</v>
      </c>
      <c r="F121" s="115"/>
      <c r="J121" s="151">
        <v>6397.3310045967892</v>
      </c>
      <c r="K121" s="151">
        <v>5947.9790383689597</v>
      </c>
      <c r="L121" s="151">
        <f t="shared" ref="L121:O126" si="29">L$105*T121</f>
        <v>6471.137335684778</v>
      </c>
      <c r="M121" s="151">
        <f t="shared" si="29"/>
        <v>7079.6194672214096</v>
      </c>
      <c r="N121" s="151">
        <f t="shared" si="29"/>
        <v>7718.3498235946154</v>
      </c>
      <c r="O121" s="547">
        <f t="shared" si="29"/>
        <v>8003.9555948027037</v>
      </c>
      <c r="Q121" s="1348"/>
      <c r="R121" s="508">
        <v>0.10002862957699615</v>
      </c>
      <c r="S121" s="1249">
        <v>9.0140015130011811E-2</v>
      </c>
      <c r="T121" s="1249">
        <v>9.4116051248378754E-2</v>
      </c>
      <c r="U121" s="1249">
        <v>9.9292008067508306E-2</v>
      </c>
      <c r="V121" s="1249">
        <v>0.10438807427196223</v>
      </c>
      <c r="W121" s="2082">
        <v>0.10438807427196223</v>
      </c>
    </row>
    <row r="122" spans="5:23" ht="12.75" customHeight="1" x14ac:dyDescent="0.3">
      <c r="E122" s="115" t="s">
        <v>947</v>
      </c>
      <c r="F122" s="115"/>
      <c r="J122" s="151">
        <v>149.05773884951168</v>
      </c>
      <c r="K122" s="151">
        <v>144.37549573204734</v>
      </c>
      <c r="L122" s="151">
        <f t="shared" si="29"/>
        <v>149.95007999015877</v>
      </c>
      <c r="M122" s="151">
        <f t="shared" si="29"/>
        <v>154.9959658088147</v>
      </c>
      <c r="N122" s="151">
        <f t="shared" si="29"/>
        <v>160.2092979194673</v>
      </c>
      <c r="O122" s="547">
        <f t="shared" si="29"/>
        <v>166.13759880408384</v>
      </c>
      <c r="Q122" s="1348"/>
      <c r="R122" s="508">
        <v>2.3306659189979155E-3</v>
      </c>
      <c r="S122" s="1249">
        <v>2.1879716262850806E-3</v>
      </c>
      <c r="T122" s="1249">
        <v>2.1808700203638722E-3</v>
      </c>
      <c r="U122" s="1249">
        <v>2.1738259745138874E-3</v>
      </c>
      <c r="V122" s="1249">
        <v>2.1667766391142334E-3</v>
      </c>
      <c r="W122" s="2082">
        <v>2.1667766391142334E-3</v>
      </c>
    </row>
    <row r="123" spans="5:23" ht="12.75" customHeight="1" x14ac:dyDescent="0.3">
      <c r="E123" s="115" t="s">
        <v>948</v>
      </c>
      <c r="F123" s="115"/>
      <c r="J123" s="151">
        <v>12238.226939879247</v>
      </c>
      <c r="K123" s="151">
        <v>11540.071515158146</v>
      </c>
      <c r="L123" s="151">
        <f t="shared" si="29"/>
        <v>11990.294508050909</v>
      </c>
      <c r="M123" s="151">
        <f t="shared" si="29"/>
        <v>12398.373896787312</v>
      </c>
      <c r="N123" s="151">
        <f t="shared" si="29"/>
        <v>12820.319159918861</v>
      </c>
      <c r="O123" s="547">
        <f t="shared" si="29"/>
        <v>13294.715530190815</v>
      </c>
      <c r="Q123" s="1348"/>
      <c r="R123" s="508">
        <v>0.19135684371635128</v>
      </c>
      <c r="S123" s="509">
        <v>0.17488666558297436</v>
      </c>
      <c r="T123" s="509">
        <v>0.17438652803424973</v>
      </c>
      <c r="U123" s="509">
        <v>0.17388779816254066</v>
      </c>
      <c r="V123" s="509">
        <v>0.17339048621050948</v>
      </c>
      <c r="W123" s="2083">
        <v>0.17339048621050948</v>
      </c>
    </row>
    <row r="124" spans="5:23" ht="12.75" customHeight="1" x14ac:dyDescent="0.3">
      <c r="E124" s="115" t="s">
        <v>949</v>
      </c>
      <c r="F124" s="115"/>
      <c r="J124" s="151">
        <v>16232.199465758031</v>
      </c>
      <c r="K124" s="151">
        <v>14978.558056</v>
      </c>
      <c r="L124" s="151">
        <f t="shared" si="29"/>
        <v>15273.611222999998</v>
      </c>
      <c r="M124" s="151">
        <f t="shared" si="29"/>
        <v>15731.282232</v>
      </c>
      <c r="N124" s="151">
        <f t="shared" si="29"/>
        <v>16202.179131000001</v>
      </c>
      <c r="O124" s="547">
        <f t="shared" si="29"/>
        <v>16801.716075</v>
      </c>
      <c r="Q124" s="1348"/>
      <c r="R124" s="508">
        <v>0.2538065744000943</v>
      </c>
      <c r="S124" s="509">
        <v>0.226996</v>
      </c>
      <c r="T124" s="509">
        <v>0.22213899999999998</v>
      </c>
      <c r="U124" s="509">
        <v>0.22063199999999999</v>
      </c>
      <c r="V124" s="509">
        <v>0.21912900000000002</v>
      </c>
      <c r="W124" s="2083">
        <v>0.21912900000000002</v>
      </c>
    </row>
    <row r="125" spans="5:23" ht="12.75" customHeight="1" x14ac:dyDescent="0.3">
      <c r="E125" s="308" t="s">
        <v>950</v>
      </c>
      <c r="F125" s="115"/>
      <c r="J125" s="151">
        <v>2247.1883080661055</v>
      </c>
      <c r="K125" s="151">
        <v>2038.6385113919432</v>
      </c>
      <c r="L125" s="151">
        <f t="shared" si="29"/>
        <v>2115.4065863542037</v>
      </c>
      <c r="M125" s="151">
        <f t="shared" si="29"/>
        <v>2184.598551671429</v>
      </c>
      <c r="N125" s="151">
        <f t="shared" si="29"/>
        <v>2256.1174107073339</v>
      </c>
      <c r="O125" s="547">
        <f t="shared" si="29"/>
        <v>2339.6015968025649</v>
      </c>
      <c r="Q125" s="1348"/>
      <c r="R125" s="508">
        <v>3.513702303285287E-2</v>
      </c>
      <c r="S125" s="509">
        <v>3.0895015782013507E-2</v>
      </c>
      <c r="T125" s="509">
        <v>3.0766417766252215E-2</v>
      </c>
      <c r="U125" s="509">
        <v>3.0639101158068314E-2</v>
      </c>
      <c r="V125" s="509">
        <v>3.051322591199954E-2</v>
      </c>
      <c r="W125" s="2083">
        <v>3.051322591199954E-2</v>
      </c>
    </row>
    <row r="126" spans="5:23" ht="12.75" customHeight="1" x14ac:dyDescent="0.3">
      <c r="E126" s="308" t="s">
        <v>951</v>
      </c>
      <c r="F126" s="115"/>
      <c r="J126" s="151">
        <v>7708.8790994448482</v>
      </c>
      <c r="K126" s="151">
        <v>8051.8133749303024</v>
      </c>
      <c r="L126" s="151">
        <f t="shared" si="29"/>
        <v>8358.2079951733685</v>
      </c>
      <c r="M126" s="151">
        <f t="shared" si="29"/>
        <v>8635.3157546158982</v>
      </c>
      <c r="N126" s="151">
        <f t="shared" si="29"/>
        <v>8922.2411131025074</v>
      </c>
      <c r="O126" s="547">
        <f t="shared" si="29"/>
        <v>9252.3950465537109</v>
      </c>
      <c r="Q126" s="1348"/>
      <c r="R126" s="508">
        <v>0.12053598779524428</v>
      </c>
      <c r="S126" s="509">
        <v>0.12202305602597979</v>
      </c>
      <c r="T126" s="509">
        <v>0.12156155729850587</v>
      </c>
      <c r="U126" s="509">
        <v>0.12111072431825497</v>
      </c>
      <c r="V126" s="509">
        <v>0.120670297314036</v>
      </c>
      <c r="W126" s="2083">
        <v>0.120670297314036</v>
      </c>
    </row>
    <row r="127" spans="5:23" ht="12.75" customHeight="1" x14ac:dyDescent="0.3">
      <c r="E127" s="308" t="s">
        <v>952</v>
      </c>
      <c r="F127" s="115"/>
      <c r="J127" s="151">
        <v>0</v>
      </c>
      <c r="K127" s="151">
        <v>0</v>
      </c>
      <c r="L127" s="151">
        <v>0</v>
      </c>
      <c r="M127" s="151">
        <v>0</v>
      </c>
      <c r="N127" s="151">
        <v>0</v>
      </c>
      <c r="O127" s="547">
        <v>0</v>
      </c>
      <c r="Q127" s="1348"/>
      <c r="R127" s="508">
        <v>0</v>
      </c>
      <c r="S127" s="509">
        <v>0</v>
      </c>
      <c r="T127" s="509">
        <v>0</v>
      </c>
      <c r="U127" s="509">
        <v>0</v>
      </c>
      <c r="V127" s="509">
        <v>0</v>
      </c>
      <c r="W127" s="2083">
        <v>0</v>
      </c>
    </row>
    <row r="128" spans="5:23" ht="12.75" customHeight="1" x14ac:dyDescent="0.3">
      <c r="E128" s="308" t="s">
        <v>953</v>
      </c>
      <c r="F128" s="115"/>
      <c r="J128" s="151">
        <v>0</v>
      </c>
      <c r="K128" s="151">
        <v>0</v>
      </c>
      <c r="L128" s="151">
        <v>0</v>
      </c>
      <c r="M128" s="151">
        <v>0</v>
      </c>
      <c r="N128" s="151">
        <v>0</v>
      </c>
      <c r="O128" s="547">
        <v>0</v>
      </c>
      <c r="Q128" s="1348"/>
      <c r="R128" s="508">
        <v>0</v>
      </c>
      <c r="S128" s="509">
        <v>0</v>
      </c>
      <c r="T128" s="509">
        <v>0</v>
      </c>
      <c r="U128" s="509">
        <v>0</v>
      </c>
      <c r="V128" s="509">
        <v>0</v>
      </c>
      <c r="W128" s="2083">
        <v>0</v>
      </c>
    </row>
    <row r="129" spans="5:23" ht="12.75" customHeight="1" x14ac:dyDescent="0.3">
      <c r="E129" s="115"/>
      <c r="F129" s="115"/>
      <c r="J129" s="359"/>
      <c r="K129" s="359"/>
      <c r="L129" s="151"/>
      <c r="M129" s="151"/>
      <c r="N129" s="151"/>
      <c r="O129" s="547"/>
      <c r="Q129" s="1348"/>
      <c r="R129" s="508"/>
      <c r="S129" s="508"/>
      <c r="T129" s="508"/>
      <c r="U129" s="508"/>
      <c r="V129" s="508"/>
      <c r="W129" s="2090"/>
    </row>
    <row r="130" spans="5:23" ht="12.75" customHeight="1" x14ac:dyDescent="0.3">
      <c r="E130" s="507" t="s">
        <v>954</v>
      </c>
      <c r="F130" s="115"/>
      <c r="J130" s="359"/>
      <c r="K130" s="359"/>
      <c r="L130" s="151"/>
      <c r="M130" s="151"/>
      <c r="N130" s="151"/>
      <c r="O130" s="547"/>
      <c r="Q130" s="1348"/>
      <c r="R130" s="508"/>
      <c r="S130" s="508"/>
      <c r="T130" s="508"/>
      <c r="U130" s="508"/>
      <c r="V130" s="508"/>
      <c r="W130" s="2090"/>
    </row>
    <row r="131" spans="5:23" ht="12.75" customHeight="1" x14ac:dyDescent="0.3">
      <c r="E131" s="115"/>
      <c r="F131" s="115"/>
      <c r="J131" s="359"/>
      <c r="K131" s="359"/>
      <c r="L131" s="151"/>
      <c r="M131" s="151"/>
      <c r="N131" s="151"/>
      <c r="O131" s="547"/>
      <c r="Q131" s="1348"/>
      <c r="R131" s="508"/>
      <c r="S131" s="508"/>
      <c r="T131" s="508"/>
      <c r="U131" s="508"/>
      <c r="V131" s="508"/>
      <c r="W131" s="2090"/>
    </row>
    <row r="132" spans="5:23" ht="12.75" customHeight="1" x14ac:dyDescent="0.3">
      <c r="E132" s="115" t="s">
        <v>955</v>
      </c>
      <c r="F132" s="115"/>
      <c r="J132" s="151">
        <v>2612.9749406132178</v>
      </c>
      <c r="K132" s="151">
        <v>2128.9365228338511</v>
      </c>
      <c r="L132" s="151">
        <f t="shared" ref="L132:O133" si="30">L$105*T132</f>
        <v>3271.4179017762881</v>
      </c>
      <c r="M132" s="151">
        <f t="shared" si="30"/>
        <v>3251.8865547207533</v>
      </c>
      <c r="N132" s="151">
        <f t="shared" si="30"/>
        <v>3267.2614667785151</v>
      </c>
      <c r="O132" s="547">
        <f t="shared" si="30"/>
        <v>3388.1614975215061</v>
      </c>
      <c r="Q132" s="1348"/>
      <c r="R132" s="508">
        <v>4.085646064597323E-2</v>
      </c>
      <c r="S132" s="509">
        <v>3.2263457746095403E-2</v>
      </c>
      <c r="T132" s="509">
        <v>4.7579415939850316E-2</v>
      </c>
      <c r="U132" s="509">
        <v>4.5607867417297838E-2</v>
      </c>
      <c r="V132" s="509">
        <v>4.4188607727701418E-2</v>
      </c>
      <c r="W132" s="2083">
        <v>4.4188607727701418E-2</v>
      </c>
    </row>
    <row r="133" spans="5:23" ht="12.75" customHeight="1" x14ac:dyDescent="0.3">
      <c r="E133" s="115" t="s">
        <v>956</v>
      </c>
      <c r="F133" s="115"/>
      <c r="J133" s="151">
        <v>10658.844911185322</v>
      </c>
      <c r="K133" s="151">
        <v>11098.053368000001</v>
      </c>
      <c r="L133" s="151">
        <f t="shared" si="30"/>
        <v>11123.232432000003</v>
      </c>
      <c r="M133" s="151">
        <f t="shared" si="30"/>
        <v>9306.4204229999996</v>
      </c>
      <c r="N133" s="151">
        <f t="shared" si="30"/>
        <v>9289.3262649999997</v>
      </c>
      <c r="O133" s="547">
        <f t="shared" si="30"/>
        <v>9633.0636249999989</v>
      </c>
      <c r="P133" s="151"/>
      <c r="Q133" s="1348"/>
      <c r="R133" s="508">
        <v>0.16666163569987213</v>
      </c>
      <c r="S133" s="509">
        <v>0.168188</v>
      </c>
      <c r="T133" s="509">
        <v>0.16177600000000003</v>
      </c>
      <c r="U133" s="509">
        <v>0.130523</v>
      </c>
      <c r="V133" s="509">
        <v>0.125635</v>
      </c>
      <c r="W133" s="2083">
        <v>0.125635</v>
      </c>
    </row>
    <row r="134" spans="5:23" ht="12.75" customHeight="1" x14ac:dyDescent="0.3">
      <c r="E134" s="411"/>
      <c r="F134" s="301"/>
      <c r="G134" s="301"/>
      <c r="H134" s="359"/>
      <c r="I134" s="359"/>
      <c r="J134" s="151"/>
      <c r="K134" s="151"/>
      <c r="L134" s="151"/>
      <c r="M134" s="151"/>
      <c r="N134" s="151"/>
      <c r="O134" s="151"/>
      <c r="P134" s="151"/>
      <c r="Q134" s="1348"/>
      <c r="R134" s="11"/>
      <c r="S134" s="1349"/>
      <c r="T134" s="1349"/>
      <c r="U134" s="1349"/>
      <c r="V134" s="1349"/>
    </row>
    <row r="135" spans="5:23" ht="12.75" customHeight="1" thickBot="1" x14ac:dyDescent="0.35">
      <c r="E135" s="301" t="s">
        <v>957</v>
      </c>
      <c r="F135" s="301"/>
      <c r="G135" s="301"/>
      <c r="H135" s="359"/>
      <c r="I135" s="359"/>
      <c r="J135" s="1745">
        <v>58244.702408393074</v>
      </c>
      <c r="K135" s="1745">
        <v>55928.425882415249</v>
      </c>
      <c r="L135" s="1745">
        <f t="shared" ref="L135:M135" si="31">SUM(L114:L134)</f>
        <v>58753.258062029709</v>
      </c>
      <c r="M135" s="1745">
        <f t="shared" si="31"/>
        <v>58742.492845825618</v>
      </c>
      <c r="N135" s="1745">
        <f t="shared" ref="N135:O135" si="32">SUM(N114:N134)</f>
        <v>60636.003668021294</v>
      </c>
      <c r="O135" s="1745">
        <f t="shared" si="32"/>
        <v>62879.746564675384</v>
      </c>
      <c r="P135" s="503"/>
      <c r="Q135" s="458"/>
      <c r="R135" s="458"/>
      <c r="S135" s="458"/>
      <c r="T135" s="458"/>
      <c r="U135" s="458"/>
    </row>
    <row r="136" spans="5:23" ht="12.75" customHeight="1" thickTop="1" x14ac:dyDescent="0.3">
      <c r="E136" s="301"/>
      <c r="F136" s="301"/>
      <c r="G136" s="301"/>
      <c r="H136" s="359"/>
      <c r="I136" s="359"/>
      <c r="J136" s="503"/>
      <c r="K136" s="503"/>
      <c r="L136" s="503"/>
      <c r="M136" s="503"/>
      <c r="N136" s="503"/>
      <c r="O136" s="503"/>
      <c r="P136" s="503"/>
      <c r="Q136" s="458"/>
      <c r="R136" s="458"/>
      <c r="S136" s="458"/>
      <c r="T136" s="458"/>
      <c r="U136" s="458"/>
    </row>
    <row r="137" spans="5:23" ht="12.75" customHeight="1" x14ac:dyDescent="0.3">
      <c r="E137" s="301" t="s">
        <v>959</v>
      </c>
      <c r="F137" s="301"/>
      <c r="G137" s="301"/>
      <c r="H137" s="359"/>
      <c r="I137" s="359"/>
      <c r="J137" s="503">
        <v>63955</v>
      </c>
      <c r="K137" s="503">
        <v>65986</v>
      </c>
      <c r="L137" s="503">
        <f t="shared" ref="L137:M137" si="33">L107</f>
        <v>68757</v>
      </c>
      <c r="M137" s="503">
        <f t="shared" si="33"/>
        <v>71301</v>
      </c>
      <c r="N137" s="503">
        <f t="shared" ref="N137:O137" si="34">N107</f>
        <v>73939</v>
      </c>
      <c r="O137" s="503">
        <f t="shared" si="34"/>
        <v>76675</v>
      </c>
      <c r="P137" s="503"/>
      <c r="Q137" s="458"/>
      <c r="R137" s="458"/>
      <c r="S137" s="458"/>
      <c r="T137" s="458"/>
      <c r="U137" s="458"/>
    </row>
    <row r="138" spans="5:23" ht="12.75" customHeight="1" x14ac:dyDescent="0.3">
      <c r="E138" s="301" t="s">
        <v>960</v>
      </c>
      <c r="F138" s="301"/>
      <c r="G138" s="301"/>
      <c r="H138" s="359"/>
      <c r="I138" s="359"/>
      <c r="J138" s="503">
        <v>58244.702408393074</v>
      </c>
      <c r="K138" s="503">
        <v>55928.425882415249</v>
      </c>
      <c r="L138" s="503">
        <f t="shared" ref="L138:M138" si="35">L135</f>
        <v>58753.258062029709</v>
      </c>
      <c r="M138" s="503">
        <f t="shared" si="35"/>
        <v>58742.492845825618</v>
      </c>
      <c r="N138" s="503">
        <f t="shared" ref="N138:O138" si="36">N135</f>
        <v>60636.003668021294</v>
      </c>
      <c r="O138" s="503">
        <f t="shared" si="36"/>
        <v>62879.746564675384</v>
      </c>
      <c r="P138" s="503"/>
    </row>
    <row r="139" spans="5:23" ht="12.75" customHeight="1" x14ac:dyDescent="0.3">
      <c r="E139" s="301" t="s">
        <v>961</v>
      </c>
      <c r="F139" s="301"/>
      <c r="G139" s="301"/>
      <c r="H139" s="359"/>
      <c r="I139" s="359"/>
      <c r="J139" s="511">
        <v>-83519</v>
      </c>
      <c r="K139" s="511">
        <v>-86286.491999999998</v>
      </c>
      <c r="L139" s="511">
        <f>L68+L73</f>
        <v>-89404.379220000003</v>
      </c>
      <c r="M139" s="511">
        <f>M68+M73</f>
        <v>-92635.337492699997</v>
      </c>
      <c r="N139" s="511">
        <f>N68+N73</f>
        <v>-95557.279304944488</v>
      </c>
      <c r="O139" s="511">
        <f>O68+O73</f>
        <v>-98572.149080617542</v>
      </c>
      <c r="P139" s="503"/>
    </row>
    <row r="140" spans="5:23" ht="12.75" customHeight="1" x14ac:dyDescent="0.3">
      <c r="E140" s="301"/>
      <c r="F140" s="301"/>
      <c r="G140" s="301"/>
      <c r="H140" s="359"/>
      <c r="I140" s="359"/>
      <c r="J140" s="503"/>
      <c r="K140" s="503"/>
      <c r="L140" s="503"/>
      <c r="M140" s="503"/>
      <c r="N140" s="503"/>
      <c r="O140" s="503"/>
      <c r="P140" s="503"/>
    </row>
    <row r="141" spans="5:23" ht="12.75" customHeight="1" x14ac:dyDescent="0.3">
      <c r="E141" s="301"/>
      <c r="F141" s="301"/>
      <c r="G141" s="301"/>
      <c r="H141" s="359"/>
      <c r="I141" s="359"/>
      <c r="J141" s="503"/>
      <c r="K141" s="503"/>
      <c r="L141" s="503"/>
      <c r="M141" s="503"/>
      <c r="N141" s="503"/>
      <c r="O141" s="503"/>
      <c r="P141" s="503"/>
      <c r="R141" s="149"/>
      <c r="S141" s="149"/>
      <c r="T141" s="149"/>
      <c r="U141" s="149"/>
    </row>
    <row r="142" spans="5:23" ht="12.75" customHeight="1" x14ac:dyDescent="0.3">
      <c r="E142" s="301" t="s">
        <v>962</v>
      </c>
      <c r="F142" s="301"/>
      <c r="G142" s="301"/>
      <c r="H142" s="359"/>
      <c r="I142" s="359"/>
      <c r="J142" s="510">
        <v>38680.702408393074</v>
      </c>
      <c r="K142" s="510">
        <v>35627.933882415251</v>
      </c>
      <c r="L142" s="510">
        <f t="shared" ref="L142:M142" si="37">SUM(L137:L141)</f>
        <v>38105.878842029706</v>
      </c>
      <c r="M142" s="510">
        <f t="shared" si="37"/>
        <v>37408.155353125621</v>
      </c>
      <c r="N142" s="510">
        <f t="shared" ref="N142:O142" si="38">SUM(N137:N141)</f>
        <v>39017.724363076806</v>
      </c>
      <c r="O142" s="510">
        <f t="shared" si="38"/>
        <v>40982.597484057842</v>
      </c>
      <c r="P142" s="510"/>
    </row>
    <row r="143" spans="5:23" ht="12.75" customHeight="1" x14ac:dyDescent="0.3">
      <c r="E143" s="427"/>
      <c r="J143" s="114"/>
      <c r="K143" s="114"/>
      <c r="L143" s="114"/>
      <c r="M143" s="114"/>
      <c r="N143" s="114"/>
      <c r="O143" s="114"/>
    </row>
    <row r="145" spans="5:21" ht="12.75" customHeight="1" x14ac:dyDescent="0.3">
      <c r="E145" s="336"/>
      <c r="H145" s="383"/>
      <c r="J145" s="114"/>
      <c r="K145" s="114"/>
      <c r="L145" s="114"/>
      <c r="M145" s="114"/>
      <c r="N145" s="114"/>
      <c r="O145" s="114"/>
      <c r="P145" s="381" t="s">
        <v>2127</v>
      </c>
      <c r="Q145" s="514"/>
      <c r="R145" s="514">
        <f>SUM(R110:R144)</f>
        <v>0.91071382078638219</v>
      </c>
      <c r="S145" s="514">
        <f>SUM(S110:S144)</f>
        <v>0.84758018189335993</v>
      </c>
      <c r="T145" s="514">
        <f>SUM(T110:T144)</f>
        <v>0.85450584030760068</v>
      </c>
      <c r="U145" s="514">
        <f>SUM(U110:U144)</f>
        <v>0.82386632509818392</v>
      </c>
    </row>
  </sheetData>
  <mergeCells count="3">
    <mergeCell ref="D48:D49"/>
    <mergeCell ref="F48:F49"/>
    <mergeCell ref="G48:H49"/>
  </mergeCells>
  <phoneticPr fontId="52" type="noConversion"/>
  <hyperlinks>
    <hyperlink ref="A1" location="Inhoudsopgave!A1" display="Inhoudsopgave" xr:uid="{192478B9-DBE3-47D5-8905-8A49894F0581}"/>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77" min="3" max="14" man="1"/>
  </rowBreaks>
  <ignoredErrors>
    <ignoredError sqref="L85:M85" formulaRange="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1EDC-FA34-4A47-A9B3-557B97628782}">
  <sheetPr codeName="Blad111"/>
  <dimension ref="A1:W178"/>
  <sheetViews>
    <sheetView showGridLines="0" view="pageBreakPreview" topLeftCell="A37" zoomScaleNormal="100" zoomScaleSheetLayoutView="100" workbookViewId="0">
      <selection activeCell="H146" sqref="H146"/>
    </sheetView>
  </sheetViews>
  <sheetFormatPr defaultColWidth="9.109375" defaultRowHeight="12.75" customHeight="1" x14ac:dyDescent="0.25"/>
  <cols>
    <col min="1" max="1" width="9.33203125" style="115" bestFit="1" customWidth="1"/>
    <col min="2" max="3" width="9.109375" style="115"/>
    <col min="4" max="4" width="9.6640625" style="301" customWidth="1"/>
    <col min="5" max="6" width="9.6640625" style="143" customWidth="1"/>
    <col min="7" max="9" width="12.6640625" style="115" customWidth="1"/>
    <col min="10" max="15" width="11.6640625" style="115" customWidth="1"/>
    <col min="16" max="16" width="9.33203125" style="115" bestFit="1" customWidth="1"/>
    <col min="17" max="17" width="11" style="115" bestFit="1" customWidth="1"/>
    <col min="18" max="22" width="9.5546875" style="115" bestFit="1" customWidth="1"/>
    <col min="23" max="16384" width="9.109375" style="115"/>
  </cols>
  <sheetData>
    <row r="1" spans="1:23" ht="12.75" customHeight="1" x14ac:dyDescent="0.25">
      <c r="A1" s="165" t="s">
        <v>0</v>
      </c>
      <c r="Q1" s="304"/>
      <c r="R1" s="304">
        <v>2025</v>
      </c>
      <c r="S1" s="304">
        <v>2026</v>
      </c>
      <c r="T1" s="304">
        <v>2027</v>
      </c>
      <c r="U1" s="304">
        <v>2028</v>
      </c>
      <c r="V1" s="304">
        <v>2029</v>
      </c>
      <c r="W1" s="304">
        <v>2030</v>
      </c>
    </row>
    <row r="2" spans="1:23" ht="12.75" customHeight="1" x14ac:dyDescent="0.25">
      <c r="D2" s="301" t="s">
        <v>504</v>
      </c>
      <c r="H2" s="115" t="s">
        <v>1895</v>
      </c>
      <c r="P2" s="115" t="s">
        <v>969</v>
      </c>
      <c r="Q2" s="307"/>
      <c r="R2" s="1324">
        <f>+Indexering!H4</f>
        <v>1.028</v>
      </c>
      <c r="S2" s="1324">
        <f>+Indexering!I4</f>
        <v>1.026</v>
      </c>
      <c r="T2" s="1324">
        <f>+Indexering!J4</f>
        <v>1.0209999999999999</v>
      </c>
      <c r="U2" s="1324">
        <f>+Indexering!K4</f>
        <v>1.0229999999999999</v>
      </c>
      <c r="V2" s="1324">
        <f>+Indexering!L4</f>
        <v>1.0229999999999999</v>
      </c>
      <c r="W2" s="1324">
        <f>+Indexering!M4</f>
        <v>1.0229999999999999</v>
      </c>
    </row>
    <row r="3" spans="1:23" ht="12.75" customHeight="1" x14ac:dyDescent="0.25">
      <c r="D3" s="1325"/>
      <c r="E3" s="1326"/>
      <c r="F3" s="1326"/>
      <c r="G3" s="1327"/>
      <c r="H3" s="1327"/>
      <c r="P3" s="115" t="s">
        <v>970</v>
      </c>
      <c r="Q3" s="307"/>
      <c r="R3" s="1324">
        <f>+Indexering!H5</f>
        <v>1.0489999999999999</v>
      </c>
      <c r="S3" s="1324">
        <f>+Indexering!I5</f>
        <v>1.02</v>
      </c>
      <c r="T3" s="1324">
        <f>+Indexering!J5</f>
        <v>1.042</v>
      </c>
      <c r="U3" s="1324">
        <f>+Indexering!K5</f>
        <v>1.0369999999999999</v>
      </c>
      <c r="V3" s="1324">
        <f>+Indexering!L5</f>
        <v>1.0369999999999999</v>
      </c>
      <c r="W3" s="1324">
        <f>+Indexering!M5</f>
        <v>1.0369999999999999</v>
      </c>
    </row>
    <row r="4" spans="1:23" ht="12.75" customHeight="1" x14ac:dyDescent="0.25">
      <c r="D4" s="1325"/>
      <c r="E4" s="1326"/>
      <c r="F4" s="1326"/>
      <c r="G4" s="1327"/>
      <c r="H4" s="1327"/>
      <c r="R4" s="1324">
        <f>+Indexering!H6</f>
        <v>1.036</v>
      </c>
      <c r="S4" s="1324">
        <f>+Indexering!I6</f>
        <v>1.0228200000000001</v>
      </c>
      <c r="T4" s="1324">
        <f>+Indexering!J6</f>
        <v>1.03213</v>
      </c>
      <c r="U4" s="1324">
        <f>+Indexering!K6</f>
        <v>1.0304199999999999</v>
      </c>
      <c r="V4" s="1324">
        <f>+Indexering!L6</f>
        <v>1.0304199999999999</v>
      </c>
      <c r="W4" s="1324">
        <f>+Indexering!M6</f>
        <v>1.0304199999999999</v>
      </c>
    </row>
    <row r="6" spans="1:23" ht="12.75" customHeight="1" x14ac:dyDescent="0.25">
      <c r="D6" s="301" t="s">
        <v>66</v>
      </c>
      <c r="H6" s="115" t="s">
        <v>2128</v>
      </c>
    </row>
    <row r="24" spans="1:20" ht="12.75" customHeight="1" x14ac:dyDescent="0.25">
      <c r="A24" s="147"/>
      <c r="D24" s="452" t="s">
        <v>507</v>
      </c>
      <c r="E24" s="1168"/>
      <c r="F24" s="1168"/>
      <c r="G24" s="166"/>
      <c r="H24" s="166"/>
      <c r="I24" s="166"/>
      <c r="J24" s="166"/>
      <c r="K24" s="166"/>
      <c r="L24" s="166"/>
      <c r="M24" s="166"/>
      <c r="N24" s="166"/>
      <c r="O24" s="166"/>
    </row>
    <row r="25" spans="1:20" ht="12.75" customHeight="1" x14ac:dyDescent="0.25">
      <c r="A25" s="147"/>
      <c r="D25" s="1168"/>
      <c r="E25" s="1168"/>
      <c r="F25" s="1168"/>
      <c r="G25" s="166"/>
      <c r="H25" s="166"/>
      <c r="I25" s="166"/>
      <c r="J25" s="166"/>
      <c r="K25" s="166"/>
      <c r="L25" s="166"/>
      <c r="M25" s="166"/>
      <c r="N25" s="166"/>
      <c r="O25" s="166"/>
    </row>
    <row r="26" spans="1:20" ht="12.75" customHeight="1" x14ac:dyDescent="0.25">
      <c r="A26" s="147"/>
      <c r="D26" s="1746" t="s">
        <v>508</v>
      </c>
      <c r="E26" s="1747"/>
      <c r="F26" s="1747"/>
      <c r="G26" s="1748"/>
      <c r="H26" s="1748"/>
      <c r="I26" s="1749"/>
      <c r="J26" s="1749">
        <v>2025</v>
      </c>
      <c r="K26" s="1749">
        <v>2026</v>
      </c>
      <c r="L26" s="1749">
        <v>2027</v>
      </c>
      <c r="M26" s="1749">
        <v>2028</v>
      </c>
      <c r="N26" s="1749">
        <v>2029</v>
      </c>
      <c r="O26" s="1749">
        <v>2030</v>
      </c>
    </row>
    <row r="27" spans="1:20" ht="12.75" customHeight="1" x14ac:dyDescent="0.25">
      <c r="A27" s="147"/>
      <c r="D27" s="461" t="str">
        <f>G73</f>
        <v>Algemene uitkering</v>
      </c>
      <c r="E27" s="1328"/>
      <c r="F27" s="1329"/>
      <c r="G27" s="166"/>
      <c r="H27" s="166"/>
      <c r="I27" s="1330"/>
      <c r="J27" s="1161">
        <v>5634</v>
      </c>
      <c r="K27" s="1161">
        <v>5780</v>
      </c>
      <c r="L27" s="1161">
        <f t="shared" ref="L27:M27" si="0">L76</f>
        <v>5901</v>
      </c>
      <c r="M27" s="1161">
        <f t="shared" si="0"/>
        <v>6037</v>
      </c>
      <c r="N27" s="1161">
        <f>N76</f>
        <v>6176</v>
      </c>
      <c r="O27" s="1161">
        <f>O76</f>
        <v>6318</v>
      </c>
    </row>
    <row r="28" spans="1:20" ht="12.75" customHeight="1" x14ac:dyDescent="0.25">
      <c r="A28" s="147"/>
      <c r="D28" s="461"/>
      <c r="E28" s="1328"/>
      <c r="F28" s="1329"/>
      <c r="G28" s="166"/>
      <c r="H28" s="166"/>
      <c r="I28" s="1330"/>
      <c r="J28" s="144"/>
      <c r="K28" s="144"/>
      <c r="L28" s="144"/>
      <c r="M28" s="144"/>
      <c r="N28" s="144"/>
      <c r="O28" s="144"/>
    </row>
    <row r="29" spans="1:20" ht="12.75" customHeight="1" x14ac:dyDescent="0.25">
      <c r="A29" s="147"/>
      <c r="D29" s="461"/>
      <c r="E29" s="1328"/>
      <c r="F29" s="1329"/>
      <c r="G29" s="166"/>
      <c r="H29" s="166"/>
      <c r="I29" s="1330"/>
      <c r="J29" s="144"/>
      <c r="K29" s="144"/>
      <c r="L29" s="144"/>
      <c r="M29" s="144"/>
      <c r="N29" s="144"/>
      <c r="O29" s="144"/>
    </row>
    <row r="30" spans="1:20" ht="12.75" customHeight="1" x14ac:dyDescent="0.25">
      <c r="A30" s="147"/>
      <c r="D30" s="461"/>
      <c r="E30" s="1328"/>
      <c r="F30" s="1329"/>
      <c r="G30" s="166"/>
      <c r="H30" s="166"/>
      <c r="I30" s="1330"/>
      <c r="J30" s="144"/>
      <c r="K30" s="144"/>
      <c r="L30" s="144"/>
      <c r="M30" s="144"/>
      <c r="N30" s="144"/>
      <c r="O30" s="144"/>
    </row>
    <row r="31" spans="1:20" ht="12.75" customHeight="1" x14ac:dyDescent="0.25">
      <c r="A31" s="147"/>
      <c r="D31" s="461"/>
      <c r="E31" s="1328"/>
      <c r="F31" s="1329"/>
      <c r="G31" s="166"/>
      <c r="H31" s="166"/>
      <c r="I31" s="1330"/>
      <c r="J31" s="145"/>
      <c r="K31" s="145"/>
      <c r="L31" s="145"/>
      <c r="M31" s="145"/>
      <c r="N31" s="145"/>
      <c r="O31" s="145"/>
      <c r="Q31" s="114"/>
      <c r="T31" s="310"/>
    </row>
    <row r="32" spans="1:20" ht="12.75" customHeight="1" x14ac:dyDescent="0.25">
      <c r="A32" s="147"/>
      <c r="D32" s="461"/>
      <c r="E32" s="1328"/>
      <c r="F32" s="1329"/>
      <c r="G32" s="166"/>
      <c r="H32" s="166"/>
      <c r="I32" s="1330"/>
      <c r="J32" s="145"/>
      <c r="K32" s="145"/>
      <c r="L32" s="145"/>
      <c r="M32" s="145"/>
      <c r="N32" s="145"/>
      <c r="O32" s="145"/>
      <c r="Q32" s="114"/>
      <c r="T32" s="310"/>
    </row>
    <row r="33" spans="1:20" ht="12.75" customHeight="1" x14ac:dyDescent="0.25">
      <c r="A33" s="147"/>
      <c r="D33" s="461"/>
      <c r="E33" s="1328"/>
      <c r="F33" s="1329"/>
      <c r="G33" s="166"/>
      <c r="H33" s="166"/>
      <c r="I33" s="1330"/>
      <c r="J33" s="146"/>
      <c r="K33" s="146"/>
      <c r="L33" s="146"/>
      <c r="M33" s="146"/>
      <c r="N33" s="146"/>
      <c r="O33" s="146"/>
      <c r="Q33" s="114"/>
      <c r="T33" s="310"/>
    </row>
    <row r="34" spans="1:20" ht="12.75" customHeight="1" x14ac:dyDescent="0.25">
      <c r="A34" s="147"/>
      <c r="D34" s="1849" t="s">
        <v>525</v>
      </c>
      <c r="E34" s="1850"/>
      <c r="F34" s="1851"/>
      <c r="G34" s="1852"/>
      <c r="H34" s="1852"/>
      <c r="I34" s="1853"/>
      <c r="J34" s="1854">
        <v>5634</v>
      </c>
      <c r="K34" s="1854">
        <f>SUM(K27:K33)</f>
        <v>5780</v>
      </c>
      <c r="L34" s="1854">
        <f>SUM(L27:L33)</f>
        <v>5901</v>
      </c>
      <c r="M34" s="1854">
        <f>SUM(M27:M33)</f>
        <v>6037</v>
      </c>
      <c r="N34" s="1854">
        <f>SUM(N27:N33)</f>
        <v>6176</v>
      </c>
      <c r="O34" s="1854">
        <f>SUM(O27:O33)</f>
        <v>6318</v>
      </c>
      <c r="Q34" s="114"/>
      <c r="T34" s="310"/>
    </row>
    <row r="35" spans="1:20" ht="12.75" customHeight="1" x14ac:dyDescent="0.25">
      <c r="A35" s="147"/>
      <c r="D35" s="1168"/>
      <c r="E35" s="1328"/>
      <c r="F35" s="1329"/>
      <c r="G35" s="166"/>
      <c r="H35" s="166"/>
      <c r="I35" s="166"/>
      <c r="J35" s="166"/>
      <c r="K35" s="166"/>
      <c r="L35" s="166"/>
      <c r="M35" s="166"/>
      <c r="N35" s="166"/>
      <c r="O35" s="166"/>
    </row>
    <row r="36" spans="1:20" ht="12.75" customHeight="1" x14ac:dyDescent="0.25">
      <c r="A36" s="147"/>
      <c r="D36" s="1746" t="s">
        <v>526</v>
      </c>
      <c r="E36" s="1747"/>
      <c r="F36" s="1747"/>
      <c r="G36" s="1748"/>
      <c r="H36" s="1748"/>
      <c r="I36" s="1749"/>
      <c r="J36" s="1749">
        <v>2025</v>
      </c>
      <c r="K36" s="1749">
        <v>2026</v>
      </c>
      <c r="L36" s="1749">
        <v>2027</v>
      </c>
      <c r="M36" s="1749">
        <v>2028</v>
      </c>
      <c r="N36" s="1749">
        <v>2029</v>
      </c>
      <c r="O36" s="1749">
        <v>2030</v>
      </c>
    </row>
    <row r="37" spans="1:20" ht="12.75" customHeight="1" x14ac:dyDescent="0.25">
      <c r="A37" s="147"/>
      <c r="D37" s="461" t="str">
        <f>G78</f>
        <v>Algemene uitkering</v>
      </c>
      <c r="E37" s="1328"/>
      <c r="F37" s="1329"/>
      <c r="G37" s="166"/>
      <c r="H37" s="166"/>
      <c r="I37" s="1330"/>
      <c r="J37" s="1161">
        <v>-59665457</v>
      </c>
      <c r="K37" s="1161">
        <v>-63264435</v>
      </c>
      <c r="L37" s="1161">
        <f t="shared" ref="L37:M37" si="1">L81</f>
        <v>-65532292</v>
      </c>
      <c r="M37" s="1161">
        <f t="shared" si="1"/>
        <v>-66117057</v>
      </c>
      <c r="N37" s="1161">
        <f t="shared" ref="N37:O37" si="2">N81</f>
        <v>-68912251</v>
      </c>
      <c r="O37" s="1161">
        <f t="shared" si="2"/>
        <v>0</v>
      </c>
      <c r="R37" s="381"/>
      <c r="S37" s="381"/>
    </row>
    <row r="38" spans="1:20" ht="12.75" customHeight="1" x14ac:dyDescent="0.25">
      <c r="A38" s="147"/>
      <c r="D38" s="461" t="str">
        <f>G83</f>
        <v>Integratie-uitkering WMO</v>
      </c>
      <c r="E38" s="1328"/>
      <c r="F38" s="1329"/>
      <c r="G38" s="166"/>
      <c r="H38" s="166"/>
      <c r="I38" s="1330"/>
      <c r="J38" s="1161">
        <v>0</v>
      </c>
      <c r="K38" s="1161">
        <v>0</v>
      </c>
      <c r="L38" s="1161">
        <v>0</v>
      </c>
      <c r="M38" s="1161">
        <v>0</v>
      </c>
      <c r="N38" s="1161">
        <v>0</v>
      </c>
      <c r="O38" s="1161">
        <v>0</v>
      </c>
      <c r="R38" s="310"/>
      <c r="S38" s="310"/>
    </row>
    <row r="39" spans="1:20" ht="12.75" customHeight="1" x14ac:dyDescent="0.25">
      <c r="A39" s="147"/>
      <c r="D39" s="461" t="str">
        <f>G88</f>
        <v>Decentralisatie-uitkering combinatiefuncties</v>
      </c>
      <c r="E39" s="1328"/>
      <c r="F39" s="1329"/>
      <c r="G39" s="166"/>
      <c r="H39" s="166"/>
      <c r="I39" s="1330"/>
      <c r="J39" s="1161">
        <v>0</v>
      </c>
      <c r="K39" s="1161">
        <v>0</v>
      </c>
      <c r="L39" s="1161">
        <f t="shared" ref="L39" si="3">L91</f>
        <v>0</v>
      </c>
      <c r="M39" s="1161">
        <v>0</v>
      </c>
      <c r="N39" s="1161">
        <v>0</v>
      </c>
      <c r="O39" s="1161">
        <v>0</v>
      </c>
      <c r="R39" s="310"/>
    </row>
    <row r="40" spans="1:20" ht="12.75" customHeight="1" x14ac:dyDescent="0.25">
      <c r="A40" s="147"/>
      <c r="D40" s="461" t="str">
        <f>G93</f>
        <v>Integratie-uitkering Sociaal domein Wmo</v>
      </c>
      <c r="E40" s="1328"/>
      <c r="F40" s="1329"/>
      <c r="G40" s="166"/>
      <c r="H40" s="166"/>
      <c r="I40" s="1330"/>
      <c r="J40" s="1161">
        <v>0</v>
      </c>
      <c r="K40" s="1161">
        <v>0</v>
      </c>
      <c r="L40" s="1161">
        <f t="shared" ref="L40" si="4">L96</f>
        <v>0</v>
      </c>
      <c r="M40" s="1161">
        <v>0</v>
      </c>
      <c r="N40" s="1161">
        <v>0</v>
      </c>
      <c r="O40" s="1161">
        <v>0</v>
      </c>
    </row>
    <row r="41" spans="1:20" ht="12.75" customHeight="1" x14ac:dyDescent="0.25">
      <c r="A41" s="147"/>
      <c r="D41" s="461" t="str">
        <f>G98</f>
        <v>Integratie-uitkering Sociaal domein jeugd</v>
      </c>
      <c r="E41" s="1328"/>
      <c r="F41" s="1329"/>
      <c r="G41" s="166"/>
      <c r="H41" s="166"/>
      <c r="I41" s="1330"/>
      <c r="J41" s="1161">
        <v>0</v>
      </c>
      <c r="K41" s="1161">
        <v>0</v>
      </c>
      <c r="L41" s="1161">
        <f t="shared" ref="L41" si="5">L101</f>
        <v>0</v>
      </c>
      <c r="M41" s="1161">
        <v>0</v>
      </c>
      <c r="N41" s="1161">
        <v>0</v>
      </c>
      <c r="O41" s="1161">
        <v>0</v>
      </c>
      <c r="R41" s="310"/>
      <c r="S41" s="310"/>
    </row>
    <row r="42" spans="1:20" ht="12.75" customHeight="1" x14ac:dyDescent="0.25">
      <c r="A42" s="147"/>
      <c r="D42" s="461" t="str">
        <f>G103</f>
        <v>Integratie-uitkering Sociaal domein participatie</v>
      </c>
      <c r="E42" s="1328"/>
      <c r="F42" s="1329"/>
      <c r="G42" s="166"/>
      <c r="H42" s="166"/>
      <c r="I42" s="1330"/>
      <c r="J42" s="1161">
        <v>0</v>
      </c>
      <c r="K42" s="1161">
        <v>0</v>
      </c>
      <c r="L42" s="1161">
        <f t="shared" ref="L42" si="6">L106</f>
        <v>0</v>
      </c>
      <c r="M42" s="1161">
        <v>0</v>
      </c>
      <c r="N42" s="1161">
        <v>0</v>
      </c>
      <c r="O42" s="1161">
        <v>0</v>
      </c>
    </row>
    <row r="43" spans="1:20" ht="12.75" customHeight="1" x14ac:dyDescent="0.25">
      <c r="A43" s="147"/>
      <c r="D43" s="461"/>
      <c r="E43" s="1328"/>
      <c r="F43" s="1329"/>
      <c r="G43" s="166"/>
      <c r="H43" s="166"/>
      <c r="I43" s="1330"/>
      <c r="J43" s="1161"/>
      <c r="K43" s="1161"/>
      <c r="L43" s="1161"/>
      <c r="M43" s="1161"/>
      <c r="N43" s="1161"/>
      <c r="O43" s="1161"/>
    </row>
    <row r="44" spans="1:20" ht="12.75" customHeight="1" x14ac:dyDescent="0.25">
      <c r="A44" s="147"/>
      <c r="D44" s="461"/>
      <c r="E44" s="1328"/>
      <c r="F44" s="1329"/>
      <c r="G44" s="166"/>
      <c r="H44" s="166"/>
      <c r="I44" s="1330"/>
      <c r="J44" s="1161"/>
      <c r="K44" s="1161"/>
      <c r="L44" s="1161"/>
      <c r="M44" s="1161"/>
      <c r="N44" s="1161"/>
      <c r="O44" s="1161"/>
    </row>
    <row r="45" spans="1:20" ht="12.75" customHeight="1" x14ac:dyDescent="0.25">
      <c r="A45" s="147"/>
      <c r="D45" s="461"/>
      <c r="E45" s="1328"/>
      <c r="F45" s="1329"/>
      <c r="G45" s="166"/>
      <c r="H45" s="166"/>
      <c r="I45" s="1330"/>
      <c r="J45" s="1160"/>
      <c r="K45" s="1160"/>
      <c r="L45" s="1160"/>
      <c r="M45" s="1160"/>
      <c r="N45" s="1160"/>
      <c r="O45" s="1160"/>
      <c r="Q45" s="114"/>
      <c r="T45" s="310"/>
    </row>
    <row r="46" spans="1:20" ht="12.75" customHeight="1" x14ac:dyDescent="0.25">
      <c r="A46" s="147"/>
      <c r="D46" s="461"/>
      <c r="E46" s="1328"/>
      <c r="F46" s="1329"/>
      <c r="G46" s="166"/>
      <c r="H46" s="166"/>
      <c r="I46" s="1330"/>
      <c r="J46" s="1160"/>
      <c r="K46" s="1160"/>
      <c r="L46" s="1160"/>
      <c r="M46" s="1160"/>
      <c r="N46" s="1160"/>
      <c r="O46" s="1160"/>
      <c r="Q46" s="114"/>
      <c r="T46" s="310"/>
    </row>
    <row r="47" spans="1:20" ht="12.75" customHeight="1" x14ac:dyDescent="0.25">
      <c r="A47" s="147"/>
      <c r="D47" s="461"/>
      <c r="E47" s="1328"/>
      <c r="F47" s="1329"/>
      <c r="G47" s="166"/>
      <c r="H47" s="166"/>
      <c r="I47" s="1330"/>
      <c r="J47" s="1160"/>
      <c r="K47" s="1160"/>
      <c r="L47" s="1160"/>
      <c r="M47" s="1160"/>
      <c r="N47" s="1160"/>
      <c r="O47" s="1160"/>
      <c r="Q47" s="114"/>
      <c r="T47" s="310"/>
    </row>
    <row r="48" spans="1:20" ht="12.75" customHeight="1" x14ac:dyDescent="0.25">
      <c r="A48" s="147"/>
      <c r="D48" s="461"/>
      <c r="E48" s="1328"/>
      <c r="F48" s="1329"/>
      <c r="G48" s="166"/>
      <c r="H48" s="166"/>
      <c r="I48" s="1330"/>
      <c r="J48" s="1160"/>
      <c r="K48" s="1160"/>
      <c r="L48" s="1160"/>
      <c r="M48" s="1160"/>
      <c r="N48" s="1160"/>
      <c r="O48" s="1160"/>
      <c r="Q48" s="114"/>
      <c r="T48" s="310"/>
    </row>
    <row r="49" spans="1:20" ht="12.75" customHeight="1" x14ac:dyDescent="0.25">
      <c r="A49" s="147"/>
      <c r="D49" s="461"/>
      <c r="E49" s="1328"/>
      <c r="F49" s="1329"/>
      <c r="G49" s="166"/>
      <c r="H49" s="166"/>
      <c r="I49" s="1330"/>
      <c r="J49" s="1160"/>
      <c r="K49" s="1160"/>
      <c r="L49" s="1160"/>
      <c r="M49" s="1160"/>
      <c r="N49" s="1160"/>
      <c r="O49" s="1160"/>
      <c r="Q49" s="114"/>
      <c r="T49" s="310"/>
    </row>
    <row r="50" spans="1:20" ht="12.75" customHeight="1" x14ac:dyDescent="0.25">
      <c r="A50" s="147"/>
      <c r="D50" s="461"/>
      <c r="E50" s="1328"/>
      <c r="F50" s="1329"/>
      <c r="G50" s="166"/>
      <c r="H50" s="166"/>
      <c r="I50" s="1330"/>
      <c r="J50" s="1160"/>
      <c r="K50" s="1160"/>
      <c r="L50" s="1160"/>
      <c r="M50" s="1160"/>
      <c r="N50" s="1160"/>
      <c r="O50" s="1160"/>
      <c r="Q50" s="114"/>
      <c r="T50" s="310"/>
    </row>
    <row r="51" spans="1:20" ht="12.75" customHeight="1" x14ac:dyDescent="0.25">
      <c r="A51" s="147"/>
      <c r="D51" s="461"/>
      <c r="E51" s="1328"/>
      <c r="F51" s="1329"/>
      <c r="G51" s="166"/>
      <c r="H51" s="166"/>
      <c r="I51" s="1330"/>
      <c r="J51" s="1160"/>
      <c r="K51" s="1160"/>
      <c r="L51" s="1160"/>
      <c r="M51" s="1160"/>
      <c r="N51" s="1160"/>
      <c r="O51" s="1160"/>
      <c r="Q51" s="114"/>
      <c r="T51" s="310"/>
    </row>
    <row r="52" spans="1:20" ht="12.75" customHeight="1" x14ac:dyDescent="0.25">
      <c r="A52" s="147"/>
      <c r="D52" s="461"/>
      <c r="E52" s="1328"/>
      <c r="F52" s="1329"/>
      <c r="G52" s="166"/>
      <c r="H52" s="166"/>
      <c r="I52" s="1330"/>
      <c r="J52" s="1160"/>
      <c r="K52" s="1160"/>
      <c r="L52" s="1160"/>
      <c r="M52" s="1160"/>
      <c r="N52" s="1160"/>
      <c r="O52" s="1160"/>
      <c r="Q52" s="114"/>
      <c r="T52" s="310"/>
    </row>
    <row r="53" spans="1:20" ht="12.75" customHeight="1" x14ac:dyDescent="0.25">
      <c r="A53" s="147"/>
      <c r="D53" s="1331"/>
      <c r="E53" s="1332"/>
      <c r="F53" s="1333"/>
      <c r="G53" s="1334"/>
      <c r="H53" s="1334"/>
      <c r="I53" s="1330"/>
      <c r="J53" s="1160"/>
      <c r="K53" s="1160"/>
      <c r="L53" s="1160"/>
      <c r="M53" s="1160"/>
      <c r="N53" s="1160"/>
      <c r="O53" s="1160"/>
      <c r="Q53" s="114"/>
      <c r="T53" s="310"/>
    </row>
    <row r="54" spans="1:20" ht="12.75" customHeight="1" x14ac:dyDescent="0.25">
      <c r="A54" s="147"/>
      <c r="D54" s="1849" t="s">
        <v>328</v>
      </c>
      <c r="E54" s="1850"/>
      <c r="F54" s="1851"/>
      <c r="G54" s="1852"/>
      <c r="H54" s="1852"/>
      <c r="I54" s="1853"/>
      <c r="J54" s="1854">
        <v>-59665457</v>
      </c>
      <c r="K54" s="1854">
        <f>SUM(K37:K53)</f>
        <v>-63264435</v>
      </c>
      <c r="L54" s="1854">
        <f>SUM(L37:L53)</f>
        <v>-65532292</v>
      </c>
      <c r="M54" s="1854">
        <f>SUM(M37:M53)</f>
        <v>-66117057</v>
      </c>
      <c r="N54" s="1854">
        <f>SUM(N37:N53)</f>
        <v>-68912251</v>
      </c>
      <c r="O54" s="1854">
        <f>SUM(O37:O53)</f>
        <v>0</v>
      </c>
      <c r="Q54" s="114"/>
      <c r="T54" s="310"/>
    </row>
    <row r="55" spans="1:20" ht="12.75" customHeight="1" x14ac:dyDescent="0.25">
      <c r="A55" s="147"/>
      <c r="D55" s="1168"/>
      <c r="E55" s="1328"/>
      <c r="F55" s="1329"/>
      <c r="G55" s="166"/>
      <c r="H55" s="166"/>
      <c r="I55" s="166"/>
      <c r="J55" s="782"/>
      <c r="K55" s="782"/>
      <c r="L55" s="782"/>
      <c r="M55" s="782"/>
      <c r="N55" s="782"/>
      <c r="O55" s="782"/>
      <c r="Q55" s="114"/>
      <c r="T55" s="310"/>
    </row>
    <row r="56" spans="1:20" ht="12.75" customHeight="1" x14ac:dyDescent="0.25">
      <c r="A56" s="147"/>
      <c r="D56" s="1849" t="s">
        <v>527</v>
      </c>
      <c r="E56" s="1855"/>
      <c r="F56" s="1855"/>
      <c r="G56" s="1852"/>
      <c r="H56" s="1852"/>
      <c r="I56" s="1852"/>
      <c r="J56" s="1856">
        <v>-59659823</v>
      </c>
      <c r="K56" s="1856">
        <f>K34+K54</f>
        <v>-63258655</v>
      </c>
      <c r="L56" s="1856">
        <f t="shared" ref="L56:O56" si="7">L34+L54</f>
        <v>-65526391</v>
      </c>
      <c r="M56" s="1856">
        <f t="shared" si="7"/>
        <v>-66111020</v>
      </c>
      <c r="N56" s="1856">
        <f t="shared" si="7"/>
        <v>-68906075</v>
      </c>
      <c r="O56" s="1856">
        <f t="shared" si="7"/>
        <v>6318</v>
      </c>
      <c r="Q56" s="114"/>
      <c r="T56" s="310"/>
    </row>
    <row r="57" spans="1:20" ht="12.75" customHeight="1" x14ac:dyDescent="0.25">
      <c r="A57" s="147"/>
      <c r="D57" s="1168"/>
      <c r="E57" s="1328"/>
      <c r="F57" s="1329"/>
      <c r="G57" s="166"/>
      <c r="H57" s="166"/>
      <c r="I57" s="166"/>
      <c r="J57" s="782"/>
      <c r="K57" s="782"/>
      <c r="L57" s="782"/>
      <c r="M57" s="782"/>
      <c r="N57" s="782"/>
      <c r="O57" s="782"/>
      <c r="Q57" s="114"/>
      <c r="T57" s="310"/>
    </row>
    <row r="58" spans="1:20" ht="12.75" customHeight="1" x14ac:dyDescent="0.25">
      <c r="A58" s="147"/>
      <c r="D58" s="1168"/>
      <c r="E58" s="1328"/>
      <c r="F58" s="1329"/>
      <c r="G58" s="166"/>
      <c r="H58" s="166"/>
      <c r="I58" s="166"/>
      <c r="J58" s="782"/>
      <c r="K58" s="782"/>
      <c r="L58" s="782"/>
      <c r="M58" s="782"/>
      <c r="N58" s="782"/>
      <c r="O58" s="782"/>
      <c r="Q58" s="114"/>
      <c r="T58" s="310"/>
    </row>
    <row r="59" spans="1:20" ht="12.75" customHeight="1" x14ac:dyDescent="0.25">
      <c r="A59" s="147"/>
      <c r="D59" s="1857" t="s">
        <v>2129</v>
      </c>
      <c r="E59" s="1335"/>
      <c r="F59" s="1335"/>
      <c r="G59" s="1336"/>
      <c r="H59" s="1336"/>
      <c r="I59" s="1858"/>
      <c r="J59" s="1749">
        <v>2025</v>
      </c>
      <c r="K59" s="1749">
        <v>2026</v>
      </c>
      <c r="L59" s="1749">
        <v>2026</v>
      </c>
      <c r="M59" s="1749">
        <v>2027</v>
      </c>
      <c r="N59" s="1749">
        <v>2027</v>
      </c>
      <c r="O59" s="1749">
        <v>2027</v>
      </c>
      <c r="Q59" s="114"/>
      <c r="T59" s="310"/>
    </row>
    <row r="60" spans="1:20" ht="12.75" customHeight="1" x14ac:dyDescent="0.25">
      <c r="A60" s="147"/>
      <c r="D60" s="1859" t="s">
        <v>2130</v>
      </c>
      <c r="E60" s="1337"/>
      <c r="F60" s="1337"/>
      <c r="G60" s="1336"/>
      <c r="H60" s="1336"/>
      <c r="I60" s="1336"/>
      <c r="J60" s="1860">
        <v>0</v>
      </c>
      <c r="K60" s="1860">
        <v>0</v>
      </c>
      <c r="L60" s="1860">
        <v>0</v>
      </c>
      <c r="M60" s="1860">
        <v>0</v>
      </c>
      <c r="N60" s="1860">
        <v>0</v>
      </c>
      <c r="O60" s="1860">
        <v>0</v>
      </c>
      <c r="Q60" s="114"/>
      <c r="T60" s="310"/>
    </row>
    <row r="61" spans="1:20" ht="12.75" customHeight="1" x14ac:dyDescent="0.25">
      <c r="A61" s="147"/>
      <c r="D61" s="1331" t="s">
        <v>2131</v>
      </c>
      <c r="E61" s="1338"/>
      <c r="F61" s="1338"/>
      <c r="G61" s="1334"/>
      <c r="H61" s="1334"/>
      <c r="I61" s="1334"/>
      <c r="J61" s="1339">
        <v>0</v>
      </c>
      <c r="K61" s="1339">
        <v>0</v>
      </c>
      <c r="L61" s="1339">
        <v>0</v>
      </c>
      <c r="M61" s="1339">
        <v>0</v>
      </c>
      <c r="N61" s="1339">
        <v>0</v>
      </c>
      <c r="O61" s="1339">
        <v>0</v>
      </c>
      <c r="Q61" s="114"/>
      <c r="T61" s="310"/>
    </row>
    <row r="62" spans="1:20" ht="12.75" customHeight="1" x14ac:dyDescent="0.25">
      <c r="A62" s="147"/>
      <c r="D62" s="1337"/>
      <c r="E62" s="1337"/>
      <c r="F62" s="1337"/>
      <c r="G62" s="1336"/>
      <c r="H62" s="1336"/>
      <c r="I62" s="1336"/>
      <c r="J62" s="1340"/>
      <c r="K62" s="1340"/>
      <c r="L62" s="1340"/>
      <c r="M62" s="1340"/>
      <c r="N62" s="1340"/>
      <c r="O62" s="1340"/>
      <c r="Q62" s="114"/>
      <c r="T62" s="310"/>
    </row>
    <row r="63" spans="1:20" ht="12.75" customHeight="1" x14ac:dyDescent="0.25">
      <c r="A63" s="147"/>
      <c r="D63" s="1168"/>
      <c r="E63" s="1168"/>
      <c r="F63" s="1168"/>
      <c r="G63" s="166"/>
      <c r="H63" s="166"/>
      <c r="I63" s="166"/>
      <c r="J63" s="782"/>
      <c r="K63" s="782"/>
      <c r="L63" s="782"/>
      <c r="M63" s="782"/>
      <c r="N63" s="782"/>
      <c r="O63" s="782"/>
      <c r="Q63" s="114"/>
      <c r="T63" s="310"/>
    </row>
    <row r="64" spans="1:20" ht="12.75" customHeight="1" x14ac:dyDescent="0.25">
      <c r="A64" s="147"/>
      <c r="D64" s="1338"/>
      <c r="E64" s="1338"/>
      <c r="F64" s="1338"/>
      <c r="G64" s="1334"/>
      <c r="H64" s="1334"/>
      <c r="I64" s="1334"/>
      <c r="J64" s="1341"/>
      <c r="K64" s="1341"/>
      <c r="L64" s="1341"/>
      <c r="M64" s="1341"/>
      <c r="N64" s="1341"/>
      <c r="O64" s="1341"/>
      <c r="Q64" s="114"/>
      <c r="T64" s="310"/>
    </row>
    <row r="65" spans="1:20" ht="12.75" customHeight="1" x14ac:dyDescent="0.25">
      <c r="A65" s="147"/>
      <c r="D65" s="1849" t="s">
        <v>2132</v>
      </c>
      <c r="E65" s="1855"/>
      <c r="F65" s="1855"/>
      <c r="G65" s="1852"/>
      <c r="H65" s="1852"/>
      <c r="I65" s="1852"/>
      <c r="J65" s="1861">
        <v>-59659823</v>
      </c>
      <c r="K65" s="1861">
        <v>-63258655</v>
      </c>
      <c r="L65" s="1861">
        <f>L56+L60+L61</f>
        <v>-65526391</v>
      </c>
      <c r="M65" s="1861">
        <f>M56+M60+M61</f>
        <v>-66111020</v>
      </c>
      <c r="N65" s="1861">
        <f>N56+N60+N61</f>
        <v>-68906075</v>
      </c>
      <c r="O65" s="1861">
        <f>O56+O60+O61</f>
        <v>6318</v>
      </c>
      <c r="Q65" s="114"/>
      <c r="T65" s="310"/>
    </row>
    <row r="66" spans="1:20" ht="12.75" customHeight="1" x14ac:dyDescent="0.25">
      <c r="A66" s="147"/>
      <c r="D66" s="166"/>
      <c r="E66" s="166"/>
      <c r="F66" s="166"/>
      <c r="G66" s="166"/>
      <c r="H66" s="166"/>
      <c r="I66" s="166"/>
      <c r="J66" s="782"/>
      <c r="K66" s="782"/>
      <c r="L66" s="782"/>
      <c r="M66" s="782"/>
      <c r="N66" s="782"/>
      <c r="O66" s="782"/>
      <c r="Q66" s="114"/>
      <c r="T66" s="310"/>
    </row>
    <row r="67" spans="1:20" ht="12.75" customHeight="1" x14ac:dyDescent="0.25">
      <c r="A67" s="147"/>
      <c r="Q67" s="114"/>
      <c r="T67" s="310"/>
    </row>
    <row r="68" spans="1:20" ht="12.75" customHeight="1" x14ac:dyDescent="0.25">
      <c r="A68" s="147"/>
      <c r="D68" s="312" t="s">
        <v>528</v>
      </c>
      <c r="E68" s="382"/>
      <c r="F68" s="382"/>
      <c r="J68" s="114"/>
      <c r="K68" s="114"/>
      <c r="L68" s="114"/>
      <c r="M68" s="114"/>
      <c r="N68" s="114"/>
      <c r="O68" s="114"/>
      <c r="Q68" s="114"/>
      <c r="T68" s="310"/>
    </row>
    <row r="69" spans="1:20" ht="12.75" customHeight="1" x14ac:dyDescent="0.25">
      <c r="A69" s="147"/>
      <c r="D69" s="115"/>
      <c r="E69" s="115"/>
      <c r="F69" s="115"/>
      <c r="Q69" s="114"/>
      <c r="T69" s="310"/>
    </row>
    <row r="70" spans="1:20" ht="12.75" customHeight="1" x14ac:dyDescent="0.25">
      <c r="A70" s="301"/>
      <c r="D70" s="2557" t="s">
        <v>529</v>
      </c>
      <c r="E70" s="1862" t="s">
        <v>530</v>
      </c>
      <c r="F70" s="2559" t="s">
        <v>531</v>
      </c>
      <c r="G70" s="2561" t="s">
        <v>206</v>
      </c>
      <c r="H70" s="2562"/>
      <c r="I70" s="1863"/>
      <c r="J70" s="1858"/>
      <c r="K70" s="1858"/>
      <c r="L70" s="1858"/>
      <c r="M70" s="1858"/>
      <c r="N70" s="1858"/>
      <c r="O70" s="1858"/>
    </row>
    <row r="71" spans="1:20" ht="12.75" customHeight="1" x14ac:dyDescent="0.25">
      <c r="A71" s="301"/>
      <c r="D71" s="2558"/>
      <c r="E71" s="1342" t="s">
        <v>532</v>
      </c>
      <c r="F71" s="2560"/>
      <c r="G71" s="2563"/>
      <c r="H71" s="2564"/>
      <c r="I71" s="1343"/>
      <c r="J71" s="1864">
        <v>2025</v>
      </c>
      <c r="K71" s="1864">
        <v>2026</v>
      </c>
      <c r="L71" s="1864">
        <v>2027</v>
      </c>
      <c r="M71" s="1864">
        <v>2028</v>
      </c>
      <c r="N71" s="1864">
        <v>2029</v>
      </c>
      <c r="O71" s="1864">
        <v>2030</v>
      </c>
    </row>
    <row r="72" spans="1:20" ht="12.75" customHeight="1" x14ac:dyDescent="0.25">
      <c r="A72" s="147"/>
      <c r="D72" s="1772"/>
      <c r="E72" s="1772"/>
      <c r="F72" s="1772"/>
      <c r="G72" s="1774"/>
      <c r="H72" s="326"/>
      <c r="I72" s="1775"/>
      <c r="J72" s="1775"/>
      <c r="K72" s="1775"/>
      <c r="L72" s="1775"/>
      <c r="M72" s="1775"/>
      <c r="N72" s="1775"/>
      <c r="O72" s="1775"/>
      <c r="Q72" s="114"/>
      <c r="T72" s="310"/>
    </row>
    <row r="73" spans="1:20" ht="12.75" customHeight="1" x14ac:dyDescent="0.25">
      <c r="A73" s="147"/>
      <c r="D73" s="333">
        <v>610001</v>
      </c>
      <c r="E73" s="331"/>
      <c r="F73" s="331"/>
      <c r="G73" s="332" t="s">
        <v>2133</v>
      </c>
      <c r="I73" s="316"/>
      <c r="J73" s="335"/>
      <c r="K73" s="335"/>
      <c r="L73" s="335"/>
      <c r="M73" s="335"/>
      <c r="N73" s="335"/>
      <c r="O73" s="335"/>
      <c r="Q73" s="114"/>
      <c r="T73" s="310"/>
    </row>
    <row r="74" spans="1:20" ht="12.75" customHeight="1" x14ac:dyDescent="0.25">
      <c r="A74" s="147"/>
      <c r="D74" s="333"/>
      <c r="E74" s="331"/>
      <c r="F74" s="331"/>
      <c r="G74" s="334" t="s">
        <v>533</v>
      </c>
      <c r="I74" s="316"/>
      <c r="J74" s="335"/>
      <c r="K74" s="335"/>
      <c r="L74" s="335"/>
      <c r="M74" s="335"/>
      <c r="N74" s="335"/>
      <c r="O74" s="335"/>
      <c r="Q74" s="114"/>
      <c r="T74" s="310"/>
    </row>
    <row r="75" spans="1:20" ht="12.75" customHeight="1" x14ac:dyDescent="0.25">
      <c r="A75" s="148">
        <f>+D73</f>
        <v>610001</v>
      </c>
      <c r="B75" s="115" t="str">
        <f>G73</f>
        <v>Algemene uitkering</v>
      </c>
      <c r="D75" s="337">
        <v>43812</v>
      </c>
      <c r="E75" s="337"/>
      <c r="F75" s="337"/>
      <c r="G75" s="319" t="s">
        <v>535</v>
      </c>
      <c r="I75" s="318"/>
      <c r="J75" s="317">
        <v>5634</v>
      </c>
      <c r="K75" s="317">
        <v>5780</v>
      </c>
      <c r="L75" s="317">
        <f>ROUND(K75*T$2,0)</f>
        <v>5901</v>
      </c>
      <c r="M75" s="317">
        <f>ROUND(L75*U$2,0)</f>
        <v>6037</v>
      </c>
      <c r="N75" s="317">
        <f>ROUND(M75*V$2,0)</f>
        <v>6176</v>
      </c>
      <c r="O75" s="317">
        <f>ROUND(N75*W$2,0)</f>
        <v>6318</v>
      </c>
      <c r="Q75" s="114"/>
      <c r="T75" s="310"/>
    </row>
    <row r="76" spans="1:20" ht="12.75" customHeight="1" thickBot="1" x14ac:dyDescent="0.3">
      <c r="A76" s="147"/>
      <c r="D76" s="340"/>
      <c r="E76" s="340"/>
      <c r="F76" s="340"/>
      <c r="G76" s="319" t="s">
        <v>536</v>
      </c>
      <c r="I76" s="318"/>
      <c r="J76" s="342">
        <v>5634</v>
      </c>
      <c r="K76" s="342">
        <v>5780</v>
      </c>
      <c r="L76" s="342">
        <f t="shared" ref="L76:M76" si="8">SUM(L75)</f>
        <v>5901</v>
      </c>
      <c r="M76" s="342">
        <f t="shared" si="8"/>
        <v>6037</v>
      </c>
      <c r="N76" s="342">
        <f t="shared" ref="N76:O76" si="9">SUM(N75)</f>
        <v>6176</v>
      </c>
      <c r="O76" s="342">
        <f t="shared" si="9"/>
        <v>6318</v>
      </c>
      <c r="Q76" s="114"/>
      <c r="T76" s="310"/>
    </row>
    <row r="77" spans="1:20" ht="12.75" customHeight="1" thickTop="1" x14ac:dyDescent="0.25">
      <c r="A77" s="147"/>
      <c r="D77" s="340"/>
      <c r="E77" s="340"/>
      <c r="F77" s="340"/>
      <c r="G77" s="319"/>
      <c r="I77" s="318"/>
      <c r="J77" s="317"/>
      <c r="K77" s="317"/>
      <c r="L77" s="317"/>
      <c r="M77" s="317"/>
      <c r="N77" s="317"/>
      <c r="O77" s="317"/>
      <c r="Q77" s="114"/>
      <c r="T77" s="310"/>
    </row>
    <row r="78" spans="1:20" ht="12.75" customHeight="1" x14ac:dyDescent="0.25">
      <c r="A78" s="147"/>
      <c r="D78" s="333">
        <v>610001</v>
      </c>
      <c r="E78" s="331"/>
      <c r="F78" s="331"/>
      <c r="G78" s="332" t="s">
        <v>2133</v>
      </c>
      <c r="I78" s="318"/>
      <c r="J78" s="317"/>
      <c r="K78" s="317"/>
      <c r="L78" s="317"/>
      <c r="M78" s="317"/>
      <c r="N78" s="317"/>
      <c r="O78" s="317"/>
      <c r="Q78" s="114"/>
      <c r="T78" s="310"/>
    </row>
    <row r="79" spans="1:20" ht="12.75" customHeight="1" x14ac:dyDescent="0.25">
      <c r="A79" s="147"/>
      <c r="D79" s="340"/>
      <c r="E79" s="340"/>
      <c r="F79" s="340"/>
      <c r="G79" s="334" t="s">
        <v>554</v>
      </c>
      <c r="I79" s="318"/>
      <c r="J79" s="317"/>
      <c r="K79" s="317"/>
      <c r="L79" s="317"/>
      <c r="M79" s="317"/>
      <c r="N79" s="317"/>
      <c r="O79" s="317"/>
      <c r="Q79" s="114"/>
      <c r="T79" s="310"/>
    </row>
    <row r="80" spans="1:20" ht="12.75" customHeight="1" x14ac:dyDescent="0.25">
      <c r="A80" s="148">
        <f>+D78</f>
        <v>610001</v>
      </c>
      <c r="B80" s="115" t="str">
        <f>G78</f>
        <v>Algemene uitkering</v>
      </c>
      <c r="D80" s="337">
        <v>84310</v>
      </c>
      <c r="E80" s="337"/>
      <c r="F80" s="337"/>
      <c r="G80" s="319" t="s">
        <v>2134</v>
      </c>
      <c r="I80" s="318"/>
      <c r="J80" s="156">
        <v>-59665457</v>
      </c>
      <c r="K80" s="156">
        <v>-63264435</v>
      </c>
      <c r="L80" s="156">
        <f>L149</f>
        <v>-65532292</v>
      </c>
      <c r="M80" s="156">
        <f>M149</f>
        <v>-66117057</v>
      </c>
      <c r="N80" s="156">
        <f>N149</f>
        <v>-68912251</v>
      </c>
      <c r="O80" s="2204">
        <f>O149</f>
        <v>0</v>
      </c>
      <c r="Q80" s="114"/>
      <c r="T80" s="310"/>
    </row>
    <row r="81" spans="1:20" ht="12.75" customHeight="1" thickBot="1" x14ac:dyDescent="0.3">
      <c r="A81" s="147"/>
      <c r="D81" s="340"/>
      <c r="E81" s="340"/>
      <c r="F81" s="340"/>
      <c r="G81" s="319" t="s">
        <v>536</v>
      </c>
      <c r="I81" s="318"/>
      <c r="J81" s="480">
        <v>-59665457</v>
      </c>
      <c r="K81" s="480">
        <v>-63264435</v>
      </c>
      <c r="L81" s="480">
        <f t="shared" ref="L81:M81" si="10">SUM(L80)</f>
        <v>-65532292</v>
      </c>
      <c r="M81" s="480">
        <f t="shared" si="10"/>
        <v>-66117057</v>
      </c>
      <c r="N81" s="480">
        <f t="shared" ref="N81:O81" si="11">SUM(N80)</f>
        <v>-68912251</v>
      </c>
      <c r="O81" s="480">
        <f t="shared" si="11"/>
        <v>0</v>
      </c>
      <c r="Q81" s="114"/>
      <c r="T81" s="310"/>
    </row>
    <row r="82" spans="1:20" ht="12.75" customHeight="1" thickTop="1" x14ac:dyDescent="0.25">
      <c r="A82" s="147"/>
      <c r="D82" s="340"/>
      <c r="E82" s="340"/>
      <c r="F82" s="340"/>
      <c r="G82" s="319"/>
      <c r="I82" s="318"/>
      <c r="J82" s="317"/>
      <c r="K82" s="317"/>
      <c r="L82" s="317"/>
      <c r="M82" s="317"/>
      <c r="N82" s="317"/>
      <c r="O82" s="317"/>
      <c r="Q82" s="114"/>
      <c r="T82" s="310"/>
    </row>
    <row r="83" spans="1:20" ht="12.75" customHeight="1" x14ac:dyDescent="0.25">
      <c r="A83" s="147"/>
      <c r="D83" s="333" t="s">
        <v>2135</v>
      </c>
      <c r="E83" s="331"/>
      <c r="F83" s="331"/>
      <c r="G83" s="332" t="s">
        <v>2136</v>
      </c>
      <c r="I83" s="318"/>
      <c r="J83" s="317"/>
      <c r="K83" s="317"/>
      <c r="L83" s="317"/>
      <c r="M83" s="317"/>
      <c r="N83" s="317"/>
      <c r="O83" s="317"/>
      <c r="Q83" s="114"/>
      <c r="T83" s="310"/>
    </row>
    <row r="84" spans="1:20" ht="12.75" customHeight="1" x14ac:dyDescent="0.25">
      <c r="A84" s="147"/>
      <c r="D84" s="340"/>
      <c r="E84" s="340"/>
      <c r="F84" s="340"/>
      <c r="G84" s="334" t="s">
        <v>554</v>
      </c>
      <c r="I84" s="318"/>
      <c r="J84" s="317"/>
      <c r="K84" s="317"/>
      <c r="L84" s="317"/>
      <c r="M84" s="317"/>
      <c r="N84" s="317"/>
      <c r="O84" s="317"/>
      <c r="Q84" s="114"/>
      <c r="T84" s="310"/>
    </row>
    <row r="85" spans="1:20" ht="12.75" customHeight="1" x14ac:dyDescent="0.25">
      <c r="A85" s="148"/>
      <c r="D85" s="337">
        <v>841101</v>
      </c>
      <c r="E85" s="337"/>
      <c r="F85" s="337"/>
      <c r="G85" s="319" t="s">
        <v>2134</v>
      </c>
      <c r="I85" s="318"/>
      <c r="J85" s="318">
        <v>0</v>
      </c>
      <c r="K85" s="318">
        <v>0</v>
      </c>
      <c r="L85" s="318">
        <v>0</v>
      </c>
      <c r="M85" s="318">
        <v>0</v>
      </c>
      <c r="N85" s="318">
        <v>0</v>
      </c>
      <c r="O85" s="318">
        <v>0</v>
      </c>
      <c r="Q85" s="114"/>
      <c r="T85" s="310"/>
    </row>
    <row r="86" spans="1:20" ht="12.75" customHeight="1" thickBot="1" x14ac:dyDescent="0.3">
      <c r="A86" s="147"/>
      <c r="D86" s="340"/>
      <c r="E86" s="340"/>
      <c r="F86" s="340"/>
      <c r="G86" s="319" t="s">
        <v>536</v>
      </c>
      <c r="I86" s="318"/>
      <c r="J86" s="342">
        <v>0</v>
      </c>
      <c r="K86" s="342">
        <v>0</v>
      </c>
      <c r="L86" s="342">
        <f t="shared" ref="L86:M86" si="12">SUM(L85)</f>
        <v>0</v>
      </c>
      <c r="M86" s="342">
        <f t="shared" si="12"/>
        <v>0</v>
      </c>
      <c r="N86" s="342">
        <f t="shared" ref="N86:O86" si="13">SUM(N85)</f>
        <v>0</v>
      </c>
      <c r="O86" s="342">
        <f t="shared" si="13"/>
        <v>0</v>
      </c>
      <c r="Q86" s="114"/>
      <c r="T86" s="310"/>
    </row>
    <row r="87" spans="1:20" ht="12.75" customHeight="1" thickTop="1" x14ac:dyDescent="0.25">
      <c r="A87" s="147"/>
      <c r="D87" s="340"/>
      <c r="E87" s="340"/>
      <c r="F87" s="340"/>
      <c r="G87" s="319"/>
      <c r="I87" s="318"/>
      <c r="J87" s="317"/>
      <c r="K87" s="317"/>
      <c r="L87" s="317"/>
      <c r="M87" s="317"/>
      <c r="N87" s="317"/>
      <c r="O87" s="317"/>
      <c r="Q87" s="114"/>
      <c r="T87" s="310"/>
    </row>
    <row r="88" spans="1:20" ht="12.75" customHeight="1" x14ac:dyDescent="0.25">
      <c r="A88" s="147"/>
      <c r="D88" s="333" t="s">
        <v>2135</v>
      </c>
      <c r="E88" s="331"/>
      <c r="F88" s="331"/>
      <c r="G88" s="332" t="s">
        <v>2137</v>
      </c>
      <c r="I88" s="318"/>
      <c r="J88" s="317"/>
      <c r="K88" s="317"/>
      <c r="L88" s="317"/>
      <c r="M88" s="317"/>
      <c r="N88" s="317"/>
      <c r="O88" s="317"/>
      <c r="Q88" s="114"/>
      <c r="T88" s="310"/>
    </row>
    <row r="89" spans="1:20" ht="12.75" customHeight="1" x14ac:dyDescent="0.25">
      <c r="A89" s="147"/>
      <c r="D89" s="340"/>
      <c r="E89" s="340"/>
      <c r="F89" s="340"/>
      <c r="G89" s="334" t="s">
        <v>554</v>
      </c>
      <c r="I89" s="318"/>
      <c r="J89" s="317"/>
      <c r="K89" s="317"/>
      <c r="L89" s="317"/>
      <c r="M89" s="317"/>
      <c r="N89" s="317"/>
      <c r="O89" s="317"/>
      <c r="Q89" s="114"/>
      <c r="T89" s="310"/>
    </row>
    <row r="90" spans="1:20" ht="12.75" customHeight="1" x14ac:dyDescent="0.25">
      <c r="A90" s="148"/>
      <c r="D90" s="337">
        <v>841101</v>
      </c>
      <c r="E90" s="337"/>
      <c r="F90" s="337"/>
      <c r="G90" s="319" t="s">
        <v>2134</v>
      </c>
      <c r="I90" s="318"/>
      <c r="J90" s="318">
        <v>0</v>
      </c>
      <c r="K90" s="318">
        <v>0</v>
      </c>
      <c r="L90" s="318">
        <v>0</v>
      </c>
      <c r="M90" s="318">
        <v>0</v>
      </c>
      <c r="N90" s="318">
        <v>0</v>
      </c>
      <c r="O90" s="318">
        <v>0</v>
      </c>
      <c r="P90" s="339"/>
      <c r="Q90" s="114"/>
      <c r="T90" s="310"/>
    </row>
    <row r="91" spans="1:20" ht="12.75" customHeight="1" thickBot="1" x14ac:dyDescent="0.3">
      <c r="A91" s="147"/>
      <c r="D91" s="340"/>
      <c r="E91" s="340"/>
      <c r="F91" s="340"/>
      <c r="G91" s="319" t="s">
        <v>536</v>
      </c>
      <c r="I91" s="318"/>
      <c r="J91" s="480">
        <v>0</v>
      </c>
      <c r="K91" s="480">
        <v>0</v>
      </c>
      <c r="L91" s="480">
        <f t="shared" ref="L91:M91" si="14">SUM(L90)</f>
        <v>0</v>
      </c>
      <c r="M91" s="480">
        <f t="shared" si="14"/>
        <v>0</v>
      </c>
      <c r="N91" s="480">
        <f t="shared" ref="N91:O91" si="15">SUM(N90)</f>
        <v>0</v>
      </c>
      <c r="O91" s="480">
        <f t="shared" si="15"/>
        <v>0</v>
      </c>
      <c r="Q91" s="114"/>
      <c r="T91" s="310"/>
    </row>
    <row r="92" spans="1:20" ht="12.75" customHeight="1" thickTop="1" x14ac:dyDescent="0.25">
      <c r="A92" s="147"/>
      <c r="D92" s="340"/>
      <c r="E92" s="340"/>
      <c r="F92" s="340"/>
      <c r="G92" s="319"/>
      <c r="I92" s="318"/>
      <c r="J92" s="317"/>
      <c r="K92" s="317"/>
      <c r="L92" s="317"/>
      <c r="M92" s="317"/>
      <c r="N92" s="317"/>
      <c r="O92" s="317"/>
      <c r="Q92" s="114"/>
      <c r="T92" s="310"/>
    </row>
    <row r="93" spans="1:20" ht="12.75" customHeight="1" x14ac:dyDescent="0.25">
      <c r="A93" s="147"/>
      <c r="D93" s="333" t="s">
        <v>2135</v>
      </c>
      <c r="E93" s="331"/>
      <c r="F93" s="331"/>
      <c r="G93" s="332" t="s">
        <v>2138</v>
      </c>
      <c r="I93" s="318"/>
      <c r="J93" s="317"/>
      <c r="K93" s="317"/>
      <c r="L93" s="317"/>
      <c r="M93" s="317"/>
      <c r="N93" s="317"/>
      <c r="O93" s="317"/>
      <c r="Q93" s="114"/>
      <c r="T93" s="310"/>
    </row>
    <row r="94" spans="1:20" ht="12.75" customHeight="1" x14ac:dyDescent="0.25">
      <c r="A94" s="147"/>
      <c r="D94" s="340"/>
      <c r="E94" s="340"/>
      <c r="F94" s="340"/>
      <c r="G94" s="334" t="s">
        <v>554</v>
      </c>
      <c r="I94" s="318"/>
      <c r="J94" s="317"/>
      <c r="K94" s="317"/>
      <c r="L94" s="317"/>
      <c r="M94" s="317"/>
      <c r="N94" s="317"/>
      <c r="O94" s="317"/>
      <c r="Q94" s="114"/>
      <c r="T94" s="310"/>
    </row>
    <row r="95" spans="1:20" ht="12.75" customHeight="1" x14ac:dyDescent="0.25">
      <c r="A95" s="148"/>
      <c r="D95" s="337">
        <v>841101</v>
      </c>
      <c r="E95" s="337"/>
      <c r="F95" s="337"/>
      <c r="G95" s="319" t="s">
        <v>2134</v>
      </c>
      <c r="I95" s="318"/>
      <c r="J95" s="317">
        <v>0</v>
      </c>
      <c r="K95" s="317">
        <v>0</v>
      </c>
      <c r="L95" s="317">
        <v>0</v>
      </c>
      <c r="M95" s="317">
        <v>0</v>
      </c>
      <c r="N95" s="317">
        <v>0</v>
      </c>
      <c r="O95" s="317">
        <v>0</v>
      </c>
      <c r="Q95" s="114"/>
      <c r="T95" s="310"/>
    </row>
    <row r="96" spans="1:20" ht="12.75" customHeight="1" thickBot="1" x14ac:dyDescent="0.3">
      <c r="A96" s="147"/>
      <c r="D96" s="340"/>
      <c r="E96" s="340"/>
      <c r="F96" s="340"/>
      <c r="G96" s="319" t="s">
        <v>536</v>
      </c>
      <c r="I96" s="318"/>
      <c r="J96" s="480">
        <v>0</v>
      </c>
      <c r="K96" s="480">
        <v>0</v>
      </c>
      <c r="L96" s="480">
        <f t="shared" ref="L96:M96" si="16">SUM(+L95)</f>
        <v>0</v>
      </c>
      <c r="M96" s="480">
        <f t="shared" si="16"/>
        <v>0</v>
      </c>
      <c r="N96" s="480">
        <f t="shared" ref="N96:O96" si="17">SUM(+N95)</f>
        <v>0</v>
      </c>
      <c r="O96" s="480">
        <f t="shared" si="17"/>
        <v>0</v>
      </c>
      <c r="Q96" s="114"/>
      <c r="T96" s="310"/>
    </row>
    <row r="97" spans="1:20" ht="12.75" customHeight="1" thickTop="1" x14ac:dyDescent="0.25">
      <c r="A97" s="147"/>
      <c r="D97" s="340"/>
      <c r="E97" s="340"/>
      <c r="F97" s="340"/>
      <c r="G97" s="319"/>
      <c r="I97" s="316"/>
      <c r="J97" s="335"/>
      <c r="K97" s="335"/>
      <c r="L97" s="335"/>
      <c r="M97" s="335"/>
      <c r="N97" s="335"/>
      <c r="O97" s="335"/>
      <c r="Q97" s="114"/>
      <c r="T97" s="310"/>
    </row>
    <row r="98" spans="1:20" ht="12.75" customHeight="1" x14ac:dyDescent="0.25">
      <c r="A98" s="147"/>
      <c r="D98" s="333" t="s">
        <v>2135</v>
      </c>
      <c r="E98" s="331"/>
      <c r="F98" s="331"/>
      <c r="G98" s="332" t="s">
        <v>2139</v>
      </c>
      <c r="I98" s="318"/>
      <c r="J98" s="317"/>
      <c r="K98" s="317"/>
      <c r="L98" s="317"/>
      <c r="M98" s="317"/>
      <c r="N98" s="317"/>
      <c r="O98" s="317"/>
      <c r="Q98" s="114"/>
      <c r="T98" s="310"/>
    </row>
    <row r="99" spans="1:20" ht="12.75" customHeight="1" x14ac:dyDescent="0.25">
      <c r="A99" s="147"/>
      <c r="D99" s="340"/>
      <c r="E99" s="340"/>
      <c r="F99" s="340"/>
      <c r="G99" s="334" t="s">
        <v>554</v>
      </c>
      <c r="I99" s="318"/>
      <c r="J99" s="317"/>
      <c r="K99" s="317"/>
      <c r="L99" s="317"/>
      <c r="M99" s="317"/>
      <c r="N99" s="317"/>
      <c r="O99" s="317"/>
      <c r="Q99" s="114"/>
      <c r="T99" s="310"/>
    </row>
    <row r="100" spans="1:20" ht="12.75" customHeight="1" x14ac:dyDescent="0.25">
      <c r="A100" s="148"/>
      <c r="B100" s="148"/>
      <c r="D100" s="337">
        <v>841101</v>
      </c>
      <c r="E100" s="337"/>
      <c r="F100" s="337"/>
      <c r="G100" s="319" t="s">
        <v>2134</v>
      </c>
      <c r="I100" s="318"/>
      <c r="J100" s="318">
        <v>0</v>
      </c>
      <c r="K100" s="318">
        <v>0</v>
      </c>
      <c r="L100" s="318">
        <v>0</v>
      </c>
      <c r="M100" s="318">
        <v>0</v>
      </c>
      <c r="N100" s="318">
        <v>0</v>
      </c>
      <c r="O100" s="318">
        <v>0</v>
      </c>
      <c r="Q100" s="114"/>
      <c r="T100" s="310"/>
    </row>
    <row r="101" spans="1:20" ht="12.75" customHeight="1" thickBot="1" x14ac:dyDescent="0.3">
      <c r="A101" s="147"/>
      <c r="D101" s="340"/>
      <c r="E101" s="340"/>
      <c r="F101" s="340"/>
      <c r="G101" s="319" t="s">
        <v>536</v>
      </c>
      <c r="I101" s="318"/>
      <c r="J101" s="480">
        <v>0</v>
      </c>
      <c r="K101" s="480">
        <v>0</v>
      </c>
      <c r="L101" s="480">
        <f t="shared" ref="L101:M101" si="18">SUM(L100)</f>
        <v>0</v>
      </c>
      <c r="M101" s="480">
        <f t="shared" si="18"/>
        <v>0</v>
      </c>
      <c r="N101" s="480">
        <f t="shared" ref="N101:O101" si="19">SUM(N100)</f>
        <v>0</v>
      </c>
      <c r="O101" s="480">
        <f t="shared" si="19"/>
        <v>0</v>
      </c>
      <c r="Q101" s="114"/>
      <c r="T101" s="310"/>
    </row>
    <row r="102" spans="1:20" ht="12.75" customHeight="1" thickTop="1" x14ac:dyDescent="0.25">
      <c r="A102" s="147"/>
      <c r="D102" s="340"/>
      <c r="E102" s="340"/>
      <c r="F102" s="340"/>
      <c r="G102" s="319"/>
      <c r="I102" s="316"/>
      <c r="J102" s="335"/>
      <c r="K102" s="335"/>
      <c r="L102" s="335"/>
      <c r="M102" s="335"/>
      <c r="N102" s="335"/>
      <c r="O102" s="335"/>
      <c r="Q102" s="114"/>
      <c r="T102" s="310"/>
    </row>
    <row r="103" spans="1:20" ht="12.75" customHeight="1" x14ac:dyDescent="0.25">
      <c r="A103" s="147"/>
      <c r="D103" s="333" t="s">
        <v>2135</v>
      </c>
      <c r="E103" s="331"/>
      <c r="F103" s="331"/>
      <c r="G103" s="332" t="s">
        <v>2140</v>
      </c>
      <c r="I103" s="318"/>
      <c r="J103" s="317"/>
      <c r="K103" s="317"/>
      <c r="L103" s="317"/>
      <c r="M103" s="317"/>
      <c r="N103" s="317"/>
      <c r="O103" s="317"/>
      <c r="Q103" s="114"/>
      <c r="T103" s="310"/>
    </row>
    <row r="104" spans="1:20" ht="12.75" customHeight="1" x14ac:dyDescent="0.25">
      <c r="A104" s="147"/>
      <c r="D104" s="340"/>
      <c r="E104" s="340"/>
      <c r="F104" s="340"/>
      <c r="G104" s="334" t="s">
        <v>554</v>
      </c>
      <c r="I104" s="318"/>
      <c r="J104" s="317"/>
      <c r="K104" s="317"/>
      <c r="L104" s="317"/>
      <c r="M104" s="317"/>
      <c r="N104" s="317"/>
      <c r="O104" s="317"/>
      <c r="Q104" s="114"/>
      <c r="T104" s="310"/>
    </row>
    <row r="105" spans="1:20" ht="12.75" customHeight="1" x14ac:dyDescent="0.25">
      <c r="A105" s="148"/>
      <c r="B105" s="148"/>
      <c r="D105" s="337">
        <v>841101</v>
      </c>
      <c r="E105" s="337"/>
      <c r="F105" s="337"/>
      <c r="G105" s="319" t="s">
        <v>2134</v>
      </c>
      <c r="I105" s="318"/>
      <c r="J105" s="318">
        <v>0</v>
      </c>
      <c r="K105" s="318">
        <v>0</v>
      </c>
      <c r="L105" s="318">
        <v>0</v>
      </c>
      <c r="M105" s="318">
        <v>0</v>
      </c>
      <c r="N105" s="318">
        <v>0</v>
      </c>
      <c r="O105" s="318">
        <v>0</v>
      </c>
      <c r="Q105" s="114"/>
      <c r="T105" s="310"/>
    </row>
    <row r="106" spans="1:20" ht="12.75" customHeight="1" thickBot="1" x14ac:dyDescent="0.3">
      <c r="A106" s="147"/>
      <c r="D106" s="340"/>
      <c r="E106" s="340"/>
      <c r="F106" s="340"/>
      <c r="G106" s="319" t="s">
        <v>536</v>
      </c>
      <c r="I106" s="318"/>
      <c r="J106" s="480">
        <v>0</v>
      </c>
      <c r="K106" s="480">
        <v>0</v>
      </c>
      <c r="L106" s="480">
        <f t="shared" ref="L106:M106" si="20">SUM(L105)</f>
        <v>0</v>
      </c>
      <c r="M106" s="480">
        <f t="shared" si="20"/>
        <v>0</v>
      </c>
      <c r="N106" s="480">
        <f t="shared" ref="N106:O106" si="21">SUM(N105)</f>
        <v>0</v>
      </c>
      <c r="O106" s="480">
        <f t="shared" si="21"/>
        <v>0</v>
      </c>
      <c r="Q106" s="114"/>
      <c r="T106" s="310"/>
    </row>
    <row r="107" spans="1:20" ht="12.75" customHeight="1" thickTop="1" x14ac:dyDescent="0.25">
      <c r="A107" s="147"/>
      <c r="D107" s="167"/>
      <c r="E107" s="167"/>
      <c r="F107" s="167"/>
      <c r="G107" s="168"/>
      <c r="H107" s="149"/>
      <c r="I107" s="389"/>
      <c r="J107" s="1344"/>
      <c r="K107" s="1344"/>
      <c r="L107" s="1344"/>
      <c r="M107" s="1344"/>
      <c r="N107" s="1344"/>
      <c r="O107" s="1344"/>
      <c r="Q107" s="114"/>
      <c r="T107" s="310"/>
    </row>
    <row r="108" spans="1:20" ht="12.75" customHeight="1" x14ac:dyDescent="0.25">
      <c r="A108" s="147"/>
      <c r="D108" s="384"/>
      <c r="E108" s="384"/>
      <c r="F108" s="384"/>
      <c r="Q108" s="114"/>
      <c r="T108" s="310"/>
    </row>
    <row r="109" spans="1:20" ht="12.75" customHeight="1" x14ac:dyDescent="0.25">
      <c r="A109" s="147"/>
      <c r="Q109" s="114"/>
      <c r="T109" s="310"/>
    </row>
    <row r="110" spans="1:20" ht="12.75" customHeight="1" x14ac:dyDescent="0.25">
      <c r="A110" s="147"/>
      <c r="Q110" s="114"/>
      <c r="T110" s="310"/>
    </row>
    <row r="111" spans="1:20" ht="12.75" customHeight="1" x14ac:dyDescent="0.25">
      <c r="A111" s="147"/>
      <c r="Q111" s="114"/>
      <c r="T111" s="310"/>
    </row>
    <row r="112" spans="1:20" ht="12.75" customHeight="1" x14ac:dyDescent="0.25">
      <c r="D112" s="384"/>
      <c r="E112" s="384"/>
      <c r="F112" s="384"/>
      <c r="G112" s="381" t="s">
        <v>561</v>
      </c>
    </row>
    <row r="113" spans="4:18" ht="12.75" customHeight="1" x14ac:dyDescent="0.25">
      <c r="D113" s="384"/>
      <c r="E113" s="115"/>
      <c r="F113" s="115"/>
    </row>
    <row r="114" spans="4:18" ht="12.75" customHeight="1" x14ac:dyDescent="0.25">
      <c r="D114" s="393">
        <v>610001</v>
      </c>
      <c r="E114" s="381" t="s">
        <v>2133</v>
      </c>
      <c r="F114" s="115"/>
    </row>
    <row r="115" spans="4:18" ht="12.75" customHeight="1" x14ac:dyDescent="0.25">
      <c r="D115" s="384">
        <v>43812</v>
      </c>
      <c r="E115" s="115" t="s">
        <v>2141</v>
      </c>
      <c r="F115" s="115"/>
      <c r="G115" s="114"/>
      <c r="H115" s="114"/>
      <c r="I115" s="114"/>
    </row>
    <row r="116" spans="4:18" ht="12.75" customHeight="1" x14ac:dyDescent="0.25">
      <c r="D116" s="384"/>
      <c r="E116" s="115" t="s">
        <v>2142</v>
      </c>
      <c r="F116" s="115"/>
      <c r="G116" s="114"/>
      <c r="H116" s="114"/>
      <c r="I116" s="114"/>
    </row>
    <row r="117" spans="4:18" ht="12.75" customHeight="1" x14ac:dyDescent="0.25">
      <c r="D117" s="384"/>
      <c r="E117" s="115"/>
      <c r="F117" s="115"/>
      <c r="G117" s="114"/>
    </row>
    <row r="118" spans="4:18" ht="12.75" customHeight="1" x14ac:dyDescent="0.25">
      <c r="D118" s="393">
        <v>610001</v>
      </c>
      <c r="E118" s="381" t="s">
        <v>2143</v>
      </c>
      <c r="F118" s="115"/>
      <c r="G118" s="114"/>
      <c r="J118" s="407">
        <v>2025</v>
      </c>
      <c r="K118" s="407">
        <v>2026</v>
      </c>
      <c r="L118" s="407">
        <v>2027</v>
      </c>
      <c r="M118" s="407">
        <v>2028</v>
      </c>
      <c r="N118" s="407">
        <v>2029</v>
      </c>
      <c r="O118" s="407">
        <v>2029</v>
      </c>
    </row>
    <row r="119" spans="4:18" ht="12.75" customHeight="1" x14ac:dyDescent="0.25">
      <c r="D119" s="393"/>
      <c r="E119" s="383" t="s">
        <v>554</v>
      </c>
      <c r="F119" s="115"/>
      <c r="G119" s="114"/>
    </row>
    <row r="120" spans="4:18" ht="12.75" customHeight="1" x14ac:dyDescent="0.25">
      <c r="D120" s="143">
        <v>84310</v>
      </c>
      <c r="E120" s="308" t="s">
        <v>2144</v>
      </c>
      <c r="F120" s="115"/>
      <c r="G120" s="114"/>
      <c r="J120" s="114">
        <v>-55516529</v>
      </c>
      <c r="K120" s="114">
        <v>-54585109</v>
      </c>
      <c r="L120" s="114">
        <v>-57216692</v>
      </c>
      <c r="M120" s="114">
        <v>-59653034</v>
      </c>
      <c r="N120" s="114">
        <f>-65583648+3220954</f>
        <v>-62362694</v>
      </c>
      <c r="O120" s="114">
        <v>0</v>
      </c>
      <c r="P120" s="308"/>
    </row>
    <row r="121" spans="4:18" ht="12.75" customHeight="1" x14ac:dyDescent="0.25">
      <c r="D121" s="143"/>
      <c r="E121" s="115" t="s">
        <v>2145</v>
      </c>
      <c r="F121" s="115"/>
      <c r="G121" s="114"/>
      <c r="J121" s="114">
        <v>-1743793</v>
      </c>
      <c r="K121" s="114">
        <v>-4303599</v>
      </c>
      <c r="L121" s="114">
        <v>-3996398</v>
      </c>
      <c r="M121" s="114">
        <v>-2392108</v>
      </c>
      <c r="N121" s="114">
        <v>-2511212</v>
      </c>
      <c r="O121" s="114">
        <v>0</v>
      </c>
      <c r="P121" s="308"/>
    </row>
    <row r="122" spans="4:18" s="1720" customFormat="1" ht="12.75" customHeight="1" x14ac:dyDescent="0.25">
      <c r="D122" s="2184"/>
      <c r="E122" s="2185" t="s">
        <v>5309</v>
      </c>
      <c r="G122" s="2177"/>
      <c r="J122" s="2177"/>
      <c r="K122" s="2177">
        <v>-1210395</v>
      </c>
      <c r="L122" s="2177">
        <v>-91683</v>
      </c>
      <c r="M122" s="2177">
        <v>16386</v>
      </c>
      <c r="N122" s="2177">
        <v>66253</v>
      </c>
      <c r="O122" s="2123"/>
      <c r="P122" s="2187"/>
      <c r="Q122" s="2177"/>
      <c r="R122" s="2177"/>
    </row>
    <row r="123" spans="4:18" s="1720" customFormat="1" ht="12.75" customHeight="1" x14ac:dyDescent="0.25">
      <c r="D123" s="2184"/>
      <c r="E123" s="2185" t="s">
        <v>5319</v>
      </c>
      <c r="G123" s="2177"/>
      <c r="J123" s="2186"/>
      <c r="K123" s="2186">
        <v>-52466</v>
      </c>
      <c r="L123" s="2186"/>
      <c r="M123" s="2186"/>
      <c r="N123" s="2186"/>
      <c r="O123" s="2183"/>
      <c r="P123" s="2187"/>
      <c r="Q123" s="2177"/>
      <c r="R123" s="2177"/>
    </row>
    <row r="124" spans="4:18" ht="12.75" customHeight="1" x14ac:dyDescent="0.25">
      <c r="D124" s="143"/>
      <c r="E124" s="308"/>
      <c r="F124" s="115"/>
      <c r="G124" s="114"/>
      <c r="J124" s="1865">
        <f>SUM(J120:J123)</f>
        <v>-57260322</v>
      </c>
      <c r="K124" s="1865">
        <f t="shared" ref="K124:O124" si="22">SUM(K120:K123)</f>
        <v>-60151569</v>
      </c>
      <c r="L124" s="1865">
        <f t="shared" si="22"/>
        <v>-61304773</v>
      </c>
      <c r="M124" s="1865">
        <f t="shared" si="22"/>
        <v>-62028756</v>
      </c>
      <c r="N124" s="1865">
        <f t="shared" si="22"/>
        <v>-64807653</v>
      </c>
      <c r="O124" s="1865">
        <f t="shared" si="22"/>
        <v>0</v>
      </c>
      <c r="P124" s="308"/>
    </row>
    <row r="125" spans="4:18" ht="12.75" customHeight="1" x14ac:dyDescent="0.25">
      <c r="E125" s="1060"/>
      <c r="F125" s="115"/>
      <c r="G125" s="114"/>
      <c r="J125" s="397"/>
      <c r="K125" s="397"/>
      <c r="L125" s="397"/>
      <c r="M125" s="397"/>
      <c r="N125" s="397"/>
      <c r="O125" s="397"/>
      <c r="P125" s="308"/>
      <c r="Q125" s="114"/>
      <c r="R125" s="114"/>
    </row>
    <row r="126" spans="4:18" ht="12.75" customHeight="1" x14ac:dyDescent="0.25">
      <c r="D126" s="393"/>
      <c r="E126" s="381" t="s">
        <v>2146</v>
      </c>
      <c r="F126" s="115"/>
      <c r="P126" s="308"/>
      <c r="Q126" s="114"/>
      <c r="R126" s="114"/>
    </row>
    <row r="127" spans="4:18" ht="12.75" customHeight="1" x14ac:dyDescent="0.25">
      <c r="D127" s="143"/>
      <c r="E127" s="401" t="s">
        <v>2147</v>
      </c>
      <c r="F127" s="484"/>
      <c r="P127" s="308"/>
      <c r="Q127" s="114"/>
      <c r="R127" s="114"/>
    </row>
    <row r="128" spans="4:18" ht="12.75" customHeight="1" x14ac:dyDescent="0.25">
      <c r="E128" s="115" t="s">
        <v>2148</v>
      </c>
      <c r="F128" s="115"/>
      <c r="J128" s="114">
        <v>-3548928</v>
      </c>
      <c r="K128" s="114">
        <v>-3479431</v>
      </c>
      <c r="L128" s="114">
        <v>-3337350</v>
      </c>
      <c r="M128" s="114">
        <v>-3207291</v>
      </c>
      <c r="N128" s="114">
        <v>-3220954</v>
      </c>
      <c r="O128" s="114">
        <v>0</v>
      </c>
      <c r="P128" s="308"/>
      <c r="Q128" s="114"/>
      <c r="R128" s="114"/>
    </row>
    <row r="129" spans="5:19" ht="12.75" customHeight="1" x14ac:dyDescent="0.25">
      <c r="E129" s="115" t="s">
        <v>2145</v>
      </c>
      <c r="F129" s="115"/>
      <c r="J129" s="415">
        <v>-320504</v>
      </c>
      <c r="K129" s="415">
        <v>-296296</v>
      </c>
      <c r="L129" s="415">
        <v>-290169</v>
      </c>
      <c r="M129" s="415">
        <v>-281010</v>
      </c>
      <c r="N129" s="415">
        <v>-283644</v>
      </c>
      <c r="O129" s="415">
        <v>0</v>
      </c>
      <c r="P129" s="308"/>
      <c r="Q129" s="114"/>
      <c r="R129" s="114"/>
    </row>
    <row r="130" spans="5:19" ht="12.75" customHeight="1" x14ac:dyDescent="0.25">
      <c r="E130" s="383"/>
      <c r="F130" s="115"/>
      <c r="J130" s="1866">
        <f>SUM(J128:J129)</f>
        <v>-3869432</v>
      </c>
      <c r="K130" s="1866">
        <v>-3775727</v>
      </c>
      <c r="L130" s="1866">
        <f>SUM(L128:L129)</f>
        <v>-3627519</v>
      </c>
      <c r="M130" s="1866">
        <f>SUM(M128:M129)</f>
        <v>-3488301</v>
      </c>
      <c r="N130" s="1866">
        <f>SUM(N128:N129)</f>
        <v>-3504598</v>
      </c>
      <c r="O130" s="1866">
        <f>SUM(O128:O129)</f>
        <v>0</v>
      </c>
      <c r="P130" s="308"/>
      <c r="Q130" s="114"/>
      <c r="R130" s="114"/>
    </row>
    <row r="131" spans="5:19" ht="12.75" customHeight="1" x14ac:dyDescent="0.25">
      <c r="E131" s="115"/>
      <c r="F131" s="115"/>
      <c r="J131" s="114"/>
      <c r="K131" s="114"/>
      <c r="L131" s="114"/>
      <c r="M131" s="114"/>
      <c r="N131" s="114"/>
      <c r="O131" s="114"/>
      <c r="P131" s="308"/>
      <c r="Q131" s="114"/>
      <c r="R131" s="114"/>
    </row>
    <row r="132" spans="5:19" ht="12.75" customHeight="1" x14ac:dyDescent="0.25">
      <c r="E132" s="1060" t="s">
        <v>2149</v>
      </c>
      <c r="F132" s="115"/>
      <c r="G132" s="114"/>
      <c r="J132" s="432">
        <f>J124+J130</f>
        <v>-61129754</v>
      </c>
      <c r="K132" s="432">
        <v>-62664435</v>
      </c>
      <c r="L132" s="432">
        <f>L124+L130</f>
        <v>-64932292</v>
      </c>
      <c r="M132" s="432">
        <f>M124+M130</f>
        <v>-65517057</v>
      </c>
      <c r="N132" s="432">
        <f>N124+N130</f>
        <v>-68312251</v>
      </c>
      <c r="O132" s="432">
        <f>O124+O130</f>
        <v>0</v>
      </c>
      <c r="P132" s="308"/>
      <c r="Q132" s="114"/>
      <c r="R132" s="114"/>
    </row>
    <row r="133" spans="5:19" ht="12.75" customHeight="1" x14ac:dyDescent="0.25">
      <c r="E133" s="1060"/>
      <c r="F133" s="115"/>
      <c r="G133" s="114"/>
      <c r="J133" s="397"/>
      <c r="K133" s="397"/>
      <c r="L133" s="397"/>
      <c r="M133" s="397"/>
      <c r="N133" s="397"/>
      <c r="O133" s="397"/>
      <c r="P133" s="308"/>
      <c r="Q133" s="114"/>
      <c r="R133" s="114"/>
    </row>
    <row r="134" spans="5:19" ht="12.75" customHeight="1" x14ac:dyDescent="0.25">
      <c r="E134" s="565" t="s">
        <v>2150</v>
      </c>
      <c r="F134" s="115"/>
      <c r="G134" s="114"/>
      <c r="J134" s="397"/>
      <c r="K134" s="397"/>
      <c r="L134" s="397"/>
      <c r="M134" s="397"/>
      <c r="N134" s="397"/>
      <c r="O134" s="397"/>
      <c r="P134" s="308"/>
      <c r="Q134" s="114"/>
      <c r="R134" s="114"/>
    </row>
    <row r="135" spans="5:19" ht="12.75" customHeight="1" x14ac:dyDescent="0.25">
      <c r="E135" s="565" t="s">
        <v>2151</v>
      </c>
      <c r="F135" s="115"/>
      <c r="G135" s="114"/>
      <c r="J135" s="397"/>
      <c r="K135" s="397"/>
      <c r="L135" s="397"/>
      <c r="M135" s="397"/>
      <c r="N135" s="397"/>
      <c r="O135" s="397"/>
      <c r="P135" s="308"/>
      <c r="Q135" s="114"/>
      <c r="R135" s="114"/>
    </row>
    <row r="136" spans="5:19" ht="12.75" customHeight="1" x14ac:dyDescent="0.25">
      <c r="E136" s="565" t="s">
        <v>2152</v>
      </c>
      <c r="F136" s="115"/>
      <c r="G136" s="114"/>
      <c r="J136" s="114">
        <v>-600000</v>
      </c>
      <c r="K136" s="114">
        <v>-600000</v>
      </c>
      <c r="L136" s="114">
        <v>-600000</v>
      </c>
      <c r="M136" s="114">
        <v>-600000</v>
      </c>
      <c r="N136" s="114">
        <v>-600000</v>
      </c>
      <c r="O136" s="114">
        <v>0</v>
      </c>
      <c r="P136" s="308"/>
      <c r="Q136" s="114"/>
      <c r="R136" s="114"/>
    </row>
    <row r="137" spans="5:19" ht="12.75" customHeight="1" x14ac:dyDescent="0.25">
      <c r="E137" s="565" t="s">
        <v>2153</v>
      </c>
      <c r="F137" s="115"/>
      <c r="G137" s="114"/>
      <c r="J137" s="431">
        <v>0</v>
      </c>
      <c r="K137" s="431">
        <v>125000</v>
      </c>
      <c r="L137" s="431">
        <v>125000</v>
      </c>
      <c r="M137" s="431">
        <v>125000</v>
      </c>
      <c r="N137" s="431">
        <v>125000</v>
      </c>
      <c r="O137" s="431">
        <v>0</v>
      </c>
      <c r="P137" s="308"/>
      <c r="Q137" s="114"/>
      <c r="R137" s="114"/>
    </row>
    <row r="138" spans="5:19" ht="12.75" customHeight="1" x14ac:dyDescent="0.25">
      <c r="E138" s="565"/>
      <c r="F138" s="115"/>
      <c r="G138" s="114"/>
      <c r="J138" s="397">
        <f>SUM(J136:J137)</f>
        <v>-600000</v>
      </c>
      <c r="K138" s="397">
        <v>-475000</v>
      </c>
      <c r="L138" s="397">
        <f>SUM(L136:L137)</f>
        <v>-475000</v>
      </c>
      <c r="M138" s="397">
        <f>SUM(M136:M137)</f>
        <v>-475000</v>
      </c>
      <c r="N138" s="397">
        <f>SUM(N136:N137)</f>
        <v>-475000</v>
      </c>
      <c r="O138" s="397">
        <f>SUM(O136:O137)</f>
        <v>0</v>
      </c>
      <c r="P138" s="308"/>
      <c r="Q138" s="114"/>
      <c r="R138" s="114"/>
    </row>
    <row r="139" spans="5:19" ht="12.75" customHeight="1" x14ac:dyDescent="0.25">
      <c r="E139" s="565"/>
      <c r="F139" s="115"/>
      <c r="G139" s="114"/>
      <c r="J139" s="397"/>
      <c r="K139" s="397"/>
      <c r="L139" s="397"/>
      <c r="M139" s="397"/>
      <c r="N139" s="397"/>
      <c r="O139" s="397"/>
      <c r="P139" s="308"/>
      <c r="Q139" s="114"/>
      <c r="R139" s="114"/>
    </row>
    <row r="140" spans="5:19" ht="12.75" customHeight="1" x14ac:dyDescent="0.25">
      <c r="E140" s="565" t="s">
        <v>2154</v>
      </c>
      <c r="F140" s="115"/>
      <c r="G140" s="114"/>
      <c r="J140" s="397"/>
      <c r="K140" s="397"/>
      <c r="L140" s="397"/>
      <c r="M140" s="397"/>
      <c r="N140" s="397"/>
      <c r="O140" s="397"/>
      <c r="P140" s="308"/>
      <c r="Q140" s="114"/>
      <c r="R140" s="114"/>
      <c r="S140" s="115">
        <v>30</v>
      </c>
    </row>
    <row r="141" spans="5:19" ht="12.75" customHeight="1" x14ac:dyDescent="0.25">
      <c r="E141" s="565" t="s">
        <v>2155</v>
      </c>
      <c r="F141" s="115"/>
      <c r="G141" s="114"/>
      <c r="J141" s="397"/>
      <c r="K141" s="397"/>
      <c r="L141" s="397"/>
      <c r="M141" s="397"/>
      <c r="N141" s="397"/>
      <c r="O141" s="397"/>
      <c r="P141" s="308"/>
      <c r="Q141" s="114"/>
      <c r="R141" s="114"/>
      <c r="S141" s="115">
        <v>7.5</v>
      </c>
    </row>
    <row r="142" spans="5:19" ht="12.75" customHeight="1" x14ac:dyDescent="0.25">
      <c r="E142" s="565" t="s">
        <v>2156</v>
      </c>
      <c r="F142" s="115"/>
      <c r="G142" s="114"/>
      <c r="J142" s="114"/>
      <c r="K142" s="114"/>
      <c r="L142" s="114"/>
      <c r="M142" s="114"/>
      <c r="N142" s="114"/>
      <c r="O142" s="114"/>
      <c r="P142" s="308"/>
      <c r="Q142" s="114"/>
      <c r="R142" s="114"/>
    </row>
    <row r="143" spans="5:19" ht="12.75" customHeight="1" x14ac:dyDescent="0.25">
      <c r="E143" s="565" t="s">
        <v>2157</v>
      </c>
      <c r="F143" s="115"/>
      <c r="G143" s="114"/>
      <c r="J143" s="114">
        <v>0</v>
      </c>
      <c r="K143" s="114">
        <v>-360000</v>
      </c>
      <c r="L143" s="114">
        <v>-268000</v>
      </c>
      <c r="M143" s="114">
        <v>-317000</v>
      </c>
      <c r="N143" s="114">
        <v>-317000</v>
      </c>
      <c r="O143" s="114">
        <v>0</v>
      </c>
      <c r="P143" s="308"/>
      <c r="Q143" s="114"/>
      <c r="R143" s="114"/>
      <c r="S143" s="115">
        <f>+S140*S141</f>
        <v>225</v>
      </c>
    </row>
    <row r="144" spans="5:19" ht="12.75" customHeight="1" x14ac:dyDescent="0.25">
      <c r="E144" s="565" t="s">
        <v>2158</v>
      </c>
      <c r="F144" s="115"/>
      <c r="G144" s="114"/>
      <c r="J144" s="114">
        <v>0</v>
      </c>
      <c r="K144" s="114">
        <v>360000</v>
      </c>
      <c r="L144" s="114">
        <v>268000</v>
      </c>
      <c r="M144" s="114">
        <v>317000</v>
      </c>
      <c r="N144" s="114">
        <v>317000</v>
      </c>
      <c r="O144" s="114">
        <v>0</v>
      </c>
      <c r="P144" s="308"/>
      <c r="Q144" s="114"/>
      <c r="R144" s="114"/>
    </row>
    <row r="145" spans="4:18" ht="12.75" customHeight="1" x14ac:dyDescent="0.25">
      <c r="E145" s="565"/>
      <c r="F145" s="115"/>
      <c r="G145" s="114"/>
      <c r="J145" s="432">
        <v>0</v>
      </c>
      <c r="K145" s="432">
        <v>0</v>
      </c>
      <c r="L145" s="432">
        <f>SUM(L143:L144)</f>
        <v>0</v>
      </c>
      <c r="M145" s="432">
        <f>SUM(M143:M144)</f>
        <v>0</v>
      </c>
      <c r="N145" s="432">
        <f>SUM(N143:N144)</f>
        <v>0</v>
      </c>
      <c r="O145" s="432">
        <f>SUM(O143:O144)</f>
        <v>0</v>
      </c>
      <c r="P145" s="308"/>
      <c r="Q145" s="114"/>
      <c r="R145" s="114"/>
    </row>
    <row r="146" spans="4:18" ht="12.75" customHeight="1" x14ac:dyDescent="0.25">
      <c r="E146" s="565"/>
      <c r="F146" s="115"/>
      <c r="G146" s="114"/>
      <c r="J146" s="114"/>
      <c r="K146" s="114"/>
      <c r="L146" s="114"/>
      <c r="M146" s="114"/>
      <c r="N146" s="114"/>
      <c r="O146" s="114"/>
      <c r="P146" s="308"/>
      <c r="Q146" s="114"/>
      <c r="R146" s="114"/>
    </row>
    <row r="147" spans="4:18" ht="12.75" customHeight="1" x14ac:dyDescent="0.25">
      <c r="E147" s="565"/>
      <c r="F147" s="115"/>
      <c r="G147" s="114"/>
      <c r="J147" s="114"/>
      <c r="K147" s="114"/>
      <c r="L147" s="114"/>
      <c r="M147" s="114"/>
      <c r="N147" s="114"/>
      <c r="O147" s="114"/>
      <c r="P147" s="308"/>
      <c r="Q147" s="114"/>
      <c r="R147" s="114"/>
    </row>
    <row r="148" spans="4:18" ht="12.75" customHeight="1" x14ac:dyDescent="0.25">
      <c r="E148" s="565"/>
      <c r="F148" s="115"/>
      <c r="G148" s="114"/>
      <c r="J148" s="114"/>
      <c r="K148" s="114"/>
      <c r="L148" s="114"/>
      <c r="M148" s="114"/>
      <c r="N148" s="114"/>
      <c r="O148" s="114"/>
      <c r="P148" s="308"/>
      <c r="Q148" s="114"/>
      <c r="R148" s="114"/>
    </row>
    <row r="149" spans="4:18" ht="12.75" customHeight="1" thickBot="1" x14ac:dyDescent="0.3">
      <c r="E149" s="115" t="s">
        <v>2159</v>
      </c>
      <c r="F149" s="115"/>
      <c r="G149" s="114"/>
      <c r="J149" s="1744">
        <f>J132+J136+J145</f>
        <v>-61729754</v>
      </c>
      <c r="K149" s="1744">
        <f t="shared" ref="K149:O149" si="23">K132+K136+K145</f>
        <v>-63264435</v>
      </c>
      <c r="L149" s="1744">
        <f t="shared" si="23"/>
        <v>-65532292</v>
      </c>
      <c r="M149" s="1744">
        <f t="shared" si="23"/>
        <v>-66117057</v>
      </c>
      <c r="N149" s="1744">
        <f t="shared" si="23"/>
        <v>-68912251</v>
      </c>
      <c r="O149" s="1744">
        <f t="shared" si="23"/>
        <v>0</v>
      </c>
    </row>
    <row r="150" spans="4:18" ht="12.75" customHeight="1" thickTop="1" x14ac:dyDescent="0.25">
      <c r="E150" s="115"/>
      <c r="F150" s="115"/>
      <c r="J150" s="114"/>
      <c r="K150" s="114"/>
      <c r="L150" s="114"/>
      <c r="M150" s="114"/>
      <c r="N150" s="114"/>
      <c r="O150" s="114"/>
    </row>
    <row r="151" spans="4:18" ht="12.75" customHeight="1" x14ac:dyDescent="0.25">
      <c r="E151" s="115"/>
      <c r="F151" s="115"/>
      <c r="J151" s="114"/>
      <c r="K151" s="114"/>
      <c r="L151" s="114"/>
      <c r="M151" s="114"/>
      <c r="N151" s="114"/>
      <c r="O151" s="114"/>
    </row>
    <row r="152" spans="4:18" s="2136" customFormat="1" ht="12.75" customHeight="1" x14ac:dyDescent="0.25">
      <c r="D152" s="301"/>
      <c r="E152" s="115" t="s">
        <v>2160</v>
      </c>
      <c r="F152" s="115"/>
      <c r="G152" s="115"/>
      <c r="H152" s="115"/>
      <c r="I152" s="115"/>
      <c r="J152" s="114"/>
      <c r="K152" s="114"/>
      <c r="L152" s="114"/>
      <c r="M152" s="114"/>
      <c r="N152" s="114"/>
      <c r="O152" s="114"/>
    </row>
    <row r="153" spans="4:18" s="2136" customFormat="1" ht="12.75" customHeight="1" x14ac:dyDescent="0.25">
      <c r="D153" s="301"/>
      <c r="E153" s="115" t="s">
        <v>2143</v>
      </c>
      <c r="F153" s="115"/>
      <c r="G153" s="115"/>
      <c r="H153" s="115"/>
      <c r="I153" s="115"/>
      <c r="J153" s="114">
        <f t="shared" ref="J153:O153" si="24">J124</f>
        <v>-57260322</v>
      </c>
      <c r="K153" s="114">
        <f t="shared" si="24"/>
        <v>-60151569</v>
      </c>
      <c r="L153" s="114">
        <f t="shared" si="24"/>
        <v>-61304773</v>
      </c>
      <c r="M153" s="114">
        <f t="shared" si="24"/>
        <v>-62028756</v>
      </c>
      <c r="N153" s="114">
        <f t="shared" si="24"/>
        <v>-64807653</v>
      </c>
      <c r="O153" s="114">
        <f t="shared" si="24"/>
        <v>0</v>
      </c>
    </row>
    <row r="154" spans="4:18" s="2136" customFormat="1" ht="12.75" customHeight="1" x14ac:dyDescent="0.25">
      <c r="D154" s="301"/>
      <c r="E154" s="115" t="s">
        <v>2146</v>
      </c>
      <c r="F154" s="115"/>
      <c r="G154" s="115"/>
      <c r="H154" s="115"/>
      <c r="I154" s="115"/>
      <c r="J154" s="114">
        <f t="shared" ref="J154:O154" si="25">J130</f>
        <v>-3869432</v>
      </c>
      <c r="K154" s="114">
        <f t="shared" si="25"/>
        <v>-3775727</v>
      </c>
      <c r="L154" s="114">
        <f t="shared" si="25"/>
        <v>-3627519</v>
      </c>
      <c r="M154" s="114">
        <f t="shared" si="25"/>
        <v>-3488301</v>
      </c>
      <c r="N154" s="114">
        <f t="shared" si="25"/>
        <v>-3504598</v>
      </c>
      <c r="O154" s="114">
        <f t="shared" si="25"/>
        <v>0</v>
      </c>
    </row>
    <row r="155" spans="4:18" s="2136" customFormat="1" ht="12.75" customHeight="1" x14ac:dyDescent="0.25">
      <c r="D155" s="301"/>
      <c r="E155" s="115"/>
      <c r="F155" s="115"/>
      <c r="G155" s="115"/>
      <c r="H155" s="115"/>
      <c r="I155" s="115"/>
      <c r="J155" s="1865">
        <f>SUM(J153:J154)</f>
        <v>-61129754</v>
      </c>
      <c r="K155" s="1865">
        <v>-62664435</v>
      </c>
      <c r="L155" s="1865">
        <f>SUM(L153:L154)</f>
        <v>-64932292</v>
      </c>
      <c r="M155" s="1865">
        <f>SUM(M153:M154)</f>
        <v>-65517057</v>
      </c>
      <c r="N155" s="1865">
        <f>SUM(N153:N154)</f>
        <v>-68312251</v>
      </c>
      <c r="O155" s="1865">
        <f>SUM(O153:O154)</f>
        <v>0</v>
      </c>
    </row>
    <row r="156" spans="4:18" s="2136" customFormat="1" ht="12.75" customHeight="1" x14ac:dyDescent="0.25">
      <c r="D156" s="301"/>
      <c r="E156" s="115"/>
      <c r="F156" s="115"/>
      <c r="G156" s="115"/>
      <c r="H156" s="115"/>
      <c r="I156" s="115"/>
      <c r="J156" s="114"/>
      <c r="K156" s="114"/>
      <c r="L156" s="114"/>
      <c r="M156" s="114"/>
      <c r="N156" s="114"/>
      <c r="O156" s="114"/>
    </row>
    <row r="157" spans="4:18" s="2136" customFormat="1" ht="12.75" customHeight="1" x14ac:dyDescent="0.25">
      <c r="D157" s="301"/>
      <c r="E157" s="565" t="s">
        <v>2161</v>
      </c>
      <c r="F157" s="115"/>
      <c r="G157" s="115"/>
      <c r="H157" s="115"/>
      <c r="I157" s="115"/>
      <c r="J157" s="114">
        <f t="shared" ref="J157:O157" si="26">J138</f>
        <v>-600000</v>
      </c>
      <c r="K157" s="114">
        <f t="shared" si="26"/>
        <v>-475000</v>
      </c>
      <c r="L157" s="114">
        <f t="shared" si="26"/>
        <v>-475000</v>
      </c>
      <c r="M157" s="114">
        <f t="shared" si="26"/>
        <v>-475000</v>
      </c>
      <c r="N157" s="114">
        <f t="shared" si="26"/>
        <v>-475000</v>
      </c>
      <c r="O157" s="114">
        <f t="shared" si="26"/>
        <v>0</v>
      </c>
    </row>
    <row r="158" spans="4:18" s="2136" customFormat="1" ht="12.75" customHeight="1" x14ac:dyDescent="0.25">
      <c r="D158" s="115"/>
      <c r="E158" s="565" t="s">
        <v>2162</v>
      </c>
      <c r="F158" s="115"/>
      <c r="G158" s="115"/>
      <c r="H158" s="115"/>
      <c r="I158" s="115"/>
      <c r="J158" s="114">
        <f>J145</f>
        <v>0</v>
      </c>
      <c r="K158" s="114">
        <v>0</v>
      </c>
      <c r="L158" s="114">
        <f>L145</f>
        <v>0</v>
      </c>
      <c r="M158" s="114">
        <f>M145</f>
        <v>0</v>
      </c>
      <c r="N158" s="114">
        <f>N145</f>
        <v>0</v>
      </c>
      <c r="O158" s="114">
        <f>O145</f>
        <v>0</v>
      </c>
    </row>
    <row r="159" spans="4:18" s="2136" customFormat="1" ht="12.75" customHeight="1" x14ac:dyDescent="0.25">
      <c r="D159" s="115"/>
      <c r="E159" s="565"/>
      <c r="F159" s="115"/>
      <c r="G159" s="115"/>
      <c r="H159" s="115"/>
      <c r="I159" s="115"/>
      <c r="J159" s="1865">
        <f>SUM(J157:J158)</f>
        <v>-600000</v>
      </c>
      <c r="K159" s="1865">
        <v>-475000</v>
      </c>
      <c r="L159" s="1865">
        <f>SUM(L157:L158)</f>
        <v>-475000</v>
      </c>
      <c r="M159" s="1865">
        <f>SUM(M157:M158)</f>
        <v>-475000</v>
      </c>
      <c r="N159" s="1865">
        <f>SUM(N157:N158)</f>
        <v>-475000</v>
      </c>
      <c r="O159" s="1865">
        <f>SUM(O157:O158)</f>
        <v>0</v>
      </c>
    </row>
    <row r="160" spans="4:18" s="2136" customFormat="1" ht="12.75" customHeight="1" x14ac:dyDescent="0.25">
      <c r="D160" s="115"/>
      <c r="E160" s="565"/>
      <c r="F160" s="115"/>
      <c r="G160" s="115"/>
      <c r="H160" s="115"/>
      <c r="I160" s="115"/>
      <c r="J160" s="114"/>
      <c r="K160" s="114"/>
      <c r="L160" s="114"/>
      <c r="M160" s="114"/>
      <c r="N160" s="114"/>
      <c r="O160" s="114"/>
    </row>
    <row r="161" spans="4:15" s="2136" customFormat="1" ht="12.75" customHeight="1" thickBot="1" x14ac:dyDescent="0.3">
      <c r="D161" s="115"/>
      <c r="E161" s="115"/>
      <c r="F161" s="115"/>
      <c r="G161" s="115"/>
      <c r="H161" s="115"/>
      <c r="I161" s="115"/>
      <c r="J161" s="1744">
        <f t="shared" ref="J161:O161" si="27">J155+J159</f>
        <v>-61729754</v>
      </c>
      <c r="K161" s="1744">
        <f t="shared" si="27"/>
        <v>-63139435</v>
      </c>
      <c r="L161" s="1744">
        <f t="shared" si="27"/>
        <v>-65407292</v>
      </c>
      <c r="M161" s="1744">
        <f t="shared" si="27"/>
        <v>-65992057</v>
      </c>
      <c r="N161" s="1744">
        <f t="shared" si="27"/>
        <v>-68787251</v>
      </c>
      <c r="O161" s="1744">
        <f t="shared" si="27"/>
        <v>0</v>
      </c>
    </row>
    <row r="162" spans="4:15" ht="12.75" customHeight="1" thickTop="1" x14ac:dyDescent="0.25">
      <c r="D162" s="115"/>
      <c r="E162" s="115"/>
      <c r="F162" s="115"/>
      <c r="J162" s="114"/>
      <c r="K162" s="114"/>
      <c r="L162" s="114"/>
      <c r="M162" s="114"/>
      <c r="N162" s="114"/>
      <c r="O162" s="114"/>
    </row>
    <row r="163" spans="4:15" ht="12.75" customHeight="1" x14ac:dyDescent="0.25">
      <c r="D163" s="115"/>
      <c r="E163" s="115"/>
      <c r="F163" s="115"/>
      <c r="K163" s="114"/>
      <c r="L163" s="114"/>
      <c r="M163" s="114"/>
      <c r="N163" s="114"/>
      <c r="O163" s="114"/>
    </row>
    <row r="164" spans="4:15" ht="12.75" customHeight="1" x14ac:dyDescent="0.25">
      <c r="D164" s="115"/>
      <c r="E164" s="115"/>
      <c r="F164" s="115"/>
    </row>
    <row r="165" spans="4:15" ht="12.75" customHeight="1" x14ac:dyDescent="0.25">
      <c r="D165" s="115"/>
      <c r="E165" s="115"/>
      <c r="F165" s="115"/>
    </row>
    <row r="166" spans="4:15" ht="12.75" customHeight="1" x14ac:dyDescent="0.25">
      <c r="D166" s="115"/>
      <c r="E166" s="115"/>
      <c r="F166" s="115"/>
    </row>
    <row r="167" spans="4:15" ht="12.75" customHeight="1" x14ac:dyDescent="0.25">
      <c r="D167" s="115"/>
      <c r="E167" s="115"/>
      <c r="F167" s="115"/>
    </row>
    <row r="168" spans="4:15" ht="12.75" customHeight="1" x14ac:dyDescent="0.25">
      <c r="D168" s="115"/>
      <c r="E168" s="115"/>
      <c r="F168" s="115"/>
    </row>
    <row r="169" spans="4:15" ht="12.75" customHeight="1" x14ac:dyDescent="0.25">
      <c r="D169" s="115"/>
      <c r="E169" s="115"/>
      <c r="F169" s="115"/>
    </row>
    <row r="170" spans="4:15" ht="12.75" customHeight="1" x14ac:dyDescent="0.25">
      <c r="D170" s="115"/>
      <c r="E170" s="115"/>
      <c r="F170" s="115"/>
    </row>
    <row r="171" spans="4:15" ht="12.75" customHeight="1" x14ac:dyDescent="0.25">
      <c r="D171" s="115"/>
      <c r="E171" s="115"/>
      <c r="F171" s="115"/>
    </row>
    <row r="172" spans="4:15" ht="12.75" customHeight="1" x14ac:dyDescent="0.25">
      <c r="E172" s="115"/>
      <c r="F172" s="115"/>
    </row>
    <row r="173" spans="4:15" ht="12.75" customHeight="1" x14ac:dyDescent="0.25">
      <c r="E173" s="115"/>
      <c r="F173" s="115"/>
    </row>
    <row r="174" spans="4:15" ht="12.75" customHeight="1" x14ac:dyDescent="0.25">
      <c r="E174" s="115"/>
      <c r="F174" s="115"/>
    </row>
    <row r="175" spans="4:15" ht="12.75" customHeight="1" x14ac:dyDescent="0.25">
      <c r="E175" s="115"/>
      <c r="F175" s="115"/>
    </row>
    <row r="176" spans="4:15" ht="12.75" customHeight="1" x14ac:dyDescent="0.25">
      <c r="E176" s="115"/>
      <c r="F176" s="115"/>
    </row>
    <row r="177" spans="5:6" ht="12.75" customHeight="1" x14ac:dyDescent="0.25">
      <c r="E177" s="115"/>
      <c r="F177" s="115"/>
    </row>
    <row r="178" spans="5:6" ht="12.75" customHeight="1" x14ac:dyDescent="0.25">
      <c r="E178" s="115"/>
      <c r="F178" s="115"/>
    </row>
  </sheetData>
  <mergeCells count="3">
    <mergeCell ref="D70:D71"/>
    <mergeCell ref="F70:F71"/>
    <mergeCell ref="G70:H71"/>
  </mergeCells>
  <hyperlinks>
    <hyperlink ref="A1" location="Inhoudsopgave!A1" display="Inhoudsopgave" xr:uid="{98828074-2FC8-4429-9BD5-C4756A51142C}"/>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7" min="3" max="14" man="1"/>
    <brk id="111"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E336A-B7FD-4F17-8250-043FDC32AB70}">
  <sheetPr codeName="Blad12"/>
  <dimension ref="A1:W225"/>
  <sheetViews>
    <sheetView showGridLines="0" view="pageBreakPreview" topLeftCell="A66" zoomScaleNormal="100" zoomScaleSheetLayoutView="100" workbookViewId="0">
      <selection activeCell="M40" sqref="M40"/>
    </sheetView>
  </sheetViews>
  <sheetFormatPr defaultColWidth="9.109375" defaultRowHeight="12.75" customHeight="1" x14ac:dyDescent="0.25"/>
  <cols>
    <col min="1" max="1" width="9.109375" style="306"/>
    <col min="2" max="3" width="9.109375" style="115"/>
    <col min="4" max="4" width="9.6640625" style="301" customWidth="1"/>
    <col min="5" max="6" width="9.6640625" style="143" customWidth="1"/>
    <col min="7" max="9" width="12.6640625" style="115" customWidth="1"/>
    <col min="10" max="15" width="11.6640625" style="115" customWidth="1"/>
    <col min="16" max="16" width="9.109375" style="115"/>
    <col min="17" max="19" width="11.5546875" style="115" bestFit="1" customWidth="1"/>
    <col min="20"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1296"/>
      <c r="E3" s="1297"/>
      <c r="F3" s="1297"/>
      <c r="G3" s="1298"/>
      <c r="H3" s="1298"/>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1296"/>
      <c r="E4" s="1297"/>
      <c r="F4" s="1297"/>
      <c r="G4" s="1298"/>
      <c r="H4" s="1298"/>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13</v>
      </c>
    </row>
    <row r="24" spans="1:19" ht="12.75" customHeight="1" x14ac:dyDescent="0.3">
      <c r="A24" s="33"/>
      <c r="D24" s="452" t="s">
        <v>507</v>
      </c>
      <c r="E24" s="438"/>
      <c r="F24" s="438"/>
      <c r="G24" s="453"/>
      <c r="H24" s="453"/>
      <c r="I24" s="453"/>
      <c r="J24" s="166"/>
      <c r="K24" s="166"/>
      <c r="L24" s="166"/>
      <c r="M24" s="166"/>
      <c r="N24" s="166"/>
      <c r="O24" s="166"/>
    </row>
    <row r="25" spans="1:19" ht="12.75" customHeight="1" x14ac:dyDescent="0.3">
      <c r="A25" s="33"/>
      <c r="D25" s="438"/>
      <c r="E25" s="438"/>
      <c r="F25" s="438"/>
      <c r="G25" s="453"/>
      <c r="H25" s="453"/>
      <c r="I25" s="453"/>
      <c r="J25" s="166"/>
      <c r="K25" s="166"/>
      <c r="L25" s="166"/>
      <c r="M25" s="166"/>
      <c r="N25" s="166"/>
      <c r="O25" s="166"/>
    </row>
    <row r="26" spans="1:19" ht="12.75" customHeight="1" x14ac:dyDescent="0.3">
      <c r="A26" s="33"/>
      <c r="D26" s="1746" t="s">
        <v>508</v>
      </c>
      <c r="E26" s="1747"/>
      <c r="F26" s="1747"/>
      <c r="G26" s="1748"/>
      <c r="H26" s="1748"/>
      <c r="I26" s="1749"/>
      <c r="J26" s="1749">
        <v>2025</v>
      </c>
      <c r="K26" s="1749">
        <v>2026</v>
      </c>
      <c r="L26" s="1749">
        <v>2027</v>
      </c>
      <c r="M26" s="1749">
        <v>2028</v>
      </c>
      <c r="N26" s="1749">
        <v>2029</v>
      </c>
      <c r="O26" s="1749">
        <v>2030</v>
      </c>
    </row>
    <row r="27" spans="1:19" ht="12.75" customHeight="1" x14ac:dyDescent="0.3">
      <c r="A27" s="33"/>
      <c r="D27" s="454" t="str">
        <f>G70</f>
        <v>Onvoorziene uitgaven</v>
      </c>
      <c r="E27" s="455"/>
      <c r="F27" s="456"/>
      <c r="G27" s="453"/>
      <c r="H27" s="453"/>
      <c r="I27" s="518"/>
      <c r="J27" s="1161">
        <v>50000</v>
      </c>
      <c r="K27" s="1161">
        <v>50000</v>
      </c>
      <c r="L27" s="1161">
        <f t="shared" ref="L27:M27" si="0">L73</f>
        <v>51050</v>
      </c>
      <c r="M27" s="1161">
        <f t="shared" si="0"/>
        <v>52224</v>
      </c>
      <c r="N27" s="1161">
        <f t="shared" ref="N27:O27" si="1">N73</f>
        <v>53425</v>
      </c>
      <c r="O27" s="1161">
        <f t="shared" si="1"/>
        <v>54654</v>
      </c>
    </row>
    <row r="28" spans="1:19" ht="12.75" customHeight="1" x14ac:dyDescent="0.3">
      <c r="A28" s="33"/>
      <c r="D28" s="454" t="s">
        <v>2163</v>
      </c>
      <c r="E28" s="455"/>
      <c r="F28" s="456"/>
      <c r="G28" s="453"/>
      <c r="H28" s="453"/>
      <c r="I28" s="518"/>
      <c r="J28" s="1161">
        <v>0</v>
      </c>
      <c r="K28" s="1161">
        <v>0</v>
      </c>
      <c r="L28" s="1161">
        <f>L118</f>
        <v>0</v>
      </c>
      <c r="M28" s="1161">
        <f>M118</f>
        <v>0</v>
      </c>
      <c r="N28" s="1161">
        <f>N118</f>
        <v>0</v>
      </c>
      <c r="O28" s="1161">
        <f>O118</f>
        <v>0</v>
      </c>
    </row>
    <row r="29" spans="1:19" ht="12.75" customHeight="1" x14ac:dyDescent="0.3">
      <c r="A29" s="33"/>
      <c r="D29" s="454" t="str">
        <f>G75</f>
        <v>Saldo raming baten en lasten</v>
      </c>
      <c r="E29" s="455"/>
      <c r="F29" s="456"/>
      <c r="G29" s="453"/>
      <c r="H29" s="453"/>
      <c r="I29" s="518"/>
      <c r="J29" s="144">
        <v>713350</v>
      </c>
      <c r="K29" s="144">
        <v>364489.35097718053</v>
      </c>
      <c r="L29" s="144">
        <f>L78</f>
        <v>0</v>
      </c>
      <c r="M29" s="144">
        <f>M78</f>
        <v>0</v>
      </c>
      <c r="N29" s="144">
        <f>N78</f>
        <v>0</v>
      </c>
      <c r="O29" s="144">
        <f>O78</f>
        <v>0</v>
      </c>
      <c r="Q29" s="252">
        <v>-178427</v>
      </c>
      <c r="R29" s="252">
        <v>320620</v>
      </c>
      <c r="S29" s="252">
        <v>151777</v>
      </c>
    </row>
    <row r="30" spans="1:19" ht="12.75" customHeight="1" x14ac:dyDescent="0.3">
      <c r="A30" s="33"/>
      <c r="D30" s="454" t="str">
        <f>G84</f>
        <v>Voorziening dubieuze debiteuren</v>
      </c>
      <c r="E30" s="455"/>
      <c r="F30" s="456"/>
      <c r="G30" s="453"/>
      <c r="H30" s="453"/>
      <c r="I30" s="518"/>
      <c r="J30" s="144">
        <v>0</v>
      </c>
      <c r="K30" s="144">
        <v>0</v>
      </c>
      <c r="L30" s="144">
        <f t="shared" ref="L30:M30" si="2">L87</f>
        <v>0</v>
      </c>
      <c r="M30" s="144">
        <f t="shared" si="2"/>
        <v>0</v>
      </c>
      <c r="N30" s="144">
        <f t="shared" ref="N30:O30" si="3">N87</f>
        <v>0</v>
      </c>
      <c r="O30" s="144">
        <f t="shared" si="3"/>
        <v>0</v>
      </c>
      <c r="Q30" s="1311">
        <f>+K29-Q29</f>
        <v>542916.35097718053</v>
      </c>
      <c r="R30" s="1311">
        <f>+L29-R29</f>
        <v>-320620</v>
      </c>
      <c r="S30" s="1311">
        <f>+M29-S29</f>
        <v>-151777</v>
      </c>
    </row>
    <row r="31" spans="1:19" ht="12.75" customHeight="1" x14ac:dyDescent="0.3">
      <c r="A31" s="33"/>
      <c r="D31" s="454" t="s">
        <v>2164</v>
      </c>
      <c r="E31" s="455"/>
      <c r="F31" s="456"/>
      <c r="G31" s="453"/>
      <c r="H31" s="453"/>
      <c r="I31" s="518"/>
      <c r="J31" s="144">
        <v>132828</v>
      </c>
      <c r="K31" s="144">
        <v>136282</v>
      </c>
      <c r="L31" s="144">
        <f t="shared" ref="L31:M31" si="4">L92</f>
        <v>139144</v>
      </c>
      <c r="M31" s="144">
        <f t="shared" si="4"/>
        <v>142344</v>
      </c>
      <c r="N31" s="144">
        <f t="shared" ref="N31:O31" si="5">N92</f>
        <v>145618</v>
      </c>
      <c r="O31" s="144">
        <f t="shared" si="5"/>
        <v>148967</v>
      </c>
    </row>
    <row r="32" spans="1:19" ht="12.75" customHeight="1" x14ac:dyDescent="0.3">
      <c r="A32" s="33"/>
      <c r="D32" s="454" t="s">
        <v>2165</v>
      </c>
      <c r="E32" s="455"/>
      <c r="F32" s="456"/>
      <c r="G32" s="453"/>
      <c r="H32" s="453"/>
      <c r="I32" s="518"/>
      <c r="J32" s="144">
        <v>25144</v>
      </c>
      <c r="K32" s="144">
        <v>43660</v>
      </c>
      <c r="L32" s="144">
        <f t="shared" ref="L32:M32" si="6">+L82</f>
        <v>43660</v>
      </c>
      <c r="M32" s="144">
        <f t="shared" si="6"/>
        <v>43660</v>
      </c>
      <c r="N32" s="144">
        <f t="shared" ref="N32:O32" si="7">+N82</f>
        <v>43660</v>
      </c>
      <c r="O32" s="144">
        <f t="shared" si="7"/>
        <v>43660</v>
      </c>
    </row>
    <row r="33" spans="1:20" ht="12.75" customHeight="1" x14ac:dyDescent="0.3">
      <c r="A33" s="33"/>
      <c r="D33" s="454"/>
      <c r="E33" s="455"/>
      <c r="F33" s="456"/>
      <c r="G33" s="453"/>
      <c r="H33" s="453"/>
      <c r="I33" s="518"/>
      <c r="J33" s="144"/>
      <c r="K33" s="144"/>
      <c r="L33" s="144"/>
      <c r="M33" s="144"/>
      <c r="N33" s="144"/>
      <c r="O33" s="144"/>
    </row>
    <row r="34" spans="1:20" ht="12.75" customHeight="1" x14ac:dyDescent="0.3">
      <c r="A34" s="33"/>
      <c r="D34" s="454"/>
      <c r="E34" s="455"/>
      <c r="F34" s="456"/>
      <c r="G34" s="453"/>
      <c r="H34" s="453"/>
      <c r="I34" s="518"/>
      <c r="J34" s="145"/>
      <c r="K34" s="145"/>
      <c r="L34" s="145"/>
      <c r="M34" s="145"/>
      <c r="N34" s="145"/>
      <c r="O34" s="145"/>
      <c r="Q34" s="114"/>
      <c r="T34" s="310"/>
    </row>
    <row r="35" spans="1:20" ht="12.75" customHeight="1" x14ac:dyDescent="0.3">
      <c r="A35" s="33"/>
      <c r="D35" s="454"/>
      <c r="E35" s="455"/>
      <c r="F35" s="456"/>
      <c r="G35" s="453"/>
      <c r="H35" s="453"/>
      <c r="I35" s="518"/>
      <c r="J35" s="145"/>
      <c r="K35" s="145"/>
      <c r="L35" s="145"/>
      <c r="M35" s="145"/>
      <c r="N35" s="145"/>
      <c r="O35" s="145"/>
      <c r="Q35" s="114"/>
      <c r="T35" s="310"/>
    </row>
    <row r="36" spans="1:20" ht="12.75" customHeight="1" x14ac:dyDescent="0.3">
      <c r="A36" s="33"/>
      <c r="D36" s="454"/>
      <c r="E36" s="455"/>
      <c r="F36" s="456"/>
      <c r="G36" s="453"/>
      <c r="H36" s="453"/>
      <c r="I36" s="518"/>
      <c r="J36" s="145"/>
      <c r="K36" s="145"/>
      <c r="L36" s="145"/>
      <c r="M36" s="145"/>
      <c r="N36" s="145"/>
      <c r="O36" s="145"/>
      <c r="Q36" s="114"/>
      <c r="T36" s="310"/>
    </row>
    <row r="37" spans="1:20" ht="12.75" customHeight="1" x14ac:dyDescent="0.3">
      <c r="A37" s="33"/>
      <c r="D37" s="454"/>
      <c r="E37" s="455"/>
      <c r="F37" s="456"/>
      <c r="G37" s="453"/>
      <c r="H37" s="453"/>
      <c r="I37" s="518"/>
      <c r="J37" s="145"/>
      <c r="K37" s="145"/>
      <c r="L37" s="145"/>
      <c r="M37" s="145"/>
      <c r="N37" s="145"/>
      <c r="O37" s="145"/>
      <c r="Q37" s="114"/>
      <c r="T37" s="310"/>
    </row>
    <row r="38" spans="1:20" ht="12.75" customHeight="1" x14ac:dyDescent="0.3">
      <c r="A38" s="33"/>
      <c r="D38" s="454"/>
      <c r="E38" s="455"/>
      <c r="F38" s="456"/>
      <c r="G38" s="453"/>
      <c r="H38" s="453"/>
      <c r="I38" s="518"/>
      <c r="J38" s="145"/>
      <c r="K38" s="145"/>
      <c r="L38" s="145"/>
      <c r="M38" s="145"/>
      <c r="N38" s="145"/>
      <c r="O38" s="145"/>
      <c r="Q38" s="114"/>
      <c r="T38" s="310"/>
    </row>
    <row r="39" spans="1:20" ht="12.75" customHeight="1" x14ac:dyDescent="0.3">
      <c r="A39" s="33"/>
      <c r="D39" s="454"/>
      <c r="E39" s="455"/>
      <c r="F39" s="456"/>
      <c r="G39" s="453"/>
      <c r="H39" s="453"/>
      <c r="I39" s="518"/>
      <c r="J39" s="146"/>
      <c r="K39" s="146"/>
      <c r="L39" s="146"/>
      <c r="M39" s="146"/>
      <c r="N39" s="146"/>
      <c r="O39" s="146"/>
      <c r="Q39" s="114"/>
      <c r="T39" s="310"/>
    </row>
    <row r="40" spans="1:20" ht="12.75" customHeight="1" x14ac:dyDescent="0.3">
      <c r="A40" s="33"/>
      <c r="D40" s="1751" t="s">
        <v>525</v>
      </c>
      <c r="E40" s="1752"/>
      <c r="F40" s="1753"/>
      <c r="G40" s="1754"/>
      <c r="H40" s="1754"/>
      <c r="I40" s="1757"/>
      <c r="J40" s="1854">
        <v>921322</v>
      </c>
      <c r="K40" s="1854">
        <v>594431.35097718053</v>
      </c>
      <c r="L40" s="1854">
        <f>SUM(L27:L39)</f>
        <v>233854</v>
      </c>
      <c r="M40" s="1854">
        <f>SUM(M27:M39)</f>
        <v>238228</v>
      </c>
      <c r="N40" s="1854">
        <f>SUM(N27:N39)</f>
        <v>242703</v>
      </c>
      <c r="O40" s="1854">
        <f>SUM(O27:O39)</f>
        <v>247281</v>
      </c>
      <c r="Q40" s="114"/>
      <c r="T40" s="310"/>
    </row>
    <row r="41" spans="1:20" ht="12.75" customHeight="1" x14ac:dyDescent="0.3">
      <c r="A41" s="33"/>
      <c r="D41" s="438"/>
      <c r="E41" s="455"/>
      <c r="F41" s="456"/>
      <c r="G41" s="453"/>
      <c r="H41" s="453"/>
      <c r="I41" s="453"/>
      <c r="J41" s="166"/>
      <c r="K41" s="166"/>
      <c r="L41" s="166"/>
      <c r="M41" s="166"/>
      <c r="N41" s="166"/>
      <c r="O41" s="166"/>
    </row>
    <row r="42" spans="1:20" ht="12.75" customHeight="1" x14ac:dyDescent="0.3">
      <c r="A42" s="33"/>
      <c r="D42" s="1746" t="s">
        <v>526</v>
      </c>
      <c r="E42" s="1747"/>
      <c r="F42" s="1747"/>
      <c r="G42" s="1748"/>
      <c r="H42" s="1748"/>
      <c r="I42" s="1749"/>
      <c r="J42" s="1749">
        <v>2025</v>
      </c>
      <c r="K42" s="1749">
        <v>2026</v>
      </c>
      <c r="L42" s="1749">
        <v>2027</v>
      </c>
      <c r="M42" s="1749">
        <v>2028</v>
      </c>
      <c r="N42" s="1749">
        <v>2029</v>
      </c>
      <c r="O42" s="1749">
        <v>2030</v>
      </c>
    </row>
    <row r="43" spans="1:20" ht="12.75" customHeight="1" x14ac:dyDescent="0.3">
      <c r="A43" s="33"/>
      <c r="D43" s="454" t="str">
        <f>G94</f>
        <v>Compensabele btw m.b.t. afval en riolering</v>
      </c>
      <c r="E43" s="455"/>
      <c r="F43" s="456"/>
      <c r="G43" s="453"/>
      <c r="H43" s="453"/>
      <c r="I43" s="518"/>
      <c r="J43" s="1161">
        <v>0</v>
      </c>
      <c r="K43" s="1161">
        <v>0</v>
      </c>
      <c r="L43" s="1161">
        <f t="shared" ref="L43:M43" si="8">L97</f>
        <v>0</v>
      </c>
      <c r="M43" s="1161">
        <f t="shared" si="8"/>
        <v>0</v>
      </c>
      <c r="N43" s="1161">
        <f t="shared" ref="N43:O43" si="9">N97</f>
        <v>0</v>
      </c>
      <c r="O43" s="1161">
        <f t="shared" si="9"/>
        <v>0</v>
      </c>
      <c r="R43" s="381"/>
      <c r="S43" s="381"/>
    </row>
    <row r="44" spans="1:20" ht="12.75" customHeight="1" x14ac:dyDescent="0.3">
      <c r="A44" s="33"/>
      <c r="D44" s="454" t="str">
        <f>G100</f>
        <v>Incidentele opbrengst grondverkoop</v>
      </c>
      <c r="E44" s="455"/>
      <c r="F44" s="456"/>
      <c r="G44" s="453"/>
      <c r="H44" s="453"/>
      <c r="I44" s="518"/>
      <c r="J44" s="1161">
        <v>0</v>
      </c>
      <c r="K44" s="1161">
        <v>0</v>
      </c>
      <c r="L44" s="1161">
        <f t="shared" ref="L44:M44" si="10">L103</f>
        <v>0</v>
      </c>
      <c r="M44" s="1161">
        <f t="shared" si="10"/>
        <v>0</v>
      </c>
      <c r="N44" s="1161">
        <f t="shared" ref="N44:O44" si="11">N103</f>
        <v>0</v>
      </c>
      <c r="O44" s="1161">
        <f t="shared" si="11"/>
        <v>0</v>
      </c>
      <c r="R44" s="310"/>
      <c r="S44" s="310"/>
    </row>
    <row r="45" spans="1:20" ht="12.75" customHeight="1" x14ac:dyDescent="0.3">
      <c r="A45" s="33"/>
      <c r="D45" s="454" t="str">
        <f>G105</f>
        <v>Verleende garanties</v>
      </c>
      <c r="E45" s="455"/>
      <c r="F45" s="456"/>
      <c r="G45" s="453"/>
      <c r="H45" s="453"/>
      <c r="I45" s="518"/>
      <c r="J45" s="1161">
        <v>-680</v>
      </c>
      <c r="K45" s="1161">
        <v>-680</v>
      </c>
      <c r="L45" s="1161">
        <f t="shared" ref="L45:M45" si="12">L108</f>
        <v>-680</v>
      </c>
      <c r="M45" s="1161">
        <f t="shared" si="12"/>
        <v>-680</v>
      </c>
      <c r="N45" s="1161">
        <f t="shared" ref="N45:O45" si="13">N108</f>
        <v>-680</v>
      </c>
      <c r="O45" s="1161">
        <f t="shared" si="13"/>
        <v>-680</v>
      </c>
      <c r="R45" s="310"/>
    </row>
    <row r="46" spans="1:20" ht="12.75" customHeight="1" x14ac:dyDescent="0.25">
      <c r="A46" s="115"/>
      <c r="D46" s="454" t="str">
        <f>+'T08'!G110</f>
        <v>Inkomsten terzake van commerciële buitenreclame</v>
      </c>
      <c r="E46" s="455"/>
      <c r="F46" s="456"/>
      <c r="G46" s="453"/>
      <c r="H46" s="453"/>
      <c r="I46" s="518"/>
      <c r="J46" s="1160">
        <v>-46594</v>
      </c>
      <c r="K46" s="1160">
        <v>-47805</v>
      </c>
      <c r="L46" s="1160">
        <f>+'T08'!L113</f>
        <v>-48809</v>
      </c>
      <c r="M46" s="1160">
        <f>+'T08'!M113</f>
        <v>-49931</v>
      </c>
      <c r="N46" s="1160">
        <f>+'T08'!N113</f>
        <v>-51080</v>
      </c>
      <c r="O46" s="1160">
        <f>+'T08'!O113</f>
        <v>-52255</v>
      </c>
    </row>
    <row r="47" spans="1:20" ht="12.75" customHeight="1" x14ac:dyDescent="0.3">
      <c r="A47" s="33"/>
      <c r="D47" s="454"/>
      <c r="E47" s="455"/>
      <c r="F47" s="456"/>
      <c r="G47" s="453"/>
      <c r="H47" s="453"/>
      <c r="I47" s="518"/>
      <c r="J47" s="1161"/>
      <c r="K47" s="1161"/>
      <c r="L47" s="1161"/>
      <c r="M47" s="1161"/>
      <c r="N47" s="1161"/>
      <c r="O47" s="1161"/>
    </row>
    <row r="48" spans="1:20" ht="12.75" customHeight="1" x14ac:dyDescent="0.3">
      <c r="A48" s="33"/>
      <c r="D48" s="454"/>
      <c r="E48" s="455"/>
      <c r="F48" s="456"/>
      <c r="G48" s="453"/>
      <c r="H48" s="453"/>
      <c r="I48" s="518"/>
      <c r="J48" s="1161"/>
      <c r="K48" s="1161"/>
      <c r="L48" s="1161"/>
      <c r="M48" s="1161"/>
      <c r="N48" s="1161"/>
      <c r="O48" s="1161"/>
      <c r="R48" s="310"/>
      <c r="S48" s="310"/>
    </row>
    <row r="49" spans="1:20" ht="12.75" customHeight="1" x14ac:dyDescent="0.3">
      <c r="A49" s="33"/>
      <c r="D49" s="454"/>
      <c r="E49" s="455"/>
      <c r="F49" s="456"/>
      <c r="G49" s="453"/>
      <c r="H49" s="453"/>
      <c r="I49" s="518"/>
      <c r="J49" s="1161"/>
      <c r="K49" s="1161"/>
      <c r="L49" s="1161"/>
      <c r="M49" s="1161"/>
      <c r="N49" s="1161"/>
      <c r="O49" s="1161"/>
    </row>
    <row r="50" spans="1:20" ht="12.75" customHeight="1" x14ac:dyDescent="0.3">
      <c r="A50" s="33"/>
      <c r="D50" s="454"/>
      <c r="E50" s="455"/>
      <c r="F50" s="456"/>
      <c r="G50" s="453"/>
      <c r="H50" s="453"/>
      <c r="I50" s="518"/>
      <c r="J50" s="1161"/>
      <c r="K50" s="1161"/>
      <c r="L50" s="1161"/>
      <c r="M50" s="1161"/>
      <c r="N50" s="1161"/>
      <c r="O50" s="1161"/>
    </row>
    <row r="51" spans="1:20" ht="12.75" customHeight="1" x14ac:dyDescent="0.3">
      <c r="A51" s="33"/>
      <c r="D51" s="454"/>
      <c r="E51" s="455"/>
      <c r="F51" s="456"/>
      <c r="G51" s="453"/>
      <c r="H51" s="453"/>
      <c r="I51" s="518"/>
      <c r="J51" s="1161"/>
      <c r="K51" s="1161"/>
      <c r="L51" s="1161"/>
      <c r="M51" s="1161"/>
      <c r="N51" s="1161"/>
      <c r="O51" s="1161"/>
    </row>
    <row r="52" spans="1:20" ht="12.75" customHeight="1" x14ac:dyDescent="0.3">
      <c r="A52" s="33"/>
      <c r="D52" s="454"/>
      <c r="E52" s="455"/>
      <c r="F52" s="456"/>
      <c r="G52" s="453"/>
      <c r="H52" s="453"/>
      <c r="I52" s="518"/>
      <c r="J52" s="1160"/>
      <c r="K52" s="1160"/>
      <c r="L52" s="1160"/>
      <c r="M52" s="1160"/>
      <c r="N52" s="1160"/>
      <c r="O52" s="1160"/>
      <c r="Q52" s="114"/>
      <c r="T52" s="310"/>
    </row>
    <row r="53" spans="1:20" ht="12.75" customHeight="1" x14ac:dyDescent="0.3">
      <c r="A53" s="33"/>
      <c r="D53" s="454"/>
      <c r="E53" s="455"/>
      <c r="F53" s="456"/>
      <c r="G53" s="453"/>
      <c r="H53" s="453"/>
      <c r="I53" s="518"/>
      <c r="J53" s="1160"/>
      <c r="K53" s="1160"/>
      <c r="L53" s="1160"/>
      <c r="M53" s="1160"/>
      <c r="N53" s="1160"/>
      <c r="O53" s="1160"/>
      <c r="Q53" s="114"/>
      <c r="T53" s="310"/>
    </row>
    <row r="54" spans="1:20" ht="12.75" customHeight="1" x14ac:dyDescent="0.3">
      <c r="A54" s="33"/>
      <c r="D54" s="454"/>
      <c r="E54" s="455"/>
      <c r="F54" s="456"/>
      <c r="G54" s="453"/>
      <c r="H54" s="453"/>
      <c r="I54" s="518"/>
      <c r="J54" s="1160"/>
      <c r="K54" s="1160"/>
      <c r="L54" s="1160"/>
      <c r="M54" s="1160"/>
      <c r="N54" s="1160"/>
      <c r="O54" s="1160"/>
      <c r="Q54" s="114"/>
      <c r="T54" s="310"/>
    </row>
    <row r="55" spans="1:20" ht="12.75" customHeight="1" x14ac:dyDescent="0.3">
      <c r="A55" s="33"/>
      <c r="D55" s="454"/>
      <c r="E55" s="455"/>
      <c r="F55" s="456"/>
      <c r="G55" s="453"/>
      <c r="H55" s="453"/>
      <c r="I55" s="518"/>
      <c r="J55" s="1160"/>
      <c r="K55" s="1160"/>
      <c r="L55" s="1160"/>
      <c r="M55" s="1160"/>
      <c r="N55" s="1160"/>
      <c r="O55" s="1160"/>
      <c r="Q55" s="114"/>
      <c r="T55" s="310"/>
    </row>
    <row r="56" spans="1:20" ht="12.75" customHeight="1" x14ac:dyDescent="0.3">
      <c r="A56" s="33"/>
      <c r="D56" s="454"/>
      <c r="E56" s="455"/>
      <c r="F56" s="456"/>
      <c r="G56" s="453"/>
      <c r="H56" s="453"/>
      <c r="I56" s="518"/>
      <c r="J56" s="1160"/>
      <c r="K56" s="1160"/>
      <c r="L56" s="1160"/>
      <c r="M56" s="1160"/>
      <c r="N56" s="1160"/>
      <c r="O56" s="1160"/>
      <c r="Q56" s="114"/>
      <c r="T56" s="310"/>
    </row>
    <row r="57" spans="1:20" ht="12.75" customHeight="1" x14ac:dyDescent="0.3">
      <c r="A57" s="33"/>
      <c r="D57" s="454"/>
      <c r="E57" s="455"/>
      <c r="F57" s="456"/>
      <c r="G57" s="453"/>
      <c r="H57" s="453"/>
      <c r="I57" s="518"/>
      <c r="J57" s="1160"/>
      <c r="K57" s="1160"/>
      <c r="L57" s="1160"/>
      <c r="M57" s="1160"/>
      <c r="N57" s="1160"/>
      <c r="O57" s="1160"/>
      <c r="Q57" s="114"/>
      <c r="T57" s="310"/>
    </row>
    <row r="58" spans="1:20" ht="12.75" customHeight="1" x14ac:dyDescent="0.3">
      <c r="A58" s="33"/>
      <c r="D58" s="454"/>
      <c r="E58" s="455"/>
      <c r="F58" s="456"/>
      <c r="G58" s="453"/>
      <c r="H58" s="453"/>
      <c r="I58" s="518"/>
      <c r="J58" s="1160"/>
      <c r="K58" s="1160"/>
      <c r="L58" s="1160"/>
      <c r="M58" s="1160"/>
      <c r="N58" s="1160"/>
      <c r="O58" s="1160"/>
      <c r="Q58" s="114"/>
      <c r="T58" s="310"/>
    </row>
    <row r="59" spans="1:20" ht="12.75" customHeight="1" x14ac:dyDescent="0.3">
      <c r="A59" s="33"/>
      <c r="D59" s="454"/>
      <c r="E59" s="455"/>
      <c r="F59" s="456"/>
      <c r="G59" s="453"/>
      <c r="H59" s="453"/>
      <c r="I59" s="518"/>
      <c r="J59" s="1160"/>
      <c r="K59" s="1160"/>
      <c r="L59" s="1160"/>
      <c r="M59" s="1160"/>
      <c r="N59" s="1160"/>
      <c r="O59" s="1160"/>
      <c r="Q59" s="114"/>
      <c r="T59" s="310"/>
    </row>
    <row r="60" spans="1:20" ht="12.75" customHeight="1" x14ac:dyDescent="0.3">
      <c r="A60" s="33"/>
      <c r="D60" s="464"/>
      <c r="E60" s="465"/>
      <c r="F60" s="466"/>
      <c r="G60" s="467"/>
      <c r="H60" s="467"/>
      <c r="I60" s="518"/>
      <c r="J60" s="1160"/>
      <c r="K60" s="1160"/>
      <c r="L60" s="1160"/>
      <c r="M60" s="1160"/>
      <c r="N60" s="1160"/>
      <c r="O60" s="1160"/>
      <c r="Q60" s="114"/>
      <c r="T60" s="310"/>
    </row>
    <row r="61" spans="1:20" ht="12.75" customHeight="1" x14ac:dyDescent="0.3">
      <c r="A61" s="33"/>
      <c r="D61" s="1751" t="s">
        <v>328</v>
      </c>
      <c r="E61" s="1752"/>
      <c r="F61" s="1753"/>
      <c r="G61" s="1754"/>
      <c r="H61" s="1754"/>
      <c r="I61" s="1757"/>
      <c r="J61" s="1854">
        <v>-47274</v>
      </c>
      <c r="K61" s="1854">
        <v>-48485</v>
      </c>
      <c r="L61" s="1854">
        <f>SUM(L43:L60)</f>
        <v>-49489</v>
      </c>
      <c r="M61" s="1854">
        <f>SUM(M43:M60)</f>
        <v>-50611</v>
      </c>
      <c r="N61" s="1854">
        <f>SUM(N43:N60)</f>
        <v>-51760</v>
      </c>
      <c r="O61" s="1854">
        <f>SUM(O43:O60)</f>
        <v>-52935</v>
      </c>
      <c r="Q61" s="114"/>
      <c r="T61" s="310"/>
    </row>
    <row r="62" spans="1:20" ht="12.75" customHeight="1" x14ac:dyDescent="0.3">
      <c r="A62" s="33"/>
      <c r="D62" s="438"/>
      <c r="E62" s="455"/>
      <c r="F62" s="456"/>
      <c r="G62" s="453"/>
      <c r="H62" s="453"/>
      <c r="I62" s="453"/>
      <c r="J62" s="782"/>
      <c r="K62" s="782"/>
      <c r="L62" s="782"/>
      <c r="M62" s="782"/>
      <c r="N62" s="782"/>
      <c r="O62" s="782"/>
      <c r="Q62" s="114"/>
      <c r="T62" s="310"/>
    </row>
    <row r="63" spans="1:20" ht="12.75" customHeight="1" x14ac:dyDescent="0.3">
      <c r="A63" s="33"/>
      <c r="D63" s="1751" t="s">
        <v>527</v>
      </c>
      <c r="E63" s="1756"/>
      <c r="F63" s="1756"/>
      <c r="G63" s="1754"/>
      <c r="H63" s="1754"/>
      <c r="I63" s="1754"/>
      <c r="J63" s="1856">
        <v>874048</v>
      </c>
      <c r="K63" s="1856">
        <v>545946.35097718053</v>
      </c>
      <c r="L63" s="1856">
        <f>L40+L61</f>
        <v>184365</v>
      </c>
      <c r="M63" s="1856">
        <f>M40+M61</f>
        <v>187617</v>
      </c>
      <c r="N63" s="1856">
        <f>N40+N61</f>
        <v>190943</v>
      </c>
      <c r="O63" s="1856">
        <f>O40+O61</f>
        <v>194346</v>
      </c>
      <c r="Q63" s="114"/>
      <c r="T63" s="310"/>
    </row>
    <row r="64" spans="1:20" ht="12.75" customHeight="1" x14ac:dyDescent="0.3">
      <c r="A64" s="33"/>
      <c r="D64" s="438"/>
      <c r="E64" s="455"/>
      <c r="F64" s="456"/>
      <c r="G64" s="453"/>
      <c r="H64" s="453"/>
      <c r="I64" s="453"/>
      <c r="J64" s="782"/>
      <c r="K64" s="782"/>
      <c r="L64" s="782"/>
      <c r="M64" s="782"/>
      <c r="N64" s="782"/>
      <c r="O64" s="782"/>
      <c r="Q64" s="114"/>
      <c r="T64" s="310"/>
    </row>
    <row r="65" spans="1:20" ht="12.75" customHeight="1" x14ac:dyDescent="0.3">
      <c r="A65" s="33"/>
      <c r="D65" s="438"/>
      <c r="E65" s="455"/>
      <c r="F65" s="456"/>
      <c r="G65" s="453"/>
      <c r="H65" s="453"/>
      <c r="I65" s="453"/>
      <c r="J65" s="782"/>
      <c r="K65" s="782"/>
      <c r="L65" s="782"/>
      <c r="M65" s="782"/>
      <c r="N65" s="782"/>
      <c r="O65" s="782"/>
      <c r="Q65" s="114"/>
      <c r="T65" s="310"/>
    </row>
    <row r="66" spans="1:20" ht="12.75" customHeight="1" x14ac:dyDescent="0.3">
      <c r="A66" s="33"/>
      <c r="D66" s="312" t="s">
        <v>528</v>
      </c>
      <c r="E66" s="382"/>
      <c r="F66" s="382"/>
      <c r="J66" s="114"/>
      <c r="K66" s="114"/>
      <c r="L66" s="114"/>
      <c r="M66" s="114"/>
      <c r="N66" s="114"/>
      <c r="O66" s="114"/>
      <c r="Q66" s="114"/>
      <c r="T66" s="310"/>
    </row>
    <row r="67" spans="1:20" ht="12.75" customHeight="1" x14ac:dyDescent="0.3">
      <c r="A67" s="33"/>
      <c r="D67" s="115"/>
      <c r="E67" s="115"/>
      <c r="F67" s="115"/>
      <c r="Q67" s="114"/>
      <c r="T67" s="310"/>
    </row>
    <row r="68" spans="1:20" ht="12.75" customHeight="1" x14ac:dyDescent="0.25">
      <c r="A68" s="336"/>
      <c r="D68" s="2523" t="s">
        <v>529</v>
      </c>
      <c r="E68" s="1761" t="s">
        <v>530</v>
      </c>
      <c r="F68" s="2552" t="s">
        <v>531</v>
      </c>
      <c r="G68" s="2525" t="s">
        <v>206</v>
      </c>
      <c r="H68" s="2526"/>
      <c r="I68" s="1773"/>
      <c r="J68" s="1858"/>
      <c r="K68" s="1858"/>
      <c r="L68" s="1858"/>
      <c r="M68" s="1858"/>
      <c r="N68" s="1858"/>
      <c r="O68" s="1858"/>
    </row>
    <row r="69" spans="1:20" ht="12.75" customHeight="1" x14ac:dyDescent="0.25">
      <c r="A69" s="336"/>
      <c r="D69" s="2524"/>
      <c r="E69" s="472" t="s">
        <v>532</v>
      </c>
      <c r="F69" s="2553"/>
      <c r="G69" s="2527"/>
      <c r="H69" s="2528"/>
      <c r="I69" s="521"/>
      <c r="J69" s="1864">
        <v>2025</v>
      </c>
      <c r="K69" s="1864">
        <v>2026</v>
      </c>
      <c r="L69" s="1864">
        <v>2027</v>
      </c>
      <c r="M69" s="1864">
        <v>2028</v>
      </c>
      <c r="N69" s="1864">
        <v>2029</v>
      </c>
      <c r="O69" s="1864">
        <v>2030</v>
      </c>
    </row>
    <row r="70" spans="1:20" ht="12.75" customHeight="1" x14ac:dyDescent="0.3">
      <c r="A70" s="33"/>
      <c r="D70" s="1125">
        <v>611002</v>
      </c>
      <c r="E70" s="1126"/>
      <c r="F70" s="1126"/>
      <c r="G70" s="747" t="s">
        <v>2166</v>
      </c>
      <c r="H70" s="453"/>
      <c r="I70" s="518"/>
      <c r="J70" s="1659"/>
      <c r="K70" s="1659"/>
      <c r="L70" s="1659"/>
      <c r="M70" s="1659"/>
      <c r="N70" s="1659"/>
      <c r="O70" s="1659"/>
      <c r="Q70" s="114"/>
      <c r="T70" s="310"/>
    </row>
    <row r="71" spans="1:20" ht="12.75" customHeight="1" x14ac:dyDescent="0.3">
      <c r="A71" s="33"/>
      <c r="D71" s="1125"/>
      <c r="E71" s="1126"/>
      <c r="F71" s="1126"/>
      <c r="G71" s="527" t="s">
        <v>533</v>
      </c>
      <c r="H71" s="453"/>
      <c r="I71" s="518"/>
      <c r="J71" s="1659"/>
      <c r="K71" s="1659"/>
      <c r="L71" s="1659"/>
      <c r="M71" s="1659"/>
      <c r="N71" s="1659"/>
      <c r="O71" s="1659"/>
      <c r="Q71" s="114"/>
      <c r="T71" s="310"/>
    </row>
    <row r="72" spans="1:20" ht="12.75" customHeight="1" x14ac:dyDescent="0.3">
      <c r="A72" s="34">
        <f>+D70</f>
        <v>611002</v>
      </c>
      <c r="B72" s="115" t="str">
        <f>G70</f>
        <v>Onvoorziene uitgaven</v>
      </c>
      <c r="D72" s="763">
        <v>44390</v>
      </c>
      <c r="E72" s="763"/>
      <c r="F72" s="763"/>
      <c r="G72" s="453" t="s">
        <v>2167</v>
      </c>
      <c r="H72" s="453"/>
      <c r="I72" s="463"/>
      <c r="J72" s="1160">
        <v>50000</v>
      </c>
      <c r="K72" s="1160">
        <v>50000</v>
      </c>
      <c r="L72" s="1160">
        <f>L132</f>
        <v>51050</v>
      </c>
      <c r="M72" s="1160">
        <f>M132</f>
        <v>52224</v>
      </c>
      <c r="N72" s="1160">
        <f>N132</f>
        <v>53425</v>
      </c>
      <c r="O72" s="1160">
        <f>O132</f>
        <v>54654</v>
      </c>
      <c r="Q72" s="114"/>
      <c r="T72" s="310"/>
    </row>
    <row r="73" spans="1:20" ht="12.75" customHeight="1" thickBot="1" x14ac:dyDescent="0.35">
      <c r="A73" s="33"/>
      <c r="D73" s="758"/>
      <c r="E73" s="758"/>
      <c r="F73" s="758"/>
      <c r="G73" s="453" t="s">
        <v>536</v>
      </c>
      <c r="H73" s="453"/>
      <c r="I73" s="463"/>
      <c r="J73" s="1660">
        <v>50000</v>
      </c>
      <c r="K73" s="1660">
        <v>50000</v>
      </c>
      <c r="L73" s="1660">
        <f t="shared" ref="L73:M73" si="14">SUM(L72)</f>
        <v>51050</v>
      </c>
      <c r="M73" s="1660">
        <f t="shared" si="14"/>
        <v>52224</v>
      </c>
      <c r="N73" s="1660">
        <f t="shared" ref="N73:O73" si="15">SUM(N72)</f>
        <v>53425</v>
      </c>
      <c r="O73" s="1660">
        <f t="shared" si="15"/>
        <v>54654</v>
      </c>
      <c r="Q73" s="114"/>
      <c r="T73" s="310"/>
    </row>
    <row r="74" spans="1:20" ht="12.75" customHeight="1" thickTop="1" x14ac:dyDescent="0.3">
      <c r="A74" s="33"/>
      <c r="D74" s="340"/>
      <c r="E74" s="340"/>
      <c r="F74" s="340"/>
      <c r="I74" s="318"/>
      <c r="J74" s="317"/>
      <c r="K74" s="317"/>
      <c r="L74" s="317"/>
      <c r="M74" s="317"/>
      <c r="N74" s="317"/>
      <c r="O74" s="317"/>
      <c r="Q74" s="114"/>
      <c r="T74" s="310"/>
    </row>
    <row r="75" spans="1:20" ht="12.75" customHeight="1" x14ac:dyDescent="0.3">
      <c r="A75" s="33"/>
      <c r="D75" s="1125">
        <v>611004</v>
      </c>
      <c r="E75" s="1126"/>
      <c r="F75" s="1126"/>
      <c r="G75" s="747" t="s">
        <v>398</v>
      </c>
      <c r="H75" s="453"/>
      <c r="I75" s="463"/>
      <c r="J75" s="1161"/>
      <c r="K75" s="1161"/>
      <c r="L75" s="1161"/>
      <c r="M75" s="1161"/>
      <c r="N75" s="1161"/>
      <c r="O75" s="1161"/>
      <c r="Q75" s="114"/>
      <c r="T75" s="310"/>
    </row>
    <row r="76" spans="1:20" ht="12.75" customHeight="1" x14ac:dyDescent="0.3">
      <c r="A76" s="33"/>
      <c r="D76" s="758"/>
      <c r="E76" s="758"/>
      <c r="F76" s="758"/>
      <c r="G76" s="527" t="s">
        <v>533</v>
      </c>
      <c r="H76" s="453"/>
      <c r="I76" s="463"/>
      <c r="J76" s="1161"/>
      <c r="K76" s="1161"/>
      <c r="L76" s="1161"/>
      <c r="M76" s="1161"/>
      <c r="N76" s="1161"/>
      <c r="O76" s="1161"/>
      <c r="Q76" s="114"/>
      <c r="T76" s="310"/>
    </row>
    <row r="77" spans="1:20" ht="12.75" customHeight="1" x14ac:dyDescent="0.3">
      <c r="A77" s="34">
        <f>+D75</f>
        <v>611004</v>
      </c>
      <c r="B77" s="115" t="str">
        <f>G75</f>
        <v>Saldo raming baten en lasten</v>
      </c>
      <c r="D77" s="763">
        <v>43812</v>
      </c>
      <c r="E77" s="763"/>
      <c r="F77" s="1299"/>
      <c r="G77" s="761" t="s">
        <v>535</v>
      </c>
      <c r="H77" s="453"/>
      <c r="I77" s="463"/>
      <c r="J77" s="1339">
        <v>713350</v>
      </c>
      <c r="K77" s="1339"/>
      <c r="L77" s="1339"/>
      <c r="M77" s="1339"/>
      <c r="N77" s="1339"/>
      <c r="O77" s="1339"/>
      <c r="Q77" s="114"/>
      <c r="T77" s="310"/>
    </row>
    <row r="78" spans="1:20" ht="12.75" customHeight="1" thickBot="1" x14ac:dyDescent="0.35">
      <c r="A78" s="33"/>
      <c r="D78" s="758"/>
      <c r="E78" s="758"/>
      <c r="F78" s="1300"/>
      <c r="G78" s="761" t="s">
        <v>536</v>
      </c>
      <c r="H78" s="453"/>
      <c r="I78" s="463"/>
      <c r="J78" s="1660">
        <v>713350</v>
      </c>
      <c r="K78" s="1660">
        <v>364489.35097718053</v>
      </c>
      <c r="L78" s="1660">
        <f t="shared" ref="L78:M78" si="16">SUM(L77)</f>
        <v>0</v>
      </c>
      <c r="M78" s="1660">
        <f t="shared" si="16"/>
        <v>0</v>
      </c>
      <c r="N78" s="1660">
        <f t="shared" ref="N78:O78" si="17">SUM(N77)</f>
        <v>0</v>
      </c>
      <c r="O78" s="1660">
        <f t="shared" si="17"/>
        <v>0</v>
      </c>
      <c r="Q78" s="114"/>
      <c r="T78" s="310"/>
    </row>
    <row r="79" spans="1:20" ht="12.75" customHeight="1" thickTop="1" x14ac:dyDescent="0.3">
      <c r="A79" s="33"/>
      <c r="D79" s="340"/>
      <c r="E79" s="340"/>
      <c r="F79" s="1257"/>
      <c r="G79" s="319"/>
      <c r="I79" s="318"/>
      <c r="J79" s="317"/>
      <c r="K79" s="317"/>
      <c r="L79" s="317"/>
      <c r="M79" s="317"/>
      <c r="N79" s="317"/>
      <c r="O79" s="317"/>
      <c r="Q79" s="114"/>
      <c r="T79" s="310"/>
    </row>
    <row r="80" spans="1:20" ht="12.75" customHeight="1" x14ac:dyDescent="0.3">
      <c r="A80" s="33"/>
      <c r="D80" s="347">
        <v>611005</v>
      </c>
      <c r="E80" s="340"/>
      <c r="F80" s="1257"/>
      <c r="G80" s="381" t="s">
        <v>2165</v>
      </c>
      <c r="I80" s="318"/>
      <c r="J80" s="317"/>
      <c r="K80" s="317"/>
      <c r="L80" s="317"/>
      <c r="M80" s="317"/>
      <c r="N80" s="317"/>
      <c r="O80" s="317"/>
      <c r="Q80" s="114"/>
      <c r="T80" s="310"/>
    </row>
    <row r="81" spans="1:20" ht="12.75" customHeight="1" x14ac:dyDescent="0.3">
      <c r="A81" s="34">
        <f>+D80</f>
        <v>611005</v>
      </c>
      <c r="B81" s="115" t="s">
        <v>2165</v>
      </c>
      <c r="D81" s="340">
        <v>43812</v>
      </c>
      <c r="E81" s="763"/>
      <c r="F81" s="1299"/>
      <c r="G81" s="761" t="s">
        <v>535</v>
      </c>
      <c r="H81" s="453"/>
      <c r="I81" s="463"/>
      <c r="J81" s="1339">
        <v>25144</v>
      </c>
      <c r="K81" s="1339">
        <v>43660</v>
      </c>
      <c r="L81" s="1339">
        <f t="shared" ref="L81:M81" si="18">+L157</f>
        <v>43660</v>
      </c>
      <c r="M81" s="1339">
        <f t="shared" si="18"/>
        <v>43660</v>
      </c>
      <c r="N81" s="1339">
        <f t="shared" ref="N81:O81" si="19">+N157</f>
        <v>43660</v>
      </c>
      <c r="O81" s="1339">
        <f t="shared" si="19"/>
        <v>43660</v>
      </c>
      <c r="Q81" s="114"/>
      <c r="T81" s="310"/>
    </row>
    <row r="82" spans="1:20" ht="12.75" customHeight="1" thickBot="1" x14ac:dyDescent="0.35">
      <c r="A82" s="33"/>
      <c r="D82" s="340"/>
      <c r="E82" s="758"/>
      <c r="F82" s="1300"/>
      <c r="G82" s="761" t="s">
        <v>536</v>
      </c>
      <c r="H82" s="453"/>
      <c r="I82" s="463"/>
      <c r="J82" s="1660">
        <v>25144</v>
      </c>
      <c r="K82" s="1660">
        <v>43660</v>
      </c>
      <c r="L82" s="1660">
        <f t="shared" ref="L82:M82" si="20">SUM(L81)</f>
        <v>43660</v>
      </c>
      <c r="M82" s="1660">
        <f t="shared" si="20"/>
        <v>43660</v>
      </c>
      <c r="N82" s="1660">
        <f t="shared" ref="N82:O82" si="21">SUM(N81)</f>
        <v>43660</v>
      </c>
      <c r="O82" s="1660">
        <f t="shared" si="21"/>
        <v>43660</v>
      </c>
      <c r="Q82" s="114"/>
      <c r="T82" s="310"/>
    </row>
    <row r="83" spans="1:20" ht="12.75" customHeight="1" thickTop="1" x14ac:dyDescent="0.3">
      <c r="A83" s="33"/>
      <c r="D83" s="340"/>
      <c r="E83" s="340"/>
      <c r="F83" s="1257"/>
      <c r="I83" s="318"/>
      <c r="J83" s="317"/>
      <c r="K83" s="317"/>
      <c r="L83" s="317"/>
      <c r="M83" s="317"/>
      <c r="N83" s="317"/>
      <c r="O83" s="317"/>
      <c r="Q83" s="114"/>
      <c r="T83" s="310"/>
    </row>
    <row r="84" spans="1:20" ht="12.75" customHeight="1" x14ac:dyDescent="0.3">
      <c r="A84" s="33"/>
      <c r="D84" s="1133">
        <v>611009</v>
      </c>
      <c r="E84" s="755"/>
      <c r="F84" s="755"/>
      <c r="G84" s="747" t="s">
        <v>2168</v>
      </c>
      <c r="H84" s="453"/>
      <c r="I84" s="463"/>
      <c r="J84" s="1161"/>
      <c r="K84" s="1161"/>
      <c r="L84" s="1161"/>
      <c r="M84" s="1161"/>
      <c r="N84" s="1161"/>
      <c r="O84" s="1161"/>
      <c r="Q84" s="114"/>
      <c r="T84" s="310"/>
    </row>
    <row r="85" spans="1:20" ht="12.75" customHeight="1" x14ac:dyDescent="0.3">
      <c r="A85" s="33"/>
      <c r="D85" s="758"/>
      <c r="E85" s="758"/>
      <c r="F85" s="758"/>
      <c r="G85" s="527" t="s">
        <v>533</v>
      </c>
      <c r="H85" s="453"/>
      <c r="I85" s="463"/>
      <c r="J85" s="1161"/>
      <c r="K85" s="1161"/>
      <c r="L85" s="1161"/>
      <c r="M85" s="1161"/>
      <c r="N85" s="1161"/>
      <c r="O85" s="1161"/>
      <c r="Q85" s="114"/>
      <c r="T85" s="310"/>
    </row>
    <row r="86" spans="1:20" ht="12.75" customHeight="1" x14ac:dyDescent="0.3">
      <c r="A86" s="34">
        <f>+D84</f>
        <v>611009</v>
      </c>
      <c r="B86" s="115" t="str">
        <f>G84</f>
        <v>Voorziening dubieuze debiteuren</v>
      </c>
      <c r="D86" s="758">
        <v>43812</v>
      </c>
      <c r="E86" s="758"/>
      <c r="F86" s="758"/>
      <c r="G86" s="761" t="s">
        <v>535</v>
      </c>
      <c r="H86" s="453"/>
      <c r="I86" s="463"/>
      <c r="J86" s="1160">
        <v>0</v>
      </c>
      <c r="K86" s="1160">
        <v>0</v>
      </c>
      <c r="L86" s="1160">
        <v>0</v>
      </c>
      <c r="M86" s="1160">
        <v>0</v>
      </c>
      <c r="N86" s="1160">
        <v>0</v>
      </c>
      <c r="O86" s="1160">
        <v>0</v>
      </c>
      <c r="Q86" s="114"/>
      <c r="T86" s="310"/>
    </row>
    <row r="87" spans="1:20" ht="12.75" customHeight="1" thickBot="1" x14ac:dyDescent="0.35">
      <c r="A87" s="33"/>
      <c r="D87" s="758"/>
      <c r="E87" s="758"/>
      <c r="F87" s="758"/>
      <c r="G87" s="453" t="s">
        <v>536</v>
      </c>
      <c r="H87" s="453"/>
      <c r="I87" s="463"/>
      <c r="J87" s="1660">
        <v>0</v>
      </c>
      <c r="K87" s="1660">
        <v>0</v>
      </c>
      <c r="L87" s="1660">
        <f t="shared" ref="L87:M87" si="22">SUM(L86:L86)</f>
        <v>0</v>
      </c>
      <c r="M87" s="1660">
        <f t="shared" si="22"/>
        <v>0</v>
      </c>
      <c r="N87" s="1660">
        <f t="shared" ref="N87:O87" si="23">SUM(N86:N86)</f>
        <v>0</v>
      </c>
      <c r="O87" s="1660">
        <f t="shared" si="23"/>
        <v>0</v>
      </c>
      <c r="Q87" s="114"/>
      <c r="T87" s="310"/>
    </row>
    <row r="88" spans="1:20" ht="12.75" customHeight="1" thickTop="1" x14ac:dyDescent="0.3">
      <c r="A88" s="33"/>
      <c r="D88" s="758"/>
      <c r="E88" s="758"/>
      <c r="F88" s="758"/>
      <c r="G88" s="453"/>
      <c r="H88" s="453"/>
      <c r="I88" s="463"/>
      <c r="J88" s="1161"/>
      <c r="K88" s="1161"/>
      <c r="L88" s="1161"/>
      <c r="M88" s="1161"/>
      <c r="N88" s="1161"/>
      <c r="O88" s="1161"/>
      <c r="Q88" s="114"/>
      <c r="T88" s="310"/>
    </row>
    <row r="89" spans="1:20" ht="12.75" customHeight="1" x14ac:dyDescent="0.3">
      <c r="A89" s="33"/>
      <c r="D89" s="1125">
        <v>611006</v>
      </c>
      <c r="E89" s="1126"/>
      <c r="F89" s="1126"/>
      <c r="G89" s="747" t="s">
        <v>2169</v>
      </c>
      <c r="H89" s="453"/>
      <c r="I89" s="463"/>
      <c r="J89" s="1161"/>
      <c r="K89" s="1161"/>
      <c r="L89" s="1161"/>
      <c r="M89" s="1161"/>
      <c r="N89" s="1161"/>
      <c r="O89" s="1161"/>
      <c r="Q89" s="114"/>
      <c r="T89" s="310"/>
    </row>
    <row r="90" spans="1:20" ht="12.75" customHeight="1" x14ac:dyDescent="0.3">
      <c r="A90" s="33"/>
      <c r="D90" s="758"/>
      <c r="E90" s="758"/>
      <c r="F90" s="758"/>
      <c r="G90" s="527" t="s">
        <v>533</v>
      </c>
      <c r="H90" s="453"/>
      <c r="I90" s="463"/>
      <c r="J90" s="1161"/>
      <c r="K90" s="1161"/>
      <c r="L90" s="1161"/>
      <c r="M90" s="1161"/>
      <c r="N90" s="1161"/>
      <c r="O90" s="1161"/>
      <c r="Q90" s="114"/>
      <c r="T90" s="310"/>
    </row>
    <row r="91" spans="1:20" ht="12.75" customHeight="1" x14ac:dyDescent="0.3">
      <c r="A91" s="34">
        <f>+D89</f>
        <v>611006</v>
      </c>
      <c r="B91" s="115" t="str">
        <f>G89</f>
        <v xml:space="preserve">Niet compensabele btw </v>
      </c>
      <c r="D91" s="763">
        <v>43812</v>
      </c>
      <c r="E91" s="763"/>
      <c r="F91" s="763"/>
      <c r="G91" s="761" t="s">
        <v>535</v>
      </c>
      <c r="H91" s="453"/>
      <c r="I91" s="463"/>
      <c r="J91" s="1160">
        <v>132828</v>
      </c>
      <c r="K91" s="1160">
        <v>136282</v>
      </c>
      <c r="L91" s="1160">
        <f t="shared" ref="L91:M91" si="24">L197</f>
        <v>139144</v>
      </c>
      <c r="M91" s="1160">
        <f t="shared" si="24"/>
        <v>142344</v>
      </c>
      <c r="N91" s="1160">
        <f t="shared" ref="N91:O91" si="25">N197</f>
        <v>145618</v>
      </c>
      <c r="O91" s="1160">
        <f t="shared" si="25"/>
        <v>148967</v>
      </c>
      <c r="Q91" s="114"/>
      <c r="T91" s="310"/>
    </row>
    <row r="92" spans="1:20" ht="12.75" customHeight="1" thickBot="1" x14ac:dyDescent="0.35">
      <c r="A92" s="33"/>
      <c r="D92" s="758"/>
      <c r="E92" s="758"/>
      <c r="F92" s="758"/>
      <c r="G92" s="453" t="s">
        <v>536</v>
      </c>
      <c r="H92" s="453"/>
      <c r="I92" s="463"/>
      <c r="J92" s="1660">
        <v>132828</v>
      </c>
      <c r="K92" s="1660">
        <v>136282</v>
      </c>
      <c r="L92" s="1660">
        <f t="shared" ref="L92:M92" si="26">SUM(L91)</f>
        <v>139144</v>
      </c>
      <c r="M92" s="1660">
        <f t="shared" si="26"/>
        <v>142344</v>
      </c>
      <c r="N92" s="1660">
        <f t="shared" ref="N92:O92" si="27">SUM(N91)</f>
        <v>145618</v>
      </c>
      <c r="O92" s="1660">
        <f t="shared" si="27"/>
        <v>148967</v>
      </c>
      <c r="Q92" s="114"/>
      <c r="T92" s="310"/>
    </row>
    <row r="93" spans="1:20" ht="12.75" customHeight="1" thickTop="1" x14ac:dyDescent="0.3">
      <c r="A93" s="33"/>
      <c r="D93" s="758"/>
      <c r="E93" s="758"/>
      <c r="F93" s="758"/>
      <c r="G93" s="453"/>
      <c r="H93" s="453"/>
      <c r="I93" s="463"/>
      <c r="J93" s="1161"/>
      <c r="K93" s="1161"/>
      <c r="L93" s="1161"/>
      <c r="M93" s="1161"/>
      <c r="N93" s="1161"/>
      <c r="O93" s="1161"/>
      <c r="Q93" s="114"/>
      <c r="T93" s="310"/>
    </row>
    <row r="94" spans="1:20" ht="12.75" customHeight="1" x14ac:dyDescent="0.3">
      <c r="A94" s="33"/>
      <c r="D94" s="1125">
        <v>611007</v>
      </c>
      <c r="E94" s="1126"/>
      <c r="F94" s="1126"/>
      <c r="G94" s="747" t="s">
        <v>2170</v>
      </c>
      <c r="H94" s="453"/>
      <c r="I94" s="463"/>
      <c r="J94" s="1161"/>
      <c r="K94" s="1161"/>
      <c r="L94" s="1161"/>
      <c r="M94" s="1161"/>
      <c r="N94" s="1161"/>
      <c r="O94" s="1161"/>
      <c r="Q94" s="114"/>
      <c r="T94" s="310"/>
    </row>
    <row r="95" spans="1:20" ht="12.75" customHeight="1" x14ac:dyDescent="0.3">
      <c r="A95" s="33"/>
      <c r="D95" s="758"/>
      <c r="E95" s="758"/>
      <c r="F95" s="758"/>
      <c r="G95" s="527" t="s">
        <v>554</v>
      </c>
      <c r="H95" s="453"/>
      <c r="I95" s="463"/>
      <c r="J95" s="1161"/>
      <c r="K95" s="1161"/>
      <c r="L95" s="1161"/>
      <c r="M95" s="1161"/>
      <c r="N95" s="1161"/>
      <c r="O95" s="1161"/>
      <c r="Q95" s="114"/>
      <c r="T95" s="310"/>
    </row>
    <row r="96" spans="1:20" ht="12.75" customHeight="1" x14ac:dyDescent="0.3">
      <c r="A96" s="34">
        <f>+D94</f>
        <v>611007</v>
      </c>
      <c r="B96" s="115" t="str">
        <f>G94</f>
        <v>Compensabele btw m.b.t. afval en riolering</v>
      </c>
      <c r="D96" s="763">
        <v>84510</v>
      </c>
      <c r="E96" s="763"/>
      <c r="F96" s="763"/>
      <c r="G96" s="453" t="s">
        <v>2134</v>
      </c>
      <c r="H96" s="453"/>
      <c r="I96" s="463"/>
      <c r="J96" s="1160">
        <v>0</v>
      </c>
      <c r="K96" s="1160">
        <v>0</v>
      </c>
      <c r="L96" s="1160">
        <v>0</v>
      </c>
      <c r="M96" s="1160">
        <v>0</v>
      </c>
      <c r="N96" s="1160">
        <v>0</v>
      </c>
      <c r="O96" s="1160">
        <v>0</v>
      </c>
      <c r="Q96" s="114"/>
      <c r="T96" s="310"/>
    </row>
    <row r="97" spans="1:20" ht="12.75" customHeight="1" thickBot="1" x14ac:dyDescent="0.35">
      <c r="A97" s="33"/>
      <c r="D97" s="758"/>
      <c r="E97" s="758"/>
      <c r="F97" s="758"/>
      <c r="G97" s="453" t="s">
        <v>536</v>
      </c>
      <c r="H97" s="453"/>
      <c r="I97" s="463"/>
      <c r="J97" s="1660">
        <v>0</v>
      </c>
      <c r="K97" s="1660">
        <v>0</v>
      </c>
      <c r="L97" s="1660">
        <f t="shared" ref="L97:M97" si="28">SUM(L96)</f>
        <v>0</v>
      </c>
      <c r="M97" s="1660">
        <f t="shared" si="28"/>
        <v>0</v>
      </c>
      <c r="N97" s="1660">
        <f t="shared" ref="N97:O97" si="29">SUM(N96)</f>
        <v>0</v>
      </c>
      <c r="O97" s="1660">
        <f t="shared" si="29"/>
        <v>0</v>
      </c>
      <c r="Q97" s="114"/>
      <c r="T97" s="310"/>
    </row>
    <row r="98" spans="1:20" ht="12.75" customHeight="1" thickTop="1" x14ac:dyDescent="0.3">
      <c r="A98" s="33"/>
      <c r="D98" s="758"/>
      <c r="E98" s="758"/>
      <c r="F98" s="758"/>
      <c r="G98" s="453"/>
      <c r="H98" s="453"/>
      <c r="I98" s="463"/>
      <c r="J98" s="1161"/>
      <c r="K98" s="1161"/>
      <c r="L98" s="1161"/>
      <c r="M98" s="1161"/>
      <c r="N98" s="1161"/>
      <c r="O98" s="1161"/>
      <c r="Q98" s="114"/>
      <c r="T98" s="310"/>
    </row>
    <row r="99" spans="1:20" ht="12.75" customHeight="1" x14ac:dyDescent="0.3">
      <c r="A99" s="33"/>
      <c r="D99" s="758"/>
      <c r="E99" s="758"/>
      <c r="F99" s="758"/>
      <c r="G99" s="453"/>
      <c r="H99" s="453"/>
      <c r="I99" s="463"/>
      <c r="J99" s="1161"/>
      <c r="K99" s="1161"/>
      <c r="L99" s="1161"/>
      <c r="M99" s="1161"/>
      <c r="N99" s="1161"/>
      <c r="O99" s="1161"/>
      <c r="Q99" s="114"/>
      <c r="T99" s="310"/>
    </row>
    <row r="100" spans="1:20" ht="12.75" customHeight="1" x14ac:dyDescent="0.3">
      <c r="A100" s="33"/>
      <c r="D100" s="1125">
        <v>611001</v>
      </c>
      <c r="E100" s="1126"/>
      <c r="F100" s="1126"/>
      <c r="G100" s="747" t="s">
        <v>2171</v>
      </c>
      <c r="H100" s="453"/>
      <c r="I100" s="518"/>
      <c r="J100" s="1659"/>
      <c r="K100" s="1659"/>
      <c r="L100" s="1659"/>
      <c r="M100" s="1659"/>
      <c r="N100" s="1659"/>
      <c r="O100" s="1659"/>
      <c r="Q100" s="114"/>
      <c r="T100" s="310"/>
    </row>
    <row r="101" spans="1:20" ht="12.75" customHeight="1" x14ac:dyDescent="0.3">
      <c r="A101" s="33"/>
      <c r="D101" s="1125"/>
      <c r="E101" s="1126"/>
      <c r="F101" s="1126"/>
      <c r="G101" s="527" t="s">
        <v>554</v>
      </c>
      <c r="H101" s="453"/>
      <c r="I101" s="518"/>
      <c r="J101" s="1659"/>
      <c r="K101" s="1659"/>
      <c r="L101" s="1659"/>
      <c r="M101" s="1659"/>
      <c r="N101" s="1659"/>
      <c r="O101" s="1659"/>
      <c r="Q101" s="114"/>
      <c r="T101" s="310"/>
    </row>
    <row r="102" spans="1:20" ht="12.75" customHeight="1" x14ac:dyDescent="0.3">
      <c r="A102" s="34">
        <f>+D100</f>
        <v>611001</v>
      </c>
      <c r="B102" s="115" t="str">
        <f>G100</f>
        <v>Incidentele opbrengst grondverkoop</v>
      </c>
      <c r="D102" s="763">
        <v>83800</v>
      </c>
      <c r="E102" s="763"/>
      <c r="F102" s="763"/>
      <c r="G102" s="761" t="s">
        <v>535</v>
      </c>
      <c r="H102" s="453"/>
      <c r="I102" s="463"/>
      <c r="J102" s="1160">
        <v>0</v>
      </c>
      <c r="K102" s="1160">
        <v>0</v>
      </c>
      <c r="L102" s="1160">
        <v>0</v>
      </c>
      <c r="M102" s="1160">
        <v>0</v>
      </c>
      <c r="N102" s="1160">
        <v>0</v>
      </c>
      <c r="O102" s="1160">
        <v>0</v>
      </c>
      <c r="Q102" s="114"/>
      <c r="T102" s="310"/>
    </row>
    <row r="103" spans="1:20" ht="12.75" customHeight="1" thickBot="1" x14ac:dyDescent="0.35">
      <c r="A103" s="33"/>
      <c r="D103" s="758"/>
      <c r="E103" s="758"/>
      <c r="F103" s="758"/>
      <c r="G103" s="453" t="s">
        <v>536</v>
      </c>
      <c r="H103" s="453"/>
      <c r="I103" s="463"/>
      <c r="J103" s="1660">
        <v>0</v>
      </c>
      <c r="K103" s="1660">
        <v>0</v>
      </c>
      <c r="L103" s="1660">
        <f t="shared" ref="L103:M103" si="30">SUM(L102:L102)</f>
        <v>0</v>
      </c>
      <c r="M103" s="1660">
        <f t="shared" si="30"/>
        <v>0</v>
      </c>
      <c r="N103" s="1660">
        <f t="shared" ref="N103:O103" si="31">SUM(N102:N102)</f>
        <v>0</v>
      </c>
      <c r="O103" s="1660">
        <f t="shared" si="31"/>
        <v>0</v>
      </c>
      <c r="Q103" s="114"/>
      <c r="T103" s="310"/>
    </row>
    <row r="104" spans="1:20" ht="12.75" customHeight="1" thickTop="1" x14ac:dyDescent="0.3">
      <c r="A104" s="33"/>
      <c r="D104" s="758"/>
      <c r="E104" s="758"/>
      <c r="F104" s="758"/>
      <c r="G104" s="453"/>
      <c r="H104" s="453"/>
      <c r="I104" s="463"/>
      <c r="J104" s="1161"/>
      <c r="K104" s="1161"/>
      <c r="L104" s="1161"/>
      <c r="M104" s="1161"/>
      <c r="N104" s="1161"/>
      <c r="O104" s="1161"/>
      <c r="Q104" s="114"/>
      <c r="T104" s="310"/>
    </row>
    <row r="105" spans="1:20" ht="12.75" customHeight="1" x14ac:dyDescent="0.3">
      <c r="A105" s="33"/>
      <c r="D105" s="1125">
        <v>611011</v>
      </c>
      <c r="E105" s="1126"/>
      <c r="F105" s="1126"/>
      <c r="G105" s="747" t="s">
        <v>2172</v>
      </c>
      <c r="H105" s="453"/>
      <c r="I105" s="463"/>
      <c r="J105" s="1161"/>
      <c r="K105" s="1161"/>
      <c r="L105" s="1161"/>
      <c r="M105" s="1161"/>
      <c r="N105" s="1161"/>
      <c r="O105" s="1161"/>
      <c r="Q105" s="114"/>
      <c r="T105" s="310"/>
    </row>
    <row r="106" spans="1:20" ht="12.75" customHeight="1" x14ac:dyDescent="0.3">
      <c r="A106" s="33"/>
      <c r="D106" s="758"/>
      <c r="E106" s="758"/>
      <c r="F106" s="758"/>
      <c r="G106" s="527" t="s">
        <v>554</v>
      </c>
      <c r="H106" s="453"/>
      <c r="I106" s="463"/>
      <c r="J106" s="1161"/>
      <c r="K106" s="1161"/>
      <c r="L106" s="1161"/>
      <c r="M106" s="1161"/>
      <c r="N106" s="1161"/>
      <c r="O106" s="1161"/>
      <c r="Q106" s="114"/>
      <c r="T106" s="310"/>
    </row>
    <row r="107" spans="1:20" ht="12.75" customHeight="1" x14ac:dyDescent="0.3">
      <c r="A107" s="34">
        <f>+D105</f>
        <v>611011</v>
      </c>
      <c r="B107" s="115" t="str">
        <f>G105</f>
        <v>Verleende garanties</v>
      </c>
      <c r="D107" s="763">
        <v>84380</v>
      </c>
      <c r="E107" s="763"/>
      <c r="F107" s="763"/>
      <c r="G107" s="453" t="s">
        <v>2173</v>
      </c>
      <c r="H107" s="453"/>
      <c r="I107" s="463"/>
      <c r="J107" s="1661">
        <v>-680</v>
      </c>
      <c r="K107" s="1661">
        <v>-680</v>
      </c>
      <c r="L107" s="1661">
        <v>-680</v>
      </c>
      <c r="M107" s="1661">
        <v>-680</v>
      </c>
      <c r="N107" s="1661">
        <v>-680</v>
      </c>
      <c r="O107" s="1661">
        <v>-680</v>
      </c>
      <c r="Q107" s="114"/>
      <c r="T107" s="310"/>
    </row>
    <row r="108" spans="1:20" ht="12.75" customHeight="1" thickBot="1" x14ac:dyDescent="0.35">
      <c r="A108" s="33"/>
      <c r="D108" s="758"/>
      <c r="E108" s="758"/>
      <c r="F108" s="758"/>
      <c r="G108" s="453" t="s">
        <v>536</v>
      </c>
      <c r="H108" s="453"/>
      <c r="I108" s="463"/>
      <c r="J108" s="1660">
        <v>-680</v>
      </c>
      <c r="K108" s="1660">
        <v>-680</v>
      </c>
      <c r="L108" s="1660">
        <f t="shared" ref="L108:M108" si="32">SUM(L107)</f>
        <v>-680</v>
      </c>
      <c r="M108" s="1660">
        <f t="shared" si="32"/>
        <v>-680</v>
      </c>
      <c r="N108" s="1660">
        <f t="shared" ref="N108:O108" si="33">SUM(N107)</f>
        <v>-680</v>
      </c>
      <c r="O108" s="1660">
        <f t="shared" si="33"/>
        <v>-680</v>
      </c>
      <c r="Q108" s="114"/>
      <c r="T108" s="310"/>
    </row>
    <row r="109" spans="1:20" ht="12.75" customHeight="1" thickTop="1" x14ac:dyDescent="0.3">
      <c r="A109" s="33"/>
      <c r="D109" s="340"/>
      <c r="E109" s="340"/>
      <c r="F109" s="340"/>
      <c r="G109" s="319"/>
      <c r="I109" s="318"/>
      <c r="J109" s="317"/>
      <c r="K109" s="317"/>
      <c r="L109" s="317"/>
      <c r="M109" s="317"/>
      <c r="N109" s="317"/>
      <c r="O109" s="317"/>
      <c r="Q109" s="114"/>
      <c r="T109" s="310"/>
    </row>
    <row r="110" spans="1:20" ht="12.75" customHeight="1" x14ac:dyDescent="0.25">
      <c r="A110" s="301"/>
      <c r="D110" s="333">
        <v>624002</v>
      </c>
      <c r="E110" s="331"/>
      <c r="F110" s="331"/>
      <c r="G110" s="332" t="s">
        <v>2174</v>
      </c>
      <c r="I110" s="318"/>
      <c r="J110" s="317"/>
      <c r="K110" s="317"/>
      <c r="L110" s="317"/>
      <c r="M110" s="317"/>
      <c r="N110" s="317"/>
      <c r="O110" s="317"/>
    </row>
    <row r="111" spans="1:20" ht="12.75" customHeight="1" x14ac:dyDescent="0.25">
      <c r="A111" s="301"/>
      <c r="D111" s="340"/>
      <c r="E111" s="340"/>
      <c r="F111" s="340"/>
      <c r="G111" s="334" t="s">
        <v>554</v>
      </c>
      <c r="I111" s="318"/>
      <c r="J111" s="317"/>
      <c r="K111" s="317"/>
      <c r="L111" s="317"/>
      <c r="M111" s="317"/>
      <c r="N111" s="317"/>
      <c r="O111" s="317"/>
    </row>
    <row r="112" spans="1:20" ht="12.75" customHeight="1" x14ac:dyDescent="0.25">
      <c r="A112" s="336">
        <f>+D110</f>
        <v>624002</v>
      </c>
      <c r="B112" s="115" t="str">
        <f>+G110</f>
        <v>Inkomsten terzake van commerciële buitenreclame</v>
      </c>
      <c r="D112" s="337">
        <v>84380</v>
      </c>
      <c r="E112" s="337"/>
      <c r="F112" s="337"/>
      <c r="G112" s="319" t="s">
        <v>2175</v>
      </c>
      <c r="I112" s="318"/>
      <c r="J112" s="317">
        <v>-46594</v>
      </c>
      <c r="K112" s="317">
        <v>-47805</v>
      </c>
      <c r="L112" s="317">
        <f>+'T08'!L203</f>
        <v>-48809</v>
      </c>
      <c r="M112" s="317">
        <f>+'T08'!M203</f>
        <v>-49931</v>
      </c>
      <c r="N112" s="317">
        <f>+'T08'!N203</f>
        <v>-51080</v>
      </c>
      <c r="O112" s="317">
        <f>+'T08'!O203</f>
        <v>-52255</v>
      </c>
    </row>
    <row r="113" spans="1:20" ht="12.75" customHeight="1" thickBot="1" x14ac:dyDescent="0.3">
      <c r="A113" s="301"/>
      <c r="D113" s="340"/>
      <c r="E113" s="340"/>
      <c r="F113" s="340"/>
      <c r="G113" s="319" t="s">
        <v>536</v>
      </c>
      <c r="I113" s="318"/>
      <c r="J113" s="342">
        <v>-46594</v>
      </c>
      <c r="K113" s="342">
        <v>-47805</v>
      </c>
      <c r="L113" s="342">
        <f>SUM(L111:L112)</f>
        <v>-48809</v>
      </c>
      <c r="M113" s="342">
        <f>SUM(M111:M112)</f>
        <v>-49931</v>
      </c>
      <c r="N113" s="342">
        <f>SUM(N111:N112)</f>
        <v>-51080</v>
      </c>
      <c r="O113" s="342">
        <f>SUM(O111:O112)</f>
        <v>-52255</v>
      </c>
    </row>
    <row r="114" spans="1:20" ht="12.75" customHeight="1" thickTop="1" x14ac:dyDescent="0.3">
      <c r="A114" s="33"/>
      <c r="D114" s="1312"/>
      <c r="E114" s="1312"/>
      <c r="F114" s="1714"/>
      <c r="G114" s="1313"/>
      <c r="H114" s="1298"/>
      <c r="I114" s="1314"/>
      <c r="J114" s="1662"/>
      <c r="K114" s="1662"/>
      <c r="L114" s="1662"/>
      <c r="M114" s="1662"/>
      <c r="N114" s="1662"/>
      <c r="O114" s="1662"/>
      <c r="Q114" s="114"/>
      <c r="T114" s="310"/>
    </row>
    <row r="115" spans="1:20" ht="12.75" customHeight="1" x14ac:dyDescent="0.25">
      <c r="A115" s="115"/>
      <c r="D115" s="1125">
        <v>611901</v>
      </c>
      <c r="E115" s="1126"/>
      <c r="F115" s="115"/>
      <c r="G115" s="756" t="s">
        <v>2163</v>
      </c>
      <c r="H115" s="453"/>
      <c r="I115" s="518"/>
      <c r="J115" s="1659"/>
      <c r="K115" s="1659"/>
      <c r="L115" s="1659"/>
      <c r="M115" s="1659"/>
      <c r="N115" s="1659"/>
      <c r="O115" s="1659"/>
      <c r="Q115" s="114"/>
      <c r="T115" s="310"/>
    </row>
    <row r="116" spans="1:20" ht="12.75" customHeight="1" x14ac:dyDescent="0.3">
      <c r="A116" s="33"/>
      <c r="D116" s="1125"/>
      <c r="E116" s="1126"/>
      <c r="F116" s="1715"/>
      <c r="G116" s="759" t="s">
        <v>533</v>
      </c>
      <c r="H116" s="453"/>
      <c r="I116" s="518"/>
      <c r="J116" s="1659"/>
      <c r="K116" s="1659"/>
      <c r="L116" s="1659"/>
      <c r="M116" s="1659"/>
      <c r="N116" s="1659"/>
      <c r="O116" s="1659"/>
      <c r="Q116" s="114"/>
      <c r="T116" s="310"/>
    </row>
    <row r="117" spans="1:20" ht="12.75" customHeight="1" x14ac:dyDescent="0.3">
      <c r="A117" s="34">
        <f>+D115</f>
        <v>611901</v>
      </c>
      <c r="B117" s="115" t="str">
        <f>+G115</f>
        <v>Directe toerekening overige baten en lasten</v>
      </c>
      <c r="D117" s="763">
        <v>41100</v>
      </c>
      <c r="E117" s="763"/>
      <c r="F117" s="763"/>
      <c r="G117" s="453" t="s">
        <v>541</v>
      </c>
      <c r="H117" s="453"/>
      <c r="I117" s="463"/>
      <c r="J117" s="1160">
        <v>0</v>
      </c>
      <c r="K117" s="1160">
        <v>0</v>
      </c>
      <c r="L117" s="1160">
        <v>0</v>
      </c>
      <c r="M117" s="1160">
        <v>0</v>
      </c>
      <c r="N117" s="1160">
        <v>0</v>
      </c>
      <c r="O117" s="1160">
        <v>0</v>
      </c>
      <c r="Q117" s="114"/>
      <c r="T117" s="310"/>
    </row>
    <row r="118" spans="1:20" ht="12.75" customHeight="1" x14ac:dyDescent="0.3">
      <c r="A118" s="33"/>
      <c r="D118" s="766"/>
      <c r="E118" s="766"/>
      <c r="F118" s="766"/>
      <c r="G118" s="467" t="s">
        <v>536</v>
      </c>
      <c r="H118" s="467"/>
      <c r="I118" s="768"/>
      <c r="J118" s="1856">
        <v>0</v>
      </c>
      <c r="K118" s="1856">
        <v>0</v>
      </c>
      <c r="L118" s="1856">
        <f t="shared" ref="L118:M118" si="34">SUM(L117)</f>
        <v>0</v>
      </c>
      <c r="M118" s="1856">
        <f t="shared" si="34"/>
        <v>0</v>
      </c>
      <c r="N118" s="1856">
        <f t="shared" ref="N118:O118" si="35">SUM(N117)</f>
        <v>0</v>
      </c>
      <c r="O118" s="1856">
        <f t="shared" si="35"/>
        <v>0</v>
      </c>
      <c r="Q118" s="114"/>
      <c r="T118" s="310"/>
    </row>
    <row r="119" spans="1:20" ht="12.75" customHeight="1" x14ac:dyDescent="0.3">
      <c r="A119" s="33"/>
      <c r="Q119" s="114"/>
      <c r="T119" s="310"/>
    </row>
    <row r="120" spans="1:20" ht="12.75" customHeight="1" x14ac:dyDescent="0.3">
      <c r="A120" s="33"/>
      <c r="Q120" s="114"/>
      <c r="T120" s="310"/>
    </row>
    <row r="121" spans="1:20" ht="12.75" customHeight="1" x14ac:dyDescent="0.25">
      <c r="D121" s="384"/>
      <c r="E121" s="381" t="s">
        <v>561</v>
      </c>
      <c r="F121" s="115"/>
    </row>
    <row r="122" spans="1:20" ht="12.75" customHeight="1" x14ac:dyDescent="0.25">
      <c r="D122" s="384"/>
      <c r="E122" s="115"/>
      <c r="F122" s="115"/>
    </row>
    <row r="123" spans="1:20" ht="12.75" customHeight="1" x14ac:dyDescent="0.25">
      <c r="D123" s="771">
        <v>611002</v>
      </c>
      <c r="E123" s="747" t="s">
        <v>2166</v>
      </c>
      <c r="F123" s="453"/>
      <c r="G123" s="453"/>
      <c r="H123" s="453"/>
      <c r="I123" s="453"/>
    </row>
    <row r="124" spans="1:20" ht="12.75" customHeight="1" x14ac:dyDescent="0.25">
      <c r="D124" s="771"/>
      <c r="E124" s="527" t="s">
        <v>533</v>
      </c>
      <c r="F124" s="453"/>
      <c r="G124" s="453"/>
      <c r="H124" s="453"/>
      <c r="I124" s="453"/>
    </row>
    <row r="125" spans="1:20" ht="12.75" customHeight="1" x14ac:dyDescent="0.25">
      <c r="D125" s="115"/>
      <c r="E125" s="1315" t="s">
        <v>2176</v>
      </c>
      <c r="F125" s="405"/>
      <c r="G125" s="405"/>
      <c r="H125" s="405"/>
      <c r="I125" s="405"/>
    </row>
    <row r="126" spans="1:20" ht="12.75" customHeight="1" x14ac:dyDescent="0.25">
      <c r="D126" s="1316"/>
      <c r="E126" s="401" t="s">
        <v>2177</v>
      </c>
      <c r="F126" s="405"/>
      <c r="G126" s="405"/>
      <c r="H126" s="405"/>
      <c r="I126" s="405"/>
    </row>
    <row r="127" spans="1:20" ht="12.75" customHeight="1" x14ac:dyDescent="0.25">
      <c r="D127" s="1316"/>
      <c r="E127" s="401"/>
      <c r="F127" s="405"/>
      <c r="G127" s="405"/>
      <c r="H127" s="405"/>
      <c r="I127" s="405"/>
    </row>
    <row r="128" spans="1:20" ht="12.75" customHeight="1" x14ac:dyDescent="0.25">
      <c r="D128" s="469"/>
      <c r="E128" s="453"/>
      <c r="F128" s="453"/>
      <c r="G128" s="469"/>
      <c r="H128" s="469"/>
      <c r="I128" s="469"/>
      <c r="J128" s="1317">
        <v>2025</v>
      </c>
      <c r="K128" s="1317">
        <v>2026</v>
      </c>
      <c r="L128" s="1317">
        <v>2027</v>
      </c>
      <c r="M128" s="1317">
        <v>2028</v>
      </c>
      <c r="N128" s="1317">
        <v>2029</v>
      </c>
      <c r="O128" s="1317">
        <v>2030</v>
      </c>
    </row>
    <row r="129" spans="4:21" ht="12.75" customHeight="1" x14ac:dyDescent="0.25">
      <c r="D129" s="469"/>
      <c r="E129" s="453"/>
      <c r="F129" s="453"/>
      <c r="G129" s="469"/>
      <c r="H129" s="469"/>
      <c r="I129" s="469"/>
      <c r="J129" s="782"/>
      <c r="K129" s="782"/>
      <c r="L129" s="782"/>
      <c r="M129" s="782"/>
      <c r="N129" s="782"/>
      <c r="O129" s="782"/>
    </row>
    <row r="130" spans="4:21" ht="12.75" customHeight="1" x14ac:dyDescent="0.25">
      <c r="D130" s="400">
        <v>442505</v>
      </c>
      <c r="E130" s="469" t="s">
        <v>2178</v>
      </c>
      <c r="F130" s="453"/>
      <c r="G130" s="469"/>
      <c r="H130" s="469"/>
      <c r="I130" s="469"/>
      <c r="J130" s="394">
        <v>50000</v>
      </c>
      <c r="K130" s="394">
        <v>50000</v>
      </c>
      <c r="L130" s="394">
        <f>ROUND(+K130*T2,0)</f>
        <v>51050</v>
      </c>
      <c r="M130" s="394">
        <f>ROUND(+L130*U2,0)</f>
        <v>52224</v>
      </c>
      <c r="N130" s="394">
        <f>ROUND(+M130*V2,0)</f>
        <v>53425</v>
      </c>
      <c r="O130" s="394">
        <f>ROUND(+N130*W2,0)</f>
        <v>54654</v>
      </c>
    </row>
    <row r="131" spans="4:21" ht="12.75" customHeight="1" x14ac:dyDescent="0.25">
      <c r="D131" s="400"/>
      <c r="E131" s="469" t="s">
        <v>2179</v>
      </c>
      <c r="F131" s="453"/>
      <c r="G131" s="469"/>
      <c r="H131" s="469"/>
      <c r="I131" s="469"/>
      <c r="J131" s="394">
        <v>0</v>
      </c>
      <c r="K131" s="394">
        <v>0</v>
      </c>
      <c r="L131" s="394">
        <f>ROUND(+K131*T2,0)</f>
        <v>0</v>
      </c>
      <c r="M131" s="394">
        <f>ROUND(+L131*U2,0)</f>
        <v>0</v>
      </c>
      <c r="N131" s="394">
        <f>ROUND(+M131*V2,0)</f>
        <v>0</v>
      </c>
      <c r="O131" s="394">
        <f>ROUND(+N131*W2,0)</f>
        <v>0</v>
      </c>
    </row>
    <row r="132" spans="4:21" ht="12.75" customHeight="1" thickBot="1" x14ac:dyDescent="0.3">
      <c r="D132" s="115"/>
      <c r="E132" s="438" t="s">
        <v>2180</v>
      </c>
      <c r="F132" s="453"/>
      <c r="G132" s="469"/>
      <c r="H132" s="469"/>
      <c r="I132" s="469"/>
      <c r="J132" s="1867">
        <v>50000</v>
      </c>
      <c r="K132" s="1867">
        <v>50000</v>
      </c>
      <c r="L132" s="1867">
        <f t="shared" ref="L132:M132" si="36">SUM(L130:L131)</f>
        <v>51050</v>
      </c>
      <c r="M132" s="1867">
        <f t="shared" si="36"/>
        <v>52224</v>
      </c>
      <c r="N132" s="1867">
        <f t="shared" ref="N132:O132" si="37">SUM(N130:N131)</f>
        <v>53425</v>
      </c>
      <c r="O132" s="1867">
        <f t="shared" si="37"/>
        <v>54654</v>
      </c>
      <c r="P132" s="114"/>
      <c r="Q132" s="114"/>
      <c r="R132" s="114"/>
      <c r="S132" s="114"/>
    </row>
    <row r="133" spans="4:21" ht="12.75" customHeight="1" thickTop="1" x14ac:dyDescent="0.25">
      <c r="E133" s="515"/>
      <c r="F133" s="115"/>
      <c r="G133" s="114"/>
      <c r="H133" s="397"/>
      <c r="I133" s="397"/>
      <c r="J133" s="114"/>
      <c r="K133" s="114"/>
      <c r="L133" s="114"/>
      <c r="M133" s="114"/>
      <c r="N133" s="114"/>
      <c r="O133" s="114"/>
      <c r="P133" s="114"/>
      <c r="Q133" s="114"/>
    </row>
    <row r="134" spans="4:21" ht="12.75" customHeight="1" x14ac:dyDescent="0.25">
      <c r="D134" s="516"/>
      <c r="E134" s="778"/>
      <c r="F134" s="778"/>
      <c r="G134" s="778"/>
      <c r="H134" s="778"/>
      <c r="I134" s="397"/>
      <c r="J134" s="114"/>
      <c r="K134" s="114"/>
      <c r="L134" s="114"/>
      <c r="M134" s="114"/>
      <c r="N134" s="114"/>
      <c r="O134" s="114"/>
      <c r="P134" s="114"/>
      <c r="Q134" s="114"/>
    </row>
    <row r="135" spans="4:21" ht="12.75" customHeight="1" x14ac:dyDescent="0.25">
      <c r="D135" s="771">
        <v>611004</v>
      </c>
      <c r="E135" s="1050" t="s">
        <v>398</v>
      </c>
      <c r="F135" s="778"/>
      <c r="G135" s="453"/>
      <c r="H135" s="453"/>
      <c r="I135" s="397"/>
      <c r="J135" s="114"/>
      <c r="K135" s="114"/>
      <c r="L135" s="114"/>
      <c r="M135" s="114"/>
      <c r="N135" s="114"/>
      <c r="O135" s="114"/>
    </row>
    <row r="136" spans="4:21" ht="12.75" customHeight="1" x14ac:dyDescent="0.25">
      <c r="D136" s="771"/>
      <c r="E136" s="527" t="s">
        <v>533</v>
      </c>
      <c r="F136" s="778"/>
      <c r="G136" s="453"/>
      <c r="H136" s="453"/>
      <c r="I136" s="397"/>
      <c r="J136" s="114"/>
      <c r="K136" s="114"/>
      <c r="L136" s="114"/>
      <c r="M136" s="114"/>
      <c r="N136" s="114"/>
      <c r="O136" s="114"/>
    </row>
    <row r="137" spans="4:21" ht="12.75" customHeight="1" x14ac:dyDescent="0.25">
      <c r="D137" s="516">
        <v>43812</v>
      </c>
      <c r="E137" s="1049" t="s">
        <v>2181</v>
      </c>
      <c r="F137" s="778"/>
      <c r="G137" s="778"/>
      <c r="H137" s="778"/>
      <c r="I137" s="397"/>
      <c r="J137" s="114">
        <v>1121420</v>
      </c>
      <c r="K137" s="114">
        <v>-491647</v>
      </c>
      <c r="L137" s="114">
        <v>-57421</v>
      </c>
      <c r="M137" s="114">
        <v>-217718</v>
      </c>
      <c r="N137" s="114">
        <v>-217718</v>
      </c>
      <c r="O137" s="114">
        <v>-217718</v>
      </c>
      <c r="R137" s="114">
        <v>471825</v>
      </c>
    </row>
    <row r="138" spans="4:21" ht="12.75" customHeight="1" x14ac:dyDescent="0.25">
      <c r="D138" s="453"/>
      <c r="E138" s="1049" t="s">
        <v>2182</v>
      </c>
      <c r="F138" s="453"/>
      <c r="G138" s="453"/>
      <c r="H138" s="453"/>
      <c r="I138" s="114"/>
      <c r="J138" s="114">
        <v>-596400</v>
      </c>
      <c r="K138" s="114">
        <v>-92700</v>
      </c>
      <c r="L138" s="114">
        <v>-96600</v>
      </c>
      <c r="M138" s="114">
        <v>-100700</v>
      </c>
      <c r="N138" s="114">
        <v>-100700</v>
      </c>
      <c r="O138" s="114">
        <v>-100700</v>
      </c>
      <c r="R138" s="115">
        <v>19822</v>
      </c>
    </row>
    <row r="139" spans="4:21" ht="12.75" customHeight="1" x14ac:dyDescent="0.25">
      <c r="D139" s="453"/>
      <c r="E139" s="1049" t="s">
        <v>2182</v>
      </c>
      <c r="F139" s="453"/>
      <c r="G139" s="453"/>
      <c r="H139" s="453"/>
      <c r="I139" s="114"/>
      <c r="J139" s="114">
        <v>192619</v>
      </c>
      <c r="K139" s="114">
        <v>253839</v>
      </c>
      <c r="L139" s="114">
        <v>280110</v>
      </c>
      <c r="M139" s="114">
        <v>230762</v>
      </c>
      <c r="N139" s="114">
        <v>230762</v>
      </c>
      <c r="O139" s="114">
        <v>230762</v>
      </c>
      <c r="R139" s="114">
        <f>+R137+R138</f>
        <v>491647</v>
      </c>
    </row>
    <row r="140" spans="4:21" ht="12.75" customHeight="1" x14ac:dyDescent="0.25">
      <c r="D140" s="453"/>
      <c r="E140" s="1049" t="s">
        <v>2183</v>
      </c>
      <c r="F140" s="453"/>
      <c r="G140" s="453"/>
      <c r="H140" s="453"/>
      <c r="I140" s="114"/>
      <c r="J140" s="114">
        <v>-10555</v>
      </c>
      <c r="K140" s="114">
        <v>145590</v>
      </c>
      <c r="L140" s="114">
        <v>187811</v>
      </c>
      <c r="M140" s="114">
        <v>232478</v>
      </c>
      <c r="N140" s="114">
        <v>232478</v>
      </c>
      <c r="O140" s="114">
        <v>232478</v>
      </c>
    </row>
    <row r="141" spans="4:21" ht="12.75" customHeight="1" x14ac:dyDescent="0.25">
      <c r="D141" s="453"/>
      <c r="E141" s="1049"/>
      <c r="F141" s="453"/>
      <c r="G141" s="453"/>
      <c r="H141" s="453"/>
      <c r="I141" s="114"/>
      <c r="J141" s="114"/>
      <c r="K141" s="114"/>
      <c r="L141" s="114"/>
      <c r="M141" s="114"/>
      <c r="N141" s="114"/>
      <c r="O141" s="114"/>
    </row>
    <row r="142" spans="4:21" ht="12.75" customHeight="1" x14ac:dyDescent="0.25">
      <c r="D142" s="453"/>
      <c r="E142" s="1049" t="s">
        <v>2184</v>
      </c>
      <c r="F142" s="453"/>
      <c r="G142" s="453"/>
      <c r="H142" s="453"/>
      <c r="I142" s="114"/>
      <c r="J142" s="1663">
        <v>6266</v>
      </c>
      <c r="K142" s="1663">
        <v>6491</v>
      </c>
      <c r="L142" s="1663">
        <v>6720</v>
      </c>
      <c r="M142" s="1663">
        <v>6955</v>
      </c>
      <c r="N142" s="1663">
        <v>6956</v>
      </c>
      <c r="O142" s="2104">
        <v>0</v>
      </c>
    </row>
    <row r="143" spans="4:21" ht="12.75" customHeight="1" x14ac:dyDescent="0.25">
      <c r="D143" s="453"/>
      <c r="E143" s="778"/>
      <c r="F143" s="453"/>
      <c r="G143" s="453"/>
      <c r="H143" s="453"/>
      <c r="I143" s="114"/>
      <c r="J143" s="1664"/>
      <c r="K143" s="1664">
        <v>-801819.59748575091</v>
      </c>
      <c r="L143" s="1664">
        <v>-1267019.0361629426</v>
      </c>
      <c r="M143" s="1664">
        <v>-4002969.2080393732</v>
      </c>
      <c r="N143" s="1664">
        <v>-4155402.3531794399</v>
      </c>
      <c r="O143" s="2105">
        <v>0</v>
      </c>
      <c r="R143" s="114">
        <v>43660</v>
      </c>
      <c r="S143" s="114">
        <v>43660</v>
      </c>
      <c r="T143" s="114">
        <v>43660</v>
      </c>
      <c r="U143" s="114">
        <v>43660</v>
      </c>
    </row>
    <row r="144" spans="4:21" ht="12.75" customHeight="1" x14ac:dyDescent="0.25">
      <c r="D144" s="453"/>
      <c r="E144" s="1049"/>
      <c r="F144" s="453"/>
      <c r="G144" s="453"/>
      <c r="H144" s="453"/>
      <c r="I144" s="114"/>
      <c r="J144" s="1663"/>
      <c r="K144" s="1663">
        <v>1344735.9484629314</v>
      </c>
      <c r="L144" s="1663">
        <v>1290980.9067804031</v>
      </c>
      <c r="M144" s="1663">
        <v>-21990.457762943599</v>
      </c>
      <c r="N144" s="1663">
        <v>-228562.86360924179</v>
      </c>
      <c r="O144" s="2104">
        <v>0</v>
      </c>
    </row>
    <row r="145" spans="4:21" ht="12.75" customHeight="1" thickBot="1" x14ac:dyDescent="0.3">
      <c r="D145" s="453"/>
      <c r="E145" s="1049" t="s">
        <v>619</v>
      </c>
      <c r="F145" s="453"/>
      <c r="G145" s="453"/>
      <c r="H145" s="453"/>
      <c r="I145" s="114"/>
      <c r="J145" s="1744">
        <v>713350</v>
      </c>
      <c r="K145" s="1744">
        <v>364489.35097718053</v>
      </c>
      <c r="L145" s="1744">
        <f t="shared" ref="L145:N145" si="38">SUM(L137:L144)</f>
        <v>344581.87061746046</v>
      </c>
      <c r="M145" s="1744">
        <f t="shared" si="38"/>
        <v>-3873182.6658023167</v>
      </c>
      <c r="N145" s="1744">
        <f t="shared" si="38"/>
        <v>-4232187.2167886812</v>
      </c>
      <c r="O145" s="1744">
        <f t="shared" ref="O145" si="39">SUM(O137:O144)</f>
        <v>144822</v>
      </c>
    </row>
    <row r="146" spans="4:21" ht="12.75" customHeight="1" thickTop="1" x14ac:dyDescent="0.25">
      <c r="D146" s="453"/>
      <c r="E146" s="778"/>
      <c r="F146" s="453"/>
      <c r="G146" s="453"/>
      <c r="H146" s="453"/>
      <c r="I146" s="114"/>
      <c r="R146" s="115">
        <v>767.59748575091362</v>
      </c>
      <c r="S146" s="115">
        <v>9116.0361629426479</v>
      </c>
      <c r="T146" s="115">
        <v>34139.208039373159</v>
      </c>
      <c r="U146" s="115">
        <v>64151.353179439902</v>
      </c>
    </row>
    <row r="147" spans="4:21" ht="12.75" customHeight="1" x14ac:dyDescent="0.25">
      <c r="D147" s="1318">
        <v>611005</v>
      </c>
      <c r="E147" s="381" t="s">
        <v>2165</v>
      </c>
      <c r="F147" s="453"/>
      <c r="G147" s="453"/>
      <c r="H147" s="453"/>
      <c r="I147" s="114"/>
    </row>
    <row r="148" spans="4:21" ht="12.75" customHeight="1" x14ac:dyDescent="0.25">
      <c r="D148" s="453">
        <v>43812</v>
      </c>
      <c r="E148" s="778" t="s">
        <v>2185</v>
      </c>
      <c r="F148" s="453"/>
      <c r="G148" s="453"/>
      <c r="H148" s="453"/>
      <c r="I148" s="114"/>
      <c r="J148" s="1664">
        <v>50000</v>
      </c>
      <c r="K148" s="1664">
        <v>50000</v>
      </c>
      <c r="L148" s="1664">
        <v>50000</v>
      </c>
      <c r="M148" s="1664">
        <v>50000</v>
      </c>
      <c r="N148" s="1664">
        <v>50000</v>
      </c>
      <c r="O148" s="1664">
        <v>50000</v>
      </c>
      <c r="R148" s="114">
        <f>+K143-R146</f>
        <v>-802587.19497150183</v>
      </c>
      <c r="S148" s="114">
        <f>+L143-S146</f>
        <v>-1276135.0723258853</v>
      </c>
      <c r="T148" s="114">
        <f>+M143-T146</f>
        <v>-4037108.4160787463</v>
      </c>
      <c r="U148" s="114">
        <f>+N143-U146</f>
        <v>-4219553.7063588798</v>
      </c>
    </row>
    <row r="149" spans="4:21" ht="12.75" customHeight="1" x14ac:dyDescent="0.25">
      <c r="D149" s="453"/>
      <c r="E149" s="778" t="s">
        <v>2186</v>
      </c>
      <c r="F149" s="453"/>
      <c r="G149" s="453"/>
      <c r="H149" s="453"/>
      <c r="I149" s="114"/>
      <c r="J149" s="1664">
        <v>105000</v>
      </c>
      <c r="K149" s="1664">
        <v>105000</v>
      </c>
      <c r="L149" s="1664">
        <v>105000</v>
      </c>
      <c r="M149" s="1664">
        <v>105000</v>
      </c>
      <c r="N149" s="1664">
        <v>105000</v>
      </c>
      <c r="O149" s="1664">
        <v>105000</v>
      </c>
    </row>
    <row r="150" spans="4:21" ht="12.75" customHeight="1" x14ac:dyDescent="0.25">
      <c r="D150" s="453"/>
      <c r="E150" s="778" t="s">
        <v>2187</v>
      </c>
      <c r="F150" s="453"/>
      <c r="G150" s="453"/>
      <c r="H150" s="453"/>
      <c r="I150" s="114"/>
      <c r="J150" s="1664">
        <v>735544</v>
      </c>
      <c r="K150" s="1664">
        <v>822960</v>
      </c>
      <c r="L150" s="1664">
        <v>822960</v>
      </c>
      <c r="M150" s="1664">
        <v>822960</v>
      </c>
      <c r="N150" s="1664">
        <v>822960</v>
      </c>
      <c r="O150" s="1664">
        <v>822960</v>
      </c>
    </row>
    <row r="151" spans="4:21" ht="12.75" customHeight="1" x14ac:dyDescent="0.25">
      <c r="D151" s="453"/>
      <c r="E151" s="778" t="s">
        <v>2188</v>
      </c>
      <c r="F151" s="453"/>
      <c r="G151" s="453"/>
      <c r="H151" s="453"/>
      <c r="I151" s="114"/>
      <c r="J151" s="1664">
        <v>-315400</v>
      </c>
      <c r="K151" s="1664">
        <v>-334300</v>
      </c>
      <c r="L151" s="1664">
        <v>-334300</v>
      </c>
      <c r="M151" s="1664">
        <v>-334300</v>
      </c>
      <c r="N151" s="1664">
        <v>-334300</v>
      </c>
      <c r="O151" s="1664">
        <v>-334300</v>
      </c>
      <c r="R151" s="115">
        <v>-801052</v>
      </c>
      <c r="S151" s="115">
        <v>-1257903</v>
      </c>
      <c r="T151" s="115">
        <v>-3968830</v>
      </c>
      <c r="U151" s="115">
        <v>-4091251</v>
      </c>
    </row>
    <row r="152" spans="4:21" ht="12.75" customHeight="1" x14ac:dyDescent="0.25">
      <c r="D152" s="453"/>
      <c r="E152" s="778" t="s">
        <v>2189</v>
      </c>
      <c r="F152" s="453"/>
      <c r="G152" s="453"/>
      <c r="H152" s="453"/>
      <c r="I152" s="114"/>
      <c r="J152" s="1664">
        <v>-550000</v>
      </c>
      <c r="K152" s="1664">
        <v>-600000</v>
      </c>
      <c r="L152" s="1664">
        <v>-600000</v>
      </c>
      <c r="M152" s="1664">
        <v>-600000</v>
      </c>
      <c r="N152" s="1664">
        <v>-600000</v>
      </c>
      <c r="O152" s="1664">
        <v>-600000</v>
      </c>
    </row>
    <row r="153" spans="4:21" ht="12.75" customHeight="1" x14ac:dyDescent="0.25">
      <c r="D153" s="453"/>
      <c r="E153" s="778" t="s">
        <v>2190</v>
      </c>
      <c r="F153" s="453"/>
      <c r="G153" s="453"/>
      <c r="H153" s="453"/>
      <c r="I153" s="114"/>
      <c r="J153" s="1664">
        <v>390000</v>
      </c>
      <c r="K153" s="1664">
        <v>410000</v>
      </c>
      <c r="L153" s="1664">
        <v>425000</v>
      </c>
      <c r="M153" s="1664">
        <v>440000</v>
      </c>
      <c r="N153" s="1664">
        <v>440000</v>
      </c>
      <c r="O153" s="1664">
        <v>440000</v>
      </c>
    </row>
    <row r="154" spans="4:21" ht="12.75" customHeight="1" x14ac:dyDescent="0.25">
      <c r="D154" s="453"/>
      <c r="E154" s="778" t="s">
        <v>2191</v>
      </c>
      <c r="F154" s="453"/>
      <c r="G154" s="453"/>
      <c r="H154" s="453"/>
      <c r="I154" s="114"/>
      <c r="J154" s="1664">
        <v>-390000</v>
      </c>
      <c r="K154" s="1664">
        <v>-410000</v>
      </c>
      <c r="L154" s="1664">
        <v>-425000</v>
      </c>
      <c r="M154" s="1664">
        <v>-440000</v>
      </c>
      <c r="N154" s="1664">
        <v>-440000</v>
      </c>
      <c r="O154" s="1664">
        <v>-440000</v>
      </c>
    </row>
    <row r="155" spans="4:21" ht="12.75" customHeight="1" x14ac:dyDescent="0.25">
      <c r="D155" s="453"/>
      <c r="E155" s="1049" t="s">
        <v>2192</v>
      </c>
      <c r="F155" s="453"/>
      <c r="G155" s="453"/>
      <c r="H155" s="453"/>
      <c r="I155" s="114"/>
      <c r="J155" s="1664">
        <v>120000</v>
      </c>
      <c r="K155" s="1664">
        <v>123000</v>
      </c>
      <c r="L155" s="1664">
        <v>127000</v>
      </c>
      <c r="M155" s="1664">
        <v>130000</v>
      </c>
      <c r="N155" s="1664">
        <v>130000</v>
      </c>
      <c r="O155" s="1664">
        <v>130000</v>
      </c>
    </row>
    <row r="156" spans="4:21" ht="12.75" customHeight="1" x14ac:dyDescent="0.25">
      <c r="D156" s="453"/>
      <c r="E156" s="778" t="s">
        <v>2183</v>
      </c>
      <c r="F156" s="453"/>
      <c r="G156" s="453"/>
      <c r="H156" s="453"/>
      <c r="I156" s="114"/>
      <c r="J156" s="1664">
        <v>-120000</v>
      </c>
      <c r="K156" s="1664">
        <v>-123000</v>
      </c>
      <c r="L156" s="1664">
        <f t="shared" ref="L156:N156" si="40">-L155</f>
        <v>-127000</v>
      </c>
      <c r="M156" s="1664">
        <f t="shared" si="40"/>
        <v>-130000</v>
      </c>
      <c r="N156" s="1664">
        <f t="shared" si="40"/>
        <v>-130000</v>
      </c>
      <c r="O156" s="1664">
        <f t="shared" ref="O156" si="41">-O155</f>
        <v>-130000</v>
      </c>
      <c r="R156" s="115">
        <v>757392</v>
      </c>
      <c r="S156" s="115">
        <v>1214243</v>
      </c>
      <c r="T156" s="115">
        <v>3925170</v>
      </c>
      <c r="U156" s="115">
        <v>4047591</v>
      </c>
    </row>
    <row r="157" spans="4:21" ht="12.75" customHeight="1" thickBot="1" x14ac:dyDescent="0.3">
      <c r="D157" s="453"/>
      <c r="E157" s="778" t="s">
        <v>2193</v>
      </c>
      <c r="F157" s="453"/>
      <c r="G157" s="453"/>
      <c r="H157" s="453"/>
      <c r="I157" s="114"/>
      <c r="J157" s="1867">
        <v>25144</v>
      </c>
      <c r="K157" s="1867">
        <v>43660</v>
      </c>
      <c r="L157" s="1867">
        <f>SUM(L148:L156)</f>
        <v>43660</v>
      </c>
      <c r="M157" s="1867">
        <f>SUM(M148:M156)</f>
        <v>43660</v>
      </c>
      <c r="N157" s="1867">
        <f>SUM(N148:N156)</f>
        <v>43660</v>
      </c>
      <c r="O157" s="1867">
        <f>SUM(O148:O156)</f>
        <v>43660</v>
      </c>
    </row>
    <row r="158" spans="4:21" ht="12.75" customHeight="1" thickTop="1" x14ac:dyDescent="0.25">
      <c r="D158" s="453"/>
      <c r="E158" s="778"/>
      <c r="F158" s="453"/>
      <c r="G158" s="453"/>
      <c r="H158" s="453"/>
      <c r="I158" s="114"/>
      <c r="R158" s="114">
        <f>+R156+R143</f>
        <v>801052</v>
      </c>
      <c r="S158" s="114">
        <f>+S156+S143</f>
        <v>1257903</v>
      </c>
      <c r="T158" s="114">
        <f>+T156+T143</f>
        <v>3968830</v>
      </c>
      <c r="U158" s="114">
        <f>+U156+U143</f>
        <v>4091251</v>
      </c>
    </row>
    <row r="159" spans="4:21" ht="12.75" customHeight="1" x14ac:dyDescent="0.25">
      <c r="D159" s="453"/>
      <c r="E159" s="778"/>
      <c r="F159" s="453"/>
      <c r="G159" s="453"/>
      <c r="H159" s="453"/>
      <c r="I159" s="114"/>
    </row>
    <row r="160" spans="4:21" ht="12.75" customHeight="1" x14ac:dyDescent="0.25">
      <c r="D160" s="1318">
        <v>611009</v>
      </c>
      <c r="E160" s="1050" t="s">
        <v>2168</v>
      </c>
      <c r="F160" s="453"/>
      <c r="G160" s="453"/>
      <c r="H160" s="453"/>
      <c r="I160" s="114"/>
    </row>
    <row r="161" spans="4:18" ht="12.75" customHeight="1" x14ac:dyDescent="0.25">
      <c r="D161" s="1318"/>
      <c r="E161" s="527" t="s">
        <v>533</v>
      </c>
      <c r="F161" s="453"/>
      <c r="G161" s="453"/>
      <c r="H161" s="453"/>
      <c r="I161" s="114"/>
    </row>
    <row r="162" spans="4:18" ht="12.75" customHeight="1" x14ac:dyDescent="0.25">
      <c r="D162" s="517">
        <v>43812</v>
      </c>
      <c r="E162" s="778" t="s">
        <v>2194</v>
      </c>
      <c r="F162" s="453"/>
      <c r="G162" s="453"/>
      <c r="H162" s="453"/>
      <c r="I162" s="114"/>
    </row>
    <row r="163" spans="4:18" ht="12.75" customHeight="1" x14ac:dyDescent="0.25">
      <c r="D163" s="453"/>
      <c r="E163" s="778" t="s">
        <v>2195</v>
      </c>
      <c r="F163" s="453"/>
      <c r="G163" s="453"/>
      <c r="H163" s="453"/>
      <c r="I163" s="114"/>
    </row>
    <row r="164" spans="4:18" ht="12.75" customHeight="1" x14ac:dyDescent="0.25">
      <c r="D164" s="453"/>
      <c r="E164" s="778"/>
      <c r="F164" s="453"/>
      <c r="G164" s="453"/>
      <c r="H164" s="453"/>
      <c r="I164" s="114"/>
    </row>
    <row r="165" spans="4:18" ht="12.75" customHeight="1" x14ac:dyDescent="0.25">
      <c r="D165" s="771">
        <v>611011</v>
      </c>
      <c r="E165" s="747" t="s">
        <v>2172</v>
      </c>
      <c r="F165" s="453"/>
      <c r="G165" s="469"/>
      <c r="H165" s="469"/>
      <c r="I165" s="469"/>
    </row>
    <row r="166" spans="4:18" ht="12.75" customHeight="1" x14ac:dyDescent="0.25">
      <c r="D166" s="771"/>
      <c r="E166" s="527" t="s">
        <v>554</v>
      </c>
      <c r="F166" s="453"/>
      <c r="G166" s="469"/>
      <c r="H166" s="469"/>
      <c r="I166" s="469"/>
    </row>
    <row r="167" spans="4:18" ht="12.75" customHeight="1" x14ac:dyDescent="0.25">
      <c r="D167" s="516">
        <v>84320</v>
      </c>
      <c r="E167" s="453" t="s">
        <v>2196</v>
      </c>
      <c r="F167" s="453"/>
      <c r="G167" s="469"/>
      <c r="H167" s="469"/>
      <c r="I167" s="469"/>
    </row>
    <row r="168" spans="4:18" ht="12.75" customHeight="1" x14ac:dyDescent="0.25">
      <c r="D168" s="453"/>
      <c r="E168" s="1122"/>
      <c r="F168" s="453"/>
      <c r="G168" s="469"/>
      <c r="H168" s="469"/>
      <c r="I168" s="469"/>
    </row>
    <row r="169" spans="4:18" ht="12.75" customHeight="1" x14ac:dyDescent="0.25">
      <c r="D169" s="771">
        <v>611007</v>
      </c>
      <c r="E169" s="747" t="s">
        <v>2170</v>
      </c>
      <c r="F169" s="453"/>
      <c r="G169" s="453"/>
      <c r="H169" s="453"/>
      <c r="I169" s="453"/>
    </row>
    <row r="170" spans="4:18" ht="12.75" customHeight="1" x14ac:dyDescent="0.25">
      <c r="D170" s="771"/>
      <c r="E170" s="527" t="s">
        <v>554</v>
      </c>
      <c r="F170" s="453"/>
      <c r="G170" s="453"/>
      <c r="H170" s="453"/>
      <c r="I170" s="453"/>
    </row>
    <row r="171" spans="4:18" ht="12.75" customHeight="1" x14ac:dyDescent="0.25">
      <c r="D171" s="516">
        <v>84510</v>
      </c>
      <c r="E171" s="2565" t="s">
        <v>2197</v>
      </c>
      <c r="F171" s="2565"/>
      <c r="G171" s="2565"/>
      <c r="H171" s="2565"/>
      <c r="I171" s="2565"/>
      <c r="J171" s="2565"/>
      <c r="K171" s="2565"/>
      <c r="L171" s="2565"/>
      <c r="M171" s="2565"/>
    </row>
    <row r="172" spans="4:18" ht="12.75" customHeight="1" x14ac:dyDescent="0.25">
      <c r="D172" s="516"/>
      <c r="E172" s="2565"/>
      <c r="F172" s="2565"/>
      <c r="G172" s="2565"/>
      <c r="H172" s="2565"/>
      <c r="I172" s="2565"/>
      <c r="J172" s="2565"/>
      <c r="K172" s="2565"/>
      <c r="L172" s="2565"/>
      <c r="M172" s="2565"/>
    </row>
    <row r="173" spans="4:18" ht="12.75" customHeight="1" x14ac:dyDescent="0.25">
      <c r="D173" s="516"/>
      <c r="E173" s="778" t="s">
        <v>2198</v>
      </c>
      <c r="F173" s="778"/>
      <c r="G173" s="453"/>
      <c r="H173" s="517"/>
      <c r="I173" s="517"/>
    </row>
    <row r="174" spans="4:18" ht="12.75" customHeight="1" x14ac:dyDescent="0.25">
      <c r="D174" s="516"/>
      <c r="E174" s="453"/>
      <c r="F174" s="453"/>
      <c r="G174" s="469"/>
      <c r="H174" s="469"/>
      <c r="I174" s="469"/>
      <c r="J174" s="1319">
        <v>2025</v>
      </c>
      <c r="K174" s="1319">
        <v>2026</v>
      </c>
      <c r="L174" s="1319">
        <v>2027</v>
      </c>
      <c r="M174" s="1319">
        <v>2028</v>
      </c>
      <c r="N174" s="1319">
        <v>2029</v>
      </c>
      <c r="O174" s="1319">
        <v>2030</v>
      </c>
    </row>
    <row r="175" spans="4:18" ht="12.75" customHeight="1" x14ac:dyDescent="0.25">
      <c r="D175" s="516"/>
      <c r="E175" s="453"/>
      <c r="F175" s="453"/>
      <c r="G175" s="469"/>
      <c r="H175" s="469"/>
      <c r="I175" s="469"/>
      <c r="J175" s="527"/>
      <c r="K175" s="527"/>
      <c r="L175" s="527"/>
      <c r="M175" s="527"/>
      <c r="N175" s="527"/>
      <c r="O175" s="527"/>
    </row>
    <row r="176" spans="4:18" ht="12.75" customHeight="1" x14ac:dyDescent="0.25">
      <c r="D176" s="516"/>
      <c r="E176" s="453" t="s">
        <v>2199</v>
      </c>
      <c r="F176" s="453"/>
      <c r="G176" s="469"/>
      <c r="H176" s="469"/>
      <c r="I176" s="469"/>
      <c r="J176" s="782">
        <v>-853401</v>
      </c>
      <c r="K176" s="782">
        <v>-884652</v>
      </c>
      <c r="L176" s="782">
        <v>-916260</v>
      </c>
      <c r="M176" s="782">
        <v>-916260</v>
      </c>
      <c r="N176" s="782">
        <v>-916260</v>
      </c>
      <c r="O176" s="782">
        <v>-916260</v>
      </c>
      <c r="Q176" s="115" t="e">
        <f>+(J176+#REF!)/#REF!</f>
        <v>#REF!</v>
      </c>
      <c r="R176" s="115" t="e">
        <f>+(#REF!+#REF!)/#REF!</f>
        <v>#REF!</v>
      </c>
    </row>
    <row r="177" spans="4:20" ht="12.75" customHeight="1" x14ac:dyDescent="0.25">
      <c r="D177" s="516"/>
      <c r="E177" s="453" t="s">
        <v>2200</v>
      </c>
      <c r="F177" s="453"/>
      <c r="G177" s="469"/>
      <c r="H177" s="469"/>
      <c r="I177" s="469"/>
      <c r="J177" s="782">
        <v>-131134</v>
      </c>
      <c r="K177" s="782">
        <v>-139613</v>
      </c>
      <c r="L177" s="782">
        <f>-'T72'!L407</f>
        <v>-144640</v>
      </c>
      <c r="M177" s="782">
        <f>-'T72'!M407</f>
        <v>-149823</v>
      </c>
      <c r="N177" s="782">
        <f>-'T72'!N407</f>
        <v>-155074</v>
      </c>
      <c r="O177" s="782">
        <f>-'T72'!O407</f>
        <v>-160400</v>
      </c>
      <c r="Q177" s="115" t="e">
        <f>+($J177+#REF!)/#REF!</f>
        <v>#REF!</v>
      </c>
    </row>
    <row r="178" spans="4:20" ht="12.75" customHeight="1" x14ac:dyDescent="0.25">
      <c r="D178" s="453"/>
      <c r="E178" s="453"/>
      <c r="F178" s="453"/>
      <c r="G178" s="469"/>
      <c r="H178" s="469"/>
      <c r="I178" s="469"/>
      <c r="J178" s="1340">
        <v>-984535</v>
      </c>
      <c r="K178" s="1340">
        <v>-1024265</v>
      </c>
      <c r="L178" s="1340">
        <f t="shared" ref="L178:M178" si="42">SUM(L176:L177)</f>
        <v>-1060900</v>
      </c>
      <c r="M178" s="1340">
        <f t="shared" si="42"/>
        <v>-1066083</v>
      </c>
      <c r="N178" s="1340">
        <f t="shared" ref="N178:O178" si="43">SUM(N176:N177)</f>
        <v>-1071334</v>
      </c>
      <c r="O178" s="1340">
        <f t="shared" si="43"/>
        <v>-1076660</v>
      </c>
    </row>
    <row r="179" spans="4:20" ht="12.75" customHeight="1" x14ac:dyDescent="0.25">
      <c r="D179" s="453"/>
      <c r="E179" s="453" t="s">
        <v>2201</v>
      </c>
      <c r="F179" s="453"/>
      <c r="G179" s="469"/>
      <c r="H179" s="469"/>
      <c r="I179" s="469"/>
      <c r="J179" s="782">
        <v>-252000</v>
      </c>
      <c r="K179" s="782">
        <v>-252000</v>
      </c>
      <c r="L179" s="782">
        <f>-'T72'!L406</f>
        <v>-252000</v>
      </c>
      <c r="M179" s="782">
        <f>-'T72'!M406</f>
        <v>-59737</v>
      </c>
      <c r="N179" s="782">
        <f>-'T72'!N406</f>
        <v>-59737</v>
      </c>
      <c r="O179" s="782">
        <f>-'T72'!O406</f>
        <v>-59737</v>
      </c>
    </row>
    <row r="180" spans="4:20" ht="12.75" customHeight="1" x14ac:dyDescent="0.25">
      <c r="D180" s="453"/>
      <c r="E180" s="453" t="s">
        <v>2202</v>
      </c>
      <c r="F180" s="453"/>
      <c r="G180" s="469"/>
      <c r="H180" s="469"/>
      <c r="I180" s="469"/>
      <c r="J180" s="782"/>
      <c r="K180" s="782"/>
      <c r="L180" s="782"/>
      <c r="M180" s="782"/>
      <c r="N180" s="782"/>
      <c r="O180" s="782"/>
      <c r="P180" s="115" t="s">
        <v>2203</v>
      </c>
    </row>
    <row r="181" spans="4:20" ht="12.75" customHeight="1" thickBot="1" x14ac:dyDescent="0.3">
      <c r="D181" s="453"/>
      <c r="E181" s="453" t="s">
        <v>2204</v>
      </c>
      <c r="F181" s="453"/>
      <c r="G181" s="469"/>
      <c r="H181" s="469"/>
      <c r="I181" s="469"/>
      <c r="J181" s="1867">
        <v>-1236535</v>
      </c>
      <c r="K181" s="1867">
        <v>-1276265</v>
      </c>
      <c r="L181" s="1867">
        <f>SUM(L178:L180)</f>
        <v>-1312900</v>
      </c>
      <c r="M181" s="1867">
        <f>SUM(M178:M180)</f>
        <v>-1125820</v>
      </c>
      <c r="N181" s="1867">
        <f>SUM(N178:N180)</f>
        <v>-1131071</v>
      </c>
      <c r="O181" s="1867">
        <f>SUM(O178:O180)</f>
        <v>-1136397</v>
      </c>
    </row>
    <row r="182" spans="4:20" ht="12.75" customHeight="1" thickTop="1" x14ac:dyDescent="0.25">
      <c r="D182" s="453"/>
      <c r="E182" s="453"/>
      <c r="F182" s="453"/>
      <c r="G182" s="469"/>
      <c r="H182" s="469"/>
      <c r="I182" s="469"/>
      <c r="P182" s="453"/>
    </row>
    <row r="183" spans="4:20" ht="12.75" customHeight="1" x14ac:dyDescent="0.25">
      <c r="D183" s="453"/>
      <c r="E183" s="1320" t="s">
        <v>2205</v>
      </c>
      <c r="F183" s="453"/>
      <c r="G183" s="469"/>
      <c r="H183" s="469"/>
      <c r="I183" s="469"/>
      <c r="P183" s="453"/>
    </row>
    <row r="184" spans="4:20" ht="12.75" customHeight="1" x14ac:dyDescent="0.25">
      <c r="D184" s="453"/>
      <c r="E184" s="1321"/>
      <c r="F184" s="1321"/>
      <c r="G184" s="1321"/>
      <c r="H184" s="778"/>
      <c r="I184" s="778"/>
    </row>
    <row r="185" spans="4:20" ht="12.75" customHeight="1" x14ac:dyDescent="0.25">
      <c r="D185" s="453"/>
      <c r="E185" s="1322" t="s">
        <v>2206</v>
      </c>
      <c r="F185" s="1321"/>
      <c r="G185" s="1321"/>
      <c r="H185" s="778"/>
      <c r="I185" s="778"/>
      <c r="Q185" s="115" t="s">
        <v>2207</v>
      </c>
    </row>
    <row r="186" spans="4:20" ht="12.75" customHeight="1" x14ac:dyDescent="0.25">
      <c r="D186" s="453"/>
      <c r="E186" s="1321" t="s">
        <v>2208</v>
      </c>
      <c r="F186" s="1321"/>
      <c r="H186" s="778"/>
      <c r="I186" s="778"/>
      <c r="J186" s="782">
        <v>853401</v>
      </c>
      <c r="K186" s="782">
        <v>884652</v>
      </c>
      <c r="L186" s="782">
        <f t="shared" ref="L186:M186" si="44">-L176</f>
        <v>916260</v>
      </c>
      <c r="M186" s="782">
        <f t="shared" si="44"/>
        <v>916260</v>
      </c>
      <c r="N186" s="782">
        <f t="shared" ref="N186:O186" si="45">-N176</f>
        <v>916260</v>
      </c>
      <c r="O186" s="782">
        <f t="shared" si="45"/>
        <v>916260</v>
      </c>
      <c r="Q186" s="114">
        <v>751287</v>
      </c>
      <c r="R186" s="114">
        <v>762873</v>
      </c>
      <c r="S186" s="114">
        <v>774439</v>
      </c>
      <c r="T186" s="114">
        <v>774439</v>
      </c>
    </row>
    <row r="187" spans="4:20" ht="12.75" customHeight="1" x14ac:dyDescent="0.25">
      <c r="D187" s="453"/>
      <c r="E187" s="1321" t="s">
        <v>2209</v>
      </c>
      <c r="F187" s="1321"/>
      <c r="H187" s="778"/>
      <c r="I187" s="778"/>
    </row>
    <row r="188" spans="4:20" ht="12.75" customHeight="1" x14ac:dyDescent="0.25">
      <c r="D188" s="453"/>
      <c r="E188" s="1321" t="s">
        <v>2210</v>
      </c>
      <c r="F188" s="1321"/>
      <c r="G188" s="1321"/>
      <c r="H188" s="778"/>
      <c r="I188" s="778"/>
      <c r="J188" s="782">
        <v>131134</v>
      </c>
      <c r="K188" s="782">
        <v>139613</v>
      </c>
      <c r="L188" s="782">
        <f t="shared" ref="L188:M188" si="46">-L177</f>
        <v>144640</v>
      </c>
      <c r="M188" s="782">
        <f t="shared" si="46"/>
        <v>149823</v>
      </c>
      <c r="N188" s="782">
        <f t="shared" ref="N188:O188" si="47">-N177</f>
        <v>155074</v>
      </c>
      <c r="O188" s="782">
        <f t="shared" si="47"/>
        <v>160400</v>
      </c>
      <c r="Q188" s="114">
        <v>92569</v>
      </c>
      <c r="R188" s="114">
        <v>94098</v>
      </c>
      <c r="S188" s="114">
        <v>95652</v>
      </c>
      <c r="T188" s="114">
        <v>95652</v>
      </c>
    </row>
    <row r="189" spans="4:20" ht="12.75" customHeight="1" x14ac:dyDescent="0.25">
      <c r="D189" s="453"/>
      <c r="E189" s="1321" t="s">
        <v>2211</v>
      </c>
      <c r="F189" s="1321"/>
      <c r="G189" s="1321"/>
      <c r="H189" s="778"/>
      <c r="I189" s="778"/>
      <c r="J189" s="782">
        <v>252000</v>
      </c>
      <c r="K189" s="782">
        <v>252000</v>
      </c>
      <c r="L189" s="782">
        <f t="shared" ref="L189:M189" si="48">-L179</f>
        <v>252000</v>
      </c>
      <c r="M189" s="782">
        <f t="shared" si="48"/>
        <v>59737</v>
      </c>
      <c r="N189" s="782">
        <f t="shared" ref="N189:O189" si="49">-N179</f>
        <v>59737</v>
      </c>
      <c r="O189" s="782">
        <f t="shared" si="49"/>
        <v>59737</v>
      </c>
      <c r="Q189" s="114">
        <v>210000</v>
      </c>
      <c r="R189" s="114">
        <v>210000</v>
      </c>
      <c r="S189" s="114">
        <v>210000</v>
      </c>
      <c r="T189" s="114">
        <v>210000</v>
      </c>
    </row>
    <row r="190" spans="4:20" ht="12.75" customHeight="1" x14ac:dyDescent="0.25">
      <c r="D190" s="453"/>
      <c r="E190" s="1321"/>
      <c r="F190" s="1321"/>
      <c r="G190" s="1321"/>
      <c r="H190" s="778"/>
      <c r="I190" s="778"/>
      <c r="J190" s="782"/>
      <c r="K190" s="782"/>
      <c r="L190" s="782"/>
      <c r="M190" s="782"/>
      <c r="N190" s="782"/>
      <c r="O190" s="782"/>
    </row>
    <row r="191" spans="4:20" ht="12.75" customHeight="1" thickBot="1" x14ac:dyDescent="0.3">
      <c r="D191" s="453"/>
      <c r="E191" s="1321" t="s">
        <v>2212</v>
      </c>
      <c r="F191" s="1321"/>
      <c r="G191" s="1321"/>
      <c r="H191" s="778"/>
      <c r="I191" s="778"/>
      <c r="J191" s="1868">
        <v>1236535</v>
      </c>
      <c r="K191" s="1868">
        <v>1276265</v>
      </c>
      <c r="L191" s="1868">
        <f t="shared" ref="L191:M191" si="50">SUM(L186:L190)</f>
        <v>1312900</v>
      </c>
      <c r="M191" s="1868">
        <f t="shared" si="50"/>
        <v>1125820</v>
      </c>
      <c r="N191" s="1868">
        <f t="shared" ref="N191:O191" si="51">SUM(N186:N190)</f>
        <v>1131071</v>
      </c>
      <c r="O191" s="1868">
        <f t="shared" si="51"/>
        <v>1136397</v>
      </c>
      <c r="Q191" s="115">
        <v>1053856</v>
      </c>
      <c r="R191" s="115">
        <v>1066971</v>
      </c>
      <c r="S191" s="115">
        <v>1080091</v>
      </c>
      <c r="T191" s="115">
        <v>1080091</v>
      </c>
    </row>
    <row r="192" spans="4:20" ht="12.75" customHeight="1" x14ac:dyDescent="0.25">
      <c r="D192" s="453"/>
      <c r="E192" s="1321"/>
      <c r="F192" s="1321"/>
      <c r="G192" s="1321"/>
      <c r="H192" s="778"/>
      <c r="I192" s="778"/>
    </row>
    <row r="193" spans="1:16" ht="12.75" customHeight="1" x14ac:dyDescent="0.25">
      <c r="D193" s="771">
        <v>611006</v>
      </c>
      <c r="E193" s="747" t="s">
        <v>2169</v>
      </c>
      <c r="F193" s="1321"/>
      <c r="G193" s="1321"/>
      <c r="H193" s="778"/>
      <c r="I193" s="778"/>
    </row>
    <row r="194" spans="1:16" ht="12.75" customHeight="1" x14ac:dyDescent="0.25">
      <c r="D194" s="453"/>
      <c r="E194" s="1323" t="s">
        <v>533</v>
      </c>
      <c r="F194" s="1321"/>
      <c r="G194" s="1321"/>
      <c r="H194" s="778"/>
      <c r="I194" s="778"/>
    </row>
    <row r="195" spans="1:16" ht="12.75" customHeight="1" x14ac:dyDescent="0.25">
      <c r="D195" s="516">
        <v>43812</v>
      </c>
      <c r="E195" s="1321" t="s">
        <v>2213</v>
      </c>
      <c r="F195" s="1321"/>
      <c r="G195" s="1321"/>
      <c r="H195" s="778"/>
      <c r="I195" s="778"/>
    </row>
    <row r="196" spans="1:16" ht="12.75" customHeight="1" x14ac:dyDescent="0.25">
      <c r="D196" s="1318"/>
      <c r="E196" s="1321" t="s">
        <v>2214</v>
      </c>
      <c r="F196" s="1321"/>
      <c r="G196" s="1321"/>
      <c r="H196" s="778"/>
      <c r="I196" s="778"/>
      <c r="J196" s="782">
        <v>132828</v>
      </c>
      <c r="K196" s="782">
        <v>136282</v>
      </c>
      <c r="L196" s="782">
        <f>ROUND(+K196*T2,0)</f>
        <v>139144</v>
      </c>
      <c r="M196" s="782">
        <f>ROUND(+L196*U2,0)</f>
        <v>142344</v>
      </c>
      <c r="N196" s="782">
        <f>ROUND(+M196*V2,0)</f>
        <v>145618</v>
      </c>
      <c r="O196" s="782">
        <f>ROUND(+N196*W2,0)</f>
        <v>148967</v>
      </c>
    </row>
    <row r="197" spans="1:16" ht="12.75" customHeight="1" thickBot="1" x14ac:dyDescent="0.3">
      <c r="D197" s="1318"/>
      <c r="E197" s="1321"/>
      <c r="F197" s="1321"/>
      <c r="G197" s="1321"/>
      <c r="H197" s="778"/>
      <c r="I197" s="778"/>
      <c r="J197" s="1867">
        <v>132828</v>
      </c>
      <c r="K197" s="1867">
        <v>136282</v>
      </c>
      <c r="L197" s="1867">
        <f t="shared" ref="L197:M197" si="52">SUM(L196)</f>
        <v>139144</v>
      </c>
      <c r="M197" s="1867">
        <f t="shared" si="52"/>
        <v>142344</v>
      </c>
      <c r="N197" s="1867">
        <f t="shared" ref="N197:O197" si="53">SUM(N196)</f>
        <v>145618</v>
      </c>
      <c r="O197" s="1867">
        <f t="shared" si="53"/>
        <v>148967</v>
      </c>
    </row>
    <row r="198" spans="1:16" ht="12.75" customHeight="1" thickTop="1" x14ac:dyDescent="0.25">
      <c r="D198" s="1318"/>
      <c r="E198" s="1321"/>
      <c r="F198" s="1321"/>
      <c r="G198" s="1321"/>
      <c r="H198" s="778"/>
      <c r="I198" s="778"/>
      <c r="J198" s="782"/>
      <c r="K198" s="782"/>
      <c r="L198" s="782"/>
      <c r="M198" s="782"/>
      <c r="N198" s="782"/>
      <c r="O198" s="782"/>
    </row>
    <row r="199" spans="1:16" ht="12.75" customHeight="1" x14ac:dyDescent="0.25">
      <c r="A199" s="115"/>
      <c r="D199" s="393">
        <v>624002</v>
      </c>
      <c r="E199" s="381" t="s">
        <v>2174</v>
      </c>
      <c r="F199" s="382"/>
      <c r="I199" s="114"/>
      <c r="J199" s="605">
        <v>2025</v>
      </c>
      <c r="K199" s="605">
        <v>2026</v>
      </c>
      <c r="L199" s="605">
        <v>2027</v>
      </c>
      <c r="M199" s="605">
        <v>2028</v>
      </c>
      <c r="N199" s="605">
        <v>2029</v>
      </c>
      <c r="O199" s="605">
        <v>2030</v>
      </c>
    </row>
    <row r="200" spans="1:16" ht="12.75" customHeight="1" x14ac:dyDescent="0.25">
      <c r="A200" s="115"/>
      <c r="D200" s="143">
        <v>84380</v>
      </c>
      <c r="E200" s="383" t="s">
        <v>554</v>
      </c>
      <c r="I200" s="114"/>
    </row>
    <row r="201" spans="1:16" ht="12.75" customHeight="1" x14ac:dyDescent="0.25">
      <c r="A201" s="115"/>
      <c r="D201" s="143"/>
      <c r="E201" s="308" t="s">
        <v>2215</v>
      </c>
      <c r="I201" s="114"/>
      <c r="J201" s="114">
        <v>-46000</v>
      </c>
      <c r="K201" s="114">
        <v>-47196</v>
      </c>
      <c r="L201" s="114">
        <f t="shared" ref="L201:O202" si="54">ROUND(K201*T$2,0)</f>
        <v>-48187</v>
      </c>
      <c r="M201" s="114">
        <f t="shared" si="54"/>
        <v>-49295</v>
      </c>
      <c r="N201" s="114">
        <f t="shared" si="54"/>
        <v>-50429</v>
      </c>
      <c r="O201" s="114">
        <f t="shared" si="54"/>
        <v>-51589</v>
      </c>
      <c r="P201" s="115" t="s">
        <v>2216</v>
      </c>
    </row>
    <row r="202" spans="1:16" ht="12.75" customHeight="1" x14ac:dyDescent="0.25">
      <c r="A202" s="115"/>
      <c r="D202" s="143"/>
      <c r="E202" s="308" t="s">
        <v>2217</v>
      </c>
      <c r="I202" s="114"/>
      <c r="J202" s="114">
        <v>-594</v>
      </c>
      <c r="K202" s="114">
        <v>-609</v>
      </c>
      <c r="L202" s="114">
        <f t="shared" si="54"/>
        <v>-622</v>
      </c>
      <c r="M202" s="114">
        <f t="shared" si="54"/>
        <v>-636</v>
      </c>
      <c r="N202" s="114">
        <f t="shared" si="54"/>
        <v>-651</v>
      </c>
      <c r="O202" s="114">
        <f t="shared" si="54"/>
        <v>-666</v>
      </c>
    </row>
    <row r="203" spans="1:16" ht="12.75" customHeight="1" thickBot="1" x14ac:dyDescent="0.3">
      <c r="A203" s="115"/>
      <c r="D203" s="143"/>
      <c r="I203" s="114"/>
      <c r="J203" s="1744">
        <v>-46594</v>
      </c>
      <c r="K203" s="1744">
        <v>-47805</v>
      </c>
      <c r="L203" s="1744">
        <f>SUM(L201:L202)</f>
        <v>-48809</v>
      </c>
      <c r="M203" s="1744">
        <f>SUM(M201:M202)</f>
        <v>-49931</v>
      </c>
      <c r="N203" s="1744">
        <f>SUM(N201:N202)</f>
        <v>-51080</v>
      </c>
      <c r="O203" s="1744">
        <f>SUM(O201:O202)</f>
        <v>-52255</v>
      </c>
    </row>
    <row r="204" spans="1:16" ht="12.75" customHeight="1" thickTop="1" x14ac:dyDescent="0.25">
      <c r="D204" s="1318"/>
      <c r="E204" s="1321"/>
      <c r="F204" s="1321"/>
      <c r="G204" s="1321"/>
      <c r="H204" s="778"/>
      <c r="I204" s="778"/>
    </row>
    <row r="205" spans="1:16" ht="12.75" customHeight="1" x14ac:dyDescent="0.25">
      <c r="D205" s="1318"/>
      <c r="E205" s="1321"/>
      <c r="F205" s="1321"/>
      <c r="G205" s="1321"/>
      <c r="H205" s="778"/>
      <c r="I205" s="778"/>
    </row>
    <row r="206" spans="1:16" ht="12.75" customHeight="1" x14ac:dyDescent="0.25">
      <c r="D206" s="1318"/>
      <c r="E206" s="1321"/>
      <c r="F206" s="1321"/>
      <c r="G206" s="1321"/>
      <c r="H206" s="778"/>
      <c r="I206" s="778"/>
    </row>
    <row r="207" spans="1:16" ht="12.75" customHeight="1" x14ac:dyDescent="0.25">
      <c r="D207" s="115"/>
      <c r="E207" s="527"/>
      <c r="F207" s="115"/>
      <c r="G207" s="469"/>
      <c r="H207" s="114"/>
      <c r="I207" s="394"/>
      <c r="J207" s="782"/>
      <c r="K207" s="782"/>
      <c r="L207" s="782"/>
      <c r="M207" s="782"/>
      <c r="N207" s="782"/>
      <c r="O207" s="782"/>
    </row>
    <row r="208" spans="1:16" ht="12.75" customHeight="1" x14ac:dyDescent="0.25">
      <c r="D208" s="115"/>
      <c r="E208" s="115"/>
      <c r="F208" s="115"/>
      <c r="I208" s="633"/>
      <c r="J208" s="114"/>
      <c r="K208" s="114"/>
      <c r="L208" s="114"/>
      <c r="M208" s="114"/>
      <c r="N208" s="114"/>
      <c r="O208" s="114"/>
    </row>
    <row r="209" spans="4:15" ht="12.75" customHeight="1" x14ac:dyDescent="0.25">
      <c r="E209" s="115"/>
      <c r="F209" s="115"/>
      <c r="I209" s="633"/>
      <c r="J209" s="114"/>
      <c r="K209" s="114"/>
      <c r="L209" s="114"/>
      <c r="M209" s="114"/>
      <c r="N209" s="114"/>
      <c r="O209" s="114"/>
    </row>
    <row r="210" spans="4:15" ht="12.75" customHeight="1" x14ac:dyDescent="0.25">
      <c r="E210" s="115"/>
      <c r="F210" s="115"/>
      <c r="I210" s="633"/>
      <c r="J210" s="114"/>
      <c r="K210" s="114"/>
      <c r="L210" s="114"/>
      <c r="M210" s="114"/>
      <c r="N210" s="114"/>
      <c r="O210" s="114"/>
    </row>
    <row r="211" spans="4:15" ht="12.75" customHeight="1" x14ac:dyDescent="0.25">
      <c r="G211" s="401"/>
      <c r="I211" s="633"/>
      <c r="J211" s="114"/>
      <c r="K211" s="114"/>
      <c r="L211" s="114"/>
      <c r="M211" s="114"/>
      <c r="N211" s="114"/>
      <c r="O211" s="114"/>
    </row>
    <row r="213" spans="4:15" ht="12.75" customHeight="1" x14ac:dyDescent="0.25">
      <c r="D213" s="393"/>
      <c r="E213" s="382"/>
      <c r="F213" s="382"/>
      <c r="G213" s="381"/>
    </row>
    <row r="214" spans="4:15" ht="12.75" customHeight="1" x14ac:dyDescent="0.25">
      <c r="D214" s="393"/>
      <c r="E214" s="382"/>
      <c r="F214" s="382"/>
      <c r="G214" s="383"/>
    </row>
    <row r="215" spans="4:15" ht="12.75" customHeight="1" x14ac:dyDescent="0.25">
      <c r="D215" s="143"/>
      <c r="G215" s="401"/>
      <c r="H215" s="484"/>
    </row>
    <row r="217" spans="4:15" ht="12.75" customHeight="1" x14ac:dyDescent="0.25">
      <c r="J217" s="415"/>
      <c r="K217" s="415"/>
      <c r="L217" s="415"/>
      <c r="M217" s="415"/>
      <c r="N217" s="415"/>
      <c r="O217" s="415"/>
    </row>
    <row r="218" spans="4:15" ht="12.75" customHeight="1" x14ac:dyDescent="0.25">
      <c r="J218" s="415"/>
      <c r="K218" s="415"/>
      <c r="L218" s="415"/>
      <c r="M218" s="415"/>
      <c r="N218" s="415"/>
      <c r="O218" s="415"/>
    </row>
    <row r="224" spans="4:15" ht="12.75" customHeight="1" x14ac:dyDescent="0.25">
      <c r="J224" s="114"/>
      <c r="K224" s="114"/>
      <c r="L224" s="114"/>
      <c r="M224" s="114"/>
      <c r="N224" s="114"/>
      <c r="O224" s="114"/>
    </row>
    <row r="225" spans="10:15" ht="12.75" customHeight="1" x14ac:dyDescent="0.25">
      <c r="J225" s="114"/>
      <c r="K225" s="114"/>
      <c r="L225" s="114"/>
      <c r="M225" s="114"/>
      <c r="N225" s="114"/>
      <c r="O225" s="114"/>
    </row>
  </sheetData>
  <protectedRanges>
    <protectedRange sqref="J138:M138 J144:O144" name="Bereik5_1_1"/>
    <protectedRange sqref="J139:O142" name="Bereik9_1_1"/>
  </protectedRanges>
  <mergeCells count="4">
    <mergeCell ref="D68:D69"/>
    <mergeCell ref="F68:F69"/>
    <mergeCell ref="G68:H69"/>
    <mergeCell ref="E171:M172"/>
  </mergeCells>
  <hyperlinks>
    <hyperlink ref="A1" location="Inhoudsopgave!A1" display="Inhoudsopgave" xr:uid="{63B72C3C-80EB-44C6-BF69-098BAF3EBDFD}"/>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5" min="3" max="14" man="1"/>
    <brk id="120" min="3" max="14"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FC5E-580D-4E12-9769-6DB8116F1CF8}">
  <sheetPr codeName="Blad13"/>
  <dimension ref="A1:W92"/>
  <sheetViews>
    <sheetView showGridLines="0" view="pageBreakPreview" topLeftCell="A46" zoomScaleNormal="100" zoomScaleSheetLayoutView="100" workbookViewId="0"/>
  </sheetViews>
  <sheetFormatPr defaultColWidth="9.109375" defaultRowHeight="12.75" customHeight="1" x14ac:dyDescent="0.25"/>
  <cols>
    <col min="1" max="3" width="9.109375" style="115"/>
    <col min="4" max="4" width="9.6640625" style="301" customWidth="1"/>
    <col min="5" max="6" width="9.6640625" style="143" customWidth="1"/>
    <col min="7" max="9" width="12.6640625" style="115" customWidth="1"/>
    <col min="10" max="15" width="11.6640625" style="115" customWidth="1"/>
    <col min="16"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1895</v>
      </c>
      <c r="K2" s="115" t="s">
        <v>969</v>
      </c>
      <c r="L2" s="115" t="s">
        <v>969</v>
      </c>
      <c r="M2" s="115" t="s">
        <v>969</v>
      </c>
      <c r="N2" s="115" t="s">
        <v>969</v>
      </c>
      <c r="O2" s="115" t="s">
        <v>969</v>
      </c>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1296"/>
      <c r="E3" s="1297"/>
      <c r="F3" s="1297"/>
      <c r="G3" s="1298"/>
      <c r="H3" s="1298"/>
      <c r="K3" s="115" t="s">
        <v>970</v>
      </c>
      <c r="L3" s="115" t="s">
        <v>970</v>
      </c>
      <c r="M3" s="115" t="s">
        <v>970</v>
      </c>
      <c r="N3" s="115" t="s">
        <v>970</v>
      </c>
      <c r="O3" s="115" t="s">
        <v>970</v>
      </c>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1296"/>
      <c r="E4" s="1297"/>
      <c r="F4" s="1297"/>
      <c r="G4" s="1298"/>
      <c r="H4" s="1298"/>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301" t="s">
        <v>713</v>
      </c>
      <c r="H5" s="115" t="s">
        <v>2218</v>
      </c>
    </row>
    <row r="6" spans="1:23" ht="12.75" customHeight="1" x14ac:dyDescent="0.25">
      <c r="D6" s="301" t="s">
        <v>66</v>
      </c>
      <c r="H6" s="115" t="s">
        <v>14</v>
      </c>
    </row>
    <row r="28" spans="1:18" ht="12.75" customHeight="1" x14ac:dyDescent="0.3">
      <c r="A28" s="31"/>
      <c r="D28" s="452" t="s">
        <v>507</v>
      </c>
      <c r="E28" s="438"/>
      <c r="F28" s="438"/>
      <c r="G28" s="453"/>
      <c r="H28" s="453"/>
      <c r="I28" s="453"/>
      <c r="J28" s="453"/>
    </row>
    <row r="29" spans="1:18" ht="12.75" customHeight="1" x14ac:dyDescent="0.3">
      <c r="A29" s="31"/>
      <c r="D29" s="438"/>
      <c r="E29" s="438"/>
      <c r="F29" s="438"/>
      <c r="G29" s="453"/>
      <c r="H29" s="453"/>
      <c r="I29" s="453"/>
      <c r="J29" s="453"/>
    </row>
    <row r="30" spans="1:18" ht="12.75" customHeight="1" x14ac:dyDescent="0.3">
      <c r="A30" s="31"/>
      <c r="D30" s="1746" t="s">
        <v>508</v>
      </c>
      <c r="E30" s="1747"/>
      <c r="F30" s="1747"/>
      <c r="G30" s="1748"/>
      <c r="H30" s="1748"/>
      <c r="I30" s="1749"/>
      <c r="J30" s="1749">
        <v>2025</v>
      </c>
      <c r="K30" s="1749">
        <v>2026</v>
      </c>
      <c r="L30" s="1749">
        <v>2027</v>
      </c>
      <c r="M30" s="1749">
        <v>2028</v>
      </c>
      <c r="N30" s="1749">
        <v>2029</v>
      </c>
      <c r="O30" s="1749">
        <v>2030</v>
      </c>
    </row>
    <row r="31" spans="1:18" ht="12.75" customHeight="1" x14ac:dyDescent="0.3">
      <c r="A31" s="31"/>
      <c r="D31" s="454" t="str">
        <f>G63</f>
        <v>Vennootschapsbelasting</v>
      </c>
      <c r="E31" s="455"/>
      <c r="F31" s="456"/>
      <c r="G31" s="453"/>
      <c r="H31" s="453"/>
      <c r="I31" s="518"/>
      <c r="J31" s="25">
        <v>0</v>
      </c>
      <c r="K31" s="25">
        <v>11400</v>
      </c>
      <c r="L31" s="25">
        <f t="shared" ref="L31:M31" si="0">L66</f>
        <v>11400</v>
      </c>
      <c r="M31" s="25">
        <f t="shared" si="0"/>
        <v>11400</v>
      </c>
      <c r="N31" s="25">
        <f t="shared" ref="N31:O31" si="1">N66</f>
        <v>11400</v>
      </c>
      <c r="O31" s="25">
        <f t="shared" si="1"/>
        <v>11400</v>
      </c>
    </row>
    <row r="32" spans="1:18" ht="12.75" customHeight="1" x14ac:dyDescent="0.3">
      <c r="A32" s="31"/>
      <c r="D32" s="454"/>
      <c r="E32" s="455"/>
      <c r="F32" s="456"/>
      <c r="G32" s="453"/>
      <c r="H32" s="453"/>
      <c r="I32" s="518"/>
      <c r="J32" s="28"/>
      <c r="K32" s="28"/>
      <c r="L32" s="28"/>
      <c r="M32" s="28"/>
      <c r="N32" s="28"/>
      <c r="O32" s="28"/>
      <c r="R32" s="310"/>
    </row>
    <row r="33" spans="1:18" ht="12.75" customHeight="1" x14ac:dyDescent="0.3">
      <c r="A33" s="31"/>
      <c r="D33" s="454"/>
      <c r="E33" s="455"/>
      <c r="F33" s="456"/>
      <c r="G33" s="453"/>
      <c r="H33" s="453" t="s">
        <v>2219</v>
      </c>
      <c r="I33" s="518"/>
      <c r="J33" s="28"/>
      <c r="K33" s="28"/>
      <c r="L33" s="28"/>
      <c r="M33" s="28"/>
      <c r="N33" s="28"/>
      <c r="O33" s="28"/>
      <c r="R33" s="310"/>
    </row>
    <row r="34" spans="1:18" ht="12.75" customHeight="1" x14ac:dyDescent="0.3">
      <c r="A34" s="31"/>
      <c r="D34" s="454"/>
      <c r="E34" s="455"/>
      <c r="F34" s="456"/>
      <c r="G34" s="453"/>
      <c r="H34" s="453"/>
      <c r="I34" s="518"/>
      <c r="J34" s="28"/>
      <c r="K34" s="28"/>
      <c r="L34" s="28"/>
      <c r="M34" s="28"/>
      <c r="N34" s="28"/>
      <c r="O34" s="28"/>
      <c r="R34" s="310"/>
    </row>
    <row r="35" spans="1:18" ht="12.75" customHeight="1" x14ac:dyDescent="0.3">
      <c r="A35" s="31"/>
      <c r="D35" s="454"/>
      <c r="E35" s="455"/>
      <c r="F35" s="456"/>
      <c r="G35" s="453"/>
      <c r="H35" s="453"/>
      <c r="I35" s="518"/>
      <c r="J35" s="28"/>
      <c r="K35" s="28"/>
      <c r="L35" s="28"/>
      <c r="M35" s="28"/>
      <c r="N35" s="28"/>
      <c r="O35" s="28"/>
      <c r="R35" s="310"/>
    </row>
    <row r="36" spans="1:18" ht="12.75" customHeight="1" x14ac:dyDescent="0.3">
      <c r="A36" s="31"/>
      <c r="D36" s="454"/>
      <c r="E36" s="455"/>
      <c r="F36" s="456"/>
      <c r="G36" s="453"/>
      <c r="H36" s="453"/>
      <c r="I36" s="518"/>
      <c r="J36" s="28"/>
      <c r="K36" s="28"/>
      <c r="L36" s="28"/>
      <c r="M36" s="28"/>
      <c r="N36" s="28"/>
      <c r="O36" s="28"/>
      <c r="R36" s="310"/>
    </row>
    <row r="37" spans="1:18" ht="12.75" customHeight="1" x14ac:dyDescent="0.3">
      <c r="A37" s="31"/>
      <c r="D37" s="454"/>
      <c r="E37" s="455"/>
      <c r="F37" s="456"/>
      <c r="G37" s="453"/>
      <c r="H37" s="453"/>
      <c r="I37" s="518"/>
      <c r="J37" s="28"/>
      <c r="K37" s="28"/>
      <c r="L37" s="28"/>
      <c r="M37" s="28"/>
      <c r="N37" s="28"/>
      <c r="O37" s="28"/>
      <c r="R37" s="310"/>
    </row>
    <row r="38" spans="1:18" ht="12.75" customHeight="1" x14ac:dyDescent="0.3">
      <c r="A38" s="31"/>
      <c r="D38" s="454"/>
      <c r="E38" s="455"/>
      <c r="F38" s="456"/>
      <c r="G38" s="453"/>
      <c r="H38" s="453"/>
      <c r="I38" s="518"/>
      <c r="J38" s="28"/>
      <c r="K38" s="28"/>
      <c r="L38" s="28"/>
      <c r="M38" s="28"/>
      <c r="N38" s="28"/>
      <c r="O38" s="28"/>
      <c r="R38" s="310"/>
    </row>
    <row r="39" spans="1:18" ht="12.75" customHeight="1" x14ac:dyDescent="0.3">
      <c r="A39" s="31"/>
      <c r="D39" s="454"/>
      <c r="E39" s="455"/>
      <c r="F39" s="456"/>
      <c r="G39" s="453"/>
      <c r="H39" s="453"/>
      <c r="I39" s="518"/>
      <c r="J39" s="26"/>
      <c r="K39" s="26"/>
      <c r="L39" s="26"/>
      <c r="M39" s="26"/>
      <c r="N39" s="26"/>
      <c r="O39" s="26"/>
      <c r="R39" s="310"/>
    </row>
    <row r="40" spans="1:18" ht="12.75" customHeight="1" x14ac:dyDescent="0.3">
      <c r="A40" s="31"/>
      <c r="D40" s="1751" t="s">
        <v>525</v>
      </c>
      <c r="E40" s="1752"/>
      <c r="F40" s="1753"/>
      <c r="G40" s="1754"/>
      <c r="H40" s="1754"/>
      <c r="I40" s="1757"/>
      <c r="J40" s="1755">
        <v>0</v>
      </c>
      <c r="K40" s="1755">
        <v>11400</v>
      </c>
      <c r="L40" s="1755">
        <f>SUM(L31:L39)</f>
        <v>11400</v>
      </c>
      <c r="M40" s="1755">
        <f>SUM(M31:M39)</f>
        <v>11400</v>
      </c>
      <c r="N40" s="1755">
        <f>SUM(N31:N39)</f>
        <v>11400</v>
      </c>
      <c r="O40" s="1755">
        <f>SUM(O31:O39)</f>
        <v>11400</v>
      </c>
      <c r="R40" s="310"/>
    </row>
    <row r="41" spans="1:18" ht="12.75" customHeight="1" x14ac:dyDescent="0.3">
      <c r="A41" s="31"/>
      <c r="D41" s="438"/>
      <c r="E41" s="455"/>
      <c r="F41" s="456"/>
      <c r="G41" s="453"/>
      <c r="H41" s="453"/>
      <c r="I41" s="453"/>
      <c r="J41" s="453"/>
      <c r="K41" s="453"/>
      <c r="L41" s="453"/>
      <c r="M41" s="453"/>
      <c r="N41" s="453"/>
      <c r="O41" s="453"/>
    </row>
    <row r="42" spans="1:18" ht="12.75" customHeight="1" x14ac:dyDescent="0.3">
      <c r="A42" s="31"/>
      <c r="D42" s="1746" t="s">
        <v>526</v>
      </c>
      <c r="E42" s="1747"/>
      <c r="F42" s="1747"/>
      <c r="G42" s="1748"/>
      <c r="H42" s="1748"/>
      <c r="I42" s="1749"/>
      <c r="J42" s="1749">
        <v>2025</v>
      </c>
      <c r="K42" s="1749">
        <v>2026</v>
      </c>
      <c r="L42" s="1749">
        <f>+L30</f>
        <v>2027</v>
      </c>
      <c r="M42" s="1749">
        <f>+M30</f>
        <v>2028</v>
      </c>
      <c r="N42" s="1749">
        <f>+N30</f>
        <v>2029</v>
      </c>
      <c r="O42" s="1749">
        <f>+O30</f>
        <v>2030</v>
      </c>
    </row>
    <row r="43" spans="1:18" ht="12.75" customHeight="1" x14ac:dyDescent="0.3">
      <c r="A43" s="31"/>
      <c r="D43" s="454"/>
      <c r="E43" s="455"/>
      <c r="F43" s="456"/>
      <c r="G43" s="453"/>
      <c r="H43" s="453"/>
      <c r="I43" s="518"/>
      <c r="J43" s="463"/>
      <c r="K43" s="463"/>
      <c r="L43" s="463"/>
      <c r="M43" s="463"/>
      <c r="N43" s="463"/>
      <c r="O43" s="463"/>
      <c r="R43" s="310"/>
    </row>
    <row r="44" spans="1:18" ht="12.75" customHeight="1" x14ac:dyDescent="0.3">
      <c r="A44" s="31"/>
      <c r="D44" s="454"/>
      <c r="E44" s="455"/>
      <c r="F44" s="456"/>
      <c r="G44" s="453"/>
      <c r="H44" s="453"/>
      <c r="I44" s="518"/>
      <c r="J44" s="463"/>
      <c r="K44" s="463"/>
      <c r="L44" s="463"/>
      <c r="M44" s="463"/>
      <c r="N44" s="463"/>
      <c r="O44" s="463"/>
      <c r="R44" s="310"/>
    </row>
    <row r="45" spans="1:18" ht="12.75" customHeight="1" x14ac:dyDescent="0.3">
      <c r="A45" s="31"/>
      <c r="D45" s="454"/>
      <c r="E45" s="455"/>
      <c r="F45" s="456"/>
      <c r="G45" s="453"/>
      <c r="H45" s="453"/>
      <c r="I45" s="518"/>
      <c r="J45" s="463"/>
      <c r="K45" s="463"/>
      <c r="L45" s="463"/>
      <c r="M45" s="463"/>
      <c r="N45" s="463"/>
      <c r="O45" s="463"/>
      <c r="R45" s="310"/>
    </row>
    <row r="46" spans="1:18" ht="12.75" customHeight="1" x14ac:dyDescent="0.3">
      <c r="A46" s="31"/>
      <c r="D46" s="454"/>
      <c r="E46" s="455"/>
      <c r="F46" s="456"/>
      <c r="G46" s="453"/>
      <c r="H46" s="453"/>
      <c r="I46" s="518"/>
      <c r="J46" s="463"/>
      <c r="K46" s="463"/>
      <c r="L46" s="463"/>
      <c r="M46" s="463"/>
      <c r="N46" s="463"/>
      <c r="O46" s="463"/>
      <c r="R46" s="310"/>
    </row>
    <row r="47" spans="1:18" ht="12.75" customHeight="1" x14ac:dyDescent="0.3">
      <c r="A47" s="31"/>
      <c r="D47" s="454"/>
      <c r="E47" s="455"/>
      <c r="F47" s="456"/>
      <c r="G47" s="453"/>
      <c r="H47" s="453"/>
      <c r="I47" s="518"/>
      <c r="J47" s="463"/>
      <c r="K47" s="463"/>
      <c r="L47" s="463"/>
      <c r="M47" s="463"/>
      <c r="N47" s="463"/>
      <c r="O47" s="463"/>
      <c r="R47" s="310"/>
    </row>
    <row r="48" spans="1:18" ht="12.75" customHeight="1" x14ac:dyDescent="0.3">
      <c r="A48" s="31"/>
      <c r="D48" s="454"/>
      <c r="E48" s="455"/>
      <c r="F48" s="456"/>
      <c r="G48" s="453"/>
      <c r="H48" s="453"/>
      <c r="I48" s="518"/>
      <c r="J48" s="463"/>
      <c r="K48" s="463"/>
      <c r="L48" s="463"/>
      <c r="M48" s="463"/>
      <c r="N48" s="463"/>
      <c r="O48" s="463"/>
      <c r="R48" s="310"/>
    </row>
    <row r="49" spans="1:18" ht="12.75" customHeight="1" x14ac:dyDescent="0.3">
      <c r="A49" s="31"/>
      <c r="D49" s="454"/>
      <c r="E49" s="455"/>
      <c r="F49" s="456"/>
      <c r="G49" s="453"/>
      <c r="H49" s="453"/>
      <c r="I49" s="518"/>
      <c r="J49" s="463"/>
      <c r="K49" s="463"/>
      <c r="L49" s="463"/>
      <c r="M49" s="463"/>
      <c r="N49" s="463"/>
      <c r="O49" s="463"/>
      <c r="R49" s="310"/>
    </row>
    <row r="50" spans="1:18" ht="12.75" customHeight="1" x14ac:dyDescent="0.3">
      <c r="A50" s="31"/>
      <c r="D50" s="454"/>
      <c r="E50" s="455"/>
      <c r="F50" s="456"/>
      <c r="G50" s="453"/>
      <c r="H50" s="453"/>
      <c r="I50" s="518"/>
      <c r="J50" s="463"/>
      <c r="K50" s="463"/>
      <c r="L50" s="463"/>
      <c r="M50" s="463"/>
      <c r="N50" s="463"/>
      <c r="O50" s="463"/>
      <c r="R50" s="310"/>
    </row>
    <row r="51" spans="1:18" ht="12.75" customHeight="1" x14ac:dyDescent="0.3">
      <c r="A51" s="31"/>
      <c r="D51" s="464"/>
      <c r="E51" s="465"/>
      <c r="F51" s="466"/>
      <c r="G51" s="467"/>
      <c r="H51" s="467"/>
      <c r="I51" s="518"/>
      <c r="J51" s="463"/>
      <c r="K51" s="463"/>
      <c r="L51" s="463"/>
      <c r="M51" s="463"/>
      <c r="N51" s="463"/>
      <c r="O51" s="463"/>
      <c r="R51" s="310"/>
    </row>
    <row r="52" spans="1:18" ht="12.75" customHeight="1" x14ac:dyDescent="0.3">
      <c r="A52" s="31"/>
      <c r="D52" s="1751" t="s">
        <v>328</v>
      </c>
      <c r="E52" s="1752"/>
      <c r="F52" s="1753"/>
      <c r="G52" s="1754"/>
      <c r="H52" s="1754"/>
      <c r="I52" s="1757"/>
      <c r="J52" s="1755">
        <v>0</v>
      </c>
      <c r="K52" s="1755">
        <v>0</v>
      </c>
      <c r="L52" s="1755">
        <f>SUM(L43:L51)</f>
        <v>0</v>
      </c>
      <c r="M52" s="1755">
        <f>SUM(M43:M51)</f>
        <v>0</v>
      </c>
      <c r="N52" s="1755">
        <f>SUM(N43:N51)</f>
        <v>0</v>
      </c>
      <c r="O52" s="1755">
        <f>SUM(O43:O51)</f>
        <v>0</v>
      </c>
      <c r="R52" s="310"/>
    </row>
    <row r="53" spans="1:18" ht="12.75" customHeight="1" x14ac:dyDescent="0.3">
      <c r="A53" s="31"/>
      <c r="D53" s="438"/>
      <c r="E53" s="455"/>
      <c r="F53" s="456"/>
      <c r="G53" s="453"/>
      <c r="H53" s="453"/>
      <c r="I53" s="453"/>
      <c r="J53" s="469"/>
      <c r="K53" s="469"/>
      <c r="L53" s="469"/>
      <c r="M53" s="469"/>
      <c r="N53" s="469"/>
      <c r="O53" s="469"/>
      <c r="R53" s="310"/>
    </row>
    <row r="54" spans="1:18" ht="12.75" customHeight="1" x14ac:dyDescent="0.3">
      <c r="A54" s="31"/>
      <c r="D54" s="1751" t="s">
        <v>976</v>
      </c>
      <c r="E54" s="1756"/>
      <c r="F54" s="1756"/>
      <c r="G54" s="1754"/>
      <c r="H54" s="1754"/>
      <c r="I54" s="1754"/>
      <c r="J54" s="1758">
        <v>0</v>
      </c>
      <c r="K54" s="1758">
        <v>11400</v>
      </c>
      <c r="L54" s="1758">
        <f>L40+L52</f>
        <v>11400</v>
      </c>
      <c r="M54" s="1758">
        <f>M40+M52</f>
        <v>11400</v>
      </c>
      <c r="N54" s="1758">
        <f>N40+N52</f>
        <v>11400</v>
      </c>
      <c r="O54" s="1758">
        <f>O40+O52</f>
        <v>11400</v>
      </c>
      <c r="R54" s="310"/>
    </row>
    <row r="55" spans="1:18" ht="12.75" customHeight="1" x14ac:dyDescent="0.3">
      <c r="A55" s="31"/>
      <c r="D55" s="438"/>
      <c r="E55" s="455"/>
      <c r="F55" s="456"/>
      <c r="G55" s="453"/>
      <c r="H55" s="453"/>
      <c r="I55" s="453"/>
      <c r="J55" s="469"/>
      <c r="K55" s="469"/>
      <c r="L55" s="469"/>
      <c r="M55" s="469"/>
      <c r="N55" s="469"/>
      <c r="O55" s="469"/>
      <c r="R55" s="310"/>
    </row>
    <row r="56" spans="1:18" ht="12.75" customHeight="1" x14ac:dyDescent="0.3">
      <c r="A56" s="31"/>
      <c r="D56" s="438"/>
      <c r="E56" s="455"/>
      <c r="F56" s="456"/>
      <c r="G56" s="453"/>
      <c r="H56" s="453"/>
      <c r="I56" s="453"/>
      <c r="J56" s="469"/>
      <c r="R56" s="310"/>
    </row>
    <row r="57" spans="1:18" ht="12.75" customHeight="1" x14ac:dyDescent="0.3">
      <c r="A57" s="31"/>
      <c r="R57" s="310"/>
    </row>
    <row r="58" spans="1:18" ht="12.75" customHeight="1" x14ac:dyDescent="0.3">
      <c r="A58" s="31"/>
      <c r="D58" s="312" t="s">
        <v>528</v>
      </c>
      <c r="E58" s="382"/>
      <c r="F58" s="382"/>
      <c r="J58" s="114"/>
      <c r="R58" s="310"/>
    </row>
    <row r="59" spans="1:18" ht="12.75" customHeight="1" x14ac:dyDescent="0.3">
      <c r="A59" s="31"/>
      <c r="D59" s="115"/>
      <c r="E59" s="115"/>
      <c r="F59" s="115"/>
      <c r="R59" s="310"/>
    </row>
    <row r="60" spans="1:18" ht="12.75" customHeight="1" x14ac:dyDescent="0.25">
      <c r="A60" s="301"/>
      <c r="D60" s="2523" t="s">
        <v>2220</v>
      </c>
      <c r="E60" s="1761" t="s">
        <v>530</v>
      </c>
      <c r="F60" s="2552" t="s">
        <v>531</v>
      </c>
      <c r="G60" s="2525" t="s">
        <v>206</v>
      </c>
      <c r="H60" s="2526"/>
      <c r="I60" s="1773"/>
      <c r="J60" s="1763"/>
      <c r="K60" s="1763"/>
      <c r="L60" s="1763"/>
      <c r="M60" s="1763"/>
      <c r="N60" s="1763"/>
      <c r="O60" s="1763"/>
    </row>
    <row r="61" spans="1:18" ht="12.75" customHeight="1" x14ac:dyDescent="0.25">
      <c r="A61" s="301"/>
      <c r="D61" s="2524"/>
      <c r="E61" s="472" t="s">
        <v>532</v>
      </c>
      <c r="F61" s="2553"/>
      <c r="G61" s="2527"/>
      <c r="H61" s="2528"/>
      <c r="I61" s="521"/>
      <c r="J61" s="1764">
        <v>2025</v>
      </c>
      <c r="K61" s="1764">
        <v>2026</v>
      </c>
      <c r="L61" s="1764">
        <f>+L30</f>
        <v>2027</v>
      </c>
      <c r="M61" s="1764">
        <f>+M42</f>
        <v>2028</v>
      </c>
      <c r="N61" s="1764">
        <f>+N42</f>
        <v>2029</v>
      </c>
      <c r="O61" s="1764">
        <f>+O42</f>
        <v>2030</v>
      </c>
    </row>
    <row r="62" spans="1:18" ht="12.75" customHeight="1" x14ac:dyDescent="0.3">
      <c r="A62" s="31"/>
      <c r="D62" s="340"/>
      <c r="E62" s="340"/>
      <c r="F62" s="1257"/>
      <c r="I62" s="318"/>
      <c r="J62" s="317"/>
      <c r="K62" s="317"/>
      <c r="L62" s="317"/>
      <c r="M62" s="317"/>
      <c r="N62" s="317"/>
      <c r="O62" s="317"/>
      <c r="R62" s="310"/>
    </row>
    <row r="63" spans="1:18" ht="12.75" customHeight="1" x14ac:dyDescent="0.3">
      <c r="A63" s="31"/>
      <c r="D63" s="1126">
        <v>612001</v>
      </c>
      <c r="E63" s="1126"/>
      <c r="F63" s="1126"/>
      <c r="G63" s="747" t="s">
        <v>235</v>
      </c>
      <c r="H63" s="453"/>
      <c r="I63" s="518"/>
      <c r="J63" s="529"/>
      <c r="K63" s="529"/>
      <c r="L63" s="529"/>
      <c r="M63" s="529"/>
      <c r="N63" s="529"/>
      <c r="O63" s="529"/>
      <c r="R63" s="310"/>
    </row>
    <row r="64" spans="1:18" ht="12.75" customHeight="1" x14ac:dyDescent="0.3">
      <c r="A64" s="31"/>
      <c r="D64" s="1126"/>
      <c r="E64" s="1126"/>
      <c r="F64" s="1126"/>
      <c r="G64" s="527" t="s">
        <v>533</v>
      </c>
      <c r="H64" s="453"/>
      <c r="I64" s="518"/>
      <c r="J64" s="529"/>
      <c r="K64" s="529"/>
      <c r="L64" s="529"/>
      <c r="M64" s="529"/>
      <c r="N64" s="529"/>
      <c r="O64" s="529"/>
      <c r="R64" s="310"/>
    </row>
    <row r="65" spans="1:18" ht="12.75" customHeight="1" x14ac:dyDescent="0.3">
      <c r="A65" s="32">
        <f>D63</f>
        <v>612001</v>
      </c>
      <c r="B65" s="115" t="str">
        <f>G63</f>
        <v>Vennootschapsbelasting</v>
      </c>
      <c r="D65" s="763">
        <v>42100</v>
      </c>
      <c r="E65" s="763"/>
      <c r="F65" s="763"/>
      <c r="G65" s="453" t="s">
        <v>235</v>
      </c>
      <c r="H65" s="453"/>
      <c r="I65" s="463"/>
      <c r="J65" s="457">
        <v>0</v>
      </c>
      <c r="K65" s="457">
        <v>11400</v>
      </c>
      <c r="L65" s="457">
        <v>11400</v>
      </c>
      <c r="M65" s="457">
        <v>11400</v>
      </c>
      <c r="N65" s="457">
        <v>11400</v>
      </c>
      <c r="O65" s="457">
        <v>11400</v>
      </c>
      <c r="R65" s="310"/>
    </row>
    <row r="66" spans="1:18" ht="12.75" customHeight="1" thickBot="1" x14ac:dyDescent="0.35">
      <c r="A66" s="31"/>
      <c r="D66" s="758"/>
      <c r="E66" s="758"/>
      <c r="F66" s="758"/>
      <c r="G66" s="453" t="s">
        <v>536</v>
      </c>
      <c r="H66" s="453"/>
      <c r="I66" s="463"/>
      <c r="J66" s="1085">
        <v>0</v>
      </c>
      <c r="K66" s="1085">
        <v>11400</v>
      </c>
      <c r="L66" s="1085">
        <f t="shared" ref="L66:M66" si="2">SUM(L65:L65)</f>
        <v>11400</v>
      </c>
      <c r="M66" s="1085">
        <f t="shared" si="2"/>
        <v>11400</v>
      </c>
      <c r="N66" s="1085">
        <f t="shared" ref="N66:O66" si="3">SUM(N65:N65)</f>
        <v>11400</v>
      </c>
      <c r="O66" s="1085">
        <f t="shared" si="3"/>
        <v>11400</v>
      </c>
      <c r="R66" s="310"/>
    </row>
    <row r="67" spans="1:18" ht="12.75" customHeight="1" thickTop="1" x14ac:dyDescent="0.3">
      <c r="A67" s="31"/>
      <c r="D67" s="766"/>
      <c r="E67" s="766"/>
      <c r="F67" s="766"/>
      <c r="G67" s="467"/>
      <c r="H67" s="467"/>
      <c r="I67" s="768"/>
      <c r="J67" s="468"/>
      <c r="K67" s="468"/>
      <c r="L67" s="468"/>
      <c r="M67" s="468"/>
      <c r="N67" s="468"/>
      <c r="O67" s="468"/>
      <c r="R67" s="310"/>
    </row>
    <row r="68" spans="1:18" ht="12.75" customHeight="1" x14ac:dyDescent="0.3">
      <c r="A68" s="31"/>
      <c r="D68" s="769"/>
      <c r="E68" s="769"/>
      <c r="F68" s="769"/>
      <c r="G68" s="453"/>
      <c r="H68" s="453"/>
      <c r="I68" s="469"/>
      <c r="J68" s="469"/>
      <c r="K68" s="469"/>
      <c r="L68" s="469"/>
      <c r="M68" s="469"/>
      <c r="N68" s="469"/>
      <c r="O68" s="469"/>
      <c r="R68" s="310"/>
    </row>
    <row r="69" spans="1:18" ht="12.75" customHeight="1" x14ac:dyDescent="0.3">
      <c r="A69" s="31"/>
      <c r="R69" s="310"/>
    </row>
    <row r="70" spans="1:18" ht="12.75" customHeight="1" x14ac:dyDescent="0.25">
      <c r="D70" s="384"/>
      <c r="E70" s="384"/>
      <c r="F70" s="384"/>
      <c r="G70" s="381" t="s">
        <v>561</v>
      </c>
    </row>
    <row r="71" spans="1:18" ht="12.75" customHeight="1" x14ac:dyDescent="0.25">
      <c r="D71" s="384"/>
      <c r="E71" s="384"/>
      <c r="F71" s="384"/>
    </row>
    <row r="72" spans="1:18" ht="12.75" customHeight="1" x14ac:dyDescent="0.25">
      <c r="D72" s="453"/>
      <c r="E72" s="453"/>
      <c r="F72" s="453"/>
      <c r="G72" s="778"/>
      <c r="H72" s="453"/>
      <c r="I72" s="453"/>
      <c r="J72" s="114"/>
    </row>
    <row r="73" spans="1:18" ht="12.75" customHeight="1" x14ac:dyDescent="0.25">
      <c r="D73" s="771">
        <v>612001</v>
      </c>
      <c r="E73" s="747" t="s">
        <v>235</v>
      </c>
      <c r="F73" s="752"/>
      <c r="H73" s="453"/>
      <c r="I73" s="453"/>
      <c r="J73" s="114"/>
    </row>
    <row r="74" spans="1:18" ht="12.75" customHeight="1" x14ac:dyDescent="0.25">
      <c r="D74" s="771"/>
      <c r="E74" s="527" t="s">
        <v>533</v>
      </c>
      <c r="F74" s="752"/>
      <c r="H74" s="453"/>
      <c r="I74" s="453"/>
      <c r="J74" s="114"/>
    </row>
    <row r="75" spans="1:18" ht="12.75" customHeight="1" x14ac:dyDescent="0.25">
      <c r="D75" s="516">
        <v>42100</v>
      </c>
      <c r="E75" s="2510" t="s">
        <v>2221</v>
      </c>
      <c r="F75" s="2510"/>
      <c r="G75" s="2510"/>
      <c r="H75" s="2510"/>
      <c r="I75" s="2510"/>
      <c r="J75" s="2510"/>
    </row>
    <row r="76" spans="1:18" ht="12.75" customHeight="1" x14ac:dyDescent="0.25">
      <c r="D76" s="453"/>
      <c r="E76" s="2510"/>
      <c r="F76" s="2510"/>
      <c r="G76" s="2510"/>
      <c r="H76" s="2510"/>
      <c r="I76" s="2510"/>
      <c r="J76" s="2510"/>
    </row>
    <row r="77" spans="1:18" ht="12.75" customHeight="1" x14ac:dyDescent="0.25">
      <c r="E77" s="2510"/>
      <c r="F77" s="2510"/>
      <c r="G77" s="2510"/>
      <c r="H77" s="2510"/>
      <c r="I77" s="2510"/>
      <c r="J77" s="2510"/>
    </row>
    <row r="78" spans="1:18" ht="12.75" customHeight="1" x14ac:dyDescent="0.25">
      <c r="E78" s="434" t="s">
        <v>2222</v>
      </c>
      <c r="G78" s="405"/>
      <c r="H78" s="405"/>
      <c r="I78" s="405"/>
      <c r="J78" s="397"/>
    </row>
    <row r="79" spans="1:18" ht="12.75" customHeight="1" x14ac:dyDescent="0.25">
      <c r="E79" s="434" t="s">
        <v>2223</v>
      </c>
    </row>
    <row r="80" spans="1:18" ht="12.75" customHeight="1" x14ac:dyDescent="0.25">
      <c r="D80" s="393"/>
      <c r="E80" s="434" t="s">
        <v>2224</v>
      </c>
      <c r="F80" s="382"/>
      <c r="G80" s="381"/>
    </row>
    <row r="81" spans="4:10" ht="12.75" customHeight="1" x14ac:dyDescent="0.25">
      <c r="D81" s="393"/>
      <c r="E81" s="382"/>
      <c r="F81" s="382"/>
      <c r="G81" s="383"/>
    </row>
    <row r="82" spans="4:10" ht="12.75" customHeight="1" x14ac:dyDescent="0.25">
      <c r="D82" s="143"/>
      <c r="G82" s="401"/>
      <c r="H82" s="484"/>
    </row>
    <row r="84" spans="4:10" ht="12.75" customHeight="1" x14ac:dyDescent="0.25">
      <c r="J84" s="415"/>
    </row>
    <row r="85" spans="4:10" ht="12.75" customHeight="1" x14ac:dyDescent="0.25">
      <c r="J85" s="415"/>
    </row>
    <row r="91" spans="4:10" ht="12.75" customHeight="1" x14ac:dyDescent="0.25">
      <c r="J91" s="114"/>
    </row>
    <row r="92" spans="4:10" ht="12.75" customHeight="1" x14ac:dyDescent="0.25">
      <c r="J92" s="114"/>
    </row>
  </sheetData>
  <mergeCells count="4">
    <mergeCell ref="D60:D61"/>
    <mergeCell ref="F60:F61"/>
    <mergeCell ref="G60:H61"/>
    <mergeCell ref="E75:J77"/>
  </mergeCells>
  <hyperlinks>
    <hyperlink ref="A1" location="Inhoudsopgave!A1" display="Inhoudsopgave" xr:uid="{2958DF99-455E-4282-AEC1-A9A7D394B7E6}"/>
  </hyperlinks>
  <pageMargins left="0.59055118110236227" right="0.39370078740157483" top="0.39370078740157483" bottom="0.39370078740157483" header="0.51181102362204722" footer="0.51181102362204722"/>
  <pageSetup paperSize="9" scale="67" orientation="portrait" useFirstPageNumber="1" r:id="rId1"/>
  <headerFooter alignWithMargins="0"/>
  <ignoredErrors>
    <ignoredError sqref="L52:M52" formulaRange="1"/>
  </ignoredError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48F0-FF29-4491-B284-D1A723CF9EDC}">
  <sheetPr codeName="Blad14"/>
  <dimension ref="A1:AA538"/>
  <sheetViews>
    <sheetView showGridLines="0" topLeftCell="A503" zoomScaleNormal="100" zoomScaleSheetLayoutView="50" workbookViewId="0">
      <selection activeCell="L431" sqref="L431"/>
    </sheetView>
  </sheetViews>
  <sheetFormatPr defaultColWidth="9.109375" defaultRowHeight="12.75" customHeight="1" x14ac:dyDescent="0.25"/>
  <cols>
    <col min="1" max="1" width="9.109375" style="306"/>
    <col min="2" max="3" width="9.109375" style="115"/>
    <col min="4" max="4" width="9.6640625" style="301" customWidth="1"/>
    <col min="5" max="6" width="9.6640625" style="143" customWidth="1"/>
    <col min="7" max="9" width="12.6640625" style="115" customWidth="1"/>
    <col min="10" max="15" width="11.6640625" style="115" customWidth="1"/>
    <col min="16" max="16" width="9.109375" style="115"/>
    <col min="17" max="17" width="11" style="115" bestFit="1" customWidth="1"/>
    <col min="18" max="18" width="9.109375" style="115"/>
    <col min="19" max="19" width="9.6640625" style="115" bestFit="1" customWidth="1"/>
    <col min="20" max="20" width="12" style="115" bestFit="1" customWidth="1"/>
    <col min="21" max="21" width="16.33203125" style="115" bestFit="1" customWidth="1"/>
    <col min="22" max="22" width="11.6640625" style="115" bestFit="1" customWidth="1"/>
    <col min="23" max="23" width="17.33203125" style="115" bestFit="1" customWidth="1"/>
    <col min="24" max="27" width="12.44140625" style="115" bestFit="1" customWidth="1"/>
    <col min="28" max="16384" width="9.109375" style="115"/>
  </cols>
  <sheetData>
    <row r="1" spans="1:27" ht="12.75" customHeight="1" x14ac:dyDescent="0.3">
      <c r="A1" s="157" t="s">
        <v>0</v>
      </c>
      <c r="Q1" s="304">
        <v>2024</v>
      </c>
      <c r="R1" s="304">
        <v>2025</v>
      </c>
      <c r="S1" s="304">
        <v>2026</v>
      </c>
      <c r="T1" s="304">
        <v>2027</v>
      </c>
      <c r="U1" s="304">
        <v>2028</v>
      </c>
      <c r="V1" s="304">
        <v>2029</v>
      </c>
      <c r="W1" s="304">
        <v>2030</v>
      </c>
    </row>
    <row r="2" spans="1:27" ht="12.75" customHeight="1" x14ac:dyDescent="0.3">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7" ht="12.75" customHeight="1" x14ac:dyDescent="0.3">
      <c r="D3" s="301" t="s">
        <v>66</v>
      </c>
      <c r="H3" s="115" t="s">
        <v>2225</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7" ht="12.75" customHeight="1" x14ac:dyDescent="0.3">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7" ht="12.75" customHeight="1" x14ac:dyDescent="0.3">
      <c r="S6" s="1302" t="s">
        <v>2226</v>
      </c>
      <c r="T6" s="1302" t="s">
        <v>2227</v>
      </c>
      <c r="U6" s="1302" t="s">
        <v>206</v>
      </c>
      <c r="V6" s="1302" t="s">
        <v>2228</v>
      </c>
      <c r="W6" s="1302" t="s">
        <v>206</v>
      </c>
      <c r="X6" s="1302" t="s">
        <v>2229</v>
      </c>
      <c r="Y6" s="1302" t="s">
        <v>2230</v>
      </c>
      <c r="Z6" s="1302" t="s">
        <v>2231</v>
      </c>
      <c r="AA6" s="1302" t="s">
        <v>2232</v>
      </c>
    </row>
    <row r="7" spans="1:27" ht="12.75" customHeight="1" x14ac:dyDescent="0.25">
      <c r="R7" s="115" t="s">
        <v>85</v>
      </c>
      <c r="S7" s="115" t="s">
        <v>2233</v>
      </c>
      <c r="T7" s="115" t="s">
        <v>2234</v>
      </c>
      <c r="U7" s="115" t="s">
        <v>2235</v>
      </c>
      <c r="V7" s="115" t="s">
        <v>2236</v>
      </c>
      <c r="W7" s="115" t="s">
        <v>2237</v>
      </c>
      <c r="X7" s="494">
        <v>2366615</v>
      </c>
      <c r="Y7" s="494">
        <v>1188530</v>
      </c>
      <c r="Z7" s="494">
        <v>1000744</v>
      </c>
      <c r="AA7" s="494">
        <v>1714514</v>
      </c>
    </row>
    <row r="8" spans="1:27" ht="12.75" customHeight="1" x14ac:dyDescent="0.25">
      <c r="R8" s="115" t="s">
        <v>99</v>
      </c>
      <c r="S8" s="115" t="s">
        <v>2238</v>
      </c>
      <c r="T8" s="115" t="s">
        <v>2239</v>
      </c>
      <c r="U8" s="115" t="s">
        <v>2240</v>
      </c>
      <c r="V8" s="115" t="s">
        <v>2236</v>
      </c>
      <c r="W8" s="115" t="s">
        <v>2237</v>
      </c>
      <c r="X8" s="494">
        <v>451500</v>
      </c>
      <c r="Y8" s="494">
        <v>283023</v>
      </c>
      <c r="Z8" s="494">
        <v>279568</v>
      </c>
      <c r="AA8" s="494">
        <v>281136</v>
      </c>
    </row>
    <row r="9" spans="1:27" ht="12.75" customHeight="1" x14ac:dyDescent="0.25">
      <c r="R9" s="115" t="s">
        <v>94</v>
      </c>
      <c r="S9" s="115" t="s">
        <v>2241</v>
      </c>
      <c r="T9" s="115" t="s">
        <v>2242</v>
      </c>
      <c r="U9" s="115" t="s">
        <v>2243</v>
      </c>
      <c r="V9" s="115" t="s">
        <v>2236</v>
      </c>
      <c r="W9" s="115" t="s">
        <v>2237</v>
      </c>
      <c r="X9" s="494">
        <v>76125</v>
      </c>
      <c r="Y9" s="494">
        <v>474467</v>
      </c>
      <c r="Z9" s="494">
        <v>264426</v>
      </c>
      <c r="AA9" s="494">
        <v>79602</v>
      </c>
    </row>
    <row r="10" spans="1:27" ht="12.75" customHeight="1" x14ac:dyDescent="0.25">
      <c r="R10" s="115" t="s">
        <v>94</v>
      </c>
      <c r="S10" s="115" t="s">
        <v>2244</v>
      </c>
      <c r="T10" s="115" t="s">
        <v>2245</v>
      </c>
      <c r="U10" s="115" t="s">
        <v>2246</v>
      </c>
      <c r="V10" s="115" t="s">
        <v>2236</v>
      </c>
      <c r="W10" s="115" t="s">
        <v>2237</v>
      </c>
      <c r="X10" s="494">
        <v>76125</v>
      </c>
      <c r="Y10" s="494">
        <v>866067</v>
      </c>
      <c r="Z10" s="494">
        <v>714026</v>
      </c>
      <c r="AA10" s="494">
        <v>79602</v>
      </c>
    </row>
    <row r="11" spans="1:27" ht="12.75" customHeight="1" x14ac:dyDescent="0.25">
      <c r="R11" s="115" t="s">
        <v>99</v>
      </c>
      <c r="S11" s="115" t="s">
        <v>2247</v>
      </c>
      <c r="T11" s="115" t="s">
        <v>2248</v>
      </c>
      <c r="U11" s="115" t="s">
        <v>2249</v>
      </c>
      <c r="V11" s="115" t="s">
        <v>2236</v>
      </c>
      <c r="W11" s="115" t="s">
        <v>2237</v>
      </c>
      <c r="X11" s="494">
        <v>34893</v>
      </c>
      <c r="Y11" s="494">
        <v>34893</v>
      </c>
      <c r="Z11" s="494">
        <v>34893</v>
      </c>
      <c r="AA11" s="494">
        <v>34893</v>
      </c>
    </row>
    <row r="12" spans="1:27" ht="12.75" customHeight="1" x14ac:dyDescent="0.25">
      <c r="R12" s="115" t="s">
        <v>74</v>
      </c>
      <c r="S12" s="115" t="s">
        <v>2250</v>
      </c>
      <c r="T12" s="115" t="s">
        <v>2251</v>
      </c>
      <c r="U12" s="115" t="s">
        <v>2252</v>
      </c>
      <c r="V12" s="115" t="s">
        <v>2236</v>
      </c>
      <c r="W12" s="115" t="s">
        <v>2237</v>
      </c>
      <c r="X12" s="494">
        <v>3090</v>
      </c>
      <c r="Y12" s="494">
        <v>2863</v>
      </c>
      <c r="Z12" s="494">
        <v>2627</v>
      </c>
      <c r="AA12" s="494">
        <v>2381</v>
      </c>
    </row>
    <row r="13" spans="1:27" ht="12.75" customHeight="1" x14ac:dyDescent="0.25">
      <c r="R13" s="115" t="s">
        <v>1757</v>
      </c>
      <c r="S13" s="115" t="s">
        <v>2253</v>
      </c>
      <c r="T13" s="115" t="s">
        <v>2254</v>
      </c>
      <c r="U13" s="115" t="s">
        <v>2255</v>
      </c>
      <c r="V13" s="115" t="s">
        <v>2236</v>
      </c>
      <c r="W13" s="115" t="s">
        <v>2237</v>
      </c>
      <c r="X13" s="494">
        <v>479750</v>
      </c>
      <c r="Y13" s="494">
        <v>484548</v>
      </c>
      <c r="Z13" s="494">
        <v>489393</v>
      </c>
      <c r="AA13" s="494">
        <v>494287</v>
      </c>
    </row>
    <row r="14" spans="1:27" ht="12.75" customHeight="1" x14ac:dyDescent="0.25">
      <c r="R14" s="115" t="s">
        <v>81</v>
      </c>
      <c r="S14" s="115" t="s">
        <v>2256</v>
      </c>
      <c r="T14" s="115" t="s">
        <v>2257</v>
      </c>
      <c r="U14" s="115" t="s">
        <v>2258</v>
      </c>
      <c r="V14" s="115" t="s">
        <v>2236</v>
      </c>
      <c r="W14" s="115" t="s">
        <v>2237</v>
      </c>
      <c r="X14" s="494">
        <v>2043600</v>
      </c>
      <c r="Y14" s="494">
        <v>1005101</v>
      </c>
      <c r="Z14" s="494">
        <v>0</v>
      </c>
      <c r="AA14" s="494">
        <v>0</v>
      </c>
    </row>
    <row r="15" spans="1:27" ht="12.75" customHeight="1" x14ac:dyDescent="0.25">
      <c r="S15" s="115" t="s">
        <v>2259</v>
      </c>
      <c r="T15" s="115" t="s">
        <v>2259</v>
      </c>
      <c r="U15" s="115" t="s">
        <v>2259</v>
      </c>
      <c r="V15" s="115" t="s">
        <v>2259</v>
      </c>
      <c r="W15" s="115" t="s">
        <v>2259</v>
      </c>
      <c r="X15" s="494">
        <v>5531698</v>
      </c>
      <c r="Y15" s="494">
        <v>4339492</v>
      </c>
      <c r="Z15" s="494">
        <v>2785677</v>
      </c>
      <c r="AA15" s="494">
        <v>2686415</v>
      </c>
    </row>
    <row r="16" spans="1:27" ht="12.75" customHeight="1" x14ac:dyDescent="0.3">
      <c r="A16" s="33"/>
      <c r="D16" s="452" t="s">
        <v>507</v>
      </c>
      <c r="E16" s="438"/>
      <c r="F16" s="438"/>
      <c r="G16" s="453"/>
      <c r="H16" s="453"/>
      <c r="I16" s="453"/>
      <c r="J16" s="453"/>
      <c r="K16" s="453"/>
      <c r="L16" s="453"/>
      <c r="M16" s="453"/>
      <c r="N16" s="453"/>
      <c r="O16" s="453"/>
      <c r="R16" s="115" t="s">
        <v>86</v>
      </c>
      <c r="S16" s="115" t="s">
        <v>2260</v>
      </c>
      <c r="T16" s="115" t="s">
        <v>2261</v>
      </c>
      <c r="U16" s="115" t="s">
        <v>2262</v>
      </c>
      <c r="V16" s="115" t="s">
        <v>2263</v>
      </c>
      <c r="W16" s="115" t="s">
        <v>2237</v>
      </c>
      <c r="X16" s="494">
        <v>-31805</v>
      </c>
      <c r="Y16" s="494">
        <v>-31805</v>
      </c>
      <c r="Z16" s="494">
        <v>-31805</v>
      </c>
      <c r="AA16" s="494">
        <v>-31805</v>
      </c>
    </row>
    <row r="17" spans="1:27" ht="12.75" customHeight="1" x14ac:dyDescent="0.3">
      <c r="A17" s="33"/>
      <c r="D17" s="438"/>
      <c r="E17" s="438"/>
      <c r="F17" s="438"/>
      <c r="G17" s="453"/>
      <c r="H17" s="453"/>
      <c r="I17" s="453"/>
      <c r="J17" s="453"/>
      <c r="K17" s="453"/>
      <c r="L17" s="453"/>
      <c r="M17" s="453"/>
      <c r="N17" s="453"/>
      <c r="O17" s="453"/>
      <c r="R17" s="115" t="s">
        <v>85</v>
      </c>
      <c r="S17" s="115" t="s">
        <v>2233</v>
      </c>
      <c r="T17" s="115" t="s">
        <v>2234</v>
      </c>
      <c r="U17" s="115" t="s">
        <v>2235</v>
      </c>
      <c r="V17" s="115" t="s">
        <v>2263</v>
      </c>
      <c r="W17" s="115" t="s">
        <v>2237</v>
      </c>
      <c r="X17" s="494">
        <v>-2065056</v>
      </c>
      <c r="Y17" s="494">
        <v>-875056</v>
      </c>
      <c r="Z17" s="494">
        <v>-675056</v>
      </c>
      <c r="AA17" s="494">
        <v>-1375056</v>
      </c>
    </row>
    <row r="18" spans="1:27" ht="12.75" customHeight="1" x14ac:dyDescent="0.3">
      <c r="A18" s="33"/>
      <c r="D18" s="1746" t="s">
        <v>508</v>
      </c>
      <c r="E18" s="1747"/>
      <c r="F18" s="1747"/>
      <c r="G18" s="1748"/>
      <c r="H18" s="1748"/>
      <c r="I18" s="1749"/>
      <c r="J18" s="1749">
        <v>2025</v>
      </c>
      <c r="K18" s="1749">
        <v>2026</v>
      </c>
      <c r="L18" s="1749">
        <v>2027</v>
      </c>
      <c r="M18" s="1749">
        <v>2028</v>
      </c>
      <c r="N18" s="1749">
        <v>2029</v>
      </c>
      <c r="O18" s="1749">
        <v>2030</v>
      </c>
      <c r="R18" s="115" t="s">
        <v>99</v>
      </c>
      <c r="S18" s="115" t="s">
        <v>2238</v>
      </c>
      <c r="T18" s="115" t="s">
        <v>2239</v>
      </c>
      <c r="U18" s="115" t="s">
        <v>2240</v>
      </c>
      <c r="V18" s="115" t="s">
        <v>2263</v>
      </c>
      <c r="W18" s="115" t="s">
        <v>2237</v>
      </c>
      <c r="X18" s="494">
        <v>-365234</v>
      </c>
      <c r="Y18" s="494">
        <v>-195234</v>
      </c>
      <c r="Z18" s="494">
        <v>-190234</v>
      </c>
      <c r="AA18" s="494">
        <v>-190234</v>
      </c>
    </row>
    <row r="19" spans="1:27" ht="12.75" customHeight="1" x14ac:dyDescent="0.3">
      <c r="A19" s="33"/>
      <c r="D19" s="454" t="str">
        <f>D35</f>
        <v>Stortingen in reserves (+)</v>
      </c>
      <c r="E19" s="455"/>
      <c r="F19" s="456"/>
      <c r="G19" s="453"/>
      <c r="H19" s="453"/>
      <c r="I19" s="518"/>
      <c r="J19" s="457">
        <f t="shared" ref="J19:M19" si="0">J45</f>
        <v>423871</v>
      </c>
      <c r="K19" s="457">
        <f t="shared" si="0"/>
        <v>905588</v>
      </c>
      <c r="L19" s="457">
        <f t="shared" si="0"/>
        <v>471829</v>
      </c>
      <c r="M19" s="457">
        <f t="shared" si="0"/>
        <v>438368</v>
      </c>
      <c r="N19" s="457">
        <f t="shared" ref="N19:O19" si="1">N45</f>
        <v>373260</v>
      </c>
      <c r="O19" s="457">
        <f t="shared" si="1"/>
        <v>0</v>
      </c>
      <c r="Q19" s="633" t="s">
        <v>2264</v>
      </c>
      <c r="R19" s="115" t="s">
        <v>70</v>
      </c>
      <c r="S19" s="115" t="s">
        <v>2265</v>
      </c>
      <c r="T19" s="115" t="s">
        <v>2266</v>
      </c>
      <c r="U19" s="115" t="s">
        <v>2267</v>
      </c>
      <c r="V19" s="115" t="s">
        <v>2263</v>
      </c>
      <c r="W19" s="115" t="s">
        <v>2237</v>
      </c>
      <c r="X19" s="494">
        <v>-20407</v>
      </c>
      <c r="Y19" s="494">
        <v>-20407</v>
      </c>
      <c r="Z19" s="494">
        <v>-20407</v>
      </c>
      <c r="AA19" s="494">
        <v>-20407</v>
      </c>
    </row>
    <row r="20" spans="1:27" ht="12.75" customHeight="1" x14ac:dyDescent="0.3">
      <c r="A20" s="33"/>
      <c r="D20" s="454"/>
      <c r="E20" s="455"/>
      <c r="F20" s="456"/>
      <c r="G20" s="453"/>
      <c r="H20" s="453"/>
      <c r="I20" s="518"/>
      <c r="J20" s="28"/>
      <c r="K20" s="28"/>
      <c r="L20" s="28"/>
      <c r="M20" s="28"/>
      <c r="N20" s="28"/>
      <c r="O20" s="28"/>
      <c r="Q20" s="114" t="s">
        <v>2268</v>
      </c>
      <c r="R20" s="115" t="s">
        <v>88</v>
      </c>
      <c r="S20" s="115" t="s">
        <v>2269</v>
      </c>
      <c r="T20" s="115" t="s">
        <v>2270</v>
      </c>
      <c r="U20" s="115" t="s">
        <v>2271</v>
      </c>
      <c r="V20" s="115" t="s">
        <v>2263</v>
      </c>
      <c r="W20" s="115" t="s">
        <v>2237</v>
      </c>
      <c r="X20" s="494">
        <v>-50000</v>
      </c>
      <c r="Y20" s="494">
        <v>0</v>
      </c>
      <c r="Z20" s="494">
        <v>0</v>
      </c>
      <c r="AA20" s="494">
        <v>0</v>
      </c>
    </row>
    <row r="21" spans="1:27" ht="12.75" customHeight="1" x14ac:dyDescent="0.3">
      <c r="A21" s="33"/>
      <c r="D21" s="454"/>
      <c r="E21" s="455"/>
      <c r="F21" s="456"/>
      <c r="G21" s="453"/>
      <c r="H21" s="453"/>
      <c r="I21" s="518"/>
      <c r="J21" s="26"/>
      <c r="K21" s="26"/>
      <c r="L21" s="26"/>
      <c r="M21" s="26"/>
      <c r="N21" s="26"/>
      <c r="O21" s="26"/>
      <c r="Q21" s="114"/>
      <c r="R21" s="115" t="s">
        <v>98</v>
      </c>
      <c r="S21" s="115" t="s">
        <v>2272</v>
      </c>
      <c r="T21" s="115" t="s">
        <v>2273</v>
      </c>
      <c r="U21" s="115" t="s">
        <v>2274</v>
      </c>
      <c r="V21" s="115" t="s">
        <v>2263</v>
      </c>
      <c r="W21" s="115" t="s">
        <v>2237</v>
      </c>
      <c r="X21" s="494">
        <v>-7917</v>
      </c>
      <c r="Y21" s="494">
        <v>-7917</v>
      </c>
      <c r="Z21" s="494">
        <v>-7917</v>
      </c>
      <c r="AA21" s="494">
        <v>-7917</v>
      </c>
    </row>
    <row r="22" spans="1:27" ht="12.75" customHeight="1" x14ac:dyDescent="0.3">
      <c r="A22" s="33"/>
      <c r="D22" s="1751" t="s">
        <v>525</v>
      </c>
      <c r="E22" s="1752"/>
      <c r="F22" s="1753"/>
      <c r="G22" s="1754"/>
      <c r="H22" s="1754"/>
      <c r="I22" s="1757"/>
      <c r="J22" s="1755">
        <v>423871</v>
      </c>
      <c r="K22" s="1755">
        <f>SUM(K19:K21)</f>
        <v>905588</v>
      </c>
      <c r="L22" s="1755">
        <f>SUM(L19:L21)</f>
        <v>471829</v>
      </c>
      <c r="M22" s="1755">
        <f>SUM(M19:M21)</f>
        <v>438368</v>
      </c>
      <c r="N22" s="1755">
        <f>SUM(N19:N21)</f>
        <v>373260</v>
      </c>
      <c r="O22" s="1755">
        <f>SUM(O19:O21)</f>
        <v>0</v>
      </c>
      <c r="Q22" s="114"/>
      <c r="R22" s="115" t="s">
        <v>94</v>
      </c>
      <c r="S22" s="115" t="s">
        <v>2241</v>
      </c>
      <c r="T22" s="115" t="s">
        <v>2242</v>
      </c>
      <c r="U22" s="115" t="s">
        <v>2243</v>
      </c>
      <c r="V22" s="115" t="s">
        <v>2263</v>
      </c>
      <c r="W22" s="115" t="s">
        <v>2237</v>
      </c>
      <c r="X22" s="494">
        <v>-51724</v>
      </c>
      <c r="Y22" s="494">
        <v>-448924</v>
      </c>
      <c r="Z22" s="494">
        <v>-222646</v>
      </c>
      <c r="AA22" s="494">
        <v>-36646</v>
      </c>
    </row>
    <row r="23" spans="1:27" ht="12.75" customHeight="1" x14ac:dyDescent="0.3">
      <c r="A23" s="33"/>
      <c r="D23" s="438"/>
      <c r="E23" s="455"/>
      <c r="F23" s="456"/>
      <c r="G23" s="453"/>
      <c r="H23" s="453"/>
      <c r="I23" s="453"/>
      <c r="J23" s="453"/>
      <c r="K23" s="453"/>
      <c r="L23" s="453"/>
      <c r="M23" s="453"/>
      <c r="N23" s="453"/>
      <c r="O23" s="453"/>
      <c r="R23" s="115" t="s">
        <v>94</v>
      </c>
      <c r="S23" s="115" t="s">
        <v>2244</v>
      </c>
      <c r="T23" s="115" t="s">
        <v>2245</v>
      </c>
      <c r="U23" s="115" t="s">
        <v>2246</v>
      </c>
      <c r="V23" s="115" t="s">
        <v>2263</v>
      </c>
      <c r="W23" s="115" t="s">
        <v>2237</v>
      </c>
      <c r="X23" s="494">
        <v>-168364</v>
      </c>
      <c r="Y23" s="494">
        <v>-957164</v>
      </c>
      <c r="Z23" s="494">
        <v>-767328</v>
      </c>
      <c r="AA23" s="494">
        <v>-131728</v>
      </c>
    </row>
    <row r="24" spans="1:27" ht="12.75" customHeight="1" x14ac:dyDescent="0.3">
      <c r="A24" s="33"/>
      <c r="D24" s="1746" t="s">
        <v>526</v>
      </c>
      <c r="E24" s="1747"/>
      <c r="F24" s="1747"/>
      <c r="G24" s="1748"/>
      <c r="H24" s="1748"/>
      <c r="I24" s="1749"/>
      <c r="J24" s="1749">
        <v>2025</v>
      </c>
      <c r="K24" s="1749">
        <v>2026</v>
      </c>
      <c r="L24" s="1749">
        <v>2027</v>
      </c>
      <c r="M24" s="1749">
        <v>2028</v>
      </c>
      <c r="N24" s="1749">
        <v>2029</v>
      </c>
      <c r="O24" s="1749">
        <v>2030</v>
      </c>
      <c r="R24" s="115" t="s">
        <v>94</v>
      </c>
      <c r="S24" s="115" t="s">
        <v>2275</v>
      </c>
      <c r="T24" s="115" t="s">
        <v>2276</v>
      </c>
      <c r="U24" s="115" t="s">
        <v>2277</v>
      </c>
      <c r="V24" s="115" t="s">
        <v>2263</v>
      </c>
      <c r="W24" s="115" t="s">
        <v>2237</v>
      </c>
      <c r="X24" s="494">
        <v>-162786</v>
      </c>
      <c r="Y24" s="494">
        <v>-162786</v>
      </c>
      <c r="Z24" s="494">
        <v>-162786</v>
      </c>
      <c r="AA24" s="494">
        <v>-162786</v>
      </c>
    </row>
    <row r="25" spans="1:27" ht="12.75" customHeight="1" x14ac:dyDescent="0.3">
      <c r="A25" s="33"/>
      <c r="D25" s="454" t="str">
        <f>D49</f>
        <v>Bijdragen uit reserves (-)</v>
      </c>
      <c r="E25" s="455"/>
      <c r="F25" s="456"/>
      <c r="G25" s="453"/>
      <c r="H25" s="453"/>
      <c r="I25" s="518"/>
      <c r="J25" s="457">
        <v>-3218048</v>
      </c>
      <c r="K25" s="457">
        <f t="shared" ref="K25:M25" si="2">K78</f>
        <v>-9500031</v>
      </c>
      <c r="L25" s="457">
        <f t="shared" si="2"/>
        <v>-4464327</v>
      </c>
      <c r="M25" s="457">
        <f t="shared" si="2"/>
        <v>-2208156</v>
      </c>
      <c r="N25" s="457">
        <f t="shared" ref="N25:O25" si="3">N78</f>
        <v>-2363911</v>
      </c>
      <c r="O25" s="457">
        <f t="shared" si="3"/>
        <v>0</v>
      </c>
      <c r="R25" s="115" t="s">
        <v>94</v>
      </c>
      <c r="S25" s="115" t="s">
        <v>2278</v>
      </c>
      <c r="T25" s="115" t="s">
        <v>2279</v>
      </c>
      <c r="U25" s="115" t="s">
        <v>2280</v>
      </c>
      <c r="V25" s="115" t="s">
        <v>2263</v>
      </c>
      <c r="W25" s="115" t="s">
        <v>2237</v>
      </c>
      <c r="X25" s="494">
        <v>-2269</v>
      </c>
      <c r="Y25" s="494">
        <v>-2269</v>
      </c>
      <c r="Z25" s="494">
        <v>-2269</v>
      </c>
      <c r="AA25" s="494">
        <v>0</v>
      </c>
    </row>
    <row r="26" spans="1:27" ht="12.75" customHeight="1" x14ac:dyDescent="0.3">
      <c r="A26" s="33"/>
      <c r="D26" s="464"/>
      <c r="E26" s="465"/>
      <c r="F26" s="466"/>
      <c r="G26" s="467"/>
      <c r="H26" s="467"/>
      <c r="I26" s="518"/>
      <c r="J26" s="463"/>
      <c r="K26" s="463"/>
      <c r="L26" s="463"/>
      <c r="M26" s="463"/>
      <c r="N26" s="463"/>
      <c r="O26" s="463"/>
      <c r="Q26" s="114" t="s">
        <v>2268</v>
      </c>
      <c r="R26" s="115" t="s">
        <v>99</v>
      </c>
      <c r="S26" s="115" t="s">
        <v>2281</v>
      </c>
      <c r="T26" s="115" t="s">
        <v>2282</v>
      </c>
      <c r="U26" s="115" t="s">
        <v>2283</v>
      </c>
      <c r="V26" s="115" t="s">
        <v>2263</v>
      </c>
      <c r="W26" s="115" t="s">
        <v>2237</v>
      </c>
      <c r="X26" s="494">
        <v>-47000</v>
      </c>
      <c r="Y26" s="494">
        <v>0</v>
      </c>
      <c r="Z26" s="494">
        <v>0</v>
      </c>
      <c r="AA26" s="494">
        <v>0</v>
      </c>
    </row>
    <row r="27" spans="1:27" ht="12.75" customHeight="1" x14ac:dyDescent="0.3">
      <c r="A27" s="33"/>
      <c r="D27" s="1751" t="s">
        <v>328</v>
      </c>
      <c r="E27" s="1752"/>
      <c r="F27" s="1753"/>
      <c r="G27" s="1754"/>
      <c r="H27" s="1754"/>
      <c r="I27" s="1757"/>
      <c r="J27" s="1755">
        <v>-3218048</v>
      </c>
      <c r="K27" s="1755">
        <f>SUM(K25:K26)</f>
        <v>-9500031</v>
      </c>
      <c r="L27" s="1755">
        <f>SUM(L25:L26)</f>
        <v>-4464327</v>
      </c>
      <c r="M27" s="1755">
        <f>SUM(M25:M26)</f>
        <v>-2208156</v>
      </c>
      <c r="N27" s="1755">
        <f>SUM(N25:N26)</f>
        <v>-2363911</v>
      </c>
      <c r="O27" s="1755">
        <f>SUM(O25:O26)</f>
        <v>0</v>
      </c>
      <c r="Q27" s="114"/>
      <c r="R27" s="115" t="s">
        <v>99</v>
      </c>
      <c r="S27" s="115" t="s">
        <v>2247</v>
      </c>
      <c r="T27" s="115" t="s">
        <v>2248</v>
      </c>
      <c r="U27" s="115" t="s">
        <v>2249</v>
      </c>
      <c r="V27" s="115" t="s">
        <v>2263</v>
      </c>
      <c r="W27" s="115" t="s">
        <v>2237</v>
      </c>
      <c r="X27" s="494">
        <v>-33739</v>
      </c>
      <c r="Y27" s="494">
        <v>-33739</v>
      </c>
      <c r="Z27" s="494">
        <v>-33739</v>
      </c>
      <c r="AA27" s="494">
        <v>-33739</v>
      </c>
    </row>
    <row r="28" spans="1:27" ht="12.75" customHeight="1" x14ac:dyDescent="0.3">
      <c r="A28" s="33"/>
      <c r="D28" s="438"/>
      <c r="E28" s="455"/>
      <c r="F28" s="456"/>
      <c r="G28" s="453"/>
      <c r="H28" s="453"/>
      <c r="I28" s="453"/>
      <c r="J28" s="35"/>
      <c r="K28" s="35"/>
      <c r="L28" s="35"/>
      <c r="M28" s="35"/>
      <c r="N28" s="35"/>
      <c r="O28" s="35"/>
      <c r="Q28" s="114" t="s">
        <v>2268</v>
      </c>
      <c r="R28" s="115" t="s">
        <v>106</v>
      </c>
      <c r="S28" s="115" t="s">
        <v>2284</v>
      </c>
      <c r="T28" s="115" t="s">
        <v>2285</v>
      </c>
      <c r="U28" s="115" t="s">
        <v>2286</v>
      </c>
      <c r="V28" s="115" t="s">
        <v>2263</v>
      </c>
      <c r="W28" s="115" t="s">
        <v>2237</v>
      </c>
      <c r="X28" s="494">
        <v>-100000</v>
      </c>
      <c r="Y28" s="494">
        <v>0</v>
      </c>
      <c r="Z28" s="494">
        <v>0</v>
      </c>
      <c r="AA28" s="494">
        <v>0</v>
      </c>
    </row>
    <row r="29" spans="1:27" ht="12.75" customHeight="1" x14ac:dyDescent="0.3">
      <c r="A29" s="33"/>
      <c r="D29" s="438"/>
      <c r="E29" s="455"/>
      <c r="F29" s="456"/>
      <c r="G29" s="453"/>
      <c r="H29" s="453"/>
      <c r="I29" s="453"/>
      <c r="J29" s="469"/>
      <c r="K29" s="469"/>
      <c r="L29" s="469"/>
      <c r="M29" s="469"/>
      <c r="N29" s="469"/>
      <c r="O29" s="469"/>
      <c r="Q29" s="114"/>
      <c r="R29" s="115" t="s">
        <v>122</v>
      </c>
      <c r="S29" s="115" t="s">
        <v>2287</v>
      </c>
      <c r="T29" s="115" t="s">
        <v>2288</v>
      </c>
      <c r="U29" s="115" t="s">
        <v>2289</v>
      </c>
      <c r="V29" s="115" t="s">
        <v>2263</v>
      </c>
      <c r="W29" s="115" t="s">
        <v>2237</v>
      </c>
      <c r="X29" s="494">
        <v>-8000</v>
      </c>
      <c r="Y29" s="494">
        <v>-8000</v>
      </c>
      <c r="Z29" s="494">
        <v>-8000</v>
      </c>
      <c r="AA29" s="494">
        <v>-8000</v>
      </c>
    </row>
    <row r="30" spans="1:27" ht="12.75" customHeight="1" x14ac:dyDescent="0.3">
      <c r="A30" s="33"/>
      <c r="D30" s="1751" t="s">
        <v>527</v>
      </c>
      <c r="E30" s="1756"/>
      <c r="F30" s="1756"/>
      <c r="G30" s="1754"/>
      <c r="H30" s="1754"/>
      <c r="I30" s="1754"/>
      <c r="J30" s="1758">
        <v>-2794177</v>
      </c>
      <c r="K30" s="1758">
        <f t="shared" ref="K30:N30" si="4">K22+K27</f>
        <v>-8594443</v>
      </c>
      <c r="L30" s="1758">
        <f t="shared" si="4"/>
        <v>-3992498</v>
      </c>
      <c r="M30" s="1758">
        <f t="shared" si="4"/>
        <v>-1769788</v>
      </c>
      <c r="N30" s="1758">
        <f t="shared" si="4"/>
        <v>-1990651</v>
      </c>
      <c r="O30" s="1758">
        <f t="shared" ref="O30" si="5">O22+O27</f>
        <v>0</v>
      </c>
      <c r="Q30" s="114" t="s">
        <v>2268</v>
      </c>
      <c r="R30" s="115" t="s">
        <v>123</v>
      </c>
      <c r="S30" s="115" t="s">
        <v>2290</v>
      </c>
      <c r="T30" s="115" t="s">
        <v>2291</v>
      </c>
      <c r="U30" s="115" t="s">
        <v>2292</v>
      </c>
      <c r="V30" s="115" t="s">
        <v>2263</v>
      </c>
      <c r="W30" s="115" t="s">
        <v>2237</v>
      </c>
      <c r="X30" s="494">
        <v>-159000</v>
      </c>
      <c r="Y30" s="494">
        <v>0</v>
      </c>
      <c r="Z30" s="494">
        <v>0</v>
      </c>
      <c r="AA30" s="494">
        <v>0</v>
      </c>
    </row>
    <row r="31" spans="1:27" ht="12.75" customHeight="1" x14ac:dyDescent="0.3">
      <c r="A31" s="33"/>
      <c r="D31" s="438"/>
      <c r="E31" s="455"/>
      <c r="F31" s="456"/>
      <c r="G31" s="453"/>
      <c r="H31" s="453"/>
      <c r="I31" s="453"/>
      <c r="J31" s="469"/>
      <c r="K31" s="469"/>
      <c r="L31" s="469"/>
      <c r="M31" s="469"/>
      <c r="N31" s="469"/>
      <c r="O31" s="469"/>
      <c r="Q31" s="114"/>
      <c r="R31" s="115" t="s">
        <v>2293</v>
      </c>
      <c r="S31" s="115" t="s">
        <v>2294</v>
      </c>
      <c r="T31" s="115" t="s">
        <v>2295</v>
      </c>
      <c r="U31" s="115" t="s">
        <v>2296</v>
      </c>
      <c r="V31" s="115" t="s">
        <v>2263</v>
      </c>
      <c r="W31" s="115" t="s">
        <v>2237</v>
      </c>
      <c r="X31" s="494">
        <v>-245000</v>
      </c>
      <c r="Y31" s="494">
        <v>-85000</v>
      </c>
      <c r="Z31" s="494">
        <v>-55000</v>
      </c>
      <c r="AA31" s="494">
        <v>0</v>
      </c>
    </row>
    <row r="32" spans="1:27" ht="12.75" customHeight="1" x14ac:dyDescent="0.25">
      <c r="D32" s="1857" t="s">
        <v>2297</v>
      </c>
      <c r="E32" s="748"/>
      <c r="F32" s="748"/>
      <c r="G32" s="618"/>
      <c r="H32" s="618"/>
      <c r="I32" s="618"/>
      <c r="J32" s="1750">
        <v>2025</v>
      </c>
      <c r="K32" s="1750">
        <v>2026</v>
      </c>
      <c r="L32" s="1750">
        <v>2027</v>
      </c>
      <c r="M32" s="1750">
        <v>2028</v>
      </c>
      <c r="N32" s="1750">
        <v>2029</v>
      </c>
      <c r="O32" s="1750">
        <v>2030</v>
      </c>
      <c r="R32" s="115" t="s">
        <v>128</v>
      </c>
      <c r="S32" s="115" t="s">
        <v>2298</v>
      </c>
      <c r="T32" s="115" t="s">
        <v>2299</v>
      </c>
      <c r="U32" s="115" t="s">
        <v>2300</v>
      </c>
      <c r="V32" s="115" t="s">
        <v>2263</v>
      </c>
      <c r="W32" s="115" t="s">
        <v>2237</v>
      </c>
      <c r="X32" s="494">
        <v>-436054</v>
      </c>
      <c r="Y32" s="494">
        <v>-390114</v>
      </c>
      <c r="Z32" s="494">
        <v>-386516</v>
      </c>
      <c r="AA32" s="494">
        <v>-309259</v>
      </c>
    </row>
    <row r="33" spans="4:27" ht="12.75" customHeight="1" x14ac:dyDescent="0.25">
      <c r="D33" s="1777"/>
      <c r="E33" s="749"/>
      <c r="F33" s="749"/>
      <c r="G33" s="618"/>
      <c r="H33" s="618"/>
      <c r="I33" s="618"/>
      <c r="J33" s="1869"/>
      <c r="K33" s="1869"/>
      <c r="L33" s="1869"/>
      <c r="M33" s="1869"/>
      <c r="N33" s="1869"/>
      <c r="O33" s="1869"/>
      <c r="R33" s="115" t="s">
        <v>2301</v>
      </c>
      <c r="S33" s="115" t="s">
        <v>2250</v>
      </c>
      <c r="T33" s="115" t="s">
        <v>2251</v>
      </c>
      <c r="U33" s="115" t="s">
        <v>2252</v>
      </c>
      <c r="V33" s="115" t="s">
        <v>2263</v>
      </c>
      <c r="W33" s="115" t="s">
        <v>2237</v>
      </c>
      <c r="X33" s="494">
        <v>-188955</v>
      </c>
      <c r="Y33" s="494">
        <v>-11938</v>
      </c>
      <c r="Z33" s="494">
        <v>-11938</v>
      </c>
      <c r="AA33" s="494">
        <v>-11938</v>
      </c>
    </row>
    <row r="34" spans="4:27" ht="12.75" customHeight="1" x14ac:dyDescent="0.25">
      <c r="D34" s="334" t="s">
        <v>2302</v>
      </c>
      <c r="E34" s="438"/>
      <c r="F34" s="438"/>
      <c r="G34" s="453"/>
      <c r="H34" s="453"/>
      <c r="I34" s="453"/>
      <c r="J34" s="457"/>
      <c r="K34" s="457"/>
      <c r="L34" s="457"/>
      <c r="M34" s="457"/>
      <c r="N34" s="457"/>
      <c r="O34" s="457"/>
      <c r="R34" s="115" t="s">
        <v>2303</v>
      </c>
      <c r="S34" s="115" t="s">
        <v>2304</v>
      </c>
      <c r="T34" s="115" t="s">
        <v>2305</v>
      </c>
      <c r="U34" s="115" t="s">
        <v>2306</v>
      </c>
      <c r="V34" s="115" t="s">
        <v>2263</v>
      </c>
      <c r="W34" s="115" t="s">
        <v>2237</v>
      </c>
      <c r="X34" s="494">
        <v>-258085</v>
      </c>
      <c r="Y34" s="494">
        <v>-258085</v>
      </c>
      <c r="Z34" s="494">
        <v>-331044</v>
      </c>
      <c r="AA34" s="494">
        <v>-331044</v>
      </c>
    </row>
    <row r="35" spans="4:27" ht="12.75" customHeight="1" x14ac:dyDescent="0.25">
      <c r="D35" s="1156" t="s">
        <v>2130</v>
      </c>
      <c r="E35" s="438"/>
      <c r="F35" s="438"/>
      <c r="G35" s="453"/>
      <c r="H35" s="453"/>
      <c r="I35" s="453"/>
      <c r="J35" s="457"/>
      <c r="K35" s="457"/>
      <c r="L35" s="457"/>
      <c r="M35" s="457"/>
      <c r="N35" s="457"/>
      <c r="O35" s="457"/>
      <c r="R35" s="115" t="s">
        <v>1757</v>
      </c>
      <c r="S35" s="115" t="s">
        <v>2307</v>
      </c>
      <c r="T35" s="115" t="s">
        <v>2308</v>
      </c>
      <c r="U35" s="115" t="s">
        <v>2309</v>
      </c>
      <c r="V35" s="115" t="s">
        <v>2263</v>
      </c>
      <c r="W35" s="115" t="s">
        <v>2237</v>
      </c>
      <c r="X35" s="494">
        <v>-44925</v>
      </c>
      <c r="Y35" s="494">
        <v>-46453</v>
      </c>
      <c r="Z35" s="494">
        <v>-48032</v>
      </c>
      <c r="AA35" s="494">
        <v>-16585</v>
      </c>
    </row>
    <row r="36" spans="4:27" ht="12.75" customHeight="1" x14ac:dyDescent="0.25">
      <c r="D36" s="454" t="s">
        <v>2310</v>
      </c>
      <c r="E36" s="115"/>
      <c r="F36" s="115"/>
      <c r="J36" s="25">
        <v>250000</v>
      </c>
      <c r="K36" s="25">
        <f t="shared" ref="K36" si="6">K99</f>
        <v>250000</v>
      </c>
      <c r="L36" s="25">
        <f t="shared" ref="L36:M36" si="7">L99</f>
        <v>250000</v>
      </c>
      <c r="M36" s="25">
        <f t="shared" si="7"/>
        <v>250000</v>
      </c>
      <c r="N36" s="25">
        <f t="shared" ref="N36:O36" si="8">N99</f>
        <v>250000</v>
      </c>
      <c r="O36" s="25">
        <f t="shared" si="8"/>
        <v>0</v>
      </c>
      <c r="R36" s="115" t="s">
        <v>1757</v>
      </c>
      <c r="S36" s="115" t="s">
        <v>2311</v>
      </c>
      <c r="T36" s="115" t="s">
        <v>2312</v>
      </c>
      <c r="U36" s="115" t="s">
        <v>2313</v>
      </c>
      <c r="V36" s="115" t="s">
        <v>2263</v>
      </c>
      <c r="W36" s="115" t="s">
        <v>2237</v>
      </c>
      <c r="X36" s="494">
        <v>-32005</v>
      </c>
      <c r="Y36" s="494">
        <v>-32008</v>
      </c>
      <c r="Z36" s="494">
        <v>-19301</v>
      </c>
      <c r="AA36" s="494">
        <v>-16036</v>
      </c>
    </row>
    <row r="37" spans="4:27" ht="12.75" customHeight="1" x14ac:dyDescent="0.25">
      <c r="D37" s="454" t="s">
        <v>2314</v>
      </c>
      <c r="E37" s="115"/>
      <c r="F37" s="115"/>
      <c r="J37" s="25">
        <v>1857</v>
      </c>
      <c r="K37" s="25">
        <f>K105</f>
        <v>1578</v>
      </c>
      <c r="L37" s="25">
        <f>L105</f>
        <v>1288</v>
      </c>
      <c r="M37" s="25">
        <f>M105</f>
        <v>985</v>
      </c>
      <c r="N37" s="25">
        <f>N105</f>
        <v>670</v>
      </c>
      <c r="O37" s="25">
        <f>O105</f>
        <v>0</v>
      </c>
      <c r="R37" s="115" t="s">
        <v>1757</v>
      </c>
      <c r="S37" s="115" t="s">
        <v>2253</v>
      </c>
      <c r="T37" s="115" t="s">
        <v>2254</v>
      </c>
      <c r="U37" s="115" t="s">
        <v>2255</v>
      </c>
      <c r="V37" s="115" t="s">
        <v>2263</v>
      </c>
      <c r="W37" s="115" t="s">
        <v>2237</v>
      </c>
      <c r="X37" s="494">
        <v>-696643</v>
      </c>
      <c r="Y37" s="494">
        <v>-805926</v>
      </c>
      <c r="Z37" s="494">
        <v>-749872</v>
      </c>
      <c r="AA37" s="494">
        <v>-679254</v>
      </c>
    </row>
    <row r="38" spans="4:27" ht="12.75" customHeight="1" x14ac:dyDescent="0.25">
      <c r="D38" s="454" t="s">
        <v>2315</v>
      </c>
      <c r="E38" s="115"/>
      <c r="F38" s="115"/>
      <c r="J38" s="25">
        <v>87014</v>
      </c>
      <c r="K38" s="25">
        <f>K111</f>
        <v>0</v>
      </c>
      <c r="L38" s="25">
        <f>L111</f>
        <v>0</v>
      </c>
      <c r="M38" s="25">
        <f>M111</f>
        <v>0</v>
      </c>
      <c r="N38" s="25">
        <f>N111</f>
        <v>0</v>
      </c>
      <c r="O38" s="25">
        <f>O111</f>
        <v>0</v>
      </c>
      <c r="R38" s="115" t="s">
        <v>1757</v>
      </c>
      <c r="S38" s="115" t="s">
        <v>2316</v>
      </c>
      <c r="T38" s="115" t="s">
        <v>2317</v>
      </c>
      <c r="U38" s="115" t="s">
        <v>2318</v>
      </c>
      <c r="V38" s="115" t="s">
        <v>2263</v>
      </c>
      <c r="W38" s="115" t="s">
        <v>2237</v>
      </c>
      <c r="X38" s="494">
        <v>-29813</v>
      </c>
      <c r="Y38" s="494">
        <v>-29813</v>
      </c>
      <c r="Z38" s="494">
        <v>-29813</v>
      </c>
      <c r="AA38" s="494">
        <v>-29813</v>
      </c>
    </row>
    <row r="39" spans="4:27" ht="12.75" customHeight="1" x14ac:dyDescent="0.25">
      <c r="D39" s="454" t="s">
        <v>2319</v>
      </c>
      <c r="E39" s="438"/>
      <c r="F39" s="438"/>
      <c r="G39" s="453"/>
      <c r="H39" s="453"/>
      <c r="J39" s="25">
        <v>0</v>
      </c>
      <c r="K39" s="25">
        <f>+K125</f>
        <v>315000</v>
      </c>
      <c r="L39" s="25">
        <f>+L125</f>
        <v>0</v>
      </c>
      <c r="M39" s="25">
        <f>+M125</f>
        <v>0</v>
      </c>
      <c r="N39" s="25">
        <f>+N125</f>
        <v>0</v>
      </c>
      <c r="O39" s="25">
        <f>+O125</f>
        <v>0</v>
      </c>
      <c r="R39" s="115" t="s">
        <v>101</v>
      </c>
      <c r="S39" s="115" t="s">
        <v>2320</v>
      </c>
      <c r="T39" s="115" t="s">
        <v>2321</v>
      </c>
      <c r="U39" s="115" t="s">
        <v>2322</v>
      </c>
      <c r="V39" s="115" t="s">
        <v>2263</v>
      </c>
      <c r="W39" s="115" t="s">
        <v>2237</v>
      </c>
      <c r="X39" s="494">
        <v>-3834</v>
      </c>
      <c r="Y39" s="494">
        <v>-3834</v>
      </c>
      <c r="Z39" s="494">
        <v>-3834</v>
      </c>
      <c r="AA39" s="494">
        <v>-3834</v>
      </c>
    </row>
    <row r="40" spans="4:27" ht="12.75" customHeight="1" x14ac:dyDescent="0.25">
      <c r="D40" s="454" t="s">
        <v>2323</v>
      </c>
      <c r="E40" s="438"/>
      <c r="F40" s="438"/>
      <c r="G40" s="453"/>
      <c r="H40" s="453"/>
      <c r="J40" s="25">
        <v>0</v>
      </c>
      <c r="K40" s="25">
        <f>K147</f>
        <v>0</v>
      </c>
      <c r="L40" s="25">
        <f>L147</f>
        <v>0</v>
      </c>
      <c r="M40" s="25">
        <f>M147</f>
        <v>0</v>
      </c>
      <c r="N40" s="25">
        <f>N147</f>
        <v>0</v>
      </c>
      <c r="O40" s="25">
        <f>O147</f>
        <v>0</v>
      </c>
      <c r="R40" s="115" t="s">
        <v>2324</v>
      </c>
      <c r="S40" s="115" t="s">
        <v>2325</v>
      </c>
      <c r="T40" s="115" t="s">
        <v>2326</v>
      </c>
      <c r="U40" s="115" t="s">
        <v>2327</v>
      </c>
      <c r="V40" s="115" t="s">
        <v>2263</v>
      </c>
      <c r="W40" s="115" t="s">
        <v>2237</v>
      </c>
      <c r="X40" s="494">
        <v>-77185</v>
      </c>
      <c r="Y40" s="494">
        <v>-77557</v>
      </c>
      <c r="Z40" s="494">
        <v>-74955</v>
      </c>
      <c r="AA40" s="494">
        <v>-68908</v>
      </c>
    </row>
    <row r="41" spans="4:27" ht="12.75" customHeight="1" x14ac:dyDescent="0.25">
      <c r="D41" s="454" t="s">
        <v>2328</v>
      </c>
      <c r="E41" s="438"/>
      <c r="F41" s="438"/>
      <c r="G41" s="453"/>
      <c r="H41" s="453"/>
      <c r="J41" s="25">
        <v>10000</v>
      </c>
      <c r="K41" s="25">
        <f t="shared" ref="K41" si="9">K153</f>
        <v>10000</v>
      </c>
      <c r="L41" s="25">
        <f t="shared" ref="L41:M41" si="10">L153</f>
        <v>10000</v>
      </c>
      <c r="M41" s="25">
        <f t="shared" si="10"/>
        <v>10000</v>
      </c>
      <c r="N41" s="25">
        <f t="shared" ref="N41:O41" si="11">N153</f>
        <v>10000</v>
      </c>
      <c r="O41" s="25">
        <f t="shared" si="11"/>
        <v>0</v>
      </c>
      <c r="X41" s="494"/>
      <c r="Y41" s="494"/>
      <c r="Z41" s="494"/>
      <c r="AA41" s="494"/>
    </row>
    <row r="42" spans="4:27" ht="12.75" customHeight="1" x14ac:dyDescent="0.25">
      <c r="D42" s="454" t="s">
        <v>2329</v>
      </c>
      <c r="E42" s="438"/>
      <c r="F42" s="438"/>
      <c r="G42" s="453"/>
      <c r="H42" s="453"/>
      <c r="J42" s="25">
        <v>0</v>
      </c>
      <c r="K42" s="25">
        <f>K161</f>
        <v>104010</v>
      </c>
      <c r="L42" s="25">
        <f>L161</f>
        <v>135541</v>
      </c>
      <c r="M42" s="25">
        <f>M161</f>
        <v>102383</v>
      </c>
      <c r="N42" s="25">
        <f>N161</f>
        <v>37590</v>
      </c>
      <c r="O42" s="25">
        <f>O161</f>
        <v>0</v>
      </c>
      <c r="R42" s="115" t="s">
        <v>81</v>
      </c>
      <c r="S42" s="115" t="s">
        <v>2256</v>
      </c>
      <c r="T42" s="115" t="s">
        <v>2257</v>
      </c>
      <c r="U42" s="115" t="s">
        <v>2258</v>
      </c>
      <c r="V42" s="115" t="s">
        <v>2263</v>
      </c>
      <c r="W42" s="115" t="s">
        <v>2237</v>
      </c>
      <c r="X42" s="494">
        <v>-4589561</v>
      </c>
      <c r="Y42" s="494">
        <v>-1005101</v>
      </c>
      <c r="Z42" s="494">
        <v>0</v>
      </c>
      <c r="AA42" s="494">
        <v>0</v>
      </c>
    </row>
    <row r="43" spans="4:27" ht="12.75" customHeight="1" x14ac:dyDescent="0.25">
      <c r="D43" s="461" t="s">
        <v>2330</v>
      </c>
      <c r="E43" s="438"/>
      <c r="F43" s="438"/>
      <c r="G43" s="453"/>
      <c r="H43" s="453"/>
      <c r="J43" s="25">
        <v>75000</v>
      </c>
      <c r="K43" s="25">
        <f t="shared" ref="K43" si="12">K198</f>
        <v>75000</v>
      </c>
      <c r="L43" s="25">
        <f t="shared" ref="L43:M43" si="13">L198</f>
        <v>75000</v>
      </c>
      <c r="M43" s="25">
        <f t="shared" si="13"/>
        <v>75000</v>
      </c>
      <c r="N43" s="25">
        <f t="shared" ref="N43:O43" si="14">N198</f>
        <v>75000</v>
      </c>
      <c r="O43" s="25">
        <f t="shared" si="14"/>
        <v>0</v>
      </c>
      <c r="X43" s="494">
        <v>-9941675</v>
      </c>
      <c r="Y43" s="494">
        <v>-5555444</v>
      </c>
      <c r="Z43" s="494">
        <v>-3898806</v>
      </c>
      <c r="AA43" s="494">
        <v>-3531303</v>
      </c>
    </row>
    <row r="44" spans="4:27" ht="12.75" customHeight="1" x14ac:dyDescent="0.25">
      <c r="D44" s="461" t="s">
        <v>2331</v>
      </c>
      <c r="E44" s="438"/>
      <c r="F44" s="438"/>
      <c r="G44" s="453"/>
      <c r="H44" s="453"/>
      <c r="J44" s="457">
        <f>+J204</f>
        <v>0</v>
      </c>
      <c r="K44" s="457">
        <f t="shared" ref="K44" si="15">+K204</f>
        <v>150000</v>
      </c>
      <c r="L44" s="457">
        <f t="shared" ref="L44:N44" si="16">+L204</f>
        <v>0</v>
      </c>
      <c r="M44" s="457">
        <f t="shared" si="16"/>
        <v>0</v>
      </c>
      <c r="N44" s="457">
        <f t="shared" si="16"/>
        <v>0</v>
      </c>
      <c r="O44" s="457">
        <f t="shared" ref="O44" si="17">+O204</f>
        <v>0</v>
      </c>
      <c r="S44" s="115" t="s">
        <v>2259</v>
      </c>
      <c r="T44" s="115" t="s">
        <v>2259</v>
      </c>
      <c r="U44" s="115" t="s">
        <v>2259</v>
      </c>
      <c r="V44" s="115" t="s">
        <v>2259</v>
      </c>
      <c r="W44" s="115" t="s">
        <v>2259</v>
      </c>
    </row>
    <row r="45" spans="4:27" ht="12.75" customHeight="1" x14ac:dyDescent="0.25">
      <c r="D45" s="454"/>
      <c r="E45" s="438"/>
      <c r="F45" s="438"/>
      <c r="G45" s="453"/>
      <c r="H45" s="453"/>
      <c r="I45" s="453"/>
      <c r="J45" s="1755">
        <v>423871</v>
      </c>
      <c r="K45" s="1755">
        <f>SUM(K36:K44)</f>
        <v>905588</v>
      </c>
      <c r="L45" s="1755">
        <f t="shared" ref="L45:M45" si="18">SUM(L35:L44)</f>
        <v>471829</v>
      </c>
      <c r="M45" s="1755">
        <f t="shared" si="18"/>
        <v>438368</v>
      </c>
      <c r="N45" s="1755">
        <f t="shared" ref="N45:O45" si="19">SUM(N35:N44)</f>
        <v>373260</v>
      </c>
      <c r="O45" s="1755">
        <f t="shared" si="19"/>
        <v>0</v>
      </c>
      <c r="X45" s="494" t="s">
        <v>2332</v>
      </c>
    </row>
    <row r="46" spans="4:27" ht="12.75" customHeight="1" x14ac:dyDescent="0.25">
      <c r="D46" s="454"/>
      <c r="E46" s="438"/>
      <c r="F46" s="438"/>
      <c r="G46" s="453"/>
      <c r="H46" s="453"/>
      <c r="I46" s="453"/>
      <c r="J46" s="1869"/>
      <c r="K46" s="1869"/>
      <c r="L46" s="1869"/>
      <c r="M46" s="1869"/>
      <c r="N46" s="1869"/>
      <c r="O46" s="1869"/>
      <c r="X46" s="494">
        <v>9941675</v>
      </c>
    </row>
    <row r="47" spans="4:27" ht="12.75" customHeight="1" x14ac:dyDescent="0.25">
      <c r="D47" s="454"/>
      <c r="E47" s="438"/>
      <c r="F47" s="438"/>
      <c r="G47" s="453"/>
      <c r="H47" s="453"/>
      <c r="I47" s="453"/>
      <c r="J47" s="457"/>
      <c r="K47" s="457"/>
      <c r="L47" s="457"/>
      <c r="M47" s="457"/>
      <c r="N47" s="457"/>
      <c r="O47" s="457"/>
    </row>
    <row r="48" spans="4:27" ht="12.75" customHeight="1" x14ac:dyDescent="0.25">
      <c r="D48" s="334" t="s">
        <v>2333</v>
      </c>
      <c r="E48" s="438"/>
      <c r="F48" s="438"/>
      <c r="G48" s="453"/>
      <c r="H48" s="453"/>
      <c r="I48" s="453"/>
      <c r="J48" s="457"/>
      <c r="K48" s="457"/>
      <c r="L48" s="457"/>
      <c r="M48" s="457"/>
      <c r="N48" s="457"/>
      <c r="O48" s="457"/>
    </row>
    <row r="49" spans="4:24" ht="12.75" customHeight="1" x14ac:dyDescent="0.25">
      <c r="D49" s="1156" t="s">
        <v>2131</v>
      </c>
      <c r="E49" s="438"/>
      <c r="F49" s="438"/>
      <c r="G49" s="453"/>
      <c r="H49" s="453"/>
      <c r="I49" s="453"/>
      <c r="J49" s="457"/>
      <c r="K49" s="457"/>
      <c r="L49" s="457"/>
      <c r="M49" s="457"/>
      <c r="N49" s="457"/>
      <c r="O49" s="457"/>
      <c r="X49" s="494"/>
    </row>
    <row r="50" spans="4:24" ht="12.75" customHeight="1" x14ac:dyDescent="0.25">
      <c r="D50" s="461" t="s">
        <v>2334</v>
      </c>
      <c r="E50" s="438"/>
      <c r="F50" s="438"/>
      <c r="G50" s="453"/>
      <c r="H50" s="453"/>
      <c r="I50" s="453"/>
      <c r="J50" s="457">
        <f t="shared" ref="J50:O50" si="20">+J91</f>
        <v>0</v>
      </c>
      <c r="K50" s="457">
        <f t="shared" si="20"/>
        <v>-980000</v>
      </c>
      <c r="L50" s="457">
        <f t="shared" si="20"/>
        <v>-620000</v>
      </c>
      <c r="M50" s="457">
        <f t="shared" si="20"/>
        <v>0</v>
      </c>
      <c r="N50" s="457">
        <f t="shared" si="20"/>
        <v>0</v>
      </c>
      <c r="O50" s="457">
        <f t="shared" si="20"/>
        <v>0</v>
      </c>
      <c r="X50" s="494"/>
    </row>
    <row r="51" spans="4:24" ht="12.75" customHeight="1" x14ac:dyDescent="0.25">
      <c r="D51" s="454" t="s">
        <v>2335</v>
      </c>
      <c r="E51" s="438"/>
      <c r="F51" s="438"/>
      <c r="G51" s="453"/>
      <c r="H51" s="453"/>
      <c r="I51" s="453"/>
      <c r="J51" s="25">
        <v>-70407</v>
      </c>
      <c r="K51" s="25">
        <f t="shared" ref="K51" si="21">K95</f>
        <v>-20406</v>
      </c>
      <c r="L51" s="25">
        <f t="shared" ref="L51:M51" si="22">L95</f>
        <v>-20406</v>
      </c>
      <c r="M51" s="25">
        <f t="shared" si="22"/>
        <v>-20406</v>
      </c>
      <c r="N51" s="25">
        <f t="shared" ref="N51:O51" si="23">N95</f>
        <v>-20406</v>
      </c>
      <c r="O51" s="25">
        <f t="shared" si="23"/>
        <v>0</v>
      </c>
    </row>
    <row r="52" spans="4:24" ht="12.75" customHeight="1" x14ac:dyDescent="0.25">
      <c r="D52" s="454" t="s">
        <v>2310</v>
      </c>
      <c r="E52" s="438"/>
      <c r="F52" s="438"/>
      <c r="G52" s="453"/>
      <c r="H52" s="453"/>
      <c r="I52" s="453"/>
      <c r="J52" s="25">
        <v>-406822</v>
      </c>
      <c r="K52" s="25">
        <f t="shared" ref="K52" si="24">K100</f>
        <v>-375513</v>
      </c>
      <c r="L52" s="25">
        <f t="shared" ref="L52:M52" si="25">L100</f>
        <v>-355743</v>
      </c>
      <c r="M52" s="25">
        <f t="shared" si="25"/>
        <v>-338165</v>
      </c>
      <c r="N52" s="25">
        <f t="shared" ref="N52:O52" si="26">N100</f>
        <v>-308977</v>
      </c>
      <c r="O52" s="25">
        <f t="shared" si="26"/>
        <v>0</v>
      </c>
    </row>
    <row r="53" spans="4:24" ht="12.75" customHeight="1" x14ac:dyDescent="0.25">
      <c r="D53" s="454" t="s">
        <v>2314</v>
      </c>
      <c r="E53" s="438"/>
      <c r="F53" s="438"/>
      <c r="G53" s="453"/>
      <c r="H53" s="453"/>
      <c r="I53" s="453"/>
      <c r="J53" s="25">
        <v>0</v>
      </c>
      <c r="K53" s="25">
        <f>K106</f>
        <v>0</v>
      </c>
      <c r="L53" s="25">
        <f>L106</f>
        <v>0</v>
      </c>
      <c r="M53" s="25">
        <f>M106</f>
        <v>0</v>
      </c>
      <c r="N53" s="25">
        <f>N106</f>
        <v>0</v>
      </c>
      <c r="O53" s="25">
        <f>O106</f>
        <v>0</v>
      </c>
    </row>
    <row r="54" spans="4:24" ht="12.75" customHeight="1" x14ac:dyDescent="0.25">
      <c r="D54" s="454" t="s">
        <v>2315</v>
      </c>
      <c r="E54" s="438"/>
      <c r="F54" s="438"/>
      <c r="G54" s="453"/>
      <c r="H54" s="453"/>
      <c r="I54" s="453"/>
      <c r="J54" s="25">
        <v>-287014</v>
      </c>
      <c r="K54" s="25">
        <f>K112</f>
        <v>-4151000</v>
      </c>
      <c r="L54" s="25">
        <f>L112</f>
        <v>0</v>
      </c>
      <c r="M54" s="25">
        <f>M112</f>
        <v>0</v>
      </c>
      <c r="N54" s="25">
        <f>N112</f>
        <v>0</v>
      </c>
      <c r="O54" s="25">
        <f>O112</f>
        <v>0</v>
      </c>
    </row>
    <row r="55" spans="4:24" ht="12.75" customHeight="1" x14ac:dyDescent="0.25">
      <c r="D55" s="454" t="s">
        <v>2336</v>
      </c>
      <c r="E55" s="438"/>
      <c r="F55" s="438"/>
      <c r="G55" s="453"/>
      <c r="H55" s="453"/>
      <c r="I55" s="453"/>
      <c r="J55" s="457">
        <v>-12685</v>
      </c>
      <c r="K55" s="457">
        <f>K117</f>
        <v>-12683</v>
      </c>
      <c r="L55" s="457">
        <f>L117</f>
        <v>-8164</v>
      </c>
      <c r="M55" s="457">
        <f>M117</f>
        <v>-8164</v>
      </c>
      <c r="N55" s="457">
        <f>N117</f>
        <v>-8164</v>
      </c>
      <c r="O55" s="457">
        <f>O117</f>
        <v>0</v>
      </c>
    </row>
    <row r="56" spans="4:24" ht="12.75" customHeight="1" x14ac:dyDescent="0.25">
      <c r="D56" s="454" t="s">
        <v>2337</v>
      </c>
      <c r="E56" s="438"/>
      <c r="F56" s="438"/>
      <c r="G56" s="453"/>
      <c r="H56" s="453"/>
      <c r="I56" s="453"/>
      <c r="J56" s="457">
        <v>0</v>
      </c>
      <c r="K56" s="457">
        <f t="shared" ref="K56" si="27">K121</f>
        <v>0</v>
      </c>
      <c r="L56" s="457">
        <f t="shared" ref="L56:M56" si="28">L121</f>
        <v>0</v>
      </c>
      <c r="M56" s="457">
        <f t="shared" si="28"/>
        <v>0</v>
      </c>
      <c r="N56" s="457">
        <f t="shared" ref="N56:O56" si="29">N121</f>
        <v>0</v>
      </c>
      <c r="O56" s="457">
        <f t="shared" si="29"/>
        <v>0</v>
      </c>
    </row>
    <row r="57" spans="4:24" ht="12.75" customHeight="1" x14ac:dyDescent="0.25">
      <c r="D57" s="454" t="s">
        <v>2319</v>
      </c>
      <c r="E57" s="438"/>
      <c r="F57" s="438"/>
      <c r="G57" s="453"/>
      <c r="H57" s="453"/>
      <c r="I57" s="453"/>
      <c r="J57" s="25">
        <v>-517523</v>
      </c>
      <c r="K57" s="25">
        <f t="shared" ref="K57" si="30">+K127</f>
        <v>-479240</v>
      </c>
      <c r="L57" s="25">
        <f t="shared" ref="L57:O57" si="31">+L127</f>
        <v>-1219238</v>
      </c>
      <c r="M57" s="25">
        <f t="shared" si="31"/>
        <v>-564238</v>
      </c>
      <c r="N57" s="25">
        <f t="shared" si="31"/>
        <v>-754699</v>
      </c>
      <c r="O57" s="25">
        <f t="shared" si="31"/>
        <v>0</v>
      </c>
    </row>
    <row r="58" spans="4:24" ht="12.75" customHeight="1" x14ac:dyDescent="0.25">
      <c r="D58" s="454" t="s">
        <v>2338</v>
      </c>
      <c r="E58" s="438"/>
      <c r="F58" s="438"/>
      <c r="G58" s="453"/>
      <c r="H58" s="453"/>
      <c r="I58" s="453"/>
      <c r="J58" s="25">
        <v>-31806</v>
      </c>
      <c r="K58" s="25">
        <f t="shared" ref="K58" si="32">K131</f>
        <v>-31806</v>
      </c>
      <c r="L58" s="25">
        <f t="shared" ref="L58:M58" si="33">L131</f>
        <v>-31806</v>
      </c>
      <c r="M58" s="25">
        <f t="shared" si="33"/>
        <v>-31806</v>
      </c>
      <c r="N58" s="25">
        <f t="shared" ref="N58:O58" si="34">N131</f>
        <v>-31806</v>
      </c>
      <c r="O58" s="25">
        <f t="shared" si="34"/>
        <v>0</v>
      </c>
    </row>
    <row r="59" spans="4:24" ht="12.75" customHeight="1" x14ac:dyDescent="0.25">
      <c r="D59" s="454" t="s">
        <v>2339</v>
      </c>
      <c r="E59" s="438"/>
      <c r="F59" s="438"/>
      <c r="G59" s="453"/>
      <c r="H59" s="453"/>
      <c r="I59" s="453"/>
      <c r="J59" s="457">
        <v>0</v>
      </c>
      <c r="K59" s="457">
        <f t="shared" ref="K59" si="35">K135</f>
        <v>0</v>
      </c>
      <c r="L59" s="457">
        <f t="shared" ref="L59:M59" si="36">L135</f>
        <v>0</v>
      </c>
      <c r="M59" s="457">
        <f t="shared" si="36"/>
        <v>0</v>
      </c>
      <c r="N59" s="457">
        <f t="shared" ref="N59:O59" si="37">N135</f>
        <v>0</v>
      </c>
      <c r="O59" s="457">
        <f t="shared" si="37"/>
        <v>0</v>
      </c>
    </row>
    <row r="60" spans="4:24" ht="12.75" customHeight="1" x14ac:dyDescent="0.25">
      <c r="D60" s="454" t="s">
        <v>2340</v>
      </c>
      <c r="E60" s="438"/>
      <c r="F60" s="438"/>
      <c r="G60" s="453"/>
      <c r="H60" s="453"/>
      <c r="I60" s="453"/>
      <c r="J60" s="457">
        <v>-427534</v>
      </c>
      <c r="K60" s="457">
        <f t="shared" ref="K60" si="38">K139</f>
        <v>-427537</v>
      </c>
      <c r="L60" s="457">
        <f t="shared" ref="L60:M60" si="39">L139</f>
        <v>-427537</v>
      </c>
      <c r="M60" s="457">
        <f t="shared" si="39"/>
        <v>-427537</v>
      </c>
      <c r="N60" s="457">
        <f t="shared" ref="N60:O60" si="40">N139</f>
        <v>-427537</v>
      </c>
      <c r="O60" s="457">
        <f t="shared" si="40"/>
        <v>0</v>
      </c>
    </row>
    <row r="61" spans="4:24" ht="12.75" customHeight="1" x14ac:dyDescent="0.25">
      <c r="D61" s="454" t="s">
        <v>2341</v>
      </c>
      <c r="E61" s="438"/>
      <c r="F61" s="438"/>
      <c r="G61" s="453"/>
      <c r="H61" s="453"/>
      <c r="I61" s="453"/>
      <c r="J61" s="457">
        <v>-15175</v>
      </c>
      <c r="K61" s="457">
        <f t="shared" ref="K61" si="41">K143</f>
        <v>-15176</v>
      </c>
      <c r="L61" s="457">
        <f t="shared" ref="L61:M61" si="42">L143</f>
        <v>-15176</v>
      </c>
      <c r="M61" s="457">
        <f t="shared" si="42"/>
        <v>-15176</v>
      </c>
      <c r="N61" s="457">
        <f t="shared" ref="N61:O61" si="43">N143</f>
        <v>-15176</v>
      </c>
      <c r="O61" s="457">
        <f t="shared" si="43"/>
        <v>0</v>
      </c>
    </row>
    <row r="62" spans="4:24" ht="12.75" customHeight="1" x14ac:dyDescent="0.25">
      <c r="D62" s="454" t="s">
        <v>2323</v>
      </c>
      <c r="E62" s="438"/>
      <c r="F62" s="438"/>
      <c r="G62" s="453"/>
      <c r="H62" s="453"/>
      <c r="I62" s="453"/>
      <c r="J62" s="25">
        <v>-510654</v>
      </c>
      <c r="K62" s="25">
        <f t="shared" ref="K62" si="44">K148</f>
        <v>-518514</v>
      </c>
      <c r="L62" s="25">
        <f t="shared" ref="L62:M62" si="45">L148</f>
        <v>-487378</v>
      </c>
      <c r="M62" s="25">
        <f t="shared" si="45"/>
        <v>-383674</v>
      </c>
      <c r="N62" s="25">
        <f t="shared" ref="N62:O62" si="46">N148</f>
        <v>-371764</v>
      </c>
      <c r="O62" s="25">
        <f t="shared" si="46"/>
        <v>0</v>
      </c>
    </row>
    <row r="63" spans="4:24" ht="12.75" customHeight="1" x14ac:dyDescent="0.25">
      <c r="D63" s="454" t="s">
        <v>2342</v>
      </c>
      <c r="E63" s="438"/>
      <c r="F63" s="438"/>
      <c r="G63" s="453"/>
      <c r="H63" s="453"/>
      <c r="I63" s="453"/>
      <c r="J63" s="457">
        <v>-7917</v>
      </c>
      <c r="K63" s="457">
        <f t="shared" ref="K63" si="47">K157</f>
        <v>-7917</v>
      </c>
      <c r="L63" s="457">
        <f t="shared" ref="L63:M63" si="48">L157</f>
        <v>-7917</v>
      </c>
      <c r="M63" s="457">
        <f t="shared" si="48"/>
        <v>-7917</v>
      </c>
      <c r="N63" s="457">
        <f t="shared" ref="N63:O63" si="49">N157</f>
        <v>-7917</v>
      </c>
      <c r="O63" s="457">
        <f t="shared" si="49"/>
        <v>0</v>
      </c>
    </row>
    <row r="64" spans="4:24" ht="12.75" customHeight="1" x14ac:dyDescent="0.25">
      <c r="D64" s="454" t="s">
        <v>2329</v>
      </c>
      <c r="E64" s="438"/>
      <c r="F64" s="438"/>
      <c r="G64" s="453"/>
      <c r="H64" s="453"/>
      <c r="I64" s="453"/>
      <c r="J64" s="25">
        <v>-54607</v>
      </c>
      <c r="K64" s="25">
        <f t="shared" ref="K64" si="50">K162</f>
        <v>-419724</v>
      </c>
      <c r="L64" s="25">
        <f t="shared" ref="L64:M64" si="51">L162</f>
        <v>-82722</v>
      </c>
      <c r="M64" s="25">
        <f t="shared" si="51"/>
        <v>-82722</v>
      </c>
      <c r="N64" s="25">
        <f t="shared" ref="N64:O64" si="52">N162</f>
        <v>-82722</v>
      </c>
      <c r="O64" s="25">
        <f t="shared" si="52"/>
        <v>0</v>
      </c>
    </row>
    <row r="65" spans="1:20" ht="12.75" customHeight="1" x14ac:dyDescent="0.25">
      <c r="D65" s="454" t="s">
        <v>2343</v>
      </c>
      <c r="E65" s="438"/>
      <c r="F65" s="438"/>
      <c r="G65" s="453"/>
      <c r="H65" s="453"/>
      <c r="I65" s="453"/>
      <c r="J65" s="25">
        <v>-8757</v>
      </c>
      <c r="K65" s="25">
        <f t="shared" ref="K65" si="53">K440</f>
        <v>-323757</v>
      </c>
      <c r="L65" s="25">
        <f t="shared" ref="L65:M65" si="54">L440</f>
        <v>-8757</v>
      </c>
      <c r="M65" s="25">
        <f t="shared" si="54"/>
        <v>-8757</v>
      </c>
      <c r="N65" s="25">
        <f t="shared" ref="N65:O65" si="55">N440</f>
        <v>-8757</v>
      </c>
      <c r="O65" s="25">
        <f t="shared" si="55"/>
        <v>0</v>
      </c>
    </row>
    <row r="66" spans="1:20" ht="12.75" customHeight="1" x14ac:dyDescent="0.25">
      <c r="D66" s="454" t="s">
        <v>2344</v>
      </c>
      <c r="E66" s="438"/>
      <c r="F66" s="438"/>
      <c r="G66" s="453"/>
      <c r="H66" s="453"/>
      <c r="I66" s="453"/>
      <c r="J66" s="25">
        <v>-19657</v>
      </c>
      <c r="K66" s="25">
        <f t="shared" ref="K66" si="56">K171</f>
        <v>-19657</v>
      </c>
      <c r="L66" s="25">
        <f t="shared" ref="L66:M66" si="57">L171</f>
        <v>-19656</v>
      </c>
      <c r="M66" s="25">
        <f t="shared" si="57"/>
        <v>0</v>
      </c>
      <c r="N66" s="25">
        <f t="shared" ref="N66:O66" si="58">N171</f>
        <v>0</v>
      </c>
      <c r="O66" s="25">
        <f t="shared" si="58"/>
        <v>0</v>
      </c>
    </row>
    <row r="67" spans="1:20" ht="12.75" customHeight="1" x14ac:dyDescent="0.25">
      <c r="D67" s="454" t="s">
        <v>2345</v>
      </c>
      <c r="E67" s="438"/>
      <c r="F67" s="438"/>
      <c r="G67" s="453"/>
      <c r="H67" s="453"/>
      <c r="I67" s="453"/>
      <c r="J67" s="25">
        <v>0</v>
      </c>
      <c r="K67" s="25">
        <f t="shared" ref="K67" si="59">K175</f>
        <v>-109400</v>
      </c>
      <c r="L67" s="25">
        <f t="shared" ref="L67:M68" si="60">L175</f>
        <v>0</v>
      </c>
      <c r="M67" s="25">
        <f t="shared" si="60"/>
        <v>0</v>
      </c>
      <c r="N67" s="25">
        <f t="shared" ref="N67:O67" si="61">N175</f>
        <v>0</v>
      </c>
      <c r="O67" s="25">
        <f t="shared" si="61"/>
        <v>0</v>
      </c>
    </row>
    <row r="68" spans="1:20" ht="12.75" customHeight="1" x14ac:dyDescent="0.25">
      <c r="D68" s="454" t="s">
        <v>2346</v>
      </c>
      <c r="E68" s="438"/>
      <c r="F68" s="438"/>
      <c r="G68" s="453"/>
      <c r="H68" s="453"/>
      <c r="I68" s="453"/>
      <c r="J68" s="25">
        <v>0</v>
      </c>
      <c r="K68" s="25">
        <f t="shared" ref="K68:L68" si="62">K179</f>
        <v>0</v>
      </c>
      <c r="L68" s="25">
        <f t="shared" si="62"/>
        <v>0</v>
      </c>
      <c r="M68" s="25">
        <f t="shared" si="60"/>
        <v>0</v>
      </c>
      <c r="N68" s="25">
        <f t="shared" ref="N68:O68" si="63">N176</f>
        <v>0</v>
      </c>
      <c r="O68" s="25">
        <f t="shared" si="63"/>
        <v>0</v>
      </c>
    </row>
    <row r="69" spans="1:20" ht="12.75" customHeight="1" x14ac:dyDescent="0.25">
      <c r="D69" s="454" t="s">
        <v>2347</v>
      </c>
      <c r="E69" s="438"/>
      <c r="F69" s="438"/>
      <c r="G69" s="453"/>
      <c r="H69" s="453"/>
      <c r="I69" s="453"/>
      <c r="J69" s="25">
        <v>0</v>
      </c>
      <c r="K69" s="25">
        <f t="shared" ref="K69" si="64">K183</f>
        <v>-117100</v>
      </c>
      <c r="L69" s="25">
        <f t="shared" ref="L69:M69" si="65">L183</f>
        <v>0</v>
      </c>
      <c r="M69" s="25">
        <f t="shared" si="65"/>
        <v>0</v>
      </c>
      <c r="N69" s="25">
        <f t="shared" ref="N69:O69" si="66">N183</f>
        <v>0</v>
      </c>
      <c r="O69" s="25">
        <f t="shared" si="66"/>
        <v>0</v>
      </c>
    </row>
    <row r="70" spans="1:20" ht="12.75" customHeight="1" x14ac:dyDescent="0.25">
      <c r="D70" s="454" t="s">
        <v>2348</v>
      </c>
      <c r="E70" s="438"/>
      <c r="F70" s="438"/>
      <c r="G70" s="453"/>
      <c r="H70" s="453"/>
      <c r="I70" s="453"/>
      <c r="J70" s="25">
        <v>-60000</v>
      </c>
      <c r="K70" s="25">
        <f t="shared" ref="K70" si="67">+K188</f>
        <v>-62500</v>
      </c>
      <c r="L70" s="25">
        <f t="shared" ref="L70:M70" si="68">+L188</f>
        <v>-65100</v>
      </c>
      <c r="M70" s="25">
        <f t="shared" si="68"/>
        <v>0</v>
      </c>
      <c r="N70" s="25">
        <f t="shared" ref="N70:O70" si="69">+N188</f>
        <v>0</v>
      </c>
      <c r="O70" s="25">
        <f t="shared" si="69"/>
        <v>0</v>
      </c>
    </row>
    <row r="71" spans="1:20" ht="12.75" customHeight="1" x14ac:dyDescent="0.25">
      <c r="D71" s="454" t="s">
        <v>2349</v>
      </c>
      <c r="E71" s="438"/>
      <c r="F71" s="438"/>
      <c r="G71" s="453"/>
      <c r="H71" s="453"/>
      <c r="I71" s="453"/>
      <c r="J71" s="25">
        <v>-100000</v>
      </c>
      <c r="K71" s="25">
        <f t="shared" ref="K71" si="70">+K193</f>
        <v>-104200</v>
      </c>
      <c r="L71" s="25">
        <f t="shared" ref="L71:M71" si="71">+L193</f>
        <v>-108600</v>
      </c>
      <c r="M71" s="25">
        <f t="shared" si="71"/>
        <v>0</v>
      </c>
      <c r="N71" s="25">
        <f t="shared" ref="N71:O71" si="72">+N193</f>
        <v>0</v>
      </c>
      <c r="O71" s="25">
        <f t="shared" si="72"/>
        <v>0</v>
      </c>
    </row>
    <row r="72" spans="1:20" ht="12.75" customHeight="1" x14ac:dyDescent="0.25">
      <c r="D72" s="454" t="s">
        <v>2330</v>
      </c>
      <c r="E72" s="438"/>
      <c r="F72" s="438"/>
      <c r="G72" s="453"/>
      <c r="H72" s="453"/>
      <c r="I72" s="453"/>
      <c r="J72" s="25">
        <v>0</v>
      </c>
      <c r="K72" s="25">
        <f t="shared" ref="K72" si="73">K199</f>
        <v>0</v>
      </c>
      <c r="L72" s="25">
        <f t="shared" ref="L72:M72" si="74">L199</f>
        <v>0</v>
      </c>
      <c r="M72" s="25">
        <f t="shared" si="74"/>
        <v>0</v>
      </c>
      <c r="N72" s="25">
        <f t="shared" ref="N72:O72" si="75">N199</f>
        <v>0</v>
      </c>
      <c r="O72" s="25">
        <f t="shared" si="75"/>
        <v>0</v>
      </c>
    </row>
    <row r="73" spans="1:20" ht="12.75" customHeight="1" x14ac:dyDescent="0.25">
      <c r="D73" s="454" t="s">
        <v>2331</v>
      </c>
      <c r="E73" s="438"/>
      <c r="F73" s="438"/>
      <c r="G73" s="453"/>
      <c r="H73" s="453"/>
      <c r="I73" s="453"/>
      <c r="J73" s="25">
        <v>-135000</v>
      </c>
      <c r="K73" s="25">
        <f t="shared" ref="K73" si="76">K205</f>
        <v>-290000</v>
      </c>
      <c r="L73" s="25">
        <f t="shared" ref="L73:M73" si="77">L205</f>
        <v>-36600</v>
      </c>
      <c r="M73" s="25">
        <f t="shared" si="77"/>
        <v>0</v>
      </c>
      <c r="N73" s="25">
        <f t="shared" ref="N73:O73" si="78">N205</f>
        <v>0</v>
      </c>
      <c r="O73" s="25">
        <f t="shared" si="78"/>
        <v>0</v>
      </c>
    </row>
    <row r="74" spans="1:20" ht="12.75" customHeight="1" x14ac:dyDescent="0.25">
      <c r="D74" s="454" t="s">
        <v>2350</v>
      </c>
      <c r="E74" s="438"/>
      <c r="F74" s="438"/>
      <c r="G74" s="453"/>
      <c r="H74" s="453"/>
      <c r="I74" s="453"/>
      <c r="J74" s="25">
        <v>-50000</v>
      </c>
      <c r="K74" s="25">
        <f t="shared" ref="K74" si="79">K210</f>
        <v>-316700</v>
      </c>
      <c r="L74" s="25">
        <f t="shared" ref="L74:M74" si="80">L210</f>
        <v>-323700</v>
      </c>
      <c r="M74" s="25">
        <f t="shared" si="80"/>
        <v>0</v>
      </c>
      <c r="N74" s="25">
        <f t="shared" ref="N74:O74" si="81">N210</f>
        <v>0</v>
      </c>
      <c r="O74" s="25">
        <f t="shared" si="81"/>
        <v>0</v>
      </c>
    </row>
    <row r="75" spans="1:20" ht="12.75" customHeight="1" x14ac:dyDescent="0.25">
      <c r="D75" s="454" t="s">
        <v>2351</v>
      </c>
      <c r="E75" s="438"/>
      <c r="F75" s="438"/>
      <c r="G75" s="453"/>
      <c r="H75" s="453"/>
      <c r="I75" s="453"/>
      <c r="J75" s="25">
        <v>-502490</v>
      </c>
      <c r="K75" s="25">
        <f t="shared" ref="K75" si="82">K214</f>
        <v>-467201</v>
      </c>
      <c r="L75" s="25">
        <f t="shared" ref="L75:M75" si="83">L214</f>
        <v>-313327</v>
      </c>
      <c r="M75" s="25">
        <f t="shared" si="83"/>
        <v>-319594</v>
      </c>
      <c r="N75" s="25">
        <f t="shared" ref="N75:O75" si="84">N214</f>
        <v>-325986</v>
      </c>
      <c r="O75" s="25">
        <f t="shared" si="84"/>
        <v>0</v>
      </c>
    </row>
    <row r="76" spans="1:20" ht="12.75" customHeight="1" x14ac:dyDescent="0.25">
      <c r="D76" s="454" t="s">
        <v>2352</v>
      </c>
      <c r="E76" s="438"/>
      <c r="F76" s="438"/>
      <c r="G76" s="453"/>
      <c r="H76" s="453"/>
      <c r="I76" s="453"/>
      <c r="J76" s="25">
        <v>0</v>
      </c>
      <c r="K76" s="25">
        <f t="shared" ref="K76" si="85">K218</f>
        <v>-250000</v>
      </c>
      <c r="L76" s="25">
        <f t="shared" ref="L76:M76" si="86">L218</f>
        <v>-312500</v>
      </c>
      <c r="M76" s="25">
        <f t="shared" si="86"/>
        <v>0</v>
      </c>
      <c r="N76" s="25">
        <f t="shared" ref="N76:O76" si="87">N218</f>
        <v>0</v>
      </c>
      <c r="O76" s="25">
        <f t="shared" si="87"/>
        <v>0</v>
      </c>
    </row>
    <row r="77" spans="1:20" ht="12.75" customHeight="1" x14ac:dyDescent="0.25">
      <c r="D77" s="454"/>
      <c r="E77" s="438"/>
      <c r="F77" s="438"/>
      <c r="G77" s="453"/>
      <c r="H77" s="453"/>
      <c r="I77" s="453"/>
      <c r="J77" s="457"/>
      <c r="K77" s="457"/>
      <c r="L77" s="457"/>
      <c r="M77" s="457"/>
      <c r="N77" s="457"/>
      <c r="O77" s="457"/>
    </row>
    <row r="78" spans="1:20" ht="12.75" customHeight="1" x14ac:dyDescent="0.25">
      <c r="D78" s="464"/>
      <c r="E78" s="750"/>
      <c r="F78" s="750"/>
      <c r="G78" s="467"/>
      <c r="H78" s="467"/>
      <c r="I78" s="579"/>
      <c r="J78" s="1870">
        <f>SUM(J50:J77)</f>
        <v>-3218048</v>
      </c>
      <c r="K78" s="1870">
        <f t="shared" ref="K78:O78" si="88">SUM(K50:K77)</f>
        <v>-9500031</v>
      </c>
      <c r="L78" s="1870">
        <f t="shared" si="88"/>
        <v>-4464327</v>
      </c>
      <c r="M78" s="1870">
        <f t="shared" si="88"/>
        <v>-2208156</v>
      </c>
      <c r="N78" s="1870">
        <f t="shared" si="88"/>
        <v>-2363911</v>
      </c>
      <c r="O78" s="1870">
        <f t="shared" si="88"/>
        <v>0</v>
      </c>
    </row>
    <row r="79" spans="1:20" ht="12.75" customHeight="1" x14ac:dyDescent="0.3">
      <c r="A79" s="33"/>
      <c r="D79" s="438"/>
      <c r="E79" s="455"/>
      <c r="F79" s="456"/>
      <c r="G79" s="453"/>
      <c r="H79" s="453"/>
      <c r="I79" s="453"/>
      <c r="J79" s="469"/>
      <c r="K79" s="469"/>
      <c r="L79" s="469"/>
      <c r="M79" s="469"/>
      <c r="N79" s="469"/>
      <c r="O79" s="469"/>
      <c r="Q79" s="114"/>
      <c r="T79" s="310"/>
    </row>
    <row r="80" spans="1:20" ht="12.75" customHeight="1" x14ac:dyDescent="0.3">
      <c r="A80" s="33"/>
      <c r="I80" s="115" t="s">
        <v>2353</v>
      </c>
      <c r="J80" s="114">
        <v>-2794177</v>
      </c>
      <c r="K80" s="114">
        <v>-4583443</v>
      </c>
      <c r="L80" s="114">
        <f>+L45+L78</f>
        <v>-3992498</v>
      </c>
      <c r="M80" s="114">
        <f>+M45+M78</f>
        <v>-1769788</v>
      </c>
      <c r="N80" s="114">
        <f>+N45+N78</f>
        <v>-1990651</v>
      </c>
      <c r="O80" s="114">
        <f>+O45+O78</f>
        <v>0</v>
      </c>
      <c r="Q80" s="114"/>
      <c r="T80" s="310"/>
    </row>
    <row r="81" spans="1:20" ht="12.75" customHeight="1" x14ac:dyDescent="0.3">
      <c r="A81" s="33"/>
      <c r="J81" s="114">
        <v>-2794177</v>
      </c>
      <c r="K81" s="114">
        <v>-4583443</v>
      </c>
      <c r="L81" s="114">
        <f>SUM(L153+L95+L101+L107+L113+L117+L121+L127+L131+L135+L139+L143+L149+L157+L163+L167+L171+L175+L179+L183+L200+L206+L210+L214+L218+L188+L193+L91)</f>
        <v>-3992498</v>
      </c>
      <c r="M81" s="114">
        <f t="shared" ref="M81:N81" si="89">SUM(M153+M95+M101+M107+M113+M117+M121+M127+M131+M135+M139+M143+M149+M157+M163+M167+M171+M175+M179+M183+M200+M206+M210+M214+M218+M188+M193+M91)</f>
        <v>-1769788</v>
      </c>
      <c r="N81" s="114">
        <f t="shared" si="89"/>
        <v>-1990651</v>
      </c>
      <c r="O81" s="114">
        <f t="shared" ref="O81" si="90">SUM(O153+O95+O101+O107+O113+O117+O121+O127+O131+O135+O139+O143+O149+O157+O163+O167+O171+O175+O179+O183+O200+O206+O210+O214+O218+O188+O193+O91)</f>
        <v>0</v>
      </c>
      <c r="Q81" s="114"/>
      <c r="T81" s="310"/>
    </row>
    <row r="82" spans="1:20" ht="12.75" customHeight="1" x14ac:dyDescent="0.3">
      <c r="A82" s="33"/>
      <c r="J82" s="114">
        <v>-2794177</v>
      </c>
      <c r="K82" s="114">
        <v>-4583443</v>
      </c>
      <c r="L82" s="114">
        <f>SUM(L228:L536)/2</f>
        <v>-3992498</v>
      </c>
      <c r="M82" s="114">
        <f>SUM(M228:M536)/2</f>
        <v>-1769788</v>
      </c>
      <c r="N82" s="114">
        <f>SUM(N228:N536)/2</f>
        <v>-1990651</v>
      </c>
      <c r="O82" s="114">
        <f>SUM(O228:O536)/2</f>
        <v>0</v>
      </c>
      <c r="Q82" s="114"/>
      <c r="T82" s="310"/>
    </row>
    <row r="83" spans="1:20" ht="12.75" customHeight="1" x14ac:dyDescent="0.3">
      <c r="A83" s="33"/>
      <c r="J83" s="114"/>
      <c r="K83" s="114"/>
      <c r="L83" s="114"/>
      <c r="M83" s="114"/>
      <c r="N83" s="114"/>
      <c r="O83" s="114"/>
      <c r="Q83" s="114"/>
      <c r="T83" s="310"/>
    </row>
    <row r="84" spans="1:20" ht="12.75" customHeight="1" x14ac:dyDescent="0.3">
      <c r="A84" s="33"/>
      <c r="J84" s="114"/>
      <c r="K84" s="114"/>
      <c r="L84" s="114"/>
      <c r="M84" s="114"/>
      <c r="N84" s="114"/>
      <c r="O84" s="114"/>
      <c r="Q84" s="114"/>
      <c r="T84" s="310"/>
    </row>
    <row r="85" spans="1:20" ht="12.75" customHeight="1" x14ac:dyDescent="0.3">
      <c r="A85" s="33"/>
      <c r="D85" s="312" t="s">
        <v>528</v>
      </c>
      <c r="E85" s="382"/>
      <c r="F85" s="382"/>
      <c r="Q85" s="114"/>
      <c r="T85" s="310"/>
    </row>
    <row r="86" spans="1:20" ht="12.75" customHeight="1" x14ac:dyDescent="0.3">
      <c r="A86" s="33"/>
      <c r="D86" s="115"/>
      <c r="E86" s="115"/>
      <c r="F86" s="115"/>
      <c r="Q86" s="114"/>
      <c r="T86" s="310"/>
    </row>
    <row r="87" spans="1:20" ht="12.75" customHeight="1" x14ac:dyDescent="0.25">
      <c r="A87" s="336"/>
      <c r="D87" s="2523" t="s">
        <v>529</v>
      </c>
      <c r="E87" s="1761" t="s">
        <v>530</v>
      </c>
      <c r="F87" s="2552" t="s">
        <v>531</v>
      </c>
      <c r="G87" s="2525" t="s">
        <v>206</v>
      </c>
      <c r="H87" s="2525"/>
      <c r="I87" s="1773"/>
      <c r="J87" s="1763"/>
      <c r="K87" s="1763"/>
      <c r="L87" s="1763"/>
      <c r="M87" s="1763"/>
      <c r="N87" s="1763"/>
      <c r="O87" s="1763"/>
    </row>
    <row r="88" spans="1:20" ht="12.75" customHeight="1" x14ac:dyDescent="0.25">
      <c r="A88" s="336"/>
      <c r="D88" s="2566"/>
      <c r="E88" s="472" t="s">
        <v>532</v>
      </c>
      <c r="F88" s="2567"/>
      <c r="G88" s="2568"/>
      <c r="H88" s="2568"/>
      <c r="I88" s="521"/>
      <c r="J88" s="1764">
        <v>2025</v>
      </c>
      <c r="K88" s="1749">
        <v>2026</v>
      </c>
      <c r="L88" s="1749">
        <v>2027</v>
      </c>
      <c r="M88" s="1749">
        <v>2028</v>
      </c>
      <c r="N88" s="1749">
        <v>2029</v>
      </c>
      <c r="O88" s="2205" t="s">
        <v>5321</v>
      </c>
    </row>
    <row r="89" spans="1:20" ht="12.75" customHeight="1" x14ac:dyDescent="0.3">
      <c r="A89" s="33"/>
      <c r="D89" s="1125">
        <v>613001</v>
      </c>
      <c r="E89" s="330"/>
      <c r="F89" s="1126"/>
      <c r="G89" s="332" t="s">
        <v>2354</v>
      </c>
      <c r="H89" s="453"/>
      <c r="I89" s="518"/>
      <c r="J89" s="529"/>
      <c r="K89" s="529"/>
      <c r="L89" s="529"/>
      <c r="M89" s="529"/>
      <c r="N89" s="529"/>
      <c r="O89" s="529"/>
      <c r="Q89" s="114"/>
      <c r="T89" s="310"/>
    </row>
    <row r="90" spans="1:20" ht="12.75" customHeight="1" x14ac:dyDescent="0.3">
      <c r="A90" s="33"/>
      <c r="D90" s="1125"/>
      <c r="E90" s="341"/>
      <c r="F90" s="1126"/>
      <c r="G90" s="527" t="s">
        <v>554</v>
      </c>
      <c r="H90" s="453"/>
      <c r="I90" s="518"/>
      <c r="J90" s="529"/>
      <c r="K90" s="529"/>
      <c r="L90" s="529"/>
      <c r="M90" s="529"/>
      <c r="N90" s="529"/>
      <c r="O90" s="529"/>
      <c r="Q90" s="114"/>
      <c r="T90" s="310"/>
    </row>
    <row r="91" spans="1:20" ht="12.75" customHeight="1" thickBot="1" x14ac:dyDescent="0.35">
      <c r="A91" s="34">
        <f>+D89</f>
        <v>613001</v>
      </c>
      <c r="B91" s="115" t="str">
        <f>G89</f>
        <v xml:space="preserve">Mutatie reserve taakveld 01 </v>
      </c>
      <c r="D91" s="763">
        <v>87100</v>
      </c>
      <c r="E91" s="341"/>
      <c r="F91" s="763"/>
      <c r="G91" s="453" t="s">
        <v>2355</v>
      </c>
      <c r="H91" s="453"/>
      <c r="I91" s="518"/>
      <c r="J91" s="762">
        <f>+J232</f>
        <v>0</v>
      </c>
      <c r="K91" s="762">
        <f>K232</f>
        <v>-980000</v>
      </c>
      <c r="L91" s="762">
        <f t="shared" ref="L91:O91" si="91">L232</f>
        <v>-620000</v>
      </c>
      <c r="M91" s="762">
        <f t="shared" si="91"/>
        <v>0</v>
      </c>
      <c r="N91" s="762">
        <f t="shared" si="91"/>
        <v>0</v>
      </c>
      <c r="O91" s="762">
        <f t="shared" si="91"/>
        <v>0</v>
      </c>
      <c r="Q91" s="114"/>
      <c r="T91" s="310"/>
    </row>
    <row r="92" spans="1:20" ht="12.75" customHeight="1" thickTop="1" x14ac:dyDescent="0.3">
      <c r="A92" s="33"/>
      <c r="D92" s="1125"/>
      <c r="E92" s="1126"/>
      <c r="F92" s="1126"/>
      <c r="G92" s="747"/>
      <c r="H92" s="453"/>
      <c r="I92" s="518"/>
      <c r="J92" s="529"/>
      <c r="K92" s="453"/>
      <c r="L92" s="1763"/>
      <c r="M92" s="1763"/>
      <c r="N92" s="1763"/>
      <c r="O92" s="1763"/>
      <c r="Q92" s="114"/>
      <c r="T92" s="310"/>
    </row>
    <row r="93" spans="1:20" ht="12.75" customHeight="1" x14ac:dyDescent="0.3">
      <c r="A93" s="33"/>
      <c r="D93" s="1125">
        <v>613003</v>
      </c>
      <c r="E93" s="330"/>
      <c r="F93" s="1126"/>
      <c r="G93" s="332" t="s">
        <v>2356</v>
      </c>
      <c r="H93" s="453"/>
      <c r="I93" s="518"/>
      <c r="J93" s="529"/>
      <c r="K93" s="529"/>
      <c r="L93" s="529"/>
      <c r="M93" s="529"/>
      <c r="N93" s="529"/>
      <c r="O93" s="529"/>
      <c r="Q93" s="114"/>
      <c r="T93" s="310"/>
    </row>
    <row r="94" spans="1:20" ht="12.75" customHeight="1" x14ac:dyDescent="0.3">
      <c r="A94" s="33"/>
      <c r="D94" s="1125"/>
      <c r="E94" s="341"/>
      <c r="F94" s="1126"/>
      <c r="G94" s="527" t="s">
        <v>554</v>
      </c>
      <c r="H94" s="453"/>
      <c r="I94" s="518"/>
      <c r="J94" s="529"/>
      <c r="K94" s="529"/>
      <c r="L94" s="529"/>
      <c r="M94" s="529"/>
      <c r="N94" s="529"/>
      <c r="O94" s="529"/>
      <c r="Q94" s="114"/>
      <c r="T94" s="310"/>
    </row>
    <row r="95" spans="1:20" ht="12.75" customHeight="1" thickBot="1" x14ac:dyDescent="0.35">
      <c r="A95" s="34">
        <f>+D93</f>
        <v>613003</v>
      </c>
      <c r="B95" s="115" t="str">
        <f>G93</f>
        <v xml:space="preserve">Mutatie reserve taakveld 03 </v>
      </c>
      <c r="D95" s="763">
        <v>87100</v>
      </c>
      <c r="E95" s="341"/>
      <c r="F95" s="763"/>
      <c r="G95" s="453" t="s">
        <v>2355</v>
      </c>
      <c r="H95" s="453"/>
      <c r="I95" s="518"/>
      <c r="J95" s="762">
        <v>-70407</v>
      </c>
      <c r="K95" s="762">
        <v>-20406</v>
      </c>
      <c r="L95" s="762">
        <f t="shared" ref="L95:M95" si="92">L244</f>
        <v>-20406</v>
      </c>
      <c r="M95" s="762">
        <f t="shared" si="92"/>
        <v>-20406</v>
      </c>
      <c r="N95" s="762">
        <f t="shared" ref="N95:O95" si="93">N244</f>
        <v>-20406</v>
      </c>
      <c r="O95" s="762">
        <f t="shared" si="93"/>
        <v>0</v>
      </c>
      <c r="Q95" s="114"/>
      <c r="T95" s="310"/>
    </row>
    <row r="96" spans="1:20" ht="12.75" customHeight="1" thickTop="1" x14ac:dyDescent="0.3">
      <c r="A96" s="33"/>
      <c r="D96" s="1125"/>
      <c r="E96" s="1126"/>
      <c r="F96" s="1126"/>
      <c r="G96" s="747"/>
      <c r="H96" s="453"/>
      <c r="I96" s="518"/>
      <c r="J96" s="529"/>
      <c r="K96" s="529"/>
      <c r="L96" s="529"/>
      <c r="M96" s="529"/>
      <c r="N96" s="529"/>
      <c r="O96" s="529"/>
      <c r="Q96" s="114"/>
      <c r="T96" s="310"/>
    </row>
    <row r="97" spans="1:20" ht="12.75" customHeight="1" x14ac:dyDescent="0.3">
      <c r="A97" s="33"/>
      <c r="D97" s="1125">
        <v>613004</v>
      </c>
      <c r="E97" s="330"/>
      <c r="F97" s="1126"/>
      <c r="G97" s="332" t="s">
        <v>2357</v>
      </c>
      <c r="H97" s="453"/>
      <c r="I97" s="518"/>
      <c r="J97" s="529"/>
      <c r="K97" s="529"/>
      <c r="L97" s="529"/>
      <c r="M97" s="529"/>
      <c r="N97" s="529"/>
      <c r="O97" s="529"/>
      <c r="Q97" s="114"/>
      <c r="T97" s="310"/>
    </row>
    <row r="98" spans="1:20" ht="12.75" customHeight="1" x14ac:dyDescent="0.3">
      <c r="A98" s="33"/>
      <c r="D98" s="1125"/>
      <c r="E98" s="341"/>
      <c r="F98" s="1126"/>
      <c r="G98" s="334" t="s">
        <v>2358</v>
      </c>
      <c r="H98" s="453"/>
      <c r="I98" s="518"/>
      <c r="J98" s="529"/>
      <c r="K98" s="529"/>
      <c r="L98" s="529"/>
      <c r="M98" s="529"/>
      <c r="N98" s="529"/>
      <c r="O98" s="529"/>
      <c r="Q98" s="114"/>
      <c r="T98" s="310"/>
    </row>
    <row r="99" spans="1:20" ht="12.75" customHeight="1" x14ac:dyDescent="0.3">
      <c r="A99" s="34">
        <f>+D97</f>
        <v>613004</v>
      </c>
      <c r="B99" s="115" t="str">
        <f>G97</f>
        <v>Mutatie reserve taakveld 04</v>
      </c>
      <c r="D99" s="340">
        <v>47100</v>
      </c>
      <c r="E99" s="341"/>
      <c r="F99" s="340"/>
      <c r="G99" s="319" t="s">
        <v>2355</v>
      </c>
      <c r="H99" s="453"/>
      <c r="I99" s="518"/>
      <c r="J99" s="457">
        <v>250000</v>
      </c>
      <c r="K99" s="457">
        <v>250000</v>
      </c>
      <c r="L99" s="457">
        <f t="shared" ref="L99:M99" si="94">L250</f>
        <v>250000</v>
      </c>
      <c r="M99" s="457">
        <f t="shared" si="94"/>
        <v>250000</v>
      </c>
      <c r="N99" s="457">
        <f t="shared" ref="N99" si="95">N250</f>
        <v>250000</v>
      </c>
      <c r="O99" s="457">
        <v>0</v>
      </c>
      <c r="Q99" s="114"/>
      <c r="T99" s="310"/>
    </row>
    <row r="100" spans="1:20" ht="12.75" customHeight="1" x14ac:dyDescent="0.3">
      <c r="A100" s="34">
        <f>+D97</f>
        <v>613004</v>
      </c>
      <c r="B100" s="115" t="str">
        <f>G97</f>
        <v>Mutatie reserve taakveld 04</v>
      </c>
      <c r="D100" s="337">
        <v>87100</v>
      </c>
      <c r="E100" s="343"/>
      <c r="F100" s="337"/>
      <c r="G100" s="319" t="s">
        <v>2355</v>
      </c>
      <c r="H100" s="453"/>
      <c r="I100" s="518"/>
      <c r="J100" s="457">
        <v>-406822</v>
      </c>
      <c r="K100" s="457">
        <v>-375513</v>
      </c>
      <c r="L100" s="457">
        <f t="shared" ref="L100:M100" si="96">L270</f>
        <v>-355743</v>
      </c>
      <c r="M100" s="457">
        <f t="shared" si="96"/>
        <v>-338165</v>
      </c>
      <c r="N100" s="457">
        <f t="shared" ref="N100:O100" si="97">N270</f>
        <v>-308977</v>
      </c>
      <c r="O100" s="457">
        <f t="shared" si="97"/>
        <v>0</v>
      </c>
      <c r="Q100" s="114"/>
      <c r="T100" s="310"/>
    </row>
    <row r="101" spans="1:20" ht="12.75" customHeight="1" thickBot="1" x14ac:dyDescent="0.3">
      <c r="D101" s="337"/>
      <c r="E101" s="341"/>
      <c r="F101" s="1126"/>
      <c r="G101" s="319" t="s">
        <v>536</v>
      </c>
      <c r="H101" s="453"/>
      <c r="I101" s="518"/>
      <c r="J101" s="762">
        <v>-156822</v>
      </c>
      <c r="K101" s="762">
        <v>-125513</v>
      </c>
      <c r="L101" s="762">
        <f t="shared" ref="L101:M101" si="98">SUM(L98:L100)</f>
        <v>-105743</v>
      </c>
      <c r="M101" s="762">
        <f t="shared" si="98"/>
        <v>-88165</v>
      </c>
      <c r="N101" s="762">
        <f t="shared" ref="N101:O101" si="99">SUM(N98:N100)</f>
        <v>-58977</v>
      </c>
      <c r="O101" s="762">
        <f t="shared" si="99"/>
        <v>0</v>
      </c>
      <c r="Q101" s="114"/>
      <c r="T101" s="310"/>
    </row>
    <row r="102" spans="1:20" ht="12.75" customHeight="1" thickTop="1" x14ac:dyDescent="0.3">
      <c r="A102" s="33"/>
      <c r="D102" s="1125"/>
      <c r="E102" s="1126"/>
      <c r="F102" s="1126"/>
      <c r="G102" s="747"/>
      <c r="H102" s="453"/>
      <c r="I102" s="518"/>
      <c r="J102" s="529"/>
      <c r="K102" s="529"/>
      <c r="L102" s="529"/>
      <c r="M102" s="529"/>
      <c r="N102" s="529"/>
      <c r="O102" s="529"/>
      <c r="Q102" s="114"/>
      <c r="T102" s="310"/>
    </row>
    <row r="103" spans="1:20" ht="12.75" customHeight="1" x14ac:dyDescent="0.3">
      <c r="A103" s="33"/>
      <c r="D103" s="1125">
        <v>613005</v>
      </c>
      <c r="E103" s="330"/>
      <c r="F103" s="1126"/>
      <c r="G103" s="332" t="s">
        <v>2359</v>
      </c>
      <c r="H103" s="453"/>
      <c r="I103" s="518"/>
      <c r="J103" s="529"/>
      <c r="K103" s="529"/>
      <c r="L103" s="529"/>
      <c r="M103" s="529"/>
      <c r="N103" s="529"/>
      <c r="O103" s="529"/>
      <c r="Q103" s="114"/>
      <c r="T103" s="310"/>
    </row>
    <row r="104" spans="1:20" ht="12.75" customHeight="1" x14ac:dyDescent="0.3">
      <c r="A104" s="33"/>
      <c r="D104" s="1125"/>
      <c r="E104" s="341"/>
      <c r="F104" s="1126"/>
      <c r="G104" s="334" t="s">
        <v>2358</v>
      </c>
      <c r="H104" s="453"/>
      <c r="I104" s="518"/>
      <c r="J104" s="529"/>
      <c r="K104" s="529"/>
      <c r="L104" s="529"/>
      <c r="M104" s="529"/>
      <c r="N104" s="529"/>
      <c r="O104" s="529"/>
      <c r="Q104" s="114"/>
      <c r="T104" s="310"/>
    </row>
    <row r="105" spans="1:20" ht="12.75" customHeight="1" x14ac:dyDescent="0.3">
      <c r="A105" s="34">
        <f>+D103</f>
        <v>613005</v>
      </c>
      <c r="B105" s="115" t="str">
        <f>G103</f>
        <v>Mutatie reserve taakveld 05</v>
      </c>
      <c r="D105" s="340">
        <v>47100</v>
      </c>
      <c r="E105" s="341"/>
      <c r="F105" s="340"/>
      <c r="G105" s="319" t="s">
        <v>2355</v>
      </c>
      <c r="H105" s="453"/>
      <c r="I105" s="518"/>
      <c r="J105" s="457">
        <v>1857</v>
      </c>
      <c r="K105" s="457">
        <v>1578</v>
      </c>
      <c r="L105" s="457">
        <f t="shared" ref="L105:M105" si="100">L276</f>
        <v>1288</v>
      </c>
      <c r="M105" s="457">
        <f t="shared" si="100"/>
        <v>985</v>
      </c>
      <c r="N105" s="457">
        <f t="shared" ref="N105:O105" si="101">N276</f>
        <v>670</v>
      </c>
      <c r="O105" s="457">
        <f t="shared" si="101"/>
        <v>0</v>
      </c>
      <c r="Q105" s="114"/>
      <c r="T105" s="310"/>
    </row>
    <row r="106" spans="1:20" ht="12.75" customHeight="1" x14ac:dyDescent="0.3">
      <c r="A106" s="34">
        <f>+D103</f>
        <v>613005</v>
      </c>
      <c r="B106" s="115" t="str">
        <f>G103</f>
        <v>Mutatie reserve taakveld 05</v>
      </c>
      <c r="D106" s="337">
        <v>87100</v>
      </c>
      <c r="E106" s="343"/>
      <c r="F106" s="337"/>
      <c r="G106" s="319" t="s">
        <v>2355</v>
      </c>
      <c r="H106" s="453"/>
      <c r="I106" s="518"/>
      <c r="J106" s="457">
        <v>0</v>
      </c>
      <c r="K106" s="457">
        <v>0</v>
      </c>
      <c r="L106" s="457">
        <f t="shared" ref="L106:M106" si="102">L285</f>
        <v>0</v>
      </c>
      <c r="M106" s="457">
        <f t="shared" si="102"/>
        <v>0</v>
      </c>
      <c r="N106" s="457">
        <f t="shared" ref="N106:O106" si="103">N285</f>
        <v>0</v>
      </c>
      <c r="O106" s="457">
        <f t="shared" si="103"/>
        <v>0</v>
      </c>
      <c r="Q106" s="114"/>
      <c r="T106" s="310"/>
    </row>
    <row r="107" spans="1:20" ht="12.75" customHeight="1" thickBot="1" x14ac:dyDescent="0.3">
      <c r="D107" s="337"/>
      <c r="E107" s="341"/>
      <c r="F107" s="1126"/>
      <c r="G107" s="319" t="s">
        <v>536</v>
      </c>
      <c r="H107" s="453"/>
      <c r="I107" s="518"/>
      <c r="J107" s="762">
        <v>1857</v>
      </c>
      <c r="K107" s="762">
        <v>1578</v>
      </c>
      <c r="L107" s="762">
        <f t="shared" ref="L107:M107" si="104">SUM(L104:L106)</f>
        <v>1288</v>
      </c>
      <c r="M107" s="762">
        <f t="shared" si="104"/>
        <v>985</v>
      </c>
      <c r="N107" s="762">
        <f t="shared" ref="N107:O107" si="105">SUM(N104:N106)</f>
        <v>670</v>
      </c>
      <c r="O107" s="762">
        <f t="shared" si="105"/>
        <v>0</v>
      </c>
      <c r="Q107" s="114"/>
      <c r="T107" s="310"/>
    </row>
    <row r="108" spans="1:20" ht="12.75" customHeight="1" thickTop="1" x14ac:dyDescent="0.3">
      <c r="A108" s="33"/>
      <c r="D108" s="1125"/>
      <c r="E108" s="1126"/>
      <c r="F108" s="1126"/>
      <c r="G108" s="747"/>
      <c r="H108" s="453"/>
      <c r="I108" s="518"/>
      <c r="J108" s="529"/>
      <c r="K108" s="529"/>
      <c r="L108" s="529"/>
      <c r="M108" s="529"/>
      <c r="N108" s="529"/>
      <c r="O108" s="529"/>
      <c r="Q108" s="114"/>
      <c r="T108" s="310"/>
    </row>
    <row r="109" spans="1:20" ht="12.75" customHeight="1" x14ac:dyDescent="0.3">
      <c r="A109" s="33"/>
      <c r="D109" s="1125">
        <v>613013</v>
      </c>
      <c r="E109" s="330"/>
      <c r="F109" s="1126"/>
      <c r="G109" s="332" t="s">
        <v>2360</v>
      </c>
      <c r="H109" s="453"/>
      <c r="I109" s="518"/>
      <c r="J109" s="529"/>
      <c r="K109" s="529"/>
      <c r="L109" s="529"/>
      <c r="M109" s="529"/>
      <c r="N109" s="529"/>
      <c r="O109" s="529"/>
      <c r="Q109" s="114"/>
      <c r="T109" s="310"/>
    </row>
    <row r="110" spans="1:20" ht="12.75" customHeight="1" x14ac:dyDescent="0.3">
      <c r="A110" s="33"/>
      <c r="D110" s="1125"/>
      <c r="E110" s="341"/>
      <c r="F110" s="1126"/>
      <c r="G110" s="334" t="s">
        <v>2358</v>
      </c>
      <c r="H110" s="453"/>
      <c r="I110" s="518"/>
      <c r="J110" s="529"/>
      <c r="K110" s="529"/>
      <c r="L110" s="529"/>
      <c r="M110" s="529"/>
      <c r="N110" s="529"/>
      <c r="O110" s="529"/>
      <c r="Q110" s="114"/>
      <c r="T110" s="310"/>
    </row>
    <row r="111" spans="1:20" ht="12.75" customHeight="1" x14ac:dyDescent="0.3">
      <c r="A111" s="34">
        <f>+D109</f>
        <v>613013</v>
      </c>
      <c r="B111" s="115" t="str">
        <f>G109</f>
        <v>Mutatie reserve taakveld 010</v>
      </c>
      <c r="D111" s="340">
        <v>47100</v>
      </c>
      <c r="E111" s="341"/>
      <c r="F111" s="340"/>
      <c r="G111" s="319" t="s">
        <v>2355</v>
      </c>
      <c r="H111" s="453"/>
      <c r="I111" s="518"/>
      <c r="J111" s="457">
        <v>87014</v>
      </c>
      <c r="K111" s="457">
        <f t="shared" ref="K111:M111" si="106">K292</f>
        <v>0</v>
      </c>
      <c r="L111" s="457">
        <f t="shared" si="106"/>
        <v>0</v>
      </c>
      <c r="M111" s="457">
        <f t="shared" si="106"/>
        <v>0</v>
      </c>
      <c r="N111" s="457">
        <f t="shared" ref="N111:O111" si="107">N292</f>
        <v>0</v>
      </c>
      <c r="O111" s="457">
        <f t="shared" si="107"/>
        <v>0</v>
      </c>
      <c r="Q111" s="114"/>
      <c r="T111" s="310"/>
    </row>
    <row r="112" spans="1:20" ht="12.75" customHeight="1" x14ac:dyDescent="0.3">
      <c r="A112" s="34">
        <f>+D109</f>
        <v>613013</v>
      </c>
      <c r="B112" s="115" t="str">
        <f>G109</f>
        <v>Mutatie reserve taakveld 010</v>
      </c>
      <c r="D112" s="337">
        <v>87100</v>
      </c>
      <c r="E112" s="343"/>
      <c r="F112" s="337"/>
      <c r="G112" s="319" t="s">
        <v>2355</v>
      </c>
      <c r="H112" s="453"/>
      <c r="I112" s="518"/>
      <c r="J112" s="457">
        <v>-287014</v>
      </c>
      <c r="K112" s="457">
        <f t="shared" ref="K112:M112" si="108">K302</f>
        <v>-4151000</v>
      </c>
      <c r="L112" s="457">
        <f t="shared" si="108"/>
        <v>0</v>
      </c>
      <c r="M112" s="457">
        <f t="shared" si="108"/>
        <v>0</v>
      </c>
      <c r="N112" s="457">
        <f t="shared" ref="N112:O112" si="109">N302</f>
        <v>0</v>
      </c>
      <c r="O112" s="457">
        <f t="shared" si="109"/>
        <v>0</v>
      </c>
      <c r="Q112" s="114"/>
      <c r="T112" s="310"/>
    </row>
    <row r="113" spans="1:20" ht="12.75" customHeight="1" thickBot="1" x14ac:dyDescent="0.3">
      <c r="D113" s="337"/>
      <c r="E113" s="341"/>
      <c r="F113" s="1126"/>
      <c r="G113" s="319" t="s">
        <v>536</v>
      </c>
      <c r="H113" s="453"/>
      <c r="I113" s="518"/>
      <c r="J113" s="762">
        <v>-200000</v>
      </c>
      <c r="K113" s="762">
        <f t="shared" ref="K113:M113" si="110">SUM(K110:K112)</f>
        <v>-4151000</v>
      </c>
      <c r="L113" s="762">
        <f t="shared" si="110"/>
        <v>0</v>
      </c>
      <c r="M113" s="762">
        <f t="shared" si="110"/>
        <v>0</v>
      </c>
      <c r="N113" s="762">
        <f t="shared" ref="N113:O113" si="111">SUM(N110:N112)</f>
        <v>0</v>
      </c>
      <c r="O113" s="762">
        <f t="shared" si="111"/>
        <v>0</v>
      </c>
      <c r="Q113" s="114"/>
      <c r="T113" s="310"/>
    </row>
    <row r="114" spans="1:20" ht="12.75" customHeight="1" thickTop="1" x14ac:dyDescent="0.25">
      <c r="D114" s="337"/>
      <c r="E114" s="341"/>
      <c r="F114" s="1126"/>
      <c r="G114" s="453"/>
      <c r="H114" s="453"/>
      <c r="I114" s="518"/>
      <c r="J114" s="457"/>
      <c r="K114" s="457"/>
      <c r="L114" s="457"/>
      <c r="M114" s="457"/>
      <c r="N114" s="457"/>
      <c r="O114" s="457"/>
      <c r="Q114" s="114"/>
      <c r="T114" s="310"/>
    </row>
    <row r="115" spans="1:20" ht="12.75" customHeight="1" x14ac:dyDescent="0.3">
      <c r="A115" s="33"/>
      <c r="D115" s="1125">
        <v>613015</v>
      </c>
      <c r="E115" s="330"/>
      <c r="F115" s="1126"/>
      <c r="G115" s="332" t="s">
        <v>2361</v>
      </c>
      <c r="H115" s="453"/>
      <c r="I115" s="518"/>
      <c r="J115" s="529"/>
      <c r="K115" s="529"/>
      <c r="L115" s="529"/>
      <c r="M115" s="529"/>
      <c r="N115" s="529"/>
      <c r="O115" s="529"/>
      <c r="Q115" s="114"/>
      <c r="T115" s="310"/>
    </row>
    <row r="116" spans="1:20" ht="12.75" customHeight="1" x14ac:dyDescent="0.3">
      <c r="A116" s="33"/>
      <c r="D116" s="1125"/>
      <c r="E116" s="341"/>
      <c r="F116" s="1126"/>
      <c r="G116" s="527" t="s">
        <v>554</v>
      </c>
      <c r="H116" s="453"/>
      <c r="I116" s="518"/>
      <c r="J116" s="529"/>
      <c r="K116" s="529"/>
      <c r="L116" s="529"/>
      <c r="M116" s="529"/>
      <c r="N116" s="529"/>
      <c r="O116" s="529"/>
      <c r="Q116" s="114"/>
      <c r="T116" s="310"/>
    </row>
    <row r="117" spans="1:20" ht="12.75" customHeight="1" thickBot="1" x14ac:dyDescent="0.35">
      <c r="A117" s="34">
        <f>+D115</f>
        <v>613015</v>
      </c>
      <c r="B117" s="115" t="str">
        <f>G115</f>
        <v>Mutatie reserve taakveld 11</v>
      </c>
      <c r="D117" s="337">
        <v>87100</v>
      </c>
      <c r="E117" s="341"/>
      <c r="F117" s="337"/>
      <c r="G117" s="453" t="s">
        <v>2355</v>
      </c>
      <c r="H117" s="453"/>
      <c r="I117" s="518"/>
      <c r="J117" s="762">
        <v>-12685</v>
      </c>
      <c r="K117" s="762">
        <v>-12683</v>
      </c>
      <c r="L117" s="762">
        <f t="shared" ref="L117:M117" si="112">L308</f>
        <v>-8164</v>
      </c>
      <c r="M117" s="762">
        <f t="shared" si="112"/>
        <v>-8164</v>
      </c>
      <c r="N117" s="762">
        <f t="shared" ref="N117:O117" si="113">N308</f>
        <v>-8164</v>
      </c>
      <c r="O117" s="762">
        <f t="shared" si="113"/>
        <v>0</v>
      </c>
      <c r="Q117" s="114"/>
      <c r="T117" s="310"/>
    </row>
    <row r="118" spans="1:20" ht="12.75" customHeight="1" thickTop="1" x14ac:dyDescent="0.3">
      <c r="A118" s="33"/>
      <c r="D118" s="1125"/>
      <c r="E118" s="1126"/>
      <c r="F118" s="1126"/>
      <c r="G118" s="527"/>
      <c r="H118" s="453"/>
      <c r="I118" s="518"/>
      <c r="J118" s="529"/>
      <c r="K118" s="529"/>
      <c r="L118" s="529"/>
      <c r="M118" s="529"/>
      <c r="N118" s="529"/>
      <c r="O118" s="529"/>
      <c r="Q118" s="114"/>
      <c r="T118" s="310"/>
    </row>
    <row r="119" spans="1:20" ht="12.75" customHeight="1" x14ac:dyDescent="0.3">
      <c r="A119" s="33"/>
      <c r="D119" s="1125">
        <v>613016</v>
      </c>
      <c r="E119" s="330"/>
      <c r="F119" s="1126"/>
      <c r="G119" s="332" t="s">
        <v>2362</v>
      </c>
      <c r="H119" s="453"/>
      <c r="I119" s="518"/>
      <c r="J119" s="529"/>
      <c r="K119" s="529"/>
      <c r="L119" s="529"/>
      <c r="M119" s="529"/>
      <c r="N119" s="529"/>
      <c r="O119" s="529"/>
      <c r="Q119" s="114"/>
      <c r="T119" s="310"/>
    </row>
    <row r="120" spans="1:20" ht="12.75" customHeight="1" x14ac:dyDescent="0.3">
      <c r="A120" s="33"/>
      <c r="D120" s="1125"/>
      <c r="E120" s="341"/>
      <c r="F120" s="1126"/>
      <c r="G120" s="527" t="s">
        <v>554</v>
      </c>
      <c r="H120" s="453"/>
      <c r="I120" s="518"/>
      <c r="J120" s="529"/>
      <c r="K120" s="529"/>
      <c r="L120" s="529"/>
      <c r="M120" s="529"/>
      <c r="N120" s="529"/>
      <c r="O120" s="529"/>
      <c r="Q120" s="114"/>
      <c r="T120" s="310"/>
    </row>
    <row r="121" spans="1:20" ht="12.75" customHeight="1" thickBot="1" x14ac:dyDescent="0.35">
      <c r="A121" s="34">
        <f>+D119</f>
        <v>613016</v>
      </c>
      <c r="B121" s="115" t="str">
        <f>G119</f>
        <v>Mutatie reserve taakveld 12</v>
      </c>
      <c r="D121" s="337">
        <v>87100</v>
      </c>
      <c r="E121" s="341"/>
      <c r="F121" s="337"/>
      <c r="G121" s="453" t="s">
        <v>2355</v>
      </c>
      <c r="H121" s="453"/>
      <c r="I121" s="518"/>
      <c r="J121" s="762">
        <v>0</v>
      </c>
      <c r="K121" s="762">
        <v>0</v>
      </c>
      <c r="L121" s="762">
        <f t="shared" ref="L121:M121" si="114">L313</f>
        <v>0</v>
      </c>
      <c r="M121" s="762">
        <f t="shared" si="114"/>
        <v>0</v>
      </c>
      <c r="N121" s="762">
        <f t="shared" ref="N121:O121" si="115">N313</f>
        <v>0</v>
      </c>
      <c r="O121" s="762">
        <f t="shared" si="115"/>
        <v>0</v>
      </c>
      <c r="Q121" s="114"/>
      <c r="T121" s="310"/>
    </row>
    <row r="122" spans="1:20" ht="12.75" customHeight="1" thickTop="1" x14ac:dyDescent="0.3">
      <c r="A122" s="33"/>
      <c r="D122" s="1125"/>
      <c r="E122" s="1126"/>
      <c r="F122" s="1126"/>
      <c r="G122" s="527"/>
      <c r="H122" s="453"/>
      <c r="I122" s="518"/>
      <c r="J122" s="529"/>
      <c r="K122" s="529"/>
      <c r="L122" s="529"/>
      <c r="M122" s="529"/>
      <c r="N122" s="529"/>
      <c r="O122" s="529"/>
      <c r="Q122" s="114"/>
      <c r="T122" s="310"/>
    </row>
    <row r="123" spans="1:20" ht="12.75" customHeight="1" x14ac:dyDescent="0.25">
      <c r="A123" s="336"/>
      <c r="D123" s="333">
        <v>613017</v>
      </c>
      <c r="E123" s="330"/>
      <c r="F123" s="331"/>
      <c r="G123" s="332" t="s">
        <v>2363</v>
      </c>
      <c r="H123" s="381"/>
      <c r="I123" s="318"/>
      <c r="J123" s="317"/>
      <c r="K123" s="317"/>
      <c r="L123" s="317"/>
      <c r="M123" s="317"/>
      <c r="N123" s="317"/>
      <c r="O123" s="317"/>
    </row>
    <row r="124" spans="1:20" ht="12.75" customHeight="1" x14ac:dyDescent="0.25">
      <c r="A124" s="336"/>
      <c r="D124" s="340"/>
      <c r="E124" s="341"/>
      <c r="F124" s="340"/>
      <c r="G124" s="334" t="s">
        <v>2358</v>
      </c>
      <c r="I124" s="318"/>
      <c r="J124" s="317"/>
      <c r="K124" s="317"/>
      <c r="L124" s="317"/>
      <c r="M124" s="317"/>
      <c r="N124" s="317"/>
      <c r="O124" s="317"/>
    </row>
    <row r="125" spans="1:20" ht="12.75" customHeight="1" x14ac:dyDescent="0.3">
      <c r="A125" s="34">
        <f>+D123</f>
        <v>613017</v>
      </c>
      <c r="B125" s="115" t="str">
        <f>G123</f>
        <v>Mutatie reserve taakveld 21</v>
      </c>
      <c r="D125" s="340">
        <v>47100</v>
      </c>
      <c r="E125" s="341"/>
      <c r="F125" s="340"/>
      <c r="G125" s="319" t="s">
        <v>2355</v>
      </c>
      <c r="I125" s="318"/>
      <c r="J125" s="318">
        <f t="shared" ref="J125:M125" si="116">J331</f>
        <v>0</v>
      </c>
      <c r="K125" s="318">
        <f t="shared" si="116"/>
        <v>315000</v>
      </c>
      <c r="L125" s="318">
        <f t="shared" si="116"/>
        <v>0</v>
      </c>
      <c r="M125" s="318">
        <f t="shared" si="116"/>
        <v>0</v>
      </c>
      <c r="N125" s="318">
        <f t="shared" ref="N125:O125" si="117">N331</f>
        <v>0</v>
      </c>
      <c r="O125" s="318">
        <f t="shared" si="117"/>
        <v>0</v>
      </c>
    </row>
    <row r="126" spans="1:20" ht="12.75" customHeight="1" x14ac:dyDescent="0.3">
      <c r="A126" s="34">
        <f>+D123</f>
        <v>613017</v>
      </c>
      <c r="B126" s="115" t="str">
        <f>G123</f>
        <v>Mutatie reserve taakveld 21</v>
      </c>
      <c r="D126" s="337">
        <v>87100</v>
      </c>
      <c r="E126" s="343"/>
      <c r="F126" s="337"/>
      <c r="G126" s="319" t="s">
        <v>2355</v>
      </c>
      <c r="I126" s="318"/>
      <c r="J126" s="318">
        <v>-517523</v>
      </c>
      <c r="K126" s="318">
        <v>-794240</v>
      </c>
      <c r="L126" s="318">
        <f t="shared" ref="L126:M126" si="118">L325</f>
        <v>-1219238</v>
      </c>
      <c r="M126" s="318">
        <f t="shared" si="118"/>
        <v>-564238</v>
      </c>
      <c r="N126" s="318">
        <f t="shared" ref="N126:O126" si="119">N325</f>
        <v>-754699</v>
      </c>
      <c r="O126" s="318">
        <f t="shared" si="119"/>
        <v>0</v>
      </c>
    </row>
    <row r="127" spans="1:20" ht="12.75" customHeight="1" thickBot="1" x14ac:dyDescent="0.3">
      <c r="A127" s="336"/>
      <c r="D127" s="340"/>
      <c r="E127" s="341"/>
      <c r="F127" s="340"/>
      <c r="G127" s="319" t="s">
        <v>536</v>
      </c>
      <c r="I127" s="318"/>
      <c r="J127" s="480">
        <f>SUM(J125:J126)</f>
        <v>-517523</v>
      </c>
      <c r="K127" s="480">
        <f t="shared" ref="K127:O127" si="120">SUM(K125:K126)</f>
        <v>-479240</v>
      </c>
      <c r="L127" s="480">
        <f t="shared" si="120"/>
        <v>-1219238</v>
      </c>
      <c r="M127" s="480">
        <f t="shared" si="120"/>
        <v>-564238</v>
      </c>
      <c r="N127" s="480">
        <f t="shared" si="120"/>
        <v>-754699</v>
      </c>
      <c r="O127" s="480">
        <f t="shared" si="120"/>
        <v>0</v>
      </c>
    </row>
    <row r="128" spans="1:20" ht="12.75" customHeight="1" thickTop="1" x14ac:dyDescent="0.3">
      <c r="A128" s="34"/>
      <c r="D128" s="763"/>
      <c r="E128" s="763"/>
      <c r="F128" s="1299"/>
      <c r="G128" s="761"/>
      <c r="H128" s="453"/>
      <c r="I128" s="463"/>
      <c r="J128" s="457"/>
      <c r="K128" s="457"/>
      <c r="L128" s="457"/>
      <c r="M128" s="457"/>
      <c r="N128" s="457"/>
      <c r="O128" s="457"/>
      <c r="Q128" s="114"/>
      <c r="T128" s="310"/>
    </row>
    <row r="129" spans="1:20" ht="12.75" customHeight="1" x14ac:dyDescent="0.3">
      <c r="A129" s="34"/>
      <c r="D129" s="1125">
        <v>613018</v>
      </c>
      <c r="E129" s="330"/>
      <c r="F129" s="1126"/>
      <c r="G129" s="332" t="s">
        <v>2364</v>
      </c>
      <c r="H129" s="453"/>
      <c r="I129" s="463"/>
      <c r="J129" s="457"/>
      <c r="K129" s="457"/>
      <c r="L129" s="457"/>
      <c r="M129" s="457"/>
      <c r="N129" s="457"/>
      <c r="O129" s="457"/>
      <c r="Q129" s="114"/>
      <c r="T129" s="310"/>
    </row>
    <row r="130" spans="1:20" ht="12.75" customHeight="1" x14ac:dyDescent="0.3">
      <c r="A130" s="34"/>
      <c r="D130" s="1125"/>
      <c r="E130" s="341"/>
      <c r="F130" s="1126"/>
      <c r="G130" s="527" t="s">
        <v>554</v>
      </c>
      <c r="H130" s="453"/>
      <c r="I130" s="463"/>
      <c r="J130" s="457"/>
      <c r="K130" s="457"/>
      <c r="L130" s="457"/>
      <c r="M130" s="457"/>
      <c r="N130" s="457"/>
      <c r="O130" s="457"/>
      <c r="Q130" s="114"/>
      <c r="T130" s="310"/>
    </row>
    <row r="131" spans="1:20" ht="12.75" customHeight="1" thickBot="1" x14ac:dyDescent="0.35">
      <c r="A131" s="34">
        <f>+D129</f>
        <v>613018</v>
      </c>
      <c r="B131" s="115" t="str">
        <f>G129</f>
        <v>Mutatie reserve taakveld 22</v>
      </c>
      <c r="D131" s="337">
        <v>87100</v>
      </c>
      <c r="E131" s="341"/>
      <c r="F131" s="337"/>
      <c r="G131" s="453" t="s">
        <v>2355</v>
      </c>
      <c r="H131" s="453"/>
      <c r="I131" s="463"/>
      <c r="J131" s="762">
        <v>-31806</v>
      </c>
      <c r="K131" s="762">
        <v>-31806</v>
      </c>
      <c r="L131" s="762">
        <f t="shared" ref="L131:M131" si="121">L337</f>
        <v>-31806</v>
      </c>
      <c r="M131" s="762">
        <f t="shared" si="121"/>
        <v>-31806</v>
      </c>
      <c r="N131" s="762">
        <f t="shared" ref="N131:O131" si="122">N337</f>
        <v>-31806</v>
      </c>
      <c r="O131" s="762">
        <f t="shared" si="122"/>
        <v>0</v>
      </c>
      <c r="Q131" s="114"/>
      <c r="T131" s="310"/>
    </row>
    <row r="132" spans="1:20" ht="12.75" customHeight="1" thickTop="1" x14ac:dyDescent="0.3">
      <c r="A132" s="34"/>
      <c r="D132" s="763"/>
      <c r="E132" s="763"/>
      <c r="F132" s="1299"/>
      <c r="G132" s="761"/>
      <c r="H132" s="453"/>
      <c r="I132" s="463"/>
      <c r="J132" s="457"/>
      <c r="K132" s="457"/>
      <c r="L132" s="457"/>
      <c r="M132" s="457"/>
      <c r="N132" s="457"/>
      <c r="O132" s="457"/>
      <c r="Q132" s="114"/>
      <c r="T132" s="310"/>
    </row>
    <row r="133" spans="1:20" ht="12.75" customHeight="1" x14ac:dyDescent="0.3">
      <c r="A133" s="34"/>
      <c r="D133" s="1125">
        <v>613022</v>
      </c>
      <c r="E133" s="330"/>
      <c r="F133" s="1126"/>
      <c r="G133" s="332" t="s">
        <v>2365</v>
      </c>
      <c r="H133" s="453"/>
      <c r="I133" s="463"/>
      <c r="J133" s="457"/>
      <c r="K133" s="457"/>
      <c r="L133" s="457"/>
      <c r="M133" s="457"/>
      <c r="N133" s="457"/>
      <c r="O133" s="457"/>
      <c r="Q133" s="114"/>
      <c r="T133" s="310"/>
    </row>
    <row r="134" spans="1:20" ht="12.75" customHeight="1" x14ac:dyDescent="0.3">
      <c r="A134" s="34"/>
      <c r="D134" s="1125"/>
      <c r="E134" s="341"/>
      <c r="F134" s="1126"/>
      <c r="G134" s="527" t="s">
        <v>554</v>
      </c>
      <c r="H134" s="453"/>
      <c r="I134" s="463"/>
      <c r="J134" s="457"/>
      <c r="K134" s="457"/>
      <c r="L134" s="457"/>
      <c r="M134" s="457"/>
      <c r="N134" s="457"/>
      <c r="O134" s="457"/>
      <c r="Q134" s="114"/>
      <c r="T134" s="310"/>
    </row>
    <row r="135" spans="1:20" ht="12.75" customHeight="1" thickBot="1" x14ac:dyDescent="0.35">
      <c r="A135" s="34">
        <f>+D133</f>
        <v>613022</v>
      </c>
      <c r="B135" s="115" t="str">
        <f>G133</f>
        <v>Mutatie reserve taakveld 31</v>
      </c>
      <c r="D135" s="337">
        <v>87100</v>
      </c>
      <c r="E135" s="341"/>
      <c r="F135" s="337"/>
      <c r="G135" s="453" t="s">
        <v>2355</v>
      </c>
      <c r="H135" s="453"/>
      <c r="I135" s="463"/>
      <c r="J135" s="762">
        <v>0</v>
      </c>
      <c r="K135" s="762">
        <v>0</v>
      </c>
      <c r="L135" s="762">
        <f t="shared" ref="L135:M135" si="123">L342</f>
        <v>0</v>
      </c>
      <c r="M135" s="762">
        <f t="shared" si="123"/>
        <v>0</v>
      </c>
      <c r="N135" s="762">
        <f t="shared" ref="N135:O135" si="124">N342</f>
        <v>0</v>
      </c>
      <c r="O135" s="762">
        <f t="shared" si="124"/>
        <v>0</v>
      </c>
      <c r="Q135" s="114"/>
      <c r="T135" s="310"/>
    </row>
    <row r="136" spans="1:20" ht="12.75" customHeight="1" thickTop="1" x14ac:dyDescent="0.3">
      <c r="A136" s="34"/>
      <c r="D136" s="763"/>
      <c r="E136" s="763"/>
      <c r="F136" s="1299"/>
      <c r="G136" s="761"/>
      <c r="H136" s="453"/>
      <c r="I136" s="463"/>
      <c r="J136" s="457"/>
      <c r="K136" s="457"/>
      <c r="L136" s="457"/>
      <c r="M136" s="457"/>
      <c r="N136" s="457"/>
      <c r="O136" s="457"/>
      <c r="Q136" s="114"/>
      <c r="T136" s="310"/>
    </row>
    <row r="137" spans="1:20" ht="12.75" customHeight="1" x14ac:dyDescent="0.3">
      <c r="A137" s="34"/>
      <c r="D137" s="1125">
        <v>613027</v>
      </c>
      <c r="E137" s="330"/>
      <c r="F137" s="1126"/>
      <c r="G137" s="332" t="s">
        <v>2366</v>
      </c>
      <c r="H137" s="453"/>
      <c r="I137" s="463"/>
      <c r="J137" s="457"/>
      <c r="K137" s="457"/>
      <c r="L137" s="457"/>
      <c r="M137" s="457"/>
      <c r="N137" s="457"/>
      <c r="O137" s="457"/>
      <c r="Q137" s="114"/>
      <c r="T137" s="310"/>
    </row>
    <row r="138" spans="1:20" ht="12.75" customHeight="1" x14ac:dyDescent="0.3">
      <c r="A138" s="34"/>
      <c r="D138" s="1125"/>
      <c r="E138" s="341"/>
      <c r="F138" s="1126"/>
      <c r="G138" s="527" t="s">
        <v>554</v>
      </c>
      <c r="H138" s="453"/>
      <c r="I138" s="463"/>
      <c r="J138" s="457"/>
      <c r="K138" s="457"/>
      <c r="L138" s="457"/>
      <c r="M138" s="457"/>
      <c r="N138" s="457"/>
      <c r="O138" s="457"/>
      <c r="Q138" s="114"/>
      <c r="T138" s="310"/>
    </row>
    <row r="139" spans="1:20" ht="12.75" customHeight="1" thickBot="1" x14ac:dyDescent="0.35">
      <c r="A139" s="34">
        <f>+D137</f>
        <v>613027</v>
      </c>
      <c r="B139" s="115" t="str">
        <f>G137</f>
        <v>Mutatie reserve taakveld 42</v>
      </c>
      <c r="D139" s="337">
        <v>87100</v>
      </c>
      <c r="E139" s="341"/>
      <c r="F139" s="337"/>
      <c r="G139" s="453" t="s">
        <v>2355</v>
      </c>
      <c r="H139" s="453"/>
      <c r="I139" s="463"/>
      <c r="J139" s="762">
        <v>-427534</v>
      </c>
      <c r="K139" s="762">
        <v>-427537</v>
      </c>
      <c r="L139" s="762">
        <f t="shared" ref="L139:M139" si="125">L360</f>
        <v>-427537</v>
      </c>
      <c r="M139" s="762">
        <f t="shared" si="125"/>
        <v>-427537</v>
      </c>
      <c r="N139" s="762">
        <f t="shared" ref="N139:O139" si="126">N360</f>
        <v>-427537</v>
      </c>
      <c r="O139" s="762">
        <f t="shared" si="126"/>
        <v>0</v>
      </c>
      <c r="Q139" s="114"/>
      <c r="T139" s="310"/>
    </row>
    <row r="140" spans="1:20" ht="12.75" customHeight="1" thickTop="1" x14ac:dyDescent="0.3">
      <c r="A140" s="34"/>
      <c r="D140" s="763"/>
      <c r="E140" s="763"/>
      <c r="F140" s="1299"/>
      <c r="G140" s="761"/>
      <c r="H140" s="453"/>
      <c r="I140" s="463"/>
      <c r="J140" s="457"/>
      <c r="K140" s="457"/>
      <c r="L140" s="457"/>
      <c r="M140" s="457"/>
      <c r="N140" s="457"/>
      <c r="O140" s="457"/>
      <c r="Q140" s="114"/>
      <c r="T140" s="310"/>
    </row>
    <row r="141" spans="1:20" ht="12.75" customHeight="1" x14ac:dyDescent="0.3">
      <c r="A141" s="34"/>
      <c r="D141" s="1125">
        <v>613028</v>
      </c>
      <c r="E141" s="330"/>
      <c r="F141" s="1126"/>
      <c r="G141" s="332" t="s">
        <v>2367</v>
      </c>
      <c r="H141" s="453"/>
      <c r="I141" s="463"/>
      <c r="J141" s="457"/>
      <c r="K141" s="457"/>
      <c r="L141" s="457"/>
      <c r="M141" s="457"/>
      <c r="N141" s="457"/>
      <c r="O141" s="457"/>
      <c r="Q141" s="114"/>
      <c r="T141" s="310"/>
    </row>
    <row r="142" spans="1:20" ht="12.75" customHeight="1" x14ac:dyDescent="0.3">
      <c r="A142" s="34"/>
      <c r="D142" s="1125"/>
      <c r="E142" s="341"/>
      <c r="F142" s="1126"/>
      <c r="G142" s="527" t="s">
        <v>554</v>
      </c>
      <c r="H142" s="453"/>
      <c r="I142" s="463"/>
      <c r="J142" s="457"/>
      <c r="K142" s="457"/>
      <c r="L142" s="457"/>
      <c r="M142" s="457"/>
      <c r="N142" s="457"/>
      <c r="O142" s="457"/>
      <c r="Q142" s="114"/>
      <c r="T142" s="310"/>
    </row>
    <row r="143" spans="1:20" ht="12.75" customHeight="1" thickBot="1" x14ac:dyDescent="0.35">
      <c r="A143" s="34">
        <f>+D141</f>
        <v>613028</v>
      </c>
      <c r="B143" s="115" t="str">
        <f>G141</f>
        <v>Mutatie reserve taakveld 43</v>
      </c>
      <c r="D143" s="337">
        <v>87100</v>
      </c>
      <c r="E143" s="341"/>
      <c r="F143" s="337"/>
      <c r="G143" s="453" t="s">
        <v>2355</v>
      </c>
      <c r="H143" s="453"/>
      <c r="I143" s="463"/>
      <c r="J143" s="762">
        <v>-15175</v>
      </c>
      <c r="K143" s="762">
        <v>-15176</v>
      </c>
      <c r="L143" s="762">
        <f t="shared" ref="L143:M143" si="127">L368</f>
        <v>-15176</v>
      </c>
      <c r="M143" s="762">
        <f t="shared" si="127"/>
        <v>-15176</v>
      </c>
      <c r="N143" s="762">
        <f t="shared" ref="N143:O143" si="128">N368</f>
        <v>-15176</v>
      </c>
      <c r="O143" s="762">
        <f t="shared" si="128"/>
        <v>0</v>
      </c>
      <c r="Q143" s="114"/>
      <c r="T143" s="310"/>
    </row>
    <row r="144" spans="1:20" ht="12.75" customHeight="1" thickTop="1" x14ac:dyDescent="0.3">
      <c r="A144" s="34"/>
      <c r="D144" s="763"/>
      <c r="E144" s="763"/>
      <c r="F144" s="1299"/>
      <c r="G144" s="761"/>
      <c r="H144" s="453"/>
      <c r="I144" s="463"/>
      <c r="J144" s="457"/>
      <c r="K144" s="457"/>
      <c r="L144" s="457"/>
      <c r="M144" s="457"/>
      <c r="N144" s="457"/>
      <c r="O144" s="457"/>
      <c r="Q144" s="114"/>
      <c r="T144" s="310"/>
    </row>
    <row r="145" spans="1:20" ht="12.75" customHeight="1" x14ac:dyDescent="0.3">
      <c r="A145" s="34"/>
      <c r="D145" s="1125">
        <v>613030</v>
      </c>
      <c r="E145" s="330"/>
      <c r="F145" s="1126"/>
      <c r="G145" s="332" t="s">
        <v>2368</v>
      </c>
      <c r="H145" s="453"/>
      <c r="I145" s="463"/>
      <c r="J145" s="457"/>
      <c r="K145" s="457"/>
      <c r="L145" s="457"/>
      <c r="M145" s="457"/>
      <c r="N145" s="457"/>
      <c r="O145" s="457"/>
      <c r="Q145" s="114"/>
      <c r="T145" s="310"/>
    </row>
    <row r="146" spans="1:20" ht="12.75" customHeight="1" x14ac:dyDescent="0.3">
      <c r="A146" s="34"/>
      <c r="D146" s="340"/>
      <c r="E146" s="341"/>
      <c r="F146" s="340"/>
      <c r="G146" s="334" t="s">
        <v>2358</v>
      </c>
      <c r="H146" s="453"/>
      <c r="I146" s="463"/>
      <c r="J146" s="457"/>
      <c r="K146" s="457"/>
      <c r="L146" s="457"/>
      <c r="M146" s="457"/>
      <c r="N146" s="457"/>
      <c r="O146" s="457"/>
      <c r="Q146" s="114"/>
      <c r="T146" s="310"/>
    </row>
    <row r="147" spans="1:20" ht="12.75" customHeight="1" x14ac:dyDescent="0.3">
      <c r="A147" s="34">
        <f>+D145</f>
        <v>613030</v>
      </c>
      <c r="B147" s="115" t="str">
        <f>G145</f>
        <v>Mutatie reserve taakveld 52</v>
      </c>
      <c r="D147" s="340">
        <v>47100</v>
      </c>
      <c r="E147" s="341"/>
      <c r="F147" s="340"/>
      <c r="G147" s="319" t="s">
        <v>2355</v>
      </c>
      <c r="H147" s="453"/>
      <c r="I147" s="463"/>
      <c r="J147" s="457">
        <v>0</v>
      </c>
      <c r="K147" s="457">
        <v>0</v>
      </c>
      <c r="L147" s="457">
        <f t="shared" ref="L147:M147" si="129">L376</f>
        <v>0</v>
      </c>
      <c r="M147" s="457">
        <f t="shared" si="129"/>
        <v>0</v>
      </c>
      <c r="N147" s="457">
        <f t="shared" ref="N147:O147" si="130">N376</f>
        <v>0</v>
      </c>
      <c r="O147" s="457">
        <f t="shared" si="130"/>
        <v>0</v>
      </c>
      <c r="Q147" s="114"/>
      <c r="T147" s="310"/>
    </row>
    <row r="148" spans="1:20" ht="12.75" customHeight="1" x14ac:dyDescent="0.3">
      <c r="A148" s="34">
        <v>613030</v>
      </c>
      <c r="B148" s="115" t="s">
        <v>2368</v>
      </c>
      <c r="D148" s="337">
        <v>87100</v>
      </c>
      <c r="E148" s="343"/>
      <c r="F148" s="337"/>
      <c r="G148" s="319" t="s">
        <v>2355</v>
      </c>
      <c r="H148" s="453"/>
      <c r="I148" s="463"/>
      <c r="J148" s="457">
        <v>-510654</v>
      </c>
      <c r="K148" s="457">
        <v>-518514</v>
      </c>
      <c r="L148" s="457">
        <f>L402</f>
        <v>-487378</v>
      </c>
      <c r="M148" s="457">
        <f>M402</f>
        <v>-383674</v>
      </c>
      <c r="N148" s="457">
        <f>N402</f>
        <v>-371764</v>
      </c>
      <c r="O148" s="457">
        <f>O402</f>
        <v>0</v>
      </c>
      <c r="Q148" s="114"/>
      <c r="T148" s="310"/>
    </row>
    <row r="149" spans="1:20" ht="12.75" customHeight="1" thickBot="1" x14ac:dyDescent="0.35">
      <c r="A149" s="34"/>
      <c r="D149" s="340"/>
      <c r="E149" s="341"/>
      <c r="F149" s="340"/>
      <c r="G149" s="319" t="s">
        <v>536</v>
      </c>
      <c r="H149" s="453"/>
      <c r="I149" s="463"/>
      <c r="J149" s="480">
        <v>-510654</v>
      </c>
      <c r="K149" s="480">
        <v>-518514</v>
      </c>
      <c r="L149" s="480">
        <f t="shared" ref="L149:M149" si="131">SUM(L146:L148)</f>
        <v>-487378</v>
      </c>
      <c r="M149" s="480">
        <f t="shared" si="131"/>
        <v>-383674</v>
      </c>
      <c r="N149" s="480">
        <f t="shared" ref="N149:O149" si="132">SUM(N146:N148)</f>
        <v>-371764</v>
      </c>
      <c r="O149" s="480">
        <f t="shared" si="132"/>
        <v>0</v>
      </c>
      <c r="Q149" s="114"/>
      <c r="T149" s="310"/>
    </row>
    <row r="150" spans="1:20" ht="12.75" customHeight="1" thickTop="1" x14ac:dyDescent="0.3">
      <c r="A150" s="34"/>
      <c r="D150" s="763"/>
      <c r="E150" s="763"/>
      <c r="F150" s="1299"/>
      <c r="G150" s="761"/>
      <c r="H150" s="453"/>
      <c r="I150" s="463"/>
      <c r="J150" s="457"/>
      <c r="K150" s="457"/>
      <c r="L150" s="457"/>
      <c r="M150" s="457"/>
      <c r="N150" s="457"/>
      <c r="O150" s="457"/>
      <c r="Q150" s="114"/>
      <c r="T150" s="310"/>
    </row>
    <row r="151" spans="1:20" ht="12.75" customHeight="1" x14ac:dyDescent="0.3">
      <c r="A151" s="34"/>
      <c r="D151" s="1125">
        <v>613031</v>
      </c>
      <c r="E151" s="330"/>
      <c r="F151" s="1126"/>
      <c r="G151" s="332" t="s">
        <v>2369</v>
      </c>
      <c r="H151" s="453"/>
      <c r="I151" s="463"/>
      <c r="J151" s="457"/>
      <c r="K151" s="457"/>
      <c r="L151" s="457"/>
      <c r="M151" s="457"/>
      <c r="N151" s="457"/>
      <c r="O151" s="457"/>
      <c r="Q151" s="114"/>
      <c r="T151" s="310"/>
    </row>
    <row r="152" spans="1:20" ht="12.75" customHeight="1" x14ac:dyDescent="0.3">
      <c r="A152" s="34"/>
      <c r="D152" s="1125"/>
      <c r="E152" s="341"/>
      <c r="F152" s="1126"/>
      <c r="G152" s="527" t="s">
        <v>533</v>
      </c>
      <c r="H152" s="453"/>
      <c r="I152" s="463"/>
      <c r="J152" s="457"/>
      <c r="K152" s="457"/>
      <c r="L152" s="457"/>
      <c r="M152" s="457"/>
      <c r="N152" s="457"/>
      <c r="O152" s="457"/>
      <c r="Q152" s="114"/>
      <c r="T152" s="310"/>
    </row>
    <row r="153" spans="1:20" ht="12.75" customHeight="1" thickBot="1" x14ac:dyDescent="0.35">
      <c r="A153" s="34">
        <f>+D151</f>
        <v>613031</v>
      </c>
      <c r="B153" s="115" t="str">
        <f>G151</f>
        <v>Mutatie reserve taakveld 53</v>
      </c>
      <c r="D153" s="337">
        <v>47100</v>
      </c>
      <c r="E153" s="341"/>
      <c r="F153" s="337"/>
      <c r="G153" s="453" t="s">
        <v>2355</v>
      </c>
      <c r="H153" s="453"/>
      <c r="I153" s="463"/>
      <c r="J153" s="480">
        <v>10000</v>
      </c>
      <c r="K153" s="480">
        <v>10000</v>
      </c>
      <c r="L153" s="480">
        <f t="shared" ref="L153:M153" si="133">L408</f>
        <v>10000</v>
      </c>
      <c r="M153" s="480">
        <f t="shared" si="133"/>
        <v>10000</v>
      </c>
      <c r="N153" s="480">
        <f t="shared" ref="N153:O153" si="134">N408</f>
        <v>10000</v>
      </c>
      <c r="O153" s="480">
        <f t="shared" si="134"/>
        <v>0</v>
      </c>
      <c r="Q153" s="114"/>
      <c r="T153" s="310"/>
    </row>
    <row r="154" spans="1:20" ht="12.75" customHeight="1" thickTop="1" x14ac:dyDescent="0.3">
      <c r="A154" s="34"/>
      <c r="D154" s="763"/>
      <c r="E154" s="763"/>
      <c r="F154" s="1299"/>
      <c r="G154" s="761"/>
      <c r="H154" s="453"/>
      <c r="I154" s="463"/>
      <c r="J154" s="457"/>
      <c r="K154" s="457"/>
      <c r="L154" s="457"/>
      <c r="M154" s="457"/>
      <c r="N154" s="457"/>
      <c r="O154" s="457"/>
      <c r="Q154" s="114"/>
      <c r="T154" s="310"/>
    </row>
    <row r="155" spans="1:20" ht="12.75" customHeight="1" x14ac:dyDescent="0.3">
      <c r="A155" s="34"/>
      <c r="D155" s="1125">
        <v>613034</v>
      </c>
      <c r="E155" s="330"/>
      <c r="F155" s="1126"/>
      <c r="G155" s="332" t="s">
        <v>2370</v>
      </c>
      <c r="H155" s="453"/>
      <c r="I155" s="463"/>
      <c r="J155" s="457"/>
      <c r="K155" s="457"/>
      <c r="L155" s="457"/>
      <c r="M155" s="457"/>
      <c r="N155" s="457"/>
      <c r="O155" s="457"/>
      <c r="Q155" s="114"/>
      <c r="T155" s="310"/>
    </row>
    <row r="156" spans="1:20" ht="12.75" customHeight="1" x14ac:dyDescent="0.3">
      <c r="A156" s="34"/>
      <c r="D156" s="1125"/>
      <c r="E156" s="341"/>
      <c r="F156" s="1126"/>
      <c r="G156" s="527" t="s">
        <v>554</v>
      </c>
      <c r="H156" s="453"/>
      <c r="I156" s="463"/>
      <c r="J156" s="457"/>
      <c r="K156" s="457"/>
      <c r="L156" s="457"/>
      <c r="M156" s="457"/>
      <c r="N156" s="457"/>
      <c r="O156" s="457"/>
      <c r="Q156" s="114"/>
      <c r="T156" s="310"/>
    </row>
    <row r="157" spans="1:20" ht="12.75" customHeight="1" thickBot="1" x14ac:dyDescent="0.35">
      <c r="A157" s="34">
        <f>+D155</f>
        <v>613034</v>
      </c>
      <c r="B157" s="115" t="str">
        <f>G155</f>
        <v>Mutatie reserve taakveld 56</v>
      </c>
      <c r="D157" s="337">
        <v>87100</v>
      </c>
      <c r="E157" s="341"/>
      <c r="F157" s="337"/>
      <c r="G157" s="453" t="s">
        <v>2355</v>
      </c>
      <c r="H157" s="453"/>
      <c r="I157" s="463"/>
      <c r="J157" s="480">
        <v>-7917</v>
      </c>
      <c r="K157" s="480">
        <v>-7917</v>
      </c>
      <c r="L157" s="480">
        <f t="shared" ref="L157:M157" si="135">L414</f>
        <v>-7917</v>
      </c>
      <c r="M157" s="480">
        <f t="shared" si="135"/>
        <v>-7917</v>
      </c>
      <c r="N157" s="480">
        <f t="shared" ref="N157:O157" si="136">N414</f>
        <v>-7917</v>
      </c>
      <c r="O157" s="480">
        <f t="shared" si="136"/>
        <v>0</v>
      </c>
      <c r="Q157" s="114"/>
      <c r="T157" s="310"/>
    </row>
    <row r="158" spans="1:20" ht="12.75" customHeight="1" thickTop="1" x14ac:dyDescent="0.3">
      <c r="A158" s="34"/>
      <c r="D158" s="763"/>
      <c r="E158" s="763"/>
      <c r="F158" s="1299"/>
      <c r="G158" s="761"/>
      <c r="H158" s="453"/>
      <c r="I158" s="463"/>
      <c r="J158" s="457"/>
      <c r="K158" s="457"/>
      <c r="L158" s="457"/>
      <c r="M158" s="457"/>
      <c r="N158" s="457"/>
      <c r="O158" s="457"/>
      <c r="Q158" s="114"/>
      <c r="T158" s="310"/>
    </row>
    <row r="159" spans="1:20" ht="12.75" customHeight="1" x14ac:dyDescent="0.3">
      <c r="A159" s="34"/>
      <c r="D159" s="333">
        <v>613035</v>
      </c>
      <c r="E159" s="330"/>
      <c r="F159" s="331"/>
      <c r="G159" s="332" t="s">
        <v>2371</v>
      </c>
      <c r="H159" s="453"/>
      <c r="I159" s="463"/>
      <c r="J159" s="457"/>
      <c r="K159" s="457"/>
      <c r="L159" s="457"/>
      <c r="M159" s="457"/>
      <c r="N159" s="457"/>
      <c r="O159" s="457"/>
      <c r="Q159" s="114"/>
      <c r="T159" s="310"/>
    </row>
    <row r="160" spans="1:20" ht="12.75" customHeight="1" x14ac:dyDescent="0.3">
      <c r="A160" s="34"/>
      <c r="D160" s="340"/>
      <c r="E160" s="341"/>
      <c r="F160" s="340"/>
      <c r="G160" s="334" t="s">
        <v>2358</v>
      </c>
      <c r="H160" s="453"/>
      <c r="I160" s="463"/>
      <c r="J160" s="457"/>
      <c r="K160" s="457"/>
      <c r="L160" s="457"/>
      <c r="M160" s="457"/>
      <c r="N160" s="457"/>
      <c r="O160" s="457"/>
      <c r="Q160" s="114"/>
      <c r="T160" s="310"/>
    </row>
    <row r="161" spans="1:20" ht="12.75" customHeight="1" x14ac:dyDescent="0.3">
      <c r="A161" s="34">
        <f>+D159</f>
        <v>613035</v>
      </c>
      <c r="B161" s="115" t="str">
        <f>+G159</f>
        <v>Mutatie reserve taakveld 57</v>
      </c>
      <c r="D161" s="340">
        <v>47100</v>
      </c>
      <c r="E161" s="341"/>
      <c r="F161" s="340"/>
      <c r="G161" s="319" t="s">
        <v>2355</v>
      </c>
      <c r="H161" s="453"/>
      <c r="I161" s="463"/>
      <c r="J161" s="457">
        <v>0</v>
      </c>
      <c r="K161" s="457">
        <v>104010</v>
      </c>
      <c r="L161" s="457">
        <f>L423</f>
        <v>135541</v>
      </c>
      <c r="M161" s="457">
        <f>M423</f>
        <v>102383</v>
      </c>
      <c r="N161" s="457">
        <f>N423</f>
        <v>37590</v>
      </c>
      <c r="O161" s="457">
        <f>O423</f>
        <v>0</v>
      </c>
      <c r="Q161" s="114"/>
      <c r="T161" s="310"/>
    </row>
    <row r="162" spans="1:20" ht="12.75" customHeight="1" x14ac:dyDescent="0.3">
      <c r="A162" s="34">
        <f>+D159</f>
        <v>613035</v>
      </c>
      <c r="B162" s="115" t="str">
        <f>+G159</f>
        <v>Mutatie reserve taakveld 57</v>
      </c>
      <c r="D162" s="337">
        <v>87100</v>
      </c>
      <c r="E162" s="343"/>
      <c r="F162" s="337"/>
      <c r="G162" s="319" t="s">
        <v>2355</v>
      </c>
      <c r="H162" s="453"/>
      <c r="I162" s="463"/>
      <c r="J162" s="457">
        <f t="shared" ref="J162:M162" si="137">J432</f>
        <v>-54607</v>
      </c>
      <c r="K162" s="457">
        <f t="shared" si="137"/>
        <v>-419724</v>
      </c>
      <c r="L162" s="457">
        <f t="shared" si="137"/>
        <v>-82722</v>
      </c>
      <c r="M162" s="457">
        <f t="shared" si="137"/>
        <v>-82722</v>
      </c>
      <c r="N162" s="457">
        <f t="shared" ref="N162" si="138">N432</f>
        <v>-82722</v>
      </c>
      <c r="O162" s="457">
        <v>0</v>
      </c>
      <c r="Q162" s="114"/>
      <c r="T162" s="310"/>
    </row>
    <row r="163" spans="1:20" ht="12.75" customHeight="1" thickBot="1" x14ac:dyDescent="0.35">
      <c r="A163" s="34"/>
      <c r="D163" s="340"/>
      <c r="E163" s="341"/>
      <c r="F163" s="340"/>
      <c r="G163" s="319" t="s">
        <v>536</v>
      </c>
      <c r="H163" s="453"/>
      <c r="I163" s="463"/>
      <c r="J163" s="480">
        <f>SUM(J161:J162)</f>
        <v>-54607</v>
      </c>
      <c r="K163" s="480">
        <f t="shared" ref="K163:O163" si="139">SUM(K161:K162)</f>
        <v>-315714</v>
      </c>
      <c r="L163" s="480">
        <f t="shared" si="139"/>
        <v>52819</v>
      </c>
      <c r="M163" s="480">
        <f t="shared" si="139"/>
        <v>19661</v>
      </c>
      <c r="N163" s="480">
        <f t="shared" si="139"/>
        <v>-45132</v>
      </c>
      <c r="O163" s="480">
        <f t="shared" si="139"/>
        <v>0</v>
      </c>
      <c r="Q163" s="114"/>
      <c r="T163" s="310"/>
    </row>
    <row r="164" spans="1:20" ht="12.75" customHeight="1" thickTop="1" x14ac:dyDescent="0.3">
      <c r="A164" s="34"/>
      <c r="D164" s="340"/>
      <c r="E164" s="341"/>
      <c r="F164" s="1257"/>
      <c r="G164" s="319"/>
      <c r="H164" s="453"/>
      <c r="I164" s="463"/>
      <c r="J164" s="318"/>
      <c r="K164" s="318"/>
      <c r="L164" s="318"/>
      <c r="M164" s="318"/>
      <c r="N164" s="318"/>
      <c r="O164" s="318"/>
      <c r="Q164" s="114"/>
      <c r="T164" s="310"/>
    </row>
    <row r="165" spans="1:20" ht="12.75" customHeight="1" x14ac:dyDescent="0.3">
      <c r="A165" s="34"/>
      <c r="D165" s="1125">
        <v>613036</v>
      </c>
      <c r="E165" s="330"/>
      <c r="F165" s="1126"/>
      <c r="G165" s="332" t="s">
        <v>2372</v>
      </c>
      <c r="H165" s="453"/>
      <c r="I165" s="463"/>
      <c r="J165" s="318"/>
      <c r="K165" s="318"/>
      <c r="L165" s="318"/>
      <c r="M165" s="318"/>
      <c r="N165" s="318"/>
      <c r="O165" s="318"/>
      <c r="Q165" s="114"/>
      <c r="T165" s="310"/>
    </row>
    <row r="166" spans="1:20" ht="12.75" customHeight="1" x14ac:dyDescent="0.3">
      <c r="A166" s="34"/>
      <c r="D166" s="1125"/>
      <c r="E166" s="341"/>
      <c r="F166" s="1126"/>
      <c r="G166" s="527" t="s">
        <v>554</v>
      </c>
      <c r="H166" s="453"/>
      <c r="I166" s="463"/>
      <c r="J166" s="318"/>
      <c r="K166" s="318"/>
      <c r="L166" s="318"/>
      <c r="M166" s="318"/>
      <c r="N166" s="318"/>
      <c r="O166" s="318"/>
      <c r="Q166" s="114"/>
      <c r="T166" s="310"/>
    </row>
    <row r="167" spans="1:20" ht="12.75" customHeight="1" thickBot="1" x14ac:dyDescent="0.35">
      <c r="A167" s="34">
        <f>+D165</f>
        <v>613036</v>
      </c>
      <c r="B167" s="115" t="str">
        <f>G165</f>
        <v>Mutatie reserve taakveld 61</v>
      </c>
      <c r="D167" s="337">
        <v>87100</v>
      </c>
      <c r="E167" s="341"/>
      <c r="F167" s="337"/>
      <c r="G167" s="453" t="s">
        <v>2355</v>
      </c>
      <c r="H167" s="453"/>
      <c r="I167" s="463"/>
      <c r="J167" s="480">
        <v>-8757</v>
      </c>
      <c r="K167" s="480">
        <f t="shared" ref="K167:M167" si="140">K440</f>
        <v>-323757</v>
      </c>
      <c r="L167" s="480">
        <f t="shared" si="140"/>
        <v>-8757</v>
      </c>
      <c r="M167" s="480">
        <f t="shared" si="140"/>
        <v>-8757</v>
      </c>
      <c r="N167" s="480">
        <f t="shared" ref="N167:O167" si="141">N440</f>
        <v>-8757</v>
      </c>
      <c r="O167" s="480">
        <f t="shared" si="141"/>
        <v>0</v>
      </c>
      <c r="Q167" s="114"/>
      <c r="T167" s="310"/>
    </row>
    <row r="168" spans="1:20" ht="12.75" customHeight="1" thickTop="1" x14ac:dyDescent="0.3">
      <c r="A168" s="34"/>
      <c r="D168" s="340"/>
      <c r="E168" s="341"/>
      <c r="F168" s="1257"/>
      <c r="G168" s="319"/>
      <c r="H168" s="453"/>
      <c r="I168" s="463"/>
      <c r="J168" s="318"/>
      <c r="K168" s="318"/>
      <c r="L168" s="318"/>
      <c r="M168" s="318"/>
      <c r="N168" s="318"/>
      <c r="O168" s="318"/>
      <c r="Q168" s="114"/>
      <c r="T168" s="310"/>
    </row>
    <row r="169" spans="1:20" ht="12.75" customHeight="1" x14ac:dyDescent="0.3">
      <c r="A169" s="34"/>
      <c r="D169" s="1125">
        <v>613037</v>
      </c>
      <c r="E169" s="330"/>
      <c r="F169" s="1126"/>
      <c r="G169" s="332" t="s">
        <v>2373</v>
      </c>
      <c r="H169" s="453"/>
      <c r="I169" s="463"/>
      <c r="J169" s="318"/>
      <c r="K169" s="318"/>
      <c r="L169" s="318"/>
      <c r="M169" s="318"/>
      <c r="N169" s="318"/>
      <c r="O169" s="318"/>
      <c r="Q169" s="114"/>
      <c r="T169" s="310"/>
    </row>
    <row r="170" spans="1:20" ht="12.75" customHeight="1" x14ac:dyDescent="0.3">
      <c r="A170" s="34"/>
      <c r="D170" s="1125"/>
      <c r="E170" s="341"/>
      <c r="F170" s="1126"/>
      <c r="G170" s="527" t="s">
        <v>554</v>
      </c>
      <c r="H170" s="453"/>
      <c r="I170" s="463"/>
      <c r="J170" s="318"/>
      <c r="K170" s="318"/>
      <c r="L170" s="318"/>
      <c r="M170" s="318"/>
      <c r="N170" s="318"/>
      <c r="O170" s="318"/>
      <c r="Q170" s="114"/>
      <c r="T170" s="310"/>
    </row>
    <row r="171" spans="1:20" ht="12.75" customHeight="1" thickBot="1" x14ac:dyDescent="0.35">
      <c r="A171" s="34">
        <f>+D169</f>
        <v>613037</v>
      </c>
      <c r="B171" s="115" t="str">
        <f>G169</f>
        <v>Mutatie reserve taakveld 62</v>
      </c>
      <c r="D171" s="337">
        <v>87100</v>
      </c>
      <c r="E171" s="341"/>
      <c r="F171" s="337"/>
      <c r="G171" s="453" t="s">
        <v>2355</v>
      </c>
      <c r="H171" s="453"/>
      <c r="I171" s="463"/>
      <c r="J171" s="480">
        <v>-19657</v>
      </c>
      <c r="K171" s="480">
        <v>-19657</v>
      </c>
      <c r="L171" s="480">
        <f t="shared" ref="L171:M171" si="142">L448</f>
        <v>-19656</v>
      </c>
      <c r="M171" s="480">
        <f t="shared" si="142"/>
        <v>0</v>
      </c>
      <c r="N171" s="480">
        <f t="shared" ref="N171:O171" si="143">N448</f>
        <v>0</v>
      </c>
      <c r="O171" s="480">
        <f t="shared" si="143"/>
        <v>0</v>
      </c>
      <c r="Q171" s="114"/>
      <c r="T171" s="310"/>
    </row>
    <row r="172" spans="1:20" ht="12.75" customHeight="1" thickTop="1" x14ac:dyDescent="0.3">
      <c r="A172" s="34"/>
      <c r="D172" s="340"/>
      <c r="E172" s="341"/>
      <c r="F172" s="1257"/>
      <c r="G172" s="319"/>
      <c r="H172" s="453"/>
      <c r="I172" s="463"/>
      <c r="J172" s="318"/>
      <c r="K172" s="318"/>
      <c r="L172" s="318"/>
      <c r="M172" s="318"/>
      <c r="N172" s="318"/>
      <c r="O172" s="318"/>
      <c r="Q172" s="114"/>
      <c r="T172" s="310"/>
    </row>
    <row r="173" spans="1:20" ht="12.75" customHeight="1" x14ac:dyDescent="0.3">
      <c r="A173" s="34"/>
      <c r="D173" s="1125">
        <v>613038</v>
      </c>
      <c r="E173" s="330"/>
      <c r="F173" s="1126"/>
      <c r="G173" s="332" t="s">
        <v>2374</v>
      </c>
      <c r="H173" s="453"/>
      <c r="I173" s="463"/>
      <c r="J173" s="318"/>
      <c r="K173" s="318"/>
      <c r="L173" s="318"/>
      <c r="M173" s="318"/>
      <c r="N173" s="318"/>
      <c r="O173" s="318"/>
      <c r="Q173" s="114"/>
      <c r="T173" s="310"/>
    </row>
    <row r="174" spans="1:20" ht="12.75" customHeight="1" x14ac:dyDescent="0.3">
      <c r="A174" s="34"/>
      <c r="D174" s="1125"/>
      <c r="E174" s="341"/>
      <c r="F174" s="1126"/>
      <c r="G174" s="527" t="s">
        <v>554</v>
      </c>
      <c r="H174" s="453"/>
      <c r="I174" s="463"/>
      <c r="J174" s="318"/>
      <c r="K174" s="318"/>
      <c r="L174" s="318"/>
      <c r="M174" s="318"/>
      <c r="N174" s="318"/>
      <c r="O174" s="318"/>
      <c r="Q174" s="114"/>
      <c r="T174" s="310"/>
    </row>
    <row r="175" spans="1:20" ht="12.75" customHeight="1" thickBot="1" x14ac:dyDescent="0.35">
      <c r="A175" s="34">
        <f>+D173</f>
        <v>613038</v>
      </c>
      <c r="B175" s="115" t="str">
        <f>G173</f>
        <v>Mutatie reserve taakveld 63</v>
      </c>
      <c r="D175" s="337">
        <v>87100</v>
      </c>
      <c r="E175" s="341"/>
      <c r="F175" s="337"/>
      <c r="G175" s="453" t="s">
        <v>2355</v>
      </c>
      <c r="H175" s="453"/>
      <c r="I175" s="463"/>
      <c r="J175" s="480">
        <v>0</v>
      </c>
      <c r="K175" s="480">
        <v>-109400</v>
      </c>
      <c r="L175" s="480">
        <f t="shared" ref="L175:M175" si="144">L455</f>
        <v>0</v>
      </c>
      <c r="M175" s="480">
        <f t="shared" si="144"/>
        <v>0</v>
      </c>
      <c r="N175" s="480">
        <f t="shared" ref="N175:O175" si="145">N455</f>
        <v>0</v>
      </c>
      <c r="O175" s="480">
        <f t="shared" si="145"/>
        <v>0</v>
      </c>
      <c r="Q175" s="114"/>
      <c r="T175" s="310"/>
    </row>
    <row r="176" spans="1:20" ht="12.75" customHeight="1" thickTop="1" x14ac:dyDescent="0.3">
      <c r="A176" s="34"/>
      <c r="D176" s="340"/>
      <c r="E176" s="341"/>
      <c r="F176" s="1257"/>
      <c r="G176" s="319"/>
      <c r="H176" s="453"/>
      <c r="I176" s="463"/>
      <c r="J176" s="318"/>
      <c r="K176" s="318"/>
      <c r="L176" s="318"/>
      <c r="M176" s="318"/>
      <c r="N176" s="318"/>
      <c r="O176" s="318"/>
      <c r="Q176" s="114"/>
      <c r="T176" s="310"/>
    </row>
    <row r="177" spans="1:20" ht="12.75" customHeight="1" x14ac:dyDescent="0.3">
      <c r="A177" s="34"/>
      <c r="D177" s="1125">
        <v>613040</v>
      </c>
      <c r="E177" s="330"/>
      <c r="F177" s="1126"/>
      <c r="G177" s="332" t="s">
        <v>2375</v>
      </c>
      <c r="H177" s="453"/>
      <c r="I177" s="463"/>
      <c r="J177" s="318"/>
      <c r="K177" s="318"/>
      <c r="L177" s="318"/>
      <c r="M177" s="318"/>
      <c r="N177" s="318"/>
      <c r="O177" s="318"/>
      <c r="Q177" s="114"/>
      <c r="T177" s="310"/>
    </row>
    <row r="178" spans="1:20" ht="12.75" customHeight="1" x14ac:dyDescent="0.3">
      <c r="A178" s="34"/>
      <c r="D178" s="1125"/>
      <c r="E178" s="341"/>
      <c r="F178" s="1126"/>
      <c r="G178" s="527" t="s">
        <v>554</v>
      </c>
      <c r="H178" s="453"/>
      <c r="I178" s="463"/>
      <c r="J178" s="318"/>
      <c r="K178" s="318"/>
      <c r="L178" s="318"/>
      <c r="M178" s="318"/>
      <c r="N178" s="318"/>
      <c r="O178" s="318"/>
      <c r="Q178" s="114"/>
      <c r="T178" s="310"/>
    </row>
    <row r="179" spans="1:20" ht="12.75" customHeight="1" thickBot="1" x14ac:dyDescent="0.35">
      <c r="A179" s="34">
        <f>+D177</f>
        <v>613040</v>
      </c>
      <c r="B179" s="115" t="str">
        <f>G177</f>
        <v>Mutatie reserve taakveld 65</v>
      </c>
      <c r="D179" s="337">
        <v>87100</v>
      </c>
      <c r="E179" s="341"/>
      <c r="F179" s="337"/>
      <c r="G179" s="453" t="s">
        <v>2355</v>
      </c>
      <c r="H179" s="453"/>
      <c r="I179" s="463"/>
      <c r="J179" s="480">
        <v>0</v>
      </c>
      <c r="K179" s="480">
        <v>0</v>
      </c>
      <c r="L179" s="480">
        <f t="shared" ref="L179:M179" si="146">L460</f>
        <v>0</v>
      </c>
      <c r="M179" s="480">
        <f t="shared" si="146"/>
        <v>0</v>
      </c>
      <c r="N179" s="480">
        <f t="shared" ref="N179:O179" si="147">N460</f>
        <v>0</v>
      </c>
      <c r="O179" s="480">
        <f t="shared" si="147"/>
        <v>0</v>
      </c>
      <c r="Q179" s="114"/>
      <c r="T179" s="310"/>
    </row>
    <row r="180" spans="1:20" ht="12.75" customHeight="1" thickTop="1" x14ac:dyDescent="0.3">
      <c r="A180" s="34"/>
      <c r="D180" s="340"/>
      <c r="E180" s="341"/>
      <c r="F180" s="1257"/>
      <c r="G180" s="319"/>
      <c r="H180" s="453"/>
      <c r="I180" s="463"/>
      <c r="J180" s="318"/>
      <c r="K180" s="318"/>
      <c r="L180" s="318"/>
      <c r="M180" s="318"/>
      <c r="N180" s="318"/>
      <c r="O180" s="318"/>
      <c r="Q180" s="114"/>
      <c r="T180" s="310"/>
    </row>
    <row r="181" spans="1:20" ht="12.75" customHeight="1" x14ac:dyDescent="0.3">
      <c r="A181" s="34"/>
      <c r="D181" s="1125">
        <v>613041</v>
      </c>
      <c r="E181" s="330"/>
      <c r="F181" s="1126"/>
      <c r="G181" s="332" t="s">
        <v>2376</v>
      </c>
      <c r="H181" s="453"/>
      <c r="I181" s="463"/>
      <c r="J181" s="318"/>
      <c r="K181" s="318"/>
      <c r="L181" s="318"/>
      <c r="M181" s="318"/>
      <c r="N181" s="318"/>
      <c r="O181" s="318"/>
      <c r="Q181" s="114"/>
      <c r="T181" s="310"/>
    </row>
    <row r="182" spans="1:20" ht="12.75" customHeight="1" x14ac:dyDescent="0.3">
      <c r="A182" s="34"/>
      <c r="D182" s="1125"/>
      <c r="E182" s="341"/>
      <c r="F182" s="1126"/>
      <c r="G182" s="527" t="s">
        <v>554</v>
      </c>
      <c r="H182" s="453"/>
      <c r="I182" s="463"/>
      <c r="J182" s="318"/>
      <c r="K182" s="318"/>
      <c r="L182" s="318"/>
      <c r="M182" s="318"/>
      <c r="N182" s="318"/>
      <c r="O182" s="318"/>
      <c r="Q182" s="114"/>
      <c r="T182" s="310"/>
    </row>
    <row r="183" spans="1:20" ht="12.75" customHeight="1" thickBot="1" x14ac:dyDescent="0.35">
      <c r="A183" s="34">
        <f>+D181</f>
        <v>613041</v>
      </c>
      <c r="B183" s="115" t="str">
        <f>G181</f>
        <v>Mutatie reserve taakveld 66</v>
      </c>
      <c r="D183" s="337">
        <v>87100</v>
      </c>
      <c r="E183" s="341"/>
      <c r="F183" s="337"/>
      <c r="G183" s="453" t="s">
        <v>2355</v>
      </c>
      <c r="H183" s="453"/>
      <c r="I183" s="463"/>
      <c r="J183" s="480">
        <v>0</v>
      </c>
      <c r="K183" s="480">
        <v>-117100</v>
      </c>
      <c r="L183" s="480">
        <f t="shared" ref="L183:M183" si="148">L467</f>
        <v>0</v>
      </c>
      <c r="M183" s="480">
        <f t="shared" si="148"/>
        <v>0</v>
      </c>
      <c r="N183" s="480">
        <f t="shared" ref="N183:O183" si="149">N467</f>
        <v>0</v>
      </c>
      <c r="O183" s="480">
        <f t="shared" si="149"/>
        <v>0</v>
      </c>
      <c r="Q183" s="114"/>
      <c r="T183" s="310"/>
    </row>
    <row r="184" spans="1:20" ht="12.75" customHeight="1" thickTop="1" x14ac:dyDescent="0.3">
      <c r="A184" s="34"/>
      <c r="D184" s="340"/>
      <c r="E184" s="341"/>
      <c r="F184" s="1257"/>
      <c r="G184" s="319"/>
      <c r="H184" s="453"/>
      <c r="I184" s="463"/>
      <c r="J184" s="318"/>
      <c r="K184" s="318"/>
      <c r="L184" s="318"/>
      <c r="M184" s="318"/>
      <c r="N184" s="318"/>
      <c r="O184" s="318"/>
      <c r="Q184" s="114"/>
      <c r="T184" s="310"/>
    </row>
    <row r="185" spans="1:20" ht="12.75" customHeight="1" x14ac:dyDescent="0.3">
      <c r="A185" s="34"/>
      <c r="D185" s="340"/>
      <c r="E185" s="341"/>
      <c r="F185" s="1257"/>
      <c r="G185" s="319"/>
      <c r="H185" s="453"/>
      <c r="I185" s="463"/>
      <c r="J185" s="318"/>
      <c r="K185" s="318"/>
      <c r="L185" s="318"/>
      <c r="M185" s="318"/>
      <c r="N185" s="318"/>
      <c r="O185" s="318"/>
      <c r="Q185" s="114"/>
      <c r="T185" s="310"/>
    </row>
    <row r="186" spans="1:20" ht="12.75" customHeight="1" x14ac:dyDescent="0.3">
      <c r="A186" s="34"/>
      <c r="D186" s="1125">
        <v>613041</v>
      </c>
      <c r="E186" s="330"/>
      <c r="F186" s="1126"/>
      <c r="G186" s="332" t="s">
        <v>2377</v>
      </c>
      <c r="H186" s="453"/>
      <c r="I186" s="463"/>
      <c r="J186" s="318"/>
      <c r="K186" s="318"/>
      <c r="L186" s="318"/>
      <c r="M186" s="318"/>
      <c r="N186" s="318"/>
      <c r="O186" s="318"/>
      <c r="Q186" s="114"/>
      <c r="T186" s="310"/>
    </row>
    <row r="187" spans="1:20" ht="12.75" customHeight="1" x14ac:dyDescent="0.3">
      <c r="A187" s="34"/>
      <c r="D187" s="1125"/>
      <c r="E187" s="341"/>
      <c r="F187" s="1126"/>
      <c r="G187" s="527" t="s">
        <v>554</v>
      </c>
      <c r="H187" s="453"/>
      <c r="I187" s="463"/>
      <c r="J187" s="318"/>
      <c r="K187" s="318"/>
      <c r="L187" s="318"/>
      <c r="M187" s="318"/>
      <c r="N187" s="318"/>
      <c r="O187" s="318"/>
      <c r="Q187" s="114"/>
      <c r="T187" s="310"/>
    </row>
    <row r="188" spans="1:20" ht="12.75" customHeight="1" thickBot="1" x14ac:dyDescent="0.35">
      <c r="A188" s="34">
        <f>+D186</f>
        <v>613041</v>
      </c>
      <c r="B188" s="115" t="str">
        <f>G186</f>
        <v>Taakveld 672a</v>
      </c>
      <c r="D188" s="337">
        <v>87100</v>
      </c>
      <c r="E188" s="341"/>
      <c r="F188" s="337"/>
      <c r="G188" s="453" t="s">
        <v>2355</v>
      </c>
      <c r="H188" s="453"/>
      <c r="I188" s="463"/>
      <c r="J188" s="480">
        <v>-60000</v>
      </c>
      <c r="K188" s="480">
        <v>-62500</v>
      </c>
      <c r="L188" s="480">
        <f t="shared" ref="L188:M188" si="150">L473</f>
        <v>-65100</v>
      </c>
      <c r="M188" s="480">
        <f t="shared" si="150"/>
        <v>0</v>
      </c>
      <c r="N188" s="480">
        <f t="shared" ref="N188:O188" si="151">N473</f>
        <v>0</v>
      </c>
      <c r="O188" s="480">
        <f t="shared" si="151"/>
        <v>0</v>
      </c>
      <c r="Q188" s="114"/>
      <c r="T188" s="310"/>
    </row>
    <row r="189" spans="1:20" ht="12.75" customHeight="1" thickTop="1" x14ac:dyDescent="0.3">
      <c r="A189" s="34"/>
      <c r="D189" s="340"/>
      <c r="E189" s="341"/>
      <c r="F189" s="1257"/>
      <c r="G189" s="319"/>
      <c r="H189" s="453"/>
      <c r="I189" s="463"/>
      <c r="J189" s="318"/>
      <c r="K189" s="318"/>
      <c r="L189" s="318"/>
      <c r="M189" s="318"/>
      <c r="N189" s="318"/>
      <c r="O189" s="318"/>
      <c r="Q189" s="114"/>
      <c r="T189" s="310"/>
    </row>
    <row r="190" spans="1:20" ht="12.75" customHeight="1" x14ac:dyDescent="0.3">
      <c r="A190" s="34"/>
      <c r="D190" s="340"/>
      <c r="E190" s="341"/>
      <c r="F190" s="1257"/>
      <c r="G190" s="319"/>
      <c r="H190" s="453"/>
      <c r="I190" s="463"/>
      <c r="J190" s="318"/>
      <c r="K190" s="318"/>
      <c r="L190" s="318"/>
      <c r="M190" s="318"/>
      <c r="N190" s="318"/>
      <c r="O190" s="318"/>
      <c r="Q190" s="114"/>
      <c r="T190" s="310"/>
    </row>
    <row r="191" spans="1:20" ht="12.75" customHeight="1" x14ac:dyDescent="0.3">
      <c r="A191" s="34"/>
      <c r="D191" s="1125">
        <v>613041</v>
      </c>
      <c r="E191" s="330"/>
      <c r="F191" s="1126"/>
      <c r="G191" s="332" t="s">
        <v>2378</v>
      </c>
      <c r="H191" s="453"/>
      <c r="I191" s="463"/>
      <c r="J191" s="318"/>
      <c r="K191" s="318"/>
      <c r="L191" s="318"/>
      <c r="M191" s="318"/>
      <c r="N191" s="318"/>
      <c r="O191" s="318"/>
      <c r="Q191" s="114"/>
      <c r="T191" s="310"/>
    </row>
    <row r="192" spans="1:20" ht="12.75" customHeight="1" x14ac:dyDescent="0.3">
      <c r="A192" s="34"/>
      <c r="D192" s="1125"/>
      <c r="E192" s="341"/>
      <c r="F192" s="1126"/>
      <c r="G192" s="527" t="s">
        <v>554</v>
      </c>
      <c r="H192" s="453"/>
      <c r="I192" s="463"/>
      <c r="J192" s="318"/>
      <c r="K192" s="318"/>
      <c r="L192" s="318"/>
      <c r="M192" s="318"/>
      <c r="N192" s="318"/>
      <c r="O192" s="318"/>
      <c r="Q192" s="114"/>
      <c r="T192" s="310"/>
    </row>
    <row r="193" spans="1:20" ht="12.75" customHeight="1" thickBot="1" x14ac:dyDescent="0.35">
      <c r="A193" s="34">
        <f>+D191</f>
        <v>613041</v>
      </c>
      <c r="B193" s="115" t="str">
        <f>G191</f>
        <v>Taakveld 674a</v>
      </c>
      <c r="D193" s="337">
        <v>87100</v>
      </c>
      <c r="E193" s="341"/>
      <c r="F193" s="337"/>
      <c r="G193" s="453" t="s">
        <v>2355</v>
      </c>
      <c r="H193" s="453"/>
      <c r="I193" s="463"/>
      <c r="J193" s="480">
        <v>-100000</v>
      </c>
      <c r="K193" s="480">
        <v>-104200</v>
      </c>
      <c r="L193" s="480">
        <f t="shared" ref="L193:M193" si="152">L479</f>
        <v>-108600</v>
      </c>
      <c r="M193" s="480">
        <f t="shared" si="152"/>
        <v>0</v>
      </c>
      <c r="N193" s="480">
        <f t="shared" ref="N193:O193" si="153">N479</f>
        <v>0</v>
      </c>
      <c r="O193" s="480">
        <f t="shared" si="153"/>
        <v>0</v>
      </c>
      <c r="Q193" s="114"/>
      <c r="T193" s="310"/>
    </row>
    <row r="194" spans="1:20" ht="12.75" customHeight="1" thickTop="1" x14ac:dyDescent="0.3">
      <c r="A194" s="34"/>
      <c r="D194" s="340"/>
      <c r="E194" s="341"/>
      <c r="F194" s="1257"/>
      <c r="G194" s="319"/>
      <c r="H194" s="453"/>
      <c r="I194" s="463"/>
      <c r="J194" s="318"/>
      <c r="K194" s="318"/>
      <c r="L194" s="318"/>
      <c r="M194" s="318"/>
      <c r="N194" s="318"/>
      <c r="O194" s="318"/>
      <c r="Q194" s="114"/>
      <c r="T194" s="310"/>
    </row>
    <row r="195" spans="1:20" ht="12.75" customHeight="1" x14ac:dyDescent="0.3">
      <c r="A195" s="34"/>
      <c r="D195" s="340"/>
      <c r="E195" s="341"/>
      <c r="F195" s="1257"/>
      <c r="G195" s="319"/>
      <c r="H195" s="453"/>
      <c r="I195" s="463"/>
      <c r="J195" s="318"/>
      <c r="K195" s="318"/>
      <c r="L195" s="318"/>
      <c r="M195" s="318"/>
      <c r="N195" s="318"/>
      <c r="O195" s="318"/>
      <c r="Q195" s="114"/>
      <c r="T195" s="310"/>
    </row>
    <row r="196" spans="1:20" ht="12.75" customHeight="1" x14ac:dyDescent="0.3">
      <c r="A196" s="34"/>
      <c r="D196" s="1125">
        <v>613048</v>
      </c>
      <c r="E196" s="330"/>
      <c r="F196" s="1126"/>
      <c r="G196" s="332" t="s">
        <v>2379</v>
      </c>
      <c r="H196" s="453"/>
      <c r="I196" s="463"/>
      <c r="J196" s="318"/>
      <c r="K196" s="318"/>
      <c r="L196" s="318"/>
      <c r="M196" s="318"/>
      <c r="N196" s="318"/>
      <c r="O196" s="318"/>
      <c r="Q196" s="114"/>
      <c r="T196" s="310"/>
    </row>
    <row r="197" spans="1:20" ht="12.75" customHeight="1" x14ac:dyDescent="0.3">
      <c r="A197" s="34"/>
      <c r="D197" s="1125"/>
      <c r="E197" s="341"/>
      <c r="F197" s="1126"/>
      <c r="G197" s="334" t="s">
        <v>2358</v>
      </c>
      <c r="H197" s="453"/>
      <c r="I197" s="463"/>
      <c r="J197" s="318"/>
      <c r="K197" s="318"/>
      <c r="L197" s="318"/>
      <c r="M197" s="318"/>
      <c r="N197" s="318"/>
      <c r="O197" s="318"/>
      <c r="Q197" s="114"/>
      <c r="T197" s="310"/>
    </row>
    <row r="198" spans="1:20" ht="12.75" customHeight="1" x14ac:dyDescent="0.3">
      <c r="A198" s="34">
        <f>+D196</f>
        <v>613048</v>
      </c>
      <c r="B198" s="115" t="str">
        <f>+G196</f>
        <v>Mutatie reserve taakveld 73</v>
      </c>
      <c r="D198" s="340">
        <v>47100</v>
      </c>
      <c r="E198" s="341"/>
      <c r="F198" s="340"/>
      <c r="G198" s="319" t="s">
        <v>2355</v>
      </c>
      <c r="H198" s="453"/>
      <c r="I198" s="463"/>
      <c r="J198" s="318">
        <v>75000</v>
      </c>
      <c r="K198" s="318">
        <v>75000</v>
      </c>
      <c r="L198" s="318">
        <f t="shared" ref="L198:M198" si="154">L485</f>
        <v>75000</v>
      </c>
      <c r="M198" s="318">
        <f t="shared" si="154"/>
        <v>75000</v>
      </c>
      <c r="N198" s="318">
        <f t="shared" ref="N198:O198" si="155">N485</f>
        <v>75000</v>
      </c>
      <c r="O198" s="318">
        <f t="shared" si="155"/>
        <v>0</v>
      </c>
      <c r="Q198" s="114"/>
      <c r="T198" s="310"/>
    </row>
    <row r="199" spans="1:20" ht="12.75" customHeight="1" x14ac:dyDescent="0.3">
      <c r="A199" s="34">
        <f>+D196</f>
        <v>613048</v>
      </c>
      <c r="B199" s="115" t="str">
        <f>+G196</f>
        <v>Mutatie reserve taakveld 73</v>
      </c>
      <c r="D199" s="337">
        <v>87100</v>
      </c>
      <c r="E199" s="343"/>
      <c r="F199" s="337"/>
      <c r="G199" s="319" t="s">
        <v>2355</v>
      </c>
      <c r="H199" s="453"/>
      <c r="I199" s="463"/>
      <c r="J199" s="318">
        <v>0</v>
      </c>
      <c r="K199" s="318">
        <v>0</v>
      </c>
      <c r="L199" s="318">
        <f t="shared" ref="L199:M199" si="156">L491</f>
        <v>0</v>
      </c>
      <c r="M199" s="318">
        <f t="shared" si="156"/>
        <v>0</v>
      </c>
      <c r="N199" s="318">
        <f t="shared" ref="N199:O199" si="157">N491</f>
        <v>0</v>
      </c>
      <c r="O199" s="318">
        <f t="shared" si="157"/>
        <v>0</v>
      </c>
      <c r="Q199" s="114"/>
      <c r="T199" s="310"/>
    </row>
    <row r="200" spans="1:20" ht="12.75" customHeight="1" thickBot="1" x14ac:dyDescent="0.35">
      <c r="A200" s="34"/>
      <c r="D200" s="337"/>
      <c r="E200" s="343"/>
      <c r="F200" s="337"/>
      <c r="G200" s="319" t="s">
        <v>536</v>
      </c>
      <c r="H200" s="453"/>
      <c r="I200" s="463"/>
      <c r="J200" s="480">
        <v>75000</v>
      </c>
      <c r="K200" s="480">
        <v>75000</v>
      </c>
      <c r="L200" s="480">
        <f t="shared" ref="L200:M200" si="158">SUM(L198:L199)</f>
        <v>75000</v>
      </c>
      <c r="M200" s="480">
        <f t="shared" si="158"/>
        <v>75000</v>
      </c>
      <c r="N200" s="480">
        <f t="shared" ref="N200:O200" si="159">SUM(N198:N199)</f>
        <v>75000</v>
      </c>
      <c r="O200" s="480">
        <f t="shared" si="159"/>
        <v>0</v>
      </c>
      <c r="Q200" s="114"/>
      <c r="T200" s="310"/>
    </row>
    <row r="201" spans="1:20" ht="12.75" customHeight="1" thickTop="1" x14ac:dyDescent="0.3">
      <c r="A201" s="34"/>
      <c r="D201" s="340"/>
      <c r="E201" s="341"/>
      <c r="F201" s="1257"/>
      <c r="G201" s="319"/>
      <c r="H201" s="453"/>
      <c r="I201" s="463"/>
      <c r="J201" s="318"/>
      <c r="K201" s="318"/>
      <c r="L201" s="318"/>
      <c r="M201" s="318"/>
      <c r="N201" s="318"/>
      <c r="O201" s="318"/>
      <c r="Q201" s="114"/>
      <c r="T201" s="310"/>
    </row>
    <row r="202" spans="1:20" ht="12.75" customHeight="1" x14ac:dyDescent="0.3">
      <c r="A202" s="34"/>
      <c r="D202" s="1125">
        <v>613049</v>
      </c>
      <c r="E202" s="330"/>
      <c r="F202" s="1126"/>
      <c r="G202" s="332" t="s">
        <v>2380</v>
      </c>
      <c r="H202" s="453"/>
      <c r="I202" s="463"/>
      <c r="J202" s="318"/>
      <c r="K202" s="318"/>
      <c r="L202" s="318"/>
      <c r="M202" s="318"/>
      <c r="N202" s="318"/>
      <c r="O202" s="318"/>
      <c r="Q202" s="114"/>
      <c r="T202" s="310"/>
    </row>
    <row r="203" spans="1:20" ht="12.75" customHeight="1" x14ac:dyDescent="0.3">
      <c r="A203" s="34"/>
      <c r="D203" s="1125"/>
      <c r="E203" s="341"/>
      <c r="F203" s="1126"/>
      <c r="G203" s="527" t="s">
        <v>2381</v>
      </c>
      <c r="H203" s="453"/>
      <c r="I203" s="463"/>
      <c r="J203" s="318"/>
      <c r="K203" s="318"/>
      <c r="L203" s="318"/>
      <c r="M203" s="318"/>
      <c r="N203" s="318"/>
      <c r="O203" s="318"/>
      <c r="Q203" s="114"/>
      <c r="T203" s="310"/>
    </row>
    <row r="204" spans="1:20" ht="12.75" customHeight="1" x14ac:dyDescent="0.3">
      <c r="A204" s="34">
        <f>+D202</f>
        <v>613049</v>
      </c>
      <c r="B204" s="115" t="str">
        <f>+G202</f>
        <v>Mutatie reserve taakveld 74</v>
      </c>
      <c r="D204" s="1158">
        <v>47100</v>
      </c>
      <c r="E204" s="341"/>
      <c r="F204" s="1126"/>
      <c r="G204" s="166" t="s">
        <v>2355</v>
      </c>
      <c r="H204" s="453"/>
      <c r="I204" s="463"/>
      <c r="J204" s="318">
        <f>+J507</f>
        <v>0</v>
      </c>
      <c r="K204" s="318">
        <v>150000</v>
      </c>
      <c r="L204" s="318">
        <f t="shared" ref="L204:N204" si="160">+L507</f>
        <v>0</v>
      </c>
      <c r="M204" s="318">
        <f t="shared" si="160"/>
        <v>0</v>
      </c>
      <c r="N204" s="318">
        <f t="shared" si="160"/>
        <v>0</v>
      </c>
      <c r="O204" s="318">
        <f t="shared" ref="O204" si="161">+O507</f>
        <v>0</v>
      </c>
      <c r="Q204" s="114"/>
      <c r="T204" s="310"/>
    </row>
    <row r="205" spans="1:20" ht="12.75" customHeight="1" x14ac:dyDescent="0.3">
      <c r="A205" s="34">
        <f>+D202</f>
        <v>613049</v>
      </c>
      <c r="B205" s="115" t="str">
        <f>G202</f>
        <v>Mutatie reserve taakveld 74</v>
      </c>
      <c r="D205" s="337">
        <v>87100</v>
      </c>
      <c r="E205" s="341"/>
      <c r="F205" s="337"/>
      <c r="G205" s="453" t="s">
        <v>2355</v>
      </c>
      <c r="H205" s="453"/>
      <c r="I205" s="469"/>
      <c r="J205" s="142">
        <v>-135000</v>
      </c>
      <c r="K205" s="318">
        <v>-290000</v>
      </c>
      <c r="L205" s="318">
        <f t="shared" ref="L205:M205" si="162">L501</f>
        <v>-36600</v>
      </c>
      <c r="M205" s="318">
        <f t="shared" si="162"/>
        <v>0</v>
      </c>
      <c r="N205" s="114">
        <f t="shared" ref="N205:O205" si="163">N501</f>
        <v>0</v>
      </c>
      <c r="O205" s="114">
        <f t="shared" si="163"/>
        <v>0</v>
      </c>
      <c r="Q205" s="114"/>
      <c r="T205" s="310"/>
    </row>
    <row r="206" spans="1:20" ht="12.75" customHeight="1" thickBot="1" x14ac:dyDescent="0.35">
      <c r="A206" s="34"/>
      <c r="D206" s="340"/>
      <c r="E206" s="341"/>
      <c r="F206" s="1257"/>
      <c r="G206" s="319"/>
      <c r="H206" s="453"/>
      <c r="I206" s="463"/>
      <c r="J206" s="342">
        <f>SUM(J204:J205)</f>
        <v>-135000</v>
      </c>
      <c r="K206" s="342">
        <v>-140000</v>
      </c>
      <c r="L206" s="342">
        <f t="shared" ref="L206:N206" si="164">SUM(L204:L205)</f>
        <v>-36600</v>
      </c>
      <c r="M206" s="342">
        <f t="shared" si="164"/>
        <v>0</v>
      </c>
      <c r="N206" s="342">
        <f t="shared" si="164"/>
        <v>0</v>
      </c>
      <c r="O206" s="342">
        <f t="shared" ref="O206" si="165">SUM(O204:O205)</f>
        <v>0</v>
      </c>
      <c r="Q206" s="114"/>
      <c r="T206" s="310"/>
    </row>
    <row r="207" spans="1:20" ht="12.75" customHeight="1" thickTop="1" x14ac:dyDescent="0.3">
      <c r="A207" s="34"/>
      <c r="D207" s="340"/>
      <c r="E207" s="341"/>
      <c r="F207" s="1257"/>
      <c r="G207" s="319"/>
      <c r="H207" s="453"/>
      <c r="I207" s="463"/>
      <c r="J207" s="318"/>
      <c r="K207" s="318"/>
      <c r="L207" s="318"/>
      <c r="M207" s="318"/>
      <c r="N207" s="318"/>
      <c r="O207" s="318"/>
      <c r="Q207" s="114"/>
      <c r="T207" s="310"/>
    </row>
    <row r="208" spans="1:20" ht="12.75" customHeight="1" x14ac:dyDescent="0.3">
      <c r="A208" s="34"/>
      <c r="D208" s="1125">
        <v>613051</v>
      </c>
      <c r="E208" s="330"/>
      <c r="F208" s="1126"/>
      <c r="G208" s="332" t="s">
        <v>2382</v>
      </c>
      <c r="H208" s="453"/>
      <c r="I208" s="463"/>
      <c r="J208" s="318"/>
      <c r="K208" s="318"/>
      <c r="L208" s="318"/>
      <c r="M208" s="318"/>
      <c r="N208" s="318"/>
      <c r="O208" s="318"/>
      <c r="Q208" s="114"/>
      <c r="T208" s="310"/>
    </row>
    <row r="209" spans="1:20" ht="12.75" customHeight="1" x14ac:dyDescent="0.3">
      <c r="A209" s="34"/>
      <c r="D209" s="1125"/>
      <c r="E209" s="341"/>
      <c r="F209" s="1126"/>
      <c r="G209" s="527" t="s">
        <v>554</v>
      </c>
      <c r="H209" s="453"/>
      <c r="I209" s="463"/>
      <c r="J209" s="318"/>
      <c r="K209" s="318"/>
      <c r="L209" s="318"/>
      <c r="M209" s="318"/>
      <c r="N209" s="318"/>
      <c r="O209" s="318"/>
      <c r="Q209" s="114"/>
      <c r="T209" s="310"/>
    </row>
    <row r="210" spans="1:20" ht="12.75" customHeight="1" thickBot="1" x14ac:dyDescent="0.35">
      <c r="A210" s="34">
        <f>+D208</f>
        <v>613051</v>
      </c>
      <c r="B210" s="115" t="str">
        <f>G208</f>
        <v>Mutatie reserve taakveld 81</v>
      </c>
      <c r="D210" s="337">
        <v>87100</v>
      </c>
      <c r="E210" s="341"/>
      <c r="F210" s="337"/>
      <c r="G210" s="453" t="s">
        <v>2355</v>
      </c>
      <c r="H210" s="453"/>
      <c r="I210" s="463"/>
      <c r="J210" s="480">
        <v>-50000</v>
      </c>
      <c r="K210" s="480">
        <v>-316700</v>
      </c>
      <c r="L210" s="480">
        <f>+L516</f>
        <v>-323700</v>
      </c>
      <c r="M210" s="480">
        <f t="shared" ref="M210:N210" si="166">+M516</f>
        <v>0</v>
      </c>
      <c r="N210" s="480">
        <f t="shared" si="166"/>
        <v>0</v>
      </c>
      <c r="O210" s="480">
        <f t="shared" ref="O210" si="167">+O516</f>
        <v>0</v>
      </c>
      <c r="Q210" s="114"/>
      <c r="T210" s="310"/>
    </row>
    <row r="211" spans="1:20" ht="12.75" customHeight="1" thickTop="1" x14ac:dyDescent="0.3">
      <c r="A211" s="34"/>
      <c r="D211" s="340"/>
      <c r="E211" s="341"/>
      <c r="F211" s="1257"/>
      <c r="G211" s="319"/>
      <c r="H211" s="453"/>
      <c r="I211" s="463"/>
      <c r="J211" s="318"/>
      <c r="K211" s="318"/>
      <c r="L211" s="318"/>
      <c r="M211" s="318"/>
      <c r="N211" s="318"/>
      <c r="O211" s="318"/>
      <c r="Q211" s="114"/>
      <c r="T211" s="310"/>
    </row>
    <row r="212" spans="1:20" ht="12.75" customHeight="1" x14ac:dyDescent="0.3">
      <c r="A212" s="34"/>
      <c r="D212" s="1125">
        <v>613052</v>
      </c>
      <c r="E212" s="330"/>
      <c r="F212" s="1126"/>
      <c r="G212" s="332" t="s">
        <v>2383</v>
      </c>
      <c r="H212" s="453"/>
      <c r="I212" s="463"/>
      <c r="J212" s="318"/>
      <c r="K212" s="318"/>
      <c r="L212" s="318"/>
      <c r="M212" s="318"/>
      <c r="N212" s="318"/>
      <c r="O212" s="318"/>
      <c r="Q212" s="114"/>
      <c r="T212" s="310"/>
    </row>
    <row r="213" spans="1:20" ht="12.75" customHeight="1" x14ac:dyDescent="0.3">
      <c r="A213" s="34"/>
      <c r="D213" s="1125"/>
      <c r="E213" s="341"/>
      <c r="F213" s="1126"/>
      <c r="G213" s="527" t="s">
        <v>554</v>
      </c>
      <c r="H213" s="453"/>
      <c r="I213" s="463"/>
      <c r="J213" s="318"/>
      <c r="K213" s="318"/>
      <c r="L213" s="318"/>
      <c r="M213" s="318"/>
      <c r="N213" s="318"/>
      <c r="O213" s="318"/>
      <c r="Q213" s="114"/>
      <c r="T213" s="310"/>
    </row>
    <row r="214" spans="1:20" ht="12.75" customHeight="1" thickBot="1" x14ac:dyDescent="0.35">
      <c r="A214" s="34">
        <f>+D212</f>
        <v>613052</v>
      </c>
      <c r="B214" s="115" t="str">
        <f>G212</f>
        <v>Taakveld 82 grondexploitatie</v>
      </c>
      <c r="D214" s="337">
        <v>87100</v>
      </c>
      <c r="E214" s="341"/>
      <c r="F214" s="337"/>
      <c r="G214" s="453" t="s">
        <v>2355</v>
      </c>
      <c r="H214" s="453"/>
      <c r="I214" s="463"/>
      <c r="J214" s="480">
        <v>-502490</v>
      </c>
      <c r="K214" s="480">
        <v>-467201</v>
      </c>
      <c r="L214" s="480">
        <f t="shared" ref="L214:N214" si="168">L527</f>
        <v>-313327</v>
      </c>
      <c r="M214" s="480">
        <f t="shared" si="168"/>
        <v>-319594</v>
      </c>
      <c r="N214" s="480">
        <f t="shared" si="168"/>
        <v>-325986</v>
      </c>
      <c r="O214" s="480">
        <f t="shared" ref="O214" si="169">O527</f>
        <v>0</v>
      </c>
      <c r="P214" s="480"/>
      <c r="Q214" s="114"/>
      <c r="T214" s="310"/>
    </row>
    <row r="215" spans="1:20" ht="12.75" customHeight="1" thickTop="1" x14ac:dyDescent="0.3">
      <c r="A215" s="34"/>
      <c r="D215" s="340"/>
      <c r="E215" s="341"/>
      <c r="F215" s="1257"/>
      <c r="G215" s="319"/>
      <c r="H215" s="453"/>
      <c r="I215" s="463"/>
      <c r="J215" s="318"/>
      <c r="K215" s="318"/>
      <c r="L215" s="318"/>
      <c r="M215" s="318"/>
      <c r="N215" s="318"/>
      <c r="O215" s="318"/>
      <c r="Q215" s="114"/>
      <c r="T215" s="310"/>
    </row>
    <row r="216" spans="1:20" ht="12.75" customHeight="1" x14ac:dyDescent="0.3">
      <c r="A216" s="34"/>
      <c r="D216" s="1125">
        <v>613053</v>
      </c>
      <c r="E216" s="330"/>
      <c r="F216" s="1126"/>
      <c r="G216" s="332" t="s">
        <v>2384</v>
      </c>
      <c r="H216" s="453"/>
      <c r="I216" s="463"/>
      <c r="J216" s="318"/>
      <c r="K216" s="318"/>
      <c r="L216" s="318"/>
      <c r="M216" s="318"/>
      <c r="N216" s="318"/>
      <c r="O216" s="318"/>
      <c r="Q216" s="114"/>
      <c r="T216" s="310"/>
    </row>
    <row r="217" spans="1:20" ht="12.75" customHeight="1" x14ac:dyDescent="0.3">
      <c r="A217" s="34"/>
      <c r="D217" s="1125"/>
      <c r="E217" s="341"/>
      <c r="F217" s="1126"/>
      <c r="G217" s="527" t="s">
        <v>554</v>
      </c>
      <c r="H217" s="453"/>
      <c r="I217" s="463"/>
      <c r="J217" s="318"/>
      <c r="K217" s="318"/>
      <c r="L217" s="318"/>
      <c r="M217" s="318"/>
      <c r="N217" s="318"/>
      <c r="O217" s="318"/>
      <c r="Q217" s="114"/>
      <c r="T217" s="310"/>
    </row>
    <row r="218" spans="1:20" ht="12.75" customHeight="1" thickBot="1" x14ac:dyDescent="0.35">
      <c r="A218" s="34">
        <f>+D216</f>
        <v>613053</v>
      </c>
      <c r="B218" s="115" t="str">
        <f>G216</f>
        <v>Taakveld 83 wonen en bouwen</v>
      </c>
      <c r="D218" s="337">
        <v>87100</v>
      </c>
      <c r="E218" s="341"/>
      <c r="F218" s="337"/>
      <c r="G218" s="453" t="s">
        <v>2355</v>
      </c>
      <c r="H218" s="453"/>
      <c r="I218" s="463"/>
      <c r="J218" s="480">
        <v>0</v>
      </c>
      <c r="K218" s="480">
        <v>-250000</v>
      </c>
      <c r="L218" s="480">
        <f t="shared" ref="L218:N218" si="170">L535</f>
        <v>-312500</v>
      </c>
      <c r="M218" s="480">
        <f t="shared" si="170"/>
        <v>0</v>
      </c>
      <c r="N218" s="480">
        <f t="shared" si="170"/>
        <v>0</v>
      </c>
      <c r="O218" s="480">
        <f t="shared" ref="O218" si="171">O535</f>
        <v>0</v>
      </c>
      <c r="Q218" s="114"/>
      <c r="T218" s="310"/>
    </row>
    <row r="219" spans="1:20" ht="12.75" customHeight="1" thickTop="1" x14ac:dyDescent="0.3">
      <c r="A219" s="34"/>
      <c r="D219" s="763"/>
      <c r="E219" s="763"/>
      <c r="F219" s="1299"/>
      <c r="G219" s="761"/>
      <c r="H219" s="453"/>
      <c r="I219" s="463"/>
      <c r="J219" s="457"/>
      <c r="K219" s="457"/>
      <c r="L219" s="457"/>
      <c r="M219" s="457"/>
      <c r="N219" s="457"/>
      <c r="O219" s="457"/>
      <c r="Q219" s="114"/>
      <c r="T219" s="310"/>
    </row>
    <row r="220" spans="1:20" ht="12.75" customHeight="1" x14ac:dyDescent="0.3">
      <c r="A220" s="34"/>
      <c r="D220" s="763"/>
      <c r="E220" s="763"/>
      <c r="F220" s="1299"/>
      <c r="G220" s="761"/>
      <c r="H220" s="453"/>
      <c r="I220" s="463"/>
      <c r="J220" s="457"/>
      <c r="K220" s="457"/>
      <c r="L220" s="457"/>
      <c r="M220" s="457"/>
      <c r="N220" s="457"/>
      <c r="O220" s="457"/>
      <c r="Q220" s="114"/>
      <c r="T220" s="310"/>
    </row>
    <row r="221" spans="1:20" ht="12.75" customHeight="1" x14ac:dyDescent="0.3">
      <c r="A221" s="34"/>
      <c r="D221" s="1303"/>
      <c r="E221" s="1303"/>
      <c r="F221" s="1304"/>
      <c r="G221" s="767"/>
      <c r="H221" s="467"/>
      <c r="I221" s="768"/>
      <c r="J221" s="468"/>
      <c r="K221" s="468"/>
      <c r="L221" s="468"/>
      <c r="M221" s="468"/>
      <c r="N221" s="468"/>
      <c r="O221" s="468"/>
      <c r="Q221" s="114"/>
      <c r="T221" s="310"/>
    </row>
    <row r="222" spans="1:20" ht="12.75" customHeight="1" x14ac:dyDescent="0.3">
      <c r="A222" s="33"/>
      <c r="Q222" s="114"/>
      <c r="T222" s="310"/>
    </row>
    <row r="223" spans="1:20" ht="12.75" customHeight="1" x14ac:dyDescent="0.3">
      <c r="A223" s="33"/>
      <c r="Q223" s="114"/>
      <c r="T223" s="310"/>
    </row>
    <row r="224" spans="1:20" ht="12.75" customHeight="1" x14ac:dyDescent="0.25">
      <c r="D224" s="384"/>
      <c r="E224" s="381" t="s">
        <v>561</v>
      </c>
      <c r="F224" s="115"/>
    </row>
    <row r="225" spans="4:15" ht="12.75" customHeight="1" x14ac:dyDescent="0.25">
      <c r="E225" s="336"/>
      <c r="G225" s="401"/>
      <c r="J225" s="407">
        <v>2025</v>
      </c>
      <c r="K225" s="407">
        <v>2026</v>
      </c>
      <c r="L225" s="407">
        <v>2027</v>
      </c>
      <c r="M225" s="407">
        <v>2028</v>
      </c>
      <c r="N225" s="407">
        <v>2029</v>
      </c>
      <c r="O225" s="407">
        <v>2030</v>
      </c>
    </row>
    <row r="226" spans="4:15" ht="12.75" customHeight="1" x14ac:dyDescent="0.25">
      <c r="E226" s="336"/>
      <c r="G226" s="401"/>
      <c r="J226" s="486"/>
      <c r="K226" s="486"/>
      <c r="L226" s="486"/>
      <c r="M226" s="486"/>
      <c r="N226" s="486"/>
      <c r="O226" s="486"/>
    </row>
    <row r="227" spans="4:15" ht="12.75" customHeight="1" x14ac:dyDescent="0.25">
      <c r="D227" s="393">
        <v>613001</v>
      </c>
      <c r="E227" s="561" t="s">
        <v>2385</v>
      </c>
      <c r="F227" s="115"/>
      <c r="J227" s="486"/>
      <c r="K227" s="486"/>
      <c r="L227" s="486"/>
      <c r="M227" s="486"/>
      <c r="N227" s="486"/>
      <c r="O227" s="486"/>
    </row>
    <row r="228" spans="4:15" ht="12.75" customHeight="1" x14ac:dyDescent="0.25">
      <c r="D228" s="143">
        <v>87100</v>
      </c>
      <c r="E228" s="336" t="s">
        <v>2386</v>
      </c>
      <c r="G228" s="401"/>
      <c r="J228" s="424">
        <v>0</v>
      </c>
      <c r="K228" s="394">
        <v>-210000</v>
      </c>
      <c r="L228" s="424">
        <v>0</v>
      </c>
      <c r="M228" s="424">
        <v>0</v>
      </c>
      <c r="N228" s="424">
        <v>0</v>
      </c>
      <c r="O228" s="424">
        <v>0</v>
      </c>
    </row>
    <row r="229" spans="4:15" ht="12.75" customHeight="1" x14ac:dyDescent="0.25">
      <c r="D229" s="143"/>
      <c r="E229" s="336" t="s">
        <v>2387</v>
      </c>
      <c r="G229" s="401"/>
      <c r="J229" s="424"/>
      <c r="K229" s="394">
        <v>-120000</v>
      </c>
      <c r="L229" s="394">
        <v>-120000</v>
      </c>
      <c r="M229" s="424"/>
      <c r="N229" s="424"/>
      <c r="O229" s="424"/>
    </row>
    <row r="230" spans="4:15" ht="12.75" customHeight="1" x14ac:dyDescent="0.25">
      <c r="D230" s="143"/>
      <c r="E230" s="336" t="s">
        <v>2388</v>
      </c>
      <c r="G230" s="401"/>
      <c r="J230" s="424"/>
      <c r="K230" s="394">
        <v>-500000</v>
      </c>
      <c r="L230" s="394">
        <v>-500000</v>
      </c>
      <c r="M230" s="424"/>
      <c r="N230" s="424"/>
      <c r="O230" s="424"/>
    </row>
    <row r="231" spans="4:15" ht="12.75" customHeight="1" x14ac:dyDescent="0.25">
      <c r="D231" s="143"/>
      <c r="E231" s="2191" t="s">
        <v>5357</v>
      </c>
      <c r="F231" s="1723"/>
      <c r="G231" s="1719"/>
      <c r="H231" s="1720"/>
      <c r="I231" s="1720"/>
      <c r="J231" s="2299"/>
      <c r="K231" s="2300">
        <v>-150000</v>
      </c>
      <c r="L231" s="2300"/>
      <c r="M231" s="2299"/>
      <c r="N231" s="2299"/>
      <c r="O231" s="2299"/>
    </row>
    <row r="232" spans="4:15" ht="12.75" customHeight="1" thickBot="1" x14ac:dyDescent="0.3">
      <c r="E232" s="308" t="s">
        <v>2389</v>
      </c>
      <c r="F232" s="115"/>
      <c r="J232" s="1744">
        <f>SUM(J228:J231)</f>
        <v>0</v>
      </c>
      <c r="K232" s="1744">
        <f t="shared" ref="K232:O232" si="172">SUM(K228:K231)</f>
        <v>-980000</v>
      </c>
      <c r="L232" s="1744">
        <f t="shared" si="172"/>
        <v>-620000</v>
      </c>
      <c r="M232" s="1744">
        <f t="shared" si="172"/>
        <v>0</v>
      </c>
      <c r="N232" s="1744">
        <f t="shared" si="172"/>
        <v>0</v>
      </c>
      <c r="O232" s="1744">
        <f t="shared" si="172"/>
        <v>0</v>
      </c>
    </row>
    <row r="233" spans="4:15" ht="12.75" customHeight="1" thickTop="1" x14ac:dyDescent="0.25">
      <c r="E233" s="336"/>
      <c r="G233" s="401"/>
      <c r="J233" s="486"/>
      <c r="K233" s="486"/>
      <c r="L233" s="486"/>
      <c r="M233" s="486"/>
      <c r="N233" s="486"/>
      <c r="O233" s="486"/>
    </row>
    <row r="234" spans="4:15" ht="12.75" customHeight="1" x14ac:dyDescent="0.25">
      <c r="E234" s="336"/>
      <c r="G234" s="401"/>
      <c r="J234" s="486"/>
      <c r="K234" s="486"/>
      <c r="L234" s="486"/>
      <c r="M234" s="486"/>
      <c r="N234" s="486"/>
      <c r="O234" s="486"/>
    </row>
    <row r="235" spans="4:15" ht="12.75" customHeight="1" x14ac:dyDescent="0.25">
      <c r="D235" s="393">
        <v>613003</v>
      </c>
      <c r="E235" s="561" t="s">
        <v>2390</v>
      </c>
      <c r="F235" s="115"/>
      <c r="J235" s="486"/>
      <c r="K235" s="486"/>
      <c r="L235" s="486"/>
      <c r="M235" s="486"/>
      <c r="N235" s="486"/>
      <c r="O235" s="486"/>
    </row>
    <row r="236" spans="4:15" ht="12.75" customHeight="1" x14ac:dyDescent="0.25">
      <c r="D236" s="393"/>
      <c r="E236" s="383" t="s">
        <v>2391</v>
      </c>
      <c r="F236" s="115"/>
      <c r="J236" s="397"/>
      <c r="K236" s="397"/>
      <c r="L236" s="397"/>
      <c r="M236" s="397"/>
      <c r="N236" s="397"/>
      <c r="O236" s="397"/>
    </row>
    <row r="237" spans="4:15" ht="12.75" customHeight="1" x14ac:dyDescent="0.25">
      <c r="D237" s="143">
        <v>87100</v>
      </c>
      <c r="E237" s="115" t="s">
        <v>2392</v>
      </c>
      <c r="F237" s="114"/>
      <c r="J237" s="397"/>
      <c r="K237" s="397"/>
      <c r="L237" s="397"/>
      <c r="M237" s="397"/>
      <c r="N237" s="397"/>
      <c r="O237" s="397"/>
    </row>
    <row r="238" spans="4:15" ht="12.75" customHeight="1" x14ac:dyDescent="0.25">
      <c r="D238" s="384"/>
      <c r="E238" s="308" t="s">
        <v>2393</v>
      </c>
      <c r="F238" s="114"/>
      <c r="J238" s="114">
        <v>-5994</v>
      </c>
      <c r="K238" s="114">
        <v>-5994</v>
      </c>
      <c r="L238" s="114">
        <v>-5994</v>
      </c>
      <c r="M238" s="114">
        <v>-5994</v>
      </c>
      <c r="N238" s="114">
        <v>-5994</v>
      </c>
      <c r="O238" s="114">
        <v>0</v>
      </c>
    </row>
    <row r="239" spans="4:15" ht="12.75" customHeight="1" x14ac:dyDescent="0.25">
      <c r="D239" s="384"/>
      <c r="E239" s="308" t="s">
        <v>2394</v>
      </c>
      <c r="F239" s="114"/>
      <c r="J239" s="114">
        <v>-7612</v>
      </c>
      <c r="K239" s="114">
        <v>-7612</v>
      </c>
      <c r="L239" s="114">
        <v>-7612</v>
      </c>
      <c r="M239" s="114">
        <v>-7612</v>
      </c>
      <c r="N239" s="114">
        <v>-7612</v>
      </c>
      <c r="O239" s="114">
        <v>0</v>
      </c>
    </row>
    <row r="240" spans="4:15" ht="12.75" customHeight="1" x14ac:dyDescent="0.25">
      <c r="D240" s="384"/>
      <c r="E240" s="308" t="s">
        <v>2395</v>
      </c>
      <c r="F240" s="114"/>
      <c r="J240" s="114">
        <v>-2604</v>
      </c>
      <c r="K240" s="114">
        <v>-2603</v>
      </c>
      <c r="L240" s="114">
        <v>-2603</v>
      </c>
      <c r="M240" s="114">
        <v>-2603</v>
      </c>
      <c r="N240" s="114">
        <v>-2603</v>
      </c>
      <c r="O240" s="114">
        <v>0</v>
      </c>
    </row>
    <row r="241" spans="4:15" ht="12.75" customHeight="1" x14ac:dyDescent="0.25">
      <c r="D241" s="384"/>
      <c r="E241" s="308" t="s">
        <v>2396</v>
      </c>
      <c r="F241" s="114"/>
      <c r="J241" s="114">
        <v>-4197</v>
      </c>
      <c r="K241" s="114">
        <v>-4197</v>
      </c>
      <c r="L241" s="114">
        <v>-4197</v>
      </c>
      <c r="M241" s="114">
        <v>-4197</v>
      </c>
      <c r="N241" s="114">
        <v>-4197</v>
      </c>
      <c r="O241" s="114">
        <v>0</v>
      </c>
    </row>
    <row r="242" spans="4:15" ht="12.75" customHeight="1" x14ac:dyDescent="0.25">
      <c r="D242" s="384"/>
      <c r="E242" s="1063" t="s">
        <v>2397</v>
      </c>
      <c r="F242" s="114"/>
      <c r="J242" s="114"/>
      <c r="K242" s="114"/>
      <c r="L242" s="114"/>
      <c r="M242" s="114"/>
      <c r="N242" s="114"/>
      <c r="O242" s="114"/>
    </row>
    <row r="243" spans="4:15" ht="12.75" customHeight="1" x14ac:dyDescent="0.25">
      <c r="D243" s="384"/>
      <c r="E243" s="308" t="s">
        <v>2398</v>
      </c>
      <c r="F243" s="114"/>
      <c r="J243" s="114">
        <v>-50000</v>
      </c>
      <c r="K243" s="114">
        <v>0</v>
      </c>
      <c r="L243" s="114">
        <v>0</v>
      </c>
      <c r="M243" s="114">
        <v>0</v>
      </c>
      <c r="N243" s="114">
        <v>0</v>
      </c>
      <c r="O243" s="114">
        <v>0</v>
      </c>
    </row>
    <row r="244" spans="4:15" ht="12.75" customHeight="1" thickBot="1" x14ac:dyDescent="0.3">
      <c r="E244" s="308" t="s">
        <v>2399</v>
      </c>
      <c r="F244" s="115"/>
      <c r="J244" s="1744">
        <v>-70407</v>
      </c>
      <c r="K244" s="1744">
        <v>-20406</v>
      </c>
      <c r="L244" s="1744">
        <f t="shared" ref="L244:M244" si="173">SUM(L238:L243)</f>
        <v>-20406</v>
      </c>
      <c r="M244" s="1744">
        <f t="shared" si="173"/>
        <v>-20406</v>
      </c>
      <c r="N244" s="1744">
        <f t="shared" ref="N244:O244" si="174">SUM(N238:N243)</f>
        <v>-20406</v>
      </c>
      <c r="O244" s="1744">
        <f t="shared" si="174"/>
        <v>0</v>
      </c>
    </row>
    <row r="245" spans="4:15" ht="12.75" customHeight="1" thickTop="1" x14ac:dyDescent="0.25">
      <c r="E245" s="308"/>
      <c r="F245" s="115"/>
      <c r="H245" s="114"/>
      <c r="J245" s="114"/>
      <c r="K245" s="114"/>
      <c r="L245" s="114"/>
      <c r="M245" s="114"/>
      <c r="N245" s="114"/>
      <c r="O245" s="114"/>
    </row>
    <row r="246" spans="4:15" ht="12.75" customHeight="1" x14ac:dyDescent="0.25">
      <c r="D246" s="393">
        <v>613004</v>
      </c>
      <c r="E246" s="561" t="s">
        <v>2400</v>
      </c>
      <c r="F246" s="115"/>
      <c r="H246" s="397"/>
      <c r="J246" s="397"/>
      <c r="K246" s="397"/>
      <c r="L246" s="397"/>
      <c r="M246" s="397"/>
      <c r="N246" s="397"/>
      <c r="O246" s="397"/>
    </row>
    <row r="247" spans="4:15" ht="12.75" customHeight="1" x14ac:dyDescent="0.25">
      <c r="D247" s="115"/>
      <c r="E247" s="383" t="s">
        <v>2401</v>
      </c>
      <c r="F247" s="115"/>
      <c r="H247" s="397"/>
      <c r="J247" s="397"/>
      <c r="K247" s="397"/>
      <c r="L247" s="397"/>
      <c r="M247" s="397"/>
      <c r="N247" s="397"/>
      <c r="O247" s="397"/>
    </row>
    <row r="248" spans="4:15" ht="12.75" customHeight="1" x14ac:dyDescent="0.25">
      <c r="D248" s="1297">
        <v>47100</v>
      </c>
      <c r="E248" s="114" t="s">
        <v>2402</v>
      </c>
      <c r="F248" s="115"/>
      <c r="H248" s="397"/>
      <c r="J248" s="1105"/>
      <c r="K248" s="1105"/>
      <c r="L248" s="1105"/>
      <c r="M248" s="1105"/>
      <c r="N248" s="1105"/>
      <c r="O248" s="1105"/>
    </row>
    <row r="249" spans="4:15" ht="12.75" customHeight="1" x14ac:dyDescent="0.25">
      <c r="E249" s="114" t="s">
        <v>2403</v>
      </c>
      <c r="F249" s="115"/>
      <c r="H249" s="397"/>
      <c r="J249" s="114">
        <v>250000</v>
      </c>
      <c r="K249" s="114">
        <v>250000</v>
      </c>
      <c r="L249" s="114">
        <v>250000</v>
      </c>
      <c r="M249" s="114">
        <v>250000</v>
      </c>
      <c r="N249" s="114">
        <v>250000</v>
      </c>
      <c r="O249" s="114">
        <v>0</v>
      </c>
    </row>
    <row r="250" spans="4:15" ht="12.75" customHeight="1" thickBot="1" x14ac:dyDescent="0.3">
      <c r="E250" s="308" t="s">
        <v>2404</v>
      </c>
      <c r="F250" s="115"/>
      <c r="H250" s="397"/>
      <c r="J250" s="1744">
        <v>250000</v>
      </c>
      <c r="K250" s="1744">
        <v>250000</v>
      </c>
      <c r="L250" s="1744">
        <f>SUM(L248:L249)</f>
        <v>250000</v>
      </c>
      <c r="M250" s="1744">
        <f>SUM(M248:M249)</f>
        <v>250000</v>
      </c>
      <c r="N250" s="1744">
        <f>SUM(N248:N249)</f>
        <v>250000</v>
      </c>
      <c r="O250" s="1744">
        <f>SUM(O248:O249)</f>
        <v>0</v>
      </c>
    </row>
    <row r="251" spans="4:15" ht="12.75" customHeight="1" thickTop="1" x14ac:dyDescent="0.25">
      <c r="E251" s="401"/>
      <c r="F251" s="115"/>
      <c r="H251" s="397"/>
      <c r="J251" s="397"/>
      <c r="K251" s="397"/>
      <c r="L251" s="397"/>
      <c r="M251" s="397"/>
      <c r="N251" s="397"/>
      <c r="O251" s="397"/>
    </row>
    <row r="252" spans="4:15" ht="12.75" customHeight="1" x14ac:dyDescent="0.25">
      <c r="D252" s="393">
        <v>613004</v>
      </c>
      <c r="E252" s="561" t="s">
        <v>2400</v>
      </c>
      <c r="F252" s="115"/>
      <c r="H252" s="397"/>
      <c r="J252" s="397"/>
      <c r="K252" s="397"/>
      <c r="L252" s="397"/>
      <c r="M252" s="397"/>
      <c r="N252" s="397"/>
      <c r="O252" s="397"/>
    </row>
    <row r="253" spans="4:15" ht="12.75" customHeight="1" x14ac:dyDescent="0.25">
      <c r="D253" s="393"/>
      <c r="E253" s="383" t="s">
        <v>2405</v>
      </c>
      <c r="F253" s="115"/>
      <c r="H253" s="397"/>
      <c r="J253" s="397"/>
      <c r="K253" s="397"/>
      <c r="L253" s="397"/>
      <c r="M253" s="397"/>
      <c r="N253" s="397"/>
      <c r="O253" s="397"/>
    </row>
    <row r="254" spans="4:15" ht="12.75" customHeight="1" x14ac:dyDescent="0.25">
      <c r="D254" s="143">
        <v>87100</v>
      </c>
      <c r="E254" s="401" t="s">
        <v>2406</v>
      </c>
      <c r="F254" s="115"/>
      <c r="H254" s="397"/>
      <c r="J254" s="397"/>
      <c r="K254" s="397"/>
      <c r="L254" s="397"/>
      <c r="M254" s="397"/>
      <c r="N254" s="397"/>
      <c r="O254" s="397"/>
    </row>
    <row r="255" spans="4:15" ht="12.75" customHeight="1" x14ac:dyDescent="0.25">
      <c r="E255" s="401" t="s">
        <v>2407</v>
      </c>
      <c r="F255" s="115"/>
      <c r="H255" s="397"/>
      <c r="J255" s="114">
        <v>0</v>
      </c>
      <c r="K255" s="114">
        <v>0</v>
      </c>
      <c r="L255" s="114">
        <v>0</v>
      </c>
      <c r="M255" s="114">
        <v>0</v>
      </c>
      <c r="N255" s="114">
        <v>0</v>
      </c>
      <c r="O255" s="114">
        <v>0</v>
      </c>
    </row>
    <row r="256" spans="4:15" ht="12.75" customHeight="1" x14ac:dyDescent="0.25">
      <c r="D256" s="393"/>
      <c r="E256" s="383" t="s">
        <v>2408</v>
      </c>
      <c r="F256" s="115"/>
      <c r="H256" s="397"/>
      <c r="J256" s="397"/>
      <c r="K256" s="397"/>
      <c r="L256" s="397"/>
      <c r="M256" s="397"/>
      <c r="N256" s="397"/>
      <c r="O256" s="397"/>
    </row>
    <row r="257" spans="4:16" ht="12.75" customHeight="1" x14ac:dyDescent="0.25">
      <c r="D257" s="143"/>
      <c r="E257" s="401" t="s">
        <v>2406</v>
      </c>
      <c r="F257" s="115"/>
      <c r="H257" s="397"/>
      <c r="J257" s="397"/>
      <c r="K257" s="397"/>
      <c r="L257" s="397"/>
      <c r="M257" s="397"/>
      <c r="N257" s="397"/>
      <c r="O257" s="397"/>
    </row>
    <row r="258" spans="4:16" ht="12.75" customHeight="1" x14ac:dyDescent="0.25">
      <c r="E258" s="401" t="s">
        <v>2409</v>
      </c>
      <c r="F258" s="115"/>
      <c r="H258" s="397"/>
      <c r="J258" s="114">
        <v>0</v>
      </c>
      <c r="K258" s="114">
        <v>0</v>
      </c>
      <c r="L258" s="114">
        <v>0</v>
      </c>
      <c r="M258" s="114">
        <v>0</v>
      </c>
      <c r="N258" s="114">
        <v>0</v>
      </c>
      <c r="O258" s="114">
        <v>0</v>
      </c>
    </row>
    <row r="259" spans="4:16" ht="12.75" customHeight="1" x14ac:dyDescent="0.25">
      <c r="E259" s="401" t="s">
        <v>2410</v>
      </c>
      <c r="F259" s="115"/>
      <c r="H259" s="397"/>
      <c r="J259" s="114">
        <v>-9231</v>
      </c>
      <c r="K259" s="114">
        <v>-8225</v>
      </c>
      <c r="L259" s="114">
        <v>-8225</v>
      </c>
      <c r="M259" s="114">
        <v>0</v>
      </c>
      <c r="N259" s="114">
        <v>0</v>
      </c>
      <c r="O259" s="114">
        <v>0</v>
      </c>
    </row>
    <row r="260" spans="4:16" ht="12.75" customHeight="1" x14ac:dyDescent="0.25">
      <c r="E260" s="401" t="s">
        <v>2411</v>
      </c>
      <c r="F260" s="115"/>
      <c r="H260" s="397"/>
      <c r="J260" s="114">
        <v>0</v>
      </c>
      <c r="K260" s="114">
        <v>0</v>
      </c>
      <c r="L260" s="114">
        <v>0</v>
      </c>
      <c r="M260" s="114">
        <v>0</v>
      </c>
      <c r="N260" s="114">
        <v>0</v>
      </c>
      <c r="O260" s="114">
        <v>0</v>
      </c>
    </row>
    <row r="261" spans="4:16" ht="12.75" customHeight="1" x14ac:dyDescent="0.25">
      <c r="D261" s="393"/>
      <c r="E261" s="383" t="s">
        <v>2412</v>
      </c>
      <c r="F261" s="115"/>
      <c r="H261" s="397"/>
      <c r="J261" s="114"/>
      <c r="K261" s="114"/>
      <c r="L261" s="114"/>
      <c r="M261" s="114"/>
      <c r="N261" s="114"/>
      <c r="O261" s="114"/>
    </row>
    <row r="262" spans="4:16" ht="12.75" customHeight="1" x14ac:dyDescent="0.25">
      <c r="D262" s="143"/>
      <c r="E262" s="115" t="s">
        <v>2406</v>
      </c>
      <c r="F262" s="115"/>
      <c r="H262" s="397"/>
      <c r="J262" s="114"/>
      <c r="K262" s="114"/>
      <c r="L262" s="114"/>
      <c r="M262" s="114"/>
      <c r="N262" s="114"/>
      <c r="O262" s="114"/>
    </row>
    <row r="263" spans="4:16" ht="12.75" customHeight="1" x14ac:dyDescent="0.25">
      <c r="D263" s="115"/>
      <c r="E263" s="401" t="s">
        <v>2403</v>
      </c>
      <c r="F263" s="115"/>
      <c r="H263" s="397"/>
      <c r="J263" s="114">
        <v>-291778</v>
      </c>
      <c r="K263" s="114">
        <v>-337475</v>
      </c>
      <c r="L263" s="114">
        <v>-317705</v>
      </c>
      <c r="M263" s="114">
        <v>-308352</v>
      </c>
      <c r="N263" s="114">
        <v>-279164</v>
      </c>
      <c r="O263" s="544">
        <v>0</v>
      </c>
    </row>
    <row r="264" spans="4:16" ht="12.75" customHeight="1" x14ac:dyDescent="0.25">
      <c r="D264" s="393"/>
      <c r="E264" s="383" t="s">
        <v>2413</v>
      </c>
      <c r="F264" s="115"/>
      <c r="H264" s="397"/>
      <c r="J264" s="114"/>
      <c r="K264" s="114"/>
      <c r="L264" s="114"/>
      <c r="M264" s="114"/>
      <c r="N264" s="114"/>
      <c r="O264" s="114"/>
    </row>
    <row r="265" spans="4:16" ht="12.75" customHeight="1" x14ac:dyDescent="0.25">
      <c r="E265" s="115" t="s">
        <v>2406</v>
      </c>
      <c r="F265" s="115"/>
      <c r="H265" s="397"/>
      <c r="J265" s="114"/>
      <c r="K265" s="114"/>
      <c r="L265" s="114"/>
      <c r="M265" s="114"/>
      <c r="N265" s="114"/>
      <c r="O265" s="114"/>
    </row>
    <row r="266" spans="4:16" ht="12.75" customHeight="1" x14ac:dyDescent="0.25">
      <c r="E266" s="401" t="s">
        <v>2414</v>
      </c>
      <c r="F266" s="115"/>
      <c r="H266" s="397"/>
      <c r="J266" s="114">
        <v>-29813</v>
      </c>
      <c r="K266" s="114">
        <v>-29813</v>
      </c>
      <c r="L266" s="114">
        <v>-29813</v>
      </c>
      <c r="M266" s="114">
        <v>-29813</v>
      </c>
      <c r="N266" s="114">
        <v>-29813</v>
      </c>
      <c r="O266" s="114">
        <v>0</v>
      </c>
      <c r="P266" s="115" t="s">
        <v>2415</v>
      </c>
    </row>
    <row r="267" spans="4:16" ht="12.75" customHeight="1" x14ac:dyDescent="0.25">
      <c r="E267" s="563" t="s">
        <v>2416</v>
      </c>
      <c r="F267" s="115"/>
      <c r="H267" s="397"/>
      <c r="J267" s="114"/>
      <c r="K267" s="114"/>
      <c r="L267" s="114"/>
      <c r="M267" s="114"/>
      <c r="N267" s="114"/>
      <c r="O267" s="114"/>
    </row>
    <row r="268" spans="4:16" ht="12.75" customHeight="1" x14ac:dyDescent="0.25">
      <c r="E268" s="401" t="s">
        <v>2417</v>
      </c>
      <c r="F268" s="115"/>
      <c r="H268" s="397"/>
      <c r="J268" s="114">
        <v>-76000</v>
      </c>
      <c r="K268" s="114">
        <v>-79200</v>
      </c>
      <c r="L268" s="114"/>
      <c r="M268" s="114"/>
      <c r="N268" s="114"/>
      <c r="O268" s="114"/>
    </row>
    <row r="269" spans="4:16" ht="12.75" customHeight="1" x14ac:dyDescent="0.25">
      <c r="E269" s="401" t="s">
        <v>2418</v>
      </c>
      <c r="F269" s="115"/>
      <c r="H269" s="397"/>
      <c r="J269" s="114"/>
      <c r="K269" s="114">
        <v>79200</v>
      </c>
      <c r="L269" s="114"/>
      <c r="M269" s="114"/>
      <c r="N269" s="114"/>
      <c r="O269" s="114"/>
    </row>
    <row r="270" spans="4:16" ht="12.75" customHeight="1" thickBot="1" x14ac:dyDescent="0.3">
      <c r="E270" s="308" t="s">
        <v>2419</v>
      </c>
      <c r="F270" s="115"/>
      <c r="H270" s="397"/>
      <c r="J270" s="1744">
        <v>-406822</v>
      </c>
      <c r="K270" s="1744">
        <v>-375513</v>
      </c>
      <c r="L270" s="1744">
        <f>SUM(L255:L269)</f>
        <v>-355743</v>
      </c>
      <c r="M270" s="1744">
        <f>SUM(M255:M269)</f>
        <v>-338165</v>
      </c>
      <c r="N270" s="1744">
        <f>SUM(N255:N269)</f>
        <v>-308977</v>
      </c>
      <c r="O270" s="1744">
        <f>SUM(O255:O269)</f>
        <v>0</v>
      </c>
    </row>
    <row r="271" spans="4:16" ht="12.75" customHeight="1" thickTop="1" x14ac:dyDescent="0.25">
      <c r="E271" s="308"/>
      <c r="F271" s="115"/>
      <c r="H271" s="397"/>
      <c r="J271" s="114"/>
      <c r="K271" s="114"/>
      <c r="L271" s="114"/>
      <c r="M271" s="114"/>
      <c r="N271" s="114"/>
      <c r="O271" s="114"/>
    </row>
    <row r="272" spans="4:16" ht="12.75" customHeight="1" x14ac:dyDescent="0.25">
      <c r="D272" s="393">
        <v>613005</v>
      </c>
      <c r="E272" s="561" t="s">
        <v>2420</v>
      </c>
      <c r="F272" s="115"/>
      <c r="H272" s="114"/>
      <c r="J272" s="114"/>
      <c r="K272" s="114"/>
      <c r="L272" s="114"/>
      <c r="M272" s="114"/>
      <c r="N272" s="114"/>
      <c r="O272" s="114"/>
    </row>
    <row r="273" spans="1:16" ht="12.75" customHeight="1" x14ac:dyDescent="0.25">
      <c r="D273" s="115"/>
      <c r="E273" s="383" t="s">
        <v>2421</v>
      </c>
      <c r="F273" s="115"/>
      <c r="H273" s="397"/>
      <c r="J273" s="397"/>
      <c r="K273" s="397"/>
      <c r="L273" s="397"/>
      <c r="M273" s="397"/>
      <c r="N273" s="397"/>
      <c r="O273" s="397"/>
    </row>
    <row r="274" spans="1:16" ht="12.75" customHeight="1" x14ac:dyDescent="0.25">
      <c r="D274" s="1297">
        <v>47100</v>
      </c>
      <c r="E274" s="114" t="s">
        <v>2422</v>
      </c>
      <c r="F274" s="115"/>
      <c r="H274" s="397"/>
      <c r="J274" s="397"/>
      <c r="K274" s="397"/>
      <c r="L274" s="397"/>
      <c r="M274" s="397"/>
      <c r="N274" s="397"/>
      <c r="O274" s="397"/>
    </row>
    <row r="275" spans="1:16" ht="12.75" customHeight="1" x14ac:dyDescent="0.25">
      <c r="E275" s="114" t="s">
        <v>2423</v>
      </c>
      <c r="F275" s="115"/>
      <c r="H275" s="397"/>
      <c r="J275" s="114">
        <v>1857</v>
      </c>
      <c r="K275" s="114">
        <v>1578</v>
      </c>
      <c r="L275" s="114">
        <v>1288</v>
      </c>
      <c r="M275" s="114">
        <v>985</v>
      </c>
      <c r="N275" s="114">
        <v>670</v>
      </c>
      <c r="O275" s="544">
        <v>0</v>
      </c>
    </row>
    <row r="276" spans="1:16" ht="12.75" customHeight="1" thickBot="1" x14ac:dyDescent="0.3">
      <c r="E276" s="308" t="s">
        <v>2424</v>
      </c>
      <c r="F276" s="115"/>
      <c r="H276" s="397"/>
      <c r="J276" s="1744">
        <v>1857</v>
      </c>
      <c r="K276" s="1744">
        <f>SUM(K274:K275)</f>
        <v>1578</v>
      </c>
      <c r="L276" s="1744">
        <f>SUM(L274:L275)</f>
        <v>1288</v>
      </c>
      <c r="M276" s="1744">
        <f>SUM(M274:M275)</f>
        <v>985</v>
      </c>
      <c r="N276" s="1744">
        <f>SUM(N274:N275)</f>
        <v>670</v>
      </c>
      <c r="O276" s="1744">
        <f>SUM(O274:O275)</f>
        <v>0</v>
      </c>
    </row>
    <row r="277" spans="1:16" ht="12.75" customHeight="1" thickTop="1" x14ac:dyDescent="0.25">
      <c r="E277" s="401"/>
      <c r="F277" s="115"/>
      <c r="H277" s="397"/>
      <c r="J277" s="114"/>
      <c r="K277" s="114"/>
      <c r="L277" s="114"/>
      <c r="M277" s="114"/>
      <c r="N277" s="114"/>
      <c r="O277" s="114"/>
    </row>
    <row r="278" spans="1:16" ht="12.75" customHeight="1" x14ac:dyDescent="0.25">
      <c r="D278" s="393">
        <v>613005</v>
      </c>
      <c r="E278" s="561" t="s">
        <v>2420</v>
      </c>
      <c r="F278" s="115"/>
      <c r="H278" s="397"/>
      <c r="J278" s="114"/>
      <c r="K278" s="114"/>
      <c r="L278" s="114"/>
      <c r="M278" s="114"/>
      <c r="N278" s="114"/>
      <c r="O278" s="114"/>
    </row>
    <row r="279" spans="1:16" ht="12.75" customHeight="1" x14ac:dyDescent="0.25">
      <c r="D279" s="115"/>
      <c r="E279" s="383" t="s">
        <v>2421</v>
      </c>
      <c r="F279" s="115"/>
      <c r="H279" s="397"/>
      <c r="J279" s="397"/>
      <c r="K279" s="397"/>
      <c r="L279" s="397"/>
      <c r="M279" s="397"/>
      <c r="N279" s="397"/>
      <c r="O279" s="397"/>
    </row>
    <row r="280" spans="1:16" s="305" customFormat="1" ht="12.75" customHeight="1" x14ac:dyDescent="0.25">
      <c r="A280" s="306"/>
      <c r="B280" s="115"/>
      <c r="C280" s="115"/>
      <c r="D280" s="115"/>
      <c r="E280" s="115" t="s">
        <v>2425</v>
      </c>
      <c r="F280" s="115"/>
      <c r="G280" s="115"/>
      <c r="H280" s="114"/>
      <c r="I280" s="115"/>
      <c r="J280" s="114"/>
      <c r="K280" s="114"/>
      <c r="L280" s="114"/>
      <c r="M280" s="114"/>
      <c r="N280" s="114"/>
      <c r="O280" s="114"/>
      <c r="P280" s="115"/>
    </row>
    <row r="281" spans="1:16" s="305" customFormat="1" ht="12.75" customHeight="1" x14ac:dyDescent="0.25">
      <c r="A281" s="306"/>
      <c r="B281" s="115"/>
      <c r="C281" s="115"/>
      <c r="D281" s="115"/>
      <c r="E281" s="115" t="s">
        <v>2426</v>
      </c>
      <c r="F281" s="115"/>
      <c r="G281" s="115"/>
      <c r="H281" s="114"/>
      <c r="I281" s="115"/>
      <c r="J281" s="114"/>
      <c r="K281" s="114"/>
      <c r="L281" s="114"/>
      <c r="M281" s="114"/>
      <c r="N281" s="114"/>
      <c r="O281" s="114"/>
      <c r="P281" s="115"/>
    </row>
    <row r="282" spans="1:16" ht="12.75" customHeight="1" x14ac:dyDescent="0.25">
      <c r="D282" s="1297">
        <v>87100</v>
      </c>
      <c r="E282" s="114" t="s">
        <v>2427</v>
      </c>
      <c r="F282" s="115"/>
      <c r="H282" s="397"/>
      <c r="J282" s="397"/>
      <c r="K282" s="397"/>
      <c r="L282" s="397"/>
      <c r="M282" s="397"/>
      <c r="N282" s="397"/>
      <c r="O282" s="397"/>
    </row>
    <row r="283" spans="1:16" ht="12.75" customHeight="1" x14ac:dyDescent="0.25">
      <c r="E283" s="398" t="s">
        <v>2428</v>
      </c>
      <c r="F283" s="115"/>
      <c r="H283" s="397"/>
      <c r="J283" s="114">
        <v>0</v>
      </c>
      <c r="K283" s="114">
        <v>0</v>
      </c>
      <c r="L283" s="114">
        <v>0</v>
      </c>
      <c r="M283" s="114">
        <v>0</v>
      </c>
      <c r="N283" s="114">
        <v>0</v>
      </c>
      <c r="O283" s="114">
        <v>0</v>
      </c>
    </row>
    <row r="284" spans="1:16" ht="12.75" customHeight="1" x14ac:dyDescent="0.25">
      <c r="E284" s="308" t="s">
        <v>2429</v>
      </c>
      <c r="F284" s="115"/>
      <c r="H284" s="397"/>
      <c r="J284" s="114">
        <v>0</v>
      </c>
      <c r="K284" s="114">
        <v>0</v>
      </c>
      <c r="L284" s="114">
        <v>0</v>
      </c>
      <c r="M284" s="114">
        <v>0</v>
      </c>
      <c r="N284" s="114">
        <v>0</v>
      </c>
      <c r="O284" s="114">
        <v>0</v>
      </c>
    </row>
    <row r="285" spans="1:16" ht="12.75" customHeight="1" thickBot="1" x14ac:dyDescent="0.3">
      <c r="E285" s="308" t="s">
        <v>2430</v>
      </c>
      <c r="F285" s="115"/>
      <c r="H285" s="397"/>
      <c r="J285" s="1744">
        <v>0</v>
      </c>
      <c r="K285" s="1744">
        <f t="shared" ref="K285:M285" si="175">SUM(K282:K284)</f>
        <v>0</v>
      </c>
      <c r="L285" s="1744">
        <f t="shared" si="175"/>
        <v>0</v>
      </c>
      <c r="M285" s="1744">
        <f t="shared" si="175"/>
        <v>0</v>
      </c>
      <c r="N285" s="1744">
        <f t="shared" ref="N285:O285" si="176">SUM(N282:N284)</f>
        <v>0</v>
      </c>
      <c r="O285" s="1744">
        <f t="shared" si="176"/>
        <v>0</v>
      </c>
    </row>
    <row r="286" spans="1:16" ht="12.75" customHeight="1" thickTop="1" x14ac:dyDescent="0.25">
      <c r="E286" s="401"/>
      <c r="F286" s="115"/>
      <c r="H286" s="397"/>
      <c r="J286" s="397"/>
      <c r="K286" s="397"/>
      <c r="L286" s="397"/>
      <c r="M286" s="397"/>
      <c r="N286" s="397"/>
      <c r="O286" s="397"/>
    </row>
    <row r="287" spans="1:16" ht="12.75" customHeight="1" x14ac:dyDescent="0.25">
      <c r="D287" s="1305">
        <v>613013</v>
      </c>
      <c r="E287" s="561" t="s">
        <v>2431</v>
      </c>
      <c r="F287" s="115"/>
      <c r="H287" s="397"/>
      <c r="J287" s="397"/>
      <c r="K287" s="397"/>
      <c r="L287" s="397"/>
      <c r="M287" s="397"/>
      <c r="N287" s="397"/>
      <c r="O287" s="397"/>
    </row>
    <row r="288" spans="1:16" ht="12.75" customHeight="1" x14ac:dyDescent="0.25">
      <c r="D288" s="115"/>
      <c r="E288" s="1306" t="s">
        <v>2432</v>
      </c>
      <c r="F288" s="115"/>
      <c r="H288" s="397"/>
      <c r="J288" s="397"/>
      <c r="K288" s="397"/>
      <c r="L288" s="397"/>
      <c r="M288" s="397"/>
      <c r="N288" s="397"/>
      <c r="O288" s="397"/>
    </row>
    <row r="289" spans="4:15" ht="12.75" customHeight="1" x14ac:dyDescent="0.25">
      <c r="D289" s="1297">
        <v>47100</v>
      </c>
      <c r="E289" s="115" t="s">
        <v>2433</v>
      </c>
      <c r="F289" s="115"/>
      <c r="H289" s="397"/>
      <c r="J289" s="397"/>
      <c r="K289" s="397"/>
      <c r="L289" s="397"/>
      <c r="M289" s="397"/>
      <c r="N289" s="397"/>
      <c r="O289" s="397"/>
    </row>
    <row r="290" spans="4:15" ht="12.75" customHeight="1" x14ac:dyDescent="0.25">
      <c r="D290" s="1297"/>
      <c r="E290" s="308" t="s">
        <v>2434</v>
      </c>
      <c r="F290" s="115"/>
      <c r="H290" s="397"/>
      <c r="J290" s="114">
        <v>87014</v>
      </c>
      <c r="K290" s="114">
        <v>0</v>
      </c>
      <c r="L290" s="114">
        <v>0</v>
      </c>
      <c r="M290" s="114">
        <v>0</v>
      </c>
      <c r="N290" s="114">
        <v>0</v>
      </c>
      <c r="O290" s="114">
        <v>0</v>
      </c>
    </row>
    <row r="291" spans="4:15" ht="12.75" customHeight="1" x14ac:dyDescent="0.25">
      <c r="D291" s="1297"/>
      <c r="E291" s="308" t="s">
        <v>2435</v>
      </c>
      <c r="F291" s="115"/>
      <c r="H291" s="397"/>
      <c r="J291" s="114">
        <v>0</v>
      </c>
      <c r="K291" s="114">
        <v>0</v>
      </c>
      <c r="L291" s="114">
        <v>0</v>
      </c>
      <c r="M291" s="114">
        <v>0</v>
      </c>
      <c r="N291" s="114">
        <v>0</v>
      </c>
      <c r="O291" s="114">
        <v>0</v>
      </c>
    </row>
    <row r="292" spans="4:15" ht="12.75" customHeight="1" thickBot="1" x14ac:dyDescent="0.3">
      <c r="E292" s="308" t="s">
        <v>2436</v>
      </c>
      <c r="F292" s="115"/>
      <c r="H292" s="397"/>
      <c r="J292" s="1744">
        <v>87014</v>
      </c>
      <c r="K292" s="1744">
        <f>SUM(K288:K291)</f>
        <v>0</v>
      </c>
      <c r="L292" s="1744">
        <f>SUM(L288:L291)</f>
        <v>0</v>
      </c>
      <c r="M292" s="1744">
        <f>SUM(M288:M291)</f>
        <v>0</v>
      </c>
      <c r="N292" s="1744">
        <f>SUM(N288:N291)</f>
        <v>0</v>
      </c>
      <c r="O292" s="1744">
        <f>SUM(O288:O291)</f>
        <v>0</v>
      </c>
    </row>
    <row r="293" spans="4:15" ht="12.75" customHeight="1" thickTop="1" x14ac:dyDescent="0.25">
      <c r="E293" s="401"/>
      <c r="F293" s="115"/>
      <c r="H293" s="397"/>
      <c r="J293" s="397"/>
      <c r="K293" s="397"/>
      <c r="L293" s="397"/>
      <c r="M293" s="397"/>
      <c r="N293" s="397"/>
      <c r="O293" s="397"/>
    </row>
    <row r="294" spans="4:15" ht="12.75" customHeight="1" x14ac:dyDescent="0.25">
      <c r="D294" s="1305">
        <v>613013</v>
      </c>
      <c r="E294" s="561" t="s">
        <v>2431</v>
      </c>
      <c r="F294" s="115"/>
      <c r="H294" s="397"/>
      <c r="J294" s="397"/>
      <c r="K294" s="397"/>
      <c r="L294" s="397"/>
      <c r="M294" s="397"/>
      <c r="N294" s="397"/>
      <c r="O294" s="397"/>
    </row>
    <row r="295" spans="4:15" ht="12.75" customHeight="1" x14ac:dyDescent="0.25">
      <c r="D295" s="1305"/>
      <c r="E295" s="1306" t="s">
        <v>2432</v>
      </c>
      <c r="F295" s="115"/>
      <c r="H295" s="397"/>
      <c r="J295" s="397"/>
      <c r="K295" s="397"/>
      <c r="L295" s="397"/>
      <c r="M295" s="397"/>
      <c r="N295" s="397"/>
      <c r="O295" s="397"/>
    </row>
    <row r="296" spans="4:15" ht="12.75" customHeight="1" x14ac:dyDescent="0.25">
      <c r="D296" s="1297">
        <v>87100</v>
      </c>
      <c r="E296" s="1298" t="s">
        <v>2437</v>
      </c>
      <c r="F296" s="115"/>
      <c r="H296" s="397"/>
      <c r="J296" s="397"/>
      <c r="K296" s="397"/>
      <c r="L296" s="397"/>
      <c r="M296" s="397"/>
      <c r="N296" s="397"/>
      <c r="O296" s="397"/>
    </row>
    <row r="297" spans="4:15" ht="12.75" customHeight="1" x14ac:dyDescent="0.25">
      <c r="D297" s="1297"/>
      <c r="E297" s="1307" t="s">
        <v>2438</v>
      </c>
      <c r="F297" s="115"/>
      <c r="H297" s="397"/>
      <c r="J297" s="114">
        <v>-87014</v>
      </c>
      <c r="K297" s="114">
        <v>0</v>
      </c>
      <c r="L297" s="114">
        <v>0</v>
      </c>
      <c r="M297" s="114">
        <v>0</v>
      </c>
      <c r="N297" s="114">
        <v>0</v>
      </c>
      <c r="O297" s="114">
        <v>0</v>
      </c>
    </row>
    <row r="298" spans="4:15" ht="12.75" customHeight="1" x14ac:dyDescent="0.25">
      <c r="D298" s="1297"/>
      <c r="E298" s="1308" t="s">
        <v>2439</v>
      </c>
      <c r="F298" s="115"/>
      <c r="H298" s="397"/>
      <c r="J298" s="114">
        <v>-200000</v>
      </c>
      <c r="K298" s="114">
        <v>0</v>
      </c>
      <c r="L298" s="114">
        <v>0</v>
      </c>
      <c r="M298" s="114">
        <v>0</v>
      </c>
      <c r="N298" s="114">
        <v>0</v>
      </c>
      <c r="O298" s="114">
        <v>0</v>
      </c>
    </row>
    <row r="299" spans="4:15" ht="12.75" customHeight="1" x14ac:dyDescent="0.25">
      <c r="D299" s="1297"/>
      <c r="E299" s="2286" t="s">
        <v>5385</v>
      </c>
      <c r="F299" s="1720"/>
      <c r="G299" s="1720"/>
      <c r="H299" s="2287"/>
      <c r="I299" s="1720"/>
      <c r="J299" s="2177"/>
      <c r="K299" s="2177">
        <v>-150000</v>
      </c>
      <c r="L299" s="2177"/>
      <c r="M299" s="2177"/>
      <c r="N299" s="2177"/>
      <c r="O299" s="2177"/>
    </row>
    <row r="300" spans="4:15" ht="12.75" customHeight="1" x14ac:dyDescent="0.25">
      <c r="D300" s="1297"/>
      <c r="E300" s="2286" t="s">
        <v>5386</v>
      </c>
      <c r="F300" s="1720"/>
      <c r="G300" s="1720"/>
      <c r="H300" s="2287"/>
      <c r="I300" s="1720"/>
      <c r="J300" s="2177"/>
      <c r="K300" s="2177">
        <v>-4001000</v>
      </c>
      <c r="L300" s="2177"/>
      <c r="M300" s="2177"/>
      <c r="N300" s="2177"/>
      <c r="O300" s="2177"/>
    </row>
    <row r="301" spans="4:15" ht="12.75" customHeight="1" x14ac:dyDescent="0.25">
      <c r="D301" s="1297"/>
      <c r="E301" s="2286" t="s">
        <v>5390</v>
      </c>
      <c r="F301" s="1720"/>
      <c r="G301" s="1720"/>
      <c r="H301" s="2287"/>
      <c r="I301" s="1720"/>
      <c r="J301" s="2177"/>
      <c r="K301" s="2177">
        <v>-250000</v>
      </c>
      <c r="L301" s="2177"/>
      <c r="M301" s="2177"/>
      <c r="N301" s="2177"/>
      <c r="O301" s="2177"/>
    </row>
    <row r="302" spans="4:15" ht="12.75" customHeight="1" thickBot="1" x14ac:dyDescent="0.3">
      <c r="E302" s="115" t="s">
        <v>2440</v>
      </c>
      <c r="F302" s="115"/>
      <c r="H302" s="397"/>
      <c r="J302" s="1744">
        <v>-287014</v>
      </c>
      <c r="K302" s="1744">
        <f>SUM(K297:K300)</f>
        <v>-4151000</v>
      </c>
      <c r="L302" s="1744">
        <f t="shared" ref="L302:O302" si="177">SUM(L297:L300)</f>
        <v>0</v>
      </c>
      <c r="M302" s="1744">
        <f t="shared" si="177"/>
        <v>0</v>
      </c>
      <c r="N302" s="1744">
        <f t="shared" si="177"/>
        <v>0</v>
      </c>
      <c r="O302" s="1744">
        <f t="shared" si="177"/>
        <v>0</v>
      </c>
    </row>
    <row r="303" spans="4:15" ht="12.75" customHeight="1" thickTop="1" x14ac:dyDescent="0.25">
      <c r="E303" s="401"/>
      <c r="F303" s="115"/>
      <c r="H303" s="397"/>
      <c r="J303" s="397"/>
      <c r="K303" s="397"/>
      <c r="L303" s="397"/>
      <c r="M303" s="397"/>
      <c r="N303" s="397"/>
      <c r="O303" s="397"/>
    </row>
    <row r="304" spans="4:15" ht="12.75" customHeight="1" x14ac:dyDescent="0.25">
      <c r="D304" s="393">
        <v>613015</v>
      </c>
      <c r="E304" s="561" t="s">
        <v>2441</v>
      </c>
      <c r="F304" s="115"/>
      <c r="H304" s="397"/>
      <c r="J304" s="397"/>
      <c r="K304" s="397"/>
      <c r="L304" s="397"/>
      <c r="M304" s="397"/>
      <c r="N304" s="397"/>
      <c r="O304" s="397"/>
    </row>
    <row r="305" spans="4:15" ht="12.75" customHeight="1" x14ac:dyDescent="0.25">
      <c r="D305" s="393"/>
      <c r="E305" s="383" t="s">
        <v>2442</v>
      </c>
      <c r="F305" s="115"/>
    </row>
    <row r="306" spans="4:15" ht="12.75" customHeight="1" x14ac:dyDescent="0.25">
      <c r="D306" s="143">
        <v>87100</v>
      </c>
      <c r="E306" s="115" t="s">
        <v>2406</v>
      </c>
      <c r="F306" s="115"/>
    </row>
    <row r="307" spans="4:15" ht="12.75" customHeight="1" x14ac:dyDescent="0.25">
      <c r="D307" s="115"/>
      <c r="E307" s="308" t="s">
        <v>2443</v>
      </c>
      <c r="F307" s="115"/>
      <c r="J307" s="114">
        <v>-12685</v>
      </c>
      <c r="K307" s="114">
        <v>-12683</v>
      </c>
      <c r="L307" s="114">
        <v>-8164</v>
      </c>
      <c r="M307" s="114">
        <v>-8164</v>
      </c>
      <c r="N307" s="114">
        <v>-8164</v>
      </c>
      <c r="O307" s="114">
        <v>0</v>
      </c>
    </row>
    <row r="308" spans="4:15" ht="12.75" customHeight="1" thickBot="1" x14ac:dyDescent="0.3">
      <c r="E308" s="308" t="s">
        <v>2444</v>
      </c>
      <c r="F308" s="115"/>
      <c r="J308" s="1744">
        <v>-12685</v>
      </c>
      <c r="K308" s="1744">
        <v>-12683</v>
      </c>
      <c r="L308" s="1744">
        <f t="shared" ref="L308:M308" si="178">SUM(L306:L307)</f>
        <v>-8164</v>
      </c>
      <c r="M308" s="1744">
        <f t="shared" si="178"/>
        <v>-8164</v>
      </c>
      <c r="N308" s="1744">
        <f t="shared" ref="N308:O308" si="179">SUM(N306:N307)</f>
        <v>-8164</v>
      </c>
      <c r="O308" s="1744">
        <f t="shared" si="179"/>
        <v>0</v>
      </c>
    </row>
    <row r="309" spans="4:15" ht="12.75" customHeight="1" thickTop="1" x14ac:dyDescent="0.25">
      <c r="E309" s="115"/>
      <c r="F309" s="115"/>
    </row>
    <row r="310" spans="4:15" ht="12.75" customHeight="1" x14ac:dyDescent="0.25">
      <c r="D310" s="393">
        <v>613016</v>
      </c>
      <c r="E310" s="561" t="s">
        <v>2445</v>
      </c>
      <c r="F310" s="115"/>
      <c r="H310" s="397"/>
      <c r="J310" s="397"/>
      <c r="K310" s="397"/>
      <c r="L310" s="397"/>
      <c r="M310" s="397"/>
      <c r="N310" s="397"/>
      <c r="O310" s="397"/>
    </row>
    <row r="311" spans="4:15" ht="12.75" customHeight="1" x14ac:dyDescent="0.25">
      <c r="D311" s="393"/>
      <c r="E311" s="383" t="s">
        <v>2362</v>
      </c>
      <c r="F311" s="115"/>
    </row>
    <row r="312" spans="4:15" ht="12.75" customHeight="1" x14ac:dyDescent="0.25">
      <c r="D312" s="143">
        <v>87100</v>
      </c>
      <c r="E312" s="115" t="s">
        <v>2446</v>
      </c>
      <c r="F312" s="115"/>
      <c r="J312" s="114">
        <v>0</v>
      </c>
      <c r="K312" s="114">
        <v>0</v>
      </c>
      <c r="L312" s="114">
        <v>0</v>
      </c>
      <c r="M312" s="114">
        <v>0</v>
      </c>
      <c r="N312" s="114">
        <v>0</v>
      </c>
      <c r="O312" s="114">
        <v>0</v>
      </c>
    </row>
    <row r="313" spans="4:15" ht="12.75" customHeight="1" thickBot="1" x14ac:dyDescent="0.3">
      <c r="E313" s="308" t="s">
        <v>2447</v>
      </c>
      <c r="F313" s="115"/>
      <c r="J313" s="1744">
        <v>0</v>
      </c>
      <c r="K313" s="1744">
        <v>0</v>
      </c>
      <c r="L313" s="1744">
        <f>SUM(L312:L312)</f>
        <v>0</v>
      </c>
      <c r="M313" s="1744">
        <f>SUM(M312:M312)</f>
        <v>0</v>
      </c>
      <c r="N313" s="1744">
        <f>SUM(N312:N312)</f>
        <v>0</v>
      </c>
      <c r="O313" s="1744">
        <f>SUM(O312:O312)</f>
        <v>0</v>
      </c>
    </row>
    <row r="314" spans="4:15" ht="12.75" customHeight="1" thickTop="1" x14ac:dyDescent="0.25">
      <c r="E314" s="115"/>
      <c r="F314" s="115"/>
    </row>
    <row r="315" spans="4:15" ht="12.75" customHeight="1" x14ac:dyDescent="0.25">
      <c r="D315" s="393">
        <v>613017</v>
      </c>
      <c r="E315" s="381" t="s">
        <v>2448</v>
      </c>
      <c r="F315" s="115"/>
      <c r="J315" s="383">
        <v>2025</v>
      </c>
      <c r="K315" s="1192" t="s">
        <v>189</v>
      </c>
      <c r="L315" s="1192" t="s">
        <v>190</v>
      </c>
      <c r="M315" s="1192" t="s">
        <v>191</v>
      </c>
      <c r="N315" s="1192" t="s">
        <v>192</v>
      </c>
      <c r="O315" s="1192" t="s">
        <v>5322</v>
      </c>
    </row>
    <row r="316" spans="4:15" ht="12.75" customHeight="1" x14ac:dyDescent="0.25">
      <c r="D316" s="393"/>
      <c r="E316" s="383" t="s">
        <v>2449</v>
      </c>
      <c r="F316" s="115"/>
    </row>
    <row r="317" spans="4:15" ht="12.75" customHeight="1" x14ac:dyDescent="0.25">
      <c r="D317" s="143">
        <v>87100</v>
      </c>
      <c r="E317" s="115" t="s">
        <v>2406</v>
      </c>
      <c r="F317" s="355"/>
    </row>
    <row r="318" spans="4:15" ht="12.75" customHeight="1" x14ac:dyDescent="0.25">
      <c r="D318" s="143"/>
      <c r="E318" s="115" t="s">
        <v>2450</v>
      </c>
      <c r="F318" s="115"/>
      <c r="J318" s="114">
        <v>0</v>
      </c>
      <c r="K318" s="114">
        <v>0</v>
      </c>
      <c r="L318" s="114">
        <v>0</v>
      </c>
      <c r="M318" s="114">
        <v>0</v>
      </c>
      <c r="N318" s="114">
        <v>0</v>
      </c>
      <c r="O318" s="114">
        <v>0</v>
      </c>
    </row>
    <row r="319" spans="4:15" ht="12.75" customHeight="1" x14ac:dyDescent="0.25">
      <c r="D319" s="143"/>
      <c r="E319" s="115" t="s">
        <v>2451</v>
      </c>
      <c r="F319" s="115"/>
      <c r="J319" s="114">
        <v>-12262</v>
      </c>
      <c r="K319" s="114">
        <v>-12262</v>
      </c>
      <c r="L319" s="114">
        <v>-12262</v>
      </c>
      <c r="M319" s="114">
        <v>-12262</v>
      </c>
      <c r="N319" s="114">
        <v>-12262</v>
      </c>
      <c r="O319" s="114">
        <v>0</v>
      </c>
    </row>
    <row r="320" spans="4:15" ht="12.75" customHeight="1" x14ac:dyDescent="0.25">
      <c r="D320" s="393"/>
      <c r="E320" s="383" t="s">
        <v>2452</v>
      </c>
      <c r="F320" s="381"/>
    </row>
    <row r="321" spans="4:16" ht="12.75" customHeight="1" x14ac:dyDescent="0.25">
      <c r="D321" s="143"/>
      <c r="E321" s="115" t="s">
        <v>2453</v>
      </c>
      <c r="F321" s="115"/>
      <c r="J321" s="114">
        <v>-481277</v>
      </c>
      <c r="K321" s="114">
        <v>-479159</v>
      </c>
      <c r="L321" s="114">
        <v>-479157</v>
      </c>
      <c r="M321" s="114">
        <v>-479157</v>
      </c>
      <c r="N321" s="114">
        <v>-482822</v>
      </c>
      <c r="O321" s="544">
        <v>0</v>
      </c>
    </row>
    <row r="322" spans="4:16" ht="12.75" customHeight="1" x14ac:dyDescent="0.25">
      <c r="D322" s="143"/>
      <c r="E322" s="308" t="s">
        <v>2454</v>
      </c>
      <c r="F322" s="115"/>
      <c r="J322" s="114">
        <v>0</v>
      </c>
      <c r="K322" s="114">
        <v>0</v>
      </c>
      <c r="L322" s="114">
        <v>0</v>
      </c>
      <c r="M322" s="114">
        <v>0</v>
      </c>
      <c r="N322" s="114">
        <v>0</v>
      </c>
      <c r="O322" s="114">
        <v>0</v>
      </c>
      <c r="P322" s="308" t="s">
        <v>2455</v>
      </c>
    </row>
    <row r="323" spans="4:16" ht="12.75" customHeight="1" x14ac:dyDescent="0.25">
      <c r="D323" s="143"/>
      <c r="E323" s="308" t="s">
        <v>2456</v>
      </c>
      <c r="F323" s="115"/>
      <c r="J323" s="114">
        <v>-23984</v>
      </c>
      <c r="K323" s="114">
        <v>-72819</v>
      </c>
      <c r="L323" s="114">
        <v>-72819</v>
      </c>
      <c r="M323" s="114">
        <v>-72819</v>
      </c>
      <c r="N323" s="114">
        <v>-259615</v>
      </c>
      <c r="O323" s="544">
        <v>0</v>
      </c>
      <c r="P323" s="308"/>
    </row>
    <row r="324" spans="4:16" ht="12.75" customHeight="1" x14ac:dyDescent="0.25">
      <c r="D324" s="143"/>
      <c r="E324" s="336" t="s">
        <v>2457</v>
      </c>
      <c r="F324" s="115"/>
      <c r="J324" s="114">
        <v>0</v>
      </c>
      <c r="K324" s="114">
        <v>-230000</v>
      </c>
      <c r="L324" s="114">
        <v>-655000</v>
      </c>
      <c r="M324" s="114">
        <v>0</v>
      </c>
      <c r="N324" s="114">
        <v>0</v>
      </c>
      <c r="O324" s="114">
        <v>0</v>
      </c>
      <c r="P324" s="308"/>
    </row>
    <row r="325" spans="4:16" ht="12.75" customHeight="1" thickBot="1" x14ac:dyDescent="0.3">
      <c r="E325" s="308" t="s">
        <v>2458</v>
      </c>
      <c r="F325" s="115"/>
      <c r="J325" s="1744">
        <f t="shared" ref="J325:O325" si="180">SUM(J318:J324)</f>
        <v>-517523</v>
      </c>
      <c r="K325" s="1744">
        <f t="shared" si="180"/>
        <v>-794240</v>
      </c>
      <c r="L325" s="1744">
        <f t="shared" si="180"/>
        <v>-1219238</v>
      </c>
      <c r="M325" s="1744">
        <f t="shared" si="180"/>
        <v>-564238</v>
      </c>
      <c r="N325" s="1744">
        <f t="shared" si="180"/>
        <v>-754699</v>
      </c>
      <c r="O325" s="1744">
        <f t="shared" si="180"/>
        <v>0</v>
      </c>
    </row>
    <row r="326" spans="4:16" ht="12.75" customHeight="1" thickTop="1" x14ac:dyDescent="0.25">
      <c r="E326" s="115"/>
      <c r="F326" s="115"/>
    </row>
    <row r="327" spans="4:16" ht="12.75" customHeight="1" x14ac:dyDescent="0.25">
      <c r="D327" s="393">
        <v>613017</v>
      </c>
      <c r="E327" s="381" t="s">
        <v>2448</v>
      </c>
      <c r="F327" s="115"/>
    </row>
    <row r="328" spans="4:16" ht="12.75" customHeight="1" x14ac:dyDescent="0.25">
      <c r="D328" s="393"/>
      <c r="E328" s="383" t="s">
        <v>2452</v>
      </c>
      <c r="F328" s="115"/>
      <c r="H328" s="114"/>
      <c r="J328" s="114"/>
      <c r="K328" s="114"/>
      <c r="L328" s="114"/>
      <c r="M328" s="114"/>
      <c r="N328" s="114"/>
      <c r="O328" s="114"/>
    </row>
    <row r="329" spans="4:16" ht="12.75" customHeight="1" x14ac:dyDescent="0.25">
      <c r="D329" s="1723">
        <v>47100</v>
      </c>
      <c r="E329" s="1720" t="s">
        <v>5320</v>
      </c>
      <c r="F329" s="1720"/>
      <c r="G329" s="1720"/>
      <c r="H329" s="1720"/>
      <c r="I329" s="1720"/>
      <c r="J329" s="2177">
        <v>0</v>
      </c>
      <c r="K329" s="2177">
        <v>315000</v>
      </c>
      <c r="L329" s="2177">
        <v>0</v>
      </c>
      <c r="M329" s="2177">
        <v>0</v>
      </c>
      <c r="N329" s="2177">
        <v>0</v>
      </c>
      <c r="O329" s="2177">
        <v>0</v>
      </c>
    </row>
    <row r="330" spans="4:16" ht="12.75" customHeight="1" x14ac:dyDescent="0.25">
      <c r="D330" s="143">
        <v>47100</v>
      </c>
      <c r="E330" s="115" t="s">
        <v>2459</v>
      </c>
      <c r="F330" s="115"/>
      <c r="H330" s="114"/>
      <c r="J330" s="114">
        <v>0</v>
      </c>
      <c r="K330" s="114">
        <v>0</v>
      </c>
      <c r="L330" s="114">
        <v>0</v>
      </c>
      <c r="M330" s="114">
        <v>0</v>
      </c>
      <c r="N330" s="114">
        <v>0</v>
      </c>
      <c r="O330" s="114">
        <v>0</v>
      </c>
    </row>
    <row r="331" spans="4:16" ht="12.75" customHeight="1" thickBot="1" x14ac:dyDescent="0.3">
      <c r="E331" s="308" t="s">
        <v>2460</v>
      </c>
      <c r="F331" s="115"/>
      <c r="H331" s="114"/>
      <c r="J331" s="1744">
        <f>SUM(J329:J330)</f>
        <v>0</v>
      </c>
      <c r="K331" s="1744">
        <f t="shared" ref="K331:O331" si="181">SUM(K329:K330)</f>
        <v>315000</v>
      </c>
      <c r="L331" s="1744">
        <f t="shared" si="181"/>
        <v>0</v>
      </c>
      <c r="M331" s="1744">
        <f t="shared" si="181"/>
        <v>0</v>
      </c>
      <c r="N331" s="1744">
        <f t="shared" si="181"/>
        <v>0</v>
      </c>
      <c r="O331" s="1744">
        <f t="shared" si="181"/>
        <v>0</v>
      </c>
    </row>
    <row r="332" spans="4:16" ht="12.75" customHeight="1" thickTop="1" x14ac:dyDescent="0.25">
      <c r="E332" s="115"/>
      <c r="F332" s="115"/>
      <c r="H332" s="114"/>
    </row>
    <row r="333" spans="4:16" ht="12.75" customHeight="1" x14ac:dyDescent="0.25">
      <c r="D333" s="393">
        <v>613018</v>
      </c>
      <c r="E333" s="381" t="s">
        <v>2461</v>
      </c>
      <c r="F333" s="115"/>
      <c r="H333" s="114"/>
    </row>
    <row r="334" spans="4:16" ht="12.75" customHeight="1" x14ac:dyDescent="0.25">
      <c r="D334" s="393"/>
      <c r="E334" s="383" t="s">
        <v>2462</v>
      </c>
      <c r="F334" s="115"/>
      <c r="H334" s="114"/>
    </row>
    <row r="335" spans="4:16" ht="12.75" customHeight="1" x14ac:dyDescent="0.25">
      <c r="D335" s="143">
        <v>87100</v>
      </c>
      <c r="E335" s="115" t="s">
        <v>2463</v>
      </c>
      <c r="F335" s="115"/>
      <c r="H335" s="114"/>
    </row>
    <row r="336" spans="4:16" ht="12.75" customHeight="1" x14ac:dyDescent="0.25">
      <c r="E336" s="115" t="s">
        <v>2464</v>
      </c>
      <c r="F336" s="115"/>
      <c r="H336" s="114"/>
      <c r="J336" s="114">
        <v>-31806</v>
      </c>
      <c r="K336" s="114">
        <v>-31806</v>
      </c>
      <c r="L336" s="114">
        <v>-31806</v>
      </c>
      <c r="M336" s="114">
        <v>-31806</v>
      </c>
      <c r="N336" s="114">
        <v>-31806</v>
      </c>
      <c r="O336" s="114">
        <v>0</v>
      </c>
    </row>
    <row r="337" spans="4:16" ht="12.75" customHeight="1" thickBot="1" x14ac:dyDescent="0.3">
      <c r="E337" s="115" t="s">
        <v>2465</v>
      </c>
      <c r="F337" s="115"/>
      <c r="H337" s="114"/>
      <c r="J337" s="1744">
        <v>-31806</v>
      </c>
      <c r="K337" s="1744">
        <v>-31806</v>
      </c>
      <c r="L337" s="1744">
        <f t="shared" ref="L337:M337" si="182">SUM(L335:L336)</f>
        <v>-31806</v>
      </c>
      <c r="M337" s="1744">
        <f t="shared" si="182"/>
        <v>-31806</v>
      </c>
      <c r="N337" s="1744">
        <f t="shared" ref="N337:O337" si="183">SUM(N335:N336)</f>
        <v>-31806</v>
      </c>
      <c r="O337" s="1744">
        <f t="shared" si="183"/>
        <v>0</v>
      </c>
    </row>
    <row r="338" spans="4:16" ht="12.75" customHeight="1" thickTop="1" x14ac:dyDescent="0.25">
      <c r="E338" s="115"/>
      <c r="F338" s="115"/>
    </row>
    <row r="339" spans="4:16" ht="12.75" customHeight="1" x14ac:dyDescent="0.25">
      <c r="D339" s="393">
        <v>613022</v>
      </c>
      <c r="E339" s="381" t="s">
        <v>2466</v>
      </c>
      <c r="F339" s="115"/>
    </row>
    <row r="340" spans="4:16" ht="12.75" customHeight="1" x14ac:dyDescent="0.25">
      <c r="D340" s="393"/>
      <c r="E340" s="383" t="s">
        <v>2467</v>
      </c>
      <c r="F340" s="115"/>
    </row>
    <row r="341" spans="4:16" ht="12.75" customHeight="1" x14ac:dyDescent="0.25">
      <c r="D341" s="143">
        <v>87100</v>
      </c>
      <c r="E341" s="115" t="s">
        <v>2468</v>
      </c>
      <c r="F341" s="115"/>
      <c r="J341" s="115">
        <v>0</v>
      </c>
      <c r="K341" s="115">
        <v>0</v>
      </c>
      <c r="L341" s="115">
        <v>0</v>
      </c>
      <c r="M341" s="115">
        <v>0</v>
      </c>
      <c r="N341" s="115">
        <v>0</v>
      </c>
      <c r="O341" s="115">
        <v>0</v>
      </c>
    </row>
    <row r="342" spans="4:16" ht="12.75" customHeight="1" thickBot="1" x14ac:dyDescent="0.3">
      <c r="E342" s="115" t="s">
        <v>2469</v>
      </c>
      <c r="F342" s="115"/>
      <c r="J342" s="1744">
        <v>0</v>
      </c>
      <c r="K342" s="1744">
        <v>0</v>
      </c>
      <c r="L342" s="1744">
        <f>SUM(L341:L341)</f>
        <v>0</v>
      </c>
      <c r="M342" s="1744">
        <f>SUM(M341:M341)</f>
        <v>0</v>
      </c>
      <c r="N342" s="1744">
        <f>SUM(N341:N341)</f>
        <v>0</v>
      </c>
      <c r="O342" s="1744">
        <f>SUM(O341:O341)</f>
        <v>0</v>
      </c>
    </row>
    <row r="343" spans="4:16" ht="12.75" customHeight="1" thickTop="1" x14ac:dyDescent="0.25">
      <c r="E343" s="115"/>
      <c r="F343" s="115"/>
    </row>
    <row r="344" spans="4:16" ht="12.75" customHeight="1" x14ac:dyDescent="0.25">
      <c r="D344" s="393">
        <v>613027</v>
      </c>
      <c r="E344" s="381" t="s">
        <v>2470</v>
      </c>
      <c r="F344" s="115"/>
    </row>
    <row r="345" spans="4:16" ht="12.75" customHeight="1" x14ac:dyDescent="0.25">
      <c r="D345" s="393"/>
      <c r="E345" s="383" t="s">
        <v>2471</v>
      </c>
      <c r="F345" s="115"/>
    </row>
    <row r="346" spans="4:16" ht="12.75" customHeight="1" x14ac:dyDescent="0.25">
      <c r="D346" s="143">
        <v>87100</v>
      </c>
      <c r="E346" s="115" t="s">
        <v>2472</v>
      </c>
      <c r="F346" s="115"/>
    </row>
    <row r="347" spans="4:16" ht="12.75" customHeight="1" x14ac:dyDescent="0.25">
      <c r="E347" s="115" t="s">
        <v>2473</v>
      </c>
      <c r="F347" s="115"/>
      <c r="J347" s="114">
        <v>-19798</v>
      </c>
      <c r="K347" s="114">
        <v>-19799</v>
      </c>
      <c r="L347" s="114">
        <v>-19799</v>
      </c>
      <c r="M347" s="114">
        <v>-19799</v>
      </c>
      <c r="N347" s="114">
        <v>-19799</v>
      </c>
      <c r="O347" s="114">
        <v>0</v>
      </c>
    </row>
    <row r="348" spans="4:16" ht="12.75" customHeight="1" x14ac:dyDescent="0.25">
      <c r="E348" s="115" t="s">
        <v>2474</v>
      </c>
      <c r="F348" s="115"/>
      <c r="J348" s="114">
        <v>-21085</v>
      </c>
      <c r="K348" s="114">
        <v>-21085</v>
      </c>
      <c r="L348" s="114">
        <v>-21085</v>
      </c>
      <c r="M348" s="114">
        <v>-21085</v>
      </c>
      <c r="N348" s="114">
        <v>-21085</v>
      </c>
      <c r="O348" s="114">
        <v>0</v>
      </c>
    </row>
    <row r="349" spans="4:16" ht="12.75" customHeight="1" x14ac:dyDescent="0.25">
      <c r="E349" s="115" t="s">
        <v>2475</v>
      </c>
      <c r="F349" s="115"/>
      <c r="J349" s="114">
        <v>-5121</v>
      </c>
      <c r="K349" s="114">
        <v>-5122</v>
      </c>
      <c r="L349" s="114">
        <v>-5122</v>
      </c>
      <c r="M349" s="114">
        <v>-5122</v>
      </c>
      <c r="N349" s="114">
        <v>-5122</v>
      </c>
      <c r="O349" s="114">
        <v>0</v>
      </c>
    </row>
    <row r="350" spans="4:16" ht="12.75" customHeight="1" x14ac:dyDescent="0.25">
      <c r="E350" s="115" t="s">
        <v>2476</v>
      </c>
      <c r="F350" s="115"/>
      <c r="J350" s="114">
        <v>-55219</v>
      </c>
      <c r="K350" s="114">
        <v>-55220</v>
      </c>
      <c r="L350" s="114">
        <v>-55220</v>
      </c>
      <c r="M350" s="114">
        <v>-55220</v>
      </c>
      <c r="N350" s="114">
        <v>-55220</v>
      </c>
      <c r="O350" s="114">
        <v>0</v>
      </c>
    </row>
    <row r="351" spans="4:16" ht="12.75" customHeight="1" x14ac:dyDescent="0.25">
      <c r="E351" s="115" t="s">
        <v>2477</v>
      </c>
      <c r="F351" s="115"/>
      <c r="J351" s="114">
        <v>-165547</v>
      </c>
      <c r="K351" s="114">
        <v>-165546</v>
      </c>
      <c r="L351" s="114">
        <v>-165546</v>
      </c>
      <c r="M351" s="114">
        <v>-165546</v>
      </c>
      <c r="N351" s="114">
        <v>-165546</v>
      </c>
      <c r="O351" s="114">
        <v>0</v>
      </c>
      <c r="P351" s="115" t="s">
        <v>2478</v>
      </c>
    </row>
    <row r="352" spans="4:16" ht="12.75" customHeight="1" x14ac:dyDescent="0.25">
      <c r="E352" s="115" t="s">
        <v>2479</v>
      </c>
      <c r="F352" s="115"/>
      <c r="J352" s="114">
        <v>-11858</v>
      </c>
      <c r="K352" s="114">
        <v>-11858</v>
      </c>
      <c r="L352" s="114">
        <v>-11858</v>
      </c>
      <c r="M352" s="114">
        <v>-11858</v>
      </c>
      <c r="N352" s="114">
        <v>-11858</v>
      </c>
      <c r="O352" s="114">
        <v>0</v>
      </c>
    </row>
    <row r="353" spans="4:15" ht="12.75" customHeight="1" x14ac:dyDescent="0.25">
      <c r="D353" s="143">
        <v>87100</v>
      </c>
      <c r="E353" s="115" t="s">
        <v>2480</v>
      </c>
      <c r="F353" s="115"/>
      <c r="J353" s="114"/>
      <c r="K353" s="114"/>
      <c r="L353" s="114"/>
      <c r="M353" s="114"/>
      <c r="N353" s="114"/>
      <c r="O353" s="114"/>
    </row>
    <row r="354" spans="4:15" ht="12.75" customHeight="1" x14ac:dyDescent="0.25">
      <c r="D354" s="143"/>
      <c r="E354" s="398" t="s">
        <v>2481</v>
      </c>
      <c r="F354" s="115"/>
      <c r="J354" s="114">
        <v>-29495</v>
      </c>
      <c r="K354" s="114">
        <v>-29495</v>
      </c>
      <c r="L354" s="114">
        <v>-29495</v>
      </c>
      <c r="M354" s="114">
        <v>-29495</v>
      </c>
      <c r="N354" s="114">
        <v>-29495</v>
      </c>
      <c r="O354" s="114">
        <v>0</v>
      </c>
    </row>
    <row r="355" spans="4:15" ht="12.75" customHeight="1" x14ac:dyDescent="0.25">
      <c r="D355" s="143"/>
      <c r="E355" s="398" t="s">
        <v>2482</v>
      </c>
      <c r="F355" s="115"/>
      <c r="J355" s="114">
        <v>-31045</v>
      </c>
      <c r="K355" s="114">
        <v>-31046</v>
      </c>
      <c r="L355" s="114">
        <v>-31046</v>
      </c>
      <c r="M355" s="114">
        <v>-31046</v>
      </c>
      <c r="N355" s="114">
        <v>-31046</v>
      </c>
      <c r="O355" s="114">
        <v>0</v>
      </c>
    </row>
    <row r="356" spans="4:15" ht="12.75" customHeight="1" x14ac:dyDescent="0.25">
      <c r="D356" s="143"/>
      <c r="E356" s="398" t="s">
        <v>2483</v>
      </c>
      <c r="F356" s="115"/>
      <c r="J356" s="114">
        <v>-57481</v>
      </c>
      <c r="K356" s="114">
        <v>-57481</v>
      </c>
      <c r="L356" s="114">
        <v>-57481</v>
      </c>
      <c r="M356" s="114">
        <v>-57481</v>
      </c>
      <c r="N356" s="114">
        <v>-57481</v>
      </c>
      <c r="O356" s="114">
        <v>0</v>
      </c>
    </row>
    <row r="357" spans="4:15" ht="12.75" customHeight="1" x14ac:dyDescent="0.25">
      <c r="D357" s="143"/>
      <c r="E357" s="398" t="s">
        <v>2484</v>
      </c>
      <c r="F357" s="115"/>
      <c r="J357" s="114">
        <v>-4637</v>
      </c>
      <c r="K357" s="114">
        <v>-4637</v>
      </c>
      <c r="L357" s="114">
        <v>-4637</v>
      </c>
      <c r="M357" s="114">
        <v>-4637</v>
      </c>
      <c r="N357" s="114">
        <v>-4637</v>
      </c>
      <c r="O357" s="114">
        <v>0</v>
      </c>
    </row>
    <row r="358" spans="4:15" ht="12.75" customHeight="1" x14ac:dyDescent="0.25">
      <c r="D358" s="393"/>
      <c r="E358" s="115" t="s">
        <v>2485</v>
      </c>
      <c r="F358" s="115"/>
      <c r="J358" s="114">
        <v>-2248</v>
      </c>
      <c r="K358" s="114">
        <v>-2248</v>
      </c>
      <c r="L358" s="114">
        <v>-2248</v>
      </c>
      <c r="M358" s="114">
        <v>-2248</v>
      </c>
      <c r="N358" s="114">
        <v>-2248</v>
      </c>
      <c r="O358" s="114">
        <v>0</v>
      </c>
    </row>
    <row r="359" spans="4:15" ht="12.75" customHeight="1" x14ac:dyDescent="0.25">
      <c r="D359" s="393"/>
      <c r="E359" s="114" t="s">
        <v>2486</v>
      </c>
      <c r="F359" s="115"/>
      <c r="J359" s="114">
        <v>-24000</v>
      </c>
      <c r="K359" s="114">
        <v>-24000</v>
      </c>
      <c r="L359" s="114">
        <v>-24000</v>
      </c>
      <c r="M359" s="114">
        <v>-24000</v>
      </c>
      <c r="N359" s="114">
        <v>-24000</v>
      </c>
      <c r="O359" s="114">
        <v>0</v>
      </c>
    </row>
    <row r="360" spans="4:15" ht="12.75" customHeight="1" thickBot="1" x14ac:dyDescent="0.3">
      <c r="E360" s="115" t="s">
        <v>2487</v>
      </c>
      <c r="F360" s="115"/>
      <c r="J360" s="1744">
        <v>-427534</v>
      </c>
      <c r="K360" s="1744">
        <v>-427537</v>
      </c>
      <c r="L360" s="1744">
        <f>SUM(L346:L359)</f>
        <v>-427537</v>
      </c>
      <c r="M360" s="1744">
        <f>SUM(M346:M359)</f>
        <v>-427537</v>
      </c>
      <c r="N360" s="1744">
        <f>SUM(N346:N359)</f>
        <v>-427537</v>
      </c>
      <c r="O360" s="1744">
        <f>SUM(O346:O359)</f>
        <v>0</v>
      </c>
    </row>
    <row r="361" spans="4:15" ht="12.75" customHeight="1" thickTop="1" x14ac:dyDescent="0.25">
      <c r="E361" s="115"/>
      <c r="F361" s="115"/>
    </row>
    <row r="362" spans="4:15" ht="12.75" customHeight="1" x14ac:dyDescent="0.25">
      <c r="D362" s="393">
        <v>613028</v>
      </c>
      <c r="E362" s="381" t="s">
        <v>2488</v>
      </c>
      <c r="F362" s="115"/>
    </row>
    <row r="363" spans="4:15" ht="12.75" customHeight="1" x14ac:dyDescent="0.25">
      <c r="D363" s="393"/>
      <c r="E363" s="383" t="s">
        <v>2489</v>
      </c>
      <c r="F363" s="115"/>
    </row>
    <row r="364" spans="4:15" ht="12.75" customHeight="1" x14ac:dyDescent="0.25">
      <c r="D364" s="143">
        <v>87100</v>
      </c>
      <c r="E364" s="115" t="s">
        <v>2490</v>
      </c>
      <c r="F364" s="115"/>
      <c r="H364" s="304" t="s">
        <v>2491</v>
      </c>
    </row>
    <row r="365" spans="4:15" ht="12.75" customHeight="1" x14ac:dyDescent="0.25">
      <c r="E365" s="115" t="s">
        <v>2492</v>
      </c>
      <c r="F365" s="115"/>
      <c r="H365" s="114"/>
      <c r="J365" s="114">
        <v>-7161</v>
      </c>
      <c r="K365" s="114">
        <v>-7161</v>
      </c>
      <c r="L365" s="114">
        <v>-7161</v>
      </c>
      <c r="M365" s="114">
        <v>-7161</v>
      </c>
      <c r="N365" s="114">
        <v>-7161</v>
      </c>
      <c r="O365" s="114">
        <v>0</v>
      </c>
    </row>
    <row r="366" spans="4:15" ht="12.75" customHeight="1" x14ac:dyDescent="0.25">
      <c r="E366" s="115" t="s">
        <v>2493</v>
      </c>
      <c r="F366" s="115"/>
      <c r="H366" s="114"/>
      <c r="J366" s="114">
        <v>-6358</v>
      </c>
      <c r="K366" s="114">
        <v>-6359</v>
      </c>
      <c r="L366" s="114">
        <v>-6359</v>
      </c>
      <c r="M366" s="114">
        <v>-6359</v>
      </c>
      <c r="N366" s="114">
        <v>-6359</v>
      </c>
      <c r="O366" s="114">
        <v>0</v>
      </c>
    </row>
    <row r="367" spans="4:15" ht="12.75" customHeight="1" x14ac:dyDescent="0.25">
      <c r="E367" s="115" t="s">
        <v>2494</v>
      </c>
      <c r="F367" s="115"/>
      <c r="H367" s="114"/>
      <c r="J367" s="114">
        <v>-1656</v>
      </c>
      <c r="K367" s="114">
        <v>-1656</v>
      </c>
      <c r="L367" s="114">
        <v>-1656</v>
      </c>
      <c r="M367" s="114">
        <v>-1656</v>
      </c>
      <c r="N367" s="114">
        <v>-1656</v>
      </c>
      <c r="O367" s="114">
        <v>0</v>
      </c>
    </row>
    <row r="368" spans="4:15" ht="12.75" customHeight="1" thickBot="1" x14ac:dyDescent="0.3">
      <c r="E368" s="115" t="s">
        <v>2495</v>
      </c>
      <c r="F368" s="115"/>
      <c r="H368" s="114"/>
      <c r="J368" s="1744">
        <v>-15175</v>
      </c>
      <c r="K368" s="1744">
        <v>-15176</v>
      </c>
      <c r="L368" s="1744">
        <f t="shared" ref="L368:M368" si="184">SUM(L364:L367)</f>
        <v>-15176</v>
      </c>
      <c r="M368" s="1744">
        <f t="shared" si="184"/>
        <v>-15176</v>
      </c>
      <c r="N368" s="1744">
        <f t="shared" ref="N368:O368" si="185">SUM(N364:N367)</f>
        <v>-15176</v>
      </c>
      <c r="O368" s="1744">
        <f t="shared" si="185"/>
        <v>0</v>
      </c>
    </row>
    <row r="369" spans="4:16" ht="12.75" customHeight="1" thickTop="1" x14ac:dyDescent="0.25">
      <c r="E369" s="115"/>
      <c r="F369" s="115"/>
      <c r="H369" s="114"/>
      <c r="J369" s="114"/>
      <c r="K369" s="114"/>
      <c r="L369" s="114"/>
      <c r="M369" s="114"/>
      <c r="N369" s="114"/>
      <c r="O369" s="114"/>
    </row>
    <row r="370" spans="4:16" ht="12.75" customHeight="1" x14ac:dyDescent="0.25">
      <c r="D370" s="393">
        <v>613030</v>
      </c>
      <c r="E370" s="381" t="s">
        <v>2496</v>
      </c>
      <c r="F370" s="115"/>
      <c r="H370" s="114"/>
      <c r="J370" s="114"/>
      <c r="K370" s="114"/>
      <c r="L370" s="114"/>
      <c r="M370" s="114"/>
      <c r="N370" s="114"/>
      <c r="O370" s="114"/>
    </row>
    <row r="371" spans="4:16" ht="12.75" customHeight="1" x14ac:dyDescent="0.25">
      <c r="D371" s="393"/>
      <c r="E371" s="383" t="s">
        <v>2497</v>
      </c>
      <c r="F371" s="115"/>
      <c r="H371" s="114"/>
      <c r="J371" s="114"/>
      <c r="K371" s="114"/>
      <c r="L371" s="114"/>
      <c r="M371" s="114"/>
      <c r="N371" s="114"/>
      <c r="O371" s="114"/>
    </row>
    <row r="372" spans="4:16" ht="12.75" customHeight="1" x14ac:dyDescent="0.25">
      <c r="D372" s="143">
        <v>47100</v>
      </c>
      <c r="E372" s="115" t="s">
        <v>2498</v>
      </c>
      <c r="F372" s="115"/>
      <c r="H372" s="114"/>
      <c r="J372" s="114"/>
      <c r="K372" s="114"/>
      <c r="L372" s="114"/>
      <c r="M372" s="114"/>
      <c r="N372" s="114"/>
      <c r="O372" s="114"/>
    </row>
    <row r="373" spans="4:16" ht="12.75" customHeight="1" x14ac:dyDescent="0.25">
      <c r="D373" s="143"/>
      <c r="E373" s="115" t="s">
        <v>2499</v>
      </c>
      <c r="F373" s="115"/>
      <c r="H373" s="114"/>
      <c r="J373" s="114">
        <v>0</v>
      </c>
      <c r="K373" s="114">
        <v>0</v>
      </c>
      <c r="L373" s="114">
        <v>0</v>
      </c>
      <c r="M373" s="114">
        <v>0</v>
      </c>
      <c r="N373" s="114">
        <v>0</v>
      </c>
      <c r="O373" s="114">
        <v>0</v>
      </c>
    </row>
    <row r="374" spans="4:16" ht="12.75" customHeight="1" x14ac:dyDescent="0.25">
      <c r="E374" s="115" t="s">
        <v>2500</v>
      </c>
      <c r="F374" s="115"/>
      <c r="H374" s="114"/>
      <c r="J374" s="114">
        <v>0</v>
      </c>
      <c r="K374" s="114">
        <v>0</v>
      </c>
      <c r="L374" s="114">
        <v>0</v>
      </c>
      <c r="M374" s="114">
        <v>0</v>
      </c>
      <c r="N374" s="114">
        <v>0</v>
      </c>
      <c r="O374" s="114">
        <v>0</v>
      </c>
    </row>
    <row r="375" spans="4:16" ht="12.75" customHeight="1" x14ac:dyDescent="0.25">
      <c r="D375" s="143"/>
      <c r="E375" s="115" t="s">
        <v>2501</v>
      </c>
      <c r="F375" s="115"/>
      <c r="H375" s="114"/>
      <c r="J375" s="114">
        <v>0</v>
      </c>
      <c r="K375" s="114">
        <v>0</v>
      </c>
      <c r="L375" s="114">
        <v>0</v>
      </c>
      <c r="M375" s="114">
        <v>0</v>
      </c>
      <c r="N375" s="114">
        <v>0</v>
      </c>
      <c r="O375" s="114">
        <v>0</v>
      </c>
    </row>
    <row r="376" spans="4:16" ht="12.75" customHeight="1" thickBot="1" x14ac:dyDescent="0.3">
      <c r="E376" s="115" t="s">
        <v>2502</v>
      </c>
      <c r="F376" s="115"/>
      <c r="H376" s="114"/>
      <c r="J376" s="1744">
        <v>0</v>
      </c>
      <c r="K376" s="1744">
        <v>0</v>
      </c>
      <c r="L376" s="1744">
        <f>SUM(L372:L375)</f>
        <v>0</v>
      </c>
      <c r="M376" s="1744">
        <f>SUM(M372:M375)</f>
        <v>0</v>
      </c>
      <c r="N376" s="1744">
        <f>SUM(N372:N375)</f>
        <v>0</v>
      </c>
      <c r="O376" s="1744">
        <f>SUM(O372:O375)</f>
        <v>0</v>
      </c>
    </row>
    <row r="377" spans="4:16" ht="12.75" customHeight="1" thickTop="1" x14ac:dyDescent="0.25">
      <c r="E377" s="115"/>
      <c r="F377" s="115"/>
      <c r="H377" s="114"/>
      <c r="J377" s="114"/>
      <c r="K377" s="114"/>
      <c r="L377" s="114"/>
      <c r="M377" s="114"/>
      <c r="N377" s="114"/>
      <c r="O377" s="114"/>
    </row>
    <row r="378" spans="4:16" ht="12.75" customHeight="1" x14ac:dyDescent="0.25">
      <c r="D378" s="393">
        <v>613030</v>
      </c>
      <c r="E378" s="381" t="s">
        <v>2496</v>
      </c>
      <c r="F378" s="115"/>
      <c r="H378" s="114"/>
      <c r="J378" s="114"/>
      <c r="K378" s="114"/>
      <c r="L378" s="114"/>
      <c r="M378" s="114"/>
      <c r="N378" s="114"/>
      <c r="O378" s="114"/>
    </row>
    <row r="379" spans="4:16" ht="12.75" customHeight="1" x14ac:dyDescent="0.25">
      <c r="D379" s="393"/>
      <c r="E379" s="383" t="s">
        <v>2497</v>
      </c>
      <c r="F379" s="115"/>
      <c r="H379" s="114"/>
      <c r="J379" s="114"/>
      <c r="K379" s="114"/>
      <c r="L379" s="114"/>
      <c r="M379" s="114"/>
      <c r="N379" s="114"/>
      <c r="O379" s="114"/>
    </row>
    <row r="380" spans="4:16" ht="12.75" customHeight="1" x14ac:dyDescent="0.25">
      <c r="D380" s="143">
        <v>87100</v>
      </c>
      <c r="E380" s="115" t="s">
        <v>2503</v>
      </c>
      <c r="F380" s="115"/>
      <c r="H380" s="114"/>
      <c r="J380" s="114"/>
      <c r="K380" s="114"/>
      <c r="L380" s="114"/>
      <c r="M380" s="114"/>
      <c r="N380" s="114"/>
      <c r="O380" s="114"/>
    </row>
    <row r="381" spans="4:16" ht="12.75" customHeight="1" x14ac:dyDescent="0.25">
      <c r="E381" s="115" t="s">
        <v>2504</v>
      </c>
      <c r="F381" s="115"/>
      <c r="H381" s="114"/>
      <c r="J381" s="114">
        <v>-7348</v>
      </c>
      <c r="K381" s="114">
        <v>-7348</v>
      </c>
      <c r="L381" s="114">
        <v>-7348</v>
      </c>
      <c r="M381" s="114">
        <v>-7348</v>
      </c>
      <c r="N381" s="114">
        <v>-7348</v>
      </c>
      <c r="O381" s="114">
        <v>0</v>
      </c>
    </row>
    <row r="382" spans="4:16" ht="12.75" customHeight="1" x14ac:dyDescent="0.25">
      <c r="E382" s="115" t="s">
        <v>2505</v>
      </c>
      <c r="F382" s="115"/>
      <c r="H382" s="114"/>
      <c r="J382" s="114">
        <v>-29298</v>
      </c>
      <c r="K382" s="114">
        <v>-29298</v>
      </c>
      <c r="L382" s="114">
        <v>-29298</v>
      </c>
      <c r="M382" s="114">
        <v>-29297</v>
      </c>
      <c r="N382" s="114">
        <v>-17387</v>
      </c>
      <c r="O382" s="544">
        <v>0</v>
      </c>
      <c r="P382" s="115" t="s">
        <v>2506</v>
      </c>
    </row>
    <row r="383" spans="4:16" ht="12.75" customHeight="1" x14ac:dyDescent="0.25">
      <c r="E383" s="115" t="s">
        <v>2507</v>
      </c>
      <c r="F383" s="115"/>
      <c r="H383" s="114"/>
      <c r="J383" s="114"/>
      <c r="K383" s="114"/>
      <c r="L383" s="114"/>
      <c r="M383" s="114"/>
      <c r="N383" s="114"/>
      <c r="O383" s="114"/>
    </row>
    <row r="384" spans="4:16" ht="12.75" customHeight="1" x14ac:dyDescent="0.25">
      <c r="E384" s="115" t="s">
        <v>2508</v>
      </c>
      <c r="F384" s="115"/>
      <c r="H384" s="114"/>
      <c r="J384" s="394">
        <v>-47282</v>
      </c>
      <c r="K384" s="394">
        <v>-49974</v>
      </c>
      <c r="L384" s="394">
        <v>-49974</v>
      </c>
      <c r="M384" s="394">
        <v>-49974</v>
      </c>
      <c r="N384" s="394">
        <v>-49974</v>
      </c>
      <c r="O384" s="394">
        <v>0</v>
      </c>
    </row>
    <row r="385" spans="4:17" ht="12.75" customHeight="1" x14ac:dyDescent="0.25">
      <c r="E385" s="115" t="s">
        <v>2509</v>
      </c>
      <c r="F385" s="115"/>
      <c r="H385" s="114"/>
      <c r="J385" s="114">
        <v>0</v>
      </c>
      <c r="K385" s="114">
        <v>0</v>
      </c>
      <c r="L385" s="114">
        <v>0</v>
      </c>
      <c r="M385" s="114">
        <v>0</v>
      </c>
      <c r="N385" s="114">
        <v>0</v>
      </c>
      <c r="O385" s="114">
        <v>0</v>
      </c>
    </row>
    <row r="386" spans="4:17" ht="12.75" customHeight="1" x14ac:dyDescent="0.25">
      <c r="D386" s="143">
        <v>87100</v>
      </c>
      <c r="E386" s="115" t="s">
        <v>2510</v>
      </c>
      <c r="F386" s="115"/>
      <c r="H386" s="114"/>
      <c r="J386" s="114"/>
      <c r="K386" s="114"/>
      <c r="L386" s="114"/>
      <c r="M386" s="114"/>
      <c r="N386" s="114"/>
      <c r="O386" s="114"/>
    </row>
    <row r="387" spans="4:17" ht="12.75" customHeight="1" x14ac:dyDescent="0.25">
      <c r="E387" s="308" t="s">
        <v>2511</v>
      </c>
      <c r="F387" s="115"/>
      <c r="H387" s="114"/>
      <c r="J387" s="114">
        <v>-31132</v>
      </c>
      <c r="K387" s="114">
        <v>-31132</v>
      </c>
      <c r="L387" s="114">
        <v>0</v>
      </c>
      <c r="M387" s="114">
        <v>0</v>
      </c>
      <c r="N387" s="114">
        <v>0</v>
      </c>
      <c r="O387" s="114">
        <v>0</v>
      </c>
      <c r="P387" s="115" t="s">
        <v>2512</v>
      </c>
    </row>
    <row r="388" spans="4:17" ht="12.75" customHeight="1" x14ac:dyDescent="0.25">
      <c r="E388" s="308" t="s">
        <v>2513</v>
      </c>
      <c r="F388" s="115"/>
      <c r="H388" s="114"/>
      <c r="J388" s="114">
        <v>-3389</v>
      </c>
      <c r="K388" s="114">
        <v>-3389</v>
      </c>
      <c r="L388" s="114">
        <v>-3389</v>
      </c>
      <c r="M388" s="114">
        <v>-3389</v>
      </c>
      <c r="N388" s="114">
        <v>-3389</v>
      </c>
      <c r="O388" s="114">
        <v>0</v>
      </c>
    </row>
    <row r="389" spans="4:17" ht="12.75" customHeight="1" x14ac:dyDescent="0.25">
      <c r="E389" s="308" t="s">
        <v>2514</v>
      </c>
      <c r="F389" s="115"/>
      <c r="H389" s="114"/>
      <c r="J389" s="114">
        <v>-14456</v>
      </c>
      <c r="K389" s="114">
        <v>-14457</v>
      </c>
      <c r="L389" s="114">
        <v>-14456</v>
      </c>
      <c r="M389" s="114">
        <v>-14456</v>
      </c>
      <c r="N389" s="114">
        <v>-14456</v>
      </c>
      <c r="O389" s="114">
        <v>0</v>
      </c>
    </row>
    <row r="390" spans="4:17" ht="12.75" customHeight="1" x14ac:dyDescent="0.25">
      <c r="E390" s="308" t="s">
        <v>2505</v>
      </c>
      <c r="F390" s="115"/>
      <c r="H390" s="114"/>
      <c r="J390" s="114">
        <v>-77646</v>
      </c>
      <c r="K390" s="114">
        <v>-77646</v>
      </c>
      <c r="L390" s="114">
        <v>-77644</v>
      </c>
      <c r="M390" s="114">
        <v>-30321</v>
      </c>
      <c r="N390" s="114">
        <v>-30321</v>
      </c>
      <c r="O390" s="114">
        <v>0</v>
      </c>
      <c r="P390" s="115" t="s">
        <v>2515</v>
      </c>
      <c r="Q390" s="114"/>
    </row>
    <row r="391" spans="4:17" ht="12.75" customHeight="1" x14ac:dyDescent="0.25">
      <c r="E391" s="308" t="s">
        <v>2516</v>
      </c>
      <c r="F391" s="115"/>
      <c r="H391" s="114"/>
      <c r="J391" s="114"/>
      <c r="K391" s="114"/>
      <c r="L391" s="114"/>
      <c r="M391" s="114"/>
      <c r="N391" s="114"/>
      <c r="O391" s="114"/>
    </row>
    <row r="392" spans="4:17" ht="12.75" customHeight="1" x14ac:dyDescent="0.25">
      <c r="E392" s="308" t="s">
        <v>2508</v>
      </c>
      <c r="F392" s="115"/>
      <c r="H392" s="114"/>
      <c r="J392" s="114">
        <v>-96483</v>
      </c>
      <c r="K392" s="114">
        <v>-99369</v>
      </c>
      <c r="L392" s="114">
        <v>-99369</v>
      </c>
      <c r="M392" s="114">
        <v>-99369</v>
      </c>
      <c r="N392" s="114">
        <v>-99369</v>
      </c>
      <c r="O392" s="114">
        <v>0</v>
      </c>
    </row>
    <row r="393" spans="4:17" ht="12.75" customHeight="1" x14ac:dyDescent="0.25">
      <c r="D393" s="393"/>
      <c r="E393" s="383" t="s">
        <v>2517</v>
      </c>
      <c r="F393" s="115"/>
      <c r="H393" s="114"/>
      <c r="J393" s="114"/>
      <c r="K393" s="114"/>
      <c r="L393" s="114"/>
      <c r="M393" s="114"/>
      <c r="N393" s="114"/>
      <c r="O393" s="114"/>
    </row>
    <row r="394" spans="4:17" ht="12.75" customHeight="1" x14ac:dyDescent="0.25">
      <c r="D394" s="143">
        <v>87100</v>
      </c>
      <c r="E394" s="115" t="s">
        <v>2518</v>
      </c>
      <c r="F394" s="114"/>
      <c r="H394" s="114"/>
      <c r="J394" s="114"/>
      <c r="K394" s="114"/>
      <c r="L394" s="114"/>
      <c r="M394" s="114"/>
      <c r="N394" s="114"/>
      <c r="O394" s="114"/>
    </row>
    <row r="395" spans="4:17" ht="12.75" customHeight="1" x14ac:dyDescent="0.25">
      <c r="D395" s="384"/>
      <c r="E395" s="308" t="s">
        <v>2519</v>
      </c>
      <c r="F395" s="114"/>
      <c r="H395" s="114"/>
      <c r="J395" s="114">
        <v>-12295</v>
      </c>
      <c r="K395" s="114">
        <v>-12296</v>
      </c>
      <c r="L395" s="114">
        <v>-12295</v>
      </c>
      <c r="M395" s="114">
        <v>-12295</v>
      </c>
      <c r="N395" s="114">
        <v>-12295</v>
      </c>
      <c r="O395" s="114">
        <v>0</v>
      </c>
    </row>
    <row r="396" spans="4:17" ht="12.75" customHeight="1" x14ac:dyDescent="0.25">
      <c r="D396" s="384"/>
      <c r="E396" s="308" t="s">
        <v>2520</v>
      </c>
      <c r="F396" s="115"/>
      <c r="H396" s="114"/>
      <c r="J396" s="114">
        <v>-3286</v>
      </c>
      <c r="K396" s="114">
        <v>-3286</v>
      </c>
      <c r="L396" s="114">
        <v>-3286</v>
      </c>
      <c r="M396" s="114">
        <v>-3286</v>
      </c>
      <c r="N396" s="114">
        <v>-3286</v>
      </c>
      <c r="O396" s="114">
        <v>0</v>
      </c>
    </row>
    <row r="397" spans="4:17" ht="12.75" customHeight="1" x14ac:dyDescent="0.25">
      <c r="D397" s="384"/>
      <c r="E397" s="308" t="s">
        <v>2521</v>
      </c>
      <c r="F397" s="115"/>
      <c r="I397" s="114"/>
      <c r="J397" s="114">
        <v>-147205</v>
      </c>
      <c r="K397" s="114">
        <v>-147206</v>
      </c>
      <c r="L397" s="114">
        <v>-147206</v>
      </c>
      <c r="M397" s="114">
        <v>-90826</v>
      </c>
      <c r="N397" s="114">
        <v>-90826</v>
      </c>
      <c r="O397" s="114">
        <v>0</v>
      </c>
    </row>
    <row r="398" spans="4:17" ht="12.75" customHeight="1" x14ac:dyDescent="0.25">
      <c r="D398" s="384"/>
      <c r="E398" s="308" t="s">
        <v>2522</v>
      </c>
      <c r="F398" s="115"/>
      <c r="I398" s="114"/>
      <c r="J398" s="114">
        <v>-40834</v>
      </c>
      <c r="K398" s="114">
        <v>-43113</v>
      </c>
      <c r="L398" s="114">
        <v>-43113</v>
      </c>
      <c r="M398" s="114">
        <v>-43113</v>
      </c>
      <c r="N398" s="114">
        <v>-43113</v>
      </c>
      <c r="O398" s="114">
        <v>0</v>
      </c>
    </row>
    <row r="399" spans="4:17" ht="12.75" customHeight="1" x14ac:dyDescent="0.25">
      <c r="D399" s="433"/>
      <c r="E399" s="383" t="s">
        <v>2523</v>
      </c>
      <c r="F399" s="115"/>
      <c r="H399" s="114"/>
      <c r="J399" s="114"/>
      <c r="K399" s="114"/>
      <c r="L399" s="114"/>
      <c r="M399" s="114"/>
      <c r="N399" s="114"/>
      <c r="O399" s="114"/>
    </row>
    <row r="400" spans="4:17" ht="12.75" customHeight="1" x14ac:dyDescent="0.25">
      <c r="D400" s="384">
        <v>87100</v>
      </c>
      <c r="E400" s="115" t="s">
        <v>2463</v>
      </c>
      <c r="F400" s="115"/>
      <c r="H400" s="114"/>
      <c r="J400" s="114"/>
      <c r="K400" s="114"/>
      <c r="L400" s="114"/>
      <c r="M400" s="114"/>
      <c r="N400" s="114"/>
      <c r="O400" s="114"/>
    </row>
    <row r="401" spans="4:15" ht="12.75" customHeight="1" x14ac:dyDescent="0.25">
      <c r="D401" s="384"/>
      <c r="E401" s="308" t="s">
        <v>2524</v>
      </c>
      <c r="F401" s="115"/>
      <c r="H401" s="114"/>
      <c r="J401" s="114">
        <v>0</v>
      </c>
      <c r="K401" s="114">
        <v>0</v>
      </c>
      <c r="L401" s="114">
        <v>0</v>
      </c>
      <c r="M401" s="114">
        <v>0</v>
      </c>
      <c r="N401" s="114">
        <v>0</v>
      </c>
      <c r="O401" s="114">
        <v>0</v>
      </c>
    </row>
    <row r="402" spans="4:15" ht="12.75" customHeight="1" thickBot="1" x14ac:dyDescent="0.3">
      <c r="E402" s="115" t="s">
        <v>2525</v>
      </c>
      <c r="F402" s="115"/>
      <c r="H402" s="114"/>
      <c r="J402" s="1744">
        <v>-510654</v>
      </c>
      <c r="K402" s="1744">
        <v>-518514</v>
      </c>
      <c r="L402" s="1744">
        <f>SUM(L380:L401)</f>
        <v>-487378</v>
      </c>
      <c r="M402" s="1744">
        <f>SUM(M380:M401)</f>
        <v>-383674</v>
      </c>
      <c r="N402" s="1744">
        <f>SUM(N380:N401)</f>
        <v>-371764</v>
      </c>
      <c r="O402" s="1744">
        <f>SUM(O380:O401)</f>
        <v>0</v>
      </c>
    </row>
    <row r="403" spans="4:15" ht="12.75" customHeight="1" thickTop="1" x14ac:dyDescent="0.25">
      <c r="E403" s="115"/>
      <c r="F403" s="115"/>
      <c r="H403" s="114"/>
      <c r="J403" s="114"/>
      <c r="K403" s="114"/>
      <c r="L403" s="114"/>
      <c r="M403" s="114"/>
      <c r="N403" s="114"/>
      <c r="O403" s="114"/>
    </row>
    <row r="404" spans="4:15" ht="12.75" customHeight="1" x14ac:dyDescent="0.25">
      <c r="D404" s="628">
        <v>613031</v>
      </c>
      <c r="E404" s="381" t="s">
        <v>2526</v>
      </c>
      <c r="F404" s="115"/>
    </row>
    <row r="405" spans="4:15" ht="12.75" customHeight="1" x14ac:dyDescent="0.25">
      <c r="D405" s="115"/>
      <c r="E405" s="556" t="s">
        <v>2527</v>
      </c>
      <c r="F405" s="115"/>
    </row>
    <row r="406" spans="4:15" ht="12.75" customHeight="1" x14ac:dyDescent="0.25">
      <c r="D406" s="400">
        <v>47100</v>
      </c>
      <c r="E406" s="115" t="s">
        <v>2498</v>
      </c>
      <c r="F406" s="115"/>
    </row>
    <row r="407" spans="4:15" ht="12.75" customHeight="1" x14ac:dyDescent="0.25">
      <c r="D407" s="384"/>
      <c r="E407" s="301" t="s">
        <v>2528</v>
      </c>
      <c r="F407" s="115"/>
      <c r="J407" s="114">
        <v>10000</v>
      </c>
      <c r="K407" s="114">
        <v>10000</v>
      </c>
      <c r="L407" s="114">
        <v>10000</v>
      </c>
      <c r="M407" s="114">
        <v>10000</v>
      </c>
      <c r="N407" s="114">
        <v>10000</v>
      </c>
      <c r="O407" s="114">
        <v>0</v>
      </c>
    </row>
    <row r="408" spans="4:15" ht="12.75" customHeight="1" thickBot="1" x14ac:dyDescent="0.3">
      <c r="D408" s="115"/>
      <c r="E408" s="115" t="s">
        <v>2529</v>
      </c>
      <c r="F408" s="115"/>
      <c r="J408" s="1744">
        <v>10000</v>
      </c>
      <c r="K408" s="1744">
        <v>10000</v>
      </c>
      <c r="L408" s="1744">
        <f>SUM(L407:L407)</f>
        <v>10000</v>
      </c>
      <c r="M408" s="1744">
        <f>SUM(M407:M407)</f>
        <v>10000</v>
      </c>
      <c r="N408" s="1744">
        <f>SUM(N407:N407)</f>
        <v>10000</v>
      </c>
      <c r="O408" s="1744">
        <f>SUM(O407:O407)</f>
        <v>0</v>
      </c>
    </row>
    <row r="409" spans="4:15" ht="12.75" customHeight="1" thickTop="1" x14ac:dyDescent="0.25">
      <c r="E409" s="115"/>
      <c r="F409" s="115"/>
      <c r="H409" s="114"/>
      <c r="J409" s="114"/>
      <c r="K409" s="114"/>
      <c r="L409" s="114"/>
      <c r="M409" s="114"/>
      <c r="N409" s="114"/>
      <c r="O409" s="114"/>
    </row>
    <row r="410" spans="4:15" ht="12.75" customHeight="1" x14ac:dyDescent="0.25">
      <c r="D410" s="433">
        <v>613034</v>
      </c>
      <c r="E410" s="381" t="s">
        <v>2530</v>
      </c>
      <c r="F410" s="115"/>
      <c r="H410" s="114"/>
      <c r="J410" s="114"/>
      <c r="K410" s="114"/>
      <c r="L410" s="114"/>
      <c r="M410" s="114"/>
      <c r="N410" s="114"/>
      <c r="O410" s="114"/>
    </row>
    <row r="411" spans="4:15" ht="12.75" customHeight="1" x14ac:dyDescent="0.25">
      <c r="D411" s="115"/>
      <c r="E411" s="383" t="s">
        <v>2531</v>
      </c>
      <c r="F411" s="115"/>
      <c r="H411" s="114"/>
      <c r="J411" s="114"/>
      <c r="K411" s="114"/>
      <c r="L411" s="114"/>
      <c r="M411" s="114"/>
      <c r="N411" s="114"/>
      <c r="O411" s="114"/>
    </row>
    <row r="412" spans="4:15" ht="12.75" customHeight="1" x14ac:dyDescent="0.25">
      <c r="D412" s="384">
        <v>87100</v>
      </c>
      <c r="E412" s="115" t="s">
        <v>2463</v>
      </c>
      <c r="F412" s="115"/>
      <c r="H412" s="114"/>
      <c r="J412" s="114"/>
      <c r="K412" s="114"/>
      <c r="L412" s="114"/>
      <c r="M412" s="114"/>
      <c r="N412" s="114"/>
      <c r="O412" s="114"/>
    </row>
    <row r="413" spans="4:15" ht="12.75" customHeight="1" x14ac:dyDescent="0.25">
      <c r="D413" s="384"/>
      <c r="E413" s="308" t="s">
        <v>2532</v>
      </c>
      <c r="F413" s="115"/>
      <c r="H413" s="114"/>
      <c r="J413" s="114">
        <v>-7917</v>
      </c>
      <c r="K413" s="114">
        <v>-7917</v>
      </c>
      <c r="L413" s="114">
        <v>-7917</v>
      </c>
      <c r="M413" s="114">
        <v>-7917</v>
      </c>
      <c r="N413" s="114">
        <v>-7917</v>
      </c>
      <c r="O413" s="114">
        <v>0</v>
      </c>
    </row>
    <row r="414" spans="4:15" ht="12.75" customHeight="1" thickBot="1" x14ac:dyDescent="0.3">
      <c r="E414" s="115" t="s">
        <v>2533</v>
      </c>
      <c r="F414" s="115"/>
      <c r="H414" s="114"/>
      <c r="J414" s="1744">
        <v>-7917</v>
      </c>
      <c r="K414" s="1744">
        <v>-7917</v>
      </c>
      <c r="L414" s="1744">
        <f t="shared" ref="L414:M414" si="186">SUM(L412:L413)</f>
        <v>-7917</v>
      </c>
      <c r="M414" s="1744">
        <f t="shared" si="186"/>
        <v>-7917</v>
      </c>
      <c r="N414" s="1744">
        <f t="shared" ref="N414:O414" si="187">SUM(N412:N413)</f>
        <v>-7917</v>
      </c>
      <c r="O414" s="1744">
        <f t="shared" si="187"/>
        <v>0</v>
      </c>
    </row>
    <row r="415" spans="4:15" ht="12.75" customHeight="1" thickTop="1" x14ac:dyDescent="0.25">
      <c r="E415" s="115"/>
      <c r="F415" s="115"/>
      <c r="H415" s="114"/>
      <c r="J415" s="114"/>
      <c r="K415" s="114"/>
      <c r="L415" s="114"/>
      <c r="M415" s="114"/>
      <c r="N415" s="114"/>
      <c r="O415" s="114"/>
    </row>
    <row r="416" spans="4:15" ht="12.75" customHeight="1" x14ac:dyDescent="0.25">
      <c r="D416" s="393">
        <v>613035</v>
      </c>
      <c r="E416" s="381" t="s">
        <v>2534</v>
      </c>
      <c r="F416" s="115"/>
      <c r="H416" s="114"/>
      <c r="J416" s="114"/>
      <c r="K416" s="114"/>
      <c r="L416" s="114"/>
      <c r="M416" s="114"/>
      <c r="N416" s="114"/>
      <c r="O416" s="114"/>
    </row>
    <row r="417" spans="4:19" ht="12.75" customHeight="1" x14ac:dyDescent="0.25">
      <c r="D417" s="115"/>
      <c r="E417" s="383" t="s">
        <v>2535</v>
      </c>
      <c r="F417" s="115"/>
      <c r="H417" s="114"/>
    </row>
    <row r="418" spans="4:19" ht="12.75" customHeight="1" x14ac:dyDescent="0.25">
      <c r="D418" s="400">
        <v>47100</v>
      </c>
      <c r="E418" s="115" t="s">
        <v>2536</v>
      </c>
      <c r="F418" s="115"/>
      <c r="H418" s="114"/>
      <c r="J418" s="114">
        <v>0</v>
      </c>
      <c r="K418" s="114">
        <v>0</v>
      </c>
      <c r="L418" s="114">
        <v>0</v>
      </c>
      <c r="M418" s="114">
        <v>0</v>
      </c>
      <c r="N418" s="114">
        <v>0</v>
      </c>
      <c r="O418" s="114">
        <v>0</v>
      </c>
    </row>
    <row r="419" spans="4:19" ht="12.75" customHeight="1" x14ac:dyDescent="0.25">
      <c r="D419" s="400"/>
      <c r="E419" s="115" t="s">
        <v>2537</v>
      </c>
      <c r="F419" s="115"/>
      <c r="H419" s="114"/>
      <c r="J419" s="114">
        <v>0</v>
      </c>
      <c r="K419" s="114">
        <v>0</v>
      </c>
      <c r="L419" s="114">
        <v>0</v>
      </c>
      <c r="M419" s="114">
        <v>0</v>
      </c>
      <c r="N419" s="114">
        <v>0</v>
      </c>
      <c r="O419" s="114">
        <v>0</v>
      </c>
      <c r="P419" s="114"/>
    </row>
    <row r="420" spans="4:19" ht="12.75" customHeight="1" x14ac:dyDescent="0.25">
      <c r="D420" s="400"/>
      <c r="E420" s="115" t="s">
        <v>2538</v>
      </c>
      <c r="F420" s="115"/>
      <c r="H420" s="114"/>
      <c r="J420" s="114">
        <v>0</v>
      </c>
      <c r="K420" s="114">
        <v>0</v>
      </c>
      <c r="L420" s="114">
        <v>0</v>
      </c>
      <c r="M420" s="114">
        <v>0</v>
      </c>
      <c r="N420" s="114">
        <v>0</v>
      </c>
      <c r="O420" s="114">
        <v>0</v>
      </c>
    </row>
    <row r="421" spans="4:19" ht="12.75" customHeight="1" x14ac:dyDescent="0.25">
      <c r="D421" s="400"/>
      <c r="E421" s="115" t="s">
        <v>2539</v>
      </c>
      <c r="F421" s="115"/>
      <c r="H421" s="114"/>
      <c r="J421" s="114"/>
      <c r="K421" s="114"/>
      <c r="L421" s="114"/>
      <c r="M421" s="114">
        <v>0</v>
      </c>
      <c r="N421" s="114">
        <v>0</v>
      </c>
      <c r="O421" s="114">
        <v>0</v>
      </c>
    </row>
    <row r="422" spans="4:19" ht="12.75" customHeight="1" x14ac:dyDescent="0.25">
      <c r="D422" s="400"/>
      <c r="E422" s="308" t="s">
        <v>2540</v>
      </c>
      <c r="F422" s="115"/>
      <c r="G422" s="114"/>
      <c r="H422" s="114"/>
      <c r="I422" s="114"/>
      <c r="J422" s="114">
        <v>0</v>
      </c>
      <c r="K422" s="114">
        <v>104010</v>
      </c>
      <c r="L422" s="114">
        <v>135541</v>
      </c>
      <c r="M422" s="114">
        <v>102383</v>
      </c>
      <c r="N422" s="114">
        <v>37590</v>
      </c>
      <c r="O422" s="544">
        <v>0</v>
      </c>
      <c r="P422" s="114"/>
      <c r="Q422" s="114"/>
      <c r="R422" s="114"/>
      <c r="S422" s="114"/>
    </row>
    <row r="423" spans="4:19" ht="12.75" customHeight="1" thickBot="1" x14ac:dyDescent="0.3">
      <c r="E423" s="308" t="s">
        <v>2541</v>
      </c>
      <c r="F423" s="115"/>
      <c r="H423" s="114"/>
      <c r="J423" s="1744">
        <v>0</v>
      </c>
      <c r="K423" s="1744">
        <v>104010</v>
      </c>
      <c r="L423" s="1744">
        <f>SUM(L417:L422)</f>
        <v>135541</v>
      </c>
      <c r="M423" s="1744">
        <f>SUM(M417:M422)</f>
        <v>102383</v>
      </c>
      <c r="N423" s="1744">
        <f>SUM(N417:N422)</f>
        <v>37590</v>
      </c>
      <c r="O423" s="1744">
        <f>SUM(O417:O422)</f>
        <v>0</v>
      </c>
    </row>
    <row r="424" spans="4:19" ht="12.75" customHeight="1" thickTop="1" x14ac:dyDescent="0.25">
      <c r="E424" s="115"/>
      <c r="F424" s="115"/>
      <c r="H424" s="114"/>
    </row>
    <row r="425" spans="4:19" ht="12.75" customHeight="1" x14ac:dyDescent="0.25">
      <c r="D425" s="393">
        <v>613035</v>
      </c>
      <c r="E425" s="381" t="s">
        <v>2534</v>
      </c>
      <c r="F425" s="115"/>
      <c r="H425" s="114"/>
    </row>
    <row r="426" spans="4:19" ht="12.75" customHeight="1" x14ac:dyDescent="0.25">
      <c r="D426" s="393"/>
      <c r="E426" s="383" t="s">
        <v>2535</v>
      </c>
      <c r="F426" s="115"/>
    </row>
    <row r="427" spans="4:19" ht="12.75" customHeight="1" x14ac:dyDescent="0.25">
      <c r="D427" s="400">
        <v>87100</v>
      </c>
      <c r="E427" s="115" t="s">
        <v>2542</v>
      </c>
      <c r="F427" s="115"/>
      <c r="J427" s="114">
        <v>-54607</v>
      </c>
      <c r="K427" s="114">
        <v>-57724</v>
      </c>
      <c r="L427" s="114">
        <v>-57722</v>
      </c>
      <c r="M427" s="114">
        <v>-57722</v>
      </c>
      <c r="N427" s="114">
        <v>-57722</v>
      </c>
      <c r="O427" s="114">
        <v>0</v>
      </c>
    </row>
    <row r="428" spans="4:19" ht="12.75" customHeight="1" x14ac:dyDescent="0.25">
      <c r="D428" s="400"/>
      <c r="E428" s="115" t="s">
        <v>2543</v>
      </c>
      <c r="F428" s="115"/>
      <c r="J428" s="114">
        <v>0</v>
      </c>
      <c r="K428" s="114">
        <v>0</v>
      </c>
      <c r="L428" s="114">
        <f>-L419</f>
        <v>0</v>
      </c>
      <c r="M428" s="114">
        <v>0</v>
      </c>
      <c r="N428" s="114">
        <v>0</v>
      </c>
      <c r="O428" s="114">
        <v>0</v>
      </c>
    </row>
    <row r="429" spans="4:19" ht="12.75" customHeight="1" x14ac:dyDescent="0.25">
      <c r="D429" s="400"/>
      <c r="E429" s="115" t="s">
        <v>2544</v>
      </c>
      <c r="F429" s="115"/>
      <c r="J429" s="114">
        <v>0</v>
      </c>
      <c r="K429" s="114">
        <v>0</v>
      </c>
      <c r="L429" s="114">
        <v>0</v>
      </c>
      <c r="M429" s="114">
        <v>0</v>
      </c>
      <c r="N429" s="114">
        <v>0</v>
      </c>
      <c r="O429" s="114">
        <v>0</v>
      </c>
    </row>
    <row r="430" spans="4:19" ht="12.75" customHeight="1" x14ac:dyDescent="0.25">
      <c r="D430" s="400"/>
      <c r="E430" s="115" t="s">
        <v>2545</v>
      </c>
      <c r="F430" s="115"/>
      <c r="J430" s="114">
        <v>0</v>
      </c>
      <c r="K430" s="114">
        <v>-337000</v>
      </c>
      <c r="L430" s="114">
        <v>0</v>
      </c>
      <c r="M430" s="114">
        <v>0</v>
      </c>
      <c r="N430" s="114">
        <v>0</v>
      </c>
      <c r="O430" s="114">
        <v>0</v>
      </c>
    </row>
    <row r="431" spans="4:19" ht="12.75" customHeight="1" x14ac:dyDescent="0.25">
      <c r="D431" s="400"/>
      <c r="E431" s="1720" t="s">
        <v>5323</v>
      </c>
      <c r="F431" s="1720"/>
      <c r="G431" s="1720"/>
      <c r="H431" s="1720"/>
      <c r="I431" s="1720"/>
      <c r="J431" s="2177">
        <v>0</v>
      </c>
      <c r="K431" s="2177">
        <v>-25000</v>
      </c>
      <c r="L431" s="2177">
        <v>-25000</v>
      </c>
      <c r="M431" s="2177">
        <v>-25000</v>
      </c>
      <c r="N431" s="2177">
        <v>-25000</v>
      </c>
      <c r="O431" s="2123">
        <v>0</v>
      </c>
    </row>
    <row r="432" spans="4:19" ht="12.75" customHeight="1" thickBot="1" x14ac:dyDescent="0.3">
      <c r="E432" s="115" t="s">
        <v>2546</v>
      </c>
      <c r="F432" s="115"/>
      <c r="J432" s="1744">
        <f>SUM(J427:J431)</f>
        <v>-54607</v>
      </c>
      <c r="K432" s="1744">
        <f t="shared" ref="K432:O432" si="188">SUM(K427:K431)</f>
        <v>-419724</v>
      </c>
      <c r="L432" s="1744">
        <f t="shared" si="188"/>
        <v>-82722</v>
      </c>
      <c r="M432" s="1744">
        <f t="shared" si="188"/>
        <v>-82722</v>
      </c>
      <c r="N432" s="1744">
        <f t="shared" si="188"/>
        <v>-82722</v>
      </c>
      <c r="O432" s="1744">
        <f t="shared" si="188"/>
        <v>0</v>
      </c>
    </row>
    <row r="433" spans="4:15" ht="12.75" customHeight="1" thickTop="1" x14ac:dyDescent="0.25">
      <c r="E433" s="115"/>
      <c r="F433" s="115"/>
    </row>
    <row r="434" spans="4:15" ht="12.75" customHeight="1" x14ac:dyDescent="0.25">
      <c r="D434" s="393">
        <v>613036</v>
      </c>
      <c r="E434" s="381" t="s">
        <v>2547</v>
      </c>
      <c r="F434" s="115"/>
    </row>
    <row r="435" spans="4:15" ht="12.75" customHeight="1" x14ac:dyDescent="0.25">
      <c r="D435" s="115"/>
      <c r="E435" s="383" t="s">
        <v>2548</v>
      </c>
      <c r="F435" s="115"/>
    </row>
    <row r="436" spans="4:15" ht="12.75" customHeight="1" x14ac:dyDescent="0.25">
      <c r="D436" s="384">
        <v>87100</v>
      </c>
      <c r="E436" s="115" t="s">
        <v>2549</v>
      </c>
      <c r="F436" s="115"/>
    </row>
    <row r="437" spans="4:15" ht="12.75" customHeight="1" x14ac:dyDescent="0.25">
      <c r="D437" s="384"/>
      <c r="E437" s="308" t="s">
        <v>2550</v>
      </c>
      <c r="F437" s="115"/>
      <c r="J437" s="114">
        <v>-4923</v>
      </c>
      <c r="K437" s="114">
        <v>-4923</v>
      </c>
      <c r="L437" s="114">
        <v>-4923</v>
      </c>
      <c r="M437" s="114">
        <v>-4923</v>
      </c>
      <c r="N437" s="114">
        <v>-4923</v>
      </c>
      <c r="O437" s="114">
        <v>0</v>
      </c>
    </row>
    <row r="438" spans="4:15" ht="12.75" customHeight="1" x14ac:dyDescent="0.25">
      <c r="D438" s="384"/>
      <c r="E438" s="308" t="s">
        <v>2551</v>
      </c>
      <c r="F438" s="115"/>
      <c r="J438" s="114">
        <v>-3834</v>
      </c>
      <c r="K438" s="114">
        <v>-3834</v>
      </c>
      <c r="L438" s="114">
        <v>-3834</v>
      </c>
      <c r="M438" s="114">
        <v>-3834</v>
      </c>
      <c r="N438" s="114">
        <v>-3834</v>
      </c>
      <c r="O438" s="114">
        <v>0</v>
      </c>
    </row>
    <row r="439" spans="4:15" ht="12.75" customHeight="1" x14ac:dyDescent="0.25">
      <c r="D439" s="384"/>
      <c r="E439" s="2187" t="s">
        <v>5324</v>
      </c>
      <c r="F439" s="1720"/>
      <c r="G439" s="1720"/>
      <c r="H439" s="1720"/>
      <c r="I439" s="1720"/>
      <c r="J439" s="2177"/>
      <c r="K439" s="2177">
        <v>-315000</v>
      </c>
      <c r="L439" s="2177"/>
      <c r="M439" s="2177"/>
      <c r="N439" s="2177"/>
      <c r="O439" s="2177"/>
    </row>
    <row r="440" spans="4:15" ht="12.75" customHeight="1" thickBot="1" x14ac:dyDescent="0.3">
      <c r="E440" s="115" t="s">
        <v>2552</v>
      </c>
      <c r="F440" s="115"/>
      <c r="J440" s="1744">
        <f>SUM(J437:J439)</f>
        <v>-8757</v>
      </c>
      <c r="K440" s="1744">
        <f t="shared" ref="K440:O440" si="189">SUM(K437:K439)</f>
        <v>-323757</v>
      </c>
      <c r="L440" s="1744">
        <f t="shared" si="189"/>
        <v>-8757</v>
      </c>
      <c r="M440" s="1744">
        <f t="shared" si="189"/>
        <v>-8757</v>
      </c>
      <c r="N440" s="1744">
        <f t="shared" si="189"/>
        <v>-8757</v>
      </c>
      <c r="O440" s="1744">
        <f t="shared" si="189"/>
        <v>0</v>
      </c>
    </row>
    <row r="441" spans="4:15" ht="12.75" customHeight="1" thickTop="1" x14ac:dyDescent="0.25">
      <c r="E441" s="115"/>
      <c r="F441" s="115"/>
    </row>
    <row r="442" spans="4:15" ht="12.75" customHeight="1" x14ac:dyDescent="0.25">
      <c r="D442" s="393">
        <v>613037</v>
      </c>
      <c r="E442" s="381" t="s">
        <v>2553</v>
      </c>
      <c r="F442" s="115"/>
    </row>
    <row r="443" spans="4:15" ht="12.75" customHeight="1" x14ac:dyDescent="0.25">
      <c r="D443" s="115"/>
      <c r="E443" s="383" t="s">
        <v>2554</v>
      </c>
      <c r="F443" s="115"/>
    </row>
    <row r="444" spans="4:15" ht="12.75" customHeight="1" x14ac:dyDescent="0.25">
      <c r="D444" s="143">
        <v>87100</v>
      </c>
      <c r="E444" s="401" t="s">
        <v>2555</v>
      </c>
      <c r="F444" s="401"/>
    </row>
    <row r="445" spans="4:15" ht="12.75" customHeight="1" x14ac:dyDescent="0.25">
      <c r="D445" s="143"/>
      <c r="E445" s="530" t="s">
        <v>2556</v>
      </c>
      <c r="F445" s="401"/>
      <c r="J445" s="114">
        <v>0</v>
      </c>
      <c r="K445" s="114">
        <v>0</v>
      </c>
      <c r="L445" s="114">
        <v>0</v>
      </c>
      <c r="M445" s="114">
        <v>0</v>
      </c>
      <c r="N445" s="114">
        <v>0</v>
      </c>
      <c r="O445" s="114">
        <v>0</v>
      </c>
    </row>
    <row r="446" spans="4:15" ht="12.75" customHeight="1" x14ac:dyDescent="0.25">
      <c r="D446" s="143"/>
      <c r="E446" s="530" t="s">
        <v>2557</v>
      </c>
      <c r="F446" s="401"/>
      <c r="J446" s="114">
        <v>0</v>
      </c>
      <c r="K446" s="114">
        <v>0</v>
      </c>
      <c r="L446" s="114">
        <v>0</v>
      </c>
      <c r="M446" s="114">
        <v>0</v>
      </c>
      <c r="N446" s="114">
        <v>0</v>
      </c>
      <c r="O446" s="114">
        <v>0</v>
      </c>
    </row>
    <row r="447" spans="4:15" ht="12.75" customHeight="1" x14ac:dyDescent="0.25">
      <c r="D447" s="143"/>
      <c r="E447" s="530" t="s">
        <v>2558</v>
      </c>
      <c r="F447" s="401"/>
      <c r="J447" s="114">
        <v>-19657</v>
      </c>
      <c r="K447" s="114">
        <v>-19657</v>
      </c>
      <c r="L447" s="114">
        <v>-19656</v>
      </c>
      <c r="M447" s="114">
        <v>0</v>
      </c>
      <c r="N447" s="114">
        <v>0</v>
      </c>
      <c r="O447" s="114">
        <v>0</v>
      </c>
    </row>
    <row r="448" spans="4:15" ht="12.75" customHeight="1" thickBot="1" x14ac:dyDescent="0.3">
      <c r="D448" s="143"/>
      <c r="E448" s="308" t="s">
        <v>2559</v>
      </c>
      <c r="F448" s="484"/>
      <c r="J448" s="1744">
        <v>-19657</v>
      </c>
      <c r="K448" s="1744">
        <v>-19657</v>
      </c>
      <c r="L448" s="1744">
        <f t="shared" ref="L448:M448" si="190">SUM(L444:L447)</f>
        <v>-19656</v>
      </c>
      <c r="M448" s="1744">
        <f t="shared" si="190"/>
        <v>0</v>
      </c>
      <c r="N448" s="1744">
        <f t="shared" ref="N448:O448" si="191">SUM(N444:N447)</f>
        <v>0</v>
      </c>
      <c r="O448" s="1744">
        <f t="shared" si="191"/>
        <v>0</v>
      </c>
    </row>
    <row r="449" spans="4:15" ht="12.75" customHeight="1" thickTop="1" x14ac:dyDescent="0.25">
      <c r="D449" s="143"/>
      <c r="E449" s="115"/>
      <c r="F449" s="115"/>
    </row>
    <row r="450" spans="4:15" ht="12.75" customHeight="1" x14ac:dyDescent="0.25">
      <c r="D450" s="628">
        <v>613038</v>
      </c>
      <c r="E450" s="381" t="s">
        <v>2560</v>
      </c>
      <c r="F450" s="115"/>
    </row>
    <row r="451" spans="4:15" ht="12.75" customHeight="1" x14ac:dyDescent="0.25">
      <c r="D451" s="384">
        <v>87100</v>
      </c>
      <c r="E451" s="308" t="s">
        <v>2561</v>
      </c>
      <c r="F451" s="115"/>
    </row>
    <row r="452" spans="4:15" ht="12.75" customHeight="1" x14ac:dyDescent="0.25">
      <c r="D452" s="384"/>
      <c r="E452" s="308" t="s">
        <v>2562</v>
      </c>
      <c r="F452" s="115"/>
      <c r="J452" s="114"/>
      <c r="K452" s="114">
        <v>-109400</v>
      </c>
      <c r="L452" s="114"/>
      <c r="M452" s="114"/>
      <c r="N452" s="114"/>
      <c r="O452" s="114"/>
    </row>
    <row r="453" spans="4:15" ht="12.75" customHeight="1" x14ac:dyDescent="0.25">
      <c r="D453" s="384"/>
      <c r="E453" s="308" t="s">
        <v>2563</v>
      </c>
      <c r="F453" s="115"/>
      <c r="J453" s="114">
        <v>-105000</v>
      </c>
      <c r="K453" s="114"/>
      <c r="L453" s="114"/>
      <c r="M453" s="114"/>
      <c r="N453" s="114"/>
      <c r="O453" s="114"/>
    </row>
    <row r="454" spans="4:15" ht="12.75" customHeight="1" x14ac:dyDescent="0.25">
      <c r="D454" s="384"/>
      <c r="E454" s="308" t="s">
        <v>2564</v>
      </c>
      <c r="F454" s="115"/>
      <c r="J454" s="114">
        <v>105000</v>
      </c>
      <c r="K454" s="114"/>
      <c r="L454" s="114"/>
      <c r="M454" s="114"/>
      <c r="N454" s="114"/>
      <c r="O454" s="114"/>
    </row>
    <row r="455" spans="4:15" ht="12.75" customHeight="1" thickBot="1" x14ac:dyDescent="0.3">
      <c r="D455" s="433"/>
      <c r="E455" s="115" t="s">
        <v>2565</v>
      </c>
      <c r="F455" s="115"/>
      <c r="J455" s="1744">
        <v>0</v>
      </c>
      <c r="K455" s="1744">
        <v>-109400</v>
      </c>
      <c r="L455" s="1744">
        <f t="shared" ref="L455:N455" si="192">SUM(L451:L454)</f>
        <v>0</v>
      </c>
      <c r="M455" s="1744">
        <f t="shared" si="192"/>
        <v>0</v>
      </c>
      <c r="N455" s="1744">
        <f t="shared" si="192"/>
        <v>0</v>
      </c>
      <c r="O455" s="1744">
        <f t="shared" ref="O455" si="193">SUM(O451:O454)</f>
        <v>0</v>
      </c>
    </row>
    <row r="456" spans="4:15" ht="12.75" customHeight="1" thickTop="1" x14ac:dyDescent="0.25">
      <c r="D456" s="143"/>
      <c r="E456" s="115"/>
      <c r="F456" s="115"/>
    </row>
    <row r="457" spans="4:15" ht="12.75" customHeight="1" x14ac:dyDescent="0.25">
      <c r="D457" s="628">
        <v>613040</v>
      </c>
      <c r="E457" s="381" t="s">
        <v>2566</v>
      </c>
      <c r="F457" s="115"/>
    </row>
    <row r="458" spans="4:15" ht="12.75" customHeight="1" x14ac:dyDescent="0.25">
      <c r="D458" s="384">
        <v>87100</v>
      </c>
      <c r="E458" s="308" t="s">
        <v>2561</v>
      </c>
      <c r="F458" s="115"/>
    </row>
    <row r="459" spans="4:15" ht="12.75" customHeight="1" x14ac:dyDescent="0.25">
      <c r="D459" s="384"/>
      <c r="E459" s="308" t="s">
        <v>2567</v>
      </c>
      <c r="F459" s="115"/>
      <c r="J459" s="114">
        <v>0</v>
      </c>
      <c r="K459" s="114">
        <v>0</v>
      </c>
      <c r="L459" s="114">
        <v>0</v>
      </c>
      <c r="M459" s="114">
        <v>0</v>
      </c>
      <c r="N459" s="114">
        <v>0</v>
      </c>
      <c r="O459" s="114">
        <v>0</v>
      </c>
    </row>
    <row r="460" spans="4:15" ht="12.75" customHeight="1" thickBot="1" x14ac:dyDescent="0.3">
      <c r="D460" s="433"/>
      <c r="E460" s="115" t="s">
        <v>2568</v>
      </c>
      <c r="F460" s="115"/>
      <c r="J460" s="1744">
        <v>0</v>
      </c>
      <c r="K460" s="1744">
        <v>0</v>
      </c>
      <c r="L460" s="1744">
        <f>SUM(L458:L459)</f>
        <v>0</v>
      </c>
      <c r="M460" s="1744">
        <f>SUM(M458:M459)</f>
        <v>0</v>
      </c>
      <c r="N460" s="1744">
        <f>SUM(N458:N459)</f>
        <v>0</v>
      </c>
      <c r="O460" s="1744">
        <f>SUM(O458:O459)</f>
        <v>0</v>
      </c>
    </row>
    <row r="461" spans="4:15" ht="12.75" customHeight="1" thickTop="1" x14ac:dyDescent="0.25">
      <c r="E461" s="115"/>
      <c r="F461" s="115"/>
    </row>
    <row r="462" spans="4:15" ht="12.75" customHeight="1" x14ac:dyDescent="0.25">
      <c r="D462" s="628">
        <v>613041</v>
      </c>
      <c r="E462" s="381" t="s">
        <v>2569</v>
      </c>
      <c r="F462" s="115"/>
    </row>
    <row r="463" spans="4:15" ht="12.75" customHeight="1" x14ac:dyDescent="0.25">
      <c r="D463" s="384">
        <v>87100</v>
      </c>
      <c r="E463" s="1063" t="s">
        <v>2561</v>
      </c>
      <c r="F463" s="115"/>
    </row>
    <row r="464" spans="4:15" ht="12.75" customHeight="1" x14ac:dyDescent="0.25">
      <c r="D464" s="384"/>
      <c r="E464" s="308" t="s">
        <v>2570</v>
      </c>
      <c r="F464" s="115"/>
      <c r="J464" s="114">
        <v>0</v>
      </c>
      <c r="K464" s="114">
        <v>-117100</v>
      </c>
      <c r="L464" s="114">
        <v>0</v>
      </c>
      <c r="M464" s="114">
        <v>0</v>
      </c>
      <c r="N464" s="114">
        <v>0</v>
      </c>
      <c r="O464" s="114">
        <v>0</v>
      </c>
    </row>
    <row r="465" spans="4:15" ht="12.75" customHeight="1" x14ac:dyDescent="0.25">
      <c r="D465" s="384"/>
      <c r="E465" s="308" t="s">
        <v>2571</v>
      </c>
      <c r="F465" s="115"/>
      <c r="J465" s="114">
        <v>-112400</v>
      </c>
      <c r="K465" s="114"/>
      <c r="L465" s="114"/>
      <c r="M465" s="114"/>
      <c r="N465" s="114"/>
      <c r="O465" s="114"/>
    </row>
    <row r="466" spans="4:15" ht="12.75" customHeight="1" x14ac:dyDescent="0.25">
      <c r="D466" s="384"/>
      <c r="E466" s="308" t="s">
        <v>2572</v>
      </c>
      <c r="F466" s="115"/>
      <c r="J466" s="114">
        <v>112400</v>
      </c>
      <c r="K466" s="114"/>
      <c r="L466" s="114"/>
      <c r="M466" s="114"/>
      <c r="N466" s="114"/>
      <c r="O466" s="114"/>
    </row>
    <row r="467" spans="4:15" ht="12.75" customHeight="1" thickBot="1" x14ac:dyDescent="0.3">
      <c r="D467" s="433"/>
      <c r="E467" s="115" t="s">
        <v>2573</v>
      </c>
      <c r="F467" s="115"/>
      <c r="J467" s="1800">
        <v>0</v>
      </c>
      <c r="K467" s="1800">
        <v>-117100</v>
      </c>
      <c r="L467" s="1800">
        <f t="shared" ref="L467:N467" si="194">SUM(L464:L466)</f>
        <v>0</v>
      </c>
      <c r="M467" s="1800">
        <f t="shared" si="194"/>
        <v>0</v>
      </c>
      <c r="N467" s="1800">
        <f t="shared" si="194"/>
        <v>0</v>
      </c>
      <c r="O467" s="1800">
        <f t="shared" ref="O467" si="195">SUM(O464:O466)</f>
        <v>0</v>
      </c>
    </row>
    <row r="468" spans="4:15" ht="12.75" customHeight="1" thickTop="1" x14ac:dyDescent="0.25">
      <c r="E468" s="115"/>
      <c r="F468" s="115"/>
    </row>
    <row r="469" spans="4:15" ht="12.75" customHeight="1" x14ac:dyDescent="0.25">
      <c r="D469" s="628">
        <v>613041</v>
      </c>
      <c r="E469" s="381" t="s">
        <v>2574</v>
      </c>
      <c r="F469" s="115"/>
    </row>
    <row r="470" spans="4:15" ht="12.75" customHeight="1" x14ac:dyDescent="0.25">
      <c r="D470" s="384">
        <v>87100</v>
      </c>
      <c r="E470" s="1063" t="s">
        <v>2575</v>
      </c>
      <c r="F470" s="115"/>
    </row>
    <row r="471" spans="4:15" ht="12.75" customHeight="1" x14ac:dyDescent="0.25">
      <c r="D471" s="384"/>
      <c r="E471" s="308" t="s">
        <v>2576</v>
      </c>
      <c r="F471" s="115"/>
      <c r="J471" s="114">
        <v>0</v>
      </c>
      <c r="K471" s="114">
        <v>-62500</v>
      </c>
      <c r="L471" s="114">
        <v>-65100</v>
      </c>
      <c r="M471" s="114">
        <v>0</v>
      </c>
      <c r="N471" s="114">
        <v>0</v>
      </c>
      <c r="O471" s="114">
        <v>0</v>
      </c>
    </row>
    <row r="472" spans="4:15" ht="12.75" customHeight="1" x14ac:dyDescent="0.25">
      <c r="D472" s="384"/>
      <c r="E472" s="308" t="s">
        <v>2577</v>
      </c>
      <c r="F472" s="115"/>
      <c r="J472" s="114">
        <v>-60000</v>
      </c>
      <c r="K472" s="114"/>
      <c r="L472" s="114"/>
      <c r="M472" s="114"/>
      <c r="N472" s="114"/>
      <c r="O472" s="114"/>
    </row>
    <row r="473" spans="4:15" ht="12.75" customHeight="1" thickBot="1" x14ac:dyDescent="0.3">
      <c r="D473" s="433"/>
      <c r="E473" s="115" t="s">
        <v>2578</v>
      </c>
      <c r="F473" s="115"/>
      <c r="J473" s="1744">
        <v>-60000</v>
      </c>
      <c r="K473" s="1744">
        <v>-62500</v>
      </c>
      <c r="L473" s="1744">
        <f t="shared" ref="L473:M473" si="196">SUM(L471:L472)</f>
        <v>-65100</v>
      </c>
      <c r="M473" s="1744">
        <f t="shared" si="196"/>
        <v>0</v>
      </c>
      <c r="N473" s="1744">
        <f t="shared" ref="N473:O473" si="197">SUM(N471:N472)</f>
        <v>0</v>
      </c>
      <c r="O473" s="1744">
        <f t="shared" si="197"/>
        <v>0</v>
      </c>
    </row>
    <row r="474" spans="4:15" ht="12.75" customHeight="1" thickTop="1" x14ac:dyDescent="0.25">
      <c r="E474" s="115"/>
      <c r="F474" s="115"/>
    </row>
    <row r="475" spans="4:15" ht="12.75" customHeight="1" x14ac:dyDescent="0.25">
      <c r="D475" s="628">
        <v>613041</v>
      </c>
      <c r="E475" s="381" t="s">
        <v>2579</v>
      </c>
      <c r="F475" s="115"/>
    </row>
    <row r="476" spans="4:15" ht="12.75" customHeight="1" x14ac:dyDescent="0.25">
      <c r="D476" s="384">
        <v>87100</v>
      </c>
      <c r="E476" s="1063" t="s">
        <v>2575</v>
      </c>
      <c r="F476" s="115"/>
    </row>
    <row r="477" spans="4:15" ht="12.75" customHeight="1" x14ac:dyDescent="0.25">
      <c r="D477" s="384"/>
      <c r="E477" s="308" t="s">
        <v>2580</v>
      </c>
      <c r="F477" s="115"/>
      <c r="J477" s="114">
        <v>0</v>
      </c>
      <c r="K477" s="114">
        <v>-104200</v>
      </c>
      <c r="L477" s="114">
        <v>-108600</v>
      </c>
      <c r="M477" s="114">
        <v>0</v>
      </c>
      <c r="N477" s="114">
        <v>0</v>
      </c>
      <c r="O477" s="114">
        <v>0</v>
      </c>
    </row>
    <row r="478" spans="4:15" ht="12.75" customHeight="1" x14ac:dyDescent="0.25">
      <c r="D478" s="384"/>
      <c r="E478" s="308" t="s">
        <v>2581</v>
      </c>
      <c r="F478" s="115"/>
      <c r="J478" s="114">
        <v>-100000</v>
      </c>
      <c r="K478" s="114"/>
      <c r="L478" s="114"/>
      <c r="M478" s="114"/>
      <c r="N478" s="114"/>
      <c r="O478" s="114"/>
    </row>
    <row r="479" spans="4:15" ht="12.75" customHeight="1" thickBot="1" x14ac:dyDescent="0.3">
      <c r="D479" s="433"/>
      <c r="E479" s="115" t="s">
        <v>2582</v>
      </c>
      <c r="F479" s="115"/>
      <c r="J479" s="1744">
        <v>-100000</v>
      </c>
      <c r="K479" s="1744">
        <v>-104200</v>
      </c>
      <c r="L479" s="1744">
        <f t="shared" ref="L479:M479" si="198">SUM(L477:L478)</f>
        <v>-108600</v>
      </c>
      <c r="M479" s="1744">
        <f t="shared" si="198"/>
        <v>0</v>
      </c>
      <c r="N479" s="1744">
        <f t="shared" ref="N479:O479" si="199">SUM(N477:N478)</f>
        <v>0</v>
      </c>
      <c r="O479" s="1744">
        <f t="shared" si="199"/>
        <v>0</v>
      </c>
    </row>
    <row r="480" spans="4:15" ht="12.75" customHeight="1" thickTop="1" x14ac:dyDescent="0.25">
      <c r="D480" s="433"/>
      <c r="E480" s="115"/>
      <c r="F480" s="115"/>
      <c r="J480" s="114"/>
      <c r="K480" s="114"/>
      <c r="L480" s="114"/>
      <c r="M480" s="114"/>
      <c r="N480" s="114"/>
      <c r="O480" s="114"/>
    </row>
    <row r="481" spans="4:15" ht="12.75" customHeight="1" x14ac:dyDescent="0.25">
      <c r="D481" s="628">
        <v>613048</v>
      </c>
      <c r="E481" s="381" t="s">
        <v>2583</v>
      </c>
      <c r="F481" s="115"/>
    </row>
    <row r="482" spans="4:15" ht="12.75" customHeight="1" x14ac:dyDescent="0.25">
      <c r="D482" s="115"/>
      <c r="E482" s="556" t="s">
        <v>2584</v>
      </c>
      <c r="F482" s="115"/>
    </row>
    <row r="483" spans="4:15" ht="12.75" customHeight="1" x14ac:dyDescent="0.25">
      <c r="D483" s="400">
        <v>47100</v>
      </c>
      <c r="E483" s="115" t="s">
        <v>2498</v>
      </c>
      <c r="F483" s="115"/>
    </row>
    <row r="484" spans="4:15" ht="12.75" customHeight="1" x14ac:dyDescent="0.25">
      <c r="D484" s="384"/>
      <c r="E484" s="301" t="s">
        <v>2585</v>
      </c>
      <c r="F484" s="115"/>
      <c r="J484" s="114">
        <v>75000</v>
      </c>
      <c r="K484" s="114">
        <v>75000</v>
      </c>
      <c r="L484" s="114">
        <v>75000</v>
      </c>
      <c r="M484" s="114">
        <v>75000</v>
      </c>
      <c r="N484" s="114">
        <v>75000</v>
      </c>
      <c r="O484" s="114">
        <v>0</v>
      </c>
    </row>
    <row r="485" spans="4:15" ht="12.75" customHeight="1" thickBot="1" x14ac:dyDescent="0.3">
      <c r="D485" s="115"/>
      <c r="E485" s="115" t="s">
        <v>2586</v>
      </c>
      <c r="F485" s="115"/>
      <c r="J485" s="1744">
        <v>75000</v>
      </c>
      <c r="K485" s="1744">
        <v>75000</v>
      </c>
      <c r="L485" s="1744">
        <f>SUM(L484:L484)</f>
        <v>75000</v>
      </c>
      <c r="M485" s="1744">
        <f>SUM(M484:M484)</f>
        <v>75000</v>
      </c>
      <c r="N485" s="1744">
        <f>SUM(N484:N484)</f>
        <v>75000</v>
      </c>
      <c r="O485" s="1744">
        <f>SUM(O484:O484)</f>
        <v>0</v>
      </c>
    </row>
    <row r="486" spans="4:15" ht="12.75" customHeight="1" thickTop="1" x14ac:dyDescent="0.25">
      <c r="E486" s="115"/>
      <c r="F486" s="115"/>
    </row>
    <row r="487" spans="4:15" ht="12.75" customHeight="1" x14ac:dyDescent="0.25">
      <c r="D487" s="628">
        <v>613048</v>
      </c>
      <c r="E487" s="381" t="s">
        <v>2583</v>
      </c>
      <c r="F487" s="115"/>
    </row>
    <row r="488" spans="4:15" ht="12.75" customHeight="1" x14ac:dyDescent="0.25">
      <c r="D488" s="115"/>
      <c r="E488" s="556" t="s">
        <v>2584</v>
      </c>
      <c r="F488" s="115"/>
    </row>
    <row r="489" spans="4:15" ht="12.75" customHeight="1" x14ac:dyDescent="0.25">
      <c r="D489" s="384">
        <v>87100</v>
      </c>
      <c r="E489" s="115" t="s">
        <v>2463</v>
      </c>
      <c r="F489" s="115"/>
    </row>
    <row r="490" spans="4:15" ht="12.75" customHeight="1" x14ac:dyDescent="0.25">
      <c r="D490" s="384"/>
      <c r="E490" s="301" t="s">
        <v>2587</v>
      </c>
      <c r="F490" s="115"/>
      <c r="J490" s="114">
        <v>0</v>
      </c>
      <c r="K490" s="114">
        <v>0</v>
      </c>
      <c r="L490" s="114">
        <v>0</v>
      </c>
      <c r="M490" s="114">
        <v>0</v>
      </c>
      <c r="N490" s="114">
        <v>0</v>
      </c>
      <c r="O490" s="114">
        <v>0</v>
      </c>
    </row>
    <row r="491" spans="4:15" ht="12.75" customHeight="1" thickBot="1" x14ac:dyDescent="0.3">
      <c r="D491" s="115"/>
      <c r="E491" s="115" t="s">
        <v>2588</v>
      </c>
      <c r="F491" s="115"/>
      <c r="J491" s="1744">
        <v>0</v>
      </c>
      <c r="K491" s="1744">
        <v>0</v>
      </c>
      <c r="L491" s="1744">
        <f>SUM(L490:L490)</f>
        <v>0</v>
      </c>
      <c r="M491" s="1744">
        <f>SUM(M490:M490)</f>
        <v>0</v>
      </c>
      <c r="N491" s="1744">
        <f>SUM(N490:N490)</f>
        <v>0</v>
      </c>
      <c r="O491" s="1744">
        <f>SUM(O490:O490)</f>
        <v>0</v>
      </c>
    </row>
    <row r="492" spans="4:15" ht="12.75" customHeight="1" thickTop="1" x14ac:dyDescent="0.25">
      <c r="E492" s="115"/>
      <c r="F492" s="115"/>
    </row>
    <row r="493" spans="4:15" ht="12.75" customHeight="1" x14ac:dyDescent="0.25">
      <c r="D493" s="393">
        <v>613049</v>
      </c>
      <c r="E493" s="381" t="s">
        <v>2589</v>
      </c>
      <c r="F493" s="115"/>
    </row>
    <row r="494" spans="4:15" ht="12.75" customHeight="1" x14ac:dyDescent="0.25">
      <c r="D494" s="384">
        <v>87100</v>
      </c>
      <c r="E494" s="115" t="s">
        <v>2446</v>
      </c>
      <c r="F494" s="115"/>
    </row>
    <row r="495" spans="4:15" ht="12.75" customHeight="1" x14ac:dyDescent="0.25">
      <c r="D495" s="384"/>
      <c r="E495" s="308" t="s">
        <v>2590</v>
      </c>
      <c r="F495" s="115"/>
      <c r="J495" s="114"/>
      <c r="K495" s="114">
        <v>-104200</v>
      </c>
      <c r="L495" s="114"/>
      <c r="M495" s="114"/>
      <c r="N495" s="114"/>
      <c r="O495" s="114"/>
    </row>
    <row r="496" spans="4:15" ht="12.75" customHeight="1" x14ac:dyDescent="0.25">
      <c r="D496" s="384"/>
      <c r="E496" s="308" t="s">
        <v>2591</v>
      </c>
      <c r="F496" s="115"/>
      <c r="J496" s="114"/>
      <c r="K496" s="114">
        <v>-150000</v>
      </c>
      <c r="L496" s="114"/>
      <c r="M496" s="114"/>
      <c r="N496" s="114"/>
      <c r="O496" s="114"/>
    </row>
    <row r="497" spans="1:15" ht="12.75" customHeight="1" x14ac:dyDescent="0.25">
      <c r="D497" s="384"/>
      <c r="E497" s="308" t="s">
        <v>2592</v>
      </c>
      <c r="F497" s="115"/>
      <c r="J497" s="114"/>
      <c r="K497" s="114">
        <v>-35800</v>
      </c>
      <c r="L497" s="114">
        <v>-36600</v>
      </c>
      <c r="M497" s="114"/>
      <c r="N497" s="114"/>
      <c r="O497" s="114"/>
    </row>
    <row r="498" spans="1:15" ht="12.75" customHeight="1" x14ac:dyDescent="0.25">
      <c r="D498" s="384"/>
      <c r="E498" s="308" t="s">
        <v>2593</v>
      </c>
      <c r="F498" s="115"/>
      <c r="J498" s="114">
        <v>-100000</v>
      </c>
      <c r="K498" s="114"/>
      <c r="L498" s="114"/>
      <c r="M498" s="114"/>
      <c r="N498" s="114"/>
      <c r="O498" s="114"/>
    </row>
    <row r="499" spans="1:15" ht="12.75" customHeight="1" x14ac:dyDescent="0.25">
      <c r="D499" s="384"/>
      <c r="E499" s="308" t="s">
        <v>2594</v>
      </c>
      <c r="F499" s="115"/>
      <c r="J499" s="114">
        <v>-35000</v>
      </c>
      <c r="K499" s="114"/>
      <c r="L499" s="114"/>
      <c r="M499" s="114"/>
      <c r="N499" s="114"/>
      <c r="O499" s="114"/>
    </row>
    <row r="500" spans="1:15" ht="12.75" customHeight="1" x14ac:dyDescent="0.25">
      <c r="D500" s="384"/>
      <c r="E500" s="308" t="s">
        <v>210</v>
      </c>
      <c r="F500" s="115"/>
      <c r="J500" s="114"/>
      <c r="K500" s="114"/>
      <c r="L500" s="114"/>
      <c r="M500" s="114"/>
      <c r="N500" s="114"/>
      <c r="O500" s="114"/>
    </row>
    <row r="501" spans="1:15" ht="12.75" customHeight="1" thickBot="1" x14ac:dyDescent="0.3">
      <c r="E501" s="115" t="s">
        <v>2595</v>
      </c>
      <c r="F501" s="115"/>
      <c r="J501" s="1744">
        <v>-135000</v>
      </c>
      <c r="K501" s="1744">
        <v>-290000</v>
      </c>
      <c r="L501" s="1744">
        <f>SUM(L494:L499)</f>
        <v>-36600</v>
      </c>
      <c r="M501" s="1744">
        <f>SUM(M494:M499)</f>
        <v>0</v>
      </c>
      <c r="N501" s="1744">
        <f>SUM(N494:N499)</f>
        <v>0</v>
      </c>
      <c r="O501" s="1744">
        <f>SUM(O494:O499)</f>
        <v>0</v>
      </c>
    </row>
    <row r="502" spans="1:15" ht="12.75" customHeight="1" thickTop="1" x14ac:dyDescent="0.25">
      <c r="E502" s="115"/>
      <c r="F502" s="115"/>
    </row>
    <row r="503" spans="1:15" ht="12.75" customHeight="1" x14ac:dyDescent="0.25">
      <c r="A503" s="628"/>
      <c r="B503" s="381"/>
      <c r="D503" s="628">
        <v>613048</v>
      </c>
      <c r="E503" s="381" t="s">
        <v>2596</v>
      </c>
      <c r="F503" s="115"/>
    </row>
    <row r="504" spans="1:15" ht="12.75" customHeight="1" x14ac:dyDescent="0.25">
      <c r="A504" s="115"/>
      <c r="B504" s="556"/>
      <c r="D504" s="115"/>
      <c r="E504" s="556" t="s">
        <v>2597</v>
      </c>
      <c r="F504" s="115"/>
    </row>
    <row r="505" spans="1:15" ht="12.75" customHeight="1" x14ac:dyDescent="0.25">
      <c r="A505" s="400"/>
      <c r="D505" s="400">
        <v>47100</v>
      </c>
      <c r="E505" s="115" t="s">
        <v>2498</v>
      </c>
      <c r="F505" s="115"/>
    </row>
    <row r="506" spans="1:15" ht="12.75" customHeight="1" x14ac:dyDescent="0.25">
      <c r="A506" s="384"/>
      <c r="B506" s="301"/>
      <c r="D506" s="384"/>
      <c r="E506" s="301" t="s">
        <v>2598</v>
      </c>
      <c r="F506" s="115"/>
      <c r="J506" s="114">
        <v>0</v>
      </c>
      <c r="K506" s="114">
        <v>150000</v>
      </c>
      <c r="L506" s="114">
        <v>0</v>
      </c>
      <c r="M506" s="114">
        <v>0</v>
      </c>
      <c r="N506" s="114">
        <v>0</v>
      </c>
      <c r="O506" s="114">
        <v>0</v>
      </c>
    </row>
    <row r="507" spans="1:15" ht="12.75" customHeight="1" thickBot="1" x14ac:dyDescent="0.3">
      <c r="A507" s="115"/>
      <c r="D507" s="115"/>
      <c r="E507" s="115" t="s">
        <v>2599</v>
      </c>
      <c r="F507" s="115"/>
      <c r="J507" s="1744">
        <f>+J506</f>
        <v>0</v>
      </c>
      <c r="K507" s="1744">
        <v>150000</v>
      </c>
      <c r="L507" s="1744">
        <f>SUM(L506:L506)</f>
        <v>0</v>
      </c>
      <c r="M507" s="1744">
        <f>SUM(M506:M506)</f>
        <v>0</v>
      </c>
      <c r="N507" s="1744">
        <f>SUM(N506:N506)</f>
        <v>0</v>
      </c>
      <c r="O507" s="1744">
        <f>SUM(O506:O506)</f>
        <v>0</v>
      </c>
    </row>
    <row r="508" spans="1:15" ht="12.75" customHeight="1" thickTop="1" x14ac:dyDescent="0.25">
      <c r="A508" s="115"/>
      <c r="D508" s="115"/>
      <c r="E508" s="115"/>
      <c r="F508" s="115"/>
      <c r="J508" s="114"/>
      <c r="K508" s="114"/>
      <c r="L508" s="114"/>
      <c r="M508" s="114"/>
      <c r="N508" s="114"/>
      <c r="O508" s="114"/>
    </row>
    <row r="509" spans="1:15" ht="12.75" customHeight="1" x14ac:dyDescent="0.25">
      <c r="D509" s="393">
        <v>613051</v>
      </c>
      <c r="E509" s="381" t="s">
        <v>2600</v>
      </c>
      <c r="F509" s="115"/>
      <c r="L509" s="114"/>
      <c r="M509" s="114"/>
      <c r="N509" s="114"/>
      <c r="O509" s="114"/>
    </row>
    <row r="510" spans="1:15" ht="12.75" customHeight="1" x14ac:dyDescent="0.25">
      <c r="D510" s="115"/>
      <c r="E510" s="383" t="s">
        <v>2601</v>
      </c>
      <c r="F510" s="115"/>
      <c r="L510" s="114"/>
      <c r="M510" s="114"/>
      <c r="N510" s="114"/>
      <c r="O510" s="114"/>
    </row>
    <row r="511" spans="1:15" ht="12.75" customHeight="1" x14ac:dyDescent="0.25">
      <c r="D511" s="143">
        <v>87100</v>
      </c>
      <c r="E511" s="115" t="s">
        <v>2446</v>
      </c>
      <c r="F511" s="115"/>
      <c r="L511" s="114"/>
      <c r="M511" s="114"/>
      <c r="N511" s="114"/>
      <c r="O511" s="114"/>
    </row>
    <row r="512" spans="1:15" ht="12.75" customHeight="1" x14ac:dyDescent="0.25">
      <c r="D512" s="143"/>
      <c r="E512" s="336" t="s">
        <v>2602</v>
      </c>
      <c r="F512" s="458"/>
      <c r="J512" s="114">
        <v>0</v>
      </c>
      <c r="K512" s="114">
        <v>-100000</v>
      </c>
      <c r="L512" s="114">
        <v>-100000</v>
      </c>
      <c r="M512" s="114"/>
      <c r="N512" s="114"/>
      <c r="O512" s="114"/>
    </row>
    <row r="513" spans="4:15" ht="12.75" customHeight="1" x14ac:dyDescent="0.25">
      <c r="D513" s="143"/>
      <c r="E513" s="336" t="s">
        <v>2603</v>
      </c>
      <c r="F513" s="458"/>
      <c r="J513" s="114"/>
      <c r="K513" s="114">
        <v>-50000</v>
      </c>
      <c r="L513" s="114">
        <v>-50000</v>
      </c>
      <c r="M513" s="114"/>
      <c r="N513" s="114"/>
      <c r="O513" s="114"/>
    </row>
    <row r="514" spans="4:15" ht="12.75" customHeight="1" x14ac:dyDescent="0.25">
      <c r="D514" s="143"/>
      <c r="E514" s="1309" t="s">
        <v>2604</v>
      </c>
      <c r="F514" s="458"/>
      <c r="J514" s="114"/>
      <c r="K514" s="114">
        <v>-166700</v>
      </c>
      <c r="L514" s="114">
        <v>-173700</v>
      </c>
      <c r="M514" s="114"/>
      <c r="N514" s="114"/>
      <c r="O514" s="114"/>
    </row>
    <row r="515" spans="4:15" ht="12.75" customHeight="1" x14ac:dyDescent="0.25">
      <c r="D515" s="143"/>
      <c r="E515" s="1309" t="s">
        <v>2605</v>
      </c>
      <c r="F515" s="458"/>
      <c r="J515" s="114">
        <v>-50000</v>
      </c>
      <c r="K515" s="114"/>
      <c r="L515" s="410"/>
      <c r="M515" s="410"/>
      <c r="N515" s="410"/>
      <c r="O515" s="410"/>
    </row>
    <row r="516" spans="4:15" ht="12.75" customHeight="1" thickBot="1" x14ac:dyDescent="0.3">
      <c r="E516" s="115" t="s">
        <v>2606</v>
      </c>
      <c r="F516" s="115"/>
      <c r="J516" s="1744">
        <v>-50000</v>
      </c>
      <c r="K516" s="1744">
        <v>-316700</v>
      </c>
      <c r="L516" s="1744">
        <f>SUM(L511:L515)</f>
        <v>-323700</v>
      </c>
      <c r="M516" s="1744">
        <f>SUM(M511:M515)</f>
        <v>0</v>
      </c>
      <c r="N516" s="1744">
        <f>SUM(N511:N515)</f>
        <v>0</v>
      </c>
      <c r="O516" s="1744">
        <f>SUM(O511:O515)</f>
        <v>0</v>
      </c>
    </row>
    <row r="517" spans="4:15" ht="12.75" customHeight="1" thickTop="1" x14ac:dyDescent="0.25">
      <c r="E517" s="115"/>
      <c r="F517" s="115"/>
      <c r="L517" s="114"/>
      <c r="M517" s="114"/>
      <c r="N517" s="114"/>
      <c r="O517" s="114"/>
    </row>
    <row r="518" spans="4:15" ht="12.75" customHeight="1" x14ac:dyDescent="0.25">
      <c r="D518" s="393">
        <v>613052</v>
      </c>
      <c r="E518" s="381" t="s">
        <v>2383</v>
      </c>
      <c r="F518" s="115"/>
      <c r="L518" s="114"/>
      <c r="M518" s="114"/>
      <c r="N518" s="114"/>
      <c r="O518" s="114"/>
    </row>
    <row r="519" spans="4:15" ht="12.75" customHeight="1" x14ac:dyDescent="0.25">
      <c r="D519" s="115"/>
      <c r="E519" s="383" t="s">
        <v>2607</v>
      </c>
      <c r="F519" s="115"/>
      <c r="L519" s="114"/>
      <c r="M519" s="114"/>
      <c r="N519" s="114"/>
      <c r="O519" s="114"/>
    </row>
    <row r="520" spans="4:15" ht="12.75" customHeight="1" x14ac:dyDescent="0.25">
      <c r="D520" s="143">
        <v>87100</v>
      </c>
      <c r="E520" s="115" t="s">
        <v>2608</v>
      </c>
      <c r="F520" s="115"/>
      <c r="L520" s="114"/>
      <c r="M520" s="114"/>
      <c r="N520" s="114"/>
      <c r="O520" s="114"/>
    </row>
    <row r="521" spans="4:15" ht="12.75" customHeight="1" x14ac:dyDescent="0.25">
      <c r="E521" s="492" t="s">
        <v>2609</v>
      </c>
      <c r="F521" s="492" t="s">
        <v>2610</v>
      </c>
      <c r="J521" s="114">
        <v>-156566</v>
      </c>
      <c r="K521" s="114">
        <v>-160018</v>
      </c>
      <c r="L521" s="114">
        <v>0</v>
      </c>
      <c r="M521" s="114">
        <v>0</v>
      </c>
      <c r="N521" s="114">
        <v>0</v>
      </c>
      <c r="O521" s="114">
        <v>0</v>
      </c>
    </row>
    <row r="522" spans="4:15" ht="12.75" customHeight="1" x14ac:dyDescent="0.25">
      <c r="E522" s="492" t="s">
        <v>2611</v>
      </c>
      <c r="F522" s="492" t="s">
        <v>2612</v>
      </c>
      <c r="J522" s="114">
        <v>-189476</v>
      </c>
      <c r="K522" s="114">
        <v>-211987</v>
      </c>
      <c r="L522" s="114">
        <v>-216227</v>
      </c>
      <c r="M522" s="114">
        <v>-220552</v>
      </c>
      <c r="N522" s="114">
        <v>-224963</v>
      </c>
      <c r="O522" s="544">
        <v>0</v>
      </c>
    </row>
    <row r="523" spans="4:15" ht="12.75" customHeight="1" x14ac:dyDescent="0.25">
      <c r="E523" s="492" t="s">
        <v>2613</v>
      </c>
      <c r="F523" s="492" t="s">
        <v>2614</v>
      </c>
      <c r="J523" s="114">
        <v>-55629</v>
      </c>
      <c r="K523" s="114"/>
      <c r="L523" s="114"/>
      <c r="M523" s="114"/>
      <c r="N523" s="114"/>
      <c r="O523" s="114"/>
    </row>
    <row r="524" spans="4:15" ht="12.75" customHeight="1" x14ac:dyDescent="0.25">
      <c r="E524" s="492" t="s">
        <v>2615</v>
      </c>
      <c r="F524" s="492" t="s">
        <v>2616</v>
      </c>
      <c r="J524" s="114">
        <v>-90447</v>
      </c>
      <c r="K524" s="114">
        <v>-95196</v>
      </c>
      <c r="L524" s="114">
        <v>-97100</v>
      </c>
      <c r="M524" s="114">
        <v>-99042</v>
      </c>
      <c r="N524" s="114">
        <v>-101023</v>
      </c>
      <c r="O524" s="544">
        <v>0</v>
      </c>
    </row>
    <row r="525" spans="4:15" ht="12.75" customHeight="1" x14ac:dyDescent="0.25">
      <c r="E525" s="604" t="s">
        <v>2617</v>
      </c>
      <c r="F525" s="492" t="s">
        <v>2618</v>
      </c>
      <c r="J525" s="114">
        <v>-10372</v>
      </c>
      <c r="K525" s="114"/>
      <c r="L525" s="114"/>
      <c r="M525" s="114"/>
      <c r="N525" s="114"/>
      <c r="O525" s="114"/>
    </row>
    <row r="526" spans="4:15" ht="12.75" customHeight="1" x14ac:dyDescent="0.25">
      <c r="D526" s="541"/>
      <c r="E526" s="492" t="s">
        <v>2619</v>
      </c>
      <c r="F526" s="492" t="s">
        <v>2620</v>
      </c>
      <c r="J526" s="114">
        <v>0</v>
      </c>
      <c r="K526" s="114">
        <v>0</v>
      </c>
      <c r="L526" s="114">
        <v>0</v>
      </c>
      <c r="M526" s="114">
        <v>0</v>
      </c>
      <c r="N526" s="114">
        <v>0</v>
      </c>
      <c r="O526" s="114">
        <v>0</v>
      </c>
    </row>
    <row r="527" spans="4:15" ht="12.75" customHeight="1" thickBot="1" x14ac:dyDescent="0.3">
      <c r="E527" s="115" t="s">
        <v>2621</v>
      </c>
      <c r="F527" s="115"/>
      <c r="J527" s="1744">
        <v>-502490</v>
      </c>
      <c r="K527" s="1744">
        <v>-467201</v>
      </c>
      <c r="L527" s="1971">
        <f>SUM(L520:L526)</f>
        <v>-313327</v>
      </c>
      <c r="M527" s="1971">
        <f t="shared" ref="M527:N527" si="200">SUM(M520:M526)</f>
        <v>-319594</v>
      </c>
      <c r="N527" s="1971">
        <f t="shared" si="200"/>
        <v>-325986</v>
      </c>
      <c r="O527" s="1971">
        <f t="shared" ref="O527" si="201">SUM(O520:O526)</f>
        <v>0</v>
      </c>
    </row>
    <row r="528" spans="4:15" ht="12.75" customHeight="1" thickTop="1" x14ac:dyDescent="0.25">
      <c r="E528" s="115"/>
      <c r="F528" s="115"/>
      <c r="L528" s="114"/>
      <c r="M528" s="114"/>
      <c r="N528" s="114"/>
      <c r="O528" s="114"/>
    </row>
    <row r="529" spans="4:15" ht="12.75" customHeight="1" x14ac:dyDescent="0.25">
      <c r="D529" s="393">
        <v>613053</v>
      </c>
      <c r="E529" s="381" t="s">
        <v>2384</v>
      </c>
      <c r="F529" s="115"/>
      <c r="L529" s="410"/>
      <c r="M529" s="410"/>
      <c r="N529" s="410"/>
      <c r="O529" s="410"/>
    </row>
    <row r="530" spans="4:15" ht="12.75" customHeight="1" x14ac:dyDescent="0.25">
      <c r="D530" s="115"/>
      <c r="E530" s="383" t="s">
        <v>2622</v>
      </c>
      <c r="F530" s="115"/>
    </row>
    <row r="531" spans="4:15" ht="12.75" customHeight="1" x14ac:dyDescent="0.25">
      <c r="D531" s="1297">
        <v>87100</v>
      </c>
      <c r="E531" s="115" t="s">
        <v>2446</v>
      </c>
      <c r="F531" s="115"/>
    </row>
    <row r="532" spans="4:15" ht="12.75" customHeight="1" x14ac:dyDescent="0.25">
      <c r="D532" s="115"/>
      <c r="E532" s="1309" t="s">
        <v>2623</v>
      </c>
      <c r="F532" s="458"/>
      <c r="J532" s="114"/>
      <c r="K532" s="114"/>
    </row>
    <row r="533" spans="4:15" ht="12.75" customHeight="1" x14ac:dyDescent="0.25">
      <c r="D533" s="115"/>
      <c r="E533" s="1309" t="s">
        <v>2624</v>
      </c>
      <c r="F533" s="458"/>
      <c r="J533" s="114">
        <v>0</v>
      </c>
      <c r="K533" s="114">
        <v>0</v>
      </c>
      <c r="L533" s="114">
        <v>0</v>
      </c>
      <c r="M533" s="114">
        <v>0</v>
      </c>
      <c r="N533" s="114">
        <v>0</v>
      </c>
      <c r="O533" s="114">
        <v>0</v>
      </c>
    </row>
    <row r="534" spans="4:15" ht="12.75" customHeight="1" x14ac:dyDescent="0.25">
      <c r="D534" s="115"/>
      <c r="E534" s="336" t="s">
        <v>2625</v>
      </c>
      <c r="F534" s="458"/>
      <c r="J534" s="114"/>
      <c r="K534" s="114">
        <v>-250000</v>
      </c>
      <c r="L534" s="114">
        <v>-312500</v>
      </c>
      <c r="M534" s="114"/>
      <c r="N534" s="114"/>
      <c r="O534" s="114"/>
    </row>
    <row r="535" spans="4:15" ht="12.75" customHeight="1" thickBot="1" x14ac:dyDescent="0.3">
      <c r="D535" s="1297"/>
      <c r="E535" s="115" t="s">
        <v>2626</v>
      </c>
      <c r="F535" s="115"/>
      <c r="J535" s="1744">
        <f>SUM(J533:J534)</f>
        <v>0</v>
      </c>
      <c r="K535" s="1744">
        <v>-250000</v>
      </c>
      <c r="L535" s="1744">
        <f t="shared" ref="L535:N535" si="202">SUM(L533:L534)</f>
        <v>-312500</v>
      </c>
      <c r="M535" s="1744">
        <f t="shared" si="202"/>
        <v>0</v>
      </c>
      <c r="N535" s="1744">
        <f t="shared" si="202"/>
        <v>0</v>
      </c>
      <c r="O535" s="1744">
        <f t="shared" ref="O535" si="203">SUM(O533:O534)</f>
        <v>0</v>
      </c>
    </row>
    <row r="536" spans="4:15" ht="12.75" customHeight="1" thickTop="1" x14ac:dyDescent="0.25">
      <c r="D536" s="1310"/>
      <c r="E536" s="1297"/>
      <c r="F536" s="1297"/>
      <c r="G536" s="1298"/>
    </row>
    <row r="537" spans="4:15" ht="12.75" customHeight="1" x14ac:dyDescent="0.25">
      <c r="D537" s="1310"/>
      <c r="E537" s="1297"/>
      <c r="F537" s="1297"/>
    </row>
    <row r="538" spans="4:15" ht="12.75" customHeight="1" x14ac:dyDescent="0.25">
      <c r="D538" s="1310"/>
      <c r="E538" s="1297"/>
      <c r="F538" s="1297"/>
    </row>
  </sheetData>
  <mergeCells count="3">
    <mergeCell ref="D87:D88"/>
    <mergeCell ref="F87:F88"/>
    <mergeCell ref="G87:H88"/>
  </mergeCells>
  <hyperlinks>
    <hyperlink ref="A1" location="Inhoudsopgave!A1" display="Inhoudsopgave" xr:uid="{FD67B4DA-BBAF-4253-AF62-C2091B5673D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84" min="3" max="14" man="1"/>
    <brk id="164" min="3" max="14" man="1"/>
    <brk id="223" min="3" max="14" man="1"/>
    <brk id="313" min="3" max="14" man="1"/>
    <brk id="377" min="3" max="14" man="1"/>
    <brk id="449" min="3"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7167-87B2-4E26-AF56-69F6A9E9C07D}">
  <sheetPr codeName="Blad43"/>
  <dimension ref="A1:W90"/>
  <sheetViews>
    <sheetView showGridLines="0" view="pageBreakPreview" topLeftCell="A43" zoomScaleNormal="100" zoomScaleSheetLayoutView="100" workbookViewId="0"/>
  </sheetViews>
  <sheetFormatPr defaultColWidth="9.109375" defaultRowHeight="12.75" customHeight="1" x14ac:dyDescent="0.25"/>
  <cols>
    <col min="1" max="3" width="9.109375" style="115"/>
    <col min="4" max="4" width="9.6640625" style="301" customWidth="1"/>
    <col min="5" max="6" width="9.6640625" style="143" customWidth="1"/>
    <col min="7" max="9" width="12.6640625" style="115" customWidth="1"/>
    <col min="10" max="15" width="11.6640625" style="115" customWidth="1"/>
    <col min="16" max="16" width="9.109375" style="115"/>
    <col min="17" max="17" width="11" style="115" bestFit="1" customWidth="1"/>
    <col min="18"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1296"/>
      <c r="E3" s="1297"/>
      <c r="F3" s="1297"/>
      <c r="G3" s="1298"/>
      <c r="H3" s="1298"/>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1296"/>
      <c r="E4" s="1297"/>
      <c r="F4" s="1297"/>
      <c r="G4" s="1298"/>
      <c r="H4" s="1298"/>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2627</v>
      </c>
    </row>
    <row r="20" spans="1:20" ht="12.75" customHeight="1" x14ac:dyDescent="0.3">
      <c r="A20" s="31"/>
      <c r="D20" s="452" t="s">
        <v>507</v>
      </c>
      <c r="E20" s="438"/>
      <c r="F20" s="438"/>
      <c r="G20" s="453"/>
      <c r="H20" s="453"/>
      <c r="I20" s="453"/>
      <c r="J20" s="453"/>
      <c r="K20" s="453"/>
      <c r="L20" s="453"/>
      <c r="M20" s="453"/>
      <c r="N20" s="453"/>
      <c r="O20" s="453"/>
    </row>
    <row r="21" spans="1:20" ht="12.75" customHeight="1" x14ac:dyDescent="0.3">
      <c r="A21" s="31"/>
      <c r="D21" s="438"/>
      <c r="E21" s="438"/>
      <c r="F21" s="438"/>
      <c r="G21" s="453"/>
      <c r="H21" s="453"/>
      <c r="I21" s="453"/>
      <c r="J21" s="453"/>
      <c r="K21" s="453"/>
      <c r="L21" s="453"/>
      <c r="M21" s="453"/>
      <c r="N21" s="453"/>
      <c r="O21" s="453"/>
    </row>
    <row r="22" spans="1:20" ht="12.75" customHeight="1" x14ac:dyDescent="0.3">
      <c r="A22" s="31"/>
      <c r="D22" s="1746" t="s">
        <v>508</v>
      </c>
      <c r="E22" s="1747"/>
      <c r="F22" s="1747"/>
      <c r="G22" s="1748"/>
      <c r="H22" s="1748"/>
      <c r="I22" s="1749"/>
      <c r="J22" s="1749">
        <v>2025</v>
      </c>
      <c r="K22" s="1749">
        <v>2026</v>
      </c>
      <c r="L22" s="1749">
        <v>2027</v>
      </c>
      <c r="M22" s="1749">
        <v>2028</v>
      </c>
      <c r="N22" s="1749">
        <v>2029</v>
      </c>
      <c r="O22" s="1749">
        <v>2030</v>
      </c>
    </row>
    <row r="23" spans="1:20" ht="12.75" customHeight="1" x14ac:dyDescent="0.3">
      <c r="A23" s="31"/>
      <c r="D23" s="454" t="str">
        <f>G67</f>
        <v>Rekeningsaldo</v>
      </c>
      <c r="E23" s="455"/>
      <c r="F23" s="456"/>
      <c r="G23" s="453"/>
      <c r="H23" s="453"/>
      <c r="I23" s="518"/>
      <c r="J23" s="25">
        <v>0</v>
      </c>
      <c r="K23" s="25">
        <v>0</v>
      </c>
      <c r="L23" s="25">
        <v>0</v>
      </c>
      <c r="M23" s="25">
        <v>0</v>
      </c>
      <c r="N23" s="25">
        <v>0</v>
      </c>
      <c r="O23" s="25">
        <v>0</v>
      </c>
    </row>
    <row r="24" spans="1:20" ht="12.75" customHeight="1" x14ac:dyDescent="0.3">
      <c r="A24" s="31"/>
      <c r="D24" s="454" t="s">
        <v>2628</v>
      </c>
      <c r="E24" s="455"/>
      <c r="F24" s="456"/>
      <c r="G24" s="453"/>
      <c r="H24" s="453"/>
      <c r="I24" s="518"/>
      <c r="J24" s="28">
        <f t="shared" ref="J24:M24" si="0">J75</f>
        <v>0</v>
      </c>
      <c r="K24" s="28">
        <v>0</v>
      </c>
      <c r="L24" s="28">
        <f t="shared" si="0"/>
        <v>0</v>
      </c>
      <c r="M24" s="28">
        <f t="shared" si="0"/>
        <v>0</v>
      </c>
      <c r="N24" s="28">
        <f t="shared" ref="N24:O24" si="1">N75</f>
        <v>0</v>
      </c>
      <c r="O24" s="28">
        <f t="shared" si="1"/>
        <v>0</v>
      </c>
      <c r="Q24" s="114"/>
    </row>
    <row r="25" spans="1:20" ht="12.75" customHeight="1" x14ac:dyDescent="0.3">
      <c r="A25" s="31"/>
      <c r="D25" s="454"/>
      <c r="E25" s="455"/>
      <c r="F25" s="456"/>
      <c r="G25" s="453"/>
      <c r="H25" s="453"/>
      <c r="I25" s="518"/>
      <c r="J25" s="28"/>
      <c r="K25" s="28"/>
      <c r="L25" s="28"/>
      <c r="M25" s="28"/>
      <c r="N25" s="28"/>
      <c r="O25" s="28"/>
    </row>
    <row r="26" spans="1:20" ht="12.75" customHeight="1" x14ac:dyDescent="0.3">
      <c r="A26" s="31"/>
      <c r="D26" s="454"/>
      <c r="E26" s="455"/>
      <c r="F26" s="456"/>
      <c r="G26" s="453"/>
      <c r="H26" s="453"/>
      <c r="I26" s="518"/>
      <c r="J26" s="28"/>
      <c r="K26" s="28"/>
      <c r="L26" s="28"/>
      <c r="M26" s="28"/>
      <c r="N26" s="28"/>
      <c r="O26" s="28"/>
      <c r="Q26" s="114"/>
      <c r="T26" s="310"/>
    </row>
    <row r="27" spans="1:20" ht="12.75" customHeight="1" x14ac:dyDescent="0.3">
      <c r="A27" s="31"/>
      <c r="D27" s="454"/>
      <c r="E27" s="455"/>
      <c r="F27" s="456"/>
      <c r="G27" s="453"/>
      <c r="H27" s="453"/>
      <c r="I27" s="518"/>
      <c r="J27" s="28"/>
      <c r="K27" s="28"/>
      <c r="L27" s="28"/>
      <c r="M27" s="28"/>
      <c r="N27" s="28"/>
      <c r="O27" s="28"/>
      <c r="Q27" s="114"/>
      <c r="T27" s="310"/>
    </row>
    <row r="28" spans="1:20" ht="12.75" customHeight="1" x14ac:dyDescent="0.3">
      <c r="A28" s="31"/>
      <c r="D28" s="454"/>
      <c r="E28" s="455"/>
      <c r="F28" s="456"/>
      <c r="G28" s="453"/>
      <c r="H28" s="453"/>
      <c r="I28" s="518"/>
      <c r="J28" s="28"/>
      <c r="K28" s="28"/>
      <c r="L28" s="28"/>
      <c r="M28" s="28"/>
      <c r="N28" s="28"/>
      <c r="O28" s="28"/>
      <c r="Q28" s="114"/>
      <c r="T28" s="310"/>
    </row>
    <row r="29" spans="1:20" ht="12.75" customHeight="1" x14ac:dyDescent="0.3">
      <c r="A29" s="31"/>
      <c r="D29" s="454"/>
      <c r="E29" s="455"/>
      <c r="F29" s="456"/>
      <c r="G29" s="453"/>
      <c r="H29" s="453"/>
      <c r="I29" s="518"/>
      <c r="J29" s="28"/>
      <c r="K29" s="28"/>
      <c r="L29" s="28"/>
      <c r="M29" s="28"/>
      <c r="N29" s="28"/>
      <c r="O29" s="28"/>
      <c r="Q29" s="114"/>
      <c r="T29" s="310"/>
    </row>
    <row r="30" spans="1:20" ht="12.75" customHeight="1" x14ac:dyDescent="0.3">
      <c r="A30" s="31"/>
      <c r="D30" s="454"/>
      <c r="E30" s="455"/>
      <c r="F30" s="456"/>
      <c r="G30" s="453"/>
      <c r="H30" s="453" t="s">
        <v>2219</v>
      </c>
      <c r="I30" s="518"/>
      <c r="J30" s="28"/>
      <c r="K30" s="28"/>
      <c r="L30" s="28"/>
      <c r="M30" s="28"/>
      <c r="N30" s="28"/>
      <c r="O30" s="28"/>
      <c r="Q30" s="114"/>
      <c r="T30" s="310"/>
    </row>
    <row r="31" spans="1:20" ht="12.75" customHeight="1" x14ac:dyDescent="0.3">
      <c r="A31" s="31"/>
      <c r="D31" s="454"/>
      <c r="E31" s="455"/>
      <c r="F31" s="456"/>
      <c r="G31" s="453"/>
      <c r="H31" s="453"/>
      <c r="I31" s="518"/>
      <c r="J31" s="28"/>
      <c r="K31" s="28"/>
      <c r="L31" s="28"/>
      <c r="M31" s="28"/>
      <c r="N31" s="28"/>
      <c r="O31" s="28"/>
      <c r="Q31" s="114"/>
      <c r="T31" s="310"/>
    </row>
    <row r="32" spans="1:20" ht="12.75" customHeight="1" x14ac:dyDescent="0.3">
      <c r="A32" s="31"/>
      <c r="D32" s="454"/>
      <c r="E32" s="455"/>
      <c r="F32" s="456"/>
      <c r="G32" s="453"/>
      <c r="H32" s="453"/>
      <c r="I32" s="518"/>
      <c r="J32" s="28"/>
      <c r="K32" s="28"/>
      <c r="L32" s="28"/>
      <c r="M32" s="28"/>
      <c r="N32" s="28"/>
      <c r="O32" s="28"/>
      <c r="Q32" s="114"/>
      <c r="T32" s="310"/>
    </row>
    <row r="33" spans="1:20" ht="12.75" customHeight="1" x14ac:dyDescent="0.3">
      <c r="A33" s="31"/>
      <c r="D33" s="454"/>
      <c r="E33" s="455"/>
      <c r="F33" s="456"/>
      <c r="G33" s="453"/>
      <c r="H33" s="453"/>
      <c r="I33" s="518"/>
      <c r="J33" s="28"/>
      <c r="K33" s="28"/>
      <c r="L33" s="28"/>
      <c r="M33" s="28"/>
      <c r="N33" s="28"/>
      <c r="O33" s="28"/>
      <c r="Q33" s="114"/>
      <c r="T33" s="310"/>
    </row>
    <row r="34" spans="1:20" ht="12.75" customHeight="1" x14ac:dyDescent="0.3">
      <c r="A34" s="31"/>
      <c r="D34" s="454"/>
      <c r="E34" s="455"/>
      <c r="F34" s="456"/>
      <c r="G34" s="453"/>
      <c r="H34" s="453"/>
      <c r="I34" s="518"/>
      <c r="J34" s="28"/>
      <c r="K34" s="28"/>
      <c r="L34" s="28"/>
      <c r="M34" s="28"/>
      <c r="N34" s="28"/>
      <c r="O34" s="28"/>
      <c r="Q34" s="114"/>
      <c r="T34" s="310"/>
    </row>
    <row r="35" spans="1:20" ht="12.75" customHeight="1" x14ac:dyDescent="0.3">
      <c r="A35" s="31"/>
      <c r="D35" s="454"/>
      <c r="E35" s="455"/>
      <c r="F35" s="456"/>
      <c r="G35" s="453"/>
      <c r="H35" s="453"/>
      <c r="I35" s="518"/>
      <c r="J35" s="28"/>
      <c r="K35" s="28"/>
      <c r="L35" s="28"/>
      <c r="M35" s="28"/>
      <c r="N35" s="28"/>
      <c r="O35" s="28"/>
      <c r="Q35" s="114"/>
      <c r="T35" s="310"/>
    </row>
    <row r="36" spans="1:20" ht="12.75" customHeight="1" x14ac:dyDescent="0.3">
      <c r="A36" s="31"/>
      <c r="D36" s="454"/>
      <c r="E36" s="455"/>
      <c r="F36" s="456"/>
      <c r="G36" s="453"/>
      <c r="H36" s="453"/>
      <c r="I36" s="518"/>
      <c r="J36" s="26"/>
      <c r="K36" s="26"/>
      <c r="L36" s="26"/>
      <c r="M36" s="26"/>
      <c r="N36" s="26"/>
      <c r="O36" s="26"/>
      <c r="Q36" s="114"/>
      <c r="T36" s="310"/>
    </row>
    <row r="37" spans="1:20" ht="12.75" customHeight="1" x14ac:dyDescent="0.3">
      <c r="A37" s="31"/>
      <c r="D37" s="1751" t="s">
        <v>525</v>
      </c>
      <c r="E37" s="1752"/>
      <c r="F37" s="1753"/>
      <c r="G37" s="1754"/>
      <c r="H37" s="1754"/>
      <c r="I37" s="1757"/>
      <c r="J37" s="1755">
        <f>SUM(J23:J36)</f>
        <v>0</v>
      </c>
      <c r="K37" s="1755">
        <v>0</v>
      </c>
      <c r="L37" s="1755">
        <f>SUM(L23:L36)</f>
        <v>0</v>
      </c>
      <c r="M37" s="1755">
        <f>SUM(M23:M36)</f>
        <v>0</v>
      </c>
      <c r="N37" s="1755">
        <f>SUM(N23:N36)</f>
        <v>0</v>
      </c>
      <c r="O37" s="1755">
        <f>SUM(O23:O36)</f>
        <v>0</v>
      </c>
      <c r="Q37" s="114"/>
      <c r="T37" s="310"/>
    </row>
    <row r="38" spans="1:20" ht="12.75" customHeight="1" x14ac:dyDescent="0.3">
      <c r="A38" s="31"/>
      <c r="D38" s="438"/>
      <c r="E38" s="455"/>
      <c r="F38" s="456"/>
      <c r="G38" s="453"/>
      <c r="H38" s="453"/>
      <c r="I38" s="453"/>
      <c r="J38" s="453"/>
      <c r="K38" s="453"/>
      <c r="L38" s="453"/>
      <c r="M38" s="453"/>
      <c r="N38" s="453"/>
      <c r="O38" s="453"/>
    </row>
    <row r="39" spans="1:20" ht="12.75" customHeight="1" x14ac:dyDescent="0.3">
      <c r="A39" s="31"/>
      <c r="D39" s="1746" t="s">
        <v>526</v>
      </c>
      <c r="E39" s="1747"/>
      <c r="F39" s="1747"/>
      <c r="G39" s="1748"/>
      <c r="H39" s="1748"/>
      <c r="I39" s="1749"/>
      <c r="J39" s="1749">
        <v>2025</v>
      </c>
      <c r="K39" s="1749">
        <v>2026</v>
      </c>
      <c r="L39" s="1749">
        <v>2027</v>
      </c>
      <c r="M39" s="1749">
        <v>2028</v>
      </c>
      <c r="N39" s="1749">
        <v>2029</v>
      </c>
      <c r="O39" s="1749">
        <v>2030</v>
      </c>
    </row>
    <row r="40" spans="1:20" ht="12.75" customHeight="1" x14ac:dyDescent="0.3">
      <c r="A40" s="31"/>
      <c r="D40" s="454"/>
      <c r="E40" s="455"/>
      <c r="F40" s="456"/>
      <c r="G40" s="453"/>
      <c r="H40" s="453"/>
      <c r="I40" s="518"/>
      <c r="J40" s="457"/>
      <c r="K40" s="457"/>
      <c r="L40" s="457"/>
      <c r="M40" s="457"/>
      <c r="N40" s="457"/>
      <c r="O40" s="457"/>
      <c r="R40" s="381"/>
      <c r="S40" s="381"/>
    </row>
    <row r="41" spans="1:20" ht="12.75" customHeight="1" x14ac:dyDescent="0.3">
      <c r="A41" s="31"/>
      <c r="D41" s="454"/>
      <c r="E41" s="455"/>
      <c r="F41" s="456"/>
      <c r="G41" s="453"/>
      <c r="H41" s="453"/>
      <c r="I41" s="518"/>
      <c r="J41" s="457"/>
      <c r="K41" s="457"/>
      <c r="L41" s="457"/>
      <c r="M41" s="457"/>
      <c r="N41" s="457"/>
      <c r="O41" s="457"/>
      <c r="R41" s="310"/>
      <c r="S41" s="310"/>
    </row>
    <row r="42" spans="1:20" ht="12.75" customHeight="1" x14ac:dyDescent="0.3">
      <c r="A42" s="31"/>
      <c r="D42" s="454"/>
      <c r="E42" s="455"/>
      <c r="F42" s="456"/>
      <c r="G42" s="453"/>
      <c r="H42" s="453"/>
      <c r="I42" s="518"/>
      <c r="J42" s="457"/>
      <c r="K42" s="457"/>
      <c r="L42" s="457"/>
      <c r="M42" s="457"/>
      <c r="N42" s="457"/>
      <c r="O42" s="457"/>
      <c r="R42" s="310"/>
    </row>
    <row r="43" spans="1:20" ht="12.75" customHeight="1" x14ac:dyDescent="0.3">
      <c r="A43" s="31"/>
      <c r="D43" s="454"/>
      <c r="E43" s="455"/>
      <c r="F43" s="456"/>
      <c r="G43" s="453"/>
      <c r="H43" s="453"/>
      <c r="I43" s="518"/>
      <c r="J43" s="457"/>
      <c r="K43" s="457"/>
      <c r="L43" s="457"/>
      <c r="M43" s="457"/>
      <c r="N43" s="457"/>
      <c r="O43" s="457"/>
    </row>
    <row r="44" spans="1:20" ht="12.75" customHeight="1" x14ac:dyDescent="0.3">
      <c r="A44" s="31"/>
      <c r="D44" s="454"/>
      <c r="E44" s="455"/>
      <c r="F44" s="456"/>
      <c r="G44" s="453"/>
      <c r="H44" s="453"/>
      <c r="I44" s="518"/>
      <c r="J44" s="463"/>
      <c r="K44" s="463"/>
      <c r="L44" s="463"/>
      <c r="M44" s="463"/>
      <c r="N44" s="463"/>
      <c r="O44" s="463"/>
      <c r="Q44" s="114"/>
      <c r="T44" s="310"/>
    </row>
    <row r="45" spans="1:20" ht="12.75" customHeight="1" x14ac:dyDescent="0.3">
      <c r="A45" s="31"/>
      <c r="D45" s="454"/>
      <c r="E45" s="455"/>
      <c r="F45" s="456"/>
      <c r="G45" s="453"/>
      <c r="H45" s="453"/>
      <c r="I45" s="518"/>
      <c r="J45" s="463"/>
      <c r="K45" s="463"/>
      <c r="L45" s="463"/>
      <c r="M45" s="463"/>
      <c r="N45" s="463"/>
      <c r="O45" s="463"/>
      <c r="Q45" s="114"/>
      <c r="T45" s="310"/>
    </row>
    <row r="46" spans="1:20" ht="12.75" customHeight="1" x14ac:dyDescent="0.3">
      <c r="A46" s="31"/>
      <c r="D46" s="454"/>
      <c r="E46" s="455"/>
      <c r="F46" s="456"/>
      <c r="G46" s="453"/>
      <c r="H46" s="453"/>
      <c r="I46" s="518"/>
      <c r="J46" s="463"/>
      <c r="K46" s="463"/>
      <c r="L46" s="463"/>
      <c r="M46" s="463"/>
      <c r="N46" s="463"/>
      <c r="O46" s="463"/>
      <c r="Q46" s="114"/>
      <c r="T46" s="310"/>
    </row>
    <row r="47" spans="1:20" ht="12.75" customHeight="1" x14ac:dyDescent="0.3">
      <c r="A47" s="31"/>
      <c r="D47" s="454"/>
      <c r="E47" s="455"/>
      <c r="F47" s="456"/>
      <c r="G47" s="453"/>
      <c r="H47" s="453"/>
      <c r="I47" s="518"/>
      <c r="J47" s="463"/>
      <c r="K47" s="463"/>
      <c r="L47" s="463"/>
      <c r="M47" s="463"/>
      <c r="N47" s="463"/>
      <c r="O47" s="463"/>
      <c r="Q47" s="114"/>
      <c r="T47" s="310"/>
    </row>
    <row r="48" spans="1:20" ht="12.75" customHeight="1" x14ac:dyDescent="0.3">
      <c r="A48" s="31"/>
      <c r="D48" s="464"/>
      <c r="E48" s="465"/>
      <c r="F48" s="466"/>
      <c r="G48" s="467"/>
      <c r="H48" s="467"/>
      <c r="I48" s="518"/>
      <c r="J48" s="463"/>
      <c r="K48" s="463"/>
      <c r="L48" s="463"/>
      <c r="M48" s="463"/>
      <c r="N48" s="463"/>
      <c r="O48" s="463"/>
      <c r="Q48" s="114"/>
      <c r="T48" s="310"/>
    </row>
    <row r="49" spans="1:20" ht="12.75" customHeight="1" x14ac:dyDescent="0.3">
      <c r="A49" s="31"/>
      <c r="D49" s="1751" t="s">
        <v>328</v>
      </c>
      <c r="E49" s="1752"/>
      <c r="F49" s="1753"/>
      <c r="G49" s="1754"/>
      <c r="H49" s="1754"/>
      <c r="I49" s="1757"/>
      <c r="J49" s="1755">
        <f>SUM(J40:J48)</f>
        <v>0</v>
      </c>
      <c r="K49" s="1755">
        <v>0</v>
      </c>
      <c r="L49" s="1755">
        <f>SUM(L40:L48)</f>
        <v>0</v>
      </c>
      <c r="M49" s="1755">
        <f>SUM(M40:M48)</f>
        <v>0</v>
      </c>
      <c r="N49" s="1755">
        <f>SUM(N40:N48)</f>
        <v>0</v>
      </c>
      <c r="O49" s="1755">
        <f>SUM(O40:O48)</f>
        <v>0</v>
      </c>
      <c r="Q49" s="114"/>
      <c r="T49" s="310"/>
    </row>
    <row r="50" spans="1:20" ht="12.75" customHeight="1" x14ac:dyDescent="0.3">
      <c r="A50" s="31"/>
      <c r="D50" s="438"/>
      <c r="E50" s="455"/>
      <c r="F50" s="456"/>
      <c r="G50" s="453"/>
      <c r="H50" s="453"/>
      <c r="I50" s="453"/>
      <c r="J50" s="469"/>
      <c r="K50" s="469"/>
      <c r="L50" s="469"/>
      <c r="M50" s="469"/>
      <c r="N50" s="469"/>
      <c r="O50" s="469"/>
      <c r="Q50" s="114"/>
      <c r="T50" s="310"/>
    </row>
    <row r="51" spans="1:20" ht="12.75" customHeight="1" x14ac:dyDescent="0.3">
      <c r="A51" s="31"/>
      <c r="D51" s="1751" t="s">
        <v>527</v>
      </c>
      <c r="E51" s="1756"/>
      <c r="F51" s="1756"/>
      <c r="G51" s="1754"/>
      <c r="H51" s="1754"/>
      <c r="I51" s="1754"/>
      <c r="J51" s="1758">
        <f>J37+J49</f>
        <v>0</v>
      </c>
      <c r="K51" s="1758">
        <v>0</v>
      </c>
      <c r="L51" s="1758">
        <f>L37+L49</f>
        <v>0</v>
      </c>
      <c r="M51" s="1758">
        <f>M37+M49</f>
        <v>0</v>
      </c>
      <c r="N51" s="1758">
        <f>N37+N49</f>
        <v>0</v>
      </c>
      <c r="O51" s="1758">
        <f>O37+O49</f>
        <v>0</v>
      </c>
      <c r="Q51" s="114"/>
      <c r="T51" s="310"/>
    </row>
    <row r="52" spans="1:20" ht="12.75" customHeight="1" x14ac:dyDescent="0.3">
      <c r="A52" s="31"/>
      <c r="D52" s="438"/>
      <c r="E52" s="455"/>
      <c r="F52" s="456"/>
      <c r="G52" s="453"/>
      <c r="H52" s="453"/>
      <c r="I52" s="453"/>
      <c r="J52" s="469"/>
      <c r="K52" s="469"/>
      <c r="L52" s="469"/>
      <c r="M52" s="469"/>
      <c r="N52" s="469"/>
      <c r="O52" s="469"/>
      <c r="Q52" s="114"/>
      <c r="T52" s="310"/>
    </row>
    <row r="53" spans="1:20" ht="12.75" customHeight="1" x14ac:dyDescent="0.3">
      <c r="A53" s="31"/>
      <c r="D53" s="438"/>
      <c r="E53" s="455"/>
      <c r="F53" s="456"/>
      <c r="G53" s="453"/>
      <c r="H53" s="453"/>
      <c r="I53" s="453"/>
      <c r="J53" s="469"/>
      <c r="K53" s="469"/>
      <c r="L53" s="469"/>
      <c r="M53" s="469"/>
      <c r="N53" s="469"/>
      <c r="O53" s="469"/>
      <c r="Q53" s="114"/>
      <c r="T53" s="310"/>
    </row>
    <row r="54" spans="1:20" ht="12.75" customHeight="1" x14ac:dyDescent="0.3">
      <c r="A54" s="31"/>
      <c r="D54" s="1857" t="s">
        <v>2129</v>
      </c>
      <c r="E54" s="748"/>
      <c r="F54" s="748"/>
      <c r="G54" s="618"/>
      <c r="H54" s="618"/>
      <c r="I54" s="1763"/>
      <c r="J54" s="1749">
        <v>2025</v>
      </c>
      <c r="K54" s="1749">
        <v>2026</v>
      </c>
      <c r="L54" s="1749">
        <v>2027</v>
      </c>
      <c r="M54" s="1749">
        <v>2028</v>
      </c>
      <c r="N54" s="1749">
        <v>2029</v>
      </c>
      <c r="O54" s="1749">
        <v>2030</v>
      </c>
      <c r="Q54" s="114"/>
      <c r="T54" s="310"/>
    </row>
    <row r="55" spans="1:20" ht="12.75" customHeight="1" x14ac:dyDescent="0.3">
      <c r="A55" s="31"/>
      <c r="D55" s="1808" t="s">
        <v>2130</v>
      </c>
      <c r="E55" s="749"/>
      <c r="F55" s="749"/>
      <c r="G55" s="618"/>
      <c r="H55" s="618"/>
      <c r="I55" s="618"/>
      <c r="J55" s="1869">
        <v>0</v>
      </c>
      <c r="K55" s="1869">
        <v>0</v>
      </c>
      <c r="L55" s="1869">
        <v>0</v>
      </c>
      <c r="M55" s="1869">
        <v>0</v>
      </c>
      <c r="N55" s="1869">
        <v>0</v>
      </c>
      <c r="O55" s="1869">
        <v>0</v>
      </c>
      <c r="Q55" s="114"/>
      <c r="T55" s="310"/>
    </row>
    <row r="56" spans="1:20" ht="12.75" customHeight="1" x14ac:dyDescent="0.3">
      <c r="A56" s="31"/>
      <c r="D56" s="464" t="s">
        <v>2131</v>
      </c>
      <c r="E56" s="750"/>
      <c r="F56" s="750"/>
      <c r="G56" s="467"/>
      <c r="H56" s="467"/>
      <c r="I56" s="467"/>
      <c r="J56" s="468">
        <f>J614</f>
        <v>0</v>
      </c>
      <c r="K56" s="468">
        <v>0</v>
      </c>
      <c r="L56" s="468">
        <f>L614</f>
        <v>0</v>
      </c>
      <c r="M56" s="468">
        <f>M614</f>
        <v>0</v>
      </c>
      <c r="N56" s="468">
        <f>N614</f>
        <v>0</v>
      </c>
      <c r="O56" s="468">
        <f>O614</f>
        <v>0</v>
      </c>
      <c r="Q56" s="114"/>
      <c r="T56" s="310"/>
    </row>
    <row r="57" spans="1:20" ht="12.75" customHeight="1" x14ac:dyDescent="0.3">
      <c r="A57" s="31"/>
      <c r="D57" s="749"/>
      <c r="E57" s="749"/>
      <c r="F57" s="749"/>
      <c r="G57" s="618"/>
      <c r="H57" s="618"/>
      <c r="I57" s="618"/>
      <c r="J57" s="751"/>
      <c r="K57" s="751"/>
      <c r="L57" s="751"/>
      <c r="M57" s="751"/>
      <c r="N57" s="751"/>
      <c r="O57" s="751"/>
      <c r="Q57" s="114"/>
      <c r="T57" s="310"/>
    </row>
    <row r="58" spans="1:20" ht="12.75" customHeight="1" x14ac:dyDescent="0.3">
      <c r="A58" s="31"/>
      <c r="D58" s="438"/>
      <c r="E58" s="438"/>
      <c r="F58" s="438"/>
      <c r="G58" s="453"/>
      <c r="H58" s="453"/>
      <c r="I58" s="453"/>
      <c r="J58" s="469"/>
      <c r="K58" s="469"/>
      <c r="L58" s="469"/>
      <c r="M58" s="469"/>
      <c r="N58" s="469"/>
      <c r="O58" s="469"/>
      <c r="Q58" s="114"/>
      <c r="T58" s="310"/>
    </row>
    <row r="59" spans="1:20" ht="12.75" customHeight="1" x14ac:dyDescent="0.3">
      <c r="A59" s="31"/>
      <c r="D59" s="750"/>
      <c r="E59" s="750"/>
      <c r="F59" s="750"/>
      <c r="G59" s="467"/>
      <c r="H59" s="467"/>
      <c r="I59" s="467"/>
      <c r="J59" s="620"/>
      <c r="K59" s="620"/>
      <c r="L59" s="620"/>
      <c r="M59" s="620"/>
      <c r="N59" s="620"/>
      <c r="O59" s="620"/>
      <c r="Q59" s="114"/>
      <c r="T59" s="310"/>
    </row>
    <row r="60" spans="1:20" ht="12.75" customHeight="1" x14ac:dyDescent="0.3">
      <c r="A60" s="31"/>
      <c r="D60" s="1751" t="s">
        <v>2132</v>
      </c>
      <c r="E60" s="1756"/>
      <c r="F60" s="1756"/>
      <c r="G60" s="1754"/>
      <c r="H60" s="1754"/>
      <c r="I60" s="1754"/>
      <c r="J60" s="1759">
        <f>J51+J55+J56</f>
        <v>0</v>
      </c>
      <c r="K60" s="1759">
        <v>0</v>
      </c>
      <c r="L60" s="1759">
        <f>L51+L55+L56</f>
        <v>0</v>
      </c>
      <c r="M60" s="1759">
        <f>M51+M55+M56</f>
        <v>0</v>
      </c>
      <c r="N60" s="1759">
        <f>N51+N55+N56</f>
        <v>0</v>
      </c>
      <c r="O60" s="1759">
        <f>O51+O55+O56</f>
        <v>0</v>
      </c>
      <c r="Q60" s="114"/>
      <c r="T60" s="310"/>
    </row>
    <row r="61" spans="1:20" ht="12.75" customHeight="1" x14ac:dyDescent="0.3">
      <c r="A61" s="31"/>
      <c r="D61" s="453"/>
      <c r="E61" s="453"/>
      <c r="F61" s="453"/>
      <c r="G61" s="453"/>
      <c r="H61" s="453"/>
      <c r="I61" s="453"/>
      <c r="J61" s="469"/>
      <c r="K61" s="469"/>
      <c r="L61" s="469"/>
      <c r="M61" s="469"/>
      <c r="N61" s="469"/>
      <c r="O61" s="469"/>
      <c r="Q61" s="114"/>
      <c r="T61" s="310"/>
    </row>
    <row r="62" spans="1:20" ht="12.75" customHeight="1" x14ac:dyDescent="0.3">
      <c r="A62" s="31"/>
      <c r="Q62" s="114"/>
      <c r="T62" s="310"/>
    </row>
    <row r="63" spans="1:20" ht="12.75" customHeight="1" x14ac:dyDescent="0.3">
      <c r="A63" s="31"/>
      <c r="D63" s="312" t="s">
        <v>528</v>
      </c>
      <c r="E63" s="382"/>
      <c r="F63" s="382"/>
      <c r="J63" s="114"/>
      <c r="K63" s="114"/>
      <c r="L63" s="114"/>
      <c r="M63" s="114"/>
      <c r="N63" s="114"/>
      <c r="O63" s="114"/>
      <c r="Q63" s="114"/>
      <c r="T63" s="310"/>
    </row>
    <row r="64" spans="1:20" ht="12.75" customHeight="1" x14ac:dyDescent="0.3">
      <c r="A64" s="31"/>
      <c r="D64" s="115"/>
      <c r="E64" s="115"/>
      <c r="F64" s="115"/>
      <c r="Q64" s="114"/>
      <c r="T64" s="310"/>
    </row>
    <row r="65" spans="1:20" ht="12.75" customHeight="1" x14ac:dyDescent="0.25">
      <c r="A65" s="301"/>
      <c r="D65" s="2523" t="s">
        <v>529</v>
      </c>
      <c r="E65" s="1761" t="s">
        <v>530</v>
      </c>
      <c r="F65" s="2552" t="s">
        <v>531</v>
      </c>
      <c r="G65" s="2525" t="s">
        <v>206</v>
      </c>
      <c r="H65" s="2526"/>
      <c r="I65" s="1773"/>
      <c r="J65" s="1763"/>
      <c r="K65" s="1763"/>
      <c r="L65" s="1763"/>
      <c r="M65" s="1763"/>
      <c r="N65" s="1763"/>
      <c r="O65" s="1763"/>
    </row>
    <row r="66" spans="1:20" ht="12.75" customHeight="1" x14ac:dyDescent="0.25">
      <c r="A66" s="301"/>
      <c r="D66" s="2524"/>
      <c r="E66" s="472" t="s">
        <v>532</v>
      </c>
      <c r="F66" s="2553"/>
      <c r="G66" s="2527"/>
      <c r="H66" s="2528"/>
      <c r="I66" s="521"/>
      <c r="J66" s="1764">
        <v>2025</v>
      </c>
      <c r="K66" s="1764">
        <v>2026</v>
      </c>
      <c r="L66" s="1764">
        <v>2027</v>
      </c>
      <c r="M66" s="1764">
        <v>2028</v>
      </c>
      <c r="N66" s="1764">
        <v>2029</v>
      </c>
      <c r="O66" s="1764">
        <v>2030</v>
      </c>
    </row>
    <row r="67" spans="1:20" ht="12.75" customHeight="1" x14ac:dyDescent="0.3">
      <c r="A67" s="31"/>
      <c r="D67" s="1125">
        <v>614001</v>
      </c>
      <c r="E67" s="1126"/>
      <c r="F67" s="1126"/>
      <c r="G67" s="747" t="s">
        <v>2629</v>
      </c>
      <c r="H67" s="453"/>
      <c r="I67" s="463"/>
      <c r="J67" s="457"/>
      <c r="K67" s="457"/>
      <c r="L67" s="457"/>
      <c r="M67" s="457"/>
      <c r="N67" s="457"/>
      <c r="O67" s="457"/>
      <c r="Q67" s="114"/>
      <c r="T67" s="310"/>
    </row>
    <row r="68" spans="1:20" ht="12.75" customHeight="1" x14ac:dyDescent="0.3">
      <c r="A68" s="31"/>
      <c r="D68" s="758"/>
      <c r="E68" s="758"/>
      <c r="F68" s="758"/>
      <c r="G68" s="527" t="s">
        <v>533</v>
      </c>
      <c r="H68" s="453"/>
      <c r="I68" s="463"/>
      <c r="J68" s="457"/>
      <c r="K68" s="457"/>
      <c r="L68" s="457"/>
      <c r="M68" s="457"/>
      <c r="N68" s="457"/>
      <c r="O68" s="457"/>
      <c r="Q68" s="114"/>
      <c r="T68" s="310"/>
    </row>
    <row r="69" spans="1:20" ht="12.75" customHeight="1" x14ac:dyDescent="0.3">
      <c r="A69" s="32">
        <f>+D67</f>
        <v>614001</v>
      </c>
      <c r="B69" s="115" t="str">
        <f>G67</f>
        <v>Rekeningsaldo</v>
      </c>
      <c r="D69" s="763">
        <v>43812</v>
      </c>
      <c r="E69" s="763"/>
      <c r="F69" s="1299"/>
      <c r="G69" s="761" t="s">
        <v>535</v>
      </c>
      <c r="H69" s="453"/>
      <c r="I69" s="463"/>
      <c r="J69" s="768">
        <v>0</v>
      </c>
      <c r="K69" s="768">
        <v>0</v>
      </c>
      <c r="L69" s="768">
        <v>0</v>
      </c>
      <c r="M69" s="768">
        <v>0</v>
      </c>
      <c r="N69" s="768">
        <v>0</v>
      </c>
      <c r="O69" s="768">
        <v>0</v>
      </c>
      <c r="Q69" s="114"/>
      <c r="T69" s="310"/>
    </row>
    <row r="70" spans="1:20" ht="12.75" customHeight="1" thickBot="1" x14ac:dyDescent="0.35">
      <c r="A70" s="31"/>
      <c r="D70" s="758"/>
      <c r="E70" s="758"/>
      <c r="F70" s="1300"/>
      <c r="G70" s="761" t="s">
        <v>536</v>
      </c>
      <c r="H70" s="453"/>
      <c r="I70" s="463"/>
      <c r="J70" s="1085">
        <f>SUM(J69)</f>
        <v>0</v>
      </c>
      <c r="K70" s="1085">
        <v>0</v>
      </c>
      <c r="L70" s="1085">
        <f>SUM(L69)</f>
        <v>0</v>
      </c>
      <c r="M70" s="1085">
        <f>SUM(M69)</f>
        <v>0</v>
      </c>
      <c r="N70" s="1085">
        <f>SUM(N69)</f>
        <v>0</v>
      </c>
      <c r="O70" s="1085">
        <f>SUM(O69)</f>
        <v>0</v>
      </c>
      <c r="Q70" s="114"/>
      <c r="T70" s="310"/>
    </row>
    <row r="71" spans="1:20" ht="12.75" customHeight="1" thickTop="1" x14ac:dyDescent="0.3">
      <c r="A71" s="31"/>
      <c r="D71" s="758"/>
      <c r="E71" s="758"/>
      <c r="F71" s="1300"/>
      <c r="G71" s="453"/>
      <c r="H71" s="453"/>
      <c r="I71" s="463"/>
      <c r="J71" s="463"/>
      <c r="K71" s="463"/>
      <c r="L71" s="463"/>
      <c r="M71" s="463"/>
      <c r="N71" s="463"/>
      <c r="O71" s="463"/>
      <c r="Q71" s="114"/>
      <c r="T71" s="310"/>
    </row>
    <row r="72" spans="1:20" ht="12.75" customHeight="1" x14ac:dyDescent="0.3">
      <c r="A72" s="31"/>
      <c r="D72" s="1125"/>
      <c r="E72" s="1126"/>
      <c r="F72" s="1126"/>
      <c r="G72" s="747" t="s">
        <v>2628</v>
      </c>
      <c r="H72" s="453"/>
      <c r="I72" s="463"/>
      <c r="J72" s="457"/>
      <c r="K72" s="457"/>
      <c r="L72" s="457"/>
      <c r="M72" s="457"/>
      <c r="N72" s="457"/>
      <c r="O72" s="457"/>
      <c r="Q72" s="114"/>
      <c r="T72" s="310"/>
    </row>
    <row r="73" spans="1:20" ht="12.75" customHeight="1" x14ac:dyDescent="0.3">
      <c r="A73" s="31"/>
      <c r="D73" s="758"/>
      <c r="E73" s="758"/>
      <c r="F73" s="758"/>
      <c r="G73" s="527" t="s">
        <v>533</v>
      </c>
      <c r="H73" s="453"/>
      <c r="I73" s="463"/>
      <c r="J73" s="457"/>
      <c r="K73" s="457"/>
      <c r="L73" s="457"/>
      <c r="M73" s="457"/>
      <c r="N73" s="457"/>
      <c r="O73" s="457"/>
      <c r="Q73" s="114"/>
      <c r="T73" s="310"/>
    </row>
    <row r="74" spans="1:20" ht="12.75" customHeight="1" x14ac:dyDescent="0.3">
      <c r="A74" s="31"/>
      <c r="D74" s="763">
        <v>41100</v>
      </c>
      <c r="E74" s="763"/>
      <c r="F74" s="1299"/>
      <c r="G74" s="761" t="s">
        <v>541</v>
      </c>
      <c r="H74" s="453"/>
      <c r="I74" s="463"/>
      <c r="J74" s="768">
        <v>0</v>
      </c>
      <c r="K74" s="768">
        <v>0</v>
      </c>
      <c r="L74" s="768">
        <v>0</v>
      </c>
      <c r="M74" s="768">
        <v>0</v>
      </c>
      <c r="N74" s="768">
        <v>0</v>
      </c>
      <c r="O74" s="768">
        <v>0</v>
      </c>
      <c r="Q74" s="114"/>
      <c r="T74" s="310"/>
    </row>
    <row r="75" spans="1:20" ht="12.75" customHeight="1" thickBot="1" x14ac:dyDescent="0.35">
      <c r="A75" s="31"/>
      <c r="D75" s="766"/>
      <c r="E75" s="766"/>
      <c r="F75" s="1301"/>
      <c r="G75" s="767" t="s">
        <v>536</v>
      </c>
      <c r="H75" s="467"/>
      <c r="I75" s="768"/>
      <c r="J75" s="1085">
        <f>SUM(J74)</f>
        <v>0</v>
      </c>
      <c r="K75" s="1085">
        <v>0</v>
      </c>
      <c r="L75" s="1085">
        <f>SUM(L74)</f>
        <v>0</v>
      </c>
      <c r="M75" s="1085">
        <f>SUM(M74)</f>
        <v>0</v>
      </c>
      <c r="N75" s="1085">
        <f>SUM(N74)</f>
        <v>0</v>
      </c>
      <c r="O75" s="1085">
        <f>SUM(O74)</f>
        <v>0</v>
      </c>
      <c r="Q75" s="114"/>
      <c r="T75" s="310"/>
    </row>
    <row r="76" spans="1:20" ht="12.75" customHeight="1" thickTop="1" x14ac:dyDescent="0.3">
      <c r="A76" s="31"/>
      <c r="D76" s="769"/>
      <c r="E76" s="769"/>
      <c r="F76" s="769"/>
      <c r="G76" s="453"/>
      <c r="H76" s="453"/>
      <c r="I76" s="469"/>
      <c r="J76" s="469"/>
      <c r="K76" s="469"/>
      <c r="L76" s="469"/>
      <c r="M76" s="469"/>
      <c r="N76" s="469"/>
      <c r="O76" s="469"/>
      <c r="Q76" s="114"/>
      <c r="T76" s="310"/>
    </row>
    <row r="78" spans="1:20" ht="12.75" customHeight="1" x14ac:dyDescent="0.25">
      <c r="D78" s="393"/>
      <c r="E78" s="382"/>
      <c r="F78" s="382"/>
      <c r="G78" s="381"/>
    </row>
    <row r="79" spans="1:20" ht="12.75" customHeight="1" x14ac:dyDescent="0.25">
      <c r="D79" s="393"/>
      <c r="E79" s="382"/>
      <c r="F79" s="382"/>
      <c r="G79" s="383"/>
    </row>
    <row r="80" spans="1:20" ht="12.75" customHeight="1" x14ac:dyDescent="0.25">
      <c r="D80" s="143"/>
      <c r="G80" s="401"/>
      <c r="H80" s="484"/>
    </row>
    <row r="82" spans="10:15" ht="12.75" customHeight="1" x14ac:dyDescent="0.25">
      <c r="J82" s="415"/>
      <c r="K82" s="415"/>
      <c r="L82" s="415"/>
      <c r="M82" s="415"/>
      <c r="N82" s="415"/>
      <c r="O82" s="415"/>
    </row>
    <row r="83" spans="10:15" ht="12.75" customHeight="1" x14ac:dyDescent="0.25">
      <c r="J83" s="415"/>
      <c r="K83" s="415"/>
      <c r="L83" s="415"/>
      <c r="M83" s="415"/>
      <c r="N83" s="415"/>
      <c r="O83" s="415"/>
    </row>
    <row r="89" spans="10:15" ht="12.75" customHeight="1" x14ac:dyDescent="0.25">
      <c r="J89" s="114"/>
      <c r="K89" s="114"/>
      <c r="L89" s="114"/>
      <c r="M89" s="114"/>
      <c r="N89" s="114"/>
      <c r="O89" s="114"/>
    </row>
    <row r="90" spans="10:15" ht="12.75" customHeight="1" x14ac:dyDescent="0.25">
      <c r="J90" s="114"/>
      <c r="K90" s="114"/>
      <c r="L90" s="114"/>
      <c r="M90" s="114"/>
      <c r="N90" s="114"/>
      <c r="O90" s="114"/>
    </row>
  </sheetData>
  <mergeCells count="3">
    <mergeCell ref="D65:D66"/>
    <mergeCell ref="F65:F66"/>
    <mergeCell ref="G65:H66"/>
  </mergeCells>
  <hyperlinks>
    <hyperlink ref="A1" location="Inhoudsopgave!A1" display="Inhoudsopgave" xr:uid="{6B173284-83E9-418F-998A-2E9EB538AF14}"/>
  </hyperlinks>
  <pageMargins left="0.59055118110236227" right="0.39370078740157483" top="0.39370078740157483" bottom="0.39370078740157483" header="0.51181102362204722" footer="0.51181102362204722"/>
  <pageSetup paperSize="9" scale="67" orientation="portrait" useFirstPageNumber="1" r:id="rId1"/>
  <headerFooter alignWithMargins="0"/>
  <ignoredErrors>
    <ignoredError sqref="J49 L49:M49" formulaRange="1"/>
  </ignoredError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F336A-EC9D-48C6-A834-BE1FF88A0739}">
  <sheetPr codeName="Blad15"/>
  <dimension ref="A1:W160"/>
  <sheetViews>
    <sheetView showGridLines="0" view="pageBreakPreview" topLeftCell="A115" zoomScaleNormal="90" zoomScaleSheetLayoutView="100" workbookViewId="0">
      <selection activeCell="L143" sqref="L143"/>
    </sheetView>
  </sheetViews>
  <sheetFormatPr defaultColWidth="9.109375" defaultRowHeight="12.75" customHeight="1" x14ac:dyDescent="0.25"/>
  <cols>
    <col min="1" max="1" width="9.109375" style="336" customWidth="1"/>
    <col min="2" max="3" width="17.33203125" style="306" customWidth="1"/>
    <col min="4" max="6" width="9.6640625" style="301" customWidth="1"/>
    <col min="7" max="9" width="12.6640625" style="115" customWidth="1"/>
    <col min="10" max="15" width="11.6640625" style="115" customWidth="1"/>
    <col min="16" max="16" width="10.33203125" style="115" bestFit="1" customWidth="1"/>
    <col min="17" max="17" width="50.88671875" style="115" customWidth="1"/>
    <col min="18" max="21" width="12.33203125" style="115" customWidth="1"/>
    <col min="22" max="22" width="12" style="115" customWidth="1"/>
    <col min="23" max="23" width="10.6640625" style="115" customWidth="1"/>
    <col min="24" max="24" width="10.33203125" style="115" bestFit="1" customWidth="1"/>
    <col min="25"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1793" t="s">
        <v>504</v>
      </c>
      <c r="E2" s="1280"/>
      <c r="F2" s="1280"/>
      <c r="G2" s="322"/>
      <c r="H2" s="322" t="s">
        <v>2630</v>
      </c>
      <c r="I2" s="322"/>
      <c r="J2" s="322"/>
      <c r="K2" s="322"/>
      <c r="L2" s="322"/>
      <c r="M2" s="322"/>
      <c r="O2" s="1775"/>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315"/>
      <c r="O3" s="316"/>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315"/>
      <c r="O4" s="316"/>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315" t="s">
        <v>713</v>
      </c>
      <c r="H5" s="115" t="s">
        <v>2631</v>
      </c>
      <c r="O5" s="316"/>
      <c r="Q5" s="310"/>
    </row>
    <row r="6" spans="1:23" ht="12.75" customHeight="1" x14ac:dyDescent="0.25">
      <c r="D6" s="315" t="s">
        <v>66</v>
      </c>
      <c r="H6" s="115" t="s">
        <v>17</v>
      </c>
      <c r="O6" s="316"/>
      <c r="Q6" s="310"/>
    </row>
    <row r="7" spans="1:23" ht="12.75" customHeight="1" x14ac:dyDescent="0.25">
      <c r="D7" s="315"/>
      <c r="O7" s="316"/>
    </row>
    <row r="8" spans="1:23" ht="12.75" customHeight="1" x14ac:dyDescent="0.25">
      <c r="D8" s="315"/>
      <c r="O8" s="316"/>
    </row>
    <row r="9" spans="1:23" ht="12.75" customHeight="1" x14ac:dyDescent="0.25">
      <c r="D9" s="315"/>
      <c r="O9" s="316"/>
    </row>
    <row r="10" spans="1:23" ht="12.75" customHeight="1" x14ac:dyDescent="0.25">
      <c r="D10" s="315"/>
      <c r="O10" s="316"/>
    </row>
    <row r="11" spans="1:23" ht="12.75" customHeight="1" x14ac:dyDescent="0.25">
      <c r="D11" s="315"/>
      <c r="O11" s="316"/>
    </row>
    <row r="12" spans="1:23" ht="12.75" customHeight="1" x14ac:dyDescent="0.25">
      <c r="D12" s="315"/>
      <c r="O12" s="316"/>
    </row>
    <row r="13" spans="1:23" ht="12.75" customHeight="1" x14ac:dyDescent="0.25">
      <c r="D13" s="315"/>
      <c r="O13" s="316"/>
    </row>
    <row r="14" spans="1:23" ht="12.75" customHeight="1" x14ac:dyDescent="0.25">
      <c r="D14" s="315"/>
      <c r="O14" s="316"/>
    </row>
    <row r="15" spans="1:23" ht="12.75" customHeight="1" x14ac:dyDescent="0.25">
      <c r="D15" s="315"/>
      <c r="O15" s="316"/>
    </row>
    <row r="16" spans="1:23" ht="12.75" customHeight="1" x14ac:dyDescent="0.25">
      <c r="D16" s="315"/>
      <c r="O16" s="316"/>
    </row>
    <row r="17" spans="4:15" ht="12.75" customHeight="1" x14ac:dyDescent="0.25">
      <c r="D17" s="315"/>
      <c r="O17" s="316"/>
    </row>
    <row r="18" spans="4:15" ht="12.75" customHeight="1" x14ac:dyDescent="0.25">
      <c r="D18" s="315"/>
      <c r="O18" s="316"/>
    </row>
    <row r="19" spans="4:15" ht="12.75" customHeight="1" x14ac:dyDescent="0.25">
      <c r="D19" s="315"/>
      <c r="O19" s="316"/>
    </row>
    <row r="20" spans="4:15" ht="12.75" customHeight="1" x14ac:dyDescent="0.25">
      <c r="D20" s="315"/>
      <c r="O20" s="316"/>
    </row>
    <row r="21" spans="4:15" ht="12.75" customHeight="1" x14ac:dyDescent="0.25">
      <c r="D21" s="315"/>
      <c r="O21" s="316"/>
    </row>
    <row r="22" spans="4:15" ht="12.75" customHeight="1" x14ac:dyDescent="0.25">
      <c r="D22" s="315"/>
      <c r="O22" s="316"/>
    </row>
    <row r="23" spans="4:15" ht="12.75" customHeight="1" x14ac:dyDescent="0.25">
      <c r="D23" s="315"/>
      <c r="O23" s="316"/>
    </row>
    <row r="24" spans="4:15" ht="12.75" customHeight="1" x14ac:dyDescent="0.25">
      <c r="D24" s="315"/>
      <c r="O24" s="316"/>
    </row>
    <row r="25" spans="4:15" ht="12.75" customHeight="1" x14ac:dyDescent="0.25">
      <c r="D25" s="315"/>
      <c r="O25" s="316"/>
    </row>
    <row r="26" spans="4:15" ht="12.75" customHeight="1" x14ac:dyDescent="0.25">
      <c r="D26" s="315"/>
      <c r="O26" s="316"/>
    </row>
    <row r="27" spans="4:15" ht="12.75" customHeight="1" x14ac:dyDescent="0.25">
      <c r="D27" s="1281" t="s">
        <v>507</v>
      </c>
      <c r="O27" s="316"/>
    </row>
    <row r="28" spans="4:15" ht="12.75" customHeight="1" x14ac:dyDescent="0.25">
      <c r="D28" s="323"/>
      <c r="E28" s="1282"/>
      <c r="F28" s="1282"/>
      <c r="G28" s="149"/>
      <c r="H28" s="149"/>
      <c r="I28" s="149"/>
      <c r="J28" s="149"/>
      <c r="K28" s="149"/>
      <c r="L28" s="149"/>
      <c r="M28" s="149"/>
      <c r="O28" s="389"/>
    </row>
    <row r="29" spans="4:15" ht="12.75" customHeight="1" x14ac:dyDescent="0.25">
      <c r="D29" s="1784" t="s">
        <v>508</v>
      </c>
      <c r="E29" s="1785"/>
      <c r="F29" s="1785"/>
      <c r="G29" s="1786"/>
      <c r="H29" s="1786"/>
      <c r="I29" s="1786"/>
      <c r="J29" s="1787">
        <v>2025</v>
      </c>
      <c r="K29" s="1787">
        <v>2026</v>
      </c>
      <c r="L29" s="1787">
        <v>2027</v>
      </c>
      <c r="M29" s="1787">
        <v>2028</v>
      </c>
      <c r="N29" s="2051">
        <v>2029</v>
      </c>
      <c r="O29" s="1787">
        <v>2030</v>
      </c>
    </row>
    <row r="30" spans="4:15" ht="12.75" customHeight="1" x14ac:dyDescent="0.25">
      <c r="D30" s="315" t="str">
        <f>G67</f>
        <v>Crisisbeheersing</v>
      </c>
      <c r="E30" s="302"/>
      <c r="F30" s="303"/>
      <c r="J30" s="317">
        <v>9832</v>
      </c>
      <c r="K30" s="317">
        <v>10087</v>
      </c>
      <c r="L30" s="317">
        <f>L70</f>
        <v>16907</v>
      </c>
      <c r="M30" s="317">
        <f>M70</f>
        <v>10536</v>
      </c>
      <c r="N30" s="317">
        <f>N70</f>
        <v>10779</v>
      </c>
      <c r="O30" s="317">
        <f>O70</f>
        <v>11026</v>
      </c>
    </row>
    <row r="31" spans="4:15" ht="12.75" customHeight="1" x14ac:dyDescent="0.25">
      <c r="D31" s="315" t="str">
        <f>G72</f>
        <v>Veiligheidsregio Brabant-Zuidoost</v>
      </c>
      <c r="E31" s="302"/>
      <c r="F31" s="303"/>
      <c r="J31" s="317">
        <v>1898341</v>
      </c>
      <c r="K31" s="317">
        <v>1970633</v>
      </c>
      <c r="L31" s="317">
        <f>L75</f>
        <v>2122753.9034899999</v>
      </c>
      <c r="M31" s="317">
        <f>M75</f>
        <v>2187328.0772341653</v>
      </c>
      <c r="N31" s="317">
        <f>N75</f>
        <v>2253866.5973436283</v>
      </c>
      <c r="O31" s="317">
        <f>O75</f>
        <v>2322429.2192348214</v>
      </c>
    </row>
    <row r="32" spans="4:15" ht="12.75" customHeight="1" x14ac:dyDescent="0.25">
      <c r="D32" s="315" t="str">
        <f>G77</f>
        <v>Brandweerkazerne</v>
      </c>
      <c r="E32" s="302"/>
      <c r="F32" s="303"/>
      <c r="J32" s="317">
        <v>35060</v>
      </c>
      <c r="K32" s="317">
        <v>36267.752350000002</v>
      </c>
      <c r="L32" s="317">
        <f>L83</f>
        <v>37478.036186950005</v>
      </c>
      <c r="M32" s="317">
        <f>M83</f>
        <v>38748.773525867146</v>
      </c>
      <c r="N32" s="317">
        <f>N83</f>
        <v>40063.387146324232</v>
      </c>
      <c r="O32" s="317">
        <f>O83</f>
        <v>8941</v>
      </c>
    </row>
    <row r="33" spans="1:15" ht="12.75" customHeight="1" x14ac:dyDescent="0.25">
      <c r="D33" s="315" t="str">
        <f>G85</f>
        <v>Lokale binding regionale brandweer</v>
      </c>
      <c r="E33" s="302"/>
      <c r="F33" s="303"/>
      <c r="J33" s="7">
        <v>2049</v>
      </c>
      <c r="K33" s="7">
        <v>2102</v>
      </c>
      <c r="L33" s="7">
        <f>L88</f>
        <v>2146</v>
      </c>
      <c r="M33" s="7">
        <f>M88</f>
        <v>2195</v>
      </c>
      <c r="N33" s="7">
        <f>N88</f>
        <v>2245</v>
      </c>
      <c r="O33" s="7">
        <f>O88</f>
        <v>2297</v>
      </c>
    </row>
    <row r="34" spans="1:15" ht="12.75" customHeight="1" x14ac:dyDescent="0.25">
      <c r="D34" s="315" t="str">
        <f>G90</f>
        <v>Directe toerekening crisisbeheersing en brandweer</v>
      </c>
      <c r="E34" s="302"/>
      <c r="F34" s="303"/>
      <c r="J34" s="317">
        <v>91319.039999999994</v>
      </c>
      <c r="K34" s="317">
        <v>69436.78</v>
      </c>
      <c r="L34" s="317">
        <f>L94</f>
        <v>85193</v>
      </c>
      <c r="M34" s="317">
        <f>M94</f>
        <v>87253</v>
      </c>
      <c r="N34" s="317">
        <f>N94</f>
        <v>89390</v>
      </c>
      <c r="O34" s="317">
        <f>O94</f>
        <v>62108</v>
      </c>
    </row>
    <row r="35" spans="1:15" ht="12.75" customHeight="1" x14ac:dyDescent="0.25">
      <c r="D35" s="315"/>
      <c r="E35" s="302"/>
      <c r="F35" s="303"/>
      <c r="J35" s="7"/>
      <c r="K35" s="7"/>
      <c r="L35" s="7"/>
      <c r="M35" s="7"/>
      <c r="N35" s="7"/>
      <c r="O35" s="7"/>
    </row>
    <row r="36" spans="1:15" ht="12.75" customHeight="1" x14ac:dyDescent="0.25">
      <c r="D36" s="315"/>
      <c r="E36" s="302"/>
      <c r="F36" s="303"/>
      <c r="J36" s="7"/>
      <c r="K36" s="7"/>
      <c r="L36" s="7"/>
      <c r="M36" s="7"/>
      <c r="N36" s="7"/>
      <c r="O36" s="7"/>
    </row>
    <row r="37" spans="1:15" ht="12.75" customHeight="1" x14ac:dyDescent="0.25">
      <c r="D37" s="315"/>
      <c r="E37" s="302"/>
      <c r="F37" s="303"/>
      <c r="J37" s="7"/>
      <c r="K37" s="7"/>
      <c r="L37" s="7"/>
      <c r="M37" s="7"/>
      <c r="N37" s="7"/>
      <c r="O37" s="7"/>
    </row>
    <row r="38" spans="1:15" ht="12.75" customHeight="1" x14ac:dyDescent="0.25">
      <c r="D38" s="315"/>
      <c r="E38" s="302"/>
      <c r="F38" s="303"/>
      <c r="J38" s="7"/>
      <c r="K38" s="7"/>
      <c r="L38" s="7"/>
      <c r="M38" s="7"/>
      <c r="N38" s="7"/>
      <c r="O38" s="7"/>
    </row>
    <row r="39" spans="1:15" ht="12.75" customHeight="1" x14ac:dyDescent="0.25">
      <c r="D39" s="315"/>
      <c r="E39" s="302"/>
      <c r="F39" s="303"/>
      <c r="J39" s="7"/>
      <c r="K39" s="7"/>
      <c r="L39" s="7"/>
      <c r="M39" s="7"/>
      <c r="N39" s="7"/>
      <c r="O39" s="7"/>
    </row>
    <row r="40" spans="1:15" ht="12.75" customHeight="1" x14ac:dyDescent="0.25">
      <c r="D40" s="315"/>
      <c r="E40" s="302"/>
      <c r="F40" s="303"/>
      <c r="J40" s="7"/>
      <c r="K40" s="7"/>
      <c r="L40" s="7"/>
      <c r="M40" s="7"/>
      <c r="N40" s="7"/>
      <c r="O40" s="7"/>
    </row>
    <row r="41" spans="1:15" ht="12.75" customHeight="1" x14ac:dyDescent="0.25">
      <c r="A41" s="301"/>
      <c r="B41" s="115"/>
      <c r="C41" s="115"/>
      <c r="D41" s="315"/>
      <c r="E41" s="302"/>
      <c r="F41" s="303"/>
      <c r="I41" s="316"/>
      <c r="J41" s="10"/>
      <c r="K41" s="10"/>
      <c r="L41" s="10"/>
      <c r="M41" s="10"/>
      <c r="N41" s="10"/>
      <c r="O41" s="10"/>
    </row>
    <row r="42" spans="1:15" ht="12.75" customHeight="1" x14ac:dyDescent="0.25">
      <c r="A42" s="301"/>
      <c r="B42" s="115"/>
      <c r="C42" s="115"/>
      <c r="D42" s="315"/>
      <c r="E42" s="302"/>
      <c r="F42" s="303"/>
      <c r="I42" s="316"/>
      <c r="J42" s="10"/>
      <c r="K42" s="10"/>
      <c r="L42" s="10"/>
      <c r="M42" s="10"/>
      <c r="N42" s="10"/>
      <c r="O42" s="10"/>
    </row>
    <row r="43" spans="1:15" ht="12.75" customHeight="1" x14ac:dyDescent="0.25">
      <c r="A43" s="301"/>
      <c r="B43" s="115"/>
      <c r="C43" s="115"/>
      <c r="D43" s="315"/>
      <c r="E43" s="302"/>
      <c r="F43" s="303"/>
      <c r="I43" s="316"/>
      <c r="J43" s="10"/>
      <c r="K43" s="10"/>
      <c r="L43" s="10"/>
      <c r="M43" s="10"/>
      <c r="N43" s="10"/>
      <c r="O43" s="10"/>
    </row>
    <row r="44" spans="1:15" ht="12.75" customHeight="1" x14ac:dyDescent="0.25">
      <c r="A44" s="301"/>
      <c r="B44" s="115"/>
      <c r="C44" s="115"/>
      <c r="D44" s="315"/>
      <c r="E44" s="302"/>
      <c r="F44" s="303"/>
      <c r="I44" s="316"/>
      <c r="J44" s="10"/>
      <c r="K44" s="10"/>
      <c r="L44" s="10"/>
      <c r="M44" s="10"/>
      <c r="N44" s="10"/>
      <c r="O44" s="10"/>
    </row>
    <row r="45" spans="1:15" ht="12.75" customHeight="1" x14ac:dyDescent="0.25">
      <c r="A45" s="301"/>
      <c r="B45" s="115"/>
      <c r="C45" s="115"/>
      <c r="D45" s="315"/>
      <c r="E45" s="302"/>
      <c r="F45" s="303"/>
      <c r="I45" s="389"/>
      <c r="J45" s="8"/>
      <c r="K45" s="8"/>
      <c r="L45" s="8"/>
      <c r="M45" s="8"/>
      <c r="N45" s="8"/>
      <c r="O45" s="8"/>
    </row>
    <row r="46" spans="1:15" ht="12.75" customHeight="1" x14ac:dyDescent="0.25">
      <c r="A46" s="301"/>
      <c r="B46" s="115"/>
      <c r="C46" s="115"/>
      <c r="D46" s="1788" t="s">
        <v>525</v>
      </c>
      <c r="E46" s="1789"/>
      <c r="F46" s="1790"/>
      <c r="G46" s="1791"/>
      <c r="H46" s="1791"/>
      <c r="I46" s="1791"/>
      <c r="J46" s="1770">
        <v>2036601.04</v>
      </c>
      <c r="K46" s="1770">
        <v>2088526.53235</v>
      </c>
      <c r="L46" s="1770">
        <f>SUM(L30:L45)</f>
        <v>2264477.9396769498</v>
      </c>
      <c r="M46" s="1770">
        <f>SUM(M30:M45)</f>
        <v>2326060.8507600324</v>
      </c>
      <c r="N46" s="1770">
        <f>SUM(N30:N45)</f>
        <v>2396343.9844899527</v>
      </c>
      <c r="O46" s="1770">
        <f>SUM(O30:O45)</f>
        <v>2406801.2192348214</v>
      </c>
    </row>
    <row r="47" spans="1:15" ht="12.75" customHeight="1" x14ac:dyDescent="0.25">
      <c r="A47" s="301"/>
      <c r="B47" s="115"/>
      <c r="C47" s="115"/>
      <c r="E47" s="302"/>
      <c r="F47" s="303"/>
    </row>
    <row r="48" spans="1:15" ht="12.75" customHeight="1" x14ac:dyDescent="0.25">
      <c r="A48" s="301"/>
      <c r="B48" s="115"/>
      <c r="C48" s="115"/>
      <c r="D48" s="1784" t="s">
        <v>526</v>
      </c>
      <c r="E48" s="1785"/>
      <c r="F48" s="1785"/>
      <c r="G48" s="1786"/>
      <c r="H48" s="1786"/>
      <c r="I48" s="1786"/>
      <c r="J48" s="1787">
        <v>2025</v>
      </c>
      <c r="K48" s="1787">
        <v>2026</v>
      </c>
      <c r="L48" s="1787">
        <v>2027</v>
      </c>
      <c r="M48" s="1787">
        <v>2028</v>
      </c>
      <c r="N48" s="1787">
        <v>2029</v>
      </c>
      <c r="O48" s="1787">
        <v>2030</v>
      </c>
    </row>
    <row r="49" spans="1:15" ht="12.75" customHeight="1" x14ac:dyDescent="0.25">
      <c r="A49" s="301"/>
      <c r="B49" s="115"/>
      <c r="C49" s="115"/>
      <c r="D49" s="1793" t="str">
        <f>G96</f>
        <v>Brandweerkazerne</v>
      </c>
      <c r="E49" s="320"/>
      <c r="F49" s="321"/>
      <c r="G49" s="322"/>
      <c r="H49" s="322"/>
      <c r="J49" s="317">
        <v>-106263</v>
      </c>
      <c r="K49" s="317">
        <v>-109768</v>
      </c>
      <c r="L49" s="317">
        <f>L99</f>
        <v>-112837.49</v>
      </c>
      <c r="M49" s="317">
        <f>M99</f>
        <v>-115433</v>
      </c>
      <c r="N49" s="317">
        <f>N99</f>
        <v>-118088</v>
      </c>
      <c r="O49" s="317">
        <f>O99</f>
        <v>-120804</v>
      </c>
    </row>
    <row r="50" spans="1:15" ht="12.75" customHeight="1" x14ac:dyDescent="0.25">
      <c r="A50" s="301"/>
      <c r="B50" s="115"/>
      <c r="C50" s="115"/>
      <c r="D50" s="315"/>
      <c r="E50" s="302"/>
      <c r="F50" s="303"/>
      <c r="J50" s="317"/>
      <c r="K50" s="317"/>
      <c r="L50" s="317"/>
      <c r="M50" s="317"/>
      <c r="N50" s="317"/>
      <c r="O50" s="317"/>
    </row>
    <row r="51" spans="1:15" ht="12.75" customHeight="1" x14ac:dyDescent="0.25">
      <c r="A51" s="301"/>
      <c r="B51" s="115"/>
      <c r="C51" s="115"/>
      <c r="D51" s="315"/>
      <c r="E51" s="302"/>
      <c r="F51" s="303"/>
      <c r="J51" s="317"/>
      <c r="K51" s="317"/>
      <c r="L51" s="317"/>
      <c r="M51" s="317"/>
      <c r="N51" s="317"/>
      <c r="O51" s="317"/>
    </row>
    <row r="52" spans="1:15" ht="12.75" customHeight="1" x14ac:dyDescent="0.25">
      <c r="A52" s="301"/>
      <c r="B52" s="115"/>
      <c r="C52" s="115"/>
      <c r="D52" s="315"/>
      <c r="E52" s="302"/>
      <c r="F52" s="303"/>
      <c r="J52" s="317"/>
      <c r="K52" s="317"/>
      <c r="L52" s="317"/>
      <c r="M52" s="317"/>
      <c r="N52" s="317"/>
      <c r="O52" s="317"/>
    </row>
    <row r="53" spans="1:15" ht="12.75" customHeight="1" x14ac:dyDescent="0.25">
      <c r="A53" s="301"/>
      <c r="B53" s="115"/>
      <c r="C53" s="115"/>
      <c r="D53" s="315"/>
      <c r="E53" s="302"/>
      <c r="F53" s="303"/>
      <c r="J53" s="317"/>
      <c r="K53" s="317"/>
      <c r="L53" s="317"/>
      <c r="M53" s="317"/>
      <c r="N53" s="317"/>
      <c r="O53" s="317"/>
    </row>
    <row r="54" spans="1:15" ht="12.75" customHeight="1" x14ac:dyDescent="0.25">
      <c r="A54" s="301"/>
      <c r="B54" s="115"/>
      <c r="C54" s="115"/>
      <c r="D54" s="315"/>
      <c r="E54" s="302"/>
      <c r="F54" s="303"/>
      <c r="I54" s="316"/>
      <c r="J54" s="318"/>
      <c r="K54" s="318"/>
      <c r="L54" s="318"/>
      <c r="M54" s="318"/>
      <c r="N54" s="318"/>
      <c r="O54" s="318"/>
    </row>
    <row r="55" spans="1:15" ht="12.75" customHeight="1" x14ac:dyDescent="0.25">
      <c r="A55" s="301"/>
      <c r="B55" s="115"/>
      <c r="C55" s="115"/>
      <c r="D55" s="315"/>
      <c r="E55" s="302"/>
      <c r="F55" s="303"/>
      <c r="I55" s="316"/>
      <c r="J55" s="318"/>
      <c r="K55" s="318"/>
      <c r="L55" s="318"/>
      <c r="M55" s="318"/>
      <c r="N55" s="318"/>
      <c r="O55" s="318"/>
    </row>
    <row r="56" spans="1:15" ht="12.75" customHeight="1" x14ac:dyDescent="0.25">
      <c r="A56" s="301"/>
      <c r="B56" s="115"/>
      <c r="C56" s="115"/>
      <c r="D56" s="323"/>
      <c r="E56" s="324"/>
      <c r="F56" s="325"/>
      <c r="G56" s="149"/>
      <c r="H56" s="149"/>
      <c r="I56" s="389"/>
      <c r="J56" s="318"/>
      <c r="K56" s="318"/>
      <c r="L56" s="318"/>
      <c r="M56" s="318"/>
      <c r="N56" s="318"/>
      <c r="O56" s="318"/>
    </row>
    <row r="57" spans="1:15" ht="12.75" customHeight="1" x14ac:dyDescent="0.25">
      <c r="A57" s="301"/>
      <c r="B57" s="115"/>
      <c r="C57" s="115"/>
      <c r="D57" s="1788" t="s">
        <v>328</v>
      </c>
      <c r="E57" s="1789"/>
      <c r="F57" s="1790"/>
      <c r="G57" s="1791"/>
      <c r="H57" s="1791"/>
      <c r="I57" s="1791"/>
      <c r="J57" s="1770">
        <v>-106263</v>
      </c>
      <c r="K57" s="1770">
        <v>-109768</v>
      </c>
      <c r="L57" s="1770">
        <f>SUM(L49:L56)</f>
        <v>-112837.49</v>
      </c>
      <c r="M57" s="1770">
        <f>SUM(M49:M56)</f>
        <v>-115433</v>
      </c>
      <c r="N57" s="1770">
        <f>SUM(N49:N56)</f>
        <v>-118088</v>
      </c>
      <c r="O57" s="1770">
        <f>SUM(O49:O56)</f>
        <v>-120804</v>
      </c>
    </row>
    <row r="58" spans="1:15" ht="12.75" customHeight="1" x14ac:dyDescent="0.25">
      <c r="A58" s="301"/>
      <c r="B58" s="115"/>
      <c r="C58" s="115"/>
      <c r="E58" s="302"/>
      <c r="F58" s="303"/>
      <c r="J58" s="114"/>
      <c r="K58" s="114"/>
      <c r="L58" s="114"/>
      <c r="M58" s="114"/>
      <c r="N58" s="114"/>
      <c r="O58" s="114"/>
    </row>
    <row r="59" spans="1:15" ht="12.75" customHeight="1" x14ac:dyDescent="0.25">
      <c r="A59" s="301"/>
      <c r="B59" s="115"/>
      <c r="C59" s="115"/>
      <c r="D59" s="1788" t="s">
        <v>976</v>
      </c>
      <c r="E59" s="1795"/>
      <c r="F59" s="1795"/>
      <c r="G59" s="1791"/>
      <c r="H59" s="1791"/>
      <c r="I59" s="1791"/>
      <c r="J59" s="1796">
        <v>1930338.04</v>
      </c>
      <c r="K59" s="1796">
        <v>1978758.53235</v>
      </c>
      <c r="L59" s="1796">
        <f>L46+L57</f>
        <v>2151640.4496769495</v>
      </c>
      <c r="M59" s="1796">
        <f>M46+M57</f>
        <v>2210627.8507600324</v>
      </c>
      <c r="N59" s="1796">
        <f>N46+N57</f>
        <v>2278255.9844899527</v>
      </c>
      <c r="O59" s="1796">
        <f>O46+O57</f>
        <v>2285997.2192348214</v>
      </c>
    </row>
    <row r="60" spans="1:15" ht="12.75" customHeight="1" x14ac:dyDescent="0.25">
      <c r="A60" s="301"/>
      <c r="B60" s="115"/>
      <c r="C60" s="115"/>
      <c r="E60" s="302"/>
      <c r="F60" s="303"/>
      <c r="J60" s="114"/>
      <c r="K60" s="114"/>
      <c r="L60" s="114"/>
      <c r="M60" s="114"/>
      <c r="N60" s="114"/>
      <c r="O60" s="114"/>
    </row>
    <row r="61" spans="1:15" ht="12.75" customHeight="1" x14ac:dyDescent="0.25">
      <c r="A61" s="301"/>
      <c r="B61" s="115"/>
      <c r="C61" s="115"/>
      <c r="J61" s="114"/>
      <c r="K61" s="114"/>
      <c r="L61" s="114"/>
      <c r="M61" s="114"/>
      <c r="N61" s="114"/>
      <c r="O61" s="114"/>
    </row>
    <row r="62" spans="1:15" ht="12.75" customHeight="1" x14ac:dyDescent="0.25">
      <c r="D62" s="312" t="s">
        <v>528</v>
      </c>
      <c r="E62" s="312"/>
      <c r="F62" s="312"/>
    </row>
    <row r="64" spans="1:15" ht="12.75" customHeight="1" x14ac:dyDescent="0.25">
      <c r="D64" s="2504" t="s">
        <v>531</v>
      </c>
      <c r="E64" s="1797" t="s">
        <v>530</v>
      </c>
      <c r="F64" s="2504"/>
      <c r="G64" s="2506" t="s">
        <v>206</v>
      </c>
      <c r="H64" s="2507"/>
      <c r="I64" s="326"/>
      <c r="J64" s="1775"/>
      <c r="K64" s="1775"/>
      <c r="L64" s="1775"/>
      <c r="M64" s="1775"/>
      <c r="N64" s="1775"/>
      <c r="O64" s="1775"/>
    </row>
    <row r="65" spans="1:21" ht="12.75" customHeight="1" x14ac:dyDescent="0.25">
      <c r="D65" s="2569"/>
      <c r="E65" s="327" t="s">
        <v>532</v>
      </c>
      <c r="F65" s="2569"/>
      <c r="G65" s="2508"/>
      <c r="H65" s="2509"/>
      <c r="I65" s="328"/>
      <c r="J65" s="1803">
        <v>2025</v>
      </c>
      <c r="K65" s="1787">
        <v>2026</v>
      </c>
      <c r="L65" s="1787">
        <v>2027</v>
      </c>
      <c r="M65" s="1787">
        <v>2028</v>
      </c>
      <c r="N65" s="1787">
        <v>2029</v>
      </c>
      <c r="O65" s="1787">
        <v>2030</v>
      </c>
    </row>
    <row r="66" spans="1:21" ht="12.75" customHeight="1" x14ac:dyDescent="0.25">
      <c r="D66" s="1772"/>
      <c r="E66" s="1772"/>
      <c r="F66" s="1772"/>
      <c r="G66" s="1774"/>
      <c r="H66" s="326"/>
      <c r="I66" s="1798"/>
      <c r="J66" s="1775"/>
      <c r="K66" s="1775"/>
      <c r="L66" s="1775"/>
      <c r="M66" s="1775"/>
      <c r="N66" s="1775"/>
      <c r="O66" s="1775"/>
    </row>
    <row r="67" spans="1:21" ht="12.75" customHeight="1" x14ac:dyDescent="0.25">
      <c r="D67" s="333">
        <v>615001</v>
      </c>
      <c r="E67" s="331"/>
      <c r="G67" s="332" t="s">
        <v>2632</v>
      </c>
      <c r="I67" s="316"/>
      <c r="J67" s="335"/>
      <c r="K67" s="335"/>
      <c r="L67" s="335"/>
      <c r="M67" s="335"/>
      <c r="N67" s="335"/>
      <c r="O67" s="335"/>
    </row>
    <row r="68" spans="1:21" ht="12.75" customHeight="1" x14ac:dyDescent="0.25">
      <c r="D68" s="333"/>
      <c r="E68" s="331"/>
      <c r="G68" s="334" t="s">
        <v>533</v>
      </c>
      <c r="I68" s="316"/>
      <c r="J68" s="335"/>
      <c r="K68" s="335"/>
      <c r="L68" s="335"/>
      <c r="M68" s="335"/>
      <c r="N68" s="335"/>
      <c r="O68" s="335"/>
    </row>
    <row r="69" spans="1:21" ht="12.75" customHeight="1" x14ac:dyDescent="0.25">
      <c r="A69" s="336">
        <f>D67</f>
        <v>615001</v>
      </c>
      <c r="B69" s="306" t="str">
        <f>G67</f>
        <v>Crisisbeheersing</v>
      </c>
      <c r="D69" s="337">
        <v>43812</v>
      </c>
      <c r="E69" s="337"/>
      <c r="G69" s="319" t="s">
        <v>535</v>
      </c>
      <c r="I69" s="316"/>
      <c r="J69" s="317">
        <v>9832</v>
      </c>
      <c r="K69" s="317">
        <v>10087</v>
      </c>
      <c r="L69" s="317">
        <f>L111</f>
        <v>16907</v>
      </c>
      <c r="M69" s="317">
        <f>M111</f>
        <v>10536</v>
      </c>
      <c r="N69" s="339">
        <f>N111</f>
        <v>10779</v>
      </c>
      <c r="O69" s="339">
        <f>O111</f>
        <v>11026</v>
      </c>
    </row>
    <row r="70" spans="1:21" ht="12.75" customHeight="1" thickBot="1" x14ac:dyDescent="0.3">
      <c r="D70" s="340"/>
      <c r="E70" s="340"/>
      <c r="G70" s="319" t="s">
        <v>536</v>
      </c>
      <c r="I70" s="316"/>
      <c r="J70" s="480">
        <v>9832</v>
      </c>
      <c r="K70" s="480">
        <v>10087</v>
      </c>
      <c r="L70" s="480">
        <f>SUM(L69:L69)</f>
        <v>16907</v>
      </c>
      <c r="M70" s="480">
        <f>SUM(M69:M69)</f>
        <v>10536</v>
      </c>
      <c r="N70" s="1744">
        <f>SUM(N69:N69)</f>
        <v>10779</v>
      </c>
      <c r="O70" s="1744">
        <f>SUM(O69:O69)</f>
        <v>11026</v>
      </c>
    </row>
    <row r="71" spans="1:21" ht="12.75" customHeight="1" thickTop="1" x14ac:dyDescent="0.25">
      <c r="D71" s="340"/>
      <c r="E71" s="340"/>
      <c r="G71" s="319"/>
      <c r="I71" s="316"/>
      <c r="J71" s="344"/>
      <c r="K71" s="344"/>
      <c r="L71" s="344"/>
      <c r="M71" s="344"/>
      <c r="N71" s="1283"/>
      <c r="O71" s="1283"/>
    </row>
    <row r="72" spans="1:21" ht="12.75" customHeight="1" x14ac:dyDescent="0.25">
      <c r="D72" s="333">
        <v>615002</v>
      </c>
      <c r="E72" s="331"/>
      <c r="G72" s="332" t="s">
        <v>2633</v>
      </c>
      <c r="I72" s="316"/>
      <c r="J72" s="335"/>
      <c r="K72" s="335"/>
      <c r="L72" s="335"/>
      <c r="M72" s="335"/>
      <c r="N72" s="319"/>
      <c r="O72" s="319"/>
      <c r="R72" s="114"/>
      <c r="S72" s="114"/>
      <c r="T72" s="114"/>
    </row>
    <row r="73" spans="1:21" ht="12.75" customHeight="1" x14ac:dyDescent="0.3">
      <c r="D73" s="340"/>
      <c r="E73" s="340"/>
      <c r="G73" s="334" t="s">
        <v>533</v>
      </c>
      <c r="I73" s="316"/>
      <c r="J73" s="317"/>
      <c r="K73" s="317"/>
      <c r="L73" s="317"/>
      <c r="M73" s="317"/>
      <c r="N73" s="339"/>
      <c r="O73" s="339"/>
      <c r="Q73" s="1284" t="s">
        <v>2634</v>
      </c>
      <c r="R73"/>
      <c r="S73"/>
      <c r="T73"/>
      <c r="U73"/>
    </row>
    <row r="74" spans="1:21" ht="12.75" customHeight="1" x14ac:dyDescent="0.25">
      <c r="A74" s="336">
        <f>D72</f>
        <v>615002</v>
      </c>
      <c r="B74" s="306" t="str">
        <f>G72</f>
        <v>Veiligheidsregio Brabant-Zuidoost</v>
      </c>
      <c r="D74" s="337">
        <v>44330</v>
      </c>
      <c r="E74" s="337"/>
      <c r="G74" s="319" t="s">
        <v>2635</v>
      </c>
      <c r="I74" s="316"/>
      <c r="J74" s="317">
        <v>1898341</v>
      </c>
      <c r="K74" s="317">
        <v>1970633</v>
      </c>
      <c r="L74" s="317">
        <f>L132</f>
        <v>2122753.9034899999</v>
      </c>
      <c r="M74" s="317">
        <f>M132</f>
        <v>2187328.0772341653</v>
      </c>
      <c r="N74" s="339">
        <f t="shared" ref="N74:O74" si="0">N132</f>
        <v>2253866.5973436283</v>
      </c>
      <c r="O74" s="339">
        <f t="shared" si="0"/>
        <v>2322429.2192348214</v>
      </c>
      <c r="R74" s="114"/>
      <c r="S74" s="114"/>
      <c r="T74" s="114"/>
      <c r="U74" s="114"/>
    </row>
    <row r="75" spans="1:21" ht="12.75" customHeight="1" thickBot="1" x14ac:dyDescent="0.35">
      <c r="D75" s="340"/>
      <c r="E75" s="340"/>
      <c r="G75" s="319" t="s">
        <v>536</v>
      </c>
      <c r="I75" s="316"/>
      <c r="J75" s="342">
        <v>1898341</v>
      </c>
      <c r="K75" s="342">
        <v>1970633</v>
      </c>
      <c r="L75" s="342">
        <f>SUM(L74:L74)</f>
        <v>2122753.9034899999</v>
      </c>
      <c r="M75" s="342">
        <f>SUM(M74:M74)</f>
        <v>2187328.0772341653</v>
      </c>
      <c r="N75" s="1285">
        <f>SUM(N74:N74)</f>
        <v>2253866.5973436283</v>
      </c>
      <c r="O75" s="1285">
        <f>SUM(O74:O74)</f>
        <v>2322429.2192348214</v>
      </c>
      <c r="Q75" s="97" t="s">
        <v>2636</v>
      </c>
      <c r="R75" s="214">
        <v>2027</v>
      </c>
      <c r="S75" s="214">
        <v>2028</v>
      </c>
      <c r="T75" s="214">
        <v>2029</v>
      </c>
      <c r="U75" s="1286">
        <v>2030</v>
      </c>
    </row>
    <row r="76" spans="1:21" ht="12.75" customHeight="1" thickTop="1" x14ac:dyDescent="0.25">
      <c r="D76" s="340"/>
      <c r="E76" s="340"/>
      <c r="F76" s="115"/>
      <c r="G76" s="319"/>
      <c r="I76" s="316"/>
      <c r="J76" s="317"/>
      <c r="K76" s="317"/>
      <c r="L76" s="344"/>
      <c r="M76" s="344"/>
      <c r="N76" s="1283"/>
      <c r="O76" s="1283"/>
      <c r="R76" s="114"/>
      <c r="S76" s="114"/>
      <c r="T76" s="114"/>
      <c r="U76" s="114"/>
    </row>
    <row r="77" spans="1:21" ht="12.75" customHeight="1" x14ac:dyDescent="0.3">
      <c r="A77" s="301"/>
      <c r="B77" s="115"/>
      <c r="C77" s="115"/>
      <c r="D77" s="333">
        <v>615003</v>
      </c>
      <c r="E77" s="331"/>
      <c r="G77" s="332" t="s">
        <v>2637</v>
      </c>
      <c r="I77" s="316"/>
      <c r="J77" s="317"/>
      <c r="K77" s="317"/>
      <c r="L77" s="317"/>
      <c r="M77" s="317"/>
      <c r="N77" s="339"/>
      <c r="O77" s="339"/>
      <c r="Q77" s="97" t="s">
        <v>2638</v>
      </c>
      <c r="R77"/>
      <c r="S77"/>
      <c r="T77"/>
      <c r="U77"/>
    </row>
    <row r="78" spans="1:21" ht="12.75" customHeight="1" x14ac:dyDescent="0.3">
      <c r="A78" s="301"/>
      <c r="B78" s="115"/>
      <c r="C78" s="115"/>
      <c r="D78" s="340"/>
      <c r="E78" s="340"/>
      <c r="G78" s="334" t="s">
        <v>533</v>
      </c>
      <c r="I78" s="316"/>
      <c r="J78" s="317"/>
      <c r="K78" s="317"/>
      <c r="L78" s="317"/>
      <c r="M78" s="317"/>
      <c r="N78" s="339"/>
      <c r="O78" s="339"/>
      <c r="Q78" t="s">
        <v>2639</v>
      </c>
      <c r="R78" s="1287">
        <v>2128081</v>
      </c>
      <c r="S78" s="1287">
        <v>2201968</v>
      </c>
      <c r="T78" s="1287">
        <v>2278420</v>
      </c>
      <c r="U78" s="1287">
        <v>2357481.1740000001</v>
      </c>
    </row>
    <row r="79" spans="1:21" ht="12.75" customHeight="1" x14ac:dyDescent="0.3">
      <c r="A79" s="336">
        <f>D77</f>
        <v>615003</v>
      </c>
      <c r="B79" s="115" t="str">
        <f>G77</f>
        <v>Brandweerkazerne</v>
      </c>
      <c r="C79" s="115"/>
      <c r="D79" s="337">
        <v>42100</v>
      </c>
      <c r="E79" s="337"/>
      <c r="G79" s="319" t="s">
        <v>978</v>
      </c>
      <c r="I79" s="316"/>
      <c r="J79" s="339">
        <v>2062</v>
      </c>
      <c r="K79" s="339">
        <v>2116</v>
      </c>
      <c r="L79" s="339">
        <f t="shared" ref="L79:O81" si="1">ROUND(K79*T$2,0)</f>
        <v>2160</v>
      </c>
      <c r="M79" s="339">
        <f t="shared" si="1"/>
        <v>2210</v>
      </c>
      <c r="N79" s="339">
        <f t="shared" si="1"/>
        <v>2261</v>
      </c>
      <c r="O79" s="339">
        <f t="shared" si="1"/>
        <v>2313</v>
      </c>
      <c r="Q79"/>
      <c r="R79" s="215"/>
      <c r="S79" s="215"/>
      <c r="T79" s="215"/>
      <c r="U79"/>
    </row>
    <row r="80" spans="1:21" ht="12.75" customHeight="1" x14ac:dyDescent="0.3">
      <c r="A80" s="336">
        <f>D77</f>
        <v>615003</v>
      </c>
      <c r="B80" s="115" t="str">
        <f>G77</f>
        <v>Brandweerkazerne</v>
      </c>
      <c r="C80" s="115"/>
      <c r="D80" s="337">
        <v>43806</v>
      </c>
      <c r="E80" s="337"/>
      <c r="G80" s="319" t="s">
        <v>980</v>
      </c>
      <c r="I80" s="316"/>
      <c r="J80" s="339">
        <v>1738</v>
      </c>
      <c r="K80" s="339">
        <v>1783</v>
      </c>
      <c r="L80" s="339">
        <f t="shared" si="1"/>
        <v>1820</v>
      </c>
      <c r="M80" s="339">
        <f t="shared" si="1"/>
        <v>1862</v>
      </c>
      <c r="N80" s="339">
        <f t="shared" si="1"/>
        <v>1905</v>
      </c>
      <c r="O80" s="339">
        <f t="shared" si="1"/>
        <v>1949</v>
      </c>
      <c r="Q80" s="97" t="s">
        <v>2640</v>
      </c>
      <c r="R80" s="108">
        <v>2128081</v>
      </c>
      <c r="S80" s="108">
        <v>2201968</v>
      </c>
      <c r="T80" s="108">
        <v>2278420</v>
      </c>
      <c r="U80" s="108">
        <v>2357481.1740000001</v>
      </c>
    </row>
    <row r="81" spans="1:21" ht="12.75" customHeight="1" x14ac:dyDescent="0.3">
      <c r="A81" s="336">
        <f>+D77</f>
        <v>615003</v>
      </c>
      <c r="B81" s="115" t="str">
        <f>+G77</f>
        <v>Brandweerkazerne</v>
      </c>
      <c r="C81" s="115"/>
      <c r="D81" s="337">
        <v>43817</v>
      </c>
      <c r="E81" s="337"/>
      <c r="G81" s="319" t="s">
        <v>1835</v>
      </c>
      <c r="I81" s="316"/>
      <c r="J81" s="339">
        <v>4172</v>
      </c>
      <c r="K81" s="339">
        <v>4280</v>
      </c>
      <c r="L81" s="339">
        <f t="shared" si="1"/>
        <v>4370</v>
      </c>
      <c r="M81" s="339">
        <f t="shared" si="1"/>
        <v>4471</v>
      </c>
      <c r="N81" s="339">
        <f t="shared" si="1"/>
        <v>4574</v>
      </c>
      <c r="O81" s="339">
        <f t="shared" si="1"/>
        <v>4679</v>
      </c>
      <c r="P81" s="381"/>
      <c r="Q81"/>
      <c r="R81" s="215"/>
      <c r="S81" s="215"/>
      <c r="T81" s="215"/>
      <c r="U81"/>
    </row>
    <row r="82" spans="1:21" ht="12.75" customHeight="1" x14ac:dyDescent="0.3">
      <c r="A82" s="336">
        <f>D77</f>
        <v>615003</v>
      </c>
      <c r="B82" s="115" t="str">
        <f>G77</f>
        <v>Brandweerkazerne</v>
      </c>
      <c r="C82" s="115"/>
      <c r="D82" s="337">
        <v>47201</v>
      </c>
      <c r="E82" s="337"/>
      <c r="G82" s="319" t="s">
        <v>2641</v>
      </c>
      <c r="I82" s="316"/>
      <c r="J82" s="339">
        <v>27088</v>
      </c>
      <c r="K82" s="339">
        <v>28088.752350000002</v>
      </c>
      <c r="L82" s="317">
        <v>29128.036186950001</v>
      </c>
      <c r="M82" s="317">
        <v>30205.773525867149</v>
      </c>
      <c r="N82" s="317">
        <v>31323.387146324232</v>
      </c>
      <c r="O82" s="2095">
        <v>0</v>
      </c>
      <c r="Q82" s="97" t="s">
        <v>2642</v>
      </c>
      <c r="R82" s="215"/>
      <c r="S82" s="215"/>
      <c r="T82" s="215"/>
      <c r="U82"/>
    </row>
    <row r="83" spans="1:21" ht="12.75" customHeight="1" thickBot="1" x14ac:dyDescent="0.35">
      <c r="A83" s="301"/>
      <c r="B83" s="115"/>
      <c r="C83" s="115"/>
      <c r="D83" s="340"/>
      <c r="E83" s="340"/>
      <c r="G83" s="319" t="s">
        <v>536</v>
      </c>
      <c r="I83" s="316"/>
      <c r="J83" s="480">
        <v>35060</v>
      </c>
      <c r="K83" s="480">
        <v>36267.752350000002</v>
      </c>
      <c r="L83" s="342">
        <f>SUM(L79:L82)</f>
        <v>37478.036186950005</v>
      </c>
      <c r="M83" s="342">
        <f>SUM(M79:M82)</f>
        <v>38748.773525867146</v>
      </c>
      <c r="N83" s="342">
        <f>SUM(N79:N82)</f>
        <v>40063.387146324232</v>
      </c>
      <c r="O83" s="342">
        <f>SUM(O79:O82)</f>
        <v>8941</v>
      </c>
      <c r="Q83" t="s">
        <v>2643</v>
      </c>
      <c r="R83" s="215">
        <v>2450341</v>
      </c>
      <c r="S83" s="215">
        <v>2450341</v>
      </c>
      <c r="T83" s="215">
        <v>2450341</v>
      </c>
      <c r="U83" s="215">
        <v>2450341</v>
      </c>
    </row>
    <row r="84" spans="1:21" ht="12.75" customHeight="1" thickTop="1" x14ac:dyDescent="0.3">
      <c r="A84" s="301"/>
      <c r="B84" s="115"/>
      <c r="C84" s="115"/>
      <c r="D84" s="340"/>
      <c r="E84" s="340"/>
      <c r="G84" s="319"/>
      <c r="I84" s="316"/>
      <c r="J84" s="344"/>
      <c r="K84" s="344"/>
      <c r="L84" s="344"/>
      <c r="M84" s="344"/>
      <c r="N84" s="344"/>
      <c r="O84" s="344"/>
      <c r="Q84" t="s">
        <v>2644</v>
      </c>
      <c r="R84" s="215"/>
      <c r="S84" s="215">
        <v>85026.832699999999</v>
      </c>
      <c r="T84" s="215">
        <v>173004</v>
      </c>
      <c r="U84" s="215">
        <v>264034</v>
      </c>
    </row>
    <row r="85" spans="1:21" ht="12.75" customHeight="1" x14ac:dyDescent="0.3">
      <c r="A85" s="301"/>
      <c r="B85" s="115"/>
      <c r="C85" s="115"/>
      <c r="D85" s="333">
        <v>615004</v>
      </c>
      <c r="E85" s="331"/>
      <c r="G85" s="332" t="s">
        <v>2645</v>
      </c>
      <c r="I85" s="316"/>
      <c r="J85" s="316"/>
      <c r="K85" s="316"/>
      <c r="L85" s="335"/>
      <c r="M85" s="335"/>
      <c r="N85" s="335"/>
      <c r="O85" s="335"/>
      <c r="Q85" s="215"/>
      <c r="R85" s="1287"/>
      <c r="S85" s="1287"/>
      <c r="T85" s="1287"/>
      <c r="U85" s="1287"/>
    </row>
    <row r="86" spans="1:21" ht="12.75" customHeight="1" x14ac:dyDescent="0.3">
      <c r="A86" s="301"/>
      <c r="B86" s="115"/>
      <c r="C86" s="115"/>
      <c r="D86" s="340"/>
      <c r="E86" s="340"/>
      <c r="G86" s="334" t="s">
        <v>533</v>
      </c>
      <c r="I86" s="316"/>
      <c r="J86" s="316"/>
      <c r="K86" s="316"/>
      <c r="L86" s="316"/>
      <c r="M86" s="316"/>
      <c r="N86" s="316"/>
      <c r="O86" s="316"/>
      <c r="Q86" s="215"/>
      <c r="R86" s="215"/>
      <c r="S86" s="215"/>
      <c r="T86" s="215"/>
      <c r="U86" s="215"/>
    </row>
    <row r="87" spans="1:21" ht="12.75" customHeight="1" x14ac:dyDescent="0.3">
      <c r="A87" s="336">
        <f>D85</f>
        <v>615004</v>
      </c>
      <c r="B87" s="306" t="str">
        <f>G85</f>
        <v>Lokale binding regionale brandweer</v>
      </c>
      <c r="C87" s="115"/>
      <c r="D87" s="337">
        <v>43812</v>
      </c>
      <c r="E87" s="337"/>
      <c r="G87" s="319" t="s">
        <v>535</v>
      </c>
      <c r="I87" s="316"/>
      <c r="J87" s="317">
        <v>2049</v>
      </c>
      <c r="K87" s="317">
        <v>2102</v>
      </c>
      <c r="L87" s="317">
        <f>L138</f>
        <v>2146</v>
      </c>
      <c r="M87" s="317">
        <f>M138</f>
        <v>2195</v>
      </c>
      <c r="N87" s="317">
        <f>N138</f>
        <v>2245</v>
      </c>
      <c r="O87" s="317">
        <f>O138</f>
        <v>2297</v>
      </c>
      <c r="Q87" s="108" t="s">
        <v>2646</v>
      </c>
      <c r="R87" s="108">
        <v>2450341</v>
      </c>
      <c r="S87" s="108">
        <v>2535367.8327000001</v>
      </c>
      <c r="T87" s="108">
        <v>2623345.09649469</v>
      </c>
      <c r="U87" s="108">
        <v>2714375.171343056</v>
      </c>
    </row>
    <row r="88" spans="1:21" ht="12.75" customHeight="1" thickBot="1" x14ac:dyDescent="0.35">
      <c r="A88" s="301"/>
      <c r="B88" s="115"/>
      <c r="C88" s="115"/>
      <c r="D88" s="340"/>
      <c r="E88" s="340"/>
      <c r="G88" s="319" t="s">
        <v>536</v>
      </c>
      <c r="I88" s="316"/>
      <c r="J88" s="342">
        <v>2049</v>
      </c>
      <c r="K88" s="342">
        <v>2102</v>
      </c>
      <c r="L88" s="342">
        <f>SUM(L87:L87)</f>
        <v>2146</v>
      </c>
      <c r="M88" s="342">
        <f>SUM(M87:M87)</f>
        <v>2195</v>
      </c>
      <c r="N88" s="342">
        <f>SUM(N87:N87)</f>
        <v>2245</v>
      </c>
      <c r="O88" s="342">
        <f>SUM(O87:O87)</f>
        <v>2297</v>
      </c>
      <c r="Q88" s="215"/>
      <c r="R88" s="215"/>
      <c r="S88" s="215"/>
      <c r="T88" s="215"/>
      <c r="U88" s="215"/>
    </row>
    <row r="89" spans="1:21" ht="12.75" customHeight="1" thickTop="1" x14ac:dyDescent="0.3">
      <c r="A89" s="301"/>
      <c r="B89" s="115"/>
      <c r="C89" s="115"/>
      <c r="D89" s="340"/>
      <c r="E89" s="340"/>
      <c r="G89" s="319"/>
      <c r="I89" s="316"/>
      <c r="J89" s="318"/>
      <c r="K89" s="318"/>
      <c r="L89" s="318"/>
      <c r="M89" s="318"/>
      <c r="N89" s="318"/>
      <c r="O89" s="318"/>
      <c r="Q89" s="108" t="s">
        <v>2647</v>
      </c>
      <c r="R89" s="1288">
        <v>-322260</v>
      </c>
      <c r="S89" s="1288">
        <v>-333399.83270000014</v>
      </c>
      <c r="T89" s="1288">
        <v>-344925.09649469005</v>
      </c>
      <c r="U89" s="1288">
        <v>-356893.9973430559</v>
      </c>
    </row>
    <row r="90" spans="1:21" ht="12.75" customHeight="1" x14ac:dyDescent="0.3">
      <c r="A90" s="301"/>
      <c r="B90" s="115"/>
      <c r="C90" s="115"/>
      <c r="D90" s="347">
        <v>615901</v>
      </c>
      <c r="E90" s="476"/>
      <c r="G90" s="332" t="s">
        <v>2648</v>
      </c>
      <c r="I90" s="316"/>
      <c r="J90" s="318"/>
      <c r="K90" s="318"/>
      <c r="L90" s="318"/>
      <c r="M90" s="318"/>
      <c r="N90" s="318"/>
      <c r="O90" s="318"/>
      <c r="Q90" s="215"/>
      <c r="R90" s="215"/>
      <c r="S90" s="215"/>
      <c r="T90" s="215"/>
      <c r="U90" s="215"/>
    </row>
    <row r="91" spans="1:21" ht="12.75" customHeight="1" x14ac:dyDescent="0.3">
      <c r="A91" s="301"/>
      <c r="B91" s="115"/>
      <c r="C91" s="115"/>
      <c r="D91" s="340"/>
      <c r="E91" s="340"/>
      <c r="G91" s="334" t="s">
        <v>533</v>
      </c>
      <c r="I91" s="316"/>
      <c r="J91" s="318"/>
      <c r="K91" s="318"/>
      <c r="L91" s="318"/>
      <c r="M91" s="318"/>
      <c r="N91" s="318"/>
      <c r="O91" s="318"/>
      <c r="Q91" s="215"/>
      <c r="R91" s="215"/>
      <c r="S91" s="215"/>
      <c r="T91" s="215"/>
      <c r="U91" s="215"/>
    </row>
    <row r="92" spans="1:21" ht="12.75" customHeight="1" x14ac:dyDescent="0.3">
      <c r="A92" s="336">
        <f>D90</f>
        <v>615901</v>
      </c>
      <c r="B92" s="306" t="str">
        <f>G90</f>
        <v>Directe toerekening crisisbeheersing en brandweer</v>
      </c>
      <c r="C92" s="115"/>
      <c r="D92" s="340">
        <v>41100</v>
      </c>
      <c r="E92" s="340"/>
      <c r="G92" s="319" t="s">
        <v>541</v>
      </c>
      <c r="I92" s="316"/>
      <c r="J92" s="318">
        <v>79851.039999999994</v>
      </c>
      <c r="K92" s="318">
        <v>53449.78</v>
      </c>
      <c r="L92" s="318">
        <f>L156</f>
        <v>55695</v>
      </c>
      <c r="M92" s="318">
        <f>M156</f>
        <v>57755</v>
      </c>
      <c r="N92" s="318">
        <f>N156</f>
        <v>59892</v>
      </c>
      <c r="O92" s="318">
        <f>O156</f>
        <v>62108</v>
      </c>
      <c r="Q92" s="1289" t="s">
        <v>2649</v>
      </c>
      <c r="R92" s="215"/>
      <c r="S92" s="215"/>
      <c r="T92" s="215"/>
      <c r="U92" s="215"/>
    </row>
    <row r="93" spans="1:21" ht="12.75" customHeight="1" x14ac:dyDescent="0.25">
      <c r="A93" s="336">
        <f>D90</f>
        <v>615901</v>
      </c>
      <c r="B93" s="306" t="str">
        <f>G90</f>
        <v>Directe toerekening crisisbeheersing en brandweer</v>
      </c>
      <c r="D93" s="337">
        <v>47300</v>
      </c>
      <c r="E93" s="337"/>
      <c r="F93" s="115"/>
      <c r="G93" s="319" t="s">
        <v>1033</v>
      </c>
      <c r="I93" s="316"/>
      <c r="J93" s="317">
        <v>11468</v>
      </c>
      <c r="K93" s="317">
        <v>15987</v>
      </c>
      <c r="L93" s="317">
        <v>29498</v>
      </c>
      <c r="M93" s="317">
        <v>29498</v>
      </c>
      <c r="N93" s="317">
        <v>29498</v>
      </c>
      <c r="O93" s="2095">
        <v>0</v>
      </c>
    </row>
    <row r="94" spans="1:21" ht="12.75" customHeight="1" thickBot="1" x14ac:dyDescent="0.3">
      <c r="A94" s="301"/>
      <c r="B94" s="115"/>
      <c r="C94" s="115"/>
      <c r="D94" s="340"/>
      <c r="E94" s="340"/>
      <c r="G94" s="319" t="s">
        <v>536</v>
      </c>
      <c r="I94" s="316"/>
      <c r="J94" s="480">
        <v>91319.039999999994</v>
      </c>
      <c r="K94" s="480">
        <v>69436.78</v>
      </c>
      <c r="L94" s="480">
        <f>SUM(L91:L93)</f>
        <v>85193</v>
      </c>
      <c r="M94" s="480">
        <f>SUM(M91:M93)</f>
        <v>87253</v>
      </c>
      <c r="N94" s="480">
        <f>SUM(N91:N93)</f>
        <v>89390</v>
      </c>
      <c r="O94" s="480">
        <f>SUM(O91:O93)</f>
        <v>62108</v>
      </c>
    </row>
    <row r="95" spans="1:21" ht="12.75" customHeight="1" thickTop="1" x14ac:dyDescent="0.25">
      <c r="A95" s="301"/>
      <c r="B95" s="115"/>
      <c r="C95" s="115"/>
      <c r="D95" s="340"/>
      <c r="E95" s="340"/>
      <c r="G95" s="319"/>
      <c r="I95" s="316"/>
      <c r="J95" s="318"/>
      <c r="K95" s="318"/>
      <c r="L95" s="318"/>
      <c r="M95" s="318"/>
      <c r="N95" s="318"/>
      <c r="O95" s="318"/>
    </row>
    <row r="96" spans="1:21" ht="12.75" customHeight="1" x14ac:dyDescent="0.25">
      <c r="A96" s="301"/>
      <c r="B96" s="115"/>
      <c r="C96" s="115"/>
      <c r="D96" s="347">
        <v>615003</v>
      </c>
      <c r="E96" s="476"/>
      <c r="G96" s="332" t="s">
        <v>2637</v>
      </c>
      <c r="I96" s="316"/>
      <c r="J96" s="317"/>
      <c r="K96" s="317"/>
      <c r="L96" s="317"/>
      <c r="M96" s="317"/>
      <c r="N96" s="317"/>
      <c r="O96" s="317"/>
    </row>
    <row r="97" spans="1:16" ht="12.75" customHeight="1" x14ac:dyDescent="0.25">
      <c r="A97" s="301"/>
      <c r="B97" s="115"/>
      <c r="C97" s="115"/>
      <c r="D97" s="340"/>
      <c r="E97" s="340"/>
      <c r="G97" s="334" t="s">
        <v>554</v>
      </c>
      <c r="I97" s="316"/>
      <c r="J97" s="317"/>
      <c r="K97" s="317"/>
      <c r="L97" s="317"/>
      <c r="M97" s="317"/>
      <c r="N97" s="317"/>
      <c r="O97" s="317"/>
    </row>
    <row r="98" spans="1:16" ht="12.75" customHeight="1" x14ac:dyDescent="0.25">
      <c r="A98" s="336">
        <f>D96</f>
        <v>615003</v>
      </c>
      <c r="B98" s="306" t="str">
        <f>G96</f>
        <v>Brandweerkazerne</v>
      </c>
      <c r="C98" s="115"/>
      <c r="D98" s="337">
        <v>83600</v>
      </c>
      <c r="E98" s="337"/>
      <c r="G98" s="319" t="s">
        <v>1010</v>
      </c>
      <c r="J98" s="142">
        <v>-106263</v>
      </c>
      <c r="K98" s="142">
        <v>-109768</v>
      </c>
      <c r="L98" s="142">
        <f>L145</f>
        <v>-112837.49</v>
      </c>
      <c r="M98" s="142">
        <f>M145</f>
        <v>-115433</v>
      </c>
      <c r="N98" s="142">
        <f>N145</f>
        <v>-118088</v>
      </c>
      <c r="O98" s="142">
        <f>O145</f>
        <v>-120804</v>
      </c>
    </row>
    <row r="99" spans="1:16" ht="12.75" customHeight="1" thickBot="1" x14ac:dyDescent="0.3">
      <c r="A99" s="301"/>
      <c r="B99" s="115"/>
      <c r="C99" s="115"/>
      <c r="D99" s="340"/>
      <c r="E99" s="340"/>
      <c r="F99" s="340"/>
      <c r="G99" s="319" t="s">
        <v>536</v>
      </c>
      <c r="J99" s="342">
        <v>-106263</v>
      </c>
      <c r="K99" s="342">
        <v>-109768</v>
      </c>
      <c r="L99" s="342">
        <f>SUM(L98)</f>
        <v>-112837.49</v>
      </c>
      <c r="M99" s="342">
        <f>SUM(M98)</f>
        <v>-115433</v>
      </c>
      <c r="N99" s="342">
        <f>SUM(N98)</f>
        <v>-118088</v>
      </c>
      <c r="O99" s="342">
        <f>SUM(O98)</f>
        <v>-120804</v>
      </c>
    </row>
    <row r="100" spans="1:16" ht="12.75" customHeight="1" thickTop="1" x14ac:dyDescent="0.25">
      <c r="A100" s="301"/>
      <c r="B100" s="115"/>
      <c r="C100" s="115"/>
      <c r="D100" s="340"/>
      <c r="E100" s="340"/>
      <c r="F100" s="340"/>
      <c r="G100" s="319"/>
      <c r="J100" s="344"/>
      <c r="K100" s="344"/>
      <c r="L100" s="344"/>
      <c r="M100" s="344"/>
      <c r="N100" s="344"/>
      <c r="O100" s="344"/>
    </row>
    <row r="101" spans="1:16" ht="12.75" customHeight="1" x14ac:dyDescent="0.25">
      <c r="D101" s="167"/>
      <c r="E101" s="167"/>
      <c r="F101" s="167"/>
      <c r="G101" s="168"/>
      <c r="H101" s="149"/>
      <c r="I101" s="149"/>
      <c r="J101" s="142"/>
      <c r="K101" s="142"/>
      <c r="L101" s="142"/>
      <c r="M101" s="142"/>
      <c r="N101" s="142"/>
      <c r="O101" s="142"/>
    </row>
    <row r="102" spans="1:16" ht="12.75" customHeight="1" x14ac:dyDescent="0.25">
      <c r="D102" s="1055"/>
      <c r="E102" s="1055"/>
      <c r="F102" s="1055"/>
      <c r="G102" s="322"/>
      <c r="H102" s="322"/>
      <c r="J102" s="114"/>
      <c r="K102" s="114"/>
      <c r="L102" s="114"/>
      <c r="M102" s="114"/>
      <c r="N102" s="114"/>
      <c r="O102" s="114"/>
    </row>
    <row r="103" spans="1:16" ht="12.75" customHeight="1" x14ac:dyDescent="0.25">
      <c r="D103" s="428" t="s">
        <v>561</v>
      </c>
      <c r="E103" s="384"/>
      <c r="F103" s="384"/>
      <c r="J103" s="114"/>
      <c r="K103" s="114"/>
      <c r="L103" s="114"/>
      <c r="M103" s="114"/>
      <c r="N103" s="114"/>
      <c r="O103" s="114"/>
    </row>
    <row r="104" spans="1:16" ht="12.75" customHeight="1" x14ac:dyDescent="0.25">
      <c r="D104" s="384"/>
      <c r="E104" s="384"/>
      <c r="F104" s="384"/>
      <c r="G104" s="383"/>
      <c r="J104" s="114"/>
      <c r="K104" s="114"/>
      <c r="L104" s="114"/>
      <c r="M104" s="114"/>
      <c r="N104" s="114"/>
      <c r="O104" s="114"/>
    </row>
    <row r="105" spans="1:16" ht="12.75" customHeight="1" x14ac:dyDescent="0.25">
      <c r="D105" s="393">
        <v>615001</v>
      </c>
      <c r="E105" s="393"/>
      <c r="F105" s="381" t="s">
        <v>2632</v>
      </c>
      <c r="H105" s="114"/>
      <c r="I105" s="114"/>
      <c r="J105" s="407">
        <v>2025</v>
      </c>
      <c r="K105" s="407">
        <v>2026</v>
      </c>
      <c r="L105" s="407">
        <v>2027</v>
      </c>
      <c r="M105" s="407">
        <v>2028</v>
      </c>
      <c r="N105" s="407">
        <v>2029</v>
      </c>
      <c r="O105" s="407">
        <v>2030</v>
      </c>
    </row>
    <row r="106" spans="1:16" ht="12.75" customHeight="1" x14ac:dyDescent="0.25">
      <c r="D106" s="143">
        <v>43812</v>
      </c>
      <c r="E106" s="143"/>
      <c r="F106" s="398" t="s">
        <v>2650</v>
      </c>
      <c r="G106" s="114"/>
      <c r="H106" s="114"/>
      <c r="I106" s="114"/>
    </row>
    <row r="107" spans="1:16" ht="12.75" customHeight="1" x14ac:dyDescent="0.25">
      <c r="F107" s="114" t="s">
        <v>2651</v>
      </c>
      <c r="G107" s="398"/>
      <c r="H107" s="114"/>
      <c r="I107" s="114"/>
      <c r="J107" s="114">
        <v>4699</v>
      </c>
      <c r="K107" s="114">
        <v>4821</v>
      </c>
      <c r="L107" s="114">
        <f>ROUND(K107*T$2,0)</f>
        <v>4922</v>
      </c>
      <c r="M107" s="114">
        <f>ROUND(L107*U$2,0)</f>
        <v>5035</v>
      </c>
      <c r="N107" s="114">
        <f>ROUND(M107*V$2,0)</f>
        <v>5151</v>
      </c>
      <c r="O107" s="114">
        <f>ROUND(N107*W$2,0)</f>
        <v>5269</v>
      </c>
    </row>
    <row r="108" spans="1:16" ht="12.75" customHeight="1" x14ac:dyDescent="0.25">
      <c r="F108" s="398" t="s">
        <v>2652</v>
      </c>
      <c r="G108" s="398"/>
      <c r="H108" s="114"/>
      <c r="I108" s="114"/>
      <c r="J108" s="114"/>
      <c r="K108" s="114"/>
      <c r="L108" s="114">
        <v>6608</v>
      </c>
      <c r="M108" s="114">
        <v>0</v>
      </c>
      <c r="N108" s="114">
        <v>0</v>
      </c>
      <c r="O108" s="114">
        <v>0</v>
      </c>
      <c r="P108" s="383" t="s">
        <v>2653</v>
      </c>
    </row>
    <row r="109" spans="1:16" ht="12.75" customHeight="1" x14ac:dyDescent="0.25">
      <c r="F109" s="398" t="s">
        <v>2654</v>
      </c>
      <c r="G109" s="398"/>
      <c r="H109" s="114"/>
      <c r="I109" s="114"/>
      <c r="J109" s="114">
        <v>5133</v>
      </c>
      <c r="K109" s="114">
        <v>5266</v>
      </c>
      <c r="L109" s="114">
        <f>ROUND(K109*T$2,0)</f>
        <v>5377</v>
      </c>
      <c r="M109" s="114">
        <f>ROUND(L109*U$2,0)</f>
        <v>5501</v>
      </c>
      <c r="N109" s="114">
        <f>ROUND(M109*V$2,0)</f>
        <v>5628</v>
      </c>
      <c r="O109" s="114">
        <f>ROUND(N109*W$2,0)</f>
        <v>5757</v>
      </c>
    </row>
    <row r="110" spans="1:16" ht="12.75" customHeight="1" x14ac:dyDescent="0.25">
      <c r="F110" s="398"/>
      <c r="G110" s="398"/>
      <c r="H110" s="114"/>
      <c r="I110" s="114"/>
      <c r="J110" s="114"/>
      <c r="K110" s="114"/>
      <c r="L110" s="114"/>
      <c r="M110" s="114"/>
      <c r="N110" s="114"/>
      <c r="O110" s="114"/>
    </row>
    <row r="111" spans="1:16" ht="12.75" customHeight="1" thickBot="1" x14ac:dyDescent="0.3">
      <c r="F111" s="398"/>
      <c r="G111" s="398"/>
      <c r="H111" s="114"/>
      <c r="I111" s="114"/>
      <c r="J111" s="1744">
        <v>9832</v>
      </c>
      <c r="K111" s="1744">
        <v>10087</v>
      </c>
      <c r="L111" s="1744">
        <f>SUM(L106:L110)</f>
        <v>16907</v>
      </c>
      <c r="M111" s="1744">
        <f>SUM(M106:M110)</f>
        <v>10536</v>
      </c>
      <c r="N111" s="1744">
        <f>SUM(N106:N110)</f>
        <v>10779</v>
      </c>
      <c r="O111" s="1744">
        <f>SUM(O106:O110)</f>
        <v>11026</v>
      </c>
    </row>
    <row r="112" spans="1:16" ht="12.75" customHeight="1" thickTop="1" x14ac:dyDescent="0.25">
      <c r="F112" s="398"/>
      <c r="G112" s="398"/>
      <c r="H112" s="114"/>
      <c r="I112" s="114"/>
      <c r="J112" s="114"/>
      <c r="K112" s="114"/>
      <c r="L112" s="114"/>
      <c r="M112" s="114"/>
      <c r="N112" s="114"/>
      <c r="O112" s="114"/>
    </row>
    <row r="113" spans="4:19" ht="12.75" customHeight="1" x14ac:dyDescent="0.25">
      <c r="D113" s="1290">
        <v>615002</v>
      </c>
      <c r="E113" s="1290"/>
      <c r="F113" s="381" t="s">
        <v>2633</v>
      </c>
      <c r="G113" s="414"/>
    </row>
    <row r="114" spans="4:19" ht="12.75" customHeight="1" x14ac:dyDescent="0.25">
      <c r="D114" s="1291">
        <v>44330</v>
      </c>
      <c r="E114" s="1291"/>
      <c r="F114" s="2570" t="s">
        <v>2655</v>
      </c>
      <c r="G114" s="2570"/>
      <c r="H114" s="2570"/>
      <c r="I114" s="2570"/>
      <c r="J114" s="2571"/>
      <c r="K114" s="2571"/>
      <c r="L114" s="2571"/>
      <c r="M114" s="2571"/>
      <c r="N114" s="405"/>
      <c r="O114" s="405"/>
    </row>
    <row r="115" spans="4:19" ht="12.75" customHeight="1" x14ac:dyDescent="0.25">
      <c r="F115" s="2571"/>
      <c r="G115" s="2571"/>
      <c r="H115" s="2571"/>
      <c r="I115" s="2571"/>
      <c r="J115" s="2571"/>
      <c r="K115" s="2571"/>
      <c r="L115" s="2571"/>
      <c r="M115" s="2571"/>
      <c r="N115" s="405"/>
      <c r="O115" s="405"/>
    </row>
    <row r="116" spans="4:19" ht="12.75" customHeight="1" x14ac:dyDescent="0.25">
      <c r="F116" s="2571"/>
      <c r="G116" s="2571"/>
      <c r="H116" s="2571"/>
      <c r="I116" s="2571"/>
      <c r="J116" s="2571"/>
      <c r="K116" s="2571"/>
      <c r="L116" s="2571"/>
      <c r="M116" s="2571"/>
      <c r="N116" s="405"/>
      <c r="O116" s="405"/>
    </row>
    <row r="117" spans="4:19" ht="12.75" customHeight="1" x14ac:dyDescent="0.25">
      <c r="D117" s="382" t="s">
        <v>2656</v>
      </c>
      <c r="E117" s="382"/>
      <c r="F117" s="561" t="s">
        <v>2657</v>
      </c>
      <c r="G117" s="401"/>
      <c r="H117" s="401"/>
      <c r="I117" s="401"/>
      <c r="J117" s="407">
        <v>2025</v>
      </c>
      <c r="K117" s="407">
        <v>2026</v>
      </c>
      <c r="L117" s="407">
        <v>2027</v>
      </c>
      <c r="M117" s="407">
        <v>2028</v>
      </c>
      <c r="N117" s="407">
        <v>2029</v>
      </c>
      <c r="O117" s="407">
        <v>2030</v>
      </c>
      <c r="Q117" s="486"/>
      <c r="R117" s="486"/>
      <c r="S117" s="486"/>
    </row>
    <row r="118" spans="4:19" ht="12.75" customHeight="1" x14ac:dyDescent="0.25">
      <c r="F118" s="115"/>
      <c r="H118" s="486"/>
      <c r="I118" s="486"/>
      <c r="P118" s="486"/>
    </row>
    <row r="119" spans="4:19" ht="12.75" customHeight="1" x14ac:dyDescent="0.25">
      <c r="D119" s="446"/>
      <c r="E119" s="446"/>
      <c r="F119" s="1292"/>
      <c r="G119" s="1272"/>
      <c r="H119" s="1292"/>
      <c r="I119" s="1292"/>
      <c r="J119" s="1292"/>
      <c r="K119" s="1292"/>
      <c r="L119" s="1292"/>
      <c r="M119" s="1292"/>
      <c r="N119" s="1292"/>
      <c r="O119" s="1292"/>
    </row>
    <row r="120" spans="4:19" ht="12.75" customHeight="1" x14ac:dyDescent="0.25">
      <c r="D120" s="446"/>
      <c r="E120" s="446"/>
      <c r="F120" s="1292"/>
      <c r="H120" s="114"/>
      <c r="I120" s="114"/>
      <c r="J120" s="1292"/>
      <c r="K120" s="1292"/>
      <c r="L120" s="1292"/>
      <c r="M120" s="1292"/>
      <c r="N120" s="1292"/>
      <c r="O120" s="1292"/>
    </row>
    <row r="121" spans="4:19" ht="12.75" customHeight="1" x14ac:dyDescent="0.25">
      <c r="D121" s="446"/>
      <c r="E121" s="446"/>
      <c r="F121" s="1292" t="s">
        <v>2658</v>
      </c>
      <c r="H121" s="114"/>
      <c r="I121" s="114"/>
      <c r="J121" s="1292">
        <v>1826341</v>
      </c>
      <c r="K121" s="1292"/>
      <c r="L121" s="1292"/>
      <c r="M121" s="1292"/>
      <c r="N121" s="1292"/>
      <c r="O121" s="1292"/>
    </row>
    <row r="122" spans="4:19" ht="12.75" customHeight="1" x14ac:dyDescent="0.25">
      <c r="D122" s="446"/>
      <c r="E122" s="446"/>
      <c r="F122" s="1292" t="s">
        <v>2659</v>
      </c>
      <c r="H122" s="114"/>
      <c r="I122" s="114"/>
      <c r="J122" s="1292">
        <v>72000</v>
      </c>
      <c r="K122" s="1292"/>
      <c r="L122" s="1292"/>
      <c r="M122" s="1292"/>
      <c r="N122" s="1292"/>
      <c r="O122" s="1292"/>
      <c r="P122" s="633" t="s">
        <v>2660</v>
      </c>
    </row>
    <row r="123" spans="4:19" ht="12.75" customHeight="1" x14ac:dyDescent="0.25">
      <c r="D123" s="446"/>
      <c r="E123" s="446"/>
      <c r="F123" s="1292" t="s">
        <v>2661</v>
      </c>
      <c r="H123" s="114"/>
      <c r="I123" s="114"/>
      <c r="J123" s="1292"/>
      <c r="K123" s="1292">
        <v>1970633</v>
      </c>
      <c r="L123" s="1292"/>
      <c r="M123" s="1292"/>
      <c r="N123" s="1292"/>
      <c r="O123" s="1292"/>
    </row>
    <row r="124" spans="4:19" ht="12.75" customHeight="1" x14ac:dyDescent="0.25">
      <c r="D124" s="446"/>
      <c r="E124" s="446"/>
      <c r="F124" s="1293"/>
      <c r="H124" s="114"/>
      <c r="I124" s="114"/>
      <c r="J124" s="1292"/>
      <c r="K124" s="1292"/>
      <c r="L124" s="1292"/>
      <c r="M124" s="1292"/>
      <c r="N124" s="1292"/>
      <c r="O124" s="1292"/>
    </row>
    <row r="125" spans="4:19" ht="12.75" customHeight="1" x14ac:dyDescent="0.25">
      <c r="D125" s="446"/>
      <c r="E125" s="446"/>
      <c r="F125" s="1292" t="s">
        <v>2662</v>
      </c>
      <c r="H125" s="114"/>
      <c r="I125" s="114"/>
      <c r="J125" s="1292"/>
      <c r="K125" s="1292"/>
      <c r="L125" s="1292">
        <f>2056673*T4</f>
        <v>2122753.9034899999</v>
      </c>
      <c r="M125" s="1292"/>
      <c r="N125" s="1292"/>
      <c r="O125" s="1292"/>
    </row>
    <row r="126" spans="4:19" ht="12.75" customHeight="1" x14ac:dyDescent="0.25">
      <c r="D126" s="446"/>
      <c r="E126" s="446"/>
      <c r="F126" s="1293"/>
      <c r="H126" s="114"/>
      <c r="I126" s="114"/>
      <c r="J126" s="1292"/>
      <c r="K126" s="1292"/>
      <c r="L126" s="1292"/>
      <c r="M126" s="1292"/>
      <c r="N126" s="1292"/>
      <c r="O126" s="1292"/>
    </row>
    <row r="127" spans="4:19" ht="12.75" customHeight="1" x14ac:dyDescent="0.25">
      <c r="D127" s="446"/>
      <c r="E127" s="446"/>
      <c r="F127" s="1292" t="s">
        <v>2663</v>
      </c>
      <c r="H127" s="114"/>
      <c r="I127" s="114"/>
      <c r="J127" s="1292"/>
      <c r="K127" s="1292"/>
      <c r="L127" s="1292"/>
      <c r="M127" s="1292">
        <f>L125*U4</f>
        <v>2187328.0772341653</v>
      </c>
    </row>
    <row r="128" spans="4:19" ht="12.75" customHeight="1" x14ac:dyDescent="0.25">
      <c r="D128" s="446"/>
      <c r="E128" s="446"/>
      <c r="F128" s="1293"/>
      <c r="H128" s="114"/>
      <c r="I128" s="114"/>
      <c r="J128" s="1292"/>
      <c r="K128" s="1292"/>
      <c r="L128" s="1292"/>
      <c r="M128" s="1292"/>
      <c r="N128" s="1292"/>
      <c r="O128" s="1292"/>
    </row>
    <row r="129" spans="4:19" ht="12.75" customHeight="1" x14ac:dyDescent="0.25">
      <c r="D129" s="446"/>
      <c r="E129" s="446"/>
      <c r="F129" s="1293" t="s">
        <v>2664</v>
      </c>
      <c r="H129" s="114"/>
      <c r="I129" s="114"/>
      <c r="J129" s="1292"/>
      <c r="K129" s="1292"/>
      <c r="L129" s="1292"/>
      <c r="M129" s="1292"/>
      <c r="N129" s="1292">
        <f>M127*V$4</f>
        <v>2253866.5973436283</v>
      </c>
      <c r="O129" s="1292"/>
    </row>
    <row r="130" spans="4:19" ht="12.75" customHeight="1" x14ac:dyDescent="0.25">
      <c r="D130" s="446"/>
      <c r="E130" s="446"/>
      <c r="F130" s="1293"/>
      <c r="H130" s="114"/>
      <c r="I130" s="114"/>
      <c r="J130" s="1292"/>
      <c r="K130" s="1292"/>
      <c r="L130" s="1292"/>
      <c r="M130" s="1292"/>
      <c r="N130" s="1292"/>
      <c r="O130" s="1292"/>
    </row>
    <row r="131" spans="4:19" ht="12.75" customHeight="1" x14ac:dyDescent="0.25">
      <c r="D131" s="446"/>
      <c r="E131" s="446"/>
      <c r="F131" s="2106" t="s">
        <v>5271</v>
      </c>
      <c r="H131" s="114"/>
      <c r="I131" s="114"/>
      <c r="J131" s="1292"/>
      <c r="K131" s="1292"/>
      <c r="L131" s="1292"/>
      <c r="M131" s="1292"/>
      <c r="N131" s="1292"/>
      <c r="O131" s="1292">
        <f>N129*W$4</f>
        <v>2322429.2192348214</v>
      </c>
    </row>
    <row r="132" spans="4:19" ht="12.75" customHeight="1" thickBot="1" x14ac:dyDescent="0.3">
      <c r="F132" s="1294" t="s">
        <v>2665</v>
      </c>
      <c r="H132" s="114"/>
      <c r="I132" s="114"/>
      <c r="J132" s="1744">
        <v>1898341</v>
      </c>
      <c r="K132" s="1744">
        <v>1970633</v>
      </c>
      <c r="L132" s="1744">
        <f>SUM(L120:L131)</f>
        <v>2122753.9034899999</v>
      </c>
      <c r="M132" s="1744">
        <f>SUM(M120:M131)</f>
        <v>2187328.0772341653</v>
      </c>
      <c r="N132" s="1744">
        <f>SUM(N120:N131)</f>
        <v>2253866.5973436283</v>
      </c>
      <c r="O132" s="1744">
        <f>SUM(O120:O131)</f>
        <v>2322429.2192348214</v>
      </c>
    </row>
    <row r="133" spans="4:19" ht="12.75" customHeight="1" thickTop="1" x14ac:dyDescent="0.25">
      <c r="F133" s="1295"/>
      <c r="H133" s="114"/>
      <c r="I133" s="114"/>
      <c r="J133" s="114"/>
      <c r="K133" s="114"/>
      <c r="L133" s="114"/>
      <c r="M133" s="114"/>
      <c r="N133" s="114"/>
      <c r="O133" s="114"/>
    </row>
    <row r="134" spans="4:19" ht="12.75" customHeight="1" x14ac:dyDescent="0.25">
      <c r="D134" s="393">
        <v>615004</v>
      </c>
      <c r="E134" s="393"/>
      <c r="F134" s="381" t="s">
        <v>2645</v>
      </c>
      <c r="G134" s="114"/>
      <c r="H134" s="405"/>
      <c r="I134" s="405"/>
    </row>
    <row r="135" spans="4:19" ht="12.75" customHeight="1" x14ac:dyDescent="0.25">
      <c r="D135" s="393"/>
      <c r="E135" s="393"/>
      <c r="F135" s="383" t="s">
        <v>533</v>
      </c>
      <c r="G135" s="114"/>
      <c r="H135" s="405"/>
      <c r="I135" s="405"/>
      <c r="J135" s="405"/>
      <c r="K135" s="405"/>
      <c r="L135" s="405"/>
      <c r="M135" s="405"/>
      <c r="N135" s="405"/>
      <c r="O135" s="405"/>
      <c r="P135" s="405"/>
      <c r="S135" s="115">
        <f>2278420-2242194</f>
        <v>36226</v>
      </c>
    </row>
    <row r="136" spans="4:19" ht="12.75" customHeight="1" x14ac:dyDescent="0.25">
      <c r="D136" s="143">
        <v>43812</v>
      </c>
      <c r="E136" s="143"/>
      <c r="F136" s="115" t="s">
        <v>2666</v>
      </c>
      <c r="G136" s="114"/>
      <c r="H136" s="405"/>
      <c r="I136" s="405"/>
      <c r="J136" s="1190"/>
      <c r="K136" s="1190"/>
      <c r="L136" s="1190"/>
      <c r="M136" s="1190"/>
      <c r="N136" s="1190"/>
      <c r="O136" s="1190"/>
    </row>
    <row r="137" spans="4:19" ht="12.75" customHeight="1" x14ac:dyDescent="0.25">
      <c r="F137" s="308" t="s">
        <v>2667</v>
      </c>
      <c r="H137" s="405"/>
      <c r="I137" s="405"/>
      <c r="J137" s="114">
        <v>2049</v>
      </c>
      <c r="K137" s="114">
        <v>2102</v>
      </c>
      <c r="L137" s="114">
        <f>ROUND(K137*T$2,0)</f>
        <v>2146</v>
      </c>
      <c r="M137" s="114">
        <f>ROUND(L137*U$2,0)</f>
        <v>2195</v>
      </c>
      <c r="N137" s="114">
        <f>ROUND(M137*V$2,0)</f>
        <v>2245</v>
      </c>
      <c r="O137" s="114">
        <f>ROUND(N137*W$2,0)</f>
        <v>2297</v>
      </c>
    </row>
    <row r="138" spans="4:19" ht="12.75" customHeight="1" thickBot="1" x14ac:dyDescent="0.3">
      <c r="F138" s="115" t="s">
        <v>619</v>
      </c>
      <c r="H138" s="405"/>
      <c r="I138" s="405"/>
      <c r="J138" s="1744">
        <v>2049</v>
      </c>
      <c r="K138" s="1744">
        <v>2102</v>
      </c>
      <c r="L138" s="1744">
        <f>SUM(L137:L137)</f>
        <v>2146</v>
      </c>
      <c r="M138" s="1744">
        <f>SUM(M137:M137)</f>
        <v>2195</v>
      </c>
      <c r="N138" s="1744">
        <f>SUM(N137:N137)</f>
        <v>2245</v>
      </c>
      <c r="O138" s="1744">
        <f>SUM(O137:O137)</f>
        <v>2297</v>
      </c>
    </row>
    <row r="139" spans="4:19" ht="12.75" customHeight="1" thickTop="1" x14ac:dyDescent="0.25">
      <c r="F139" s="114"/>
      <c r="G139" s="114"/>
      <c r="H139" s="405"/>
      <c r="I139" s="405"/>
      <c r="J139" s="114"/>
      <c r="K139" s="114"/>
      <c r="L139" s="114"/>
      <c r="M139" s="114"/>
      <c r="N139" s="114"/>
      <c r="O139" s="114"/>
    </row>
    <row r="140" spans="4:19" ht="12.75" customHeight="1" x14ac:dyDescent="0.25">
      <c r="F140" s="114"/>
      <c r="G140" s="114"/>
      <c r="H140" s="405"/>
      <c r="I140" s="405"/>
      <c r="J140" s="114"/>
      <c r="K140" s="114"/>
      <c r="L140" s="114"/>
      <c r="M140" s="114"/>
      <c r="N140" s="114"/>
      <c r="O140" s="114"/>
    </row>
    <row r="141" spans="4:19" ht="12.75" customHeight="1" x14ac:dyDescent="0.25">
      <c r="D141" s="433">
        <v>615003</v>
      </c>
      <c r="E141" s="433"/>
      <c r="F141" s="381" t="s">
        <v>2668</v>
      </c>
      <c r="H141" s="114"/>
      <c r="I141" s="114"/>
      <c r="Q141" s="399"/>
      <c r="R141" s="399"/>
    </row>
    <row r="142" spans="4:19" ht="12.75" customHeight="1" x14ac:dyDescent="0.25">
      <c r="F142" s="383" t="s">
        <v>554</v>
      </c>
      <c r="H142" s="399"/>
      <c r="I142" s="399"/>
      <c r="J142" s="399"/>
      <c r="K142" s="399"/>
      <c r="L142" s="399"/>
      <c r="M142" s="399"/>
      <c r="N142" s="399"/>
      <c r="O142" s="399"/>
      <c r="P142" s="399"/>
    </row>
    <row r="143" spans="4:19" ht="12.75" customHeight="1" x14ac:dyDescent="0.25">
      <c r="D143" s="143">
        <v>83600</v>
      </c>
      <c r="E143" s="143"/>
      <c r="F143" s="308" t="s">
        <v>2669</v>
      </c>
      <c r="H143" s="399"/>
      <c r="I143" s="399"/>
      <c r="J143" s="558">
        <v>-106263</v>
      </c>
      <c r="K143" s="558">
        <v>-109768</v>
      </c>
      <c r="L143" s="558">
        <v>-112837.49</v>
      </c>
      <c r="M143" s="558">
        <f>ROUND(L143*U$2,0)</f>
        <v>-115433</v>
      </c>
      <c r="N143" s="558">
        <f>ROUND(M143*V$2,0)</f>
        <v>-118088</v>
      </c>
      <c r="O143" s="558">
        <f>ROUND(N143*W$2,0)</f>
        <v>-120804</v>
      </c>
    </row>
    <row r="144" spans="4:19" ht="12.75" customHeight="1" x14ac:dyDescent="0.25">
      <c r="F144" s="1063"/>
      <c r="H144" s="399"/>
      <c r="I144" s="399"/>
      <c r="J144" s="114"/>
      <c r="K144" s="114"/>
      <c r="L144" s="114"/>
      <c r="M144" s="114"/>
      <c r="N144" s="114"/>
      <c r="O144" s="114"/>
    </row>
    <row r="145" spans="4:15" ht="12.75" customHeight="1" thickBot="1" x14ac:dyDescent="0.3">
      <c r="F145" s="114" t="s">
        <v>2670</v>
      </c>
      <c r="H145" s="399"/>
      <c r="I145" s="399"/>
      <c r="J145" s="1744">
        <v>-106263</v>
      </c>
      <c r="K145" s="1744">
        <v>-109768</v>
      </c>
      <c r="L145" s="1744">
        <f>SUM(L143:L144)</f>
        <v>-112837.49</v>
      </c>
      <c r="M145" s="1744">
        <f>SUM(M143:M144)</f>
        <v>-115433</v>
      </c>
      <c r="N145" s="1744">
        <f>SUM(N143:N144)</f>
        <v>-118088</v>
      </c>
      <c r="O145" s="1744">
        <f>SUM(O143:O144)</f>
        <v>-120804</v>
      </c>
    </row>
    <row r="146" spans="4:15" ht="12.75" customHeight="1" thickTop="1" x14ac:dyDescent="0.25">
      <c r="F146" s="114"/>
      <c r="H146" s="399"/>
      <c r="I146" s="399"/>
      <c r="J146" s="114"/>
      <c r="K146" s="114"/>
      <c r="L146" s="114"/>
      <c r="M146" s="114"/>
      <c r="N146" s="114"/>
      <c r="O146" s="114"/>
    </row>
    <row r="147" spans="4:15" ht="12.75" customHeight="1" x14ac:dyDescent="0.25">
      <c r="D147" s="393">
        <v>615901</v>
      </c>
      <c r="E147" s="393"/>
      <c r="F147" s="410" t="s">
        <v>2648</v>
      </c>
      <c r="H147" s="399"/>
      <c r="I147" s="399"/>
      <c r="J147" s="114"/>
      <c r="K147" s="114"/>
      <c r="L147" s="114"/>
      <c r="M147" s="114"/>
      <c r="N147" s="114"/>
      <c r="O147" s="114"/>
    </row>
    <row r="148" spans="4:15" ht="12.75" customHeight="1" x14ac:dyDescent="0.25">
      <c r="D148" s="393"/>
      <c r="E148" s="393"/>
      <c r="F148" s="383" t="s">
        <v>533</v>
      </c>
      <c r="H148" s="399"/>
      <c r="I148" s="399"/>
      <c r="J148" s="114"/>
      <c r="K148" s="114"/>
      <c r="L148" s="114"/>
      <c r="M148" s="114"/>
      <c r="N148" s="114"/>
      <c r="O148" s="114"/>
    </row>
    <row r="149" spans="4:15" ht="12.75" customHeight="1" x14ac:dyDescent="0.25">
      <c r="D149" s="143">
        <v>41100</v>
      </c>
      <c r="E149" s="143"/>
      <c r="F149" s="114" t="s">
        <v>541</v>
      </c>
      <c r="H149" s="399"/>
      <c r="I149" s="399"/>
      <c r="J149" s="114"/>
      <c r="K149" s="114"/>
      <c r="L149" s="114"/>
      <c r="M149" s="114"/>
      <c r="N149" s="114"/>
      <c r="O149" s="114"/>
    </row>
    <row r="150" spans="4:15" ht="12.75" customHeight="1" x14ac:dyDescent="0.25">
      <c r="F150" s="398" t="s">
        <v>2671</v>
      </c>
      <c r="H150" s="399"/>
      <c r="I150" s="399"/>
      <c r="J150" s="114">
        <v>0</v>
      </c>
      <c r="K150" s="114">
        <v>0</v>
      </c>
      <c r="L150" s="114">
        <f t="shared" ref="L150:O155" si="2">ROUND(K150*T$3,0)</f>
        <v>0</v>
      </c>
      <c r="M150" s="114">
        <f t="shared" si="2"/>
        <v>0</v>
      </c>
      <c r="N150" s="114">
        <f t="shared" si="2"/>
        <v>0</v>
      </c>
      <c r="O150" s="114">
        <f t="shared" si="2"/>
        <v>0</v>
      </c>
    </row>
    <row r="151" spans="4:15" ht="12.75" customHeight="1" x14ac:dyDescent="0.25">
      <c r="F151" s="398" t="s">
        <v>2672</v>
      </c>
      <c r="H151" s="399"/>
      <c r="I151" s="399"/>
      <c r="J151" s="114">
        <v>0</v>
      </c>
      <c r="K151" s="114">
        <v>0</v>
      </c>
      <c r="L151" s="114">
        <f t="shared" si="2"/>
        <v>0</v>
      </c>
      <c r="M151" s="114">
        <f t="shared" si="2"/>
        <v>0</v>
      </c>
      <c r="N151" s="114">
        <f t="shared" si="2"/>
        <v>0</v>
      </c>
      <c r="O151" s="114">
        <f t="shared" si="2"/>
        <v>0</v>
      </c>
    </row>
    <row r="152" spans="4:15" ht="12.75" customHeight="1" x14ac:dyDescent="0.25">
      <c r="F152" s="398" t="s">
        <v>1028</v>
      </c>
      <c r="H152" s="399"/>
      <c r="I152" s="399"/>
      <c r="J152" s="114">
        <v>1483</v>
      </c>
      <c r="K152" s="114">
        <v>1122</v>
      </c>
      <c r="L152" s="114">
        <f t="shared" si="2"/>
        <v>1169</v>
      </c>
      <c r="M152" s="114">
        <f t="shared" si="2"/>
        <v>1212</v>
      </c>
      <c r="N152" s="114">
        <f t="shared" si="2"/>
        <v>1257</v>
      </c>
      <c r="O152" s="114">
        <f t="shared" si="2"/>
        <v>1304</v>
      </c>
    </row>
    <row r="153" spans="4:15" ht="12.75" customHeight="1" x14ac:dyDescent="0.25">
      <c r="F153" s="398" t="s">
        <v>2673</v>
      </c>
      <c r="H153" s="399"/>
      <c r="I153" s="399"/>
      <c r="J153" s="114">
        <v>2888</v>
      </c>
      <c r="K153" s="114">
        <v>3039</v>
      </c>
      <c r="L153" s="114">
        <f t="shared" si="2"/>
        <v>3167</v>
      </c>
      <c r="M153" s="114">
        <f t="shared" si="2"/>
        <v>3284</v>
      </c>
      <c r="N153" s="114">
        <f t="shared" si="2"/>
        <v>3406</v>
      </c>
      <c r="O153" s="114">
        <f t="shared" si="2"/>
        <v>3532</v>
      </c>
    </row>
    <row r="154" spans="4:15" ht="12.75" customHeight="1" x14ac:dyDescent="0.25">
      <c r="F154" s="398" t="s">
        <v>1029</v>
      </c>
      <c r="H154" s="399"/>
      <c r="I154" s="399"/>
      <c r="J154" s="114">
        <v>6698</v>
      </c>
      <c r="K154" s="114">
        <v>6688</v>
      </c>
      <c r="L154" s="114">
        <f t="shared" si="2"/>
        <v>6969</v>
      </c>
      <c r="M154" s="114">
        <f t="shared" si="2"/>
        <v>7227</v>
      </c>
      <c r="N154" s="114">
        <f t="shared" si="2"/>
        <v>7494</v>
      </c>
      <c r="O154" s="114">
        <f t="shared" si="2"/>
        <v>7771</v>
      </c>
    </row>
    <row r="155" spans="4:15" ht="12.75" customHeight="1" x14ac:dyDescent="0.25">
      <c r="F155" s="398" t="s">
        <v>2674</v>
      </c>
      <c r="H155" s="399"/>
      <c r="I155" s="399"/>
      <c r="J155" s="114">
        <v>68782.039999999994</v>
      </c>
      <c r="K155" s="114">
        <v>42600.78</v>
      </c>
      <c r="L155" s="114">
        <f t="shared" si="2"/>
        <v>44390</v>
      </c>
      <c r="M155" s="114">
        <f t="shared" si="2"/>
        <v>46032</v>
      </c>
      <c r="N155" s="114">
        <f t="shared" si="2"/>
        <v>47735</v>
      </c>
      <c r="O155" s="114">
        <f t="shared" si="2"/>
        <v>49501</v>
      </c>
    </row>
    <row r="156" spans="4:15" ht="12.75" customHeight="1" thickBot="1" x14ac:dyDescent="0.3">
      <c r="F156" s="114"/>
      <c r="H156" s="399"/>
      <c r="I156" s="399"/>
      <c r="J156" s="1744">
        <v>79851.039999999994</v>
      </c>
      <c r="K156" s="1744">
        <v>53449.78</v>
      </c>
      <c r="L156" s="1744">
        <f t="shared" ref="L156:M156" si="3">SUM(L150:L155)</f>
        <v>55695</v>
      </c>
      <c r="M156" s="1744">
        <f t="shared" si="3"/>
        <v>57755</v>
      </c>
      <c r="N156" s="1744">
        <f t="shared" ref="N156:O156" si="4">SUM(N150:N155)</f>
        <v>59892</v>
      </c>
      <c r="O156" s="1744">
        <f t="shared" si="4"/>
        <v>62108</v>
      </c>
    </row>
    <row r="157" spans="4:15" ht="12.75" customHeight="1" thickTop="1" x14ac:dyDescent="0.25">
      <c r="F157" s="114"/>
      <c r="H157" s="114"/>
      <c r="I157" s="114"/>
    </row>
    <row r="158" spans="4:15" ht="12.75" customHeight="1" x14ac:dyDescent="0.25">
      <c r="F158" s="115"/>
      <c r="H158" s="114"/>
      <c r="I158" s="114"/>
    </row>
    <row r="159" spans="4:15" ht="12.75" customHeight="1" x14ac:dyDescent="0.25">
      <c r="F159" s="115"/>
    </row>
    <row r="160" spans="4:15" ht="12.75" customHeight="1" x14ac:dyDescent="0.25">
      <c r="F160" s="115"/>
    </row>
  </sheetData>
  <mergeCells count="4">
    <mergeCell ref="D64:D65"/>
    <mergeCell ref="F64:F65"/>
    <mergeCell ref="G64:H65"/>
    <mergeCell ref="F114:M116"/>
  </mergeCells>
  <hyperlinks>
    <hyperlink ref="A1" location="Inhoudsopgave!A1" display="Inhoudsopgave" xr:uid="{CC1B8750-4137-4E51-BDB4-2F3C77A9A188}"/>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1" min="3" max="14" man="1"/>
    <brk id="102" min="3" max="14"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DE4C-577E-4FC1-9C05-5AB8048D2F28}">
  <sheetPr codeName="Blad16"/>
  <dimension ref="A1:AF490"/>
  <sheetViews>
    <sheetView showGridLines="0" view="pageBreakPreview" topLeftCell="A238" zoomScaleNormal="100" zoomScaleSheetLayoutView="100" workbookViewId="0">
      <selection activeCell="Q46" sqref="Q46"/>
    </sheetView>
  </sheetViews>
  <sheetFormatPr defaultColWidth="9.109375" defaultRowHeight="12.75" customHeight="1" x14ac:dyDescent="0.25"/>
  <cols>
    <col min="1" max="1" width="9.109375" style="1253" customWidth="1"/>
    <col min="2" max="3" width="17.33203125" style="311" customWidth="1"/>
    <col min="4" max="6" width="9.6640625" style="448" customWidth="1"/>
    <col min="7" max="9" width="12.6640625" style="305" customWidth="1"/>
    <col min="10" max="14" width="11.6640625" style="305" customWidth="1"/>
    <col min="15" max="15" width="10.88671875" style="305" customWidth="1"/>
    <col min="16" max="21" width="16.33203125" style="305" customWidth="1"/>
    <col min="22" max="23" width="11.109375" style="305" customWidth="1"/>
    <col min="24" max="16384" width="9.109375" style="305"/>
  </cols>
  <sheetData>
    <row r="1" spans="1:23" ht="12.75" customHeight="1" x14ac:dyDescent="0.3">
      <c r="A1" s="157" t="s">
        <v>0</v>
      </c>
      <c r="B1" s="306"/>
      <c r="C1" s="306"/>
      <c r="D1" s="301"/>
      <c r="E1" s="301"/>
      <c r="F1" s="301"/>
      <c r="G1" s="115"/>
      <c r="H1" s="115"/>
      <c r="I1" s="115"/>
      <c r="J1" s="115"/>
      <c r="K1" s="115"/>
      <c r="L1" s="115"/>
      <c r="M1" s="115"/>
      <c r="N1" s="115"/>
      <c r="O1" s="115"/>
      <c r="P1" s="304"/>
      <c r="Q1" s="304">
        <v>2024</v>
      </c>
      <c r="R1" s="304">
        <v>2025</v>
      </c>
      <c r="S1" s="304">
        <v>2026</v>
      </c>
      <c r="T1" s="304">
        <v>2027</v>
      </c>
      <c r="U1" s="304">
        <v>2028</v>
      </c>
      <c r="V1" s="304">
        <v>2029</v>
      </c>
      <c r="W1" s="304">
        <v>2030</v>
      </c>
    </row>
    <row r="2" spans="1:23" ht="12.75" customHeight="1" x14ac:dyDescent="0.3">
      <c r="A2" s="336"/>
      <c r="B2" s="306"/>
      <c r="C2" s="306"/>
      <c r="D2" s="301" t="s">
        <v>504</v>
      </c>
      <c r="E2" s="301"/>
      <c r="F2" s="301"/>
      <c r="G2" s="115"/>
      <c r="H2" s="115" t="s">
        <v>2630</v>
      </c>
      <c r="I2" s="115"/>
      <c r="J2" s="115"/>
      <c r="K2" s="115"/>
      <c r="L2" s="115"/>
      <c r="M2" s="115"/>
      <c r="N2" s="115"/>
      <c r="O2" s="115"/>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A3" s="336"/>
      <c r="B3" s="306"/>
      <c r="C3" s="306"/>
      <c r="D3" s="301"/>
      <c r="E3" s="301"/>
      <c r="F3" s="301"/>
      <c r="G3" s="115"/>
      <c r="H3" s="115"/>
      <c r="I3" s="115"/>
      <c r="J3" s="115"/>
      <c r="K3" s="115"/>
      <c r="L3" s="115"/>
      <c r="M3" s="115"/>
      <c r="N3" s="115"/>
      <c r="O3" s="115"/>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A4" s="336"/>
      <c r="B4" s="306"/>
      <c r="C4" s="306"/>
      <c r="D4" s="301"/>
      <c r="E4" s="301"/>
      <c r="F4" s="301"/>
      <c r="G4" s="115"/>
      <c r="H4" s="115"/>
      <c r="I4" s="115"/>
      <c r="J4" s="115"/>
      <c r="K4" s="115"/>
      <c r="L4" s="115"/>
      <c r="M4" s="115"/>
      <c r="N4" s="115"/>
      <c r="O4" s="115"/>
      <c r="P4" s="115"/>
      <c r="Q4" s="115"/>
      <c r="R4" s="115"/>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A5" s="336"/>
      <c r="B5" s="306"/>
      <c r="C5" s="306"/>
      <c r="D5" s="301" t="s">
        <v>713</v>
      </c>
      <c r="E5" s="301"/>
      <c r="F5" s="301"/>
      <c r="G5" s="115"/>
      <c r="H5" s="115" t="s">
        <v>2631</v>
      </c>
      <c r="I5" s="115"/>
      <c r="J5" s="115"/>
      <c r="K5" s="115"/>
      <c r="L5" s="115"/>
      <c r="M5" s="115"/>
      <c r="N5" s="115"/>
      <c r="O5" s="115"/>
      <c r="P5" s="115"/>
      <c r="Q5" s="115"/>
      <c r="R5" s="115"/>
      <c r="S5" s="115"/>
      <c r="T5" s="115"/>
      <c r="U5" s="115"/>
      <c r="V5" s="115"/>
    </row>
    <row r="6" spans="1:23" ht="12.75" customHeight="1" x14ac:dyDescent="0.25">
      <c r="A6" s="336"/>
      <c r="B6" s="306"/>
      <c r="C6" s="306"/>
      <c r="D6" s="301" t="s">
        <v>66</v>
      </c>
      <c r="E6" s="301"/>
      <c r="F6" s="301"/>
      <c r="G6" s="115"/>
      <c r="H6" s="115" t="s">
        <v>18</v>
      </c>
      <c r="I6" s="115"/>
      <c r="J6" s="115"/>
      <c r="K6" s="115"/>
      <c r="L6" s="115"/>
      <c r="M6" s="115"/>
      <c r="N6" s="115"/>
      <c r="O6" s="115"/>
      <c r="P6" s="115"/>
      <c r="Q6" s="115"/>
      <c r="R6" s="115"/>
      <c r="S6" s="115"/>
      <c r="T6" s="115"/>
      <c r="U6" s="115"/>
      <c r="V6" s="115"/>
    </row>
    <row r="7" spans="1:23" ht="12.75" customHeight="1" x14ac:dyDescent="0.25">
      <c r="A7" s="336"/>
      <c r="B7" s="306"/>
      <c r="C7" s="306"/>
      <c r="D7" s="301"/>
      <c r="E7" s="301"/>
      <c r="F7" s="301"/>
      <c r="G7" s="115"/>
      <c r="H7" s="115"/>
      <c r="I7" s="115"/>
      <c r="J7" s="115"/>
      <c r="K7" s="115"/>
      <c r="L7" s="115"/>
      <c r="M7" s="115"/>
      <c r="N7" s="115"/>
      <c r="O7" s="115"/>
      <c r="P7" s="115"/>
      <c r="Q7" s="115"/>
      <c r="R7" s="115"/>
      <c r="S7" s="115"/>
      <c r="T7" s="115"/>
      <c r="U7" s="115"/>
      <c r="V7" s="115"/>
    </row>
    <row r="8" spans="1:23" ht="12.75" customHeight="1" x14ac:dyDescent="0.25">
      <c r="A8" s="336"/>
      <c r="B8" s="306"/>
      <c r="C8" s="306"/>
      <c r="D8" s="301"/>
      <c r="E8" s="301"/>
      <c r="F8" s="301"/>
      <c r="G8" s="115"/>
      <c r="H8" s="115"/>
      <c r="I8" s="115"/>
      <c r="J8" s="115"/>
      <c r="K8" s="115"/>
      <c r="L8" s="115"/>
      <c r="M8" s="115"/>
      <c r="N8" s="115"/>
      <c r="O8" s="115"/>
      <c r="P8" s="115"/>
      <c r="Q8" s="115"/>
      <c r="R8" s="115"/>
      <c r="S8" s="115"/>
      <c r="T8" s="115"/>
      <c r="U8" s="115"/>
      <c r="V8" s="115"/>
    </row>
    <row r="9" spans="1:23" ht="12.75" customHeight="1" x14ac:dyDescent="0.25">
      <c r="A9" s="336"/>
      <c r="B9" s="306"/>
      <c r="C9" s="306"/>
      <c r="D9" s="301"/>
      <c r="E9" s="301"/>
      <c r="F9" s="301"/>
      <c r="G9" s="115"/>
      <c r="H9" s="115"/>
      <c r="I9" s="115"/>
      <c r="J9" s="115"/>
      <c r="K9" s="115"/>
      <c r="L9" s="115"/>
      <c r="M9" s="115"/>
      <c r="N9" s="115"/>
      <c r="O9" s="115"/>
      <c r="P9" s="115"/>
      <c r="Q9" s="115"/>
      <c r="R9" s="115"/>
      <c r="S9" s="115"/>
      <c r="T9" s="115"/>
      <c r="U9" s="115"/>
      <c r="V9" s="115"/>
    </row>
    <row r="10" spans="1:23" ht="12.75" customHeight="1" x14ac:dyDescent="0.25">
      <c r="A10" s="336"/>
      <c r="B10" s="306"/>
      <c r="C10" s="306"/>
      <c r="D10" s="301"/>
      <c r="E10" s="301"/>
      <c r="F10" s="301"/>
      <c r="G10" s="115"/>
      <c r="H10" s="115"/>
      <c r="I10" s="115"/>
      <c r="J10" s="115"/>
      <c r="K10" s="115"/>
      <c r="L10" s="115"/>
      <c r="M10" s="115"/>
      <c r="N10" s="115"/>
      <c r="O10" s="115"/>
      <c r="P10" s="115"/>
      <c r="Q10" s="115"/>
      <c r="R10" s="115"/>
      <c r="S10" s="115"/>
      <c r="T10" s="115"/>
      <c r="U10" s="115"/>
      <c r="V10" s="115"/>
    </row>
    <row r="11" spans="1:23" ht="12.75" customHeight="1" x14ac:dyDescent="0.25">
      <c r="A11" s="336"/>
      <c r="B11" s="306"/>
      <c r="C11" s="306"/>
      <c r="D11" s="301"/>
      <c r="E11" s="301"/>
      <c r="F11" s="301"/>
      <c r="G11" s="115"/>
      <c r="H11" s="115"/>
      <c r="I11" s="115"/>
      <c r="J11" s="115"/>
      <c r="K11" s="115"/>
      <c r="L11" s="115"/>
      <c r="M11" s="115"/>
      <c r="N11" s="115"/>
      <c r="O11" s="115"/>
      <c r="P11" s="115"/>
      <c r="Q11" s="115"/>
      <c r="R11" s="115"/>
      <c r="S11" s="115"/>
      <c r="T11" s="115"/>
      <c r="U11" s="115"/>
      <c r="V11" s="115"/>
    </row>
    <row r="12" spans="1:23" ht="12.75" customHeight="1" x14ac:dyDescent="0.25">
      <c r="A12" s="336"/>
      <c r="B12" s="306"/>
      <c r="C12" s="306"/>
      <c r="D12" s="301"/>
      <c r="E12" s="301"/>
      <c r="F12" s="301"/>
      <c r="G12" s="115"/>
      <c r="H12" s="115"/>
      <c r="I12" s="115"/>
      <c r="J12" s="115"/>
      <c r="K12" s="115"/>
      <c r="L12" s="115"/>
      <c r="M12" s="115"/>
      <c r="N12" s="115"/>
      <c r="O12" s="115"/>
      <c r="P12" s="115"/>
      <c r="Q12" s="115"/>
      <c r="R12" s="115"/>
      <c r="S12" s="115"/>
      <c r="T12" s="115"/>
      <c r="U12" s="115"/>
      <c r="V12" s="115"/>
    </row>
    <row r="13" spans="1:23" ht="12.75" customHeight="1" x14ac:dyDescent="0.25">
      <c r="A13" s="336"/>
      <c r="B13" s="306"/>
      <c r="C13" s="306"/>
      <c r="D13" s="301"/>
      <c r="E13" s="301"/>
      <c r="F13" s="301"/>
      <c r="G13" s="115"/>
      <c r="H13" s="115"/>
      <c r="I13" s="115"/>
      <c r="J13" s="115"/>
      <c r="K13" s="115"/>
      <c r="L13" s="115"/>
      <c r="M13" s="115"/>
      <c r="N13" s="115"/>
      <c r="O13" s="115"/>
      <c r="P13" s="115"/>
      <c r="Q13" s="115"/>
      <c r="R13" s="115"/>
      <c r="S13" s="115"/>
      <c r="T13" s="115"/>
      <c r="U13" s="115"/>
      <c r="V13" s="115"/>
    </row>
    <row r="14" spans="1:23" ht="12.75" customHeight="1" x14ac:dyDescent="0.25">
      <c r="A14" s="336"/>
      <c r="B14" s="306"/>
      <c r="C14" s="306"/>
      <c r="D14" s="301"/>
      <c r="E14" s="301"/>
      <c r="F14" s="301"/>
      <c r="G14" s="115"/>
      <c r="H14" s="115"/>
      <c r="I14" s="115"/>
      <c r="J14" s="115"/>
      <c r="K14" s="115"/>
      <c r="L14" s="115"/>
      <c r="M14" s="115"/>
      <c r="N14" s="115"/>
      <c r="O14" s="115"/>
      <c r="P14" s="115"/>
      <c r="Q14" s="115"/>
      <c r="R14" s="115"/>
      <c r="S14" s="115"/>
      <c r="T14" s="115"/>
      <c r="U14" s="115"/>
      <c r="V14" s="115"/>
    </row>
    <row r="15" spans="1:23" ht="12.75" customHeight="1" x14ac:dyDescent="0.25">
      <c r="A15" s="336"/>
      <c r="B15" s="306"/>
      <c r="C15" s="306"/>
      <c r="D15" s="301"/>
      <c r="E15" s="301"/>
      <c r="F15" s="301"/>
      <c r="G15" s="115"/>
      <c r="H15" s="115"/>
      <c r="I15" s="115"/>
      <c r="J15" s="115"/>
      <c r="K15" s="115"/>
      <c r="L15" s="115"/>
      <c r="M15" s="115"/>
      <c r="N15" s="115"/>
      <c r="O15" s="115"/>
      <c r="P15" s="115"/>
      <c r="Q15" s="115"/>
      <c r="R15" s="115"/>
      <c r="S15" s="115"/>
      <c r="T15" s="115"/>
      <c r="U15" s="115"/>
      <c r="V15" s="115"/>
    </row>
    <row r="16" spans="1:23" ht="12.75" customHeight="1" x14ac:dyDescent="0.25">
      <c r="A16" s="336"/>
      <c r="B16" s="306"/>
      <c r="C16" s="306"/>
      <c r="D16" s="301"/>
      <c r="E16" s="301"/>
      <c r="F16" s="301"/>
      <c r="G16" s="115"/>
      <c r="H16" s="115"/>
      <c r="I16" s="115"/>
      <c r="J16" s="115"/>
      <c r="K16" s="115"/>
      <c r="L16" s="115"/>
      <c r="M16" s="115"/>
      <c r="N16" s="115"/>
      <c r="O16" s="115"/>
      <c r="P16" s="115"/>
      <c r="Q16" s="115"/>
      <c r="R16" s="115"/>
      <c r="S16" s="115"/>
      <c r="T16" s="115"/>
      <c r="U16" s="115"/>
      <c r="V16" s="115"/>
    </row>
    <row r="17" spans="4:15" ht="12.75" customHeight="1" x14ac:dyDescent="0.25">
      <c r="D17" s="301"/>
      <c r="E17" s="301"/>
      <c r="F17" s="301"/>
      <c r="G17" s="115"/>
      <c r="H17" s="115"/>
      <c r="I17" s="115"/>
      <c r="J17" s="115"/>
      <c r="K17" s="115"/>
      <c r="L17" s="115"/>
      <c r="M17" s="115"/>
      <c r="N17" s="115"/>
      <c r="O17" s="115"/>
    </row>
    <row r="18" spans="4:15" ht="12.75" customHeight="1" x14ac:dyDescent="0.25">
      <c r="D18" s="301"/>
      <c r="E18" s="301"/>
      <c r="F18" s="301"/>
      <c r="G18" s="115"/>
      <c r="H18" s="115"/>
      <c r="I18" s="115"/>
      <c r="J18" s="115"/>
      <c r="K18" s="115"/>
      <c r="L18" s="115"/>
      <c r="M18" s="115"/>
      <c r="N18" s="115"/>
      <c r="O18" s="115"/>
    </row>
    <row r="19" spans="4:15" ht="12.75" customHeight="1" x14ac:dyDescent="0.25">
      <c r="D19" s="301"/>
      <c r="E19" s="301"/>
      <c r="F19" s="301"/>
      <c r="G19" s="115"/>
      <c r="H19" s="115"/>
      <c r="I19" s="115"/>
      <c r="J19" s="115"/>
      <c r="K19" s="115"/>
      <c r="L19" s="115"/>
      <c r="M19" s="115"/>
      <c r="N19" s="115"/>
      <c r="O19" s="115"/>
    </row>
    <row r="20" spans="4:15" ht="12.75" customHeight="1" x14ac:dyDescent="0.25">
      <c r="D20" s="301"/>
      <c r="E20" s="301"/>
      <c r="F20" s="301"/>
      <c r="G20" s="115"/>
      <c r="H20" s="115"/>
      <c r="I20" s="115"/>
      <c r="J20" s="115"/>
      <c r="K20" s="115"/>
      <c r="L20" s="115"/>
      <c r="M20" s="115"/>
      <c r="N20" s="115"/>
      <c r="O20" s="115"/>
    </row>
    <row r="21" spans="4:15" ht="12.75" customHeight="1" x14ac:dyDescent="0.25">
      <c r="D21" s="301"/>
      <c r="E21" s="301"/>
      <c r="F21" s="301"/>
      <c r="G21" s="115"/>
      <c r="H21" s="115"/>
      <c r="I21" s="115"/>
      <c r="J21" s="115"/>
      <c r="K21" s="115"/>
      <c r="L21" s="115"/>
      <c r="M21" s="115"/>
      <c r="N21" s="115"/>
      <c r="O21" s="115"/>
    </row>
    <row r="22" spans="4:15" ht="12.75" customHeight="1" x14ac:dyDescent="0.25">
      <c r="D22" s="301"/>
      <c r="E22" s="301"/>
      <c r="F22" s="301"/>
      <c r="G22" s="115"/>
      <c r="H22" s="115"/>
      <c r="I22" s="115"/>
      <c r="J22" s="115"/>
      <c r="K22" s="115"/>
      <c r="L22" s="115"/>
      <c r="M22" s="115"/>
      <c r="N22" s="115"/>
      <c r="O22" s="115"/>
    </row>
    <row r="23" spans="4:15" ht="12.75" customHeight="1" x14ac:dyDescent="0.25">
      <c r="D23" s="301"/>
      <c r="E23" s="301"/>
      <c r="F23" s="301"/>
      <c r="G23" s="115"/>
      <c r="H23" s="115"/>
      <c r="I23" s="115"/>
      <c r="J23" s="115"/>
      <c r="K23" s="115"/>
      <c r="L23" s="115"/>
      <c r="M23" s="115"/>
      <c r="N23" s="115"/>
      <c r="O23" s="115"/>
    </row>
    <row r="24" spans="4:15" ht="12.75" customHeight="1" x14ac:dyDescent="0.25">
      <c r="D24" s="301"/>
      <c r="E24" s="301"/>
      <c r="F24" s="301"/>
      <c r="G24" s="115"/>
      <c r="H24" s="115"/>
      <c r="I24" s="115"/>
      <c r="J24" s="115"/>
      <c r="K24" s="115"/>
      <c r="L24" s="115"/>
      <c r="M24" s="115"/>
      <c r="N24" s="115"/>
      <c r="O24" s="115"/>
    </row>
    <row r="25" spans="4:15" ht="12.75" customHeight="1" x14ac:dyDescent="0.25">
      <c r="D25" s="301"/>
      <c r="E25" s="301"/>
      <c r="F25" s="301"/>
      <c r="G25" s="115"/>
      <c r="H25" s="115"/>
      <c r="I25" s="115"/>
      <c r="J25" s="115"/>
      <c r="K25" s="115"/>
      <c r="L25" s="115"/>
      <c r="M25" s="115"/>
      <c r="N25" s="115"/>
      <c r="O25" s="115"/>
    </row>
    <row r="26" spans="4:15" ht="12.75" customHeight="1" x14ac:dyDescent="0.25">
      <c r="D26" s="301"/>
      <c r="E26" s="301"/>
      <c r="F26" s="301"/>
      <c r="G26" s="115"/>
      <c r="H26" s="115"/>
      <c r="I26" s="115"/>
      <c r="J26" s="115"/>
      <c r="K26" s="115"/>
      <c r="L26" s="115"/>
      <c r="M26" s="115"/>
      <c r="N26" s="115"/>
      <c r="O26" s="115"/>
    </row>
    <row r="27" spans="4:15" ht="12.75" customHeight="1" x14ac:dyDescent="0.25">
      <c r="D27" s="301"/>
      <c r="E27" s="301"/>
      <c r="F27" s="301"/>
      <c r="G27" s="115"/>
      <c r="H27" s="115"/>
      <c r="I27" s="115"/>
      <c r="J27" s="115"/>
      <c r="K27" s="115"/>
      <c r="L27" s="115"/>
      <c r="M27" s="115"/>
      <c r="N27" s="115"/>
      <c r="O27" s="115"/>
    </row>
    <row r="28" spans="4:15" ht="12.75" customHeight="1" x14ac:dyDescent="0.25">
      <c r="D28" s="301"/>
      <c r="E28" s="301"/>
      <c r="F28" s="301"/>
      <c r="G28" s="115"/>
      <c r="H28" s="115"/>
      <c r="I28" s="115"/>
      <c r="J28" s="115"/>
      <c r="K28" s="115"/>
      <c r="L28" s="115"/>
      <c r="M28" s="115"/>
      <c r="N28" s="115"/>
      <c r="O28" s="115"/>
    </row>
    <row r="31" spans="4:15" ht="12.75" customHeight="1" x14ac:dyDescent="0.25">
      <c r="D31" s="452" t="s">
        <v>507</v>
      </c>
      <c r="E31" s="438"/>
      <c r="F31" s="438"/>
      <c r="G31" s="453"/>
      <c r="H31" s="453"/>
      <c r="I31" s="453"/>
      <c r="J31" s="453"/>
      <c r="K31" s="453"/>
      <c r="L31" s="453"/>
      <c r="M31" s="453"/>
      <c r="N31" s="453"/>
      <c r="O31" s="453"/>
    </row>
    <row r="32" spans="4:15" ht="12.75" customHeight="1" x14ac:dyDescent="0.25">
      <c r="D32" s="438"/>
      <c r="E32" s="438"/>
      <c r="F32" s="438"/>
      <c r="G32" s="453"/>
      <c r="H32" s="453"/>
      <c r="I32" s="453"/>
      <c r="J32" s="453"/>
      <c r="K32" s="453"/>
      <c r="L32" s="453"/>
      <c r="M32" s="453"/>
      <c r="N32" s="453"/>
      <c r="O32" s="453"/>
    </row>
    <row r="33" spans="4:18" ht="12.75" customHeight="1" x14ac:dyDescent="0.25">
      <c r="D33" s="1746" t="s">
        <v>508</v>
      </c>
      <c r="E33" s="1747"/>
      <c r="F33" s="1747"/>
      <c r="G33" s="1748"/>
      <c r="H33" s="1748"/>
      <c r="I33" s="1748"/>
      <c r="J33" s="1749">
        <v>2025</v>
      </c>
      <c r="K33" s="1749">
        <v>2026</v>
      </c>
      <c r="L33" s="1749">
        <v>2027</v>
      </c>
      <c r="M33" s="1749">
        <v>2028</v>
      </c>
      <c r="N33" s="1749">
        <v>2029</v>
      </c>
      <c r="O33" s="1749">
        <v>2030</v>
      </c>
      <c r="P33" s="115"/>
      <c r="Q33" s="115"/>
      <c r="R33" s="527"/>
    </row>
    <row r="34" spans="4:18" ht="12.75" customHeight="1" x14ac:dyDescent="0.25">
      <c r="D34" s="454" t="str">
        <f>G81</f>
        <v>Voorzieningen voor BOA's</v>
      </c>
      <c r="E34" s="455"/>
      <c r="F34" s="456"/>
      <c r="G34" s="453"/>
      <c r="H34" s="453"/>
      <c r="I34" s="453"/>
      <c r="J34" s="1869">
        <v>26328.32</v>
      </c>
      <c r="K34" s="457">
        <v>38260</v>
      </c>
      <c r="L34" s="457">
        <f t="shared" ref="L34:M34" si="0">L89</f>
        <v>33505</v>
      </c>
      <c r="M34" s="457">
        <f t="shared" si="0"/>
        <v>34274</v>
      </c>
      <c r="N34" s="457">
        <f t="shared" ref="N34:O34" si="1">N89</f>
        <v>35057</v>
      </c>
      <c r="O34" s="457">
        <f t="shared" si="1"/>
        <v>35863</v>
      </c>
      <c r="P34" s="114"/>
      <c r="Q34" s="114"/>
      <c r="R34" s="114"/>
    </row>
    <row r="35" spans="4:18" ht="12.75" customHeight="1" x14ac:dyDescent="0.25">
      <c r="D35" s="454" t="str">
        <f>G91</f>
        <v>RIEC</v>
      </c>
      <c r="E35" s="455"/>
      <c r="F35" s="456"/>
      <c r="G35" s="453"/>
      <c r="H35" s="453"/>
      <c r="I35" s="453"/>
      <c r="J35" s="457">
        <v>28550</v>
      </c>
      <c r="K35" s="457">
        <v>28570</v>
      </c>
      <c r="L35" s="457">
        <f t="shared" ref="L35:M35" si="2">L94</f>
        <v>29170</v>
      </c>
      <c r="M35" s="457">
        <f t="shared" si="2"/>
        <v>29840</v>
      </c>
      <c r="N35" s="457">
        <f t="shared" ref="N35:O35" si="3">N94</f>
        <v>30530</v>
      </c>
      <c r="O35" s="457">
        <f t="shared" si="3"/>
        <v>31230</v>
      </c>
      <c r="P35" s="114"/>
      <c r="Q35" s="114"/>
      <c r="R35" s="114"/>
    </row>
    <row r="36" spans="4:18" ht="12.75" customHeight="1" x14ac:dyDescent="0.25">
      <c r="D36" s="454" t="str">
        <f>G96</f>
        <v>Veiligheidshuis Brabant-Zuidoost</v>
      </c>
      <c r="E36" s="455"/>
      <c r="F36" s="456"/>
      <c r="G36" s="453"/>
      <c r="H36" s="453"/>
      <c r="I36" s="453"/>
      <c r="J36" s="226">
        <v>10193</v>
      </c>
      <c r="K36" s="226">
        <v>10458</v>
      </c>
      <c r="L36" s="226">
        <f t="shared" ref="L36:M36" si="4">L99</f>
        <v>10678</v>
      </c>
      <c r="M36" s="226">
        <f t="shared" si="4"/>
        <v>10924</v>
      </c>
      <c r="N36" s="226">
        <f t="shared" ref="N36:O36" si="5">N99</f>
        <v>11175</v>
      </c>
      <c r="O36" s="226">
        <f t="shared" si="5"/>
        <v>11432</v>
      </c>
      <c r="P36" s="115"/>
      <c r="Q36" s="115"/>
      <c r="R36" s="115"/>
    </row>
    <row r="37" spans="4:18" ht="12.75" customHeight="1" x14ac:dyDescent="0.25">
      <c r="D37" s="454" t="str">
        <f>G101</f>
        <v>Integrale overheidshandhaving</v>
      </c>
      <c r="E37" s="455"/>
      <c r="F37" s="456"/>
      <c r="G37" s="453"/>
      <c r="H37" s="453"/>
      <c r="I37" s="453"/>
      <c r="J37" s="226">
        <v>14992</v>
      </c>
      <c r="K37" s="226">
        <v>24500</v>
      </c>
      <c r="L37" s="226">
        <f t="shared" ref="L37:M37" si="6">L104</f>
        <v>25015</v>
      </c>
      <c r="M37" s="226">
        <f t="shared" si="6"/>
        <v>25591</v>
      </c>
      <c r="N37" s="226">
        <f t="shared" ref="N37:O37" si="7">N104</f>
        <v>26179</v>
      </c>
      <c r="O37" s="226">
        <f t="shared" si="7"/>
        <v>26781</v>
      </c>
      <c r="P37" s="115"/>
      <c r="Q37" s="115"/>
      <c r="R37" s="115"/>
    </row>
    <row r="38" spans="4:18" ht="12.75" customHeight="1" x14ac:dyDescent="0.25">
      <c r="D38" s="454" t="str">
        <f>G106</f>
        <v>Veiligheidsprojecten</v>
      </c>
      <c r="E38" s="455"/>
      <c r="F38" s="456"/>
      <c r="G38" s="453"/>
      <c r="H38" s="453"/>
      <c r="I38" s="453"/>
      <c r="J38" s="226">
        <v>36493</v>
      </c>
      <c r="K38" s="226">
        <f t="shared" ref="K38:M38" si="8">K109</f>
        <v>47259</v>
      </c>
      <c r="L38" s="226">
        <f t="shared" si="8"/>
        <v>40979</v>
      </c>
      <c r="M38" s="226">
        <f t="shared" si="8"/>
        <v>39692</v>
      </c>
      <c r="N38" s="226">
        <f t="shared" ref="N38:O38" si="9">N109</f>
        <v>32421</v>
      </c>
      <c r="O38" s="226">
        <f t="shared" si="9"/>
        <v>33166</v>
      </c>
      <c r="P38" s="115"/>
      <c r="Q38" s="381"/>
      <c r="R38" s="381"/>
    </row>
    <row r="39" spans="4:18" ht="12.75" customHeight="1" x14ac:dyDescent="0.25">
      <c r="D39" s="454" t="str">
        <f>G111</f>
        <v>Externe veiligheid</v>
      </c>
      <c r="E39" s="455"/>
      <c r="F39" s="456"/>
      <c r="G39" s="453"/>
      <c r="H39" s="453"/>
      <c r="I39" s="453"/>
      <c r="J39" s="226">
        <v>21464</v>
      </c>
      <c r="K39" s="226">
        <v>22038</v>
      </c>
      <c r="L39" s="226">
        <f t="shared" ref="L39:M39" si="10">L114</f>
        <v>22524</v>
      </c>
      <c r="M39" s="226">
        <f t="shared" si="10"/>
        <v>23065</v>
      </c>
      <c r="N39" s="226">
        <f t="shared" ref="N39:O39" si="11">N114</f>
        <v>23620</v>
      </c>
      <c r="O39" s="226">
        <f t="shared" si="11"/>
        <v>24163</v>
      </c>
      <c r="P39" s="115"/>
      <c r="Q39" s="231"/>
      <c r="R39" s="310"/>
    </row>
    <row r="40" spans="4:18" ht="12.75" customHeight="1" x14ac:dyDescent="0.25">
      <c r="D40" s="454" t="str">
        <f>G116</f>
        <v>Veiligheidsfonds</v>
      </c>
      <c r="E40" s="455"/>
      <c r="F40" s="456"/>
      <c r="G40" s="453"/>
      <c r="H40" s="453"/>
      <c r="I40" s="453"/>
      <c r="J40" s="226">
        <v>7932.25</v>
      </c>
      <c r="K40" s="226">
        <v>8035.25</v>
      </c>
      <c r="L40" s="226">
        <f t="shared" ref="L40:M40" si="12">L119</f>
        <v>8135</v>
      </c>
      <c r="M40" s="226">
        <f t="shared" si="12"/>
        <v>8295.5</v>
      </c>
      <c r="N40" s="226">
        <f t="shared" ref="N40:O40" si="13">N119</f>
        <v>8427.5</v>
      </c>
      <c r="O40" s="226">
        <f t="shared" si="13"/>
        <v>8427.5</v>
      </c>
      <c r="P40" s="115"/>
      <c r="Q40" s="115"/>
      <c r="R40" s="115"/>
    </row>
    <row r="41" spans="4:18" ht="12.75" customHeight="1" x14ac:dyDescent="0.25">
      <c r="D41" s="454" t="str">
        <f>G128</f>
        <v>Geluidsadvies/-metingen evenementen</v>
      </c>
      <c r="E41" s="455"/>
      <c r="F41" s="456"/>
      <c r="G41" s="453"/>
      <c r="H41" s="453"/>
      <c r="I41" s="453"/>
      <c r="J41" s="226">
        <v>61794</v>
      </c>
      <c r="K41" s="226">
        <v>63401</v>
      </c>
      <c r="L41" s="226">
        <f t="shared" ref="L41:M41" si="14">L131</f>
        <v>64732</v>
      </c>
      <c r="M41" s="226">
        <f t="shared" si="14"/>
        <v>66221</v>
      </c>
      <c r="N41" s="226">
        <f t="shared" ref="N41:O41" si="15">N131</f>
        <v>67744</v>
      </c>
      <c r="O41" s="226">
        <f t="shared" si="15"/>
        <v>69302</v>
      </c>
      <c r="P41" s="114"/>
      <c r="Q41" s="114"/>
      <c r="R41" s="114"/>
    </row>
    <row r="42" spans="4:18" ht="12.75" customHeight="1" x14ac:dyDescent="0.25">
      <c r="D42" s="454" t="str">
        <f>G160</f>
        <v>Dierenopvang</v>
      </c>
      <c r="E42" s="455"/>
      <c r="F42" s="456"/>
      <c r="G42" s="453"/>
      <c r="H42" s="453"/>
      <c r="I42" s="453"/>
      <c r="J42" s="226">
        <v>62767.901189919998</v>
      </c>
      <c r="K42" s="225">
        <v>71229.598560000013</v>
      </c>
      <c r="L42" s="225">
        <f>L163</f>
        <v>73484.237174399997</v>
      </c>
      <c r="M42" s="225">
        <f>M163</f>
        <v>77704.883099570245</v>
      </c>
      <c r="N42" s="225">
        <f>N163</f>
        <v>80962.410777232042</v>
      </c>
      <c r="O42" s="225">
        <f>O163</f>
        <v>84519.593353075426</v>
      </c>
      <c r="P42" s="114"/>
      <c r="Q42" s="114"/>
      <c r="R42" s="114"/>
    </row>
    <row r="43" spans="4:18" ht="12.75" customHeight="1" x14ac:dyDescent="0.25">
      <c r="D43" s="454" t="str">
        <f>G133</f>
        <v>Toepassing bestuursdwang ontruiming</v>
      </c>
      <c r="E43" s="455"/>
      <c r="F43" s="456"/>
      <c r="G43" s="453"/>
      <c r="H43" s="453"/>
      <c r="I43" s="453"/>
      <c r="J43" s="226">
        <v>18725</v>
      </c>
      <c r="K43" s="226">
        <v>19212</v>
      </c>
      <c r="L43" s="226">
        <f t="shared" ref="L43:M43" si="16">L136</f>
        <v>19615</v>
      </c>
      <c r="M43" s="226">
        <f t="shared" si="16"/>
        <v>20066</v>
      </c>
      <c r="N43" s="226">
        <f t="shared" ref="N43:O43" si="17">N136</f>
        <v>20528</v>
      </c>
      <c r="O43" s="226">
        <f t="shared" si="17"/>
        <v>21000</v>
      </c>
      <c r="P43" s="114"/>
      <c r="Q43" s="114"/>
      <c r="R43" s="114"/>
    </row>
    <row r="44" spans="4:18" ht="12.75" customHeight="1" x14ac:dyDescent="0.25">
      <c r="D44" s="454" t="str">
        <f>G138</f>
        <v>Ondermijning en bibob</v>
      </c>
      <c r="E44" s="455"/>
      <c r="F44" s="456"/>
      <c r="G44" s="453"/>
      <c r="H44" s="453"/>
      <c r="I44" s="453"/>
      <c r="J44" s="226">
        <v>108361</v>
      </c>
      <c r="K44" s="226">
        <v>98622</v>
      </c>
      <c r="L44" s="226">
        <f t="shared" ref="L44:M44" si="18">L142</f>
        <v>102933</v>
      </c>
      <c r="M44" s="226">
        <f t="shared" si="18"/>
        <v>106957</v>
      </c>
      <c r="N44" s="226">
        <f t="shared" ref="N44:O44" si="19">N142</f>
        <v>111125</v>
      </c>
      <c r="O44" s="226">
        <f t="shared" si="19"/>
        <v>115442</v>
      </c>
      <c r="P44" s="114"/>
      <c r="Q44" s="114"/>
      <c r="R44" s="114"/>
    </row>
    <row r="45" spans="4:18" ht="12.75" customHeight="1" x14ac:dyDescent="0.25">
      <c r="D45" s="454" t="str">
        <f>G121</f>
        <v>Directe toerekening openbare orde en veiligheid</v>
      </c>
      <c r="E45" s="455"/>
      <c r="F45" s="456"/>
      <c r="G45" s="453"/>
      <c r="H45" s="453"/>
      <c r="I45" s="453"/>
      <c r="J45" s="226">
        <v>897068.92999999993</v>
      </c>
      <c r="K45" s="226">
        <v>1182843.78</v>
      </c>
      <c r="L45" s="226">
        <f>L126</f>
        <v>1195634</v>
      </c>
      <c r="M45" s="226">
        <f>M126</f>
        <v>1239502</v>
      </c>
      <c r="N45" s="226">
        <f>N126</f>
        <v>1284993</v>
      </c>
      <c r="O45" s="226">
        <f>O126</f>
        <v>1332168</v>
      </c>
      <c r="P45" s="115"/>
      <c r="Q45" s="115"/>
      <c r="R45" s="115"/>
    </row>
    <row r="46" spans="4:18" ht="12.75" customHeight="1" x14ac:dyDescent="0.25">
      <c r="D46" s="454" t="str">
        <f>G149</f>
        <v>Directe toerekening vergunningen (titel 1)</v>
      </c>
      <c r="E46" s="455"/>
      <c r="F46" s="456"/>
      <c r="G46" s="453"/>
      <c r="H46" s="453"/>
      <c r="I46" s="453"/>
      <c r="J46" s="226">
        <v>180300.64</v>
      </c>
      <c r="K46" s="226">
        <f>K153</f>
        <v>211409.32</v>
      </c>
      <c r="L46" s="226">
        <f t="shared" ref="L46:O46" si="20">L153</f>
        <v>118693</v>
      </c>
      <c r="M46" s="226">
        <f t="shared" si="20"/>
        <v>123085</v>
      </c>
      <c r="N46" s="226">
        <f t="shared" si="20"/>
        <v>127639</v>
      </c>
      <c r="O46" s="226">
        <f t="shared" si="20"/>
        <v>132362</v>
      </c>
      <c r="P46" s="115"/>
      <c r="Q46" s="115"/>
      <c r="R46" s="115"/>
    </row>
    <row r="47" spans="4:18" ht="12.75" customHeight="1" x14ac:dyDescent="0.25">
      <c r="D47" s="454" t="str">
        <f>G155</f>
        <v>Directe toerekening vergunningen (titel 3)</v>
      </c>
      <c r="E47" s="455"/>
      <c r="F47" s="456"/>
      <c r="G47" s="453"/>
      <c r="H47" s="453"/>
      <c r="I47" s="453"/>
      <c r="J47" s="226">
        <v>204370.28</v>
      </c>
      <c r="K47" s="226">
        <v>179523.23</v>
      </c>
      <c r="L47" s="226">
        <f t="shared" ref="L47:M47" si="21">L158</f>
        <v>187063</v>
      </c>
      <c r="M47" s="226">
        <f t="shared" si="21"/>
        <v>193984</v>
      </c>
      <c r="N47" s="226">
        <f t="shared" ref="N47:O47" si="22">N158</f>
        <v>201161</v>
      </c>
      <c r="O47" s="226">
        <f t="shared" si="22"/>
        <v>208604</v>
      </c>
      <c r="P47" s="115"/>
      <c r="Q47" s="115"/>
      <c r="R47" s="115"/>
    </row>
    <row r="48" spans="4:18" ht="12.75" customHeight="1" x14ac:dyDescent="0.25">
      <c r="D48" s="454"/>
      <c r="E48" s="455"/>
      <c r="F48" s="456"/>
      <c r="G48" s="453"/>
      <c r="H48" s="453"/>
      <c r="I48" s="453"/>
      <c r="J48" s="226"/>
      <c r="K48" s="225"/>
      <c r="L48" s="225"/>
      <c r="M48" s="225"/>
      <c r="N48" s="225"/>
      <c r="O48" s="225"/>
      <c r="P48" s="115"/>
      <c r="Q48" s="115"/>
      <c r="R48" s="115"/>
    </row>
    <row r="49" spans="2:15" ht="12.75" customHeight="1" x14ac:dyDescent="0.25">
      <c r="B49" s="306"/>
      <c r="C49" s="306"/>
      <c r="D49" s="454"/>
      <c r="E49" s="455"/>
      <c r="F49" s="456"/>
      <c r="G49" s="453"/>
      <c r="H49" s="453"/>
      <c r="I49" s="453"/>
      <c r="J49" s="226"/>
      <c r="K49" s="225"/>
      <c r="L49" s="225"/>
      <c r="M49" s="225"/>
      <c r="N49" s="225"/>
      <c r="O49" s="225"/>
    </row>
    <row r="50" spans="2:15" ht="12.75" customHeight="1" x14ac:dyDescent="0.25">
      <c r="B50" s="306"/>
      <c r="C50" s="306"/>
      <c r="D50" s="454"/>
      <c r="E50" s="455"/>
      <c r="F50" s="456"/>
      <c r="G50" s="453"/>
      <c r="H50" s="453"/>
      <c r="I50" s="453"/>
      <c r="J50" s="226"/>
      <c r="K50" s="225"/>
      <c r="L50" s="225"/>
      <c r="M50" s="225"/>
      <c r="N50" s="225"/>
      <c r="O50" s="225"/>
    </row>
    <row r="51" spans="2:15" ht="12.75" customHeight="1" x14ac:dyDescent="0.25">
      <c r="B51" s="306"/>
      <c r="C51" s="306"/>
      <c r="D51" s="454"/>
      <c r="E51" s="455"/>
      <c r="F51" s="456"/>
      <c r="G51" s="453"/>
      <c r="H51" s="453"/>
      <c r="I51" s="453"/>
      <c r="J51" s="226"/>
      <c r="K51" s="225"/>
      <c r="L51" s="225"/>
      <c r="M51" s="225"/>
      <c r="N51" s="225"/>
      <c r="O51" s="225"/>
    </row>
    <row r="52" spans="2:15" ht="12.75" customHeight="1" x14ac:dyDescent="0.25">
      <c r="B52" s="115"/>
      <c r="C52" s="115"/>
      <c r="D52" s="454"/>
      <c r="E52" s="455"/>
      <c r="F52" s="456"/>
      <c r="G52" s="453"/>
      <c r="H52" s="453"/>
      <c r="I52" s="453"/>
      <c r="J52" s="226"/>
      <c r="K52" s="225"/>
      <c r="L52" s="225"/>
      <c r="M52" s="225"/>
      <c r="N52" s="225"/>
      <c r="O52" s="225"/>
    </row>
    <row r="53" spans="2:15" ht="12.75" customHeight="1" x14ac:dyDescent="0.25">
      <c r="B53" s="115"/>
      <c r="C53" s="115"/>
      <c r="D53" s="454"/>
      <c r="E53" s="455"/>
      <c r="F53" s="456"/>
      <c r="G53" s="453"/>
      <c r="H53" s="453"/>
      <c r="I53" s="453"/>
      <c r="J53" s="226"/>
      <c r="K53" s="225"/>
      <c r="L53" s="225"/>
      <c r="M53" s="225"/>
      <c r="N53" s="225"/>
      <c r="O53" s="225"/>
    </row>
    <row r="54" spans="2:15" ht="12.75" customHeight="1" x14ac:dyDescent="0.25">
      <c r="B54" s="115"/>
      <c r="C54" s="115"/>
      <c r="D54" s="454"/>
      <c r="E54" s="455"/>
      <c r="F54" s="456"/>
      <c r="G54" s="453"/>
      <c r="H54" s="453"/>
      <c r="I54" s="453"/>
      <c r="J54" s="232"/>
      <c r="K54" s="227"/>
      <c r="L54" s="227"/>
      <c r="M54" s="227"/>
      <c r="N54" s="227"/>
      <c r="O54" s="227"/>
    </row>
    <row r="55" spans="2:15" ht="12.75" customHeight="1" x14ac:dyDescent="0.25">
      <c r="B55" s="115"/>
      <c r="C55" s="115"/>
      <c r="D55" s="1751" t="s">
        <v>525</v>
      </c>
      <c r="E55" s="1752"/>
      <c r="F55" s="1753"/>
      <c r="G55" s="1754"/>
      <c r="H55" s="1754"/>
      <c r="I55" s="1754"/>
      <c r="J55" s="1871">
        <v>1679340.3211899202</v>
      </c>
      <c r="K55" s="1871">
        <f>SUM(K34:K54)</f>
        <v>2005361.1785600001</v>
      </c>
      <c r="L55" s="1871">
        <f t="shared" ref="L55:O55" si="23">SUM(L34:L54)</f>
        <v>1932160.2371744001</v>
      </c>
      <c r="M55" s="1871">
        <f t="shared" si="23"/>
        <v>1999201.3830995702</v>
      </c>
      <c r="N55" s="1871">
        <f t="shared" si="23"/>
        <v>2061561.9107772321</v>
      </c>
      <c r="O55" s="1871">
        <f t="shared" si="23"/>
        <v>2134460.0933530754</v>
      </c>
    </row>
    <row r="56" spans="2:15" ht="12.75" customHeight="1" x14ac:dyDescent="0.25">
      <c r="B56" s="115"/>
      <c r="C56" s="115"/>
      <c r="D56" s="438"/>
      <c r="E56" s="455"/>
      <c r="F56" s="456"/>
      <c r="G56" s="453"/>
      <c r="H56" s="453"/>
      <c r="I56" s="453"/>
      <c r="J56" s="453"/>
      <c r="K56" s="453"/>
      <c r="L56" s="453"/>
      <c r="M56" s="453"/>
      <c r="N56" s="453"/>
      <c r="O56" s="453"/>
    </row>
    <row r="57" spans="2:15" ht="12.75" customHeight="1" x14ac:dyDescent="0.25">
      <c r="B57" s="115"/>
      <c r="C57" s="115"/>
      <c r="D57" s="1746" t="s">
        <v>526</v>
      </c>
      <c r="E57" s="1747"/>
      <c r="F57" s="1747"/>
      <c r="G57" s="1748"/>
      <c r="H57" s="1748"/>
      <c r="I57" s="1748"/>
      <c r="J57" s="1749">
        <v>2025</v>
      </c>
      <c r="K57" s="1749">
        <v>2026</v>
      </c>
      <c r="L57" s="1749">
        <v>2026</v>
      </c>
      <c r="M57" s="1749">
        <v>2027</v>
      </c>
      <c r="N57" s="1749">
        <v>2028</v>
      </c>
      <c r="O57" s="1749">
        <v>2028</v>
      </c>
    </row>
    <row r="58" spans="2:15" ht="12.75" customHeight="1" x14ac:dyDescent="0.25">
      <c r="B58" s="115"/>
      <c r="C58" s="115"/>
      <c r="D58" s="454" t="str">
        <f>G181</f>
        <v>Toepassing bestuursdwang ontruiming</v>
      </c>
      <c r="E58" s="455"/>
      <c r="F58" s="456"/>
      <c r="G58" s="453"/>
      <c r="H58" s="453"/>
      <c r="I58" s="453"/>
      <c r="J58" s="1869">
        <v>-18725</v>
      </c>
      <c r="K58" s="457">
        <v>-19212</v>
      </c>
      <c r="L58" s="457">
        <f>L184</f>
        <v>-19615</v>
      </c>
      <c r="M58" s="457">
        <f>M184</f>
        <v>-20066</v>
      </c>
      <c r="N58" s="457">
        <f>N184</f>
        <v>-20528</v>
      </c>
      <c r="O58" s="457">
        <f>O184</f>
        <v>-21000</v>
      </c>
    </row>
    <row r="59" spans="2:15" ht="12.75" customHeight="1" x14ac:dyDescent="0.25">
      <c r="B59" s="115"/>
      <c r="C59" s="115"/>
      <c r="D59" s="454" t="str">
        <f>G186</f>
        <v>Ondermijning en bibob</v>
      </c>
      <c r="E59" s="455"/>
      <c r="F59" s="456"/>
      <c r="G59" s="453"/>
      <c r="H59" s="453"/>
      <c r="I59" s="453"/>
      <c r="J59" s="457">
        <v>-92803</v>
      </c>
      <c r="K59" s="457">
        <v>-94659</v>
      </c>
      <c r="L59" s="457">
        <f t="shared" ref="L59:M59" si="24">L189</f>
        <v>-98635</v>
      </c>
      <c r="M59" s="457">
        <f t="shared" si="24"/>
        <v>-102284</v>
      </c>
      <c r="N59" s="457">
        <f t="shared" ref="N59:O59" si="25">N189</f>
        <v>-106069</v>
      </c>
      <c r="O59" s="457">
        <f t="shared" si="25"/>
        <v>-109994</v>
      </c>
    </row>
    <row r="60" spans="2:15" ht="12.75" customHeight="1" x14ac:dyDescent="0.25">
      <c r="B60" s="115"/>
      <c r="C60" s="115"/>
      <c r="D60" s="454" t="str">
        <f>G144</f>
        <v>Leges algemeen (titel 1)</v>
      </c>
      <c r="E60" s="455"/>
      <c r="F60" s="456"/>
      <c r="G60" s="453"/>
      <c r="H60" s="453"/>
      <c r="I60" s="453"/>
      <c r="J60" s="457">
        <v>-35974</v>
      </c>
      <c r="K60" s="457">
        <v>-20000</v>
      </c>
      <c r="L60" s="457">
        <f t="shared" ref="L60:M60" si="26">L147</f>
        <v>-20420</v>
      </c>
      <c r="M60" s="457">
        <f t="shared" si="26"/>
        <v>-20890</v>
      </c>
      <c r="N60" s="457">
        <f t="shared" ref="N60:O60" si="27">N147</f>
        <v>-21370</v>
      </c>
      <c r="O60" s="457">
        <f t="shared" si="27"/>
        <v>-21862</v>
      </c>
    </row>
    <row r="61" spans="2:15" ht="12.75" customHeight="1" x14ac:dyDescent="0.25">
      <c r="B61" s="115"/>
      <c r="C61" s="115"/>
      <c r="D61" s="454" t="str">
        <f>G165</f>
        <v>Leges overige  (titel 3)</v>
      </c>
      <c r="E61" s="455"/>
      <c r="F61" s="456"/>
      <c r="G61" s="453"/>
      <c r="H61" s="453"/>
      <c r="I61" s="453"/>
      <c r="J61" s="457">
        <v>-1750</v>
      </c>
      <c r="K61" s="457">
        <v>-1796</v>
      </c>
      <c r="L61" s="457">
        <f t="shared" ref="L61:M61" si="28">L168</f>
        <v>-1834</v>
      </c>
      <c r="M61" s="457">
        <f t="shared" si="28"/>
        <v>-1876</v>
      </c>
      <c r="N61" s="457">
        <f t="shared" ref="N61:O61" si="29">N168</f>
        <v>-1919</v>
      </c>
      <c r="O61" s="457">
        <f t="shared" si="29"/>
        <v>-1963</v>
      </c>
    </row>
    <row r="62" spans="2:15" ht="12.75" customHeight="1" x14ac:dyDescent="0.25">
      <c r="B62" s="115"/>
      <c r="C62" s="115"/>
      <c r="D62" s="454" t="str">
        <f>G170</f>
        <v>Leges horeca (titel 3)</v>
      </c>
      <c r="E62" s="455"/>
      <c r="F62" s="456"/>
      <c r="G62" s="453"/>
      <c r="H62" s="453"/>
      <c r="I62" s="453"/>
      <c r="J62" s="457">
        <v>-5833</v>
      </c>
      <c r="K62" s="457">
        <v>-5985</v>
      </c>
      <c r="L62" s="457">
        <f t="shared" ref="L62:M62" si="30">L173</f>
        <v>-6111</v>
      </c>
      <c r="M62" s="457">
        <f t="shared" si="30"/>
        <v>-6252</v>
      </c>
      <c r="N62" s="457">
        <f t="shared" ref="N62:O62" si="31">N173</f>
        <v>-6396</v>
      </c>
      <c r="O62" s="457">
        <f t="shared" si="31"/>
        <v>-6543</v>
      </c>
    </row>
    <row r="63" spans="2:15" ht="12.75" customHeight="1" x14ac:dyDescent="0.25">
      <c r="B63" s="115"/>
      <c r="C63" s="115"/>
      <c r="D63" s="454" t="str">
        <f>G175</f>
        <v>Leges evenementen (titel 3)</v>
      </c>
      <c r="E63" s="455"/>
      <c r="F63" s="456"/>
      <c r="G63" s="453"/>
      <c r="H63" s="453"/>
      <c r="I63" s="453"/>
      <c r="J63" s="457">
        <v>-34997</v>
      </c>
      <c r="K63" s="457">
        <v>-35907</v>
      </c>
      <c r="L63" s="457">
        <f t="shared" ref="L63:M63" si="32">L178</f>
        <v>-36661</v>
      </c>
      <c r="M63" s="457">
        <f t="shared" si="32"/>
        <v>-37504</v>
      </c>
      <c r="N63" s="457">
        <f t="shared" ref="N63:O63" si="33">N178</f>
        <v>-38367</v>
      </c>
      <c r="O63" s="457">
        <f t="shared" si="33"/>
        <v>-39249</v>
      </c>
    </row>
    <row r="64" spans="2:15" ht="12.75" customHeight="1" x14ac:dyDescent="0.25">
      <c r="B64" s="115"/>
      <c r="C64" s="115"/>
      <c r="D64" s="454"/>
      <c r="E64" s="455"/>
      <c r="F64" s="456"/>
      <c r="G64" s="453"/>
      <c r="H64" s="453"/>
      <c r="I64" s="453"/>
      <c r="J64" s="457"/>
      <c r="K64" s="457"/>
      <c r="L64" s="457"/>
      <c r="M64" s="457"/>
      <c r="N64" s="457"/>
      <c r="O64" s="457"/>
    </row>
    <row r="65" spans="1:23" ht="12.75" customHeight="1" x14ac:dyDescent="0.25">
      <c r="A65" s="336"/>
      <c r="B65" s="115"/>
      <c r="C65" s="115"/>
      <c r="D65" s="454"/>
      <c r="E65" s="455"/>
      <c r="F65" s="456"/>
      <c r="G65" s="453"/>
      <c r="H65" s="453"/>
      <c r="I65" s="453"/>
      <c r="J65" s="457"/>
      <c r="K65" s="457"/>
      <c r="L65" s="457"/>
      <c r="M65" s="457"/>
      <c r="N65" s="457"/>
      <c r="O65" s="457"/>
      <c r="P65" s="115"/>
      <c r="Q65" s="115"/>
      <c r="R65" s="115"/>
      <c r="S65" s="115"/>
      <c r="T65" s="115"/>
      <c r="U65" s="115"/>
      <c r="V65" s="115"/>
      <c r="W65" s="115"/>
    </row>
    <row r="66" spans="1:23" ht="12.75" customHeight="1" x14ac:dyDescent="0.25">
      <c r="A66" s="336"/>
      <c r="B66" s="115"/>
      <c r="C66" s="115"/>
      <c r="D66" s="454"/>
      <c r="E66" s="455"/>
      <c r="F66" s="456"/>
      <c r="G66" s="453"/>
      <c r="H66" s="453"/>
      <c r="I66" s="453"/>
      <c r="J66" s="457"/>
      <c r="K66" s="457"/>
      <c r="L66" s="457"/>
      <c r="M66" s="457"/>
      <c r="N66" s="457"/>
      <c r="O66" s="457"/>
      <c r="P66" s="115"/>
      <c r="Q66" s="115"/>
      <c r="R66" s="115"/>
      <c r="S66" s="115"/>
      <c r="T66" s="115"/>
      <c r="U66" s="115"/>
      <c r="V66" s="115"/>
      <c r="W66" s="115"/>
    </row>
    <row r="67" spans="1:23" ht="12.75" customHeight="1" x14ac:dyDescent="0.25">
      <c r="A67" s="336"/>
      <c r="B67" s="115"/>
      <c r="C67" s="115"/>
      <c r="D67" s="454"/>
      <c r="E67" s="455"/>
      <c r="F67" s="456"/>
      <c r="G67" s="453"/>
      <c r="H67" s="453"/>
      <c r="I67" s="453"/>
      <c r="J67" s="457"/>
      <c r="K67" s="463"/>
      <c r="L67" s="463"/>
      <c r="M67" s="463"/>
      <c r="N67" s="463"/>
      <c r="O67" s="463"/>
      <c r="P67" s="115"/>
      <c r="Q67" s="115"/>
      <c r="R67" s="115"/>
      <c r="S67" s="115"/>
      <c r="T67" s="115"/>
      <c r="U67" s="115"/>
      <c r="V67" s="115"/>
      <c r="W67" s="115"/>
    </row>
    <row r="68" spans="1:23" ht="12.75" customHeight="1" x14ac:dyDescent="0.25">
      <c r="A68" s="336"/>
      <c r="B68" s="115"/>
      <c r="C68" s="115"/>
      <c r="D68" s="454"/>
      <c r="E68" s="455"/>
      <c r="F68" s="456"/>
      <c r="G68" s="453"/>
      <c r="H68" s="453"/>
      <c r="I68" s="453"/>
      <c r="J68" s="457"/>
      <c r="K68" s="463"/>
      <c r="L68" s="463"/>
      <c r="M68" s="463"/>
      <c r="N68" s="463"/>
      <c r="O68" s="463"/>
      <c r="P68" s="115"/>
      <c r="Q68" s="115"/>
      <c r="R68" s="115"/>
      <c r="S68" s="115"/>
      <c r="T68" s="115"/>
      <c r="U68" s="115"/>
      <c r="V68" s="115"/>
      <c r="W68" s="115"/>
    </row>
    <row r="69" spans="1:23" ht="12.75" customHeight="1" x14ac:dyDescent="0.25">
      <c r="A69" s="336"/>
      <c r="B69" s="115"/>
      <c r="C69" s="115"/>
      <c r="D69" s="454"/>
      <c r="E69" s="455"/>
      <c r="F69" s="456"/>
      <c r="G69" s="453"/>
      <c r="H69" s="453"/>
      <c r="I69" s="453"/>
      <c r="J69" s="457"/>
      <c r="K69" s="463"/>
      <c r="L69" s="463"/>
      <c r="M69" s="463"/>
      <c r="N69" s="463"/>
      <c r="O69" s="463"/>
      <c r="P69" s="115"/>
      <c r="Q69" s="115"/>
      <c r="R69" s="115"/>
      <c r="S69" s="115"/>
      <c r="T69" s="115"/>
      <c r="U69" s="115"/>
      <c r="V69" s="115"/>
      <c r="W69" s="115"/>
    </row>
    <row r="70" spans="1:23" ht="12.75" customHeight="1" x14ac:dyDescent="0.25">
      <c r="A70" s="336"/>
      <c r="B70" s="115"/>
      <c r="C70" s="115"/>
      <c r="D70" s="454"/>
      <c r="E70" s="455"/>
      <c r="F70" s="456"/>
      <c r="G70" s="453"/>
      <c r="H70" s="453"/>
      <c r="I70" s="453"/>
      <c r="J70" s="457"/>
      <c r="K70" s="463"/>
      <c r="L70" s="463"/>
      <c r="M70" s="463"/>
      <c r="N70" s="463"/>
      <c r="O70" s="463"/>
      <c r="P70" s="115"/>
      <c r="Q70" s="115"/>
      <c r="R70" s="115"/>
      <c r="S70" s="115"/>
      <c r="T70" s="115"/>
      <c r="U70" s="115"/>
      <c r="V70" s="115"/>
      <c r="W70" s="115"/>
    </row>
    <row r="71" spans="1:23" ht="12.75" customHeight="1" x14ac:dyDescent="0.25">
      <c r="A71" s="336"/>
      <c r="B71" s="115"/>
      <c r="C71" s="115"/>
      <c r="D71" s="464"/>
      <c r="E71" s="465"/>
      <c r="F71" s="466"/>
      <c r="G71" s="467"/>
      <c r="H71" s="467"/>
      <c r="I71" s="453"/>
      <c r="J71" s="468"/>
      <c r="K71" s="463"/>
      <c r="L71" s="463"/>
      <c r="M71" s="463"/>
      <c r="N71" s="463"/>
      <c r="O71" s="463"/>
      <c r="P71" s="115"/>
      <c r="Q71" s="115"/>
      <c r="R71" s="115"/>
      <c r="S71" s="115"/>
      <c r="T71" s="115"/>
      <c r="U71" s="115"/>
      <c r="V71" s="115"/>
      <c r="W71" s="115"/>
    </row>
    <row r="72" spans="1:23" ht="12.75" customHeight="1" x14ac:dyDescent="0.25">
      <c r="A72" s="336"/>
      <c r="B72" s="115"/>
      <c r="C72" s="115"/>
      <c r="D72" s="1751" t="s">
        <v>328</v>
      </c>
      <c r="E72" s="1752"/>
      <c r="F72" s="1753"/>
      <c r="G72" s="1754"/>
      <c r="H72" s="1754"/>
      <c r="I72" s="1754"/>
      <c r="J72" s="1871">
        <v>-190082</v>
      </c>
      <c r="K72" s="1871">
        <f>SUM(K58:K71)</f>
        <v>-177559</v>
      </c>
      <c r="L72" s="1871">
        <f t="shared" ref="L72:O72" si="34">SUM(L58:L71)</f>
        <v>-183276</v>
      </c>
      <c r="M72" s="1871">
        <f t="shared" si="34"/>
        <v>-188872</v>
      </c>
      <c r="N72" s="1871">
        <f t="shared" si="34"/>
        <v>-194649</v>
      </c>
      <c r="O72" s="1871">
        <f t="shared" si="34"/>
        <v>-200611</v>
      </c>
      <c r="P72" s="115"/>
      <c r="Q72" s="115"/>
      <c r="R72" s="115"/>
      <c r="S72" s="115"/>
      <c r="T72" s="115"/>
      <c r="U72" s="115"/>
      <c r="V72" s="115"/>
      <c r="W72" s="115"/>
    </row>
    <row r="73" spans="1:23" ht="12.75" customHeight="1" x14ac:dyDescent="0.25">
      <c r="A73" s="336"/>
      <c r="B73" s="115"/>
      <c r="C73" s="115"/>
      <c r="D73" s="438"/>
      <c r="E73" s="455"/>
      <c r="F73" s="456"/>
      <c r="G73" s="453"/>
      <c r="H73" s="453"/>
      <c r="I73" s="453"/>
      <c r="J73" s="469"/>
      <c r="K73" s="469"/>
      <c r="L73" s="469"/>
      <c r="M73" s="469"/>
      <c r="N73" s="469"/>
      <c r="O73" s="469"/>
      <c r="P73" s="115"/>
      <c r="Q73" s="115"/>
      <c r="R73" s="115"/>
      <c r="S73" s="115"/>
      <c r="T73" s="115"/>
      <c r="U73" s="115"/>
      <c r="V73" s="115"/>
      <c r="W73" s="115"/>
    </row>
    <row r="74" spans="1:23" ht="12.75" customHeight="1" x14ac:dyDescent="0.25">
      <c r="A74" s="336"/>
      <c r="B74" s="115"/>
      <c r="C74" s="115"/>
      <c r="D74" s="1751" t="s">
        <v>976</v>
      </c>
      <c r="E74" s="1756"/>
      <c r="F74" s="1756"/>
      <c r="G74" s="1754"/>
      <c r="H74" s="1754"/>
      <c r="I74" s="1754"/>
      <c r="J74" s="1758">
        <v>1489258.3211899202</v>
      </c>
      <c r="K74" s="1758">
        <v>1716302.1785600001</v>
      </c>
      <c r="L74" s="1758">
        <f>L55+L72</f>
        <v>1748884.2371744001</v>
      </c>
      <c r="M74" s="1758">
        <f>M55+M72</f>
        <v>1810329.3830995702</v>
      </c>
      <c r="N74" s="1758">
        <f>N55+N72</f>
        <v>1866912.9107772321</v>
      </c>
      <c r="O74" s="1758">
        <f>O55+O72</f>
        <v>1933849.0933530754</v>
      </c>
      <c r="P74" s="115"/>
      <c r="Q74" s="115"/>
      <c r="R74" s="115"/>
      <c r="S74" s="115"/>
      <c r="T74" s="115"/>
      <c r="U74" s="115"/>
      <c r="V74" s="115"/>
      <c r="W74" s="115"/>
    </row>
    <row r="75" spans="1:23" ht="12.75" customHeight="1" x14ac:dyDescent="0.25">
      <c r="A75" s="336"/>
      <c r="B75" s="115"/>
      <c r="C75" s="115"/>
      <c r="D75" s="438"/>
      <c r="E75" s="455"/>
      <c r="F75" s="456"/>
      <c r="G75" s="453"/>
      <c r="H75" s="453"/>
      <c r="I75" s="453"/>
      <c r="J75" s="469"/>
      <c r="K75" s="469"/>
      <c r="L75" s="469"/>
      <c r="M75" s="469"/>
      <c r="N75" s="469"/>
      <c r="O75" s="469"/>
      <c r="P75" s="115"/>
      <c r="Q75" s="115"/>
      <c r="R75" s="115"/>
      <c r="S75" s="115"/>
      <c r="T75" s="115"/>
      <c r="U75" s="115"/>
      <c r="V75" s="115"/>
      <c r="W75" s="115"/>
    </row>
    <row r="76" spans="1:23" ht="12.75" customHeight="1" x14ac:dyDescent="0.25">
      <c r="A76" s="336"/>
      <c r="B76" s="115"/>
      <c r="C76" s="115"/>
      <c r="D76" s="453"/>
      <c r="E76" s="453"/>
      <c r="F76" s="453"/>
      <c r="G76" s="453"/>
      <c r="H76" s="453"/>
      <c r="I76" s="453"/>
      <c r="J76" s="469"/>
      <c r="K76" s="469"/>
      <c r="L76" s="469"/>
      <c r="M76" s="469"/>
      <c r="N76" s="469"/>
      <c r="O76" s="469"/>
      <c r="P76" s="114"/>
      <c r="Q76" s="115"/>
      <c r="R76" s="115"/>
      <c r="S76" s="115"/>
      <c r="T76" s="115"/>
      <c r="U76" s="115"/>
      <c r="V76" s="115"/>
      <c r="W76" s="115"/>
    </row>
    <row r="77" spans="1:23" ht="12.75" customHeight="1" x14ac:dyDescent="0.25">
      <c r="A77" s="336"/>
      <c r="B77" s="115"/>
      <c r="C77" s="115"/>
      <c r="D77" s="438"/>
      <c r="E77" s="438"/>
      <c r="F77" s="438"/>
      <c r="G77" s="453"/>
      <c r="H77" s="453"/>
      <c r="I77" s="453"/>
      <c r="J77" s="469"/>
      <c r="K77" s="469"/>
      <c r="L77" s="469"/>
      <c r="M77" s="469"/>
      <c r="N77" s="469"/>
      <c r="O77" s="469"/>
      <c r="P77" s="115"/>
      <c r="Q77" s="115"/>
      <c r="R77" s="115"/>
      <c r="S77" s="115"/>
      <c r="T77" s="115"/>
      <c r="U77" s="115"/>
      <c r="V77" s="115"/>
      <c r="W77" s="115"/>
    </row>
    <row r="78" spans="1:23" ht="12.75" customHeight="1" x14ac:dyDescent="0.25">
      <c r="A78" s="470"/>
      <c r="B78" s="453"/>
      <c r="C78" s="453"/>
      <c r="D78" s="2552" t="s">
        <v>531</v>
      </c>
      <c r="E78" s="1761" t="s">
        <v>530</v>
      </c>
      <c r="F78" s="2552"/>
      <c r="G78" s="2525" t="s">
        <v>206</v>
      </c>
      <c r="H78" s="2526"/>
      <c r="I78" s="471"/>
      <c r="J78" s="1763"/>
      <c r="K78" s="1763"/>
      <c r="L78" s="1763"/>
      <c r="M78" s="1763"/>
      <c r="N78" s="1763"/>
      <c r="O78" s="1763"/>
      <c r="P78" s="453"/>
      <c r="Q78" s="453"/>
      <c r="R78" s="453"/>
      <c r="S78" s="453"/>
      <c r="T78" s="453"/>
      <c r="U78" s="453"/>
      <c r="V78" s="453"/>
      <c r="W78" s="453"/>
    </row>
    <row r="79" spans="1:23" ht="12.75" customHeight="1" x14ac:dyDescent="0.25">
      <c r="A79" s="470"/>
      <c r="B79" s="453"/>
      <c r="C79" s="453"/>
      <c r="D79" s="2553"/>
      <c r="E79" s="472" t="s">
        <v>532</v>
      </c>
      <c r="F79" s="2553"/>
      <c r="G79" s="2527"/>
      <c r="H79" s="2528"/>
      <c r="I79" s="473"/>
      <c r="J79" s="1764">
        <v>2025</v>
      </c>
      <c r="K79" s="1749">
        <v>2026</v>
      </c>
      <c r="L79" s="1749">
        <v>2027</v>
      </c>
      <c r="M79" s="1749">
        <v>2028</v>
      </c>
      <c r="N79" s="1749">
        <v>2029</v>
      </c>
      <c r="O79" s="1749">
        <v>2030</v>
      </c>
      <c r="P79" s="453"/>
      <c r="Q79" s="453"/>
      <c r="R79" s="453"/>
      <c r="S79" s="453"/>
      <c r="T79" s="453"/>
      <c r="U79" s="453"/>
      <c r="V79" s="453"/>
      <c r="W79" s="453"/>
    </row>
    <row r="80" spans="1:23" ht="12.75" customHeight="1" x14ac:dyDescent="0.25">
      <c r="A80" s="336"/>
      <c r="B80" s="306"/>
      <c r="C80" s="306"/>
      <c r="D80" s="1772"/>
      <c r="E80" s="1772"/>
      <c r="F80" s="1772"/>
      <c r="G80" s="1774"/>
      <c r="H80" s="326"/>
      <c r="I80" s="355"/>
      <c r="J80" s="1776"/>
      <c r="K80" s="1775"/>
      <c r="L80" s="1775"/>
      <c r="M80" s="1775"/>
      <c r="N80" s="1775"/>
      <c r="O80" s="1775"/>
      <c r="P80" s="115"/>
      <c r="Q80" s="115"/>
      <c r="R80" s="115"/>
      <c r="S80" s="115"/>
      <c r="T80" s="115"/>
      <c r="U80" s="115"/>
      <c r="V80" s="115"/>
      <c r="W80" s="115"/>
    </row>
    <row r="81" spans="1:20" ht="12.75" customHeight="1" x14ac:dyDescent="0.25">
      <c r="A81" s="336"/>
      <c r="B81" s="306"/>
      <c r="C81" s="306"/>
      <c r="D81" s="333">
        <v>616001</v>
      </c>
      <c r="E81" s="331"/>
      <c r="F81" s="331"/>
      <c r="G81" s="332" t="s">
        <v>2675</v>
      </c>
      <c r="H81" s="115"/>
      <c r="I81" s="115"/>
      <c r="J81" s="317"/>
      <c r="K81" s="318"/>
      <c r="L81" s="318"/>
      <c r="M81" s="318"/>
      <c r="N81" s="318"/>
      <c r="O81" s="318"/>
      <c r="P81" s="115"/>
      <c r="Q81" s="115"/>
      <c r="R81" s="115"/>
      <c r="S81" s="115"/>
      <c r="T81" s="115"/>
    </row>
    <row r="82" spans="1:20" ht="12.75" customHeight="1" x14ac:dyDescent="0.25">
      <c r="A82" s="336"/>
      <c r="B82" s="306"/>
      <c r="C82" s="306"/>
      <c r="D82" s="340"/>
      <c r="E82" s="340"/>
      <c r="F82" s="340"/>
      <c r="G82" s="334" t="s">
        <v>533</v>
      </c>
      <c r="H82" s="115"/>
      <c r="I82" s="115"/>
      <c r="J82" s="317"/>
      <c r="K82" s="318"/>
      <c r="L82" s="318"/>
      <c r="M82" s="318"/>
      <c r="N82" s="318"/>
      <c r="O82" s="318"/>
      <c r="P82" s="115"/>
      <c r="Q82" s="115"/>
      <c r="R82" s="115"/>
      <c r="S82" s="115"/>
      <c r="T82" s="115"/>
    </row>
    <row r="83" spans="1:20" ht="12.75" customHeight="1" x14ac:dyDescent="0.25">
      <c r="A83" s="336">
        <v>616001</v>
      </c>
      <c r="B83" s="306" t="s">
        <v>2675</v>
      </c>
      <c r="C83" s="306"/>
      <c r="D83" s="340">
        <v>42100</v>
      </c>
      <c r="E83" s="340"/>
      <c r="F83" s="340"/>
      <c r="G83" s="319" t="s">
        <v>2676</v>
      </c>
      <c r="H83" s="115"/>
      <c r="I83" s="115"/>
      <c r="J83" s="317">
        <v>0</v>
      </c>
      <c r="K83" s="318">
        <v>767</v>
      </c>
      <c r="L83" s="2114">
        <f>ROUND(K83*T2,0)+3</f>
        <v>786</v>
      </c>
      <c r="M83" s="318">
        <f t="shared" ref="M83:O83" si="35">ROUND(L83*U2,0)</f>
        <v>804</v>
      </c>
      <c r="N83" s="318">
        <f t="shared" si="35"/>
        <v>822</v>
      </c>
      <c r="O83" s="318">
        <f t="shared" si="35"/>
        <v>841</v>
      </c>
      <c r="P83" s="115"/>
      <c r="Q83" s="115"/>
      <c r="R83" s="115"/>
      <c r="S83" s="115"/>
      <c r="T83" s="115"/>
    </row>
    <row r="84" spans="1:20" ht="12.75" customHeight="1" x14ac:dyDescent="0.25">
      <c r="A84" s="336">
        <v>616001</v>
      </c>
      <c r="B84" s="306" t="str">
        <f>G81</f>
        <v>Voorzieningen voor BOA's</v>
      </c>
      <c r="C84" s="306"/>
      <c r="D84" s="340">
        <v>43803</v>
      </c>
      <c r="E84" s="340"/>
      <c r="F84" s="340"/>
      <c r="G84" s="319" t="s">
        <v>2677</v>
      </c>
      <c r="H84" s="115"/>
      <c r="I84" s="115"/>
      <c r="J84" s="317">
        <v>2500</v>
      </c>
      <c r="K84" s="317">
        <v>2570</v>
      </c>
      <c r="L84" s="317">
        <f t="shared" ref="L84:M84" si="36">L211</f>
        <v>2620</v>
      </c>
      <c r="M84" s="317">
        <f t="shared" si="36"/>
        <v>2680</v>
      </c>
      <c r="N84" s="317">
        <f t="shared" ref="N84:O84" si="37">N211</f>
        <v>2740</v>
      </c>
      <c r="O84" s="317">
        <f t="shared" si="37"/>
        <v>2800</v>
      </c>
      <c r="P84" s="115"/>
      <c r="Q84" s="115"/>
      <c r="R84" s="115"/>
      <c r="S84" s="115"/>
      <c r="T84" s="115"/>
    </row>
    <row r="85" spans="1:20" ht="12.75" customHeight="1" x14ac:dyDescent="0.25">
      <c r="A85" s="336">
        <f>D81</f>
        <v>616001</v>
      </c>
      <c r="B85" s="306" t="str">
        <f>G81</f>
        <v>Voorzieningen voor BOA's</v>
      </c>
      <c r="C85" s="306"/>
      <c r="D85" s="337">
        <v>43805</v>
      </c>
      <c r="E85" s="337"/>
      <c r="F85" s="337"/>
      <c r="G85" s="319" t="s">
        <v>1010</v>
      </c>
      <c r="H85" s="115"/>
      <c r="I85" s="115"/>
      <c r="J85" s="317">
        <v>4784</v>
      </c>
      <c r="K85" s="317">
        <v>5580</v>
      </c>
      <c r="L85" s="317">
        <f t="shared" ref="L85:M85" si="38">L214</f>
        <v>5700</v>
      </c>
      <c r="M85" s="317">
        <f t="shared" si="38"/>
        <v>5830</v>
      </c>
      <c r="N85" s="317">
        <f t="shared" ref="N85:O85" si="39">N214</f>
        <v>5960</v>
      </c>
      <c r="O85" s="317">
        <f t="shared" si="39"/>
        <v>6100</v>
      </c>
      <c r="P85" s="115"/>
      <c r="Q85" s="115"/>
      <c r="R85" s="115"/>
      <c r="S85" s="115"/>
      <c r="T85" s="115"/>
    </row>
    <row r="86" spans="1:20" ht="12.75" customHeight="1" x14ac:dyDescent="0.25">
      <c r="A86" s="336">
        <f>D81</f>
        <v>616001</v>
      </c>
      <c r="B86" s="306" t="str">
        <f>G81</f>
        <v>Voorzieningen voor BOA's</v>
      </c>
      <c r="C86" s="306"/>
      <c r="D86" s="337">
        <v>43806</v>
      </c>
      <c r="E86" s="337"/>
      <c r="F86" s="337"/>
      <c r="G86" s="319" t="s">
        <v>546</v>
      </c>
      <c r="H86" s="115"/>
      <c r="I86" s="115"/>
      <c r="J86" s="317">
        <v>1173</v>
      </c>
      <c r="K86" s="317">
        <v>1203</v>
      </c>
      <c r="L86" s="317">
        <f t="shared" ref="L86:O87" si="40">ROUND(K86*T$2,0)</f>
        <v>1228</v>
      </c>
      <c r="M86" s="317">
        <f t="shared" si="40"/>
        <v>1256</v>
      </c>
      <c r="N86" s="317">
        <f t="shared" si="40"/>
        <v>1285</v>
      </c>
      <c r="O86" s="317">
        <f t="shared" si="40"/>
        <v>1315</v>
      </c>
      <c r="P86" s="115"/>
      <c r="Q86" s="115"/>
      <c r="R86" s="115"/>
      <c r="S86" s="115"/>
      <c r="T86" s="115"/>
    </row>
    <row r="87" spans="1:20" ht="12.75" customHeight="1" x14ac:dyDescent="0.25">
      <c r="A87" s="336">
        <f>D81</f>
        <v>616001</v>
      </c>
      <c r="B87" s="306" t="str">
        <f>G81</f>
        <v>Voorzieningen voor BOA's</v>
      </c>
      <c r="C87" s="306"/>
      <c r="D87" s="337">
        <v>43812</v>
      </c>
      <c r="E87" s="337"/>
      <c r="F87" s="337"/>
      <c r="G87" s="319" t="s">
        <v>2678</v>
      </c>
      <c r="H87" s="115"/>
      <c r="I87" s="115"/>
      <c r="J87" s="317">
        <v>0</v>
      </c>
      <c r="K87" s="317">
        <v>0</v>
      </c>
      <c r="L87" s="317">
        <f t="shared" si="40"/>
        <v>0</v>
      </c>
      <c r="M87" s="317">
        <f t="shared" si="40"/>
        <v>0</v>
      </c>
      <c r="N87" s="317">
        <f t="shared" si="40"/>
        <v>0</v>
      </c>
      <c r="O87" s="317">
        <f t="shared" si="40"/>
        <v>0</v>
      </c>
      <c r="P87" s="115"/>
      <c r="Q87" s="115"/>
      <c r="R87" s="115"/>
      <c r="S87" s="115"/>
      <c r="T87" s="115"/>
    </row>
    <row r="88" spans="1:20" ht="12.75" customHeight="1" x14ac:dyDescent="0.25">
      <c r="A88" s="336">
        <f>D81</f>
        <v>616001</v>
      </c>
      <c r="B88" s="306" t="str">
        <f>G81</f>
        <v>Voorzieningen voor BOA's</v>
      </c>
      <c r="C88" s="306"/>
      <c r="D88" s="337">
        <v>43812</v>
      </c>
      <c r="E88" s="337"/>
      <c r="F88" s="337"/>
      <c r="G88" s="319" t="s">
        <v>535</v>
      </c>
      <c r="H88" s="115"/>
      <c r="I88" s="115"/>
      <c r="J88" s="142">
        <v>17871.32</v>
      </c>
      <c r="K88" s="318">
        <v>28140</v>
      </c>
      <c r="L88" s="318">
        <f>L225</f>
        <v>23171</v>
      </c>
      <c r="M88" s="318">
        <f>M225</f>
        <v>23704</v>
      </c>
      <c r="N88" s="318">
        <f>N225</f>
        <v>24250</v>
      </c>
      <c r="O88" s="318">
        <f>O225</f>
        <v>24807</v>
      </c>
      <c r="P88" s="115"/>
      <c r="Q88" s="115"/>
      <c r="R88" s="115"/>
      <c r="S88" s="115"/>
      <c r="T88" s="115"/>
    </row>
    <row r="89" spans="1:20" ht="12.75" customHeight="1" thickBot="1" x14ac:dyDescent="0.3">
      <c r="A89" s="336"/>
      <c r="B89" s="306"/>
      <c r="C89" s="306"/>
      <c r="D89" s="340"/>
      <c r="E89" s="340"/>
      <c r="F89" s="340"/>
      <c r="G89" s="319" t="s">
        <v>536</v>
      </c>
      <c r="H89" s="115"/>
      <c r="I89" s="115"/>
      <c r="J89" s="342">
        <v>26328.32</v>
      </c>
      <c r="K89" s="342">
        <v>38260</v>
      </c>
      <c r="L89" s="342">
        <f t="shared" ref="L89:N89" si="41">SUM(L83:L88)</f>
        <v>33505</v>
      </c>
      <c r="M89" s="342">
        <f t="shared" si="41"/>
        <v>34274</v>
      </c>
      <c r="N89" s="342">
        <f t="shared" si="41"/>
        <v>35057</v>
      </c>
      <c r="O89" s="342">
        <f t="shared" ref="O89" si="42">SUM(O83:O88)</f>
        <v>35863</v>
      </c>
      <c r="P89" s="115"/>
      <c r="Q89" s="115"/>
      <c r="R89" s="115"/>
      <c r="S89" s="115"/>
      <c r="T89" s="115"/>
    </row>
    <row r="90" spans="1:20" ht="12.75" customHeight="1" thickTop="1" x14ac:dyDescent="0.25">
      <c r="A90" s="336"/>
      <c r="B90" s="306"/>
      <c r="C90" s="306"/>
      <c r="D90" s="352"/>
      <c r="E90" s="352"/>
      <c r="F90" s="352"/>
      <c r="G90" s="354"/>
      <c r="H90" s="355"/>
      <c r="I90" s="355"/>
      <c r="J90" s="357"/>
      <c r="K90" s="316"/>
      <c r="L90" s="316"/>
      <c r="M90" s="316"/>
      <c r="N90" s="316"/>
      <c r="O90" s="316"/>
      <c r="P90" s="115"/>
      <c r="Q90" s="115"/>
      <c r="R90" s="115"/>
      <c r="S90" s="115"/>
      <c r="T90" s="115"/>
    </row>
    <row r="91" spans="1:20" ht="12.75" customHeight="1" x14ac:dyDescent="0.25">
      <c r="A91" s="336"/>
      <c r="B91" s="306"/>
      <c r="C91" s="306"/>
      <c r="D91" s="333">
        <v>616002</v>
      </c>
      <c r="E91" s="331"/>
      <c r="F91" s="331"/>
      <c r="G91" s="332" t="s">
        <v>2679</v>
      </c>
      <c r="H91" s="115"/>
      <c r="I91" s="115"/>
      <c r="J91" s="317"/>
      <c r="K91" s="318"/>
      <c r="L91" s="318"/>
      <c r="M91" s="318"/>
      <c r="N91" s="318"/>
      <c r="O91" s="318"/>
      <c r="P91" s="115"/>
      <c r="Q91" s="115"/>
      <c r="R91" s="115"/>
      <c r="S91" s="115"/>
      <c r="T91" s="115"/>
    </row>
    <row r="92" spans="1:20" ht="12.75" customHeight="1" x14ac:dyDescent="0.25">
      <c r="A92" s="336"/>
      <c r="B92" s="306"/>
      <c r="C92" s="306"/>
      <c r="D92" s="340"/>
      <c r="E92" s="340"/>
      <c r="F92" s="340"/>
      <c r="G92" s="334" t="s">
        <v>533</v>
      </c>
      <c r="H92" s="115"/>
      <c r="I92" s="115"/>
      <c r="J92" s="317"/>
      <c r="K92" s="318"/>
      <c r="L92" s="318"/>
      <c r="M92" s="318"/>
      <c r="N92" s="318"/>
      <c r="O92" s="318"/>
      <c r="P92" s="115"/>
      <c r="Q92" s="115"/>
      <c r="R92" s="115">
        <v>8</v>
      </c>
      <c r="S92" s="115">
        <v>45</v>
      </c>
      <c r="T92" s="115">
        <f>+R92*S92</f>
        <v>360</v>
      </c>
    </row>
    <row r="93" spans="1:20" ht="12.75" customHeight="1" x14ac:dyDescent="0.25">
      <c r="A93" s="1043">
        <f>D91</f>
        <v>616002</v>
      </c>
      <c r="B93" s="306" t="str">
        <f>G91</f>
        <v>RIEC</v>
      </c>
      <c r="C93" s="306"/>
      <c r="D93" s="337">
        <v>44360</v>
      </c>
      <c r="E93" s="337"/>
      <c r="F93" s="340"/>
      <c r="G93" s="319" t="s">
        <v>2680</v>
      </c>
      <c r="H93" s="115"/>
      <c r="I93" s="115"/>
      <c r="J93" s="317">
        <v>28550</v>
      </c>
      <c r="K93" s="317">
        <v>28570</v>
      </c>
      <c r="L93" s="317">
        <f t="shared" ref="L93:M93" si="43">L233</f>
        <v>29170</v>
      </c>
      <c r="M93" s="317">
        <f t="shared" si="43"/>
        <v>29840</v>
      </c>
      <c r="N93" s="317">
        <f t="shared" ref="N93:O93" si="44">N233</f>
        <v>30530</v>
      </c>
      <c r="O93" s="317">
        <f t="shared" si="44"/>
        <v>31230</v>
      </c>
      <c r="P93" s="115"/>
      <c r="Q93" s="115"/>
      <c r="R93" s="115">
        <v>8</v>
      </c>
      <c r="S93" s="115">
        <v>45</v>
      </c>
      <c r="T93" s="115">
        <f t="shared" ref="T93:T95" si="45">+R93*S93</f>
        <v>360</v>
      </c>
    </row>
    <row r="94" spans="1:20" ht="12.75" customHeight="1" thickBot="1" x14ac:dyDescent="0.3">
      <c r="A94" s="336"/>
      <c r="B94" s="306"/>
      <c r="C94" s="306"/>
      <c r="D94" s="340"/>
      <c r="E94" s="340"/>
      <c r="F94" s="340"/>
      <c r="G94" s="319" t="s">
        <v>536</v>
      </c>
      <c r="H94" s="115"/>
      <c r="I94" s="115"/>
      <c r="J94" s="228">
        <v>28550</v>
      </c>
      <c r="K94" s="228">
        <v>28570</v>
      </c>
      <c r="L94" s="228">
        <f>SUM(L93:L93)</f>
        <v>29170</v>
      </c>
      <c r="M94" s="228">
        <f>SUM(M93:M93)</f>
        <v>29840</v>
      </c>
      <c r="N94" s="228">
        <f>SUM(N93:N93)</f>
        <v>30530</v>
      </c>
      <c r="O94" s="228">
        <f>SUM(O93:O93)</f>
        <v>31230</v>
      </c>
      <c r="P94" s="115"/>
      <c r="Q94" s="115"/>
      <c r="R94" s="115">
        <v>8</v>
      </c>
      <c r="S94" s="115">
        <v>45</v>
      </c>
      <c r="T94" s="115">
        <f t="shared" si="45"/>
        <v>360</v>
      </c>
    </row>
    <row r="95" spans="1:20" ht="12.75" customHeight="1" thickTop="1" x14ac:dyDescent="0.25">
      <c r="A95" s="336"/>
      <c r="B95" s="306"/>
      <c r="C95" s="306"/>
      <c r="D95" s="340"/>
      <c r="E95" s="340"/>
      <c r="F95" s="340"/>
      <c r="G95" s="319"/>
      <c r="H95" s="115"/>
      <c r="I95" s="115"/>
      <c r="J95" s="344"/>
      <c r="K95" s="344"/>
      <c r="L95" s="344"/>
      <c r="M95" s="344"/>
      <c r="N95" s="344"/>
      <c r="O95" s="344"/>
      <c r="P95" s="115"/>
      <c r="Q95" s="115"/>
      <c r="R95" s="115">
        <v>8</v>
      </c>
      <c r="S95" s="115">
        <v>45</v>
      </c>
      <c r="T95" s="115">
        <f t="shared" si="45"/>
        <v>360</v>
      </c>
    </row>
    <row r="96" spans="1:20" ht="12.75" customHeight="1" x14ac:dyDescent="0.25">
      <c r="A96" s="336"/>
      <c r="B96" s="306"/>
      <c r="C96" s="306"/>
      <c r="D96" s="333">
        <v>616003</v>
      </c>
      <c r="E96" s="331"/>
      <c r="F96" s="331"/>
      <c r="G96" s="332" t="s">
        <v>2681</v>
      </c>
      <c r="H96" s="115"/>
      <c r="I96" s="115"/>
      <c r="J96" s="317"/>
      <c r="K96" s="317"/>
      <c r="L96" s="317"/>
      <c r="M96" s="317"/>
      <c r="N96" s="317"/>
      <c r="O96" s="317"/>
      <c r="P96" s="115"/>
      <c r="Q96" s="115"/>
      <c r="R96" s="115"/>
      <c r="S96" s="115"/>
      <c r="T96" s="115"/>
    </row>
    <row r="97" spans="1:20" ht="12.75" customHeight="1" x14ac:dyDescent="0.25">
      <c r="A97" s="336"/>
      <c r="B97" s="306"/>
      <c r="C97" s="306"/>
      <c r="D97" s="340"/>
      <c r="E97" s="340"/>
      <c r="F97" s="340"/>
      <c r="G97" s="334" t="s">
        <v>533</v>
      </c>
      <c r="H97" s="115"/>
      <c r="I97" s="115"/>
      <c r="J97" s="317"/>
      <c r="K97" s="317"/>
      <c r="L97" s="317"/>
      <c r="M97" s="317"/>
      <c r="N97" s="317"/>
      <c r="O97" s="317"/>
      <c r="P97" s="115"/>
      <c r="Q97" s="115"/>
      <c r="R97" s="115"/>
      <c r="S97" s="115"/>
      <c r="T97" s="115"/>
    </row>
    <row r="98" spans="1:20" ht="12.75" customHeight="1" x14ac:dyDescent="0.25">
      <c r="A98" s="1043">
        <f>D96</f>
        <v>616003</v>
      </c>
      <c r="B98" s="306" t="str">
        <f>G96</f>
        <v>Veiligheidshuis Brabant-Zuidoost</v>
      </c>
      <c r="C98" s="306"/>
      <c r="D98" s="337">
        <v>44380</v>
      </c>
      <c r="E98" s="337"/>
      <c r="F98" s="340"/>
      <c r="G98" s="319" t="s">
        <v>1899</v>
      </c>
      <c r="H98" s="115"/>
      <c r="I98" s="115"/>
      <c r="J98" s="481">
        <v>10193</v>
      </c>
      <c r="K98" s="481">
        <v>10458</v>
      </c>
      <c r="L98" s="481">
        <f t="shared" ref="L98:M98" si="46">L238</f>
        <v>10678</v>
      </c>
      <c r="M98" s="481">
        <f t="shared" si="46"/>
        <v>10924</v>
      </c>
      <c r="N98" s="481">
        <f t="shared" ref="N98:O98" si="47">N238</f>
        <v>11175</v>
      </c>
      <c r="O98" s="481">
        <f t="shared" si="47"/>
        <v>11432</v>
      </c>
      <c r="P98" s="115"/>
      <c r="Q98" s="115"/>
      <c r="R98" s="115"/>
      <c r="S98" s="115"/>
      <c r="T98" s="115"/>
    </row>
    <row r="99" spans="1:20" ht="12.75" customHeight="1" thickBot="1" x14ac:dyDescent="0.3">
      <c r="A99" s="336"/>
      <c r="B99" s="306"/>
      <c r="C99" s="306"/>
      <c r="D99" s="340"/>
      <c r="E99" s="340"/>
      <c r="F99" s="340"/>
      <c r="G99" s="319" t="s">
        <v>536</v>
      </c>
      <c r="H99" s="115"/>
      <c r="I99" s="115"/>
      <c r="J99" s="228">
        <v>10193</v>
      </c>
      <c r="K99" s="228">
        <v>10458</v>
      </c>
      <c r="L99" s="228">
        <f>SUM(L98:L98)</f>
        <v>10678</v>
      </c>
      <c r="M99" s="228">
        <f>SUM(M98:M98)</f>
        <v>10924</v>
      </c>
      <c r="N99" s="228">
        <f>SUM(N98:N98)</f>
        <v>11175</v>
      </c>
      <c r="O99" s="228">
        <f>SUM(O98:O98)</f>
        <v>11432</v>
      </c>
      <c r="P99" s="115"/>
      <c r="Q99" s="115"/>
      <c r="R99" s="115"/>
      <c r="S99" s="115"/>
      <c r="T99" s="115"/>
    </row>
    <row r="100" spans="1:20" ht="12.75" customHeight="1" thickTop="1" x14ac:dyDescent="0.25">
      <c r="A100" s="336"/>
      <c r="B100" s="306"/>
      <c r="C100" s="306"/>
      <c r="D100" s="340"/>
      <c r="E100" s="340"/>
      <c r="F100" s="340"/>
      <c r="G100" s="319"/>
      <c r="H100" s="115"/>
      <c r="I100" s="115"/>
      <c r="J100" s="226"/>
      <c r="K100" s="225"/>
      <c r="L100" s="225"/>
      <c r="M100" s="225"/>
      <c r="N100" s="225"/>
      <c r="O100" s="225"/>
      <c r="P100" s="115"/>
      <c r="Q100" s="115"/>
      <c r="R100" s="115"/>
      <c r="S100" s="115"/>
      <c r="T100" s="115"/>
    </row>
    <row r="101" spans="1:20" ht="12.75" customHeight="1" x14ac:dyDescent="0.25">
      <c r="A101" s="336"/>
      <c r="B101" s="306"/>
      <c r="C101" s="306"/>
      <c r="D101" s="347">
        <v>616004</v>
      </c>
      <c r="E101" s="476"/>
      <c r="F101" s="476"/>
      <c r="G101" s="332" t="s">
        <v>2682</v>
      </c>
      <c r="H101" s="115"/>
      <c r="I101" s="115"/>
      <c r="J101" s="226"/>
      <c r="K101" s="225"/>
      <c r="L101" s="225"/>
      <c r="M101" s="225"/>
      <c r="N101" s="225"/>
      <c r="O101" s="225"/>
      <c r="P101" s="115"/>
      <c r="Q101" s="115"/>
      <c r="R101" s="115"/>
      <c r="S101" s="115"/>
      <c r="T101" s="115"/>
    </row>
    <row r="102" spans="1:20" ht="12.75" customHeight="1" x14ac:dyDescent="0.25">
      <c r="A102" s="336"/>
      <c r="B102" s="306"/>
      <c r="C102" s="306"/>
      <c r="D102" s="340"/>
      <c r="E102" s="340"/>
      <c r="F102" s="340"/>
      <c r="G102" s="334" t="s">
        <v>533</v>
      </c>
      <c r="H102" s="115"/>
      <c r="I102" s="115"/>
      <c r="J102" s="317"/>
      <c r="K102" s="317"/>
      <c r="L102" s="317"/>
      <c r="M102" s="317"/>
      <c r="N102" s="317"/>
      <c r="O102" s="317"/>
      <c r="P102" s="115"/>
      <c r="Q102" s="115"/>
      <c r="R102" s="115"/>
      <c r="S102" s="115"/>
      <c r="T102" s="115"/>
    </row>
    <row r="103" spans="1:20" ht="12.75" customHeight="1" x14ac:dyDescent="0.25">
      <c r="A103" s="1043">
        <f>D101</f>
        <v>616004</v>
      </c>
      <c r="B103" s="306" t="str">
        <f>G101</f>
        <v>Integrale overheidshandhaving</v>
      </c>
      <c r="C103" s="306"/>
      <c r="D103" s="337">
        <v>43812</v>
      </c>
      <c r="E103" s="337"/>
      <c r="F103" s="337"/>
      <c r="G103" s="319" t="s">
        <v>535</v>
      </c>
      <c r="H103" s="115"/>
      <c r="I103" s="115"/>
      <c r="J103" s="481">
        <v>14992</v>
      </c>
      <c r="K103" s="481">
        <v>24500</v>
      </c>
      <c r="L103" s="481">
        <f t="shared" ref="L103:M103" si="48">L248</f>
        <v>25015</v>
      </c>
      <c r="M103" s="481">
        <f t="shared" si="48"/>
        <v>25591</v>
      </c>
      <c r="N103" s="481">
        <f t="shared" ref="N103:O103" si="49">N248</f>
        <v>26179</v>
      </c>
      <c r="O103" s="481">
        <f t="shared" si="49"/>
        <v>26781</v>
      </c>
      <c r="P103" s="115"/>
      <c r="Q103" s="115"/>
      <c r="R103" s="115"/>
      <c r="S103" s="115"/>
      <c r="T103" s="115"/>
    </row>
    <row r="104" spans="1:20" ht="12.75" customHeight="1" thickBot="1" x14ac:dyDescent="0.3">
      <c r="A104" s="336"/>
      <c r="B104" s="306"/>
      <c r="C104" s="306"/>
      <c r="D104" s="340"/>
      <c r="E104" s="340"/>
      <c r="F104" s="340"/>
      <c r="G104" s="319" t="s">
        <v>536</v>
      </c>
      <c r="H104" s="115"/>
      <c r="I104" s="115"/>
      <c r="J104" s="228">
        <v>14992</v>
      </c>
      <c r="K104" s="228">
        <v>24500</v>
      </c>
      <c r="L104" s="228">
        <f>SUM(L103:L103)</f>
        <v>25015</v>
      </c>
      <c r="M104" s="228">
        <f>SUM(M103:M103)</f>
        <v>25591</v>
      </c>
      <c r="N104" s="228">
        <f>SUM(N103:N103)</f>
        <v>26179</v>
      </c>
      <c r="O104" s="228">
        <f>SUM(O103:O103)</f>
        <v>26781</v>
      </c>
      <c r="P104" s="115"/>
      <c r="Q104" s="115"/>
      <c r="R104" s="115"/>
      <c r="S104" s="115"/>
      <c r="T104" s="115"/>
    </row>
    <row r="105" spans="1:20" ht="12.75" customHeight="1" thickTop="1" x14ac:dyDescent="0.25">
      <c r="A105" s="336"/>
      <c r="B105" s="306"/>
      <c r="C105" s="306"/>
      <c r="D105" s="340"/>
      <c r="E105" s="340"/>
      <c r="F105" s="340"/>
      <c r="G105" s="319"/>
      <c r="H105" s="115"/>
      <c r="I105" s="115"/>
      <c r="J105" s="226"/>
      <c r="K105" s="225"/>
      <c r="L105" s="225"/>
      <c r="M105" s="225"/>
      <c r="N105" s="225"/>
      <c r="O105" s="225"/>
      <c r="P105" s="115"/>
      <c r="Q105" s="115"/>
      <c r="R105" s="115"/>
      <c r="S105" s="115"/>
      <c r="T105" s="115"/>
    </row>
    <row r="106" spans="1:20" ht="12.75" customHeight="1" x14ac:dyDescent="0.25">
      <c r="A106" s="336"/>
      <c r="B106" s="306"/>
      <c r="C106" s="306"/>
      <c r="D106" s="333">
        <v>616005</v>
      </c>
      <c r="E106" s="331"/>
      <c r="F106" s="331"/>
      <c r="G106" s="332" t="s">
        <v>2683</v>
      </c>
      <c r="H106" s="115"/>
      <c r="I106" s="115"/>
      <c r="J106" s="317"/>
      <c r="K106" s="317"/>
      <c r="L106" s="317"/>
      <c r="M106" s="317"/>
      <c r="N106" s="317"/>
      <c r="O106" s="317"/>
      <c r="P106" s="115"/>
      <c r="Q106" s="115"/>
      <c r="R106" s="115"/>
      <c r="S106" s="115"/>
      <c r="T106" s="115"/>
    </row>
    <row r="107" spans="1:20" ht="12.75" customHeight="1" x14ac:dyDescent="0.25">
      <c r="A107" s="336"/>
      <c r="B107" s="306"/>
      <c r="C107" s="306"/>
      <c r="D107" s="340"/>
      <c r="E107" s="340"/>
      <c r="F107" s="340"/>
      <c r="G107" s="334" t="s">
        <v>533</v>
      </c>
      <c r="H107" s="115"/>
      <c r="I107" s="115"/>
      <c r="J107" s="317"/>
      <c r="K107" s="317"/>
      <c r="L107" s="317"/>
      <c r="M107" s="317"/>
      <c r="N107" s="317"/>
      <c r="O107" s="317"/>
      <c r="P107" s="115"/>
      <c r="Q107" s="115"/>
      <c r="R107" s="115"/>
      <c r="S107" s="115"/>
      <c r="T107" s="115"/>
    </row>
    <row r="108" spans="1:20" ht="12.75" customHeight="1" x14ac:dyDescent="0.25">
      <c r="A108" s="1043">
        <f>D106</f>
        <v>616005</v>
      </c>
      <c r="B108" s="306" t="str">
        <f>G106</f>
        <v>Veiligheidsprojecten</v>
      </c>
      <c r="C108" s="306"/>
      <c r="D108" s="337">
        <v>43812</v>
      </c>
      <c r="E108" s="337"/>
      <c r="F108" s="337"/>
      <c r="G108" s="319" t="s">
        <v>535</v>
      </c>
      <c r="H108" s="115"/>
      <c r="I108" s="115"/>
      <c r="J108" s="481">
        <v>36493</v>
      </c>
      <c r="K108" s="481">
        <f t="shared" ref="K108:M108" si="50">K261</f>
        <v>47259</v>
      </c>
      <c r="L108" s="481">
        <f t="shared" si="50"/>
        <v>40979</v>
      </c>
      <c r="M108" s="481">
        <f t="shared" si="50"/>
        <v>39692</v>
      </c>
      <c r="N108" s="481">
        <f t="shared" ref="N108:O108" si="51">N261</f>
        <v>32421</v>
      </c>
      <c r="O108" s="481">
        <f t="shared" si="51"/>
        <v>33166</v>
      </c>
      <c r="P108" s="115"/>
      <c r="Q108" s="115"/>
      <c r="R108" s="115"/>
      <c r="S108" s="115"/>
      <c r="T108" s="115"/>
    </row>
    <row r="109" spans="1:20" ht="12.75" customHeight="1" thickBot="1" x14ac:dyDescent="0.3">
      <c r="A109" s="336"/>
      <c r="B109" s="306"/>
      <c r="C109" s="306"/>
      <c r="D109" s="340"/>
      <c r="E109" s="340"/>
      <c r="F109" s="340"/>
      <c r="G109" s="319" t="s">
        <v>536</v>
      </c>
      <c r="H109" s="115"/>
      <c r="I109" s="115"/>
      <c r="J109" s="228">
        <v>36493</v>
      </c>
      <c r="K109" s="228">
        <f>SUM(K108)</f>
        <v>47259</v>
      </c>
      <c r="L109" s="228">
        <f t="shared" ref="L109:O109" si="52">SUM(L108)</f>
        <v>40979</v>
      </c>
      <c r="M109" s="228">
        <f t="shared" si="52"/>
        <v>39692</v>
      </c>
      <c r="N109" s="228">
        <f t="shared" si="52"/>
        <v>32421</v>
      </c>
      <c r="O109" s="228">
        <f t="shared" si="52"/>
        <v>33166</v>
      </c>
      <c r="P109" s="115"/>
      <c r="Q109" s="115"/>
      <c r="R109" s="115"/>
      <c r="S109" s="115"/>
      <c r="T109" s="115"/>
    </row>
    <row r="110" spans="1:20" ht="12.75" customHeight="1" thickTop="1" x14ac:dyDescent="0.25">
      <c r="A110" s="336"/>
      <c r="B110" s="306"/>
      <c r="C110" s="306"/>
      <c r="D110" s="340"/>
      <c r="E110" s="340"/>
      <c r="F110" s="340"/>
      <c r="G110" s="319"/>
      <c r="H110" s="115"/>
      <c r="I110" s="115"/>
      <c r="J110" s="226"/>
      <c r="K110" s="225"/>
      <c r="L110" s="225"/>
      <c r="M110" s="225"/>
      <c r="N110" s="225"/>
      <c r="O110" s="225"/>
      <c r="P110" s="115"/>
      <c r="Q110" s="115"/>
      <c r="R110" s="115"/>
      <c r="S110" s="115"/>
      <c r="T110" s="115"/>
    </row>
    <row r="111" spans="1:20" ht="12.75" customHeight="1" x14ac:dyDescent="0.25">
      <c r="A111" s="336"/>
      <c r="B111" s="115"/>
      <c r="C111" s="115"/>
      <c r="D111" s="347">
        <v>616006</v>
      </c>
      <c r="E111" s="476"/>
      <c r="F111" s="476"/>
      <c r="G111" s="332" t="s">
        <v>2684</v>
      </c>
      <c r="H111" s="115"/>
      <c r="I111" s="115"/>
      <c r="J111" s="317"/>
      <c r="K111" s="318"/>
      <c r="L111" s="318"/>
      <c r="M111" s="318"/>
      <c r="N111" s="318"/>
      <c r="O111" s="318"/>
      <c r="P111" s="115"/>
      <c r="Q111" s="115"/>
      <c r="R111" s="115"/>
      <c r="S111" s="115"/>
      <c r="T111" s="115"/>
    </row>
    <row r="112" spans="1:20" ht="12.75" customHeight="1" x14ac:dyDescent="0.25">
      <c r="A112" s="336"/>
      <c r="B112" s="115"/>
      <c r="C112" s="115"/>
      <c r="D112" s="340"/>
      <c r="E112" s="340"/>
      <c r="F112" s="340"/>
      <c r="G112" s="334" t="s">
        <v>533</v>
      </c>
      <c r="H112" s="115"/>
      <c r="I112" s="115"/>
      <c r="J112" s="317"/>
      <c r="K112" s="318"/>
      <c r="L112" s="318"/>
      <c r="M112" s="318"/>
      <c r="N112" s="318"/>
      <c r="O112" s="318"/>
      <c r="P112" s="115"/>
      <c r="Q112" s="115"/>
      <c r="R112" s="115"/>
      <c r="S112" s="115"/>
      <c r="T112" s="115"/>
    </row>
    <row r="113" spans="1:15" ht="12.75" customHeight="1" x14ac:dyDescent="0.25">
      <c r="A113" s="1043">
        <f>D111</f>
        <v>616006</v>
      </c>
      <c r="B113" s="306" t="str">
        <f>G111</f>
        <v>Externe veiligheid</v>
      </c>
      <c r="C113" s="115"/>
      <c r="D113" s="337">
        <v>43511</v>
      </c>
      <c r="E113" s="337"/>
      <c r="F113" s="337"/>
      <c r="G113" s="319" t="s">
        <v>560</v>
      </c>
      <c r="H113" s="115"/>
      <c r="I113" s="115"/>
      <c r="J113" s="142">
        <v>21464</v>
      </c>
      <c r="K113" s="142">
        <v>22038</v>
      </c>
      <c r="L113" s="142">
        <f>L267</f>
        <v>22524</v>
      </c>
      <c r="M113" s="142">
        <f>M267</f>
        <v>23065</v>
      </c>
      <c r="N113" s="142">
        <f>N267</f>
        <v>23620</v>
      </c>
      <c r="O113" s="142">
        <f>O267</f>
        <v>24163</v>
      </c>
    </row>
    <row r="114" spans="1:15" ht="12.75" customHeight="1" thickBot="1" x14ac:dyDescent="0.3">
      <c r="A114" s="336"/>
      <c r="B114" s="115"/>
      <c r="C114" s="115"/>
      <c r="D114" s="340"/>
      <c r="E114" s="340"/>
      <c r="F114" s="340"/>
      <c r="G114" s="319" t="s">
        <v>536</v>
      </c>
      <c r="H114" s="115"/>
      <c r="I114" s="115"/>
      <c r="J114" s="342">
        <v>21464</v>
      </c>
      <c r="K114" s="342">
        <v>22038</v>
      </c>
      <c r="L114" s="342">
        <f>SUM(L113)</f>
        <v>22524</v>
      </c>
      <c r="M114" s="342">
        <f>SUM(M113)</f>
        <v>23065</v>
      </c>
      <c r="N114" s="342">
        <f>SUM(N113)</f>
        <v>23620</v>
      </c>
      <c r="O114" s="342">
        <f>SUM(O113)</f>
        <v>24163</v>
      </c>
    </row>
    <row r="115" spans="1:15" ht="12.75" customHeight="1" thickTop="1" x14ac:dyDescent="0.25">
      <c r="A115" s="336"/>
      <c r="B115" s="306"/>
      <c r="C115" s="306"/>
      <c r="D115" s="340"/>
      <c r="E115" s="340"/>
      <c r="F115" s="340"/>
      <c r="G115" s="319"/>
      <c r="H115" s="115"/>
      <c r="I115" s="115"/>
      <c r="J115" s="226"/>
      <c r="K115" s="225"/>
      <c r="L115" s="225"/>
      <c r="M115" s="225"/>
      <c r="N115" s="225"/>
      <c r="O115" s="225"/>
    </row>
    <row r="116" spans="1:15" ht="12.75" customHeight="1" x14ac:dyDescent="0.25">
      <c r="A116" s="336"/>
      <c r="B116" s="306"/>
      <c r="C116" s="306"/>
      <c r="D116" s="347">
        <v>616007</v>
      </c>
      <c r="E116" s="476"/>
      <c r="F116" s="476"/>
      <c r="G116" s="332" t="s">
        <v>2685</v>
      </c>
      <c r="H116" s="115"/>
      <c r="I116" s="115"/>
      <c r="J116" s="226"/>
      <c r="K116" s="225"/>
      <c r="L116" s="225"/>
      <c r="M116" s="225"/>
      <c r="N116" s="225"/>
      <c r="O116" s="225"/>
    </row>
    <row r="117" spans="1:15" ht="12.75" customHeight="1" x14ac:dyDescent="0.25">
      <c r="A117" s="336"/>
      <c r="B117" s="306"/>
      <c r="C117" s="306"/>
      <c r="D117" s="340"/>
      <c r="E117" s="340"/>
      <c r="F117" s="340"/>
      <c r="G117" s="334" t="s">
        <v>533</v>
      </c>
      <c r="H117" s="115"/>
      <c r="I117" s="115"/>
      <c r="J117" s="226"/>
      <c r="K117" s="225"/>
      <c r="L117" s="225"/>
      <c r="M117" s="225"/>
      <c r="N117" s="225"/>
      <c r="O117" s="225"/>
    </row>
    <row r="118" spans="1:15" ht="12.75" customHeight="1" x14ac:dyDescent="0.25">
      <c r="A118" s="1043">
        <f>D116</f>
        <v>616007</v>
      </c>
      <c r="B118" s="306" t="str">
        <f>G116</f>
        <v>Veiligheidsfonds</v>
      </c>
      <c r="C118" s="306"/>
      <c r="D118" s="337">
        <v>44320</v>
      </c>
      <c r="E118" s="340"/>
      <c r="F118" s="340"/>
      <c r="G118" s="319" t="s">
        <v>2680</v>
      </c>
      <c r="H118" s="115"/>
      <c r="I118" s="115"/>
      <c r="J118" s="226">
        <v>7932.25</v>
      </c>
      <c r="K118" s="225">
        <v>8035.25</v>
      </c>
      <c r="L118" s="225">
        <f>L282</f>
        <v>8135</v>
      </c>
      <c r="M118" s="225">
        <f>M282</f>
        <v>8295.5</v>
      </c>
      <c r="N118" s="225">
        <f t="shared" ref="N118:O118" si="53">N282</f>
        <v>8427.5</v>
      </c>
      <c r="O118" s="225">
        <f t="shared" si="53"/>
        <v>8427.5</v>
      </c>
    </row>
    <row r="119" spans="1:15" ht="12.75" customHeight="1" thickBot="1" x14ac:dyDescent="0.3">
      <c r="A119" s="336"/>
      <c r="B119" s="115"/>
      <c r="C119" s="115"/>
      <c r="D119" s="340"/>
      <c r="E119" s="340"/>
      <c r="F119" s="340"/>
      <c r="G119" s="319" t="s">
        <v>536</v>
      </c>
      <c r="H119" s="115"/>
      <c r="I119" s="115"/>
      <c r="J119" s="342">
        <v>7932.25</v>
      </c>
      <c r="K119" s="342">
        <v>8035.25</v>
      </c>
      <c r="L119" s="342">
        <f t="shared" ref="L119:M119" si="54">SUM(L118)</f>
        <v>8135</v>
      </c>
      <c r="M119" s="342">
        <f t="shared" si="54"/>
        <v>8295.5</v>
      </c>
      <c r="N119" s="342">
        <f t="shared" ref="N119:O119" si="55">SUM(N118)</f>
        <v>8427.5</v>
      </c>
      <c r="O119" s="342">
        <f t="shared" si="55"/>
        <v>8427.5</v>
      </c>
    </row>
    <row r="120" spans="1:15" ht="12.75" customHeight="1" thickTop="1" x14ac:dyDescent="0.25">
      <c r="A120" s="336"/>
      <c r="B120" s="306"/>
      <c r="C120" s="306"/>
      <c r="D120" s="340"/>
      <c r="E120" s="340"/>
      <c r="F120" s="340"/>
      <c r="G120" s="319"/>
      <c r="H120" s="115"/>
      <c r="I120" s="115"/>
      <c r="J120" s="226"/>
      <c r="K120" s="225"/>
      <c r="L120" s="225"/>
      <c r="M120" s="225"/>
      <c r="N120" s="225"/>
      <c r="O120" s="225"/>
    </row>
    <row r="121" spans="1:15" ht="12.75" customHeight="1" x14ac:dyDescent="0.25">
      <c r="A121" s="336"/>
      <c r="B121" s="306"/>
      <c r="C121" s="306"/>
      <c r="D121" s="347">
        <v>616903</v>
      </c>
      <c r="E121" s="476"/>
      <c r="F121" s="476"/>
      <c r="G121" s="332" t="s">
        <v>2686</v>
      </c>
      <c r="H121" s="115"/>
      <c r="I121" s="115"/>
      <c r="J121" s="226"/>
      <c r="K121" s="225"/>
      <c r="L121" s="225"/>
      <c r="M121" s="225"/>
      <c r="N121" s="225"/>
      <c r="O121" s="225"/>
    </row>
    <row r="122" spans="1:15" ht="12.75" customHeight="1" x14ac:dyDescent="0.25">
      <c r="A122" s="336"/>
      <c r="B122" s="306"/>
      <c r="C122" s="306"/>
      <c r="D122" s="340"/>
      <c r="E122" s="340"/>
      <c r="F122" s="340"/>
      <c r="G122" s="334" t="s">
        <v>533</v>
      </c>
      <c r="H122" s="115"/>
      <c r="I122" s="115"/>
      <c r="J122" s="226"/>
      <c r="K122" s="225"/>
      <c r="L122" s="225"/>
      <c r="M122" s="225"/>
      <c r="N122" s="225"/>
      <c r="O122" s="225"/>
    </row>
    <row r="123" spans="1:15" ht="12.75" customHeight="1" x14ac:dyDescent="0.25">
      <c r="A123" s="1043">
        <f>D121</f>
        <v>616903</v>
      </c>
      <c r="B123" s="306" t="str">
        <f>G121</f>
        <v>Directe toerekening openbare orde en veiligheid</v>
      </c>
      <c r="C123" s="306"/>
      <c r="D123" s="340">
        <v>41100</v>
      </c>
      <c r="E123" s="340"/>
      <c r="F123" s="340"/>
      <c r="G123" s="319" t="s">
        <v>700</v>
      </c>
      <c r="H123" s="115"/>
      <c r="I123" s="115"/>
      <c r="J123" s="226">
        <v>888820.92999999993</v>
      </c>
      <c r="K123" s="225">
        <v>1137843.78</v>
      </c>
      <c r="L123" s="225">
        <f>L342</f>
        <v>1185634</v>
      </c>
      <c r="M123" s="225">
        <f>M342</f>
        <v>1229502</v>
      </c>
      <c r="N123" s="225">
        <f>N342</f>
        <v>1274993</v>
      </c>
      <c r="O123" s="225">
        <f>O342</f>
        <v>1322168</v>
      </c>
    </row>
    <row r="124" spans="1:15" ht="12.75" customHeight="1" x14ac:dyDescent="0.25">
      <c r="A124" s="1043">
        <v>616903</v>
      </c>
      <c r="B124" s="306" t="s">
        <v>2686</v>
      </c>
      <c r="C124" s="306"/>
      <c r="D124" s="340">
        <v>43511</v>
      </c>
      <c r="E124" s="340"/>
      <c r="F124" s="340"/>
      <c r="G124" s="319" t="s">
        <v>734</v>
      </c>
      <c r="H124" s="115"/>
      <c r="I124" s="115"/>
      <c r="J124" s="226">
        <v>0</v>
      </c>
      <c r="K124" s="225">
        <v>45000</v>
      </c>
      <c r="L124" s="225"/>
      <c r="M124" s="225"/>
      <c r="N124" s="225"/>
      <c r="O124" s="225"/>
    </row>
    <row r="125" spans="1:15" ht="12.75" customHeight="1" x14ac:dyDescent="0.25">
      <c r="A125" s="1043">
        <f>D121</f>
        <v>616903</v>
      </c>
      <c r="B125" s="306" t="str">
        <f>G121</f>
        <v>Directe toerekening openbare orde en veiligheid</v>
      </c>
      <c r="C125" s="306"/>
      <c r="D125" s="337">
        <v>47300</v>
      </c>
      <c r="E125" s="337"/>
      <c r="F125" s="337"/>
      <c r="G125" s="319" t="s">
        <v>1033</v>
      </c>
      <c r="H125" s="115"/>
      <c r="I125" s="115"/>
      <c r="J125" s="317">
        <v>8248</v>
      </c>
      <c r="K125" s="317">
        <v>0</v>
      </c>
      <c r="L125" s="317">
        <v>10000</v>
      </c>
      <c r="M125" s="317">
        <v>10000</v>
      </c>
      <c r="N125" s="317">
        <v>10000</v>
      </c>
      <c r="O125" s="317">
        <v>10000</v>
      </c>
    </row>
    <row r="126" spans="1:15" ht="12.75" customHeight="1" thickBot="1" x14ac:dyDescent="0.3">
      <c r="A126" s="336"/>
      <c r="B126" s="306"/>
      <c r="C126" s="306"/>
      <c r="D126" s="340"/>
      <c r="E126" s="340"/>
      <c r="F126" s="340"/>
      <c r="G126" s="319" t="s">
        <v>536</v>
      </c>
      <c r="H126" s="115"/>
      <c r="I126" s="115"/>
      <c r="J126" s="342">
        <v>897068.92999999993</v>
      </c>
      <c r="K126" s="342">
        <v>1182843.78</v>
      </c>
      <c r="L126" s="342">
        <f>SUM(L122:L125)</f>
        <v>1195634</v>
      </c>
      <c r="M126" s="342">
        <f>SUM(M122:M125)</f>
        <v>1239502</v>
      </c>
      <c r="N126" s="342">
        <f>SUM(N122:N125)</f>
        <v>1284993</v>
      </c>
      <c r="O126" s="342">
        <f>SUM(O122:O125)</f>
        <v>1332168</v>
      </c>
    </row>
    <row r="127" spans="1:15" ht="12.75" customHeight="1" thickTop="1" x14ac:dyDescent="0.25">
      <c r="A127" s="336"/>
      <c r="B127" s="306"/>
      <c r="C127" s="306"/>
      <c r="D127" s="340"/>
      <c r="E127" s="340"/>
      <c r="F127" s="340"/>
      <c r="G127" s="319"/>
      <c r="H127" s="115"/>
      <c r="I127" s="115"/>
      <c r="J127" s="226"/>
      <c r="K127" s="225"/>
      <c r="L127" s="225"/>
      <c r="M127" s="225"/>
      <c r="N127" s="225"/>
      <c r="O127" s="225"/>
    </row>
    <row r="128" spans="1:15" ht="12.75" customHeight="1" x14ac:dyDescent="0.25">
      <c r="A128" s="336"/>
      <c r="B128" s="306"/>
      <c r="C128" s="306"/>
      <c r="D128" s="347">
        <v>616013</v>
      </c>
      <c r="E128" s="476"/>
      <c r="F128" s="476"/>
      <c r="G128" s="1254" t="s">
        <v>2687</v>
      </c>
      <c r="H128" s="381"/>
      <c r="I128" s="381"/>
      <c r="J128" s="317"/>
      <c r="K128" s="318"/>
      <c r="L128" s="318"/>
      <c r="M128" s="318"/>
      <c r="N128" s="318"/>
      <c r="O128" s="318"/>
    </row>
    <row r="129" spans="1:23" ht="12.75" customHeight="1" x14ac:dyDescent="0.25">
      <c r="A129" s="336"/>
      <c r="B129" s="306"/>
      <c r="C129" s="306"/>
      <c r="D129" s="340"/>
      <c r="E129" s="340"/>
      <c r="F129" s="340"/>
      <c r="G129" s="334" t="s">
        <v>533</v>
      </c>
      <c r="H129" s="115"/>
      <c r="I129" s="115"/>
      <c r="J129" s="317"/>
      <c r="K129" s="318"/>
      <c r="L129" s="318"/>
      <c r="M129" s="318"/>
      <c r="N129" s="318"/>
      <c r="O129" s="318"/>
      <c r="P129" s="115"/>
      <c r="Q129" s="115"/>
      <c r="R129" s="115"/>
      <c r="S129" s="115"/>
      <c r="T129" s="115"/>
      <c r="U129" s="115"/>
      <c r="V129" s="115"/>
      <c r="W129" s="115"/>
    </row>
    <row r="130" spans="1:23" ht="12.75" customHeight="1" x14ac:dyDescent="0.25">
      <c r="A130" s="336">
        <f>D128</f>
        <v>616013</v>
      </c>
      <c r="B130" s="482" t="str">
        <f>G128</f>
        <v>Geluidsadvies/-metingen evenementen</v>
      </c>
      <c r="C130" s="306"/>
      <c r="D130" s="340">
        <v>43812</v>
      </c>
      <c r="E130" s="340"/>
      <c r="F130" s="340"/>
      <c r="G130" s="319" t="s">
        <v>535</v>
      </c>
      <c r="H130" s="115"/>
      <c r="I130" s="115"/>
      <c r="J130" s="142">
        <v>61794</v>
      </c>
      <c r="K130" s="142">
        <v>63401</v>
      </c>
      <c r="L130" s="142">
        <f>L290</f>
        <v>64732</v>
      </c>
      <c r="M130" s="142">
        <f>M290</f>
        <v>66221</v>
      </c>
      <c r="N130" s="142">
        <f t="shared" ref="N130:O130" si="56">N290</f>
        <v>67744</v>
      </c>
      <c r="O130" s="142">
        <f t="shared" si="56"/>
        <v>69302</v>
      </c>
      <c r="P130" s="115"/>
      <c r="Q130" s="115"/>
      <c r="R130" s="115"/>
      <c r="S130" s="115"/>
      <c r="T130" s="115"/>
      <c r="U130" s="115"/>
      <c r="V130" s="115"/>
      <c r="W130" s="115"/>
    </row>
    <row r="131" spans="1:23" ht="12.75" customHeight="1" thickBot="1" x14ac:dyDescent="0.3">
      <c r="A131" s="336"/>
      <c r="B131" s="306"/>
      <c r="C131" s="306"/>
      <c r="D131" s="340"/>
      <c r="E131" s="340"/>
      <c r="F131" s="340"/>
      <c r="G131" s="319" t="s">
        <v>536</v>
      </c>
      <c r="H131" s="115"/>
      <c r="I131" s="115"/>
      <c r="J131" s="342">
        <v>61794</v>
      </c>
      <c r="K131" s="342">
        <v>63401</v>
      </c>
      <c r="L131" s="342">
        <f t="shared" ref="L131:M131" si="57">SUM(L130)</f>
        <v>64732</v>
      </c>
      <c r="M131" s="342">
        <f t="shared" si="57"/>
        <v>66221</v>
      </c>
      <c r="N131" s="342">
        <f t="shared" ref="N131:O131" si="58">SUM(N130)</f>
        <v>67744</v>
      </c>
      <c r="O131" s="342">
        <f t="shared" si="58"/>
        <v>69302</v>
      </c>
      <c r="P131" s="115"/>
      <c r="Q131" s="115"/>
      <c r="R131" s="115"/>
      <c r="S131" s="115"/>
      <c r="T131" s="115"/>
      <c r="U131" s="115"/>
      <c r="V131" s="115"/>
      <c r="W131" s="115"/>
    </row>
    <row r="132" spans="1:23" ht="12.75" customHeight="1" thickTop="1" x14ac:dyDescent="0.25">
      <c r="A132" s="336"/>
      <c r="B132" s="306"/>
      <c r="C132" s="306"/>
      <c r="D132" s="340"/>
      <c r="E132" s="340"/>
      <c r="F132" s="340"/>
      <c r="G132" s="319"/>
      <c r="H132" s="115"/>
      <c r="I132" s="115"/>
      <c r="J132" s="226"/>
      <c r="K132" s="225"/>
      <c r="L132" s="225"/>
      <c r="M132" s="225"/>
      <c r="N132" s="225"/>
      <c r="O132" s="225"/>
      <c r="P132" s="115"/>
      <c r="Q132" s="115"/>
      <c r="R132" s="115"/>
      <c r="S132" s="115"/>
      <c r="T132" s="115"/>
      <c r="U132" s="115"/>
      <c r="V132" s="115"/>
      <c r="W132" s="115"/>
    </row>
    <row r="133" spans="1:23" ht="12.75" customHeight="1" x14ac:dyDescent="0.25">
      <c r="A133" s="336"/>
      <c r="B133" s="115"/>
      <c r="C133" s="115"/>
      <c r="D133" s="333">
        <v>616008</v>
      </c>
      <c r="E133" s="331"/>
      <c r="F133" s="331"/>
      <c r="G133" s="1255" t="s">
        <v>2688</v>
      </c>
      <c r="H133" s="115"/>
      <c r="I133" s="115"/>
      <c r="J133" s="335"/>
      <c r="K133" s="335"/>
      <c r="L133" s="335"/>
      <c r="M133" s="335"/>
      <c r="N133" s="335"/>
      <c r="O133" s="335"/>
      <c r="P133" s="115"/>
      <c r="Q133" s="115"/>
      <c r="R133" s="115"/>
      <c r="S133" s="115"/>
      <c r="T133" s="115"/>
      <c r="U133" s="115"/>
      <c r="V133" s="115"/>
      <c r="W133" s="115"/>
    </row>
    <row r="134" spans="1:23" ht="12.75" customHeight="1" x14ac:dyDescent="0.25">
      <c r="A134" s="336"/>
      <c r="B134" s="115"/>
      <c r="C134" s="115"/>
      <c r="D134" s="333"/>
      <c r="E134" s="331"/>
      <c r="F134" s="331"/>
      <c r="G134" s="334" t="s">
        <v>533</v>
      </c>
      <c r="H134" s="115"/>
      <c r="I134" s="115"/>
      <c r="J134" s="335"/>
      <c r="K134" s="335"/>
      <c r="L134" s="335"/>
      <c r="M134" s="335"/>
      <c r="N134" s="335"/>
      <c r="O134" s="335"/>
      <c r="P134" s="115"/>
      <c r="Q134" s="115"/>
      <c r="R134" s="115"/>
      <c r="S134" s="115"/>
      <c r="T134" s="115"/>
      <c r="U134" s="115"/>
      <c r="V134" s="115"/>
      <c r="W134" s="115"/>
    </row>
    <row r="135" spans="1:23" ht="12.75" customHeight="1" x14ac:dyDescent="0.25">
      <c r="A135" s="1043">
        <f>D133</f>
        <v>616008</v>
      </c>
      <c r="B135" s="306" t="str">
        <f>G133</f>
        <v>Toepassing bestuursdwang ontruiming</v>
      </c>
      <c r="C135" s="490"/>
      <c r="D135" s="337">
        <v>43812</v>
      </c>
      <c r="E135" s="337"/>
      <c r="F135" s="337"/>
      <c r="G135" s="319" t="s">
        <v>535</v>
      </c>
      <c r="H135" s="115"/>
      <c r="I135" s="115"/>
      <c r="J135" s="1256">
        <v>18725</v>
      </c>
      <c r="K135" s="1256">
        <v>19212</v>
      </c>
      <c r="L135" s="1256">
        <f>L319</f>
        <v>19615</v>
      </c>
      <c r="M135" s="1256">
        <f>M319</f>
        <v>20066</v>
      </c>
      <c r="N135" s="1256">
        <f t="shared" ref="N135:O135" si="59">N319</f>
        <v>20528</v>
      </c>
      <c r="O135" s="1256">
        <f t="shared" si="59"/>
        <v>21000</v>
      </c>
      <c r="P135" s="115"/>
      <c r="Q135" s="115"/>
      <c r="R135" s="115"/>
      <c r="S135" s="115"/>
      <c r="T135" s="115"/>
      <c r="U135" s="115"/>
      <c r="V135" s="115"/>
      <c r="W135" s="115"/>
    </row>
    <row r="136" spans="1:23" ht="12.75" customHeight="1" thickBot="1" x14ac:dyDescent="0.3">
      <c r="A136" s="336"/>
      <c r="B136" s="115"/>
      <c r="C136" s="115"/>
      <c r="D136" s="340"/>
      <c r="E136" s="340"/>
      <c r="F136" s="340"/>
      <c r="G136" s="319" t="s">
        <v>536</v>
      </c>
      <c r="H136" s="115"/>
      <c r="I136" s="115"/>
      <c r="J136" s="342">
        <v>18725</v>
      </c>
      <c r="K136" s="342">
        <v>19212</v>
      </c>
      <c r="L136" s="342">
        <f>SUM(L134:L135)</f>
        <v>19615</v>
      </c>
      <c r="M136" s="342">
        <f>SUM(M134:M135)</f>
        <v>20066</v>
      </c>
      <c r="N136" s="342">
        <f>SUM(N134:N135)</f>
        <v>20528</v>
      </c>
      <c r="O136" s="342">
        <f>SUM(O134:O135)</f>
        <v>21000</v>
      </c>
      <c r="P136" s="115"/>
      <c r="Q136" s="115"/>
      <c r="R136" s="115"/>
      <c r="S136" s="115"/>
      <c r="T136" s="115"/>
      <c r="U136" s="115"/>
      <c r="V136" s="115"/>
      <c r="W136" s="115"/>
    </row>
    <row r="137" spans="1:23" ht="12.75" customHeight="1" thickTop="1" x14ac:dyDescent="0.25">
      <c r="A137" s="336"/>
      <c r="B137" s="115"/>
      <c r="C137" s="115"/>
      <c r="D137" s="340"/>
      <c r="E137" s="340"/>
      <c r="F137" s="340"/>
      <c r="G137" s="319"/>
      <c r="H137" s="115"/>
      <c r="I137" s="115"/>
      <c r="J137" s="317"/>
      <c r="K137" s="317"/>
      <c r="L137" s="317"/>
      <c r="M137" s="317"/>
      <c r="N137" s="317"/>
      <c r="O137" s="317"/>
      <c r="P137" s="115"/>
      <c r="Q137" s="115"/>
      <c r="R137" s="115"/>
      <c r="S137" s="115"/>
      <c r="T137" s="115"/>
      <c r="U137" s="115"/>
      <c r="V137" s="115"/>
      <c r="W137" s="115"/>
    </row>
    <row r="138" spans="1:23" ht="12.75" customHeight="1" x14ac:dyDescent="0.25">
      <c r="A138" s="336"/>
      <c r="B138" s="115"/>
      <c r="C138" s="115"/>
      <c r="D138" s="333">
        <v>616016</v>
      </c>
      <c r="E138" s="331"/>
      <c r="F138" s="331"/>
      <c r="G138" s="1255" t="s">
        <v>2689</v>
      </c>
      <c r="H138" s="115"/>
      <c r="I138" s="115"/>
      <c r="J138" s="335"/>
      <c r="K138" s="335"/>
      <c r="L138" s="335"/>
      <c r="M138" s="335"/>
      <c r="N138" s="335"/>
      <c r="O138" s="335"/>
      <c r="P138" s="115"/>
      <c r="Q138" s="115"/>
      <c r="R138" s="115"/>
      <c r="S138" s="115"/>
      <c r="T138" s="115"/>
      <c r="U138" s="115"/>
      <c r="V138" s="115"/>
      <c r="W138" s="115"/>
    </row>
    <row r="139" spans="1:23" ht="12.75" customHeight="1" x14ac:dyDescent="0.25">
      <c r="A139" s="336"/>
      <c r="B139" s="115"/>
      <c r="C139" s="115"/>
      <c r="D139" s="333"/>
      <c r="E139" s="331"/>
      <c r="F139" s="331"/>
      <c r="G139" s="334" t="s">
        <v>533</v>
      </c>
      <c r="H139" s="115"/>
      <c r="I139" s="115"/>
      <c r="J139" s="335"/>
      <c r="K139" s="335"/>
      <c r="L139" s="335"/>
      <c r="M139" s="335"/>
      <c r="N139" s="335"/>
      <c r="O139" s="335"/>
      <c r="P139" s="115"/>
      <c r="Q139" s="115"/>
      <c r="R139" s="115"/>
      <c r="S139" s="115"/>
      <c r="T139" s="115"/>
      <c r="U139" s="115"/>
      <c r="V139" s="115"/>
      <c r="W139" s="115"/>
    </row>
    <row r="140" spans="1:23" ht="12.75" customHeight="1" x14ac:dyDescent="0.25">
      <c r="A140" s="1043">
        <f>D138</f>
        <v>616016</v>
      </c>
      <c r="B140" s="306" t="str">
        <f>G138</f>
        <v>Ondermijning en bibob</v>
      </c>
      <c r="C140" s="490"/>
      <c r="D140" s="337">
        <v>43511</v>
      </c>
      <c r="E140" s="337"/>
      <c r="F140" s="337"/>
      <c r="G140" s="319" t="s">
        <v>560</v>
      </c>
      <c r="H140" s="115"/>
      <c r="I140" s="115"/>
      <c r="J140" s="1256">
        <v>92803</v>
      </c>
      <c r="K140" s="1256">
        <v>82659</v>
      </c>
      <c r="L140" s="1256">
        <f t="shared" ref="L140:M140" si="60">L325</f>
        <v>86635</v>
      </c>
      <c r="M140" s="1256">
        <f t="shared" si="60"/>
        <v>90284</v>
      </c>
      <c r="N140" s="1256">
        <f t="shared" ref="N140:O140" si="61">N325</f>
        <v>94069</v>
      </c>
      <c r="O140" s="1256">
        <f t="shared" si="61"/>
        <v>97994</v>
      </c>
      <c r="P140" s="115"/>
      <c r="Q140" s="115"/>
      <c r="R140" s="115"/>
      <c r="S140" s="115"/>
      <c r="T140" s="115"/>
      <c r="U140" s="115"/>
      <c r="V140" s="115"/>
      <c r="W140" s="115"/>
    </row>
    <row r="141" spans="1:23" ht="12.75" customHeight="1" x14ac:dyDescent="0.25">
      <c r="A141" s="1043">
        <f>D138</f>
        <v>616016</v>
      </c>
      <c r="B141" s="306" t="str">
        <f>G138</f>
        <v>Ondermijning en bibob</v>
      </c>
      <c r="C141" s="490"/>
      <c r="D141" s="337">
        <v>43812</v>
      </c>
      <c r="E141" s="337"/>
      <c r="F141" s="337"/>
      <c r="G141" s="319" t="s">
        <v>535</v>
      </c>
      <c r="H141" s="115"/>
      <c r="I141" s="115"/>
      <c r="J141" s="1256">
        <v>15558</v>
      </c>
      <c r="K141" s="1256">
        <v>15963</v>
      </c>
      <c r="L141" s="1256">
        <f t="shared" ref="L141:M141" si="62">L331</f>
        <v>16298</v>
      </c>
      <c r="M141" s="1256">
        <f t="shared" si="62"/>
        <v>16673</v>
      </c>
      <c r="N141" s="1256">
        <f t="shared" ref="N141:O141" si="63">N331</f>
        <v>17056</v>
      </c>
      <c r="O141" s="1256">
        <f t="shared" si="63"/>
        <v>17448</v>
      </c>
      <c r="P141" s="115"/>
      <c r="Q141" s="115"/>
      <c r="R141" s="115"/>
      <c r="S141" s="115"/>
      <c r="T141" s="115"/>
      <c r="U141" s="115"/>
      <c r="V141" s="115"/>
      <c r="W141" s="115"/>
    </row>
    <row r="142" spans="1:23" ht="12.75" customHeight="1" thickBot="1" x14ac:dyDescent="0.3">
      <c r="A142" s="336"/>
      <c r="B142" s="115"/>
      <c r="C142" s="115"/>
      <c r="D142" s="340"/>
      <c r="E142" s="340"/>
      <c r="F142" s="340"/>
      <c r="G142" s="319" t="s">
        <v>536</v>
      </c>
      <c r="H142" s="115"/>
      <c r="I142" s="115"/>
      <c r="J142" s="342">
        <v>108361</v>
      </c>
      <c r="K142" s="342">
        <v>98622</v>
      </c>
      <c r="L142" s="342">
        <f t="shared" ref="L142:M142" si="64">SUM(L139:L141)</f>
        <v>102933</v>
      </c>
      <c r="M142" s="342">
        <f t="shared" si="64"/>
        <v>106957</v>
      </c>
      <c r="N142" s="342">
        <f t="shared" ref="N142:O142" si="65">SUM(N139:N141)</f>
        <v>111125</v>
      </c>
      <c r="O142" s="342">
        <f t="shared" si="65"/>
        <v>115442</v>
      </c>
      <c r="P142" s="115"/>
      <c r="Q142" s="115"/>
      <c r="R142" s="115"/>
      <c r="S142" s="115"/>
      <c r="T142" s="115"/>
      <c r="U142" s="115"/>
      <c r="V142" s="115"/>
      <c r="W142" s="115"/>
    </row>
    <row r="143" spans="1:23" ht="12.75" customHeight="1" thickTop="1" x14ac:dyDescent="0.25">
      <c r="A143" s="336"/>
      <c r="B143" s="115"/>
      <c r="C143" s="115"/>
      <c r="D143" s="340"/>
      <c r="E143" s="340"/>
      <c r="F143" s="340"/>
      <c r="G143" s="319"/>
      <c r="H143" s="115"/>
      <c r="I143" s="115"/>
      <c r="J143" s="317"/>
      <c r="K143" s="318"/>
      <c r="L143" s="318"/>
      <c r="M143" s="318"/>
      <c r="N143" s="318"/>
      <c r="O143" s="318"/>
      <c r="P143" s="115"/>
      <c r="Q143" s="115"/>
      <c r="R143" s="115"/>
      <c r="S143" s="115"/>
      <c r="T143" s="115"/>
      <c r="U143" s="115"/>
      <c r="V143" s="115"/>
      <c r="W143" s="115"/>
    </row>
    <row r="144" spans="1:23" ht="12.75" customHeight="1" x14ac:dyDescent="0.25">
      <c r="A144" s="336"/>
      <c r="B144" s="115"/>
      <c r="C144" s="115"/>
      <c r="D144" s="333">
        <v>616009</v>
      </c>
      <c r="E144" s="382"/>
      <c r="F144" s="331"/>
      <c r="G144" s="381" t="s">
        <v>2690</v>
      </c>
      <c r="H144" s="115"/>
      <c r="I144" s="115"/>
      <c r="J144" s="317"/>
      <c r="K144" s="317"/>
      <c r="L144" s="317"/>
      <c r="M144" s="317"/>
      <c r="N144" s="317"/>
      <c r="O144" s="317"/>
      <c r="P144" s="115"/>
      <c r="Q144" s="115"/>
      <c r="R144" s="115"/>
      <c r="S144" s="115"/>
      <c r="T144" s="115"/>
      <c r="U144" s="115"/>
      <c r="V144" s="115"/>
      <c r="W144" s="115"/>
    </row>
    <row r="145" spans="1:23" ht="12.75" customHeight="1" x14ac:dyDescent="0.25">
      <c r="A145" s="336"/>
      <c r="B145" s="115"/>
      <c r="C145" s="115"/>
      <c r="D145" s="340"/>
      <c r="E145" s="1257"/>
      <c r="F145" s="340"/>
      <c r="G145" s="334" t="s">
        <v>554</v>
      </c>
      <c r="H145" s="115"/>
      <c r="I145" s="115"/>
      <c r="J145" s="317"/>
      <c r="K145" s="317"/>
      <c r="L145" s="317"/>
      <c r="M145" s="317"/>
      <c r="N145" s="317"/>
      <c r="O145" s="317"/>
      <c r="P145" s="115"/>
      <c r="Q145" s="115"/>
      <c r="R145" s="115"/>
      <c r="S145" s="115"/>
      <c r="T145" s="115"/>
      <c r="U145" s="115"/>
      <c r="V145" s="115"/>
      <c r="W145" s="115"/>
    </row>
    <row r="146" spans="1:23" ht="12.75" customHeight="1" x14ac:dyDescent="0.25">
      <c r="A146" s="336">
        <f>D144</f>
        <v>616009</v>
      </c>
      <c r="B146" s="115" t="str">
        <f>G144</f>
        <v>Leges algemeen (titel 1)</v>
      </c>
      <c r="C146" s="115"/>
      <c r="D146" s="337">
        <v>83700</v>
      </c>
      <c r="E146" s="337"/>
      <c r="F146" s="337"/>
      <c r="G146" s="319" t="s">
        <v>2691</v>
      </c>
      <c r="H146" s="115"/>
      <c r="I146" s="115"/>
      <c r="J146" s="142">
        <v>-35974</v>
      </c>
      <c r="K146" s="1225">
        <v>-20000</v>
      </c>
      <c r="L146" s="1225">
        <f>L377</f>
        <v>-20420</v>
      </c>
      <c r="M146" s="1225">
        <f>M377</f>
        <v>-20890</v>
      </c>
      <c r="N146" s="1225">
        <f t="shared" ref="N146:O146" si="66">N377</f>
        <v>-21370</v>
      </c>
      <c r="O146" s="1225">
        <f t="shared" si="66"/>
        <v>-21862</v>
      </c>
      <c r="P146" s="453"/>
      <c r="Q146" s="453"/>
      <c r="R146" s="453"/>
      <c r="S146" s="453"/>
      <c r="T146" s="453"/>
      <c r="U146" s="453"/>
      <c r="V146" s="453"/>
      <c r="W146" s="453"/>
    </row>
    <row r="147" spans="1:23" ht="12.75" customHeight="1" thickBot="1" x14ac:dyDescent="0.3">
      <c r="A147" s="336"/>
      <c r="B147" s="115"/>
      <c r="C147" s="115"/>
      <c r="D147" s="340"/>
      <c r="E147" s="340"/>
      <c r="F147" s="340"/>
      <c r="G147" s="319" t="s">
        <v>536</v>
      </c>
      <c r="H147" s="115"/>
      <c r="I147" s="115"/>
      <c r="J147" s="342">
        <v>-35974</v>
      </c>
      <c r="K147" s="342">
        <v>-20000</v>
      </c>
      <c r="L147" s="342">
        <f>SUM(L145:L146)</f>
        <v>-20420</v>
      </c>
      <c r="M147" s="342">
        <f>SUM(M145:M146)</f>
        <v>-20890</v>
      </c>
      <c r="N147" s="342">
        <f>SUM(N145:N146)</f>
        <v>-21370</v>
      </c>
      <c r="O147" s="342">
        <f>SUM(O145:O146)</f>
        <v>-21862</v>
      </c>
      <c r="P147" s="453"/>
      <c r="Q147" s="453"/>
      <c r="R147" s="453"/>
      <c r="S147" s="453"/>
      <c r="T147" s="453"/>
      <c r="U147" s="453"/>
      <c r="V147" s="453"/>
      <c r="W147" s="453"/>
    </row>
    <row r="148" spans="1:23" ht="12.75" customHeight="1" thickTop="1" x14ac:dyDescent="0.25">
      <c r="A148" s="336"/>
      <c r="B148" s="115"/>
      <c r="C148" s="115"/>
      <c r="D148" s="340"/>
      <c r="E148" s="340"/>
      <c r="F148" s="340"/>
      <c r="G148" s="319"/>
      <c r="H148" s="115"/>
      <c r="I148" s="115"/>
      <c r="J148" s="317"/>
      <c r="K148" s="317"/>
      <c r="L148" s="317"/>
      <c r="M148" s="317"/>
      <c r="N148" s="317"/>
      <c r="O148" s="317"/>
      <c r="P148" s="115"/>
      <c r="Q148" s="115"/>
      <c r="R148" s="115"/>
      <c r="S148" s="115"/>
      <c r="T148" s="115"/>
      <c r="U148" s="115"/>
      <c r="V148" s="115"/>
      <c r="W148" s="115"/>
    </row>
    <row r="149" spans="1:23" ht="12.75" customHeight="1" x14ac:dyDescent="0.25">
      <c r="A149" s="336"/>
      <c r="B149" s="115"/>
      <c r="C149" s="115"/>
      <c r="D149" s="333">
        <v>616901</v>
      </c>
      <c r="E149" s="331"/>
      <c r="F149" s="331"/>
      <c r="G149" s="332" t="s">
        <v>2692</v>
      </c>
      <c r="H149" s="115"/>
      <c r="I149" s="115"/>
      <c r="J149" s="317"/>
      <c r="K149" s="317"/>
      <c r="L149" s="317"/>
      <c r="M149" s="317"/>
      <c r="N149" s="317"/>
      <c r="O149" s="317"/>
      <c r="P149" s="115"/>
      <c r="Q149" s="115"/>
      <c r="R149" s="115"/>
      <c r="S149" s="115"/>
      <c r="T149" s="115"/>
      <c r="U149" s="115"/>
      <c r="V149" s="115"/>
      <c r="W149" s="115"/>
    </row>
    <row r="150" spans="1:23" ht="12.75" customHeight="1" x14ac:dyDescent="0.25">
      <c r="A150" s="336"/>
      <c r="B150" s="115"/>
      <c r="C150" s="115"/>
      <c r="D150" s="333"/>
      <c r="E150" s="331"/>
      <c r="F150" s="331"/>
      <c r="G150" s="334" t="s">
        <v>533</v>
      </c>
      <c r="H150" s="115"/>
      <c r="I150" s="115"/>
      <c r="J150" s="317"/>
      <c r="K150" s="317"/>
      <c r="L150" s="317"/>
      <c r="M150" s="317"/>
      <c r="N150" s="317"/>
      <c r="O150" s="317"/>
      <c r="P150" s="115"/>
      <c r="Q150" s="115"/>
      <c r="R150" s="115"/>
      <c r="S150" s="115"/>
      <c r="T150" s="115"/>
      <c r="U150" s="115"/>
      <c r="V150" s="115"/>
      <c r="W150" s="115"/>
    </row>
    <row r="151" spans="1:23" ht="12.75" customHeight="1" x14ac:dyDescent="0.25">
      <c r="A151" s="336">
        <f>D149</f>
        <v>616901</v>
      </c>
      <c r="B151" s="115" t="str">
        <f>G149</f>
        <v>Directe toerekening vergunningen (titel 1)</v>
      </c>
      <c r="C151" s="316"/>
      <c r="D151" s="337">
        <v>41100</v>
      </c>
      <c r="E151" s="337"/>
      <c r="F151" s="337"/>
      <c r="G151" s="319" t="s">
        <v>700</v>
      </c>
      <c r="H151" s="115"/>
      <c r="I151" s="115"/>
      <c r="J151" s="317">
        <f>J354</f>
        <v>180300.64</v>
      </c>
      <c r="K151" s="317">
        <f t="shared" ref="K151:O151" si="67">K354</f>
        <v>113909.32</v>
      </c>
      <c r="L151" s="317">
        <f t="shared" si="67"/>
        <v>118693</v>
      </c>
      <c r="M151" s="317">
        <f t="shared" si="67"/>
        <v>123085</v>
      </c>
      <c r="N151" s="317">
        <f t="shared" si="67"/>
        <v>127639</v>
      </c>
      <c r="O151" s="317">
        <f t="shared" si="67"/>
        <v>132362</v>
      </c>
      <c r="P151" s="115"/>
      <c r="Q151" s="115"/>
      <c r="R151" s="115"/>
      <c r="S151" s="115"/>
      <c r="T151" s="115"/>
      <c r="U151" s="115"/>
      <c r="V151" s="115"/>
      <c r="W151" s="115"/>
    </row>
    <row r="152" spans="1:23" ht="12.75" customHeight="1" x14ac:dyDescent="0.25">
      <c r="A152" s="336"/>
      <c r="B152" s="115"/>
      <c r="C152" s="115"/>
      <c r="D152" s="337">
        <v>43511</v>
      </c>
      <c r="E152" s="337"/>
      <c r="F152" s="337"/>
      <c r="G152" s="319" t="s">
        <v>734</v>
      </c>
      <c r="H152" s="115"/>
      <c r="I152" s="115"/>
      <c r="J152" s="142">
        <f>J358</f>
        <v>0</v>
      </c>
      <c r="K152" s="142">
        <f t="shared" ref="K152:O152" si="68">K358</f>
        <v>97500</v>
      </c>
      <c r="L152" s="142">
        <f t="shared" si="68"/>
        <v>0</v>
      </c>
      <c r="M152" s="142">
        <f t="shared" si="68"/>
        <v>0</v>
      </c>
      <c r="N152" s="142">
        <f t="shared" si="68"/>
        <v>0</v>
      </c>
      <c r="O152" s="142">
        <f t="shared" si="68"/>
        <v>0</v>
      </c>
      <c r="P152" s="115"/>
      <c r="Q152" s="115"/>
      <c r="R152" s="115"/>
      <c r="S152" s="115"/>
      <c r="T152" s="115"/>
      <c r="U152" s="115"/>
      <c r="V152" s="115"/>
      <c r="W152" s="115"/>
    </row>
    <row r="153" spans="1:23" ht="12.75" customHeight="1" thickBot="1" x14ac:dyDescent="0.3">
      <c r="A153" s="336"/>
      <c r="B153" s="115"/>
      <c r="C153" s="115"/>
      <c r="D153" s="340"/>
      <c r="E153" s="340"/>
      <c r="F153" s="340"/>
      <c r="G153" s="319" t="s">
        <v>536</v>
      </c>
      <c r="H153" s="115"/>
      <c r="I153" s="115"/>
      <c r="J153" s="342">
        <f>SUM(J151:J152)</f>
        <v>180300.64</v>
      </c>
      <c r="K153" s="342">
        <f t="shared" ref="K153:O153" si="69">SUM(K151:K152)</f>
        <v>211409.32</v>
      </c>
      <c r="L153" s="342">
        <f t="shared" si="69"/>
        <v>118693</v>
      </c>
      <c r="M153" s="342">
        <f t="shared" si="69"/>
        <v>123085</v>
      </c>
      <c r="N153" s="342">
        <f t="shared" si="69"/>
        <v>127639</v>
      </c>
      <c r="O153" s="342">
        <f t="shared" si="69"/>
        <v>132362</v>
      </c>
      <c r="P153" s="115"/>
      <c r="Q153" s="115"/>
      <c r="R153" s="115"/>
      <c r="S153" s="115"/>
      <c r="T153" s="115"/>
      <c r="U153" s="115"/>
      <c r="V153" s="115"/>
      <c r="W153" s="115"/>
    </row>
    <row r="154" spans="1:23" ht="12.75" customHeight="1" thickTop="1" x14ac:dyDescent="0.25">
      <c r="A154" s="336"/>
      <c r="B154" s="115"/>
      <c r="C154" s="115"/>
      <c r="D154" s="340"/>
      <c r="E154" s="340"/>
      <c r="F154" s="340"/>
      <c r="G154" s="319"/>
      <c r="H154" s="115"/>
      <c r="I154" s="115"/>
      <c r="J154" s="317"/>
      <c r="K154" s="317"/>
      <c r="L154" s="317"/>
      <c r="M154" s="317"/>
      <c r="N154" s="317"/>
      <c r="O154" s="317"/>
      <c r="P154" s="115"/>
      <c r="Q154" s="115"/>
      <c r="R154" s="115"/>
      <c r="S154" s="115"/>
      <c r="T154" s="115"/>
      <c r="U154" s="115"/>
      <c r="V154" s="115"/>
      <c r="W154" s="115"/>
    </row>
    <row r="155" spans="1:23" ht="12.75" customHeight="1" x14ac:dyDescent="0.25">
      <c r="A155" s="336"/>
      <c r="B155" s="115"/>
      <c r="C155" s="115"/>
      <c r="D155" s="333">
        <v>616902</v>
      </c>
      <c r="E155" s="331"/>
      <c r="F155" s="331"/>
      <c r="G155" s="332" t="s">
        <v>2693</v>
      </c>
      <c r="H155" s="115"/>
      <c r="I155" s="115"/>
      <c r="J155" s="317"/>
      <c r="K155" s="317"/>
      <c r="L155" s="317"/>
      <c r="M155" s="317"/>
      <c r="N155" s="317"/>
      <c r="O155" s="317"/>
      <c r="P155" s="115"/>
      <c r="Q155" s="584"/>
      <c r="R155" s="115"/>
      <c r="S155" s="115"/>
      <c r="T155" s="584"/>
      <c r="U155" s="115"/>
      <c r="V155" s="115"/>
      <c r="W155" s="115"/>
    </row>
    <row r="156" spans="1:23" ht="12.75" customHeight="1" x14ac:dyDescent="0.25">
      <c r="A156" s="336"/>
      <c r="B156" s="115"/>
      <c r="C156" s="115"/>
      <c r="D156" s="333"/>
      <c r="E156" s="331"/>
      <c r="F156" s="331"/>
      <c r="G156" s="334" t="s">
        <v>533</v>
      </c>
      <c r="H156" s="115"/>
      <c r="I156" s="115"/>
      <c r="J156" s="317"/>
      <c r="K156" s="317"/>
      <c r="L156" s="317"/>
      <c r="M156" s="317"/>
      <c r="N156" s="317"/>
      <c r="O156" s="317"/>
      <c r="P156" s="115"/>
      <c r="Q156" s="115"/>
      <c r="R156" s="115"/>
      <c r="S156" s="115"/>
      <c r="T156" s="115"/>
      <c r="U156" s="115"/>
      <c r="V156" s="115"/>
      <c r="W156" s="115"/>
    </row>
    <row r="157" spans="1:23" ht="12.75" customHeight="1" x14ac:dyDescent="0.25">
      <c r="A157" s="336">
        <f>D155</f>
        <v>616902</v>
      </c>
      <c r="B157" s="115" t="str">
        <f>G155</f>
        <v>Directe toerekening vergunningen (titel 3)</v>
      </c>
      <c r="C157" s="115"/>
      <c r="D157" s="337">
        <v>41100</v>
      </c>
      <c r="E157" s="1258"/>
      <c r="F157" s="337"/>
      <c r="G157" s="319" t="s">
        <v>700</v>
      </c>
      <c r="H157" s="115"/>
      <c r="I157" s="115"/>
      <c r="J157" s="142">
        <v>204370.28</v>
      </c>
      <c r="K157" s="1225">
        <v>179523.23</v>
      </c>
      <c r="L157" s="1225">
        <f>L368</f>
        <v>187063</v>
      </c>
      <c r="M157" s="1225">
        <f>M368</f>
        <v>193984</v>
      </c>
      <c r="N157" s="1225">
        <f t="shared" ref="N157:O157" si="70">N368</f>
        <v>201161</v>
      </c>
      <c r="O157" s="1225">
        <f t="shared" si="70"/>
        <v>208604</v>
      </c>
      <c r="P157" s="115"/>
      <c r="Q157" s="115"/>
      <c r="R157" s="115"/>
      <c r="S157" s="115"/>
      <c r="T157" s="1259"/>
      <c r="U157" s="115"/>
      <c r="V157" s="115"/>
      <c r="W157" s="115"/>
    </row>
    <row r="158" spans="1:23" ht="12.75" customHeight="1" thickBot="1" x14ac:dyDescent="0.3">
      <c r="A158" s="336"/>
      <c r="B158" s="115"/>
      <c r="C158" s="115"/>
      <c r="D158" s="340"/>
      <c r="E158" s="384"/>
      <c r="F158" s="340"/>
      <c r="G158" s="115" t="s">
        <v>536</v>
      </c>
      <c r="H158" s="115"/>
      <c r="I158" s="115"/>
      <c r="J158" s="342">
        <v>204370.28</v>
      </c>
      <c r="K158" s="342">
        <v>179523.23</v>
      </c>
      <c r="L158" s="342">
        <f t="shared" ref="L158:M158" si="71">SUM(L156:L157)</f>
        <v>187063</v>
      </c>
      <c r="M158" s="342">
        <f t="shared" si="71"/>
        <v>193984</v>
      </c>
      <c r="N158" s="342">
        <f t="shared" ref="N158:O158" si="72">SUM(N156:N157)</f>
        <v>201161</v>
      </c>
      <c r="O158" s="342">
        <f t="shared" si="72"/>
        <v>208604</v>
      </c>
      <c r="P158" s="115"/>
      <c r="Q158" s="115"/>
      <c r="R158" s="115"/>
      <c r="S158" s="115"/>
      <c r="T158" s="1259"/>
      <c r="U158" s="115"/>
      <c r="V158" s="115"/>
      <c r="W158" s="115"/>
    </row>
    <row r="159" spans="1:23" ht="12.75" customHeight="1" thickTop="1" x14ac:dyDescent="0.25">
      <c r="A159" s="336"/>
      <c r="B159" s="115"/>
      <c r="C159" s="115"/>
      <c r="D159" s="340"/>
      <c r="E159" s="384"/>
      <c r="F159" s="340"/>
      <c r="G159" s="115"/>
      <c r="H159" s="115"/>
      <c r="I159" s="115"/>
      <c r="J159" s="344"/>
      <c r="K159" s="344"/>
      <c r="L159" s="344"/>
      <c r="M159" s="344"/>
      <c r="N159" s="344"/>
      <c r="O159" s="344"/>
      <c r="P159" s="115"/>
      <c r="Q159" s="115"/>
      <c r="R159" s="115"/>
      <c r="S159" s="115"/>
      <c r="T159" s="115"/>
      <c r="U159" s="115"/>
      <c r="V159" s="115"/>
      <c r="W159" s="115"/>
    </row>
    <row r="160" spans="1:23" ht="12.75" customHeight="1" x14ac:dyDescent="0.25">
      <c r="A160" s="336"/>
      <c r="B160" s="115"/>
      <c r="C160" s="115"/>
      <c r="D160" s="1125">
        <v>616015</v>
      </c>
      <c r="E160" s="1260"/>
      <c r="F160" s="1126"/>
      <c r="G160" s="747" t="s">
        <v>2694</v>
      </c>
      <c r="H160" s="453"/>
      <c r="I160" s="453"/>
      <c r="J160" s="529"/>
      <c r="K160" s="529"/>
      <c r="L160" s="529"/>
      <c r="M160" s="529"/>
      <c r="N160" s="529"/>
      <c r="O160" s="529"/>
      <c r="P160" s="115"/>
      <c r="Q160" s="115"/>
      <c r="R160" s="115"/>
      <c r="S160" s="115"/>
      <c r="T160" s="115"/>
      <c r="U160" s="115"/>
      <c r="V160" s="115"/>
      <c r="W160" s="115"/>
    </row>
    <row r="161" spans="1:23" ht="12.75" customHeight="1" x14ac:dyDescent="0.25">
      <c r="A161" s="336"/>
      <c r="B161" s="115"/>
      <c r="C161" s="115"/>
      <c r="D161" s="1125"/>
      <c r="E161" s="1260"/>
      <c r="F161" s="1126"/>
      <c r="G161" s="527" t="s">
        <v>533</v>
      </c>
      <c r="H161" s="453"/>
      <c r="I161" s="453"/>
      <c r="J161" s="529"/>
      <c r="K161" s="529"/>
      <c r="L161" s="529"/>
      <c r="M161" s="529"/>
      <c r="N161" s="529"/>
      <c r="O161" s="529"/>
      <c r="P161" s="115"/>
      <c r="Q161" s="115"/>
      <c r="R161" s="115"/>
      <c r="S161" s="115"/>
      <c r="T161" s="115"/>
      <c r="U161" s="115"/>
      <c r="V161" s="115"/>
      <c r="W161" s="115"/>
    </row>
    <row r="162" spans="1:23" ht="12.75" customHeight="1" x14ac:dyDescent="0.25">
      <c r="A162" s="336">
        <f>D160</f>
        <v>616015</v>
      </c>
      <c r="B162" s="115" t="str">
        <f>G160</f>
        <v>Dierenopvang</v>
      </c>
      <c r="C162" s="115"/>
      <c r="D162" s="763">
        <v>43812</v>
      </c>
      <c r="E162" s="455"/>
      <c r="F162" s="763"/>
      <c r="G162" s="319" t="s">
        <v>535</v>
      </c>
      <c r="H162" s="453"/>
      <c r="I162" s="453"/>
      <c r="J162" s="457">
        <v>62767.901189919998</v>
      </c>
      <c r="K162" s="457">
        <v>71229.598560000013</v>
      </c>
      <c r="L162" s="457">
        <f>L304</f>
        <v>73484.237174399997</v>
      </c>
      <c r="M162" s="457">
        <f>M304</f>
        <v>77704.883099570245</v>
      </c>
      <c r="N162" s="457">
        <f>N304</f>
        <v>80962.410777232042</v>
      </c>
      <c r="O162" s="457">
        <f>O304</f>
        <v>84519.593353075426</v>
      </c>
      <c r="P162" s="115"/>
      <c r="Q162" s="115"/>
      <c r="R162" s="115"/>
      <c r="S162" s="115"/>
      <c r="T162" s="115"/>
      <c r="U162" s="115"/>
      <c r="V162" s="115"/>
      <c r="W162" s="115"/>
    </row>
    <row r="163" spans="1:23" ht="12.75" customHeight="1" thickBot="1" x14ac:dyDescent="0.3">
      <c r="A163" s="336"/>
      <c r="B163" s="115"/>
      <c r="C163" s="115"/>
      <c r="D163" s="758"/>
      <c r="E163" s="1261"/>
      <c r="F163" s="758"/>
      <c r="G163" s="453" t="s">
        <v>536</v>
      </c>
      <c r="H163" s="453"/>
      <c r="I163" s="453"/>
      <c r="J163" s="762">
        <v>62767.901189919998</v>
      </c>
      <c r="K163" s="762">
        <v>71229.598560000013</v>
      </c>
      <c r="L163" s="762">
        <f t="shared" ref="L163:M163" si="73">SUM(L162)</f>
        <v>73484.237174399997</v>
      </c>
      <c r="M163" s="762">
        <f t="shared" si="73"/>
        <v>77704.883099570245</v>
      </c>
      <c r="N163" s="762">
        <f t="shared" ref="N163:O163" si="74">SUM(N162)</f>
        <v>80962.410777232042</v>
      </c>
      <c r="O163" s="762">
        <f t="shared" si="74"/>
        <v>84519.593353075426</v>
      </c>
      <c r="P163" s="115"/>
      <c r="Q163" s="115"/>
      <c r="R163" s="115"/>
      <c r="S163" s="115"/>
      <c r="T163" s="115"/>
      <c r="U163" s="115"/>
      <c r="V163" s="115"/>
      <c r="W163" s="115"/>
    </row>
    <row r="164" spans="1:23" ht="12.75" customHeight="1" thickTop="1" x14ac:dyDescent="0.25">
      <c r="A164" s="336"/>
      <c r="B164" s="115"/>
      <c r="C164" s="115"/>
      <c r="D164" s="340"/>
      <c r="E164" s="384"/>
      <c r="F164" s="340"/>
      <c r="G164" s="115"/>
      <c r="H164" s="115"/>
      <c r="I164" s="115"/>
      <c r="J164" s="317"/>
      <c r="K164" s="317"/>
      <c r="L164" s="317"/>
      <c r="M164" s="317"/>
      <c r="N164" s="317"/>
      <c r="O164" s="317"/>
      <c r="P164" s="115"/>
      <c r="Q164" s="115"/>
      <c r="R164" s="115"/>
      <c r="S164" s="115"/>
      <c r="T164" s="115"/>
      <c r="U164" s="115"/>
      <c r="V164" s="115"/>
      <c r="W164" s="115"/>
    </row>
    <row r="165" spans="1:23" ht="12.75" customHeight="1" x14ac:dyDescent="0.25">
      <c r="A165" s="336"/>
      <c r="B165" s="115"/>
      <c r="C165" s="115"/>
      <c r="D165" s="333">
        <v>616012</v>
      </c>
      <c r="E165" s="331"/>
      <c r="F165" s="331"/>
      <c r="G165" s="332" t="s">
        <v>2695</v>
      </c>
      <c r="H165" s="115"/>
      <c r="I165" s="115"/>
      <c r="J165" s="317"/>
      <c r="K165" s="317"/>
      <c r="L165" s="317"/>
      <c r="M165" s="317"/>
      <c r="N165" s="317"/>
      <c r="O165" s="317"/>
      <c r="P165" s="115"/>
      <c r="Q165" s="115"/>
      <c r="R165" s="115"/>
      <c r="S165" s="115"/>
      <c r="T165" s="115"/>
      <c r="U165" s="115"/>
      <c r="V165" s="115"/>
      <c r="W165" s="115"/>
    </row>
    <row r="166" spans="1:23" ht="12.75" customHeight="1" x14ac:dyDescent="0.25">
      <c r="A166" s="336"/>
      <c r="B166" s="115"/>
      <c r="C166" s="115"/>
      <c r="D166" s="340"/>
      <c r="E166" s="340"/>
      <c r="F166" s="340"/>
      <c r="G166" s="334" t="s">
        <v>554</v>
      </c>
      <c r="H166" s="115"/>
      <c r="I166" s="115"/>
      <c r="J166" s="317"/>
      <c r="K166" s="317"/>
      <c r="L166" s="317"/>
      <c r="M166" s="317"/>
      <c r="N166" s="317"/>
      <c r="O166" s="317"/>
      <c r="P166" s="115"/>
      <c r="Q166" s="115"/>
      <c r="R166" s="115"/>
      <c r="S166" s="115"/>
      <c r="T166" s="115"/>
      <c r="U166" s="115"/>
      <c r="V166" s="115"/>
      <c r="W166" s="115"/>
    </row>
    <row r="167" spans="1:23" ht="12.75" customHeight="1" x14ac:dyDescent="0.25">
      <c r="A167" s="336">
        <f>D165</f>
        <v>616012</v>
      </c>
      <c r="B167" s="115" t="str">
        <f>G165</f>
        <v>Leges overige  (titel 3)</v>
      </c>
      <c r="C167" s="115"/>
      <c r="D167" s="337">
        <v>83700</v>
      </c>
      <c r="E167" s="337"/>
      <c r="F167" s="337"/>
      <c r="G167" s="319" t="s">
        <v>737</v>
      </c>
      <c r="H167" s="115"/>
      <c r="I167" s="115"/>
      <c r="J167" s="142">
        <v>-1750</v>
      </c>
      <c r="K167" s="1225">
        <v>-1796</v>
      </c>
      <c r="L167" s="1225">
        <f>L394</f>
        <v>-1834</v>
      </c>
      <c r="M167" s="1225">
        <f>M394</f>
        <v>-1876</v>
      </c>
      <c r="N167" s="1225">
        <f t="shared" ref="N167:O167" si="75">N394</f>
        <v>-1919</v>
      </c>
      <c r="O167" s="1225">
        <f t="shared" si="75"/>
        <v>-1963</v>
      </c>
      <c r="P167" s="115"/>
      <c r="Q167" s="115"/>
      <c r="R167" s="115"/>
      <c r="S167" s="115"/>
      <c r="T167" s="115"/>
      <c r="U167" s="115"/>
      <c r="V167" s="115"/>
      <c r="W167" s="115"/>
    </row>
    <row r="168" spans="1:23" ht="12.75" customHeight="1" thickBot="1" x14ac:dyDescent="0.3">
      <c r="A168" s="336"/>
      <c r="B168" s="115"/>
      <c r="C168" s="115"/>
      <c r="D168" s="340"/>
      <c r="E168" s="340"/>
      <c r="F168" s="340"/>
      <c r="G168" s="319" t="s">
        <v>536</v>
      </c>
      <c r="H168" s="115"/>
      <c r="I168" s="115"/>
      <c r="J168" s="342">
        <v>-1750</v>
      </c>
      <c r="K168" s="342">
        <v>-1796</v>
      </c>
      <c r="L168" s="342">
        <f>SUM(L166:L167)</f>
        <v>-1834</v>
      </c>
      <c r="M168" s="342">
        <f>SUM(M166:M167)</f>
        <v>-1876</v>
      </c>
      <c r="N168" s="342">
        <f>SUM(N166:N167)</f>
        <v>-1919</v>
      </c>
      <c r="O168" s="342">
        <f>SUM(O166:O167)</f>
        <v>-1963</v>
      </c>
      <c r="P168" s="115"/>
      <c r="Q168" s="115"/>
      <c r="R168" s="115"/>
      <c r="S168" s="115"/>
      <c r="T168" s="115"/>
      <c r="U168" s="115"/>
      <c r="V168" s="115"/>
      <c r="W168" s="115"/>
    </row>
    <row r="169" spans="1:23" ht="12.75" customHeight="1" thickTop="1" x14ac:dyDescent="0.25">
      <c r="A169" s="336"/>
      <c r="B169" s="306"/>
      <c r="C169" s="306"/>
      <c r="D169" s="340"/>
      <c r="E169" s="340"/>
      <c r="F169" s="340"/>
      <c r="G169" s="319"/>
      <c r="H169" s="115"/>
      <c r="I169" s="115"/>
      <c r="J169" s="226"/>
      <c r="K169" s="225"/>
      <c r="L169" s="225"/>
      <c r="M169" s="225"/>
      <c r="N169" s="225"/>
      <c r="O169" s="225"/>
      <c r="P169" s="115"/>
      <c r="Q169" s="115"/>
      <c r="R169" s="115"/>
      <c r="S169" s="115"/>
      <c r="T169" s="115"/>
      <c r="U169" s="115"/>
      <c r="V169" s="115"/>
      <c r="W169" s="115"/>
    </row>
    <row r="170" spans="1:23" ht="12.75" customHeight="1" x14ac:dyDescent="0.25">
      <c r="A170" s="336"/>
      <c r="B170" s="115"/>
      <c r="C170" s="115"/>
      <c r="D170" s="333">
        <v>616010</v>
      </c>
      <c r="E170" s="331"/>
      <c r="F170" s="331"/>
      <c r="G170" s="332" t="s">
        <v>2696</v>
      </c>
      <c r="H170" s="115"/>
      <c r="I170" s="115"/>
      <c r="J170" s="317"/>
      <c r="K170" s="317"/>
      <c r="L170" s="317"/>
      <c r="M170" s="317"/>
      <c r="N170" s="317"/>
      <c r="O170" s="317"/>
      <c r="P170" s="115"/>
      <c r="Q170" s="115"/>
      <c r="R170" s="115"/>
      <c r="S170" s="115"/>
      <c r="T170" s="115"/>
      <c r="U170" s="115"/>
      <c r="V170" s="115"/>
      <c r="W170" s="115"/>
    </row>
    <row r="171" spans="1:23" ht="12.75" customHeight="1" x14ac:dyDescent="0.25">
      <c r="A171" s="336"/>
      <c r="B171" s="115"/>
      <c r="C171" s="115"/>
      <c r="D171" s="340"/>
      <c r="E171" s="340"/>
      <c r="F171" s="340"/>
      <c r="G171" s="334" t="s">
        <v>554</v>
      </c>
      <c r="H171" s="115"/>
      <c r="I171" s="115"/>
      <c r="J171" s="317"/>
      <c r="K171" s="317"/>
      <c r="L171" s="317"/>
      <c r="M171" s="317"/>
      <c r="N171" s="317"/>
      <c r="O171" s="317"/>
      <c r="P171" s="115"/>
      <c r="Q171" s="115"/>
      <c r="R171" s="115"/>
      <c r="S171" s="115"/>
      <c r="T171" s="115"/>
      <c r="U171" s="115"/>
      <c r="V171" s="115"/>
      <c r="W171" s="115"/>
    </row>
    <row r="172" spans="1:23" ht="12.75" customHeight="1" x14ac:dyDescent="0.25">
      <c r="A172" s="336">
        <f>D170</f>
        <v>616010</v>
      </c>
      <c r="B172" s="115" t="str">
        <f>G170</f>
        <v>Leges horeca (titel 3)</v>
      </c>
      <c r="C172" s="115"/>
      <c r="D172" s="337">
        <v>83700</v>
      </c>
      <c r="E172" s="337"/>
      <c r="F172" s="337"/>
      <c r="G172" s="319" t="s">
        <v>737</v>
      </c>
      <c r="H172" s="115"/>
      <c r="I172" s="115"/>
      <c r="J172" s="142">
        <v>-5833</v>
      </c>
      <c r="K172" s="1225">
        <v>-5985</v>
      </c>
      <c r="L172" s="1225">
        <f>L383</f>
        <v>-6111</v>
      </c>
      <c r="M172" s="1225">
        <f>M383</f>
        <v>-6252</v>
      </c>
      <c r="N172" s="1225">
        <f t="shared" ref="N172:O172" si="76">N383</f>
        <v>-6396</v>
      </c>
      <c r="O172" s="1225">
        <f t="shared" si="76"/>
        <v>-6543</v>
      </c>
      <c r="P172" s="115"/>
      <c r="Q172" s="115"/>
      <c r="R172" s="115"/>
      <c r="S172" s="115"/>
      <c r="T172" s="115"/>
      <c r="U172" s="115"/>
      <c r="V172" s="115"/>
      <c r="W172" s="115"/>
    </row>
    <row r="173" spans="1:23" ht="12.75" customHeight="1" thickBot="1" x14ac:dyDescent="0.3">
      <c r="A173" s="336"/>
      <c r="B173" s="115"/>
      <c r="C173" s="115"/>
      <c r="D173" s="340"/>
      <c r="E173" s="340"/>
      <c r="F173" s="340"/>
      <c r="G173" s="319" t="s">
        <v>536</v>
      </c>
      <c r="H173" s="115"/>
      <c r="I173" s="115"/>
      <c r="J173" s="342">
        <v>-5833</v>
      </c>
      <c r="K173" s="342">
        <v>-5985</v>
      </c>
      <c r="L173" s="342">
        <f>SUM(L171:L172)</f>
        <v>-6111</v>
      </c>
      <c r="M173" s="342">
        <f>SUM(M171:M172)</f>
        <v>-6252</v>
      </c>
      <c r="N173" s="342">
        <f>SUM(N171:N172)</f>
        <v>-6396</v>
      </c>
      <c r="O173" s="342">
        <f>SUM(O171:O172)</f>
        <v>-6543</v>
      </c>
      <c r="P173" s="115"/>
      <c r="Q173" s="115"/>
      <c r="R173" s="115"/>
      <c r="S173" s="115"/>
      <c r="T173" s="115"/>
      <c r="U173" s="115"/>
      <c r="V173" s="115"/>
      <c r="W173" s="115"/>
    </row>
    <row r="174" spans="1:23" ht="12.75" customHeight="1" thickTop="1" x14ac:dyDescent="0.25">
      <c r="A174" s="336"/>
      <c r="B174" s="115"/>
      <c r="C174" s="115"/>
      <c r="D174" s="340"/>
      <c r="E174" s="340"/>
      <c r="F174" s="340"/>
      <c r="G174" s="319"/>
      <c r="H174" s="115"/>
      <c r="I174" s="115"/>
      <c r="J174" s="317"/>
      <c r="K174" s="317"/>
      <c r="L174" s="317"/>
      <c r="M174" s="317"/>
      <c r="N174" s="317"/>
      <c r="O174" s="317"/>
      <c r="P174" s="115"/>
      <c r="Q174" s="115"/>
      <c r="R174" s="115"/>
      <c r="S174" s="115"/>
      <c r="T174" s="115"/>
      <c r="U174" s="115"/>
      <c r="V174" s="115"/>
      <c r="W174" s="115"/>
    </row>
    <row r="175" spans="1:23" ht="12.75" customHeight="1" x14ac:dyDescent="0.25">
      <c r="A175" s="336"/>
      <c r="B175" s="115"/>
      <c r="C175" s="115"/>
      <c r="D175" s="333">
        <v>616011</v>
      </c>
      <c r="E175" s="331"/>
      <c r="F175" s="331"/>
      <c r="G175" s="332" t="s">
        <v>2697</v>
      </c>
      <c r="H175" s="115"/>
      <c r="I175" s="115"/>
      <c r="J175" s="317"/>
      <c r="K175" s="317"/>
      <c r="L175" s="317"/>
      <c r="M175" s="317"/>
      <c r="N175" s="317"/>
      <c r="O175" s="317"/>
      <c r="P175" s="115"/>
      <c r="Q175" s="115"/>
      <c r="R175" s="115"/>
      <c r="S175" s="115"/>
      <c r="T175" s="115"/>
      <c r="U175" s="115"/>
      <c r="V175" s="115"/>
      <c r="W175" s="115"/>
    </row>
    <row r="176" spans="1:23" ht="12.75" customHeight="1" x14ac:dyDescent="0.25">
      <c r="A176" s="336"/>
      <c r="B176" s="115"/>
      <c r="C176" s="115"/>
      <c r="D176" s="340"/>
      <c r="E176" s="340"/>
      <c r="F176" s="340"/>
      <c r="G176" s="334" t="s">
        <v>554</v>
      </c>
      <c r="H176" s="115"/>
      <c r="I176" s="115"/>
      <c r="J176" s="317"/>
      <c r="K176" s="317"/>
      <c r="L176" s="317"/>
      <c r="M176" s="317"/>
      <c r="N176" s="317"/>
      <c r="O176" s="317"/>
      <c r="P176" s="115"/>
      <c r="Q176" s="115"/>
      <c r="R176" s="115"/>
      <c r="S176" s="115"/>
      <c r="T176" s="115"/>
      <c r="U176" s="115"/>
      <c r="V176" s="115"/>
      <c r="W176" s="115"/>
    </row>
    <row r="177" spans="1:23" ht="12.75" customHeight="1" x14ac:dyDescent="0.25">
      <c r="A177" s="336">
        <f>D175</f>
        <v>616011</v>
      </c>
      <c r="B177" s="115" t="str">
        <f>G175</f>
        <v>Leges evenementen (titel 3)</v>
      </c>
      <c r="C177" s="115"/>
      <c r="D177" s="337">
        <v>83700</v>
      </c>
      <c r="E177" s="337"/>
      <c r="F177" s="337"/>
      <c r="G177" s="319" t="s">
        <v>737</v>
      </c>
      <c r="H177" s="115"/>
      <c r="I177" s="115"/>
      <c r="J177" s="142">
        <v>-34997</v>
      </c>
      <c r="K177" s="1225">
        <v>-35907</v>
      </c>
      <c r="L177" s="1225">
        <f>L389</f>
        <v>-36661</v>
      </c>
      <c r="M177" s="1225">
        <f>M389</f>
        <v>-37504</v>
      </c>
      <c r="N177" s="1225">
        <f t="shared" ref="N177:O177" si="77">N389</f>
        <v>-38367</v>
      </c>
      <c r="O177" s="1225">
        <f t="shared" si="77"/>
        <v>-39249</v>
      </c>
      <c r="P177" s="115"/>
      <c r="Q177" s="115"/>
      <c r="R177" s="115"/>
      <c r="S177" s="115"/>
      <c r="T177" s="115"/>
      <c r="U177" s="115"/>
      <c r="V177" s="115"/>
      <c r="W177" s="115"/>
    </row>
    <row r="178" spans="1:23" ht="12.75" customHeight="1" thickBot="1" x14ac:dyDescent="0.3">
      <c r="A178" s="336"/>
      <c r="B178" s="115"/>
      <c r="C178" s="115"/>
      <c r="D178" s="340"/>
      <c r="E178" s="340"/>
      <c r="F178" s="340"/>
      <c r="G178" s="319" t="s">
        <v>536</v>
      </c>
      <c r="H178" s="115"/>
      <c r="I178" s="115"/>
      <c r="J178" s="342">
        <v>-34997</v>
      </c>
      <c r="K178" s="342">
        <v>-35907</v>
      </c>
      <c r="L178" s="342">
        <f>SUM(L176:L177)</f>
        <v>-36661</v>
      </c>
      <c r="M178" s="342">
        <f>SUM(M176:M177)</f>
        <v>-37504</v>
      </c>
      <c r="N178" s="342">
        <f>SUM(N176:N177)</f>
        <v>-38367</v>
      </c>
      <c r="O178" s="342">
        <f>SUM(O176:O177)</f>
        <v>-39249</v>
      </c>
      <c r="P178" s="115"/>
      <c r="Q178" s="115"/>
      <c r="R178" s="115"/>
      <c r="S178" s="115"/>
      <c r="T178" s="115"/>
      <c r="U178" s="115"/>
      <c r="V178" s="115"/>
      <c r="W178" s="115"/>
    </row>
    <row r="179" spans="1:23" ht="12.75" customHeight="1" thickTop="1" x14ac:dyDescent="0.25">
      <c r="A179" s="336"/>
      <c r="B179" s="115"/>
      <c r="C179" s="115"/>
      <c r="D179" s="340"/>
      <c r="E179" s="340"/>
      <c r="F179" s="340"/>
      <c r="G179" s="319"/>
      <c r="H179" s="115"/>
      <c r="I179" s="115"/>
      <c r="J179" s="317"/>
      <c r="K179" s="317"/>
      <c r="L179" s="317"/>
      <c r="M179" s="317"/>
      <c r="N179" s="317"/>
      <c r="O179" s="317"/>
      <c r="P179" s="115"/>
      <c r="Q179" s="115"/>
      <c r="R179" s="115"/>
      <c r="S179" s="115"/>
      <c r="T179" s="115"/>
      <c r="U179" s="115"/>
      <c r="V179" s="115"/>
      <c r="W179" s="115"/>
    </row>
    <row r="180" spans="1:23" ht="12.75" customHeight="1" x14ac:dyDescent="0.25">
      <c r="A180" s="336"/>
      <c r="B180" s="306"/>
      <c r="C180" s="306"/>
      <c r="D180" s="340"/>
      <c r="E180" s="340"/>
      <c r="F180" s="340"/>
      <c r="G180" s="319"/>
      <c r="H180" s="115"/>
      <c r="I180" s="115"/>
      <c r="J180" s="226"/>
      <c r="K180" s="225"/>
      <c r="L180" s="225"/>
      <c r="M180" s="225"/>
      <c r="N180" s="225"/>
      <c r="O180" s="225"/>
      <c r="P180" s="115"/>
      <c r="Q180" s="115"/>
      <c r="R180" s="115"/>
      <c r="S180" s="115"/>
      <c r="T180" s="115"/>
      <c r="U180" s="115"/>
      <c r="V180" s="115"/>
      <c r="W180" s="115"/>
    </row>
    <row r="181" spans="1:23" ht="12.75" customHeight="1" x14ac:dyDescent="0.25">
      <c r="A181" s="336"/>
      <c r="B181" s="115"/>
      <c r="C181" s="115"/>
      <c r="D181" s="333">
        <v>616008</v>
      </c>
      <c r="E181" s="331"/>
      <c r="F181" s="331"/>
      <c r="G181" s="1255" t="s">
        <v>2688</v>
      </c>
      <c r="H181" s="115"/>
      <c r="I181" s="115"/>
      <c r="J181" s="317"/>
      <c r="K181" s="317"/>
      <c r="L181" s="317"/>
      <c r="M181" s="317"/>
      <c r="N181" s="317"/>
      <c r="O181" s="317"/>
      <c r="P181" s="115"/>
      <c r="Q181" s="115"/>
      <c r="R181" s="115"/>
      <c r="S181" s="115"/>
      <c r="T181" s="115"/>
      <c r="U181" s="115"/>
      <c r="V181" s="115"/>
      <c r="W181" s="115"/>
    </row>
    <row r="182" spans="1:23" ht="12.75" customHeight="1" x14ac:dyDescent="0.25">
      <c r="A182" s="336"/>
      <c r="B182" s="115"/>
      <c r="C182" s="115"/>
      <c r="D182" s="340"/>
      <c r="E182" s="340"/>
      <c r="F182" s="340"/>
      <c r="G182" s="334" t="s">
        <v>554</v>
      </c>
      <c r="H182" s="115"/>
      <c r="I182" s="115"/>
      <c r="J182" s="317"/>
      <c r="K182" s="317"/>
      <c r="L182" s="317"/>
      <c r="M182" s="317"/>
      <c r="N182" s="317"/>
      <c r="O182" s="317"/>
      <c r="P182" s="115"/>
      <c r="Q182" s="115"/>
      <c r="R182" s="115"/>
      <c r="S182" s="115"/>
      <c r="T182" s="115"/>
      <c r="U182" s="115"/>
      <c r="V182" s="115"/>
      <c r="W182" s="115"/>
    </row>
    <row r="183" spans="1:23" ht="12.75" customHeight="1" x14ac:dyDescent="0.25">
      <c r="A183" s="1043">
        <f>D181</f>
        <v>616008</v>
      </c>
      <c r="B183" s="306" t="str">
        <f>G181</f>
        <v>Toepassing bestuursdwang ontruiming</v>
      </c>
      <c r="C183" s="490"/>
      <c r="D183" s="337">
        <v>83800</v>
      </c>
      <c r="E183" s="337"/>
      <c r="F183" s="337"/>
      <c r="G183" s="555" t="s">
        <v>535</v>
      </c>
      <c r="H183" s="115"/>
      <c r="I183" s="115"/>
      <c r="J183" s="1256">
        <v>-18725</v>
      </c>
      <c r="K183" s="1256">
        <v>-19212</v>
      </c>
      <c r="L183" s="1256">
        <f>-L135</f>
        <v>-19615</v>
      </c>
      <c r="M183" s="1256">
        <f>-M135</f>
        <v>-20066</v>
      </c>
      <c r="N183" s="1256">
        <f>-N135</f>
        <v>-20528</v>
      </c>
      <c r="O183" s="1256">
        <f>-O135</f>
        <v>-21000</v>
      </c>
      <c r="P183" s="115"/>
      <c r="Q183" s="115"/>
      <c r="R183" s="115"/>
      <c r="S183" s="115"/>
      <c r="T183" s="115"/>
      <c r="U183" s="115"/>
      <c r="V183" s="115"/>
      <c r="W183" s="115"/>
    </row>
    <row r="184" spans="1:23" ht="12.75" customHeight="1" x14ac:dyDescent="0.25">
      <c r="A184" s="336"/>
      <c r="B184" s="115"/>
      <c r="C184" s="115"/>
      <c r="D184" s="340"/>
      <c r="E184" s="340"/>
      <c r="F184" s="340"/>
      <c r="G184" s="319" t="s">
        <v>536</v>
      </c>
      <c r="H184" s="115"/>
      <c r="I184" s="115"/>
      <c r="J184" s="1872">
        <v>-18725</v>
      </c>
      <c r="K184" s="1873">
        <v>-19212</v>
      </c>
      <c r="L184" s="1873">
        <f>L183</f>
        <v>-19615</v>
      </c>
      <c r="M184" s="1873">
        <f>M183</f>
        <v>-20066</v>
      </c>
      <c r="N184" s="1873">
        <f>N183</f>
        <v>-20528</v>
      </c>
      <c r="O184" s="1873">
        <f>O183</f>
        <v>-21000</v>
      </c>
      <c r="P184" s="115"/>
      <c r="Q184" s="115"/>
      <c r="R184" s="115"/>
      <c r="S184" s="115"/>
      <c r="T184" s="115"/>
      <c r="U184" s="115"/>
      <c r="V184" s="115"/>
      <c r="W184" s="115"/>
    </row>
    <row r="185" spans="1:23" ht="12.75" customHeight="1" x14ac:dyDescent="0.25">
      <c r="A185" s="336"/>
      <c r="B185" s="306"/>
      <c r="C185" s="306"/>
      <c r="D185" s="340"/>
      <c r="E185" s="340"/>
      <c r="F185" s="340"/>
      <c r="G185" s="319"/>
      <c r="H185" s="115"/>
      <c r="I185" s="115"/>
      <c r="J185" s="317"/>
      <c r="K185" s="317"/>
      <c r="L185" s="317"/>
      <c r="M185" s="317"/>
      <c r="N185" s="317"/>
      <c r="O185" s="317"/>
      <c r="P185" s="115"/>
      <c r="Q185" s="115"/>
      <c r="R185" s="115"/>
      <c r="S185" s="115"/>
      <c r="T185" s="115"/>
      <c r="U185" s="115"/>
      <c r="V185" s="115"/>
      <c r="W185" s="115"/>
    </row>
    <row r="186" spans="1:23" ht="12.75" customHeight="1" x14ac:dyDescent="0.25">
      <c r="A186" s="336"/>
      <c r="B186" s="115"/>
      <c r="C186" s="115"/>
      <c r="D186" s="333">
        <v>616016</v>
      </c>
      <c r="E186" s="331"/>
      <c r="F186" s="331"/>
      <c r="G186" s="1255" t="s">
        <v>2689</v>
      </c>
      <c r="H186" s="115"/>
      <c r="I186" s="115"/>
      <c r="J186" s="335"/>
      <c r="K186" s="335"/>
      <c r="L186" s="335"/>
      <c r="M186" s="335"/>
      <c r="N186" s="335"/>
      <c r="O186" s="335"/>
      <c r="P186" s="115"/>
      <c r="Q186" s="115"/>
      <c r="R186" s="115"/>
      <c r="S186" s="115"/>
      <c r="T186" s="115"/>
      <c r="U186" s="115"/>
      <c r="V186" s="115"/>
      <c r="W186" s="115"/>
    </row>
    <row r="187" spans="1:23" ht="12.75" customHeight="1" x14ac:dyDescent="0.25">
      <c r="A187" s="336"/>
      <c r="B187" s="115"/>
      <c r="C187" s="115"/>
      <c r="D187" s="333"/>
      <c r="E187" s="331"/>
      <c r="F187" s="331"/>
      <c r="G187" s="334" t="s">
        <v>554</v>
      </c>
      <c r="H187" s="115"/>
      <c r="I187" s="115"/>
      <c r="J187" s="335"/>
      <c r="K187" s="335"/>
      <c r="L187" s="335"/>
      <c r="M187" s="335"/>
      <c r="N187" s="335"/>
      <c r="O187" s="335"/>
      <c r="P187" s="115"/>
      <c r="Q187" s="115"/>
      <c r="R187" s="115"/>
      <c r="S187" s="115"/>
      <c r="T187" s="115"/>
      <c r="U187" s="115"/>
      <c r="V187" s="115"/>
      <c r="W187" s="115"/>
    </row>
    <row r="188" spans="1:23" ht="12.75" customHeight="1" x14ac:dyDescent="0.25">
      <c r="A188" s="1043">
        <f>D186</f>
        <v>616016</v>
      </c>
      <c r="B188" s="306" t="str">
        <f>G186</f>
        <v>Ondermijning en bibob</v>
      </c>
      <c r="C188" s="490"/>
      <c r="D188" s="337">
        <v>83520</v>
      </c>
      <c r="E188" s="337"/>
      <c r="F188" s="337"/>
      <c r="G188" s="319" t="s">
        <v>1115</v>
      </c>
      <c r="H188" s="115"/>
      <c r="I188" s="115"/>
      <c r="J188" s="1256">
        <v>-92803</v>
      </c>
      <c r="K188" s="1256">
        <v>-94659</v>
      </c>
      <c r="L188" s="1256">
        <f t="shared" ref="L188:M188" si="78">L404</f>
        <v>-98635</v>
      </c>
      <c r="M188" s="1256">
        <f t="shared" si="78"/>
        <v>-102284</v>
      </c>
      <c r="N188" s="1256">
        <f t="shared" ref="N188:O188" si="79">N404</f>
        <v>-106069</v>
      </c>
      <c r="O188" s="1256">
        <f t="shared" si="79"/>
        <v>-109994</v>
      </c>
      <c r="P188" s="115"/>
      <c r="Q188" s="115"/>
      <c r="R188" s="115"/>
      <c r="S188" s="115"/>
      <c r="T188" s="115"/>
      <c r="U188" s="115"/>
      <c r="V188" s="115"/>
      <c r="W188" s="115"/>
    </row>
    <row r="189" spans="1:23" ht="12.75" customHeight="1" thickBot="1" x14ac:dyDescent="0.3">
      <c r="A189" s="336"/>
      <c r="B189" s="115"/>
      <c r="C189" s="115"/>
      <c r="D189" s="340"/>
      <c r="E189" s="340"/>
      <c r="F189" s="340"/>
      <c r="G189" s="319" t="s">
        <v>536</v>
      </c>
      <c r="H189" s="115"/>
      <c r="I189" s="115"/>
      <c r="J189" s="342">
        <v>-92803</v>
      </c>
      <c r="K189" s="342">
        <v>-94659</v>
      </c>
      <c r="L189" s="342">
        <f>SUM(L187:L188)</f>
        <v>-98635</v>
      </c>
      <c r="M189" s="342">
        <f>SUM(M187:M188)</f>
        <v>-102284</v>
      </c>
      <c r="N189" s="342">
        <f>SUM(N187:N188)</f>
        <v>-106069</v>
      </c>
      <c r="O189" s="342">
        <f>SUM(O187:O188)</f>
        <v>-109994</v>
      </c>
      <c r="P189" s="115"/>
      <c r="Q189" s="115"/>
      <c r="R189" s="115"/>
      <c r="S189" s="115"/>
      <c r="T189" s="115"/>
      <c r="U189" s="115"/>
      <c r="V189" s="115"/>
      <c r="W189" s="115"/>
    </row>
    <row r="190" spans="1:23" ht="12.75" customHeight="1" thickTop="1" x14ac:dyDescent="0.25">
      <c r="A190" s="336"/>
      <c r="B190" s="306"/>
      <c r="C190" s="306"/>
      <c r="D190" s="167"/>
      <c r="E190" s="167"/>
      <c r="F190" s="167"/>
      <c r="G190" s="168"/>
      <c r="H190" s="149"/>
      <c r="I190" s="149"/>
      <c r="J190" s="142"/>
      <c r="K190" s="142"/>
      <c r="L190" s="142"/>
      <c r="M190" s="142"/>
      <c r="N190" s="142"/>
      <c r="O190" s="142"/>
      <c r="P190" s="115"/>
      <c r="Q190" s="115"/>
      <c r="R190" s="115"/>
      <c r="S190" s="115"/>
      <c r="T190" s="115"/>
      <c r="U190" s="115"/>
      <c r="V190" s="115"/>
      <c r="W190" s="115"/>
    </row>
    <row r="191" spans="1:23" ht="12.75" customHeight="1" x14ac:dyDescent="0.25">
      <c r="A191" s="336"/>
      <c r="B191" s="306"/>
      <c r="C191" s="306"/>
      <c r="D191" s="1055"/>
      <c r="E191" s="1055"/>
      <c r="F191" s="1055"/>
      <c r="G191" s="322"/>
      <c r="H191" s="322"/>
      <c r="I191" s="115"/>
      <c r="J191" s="114"/>
      <c r="K191" s="114"/>
      <c r="L191" s="114"/>
      <c r="M191" s="114"/>
      <c r="N191" s="114"/>
      <c r="O191" s="114"/>
      <c r="P191" s="115"/>
      <c r="Q191" s="115"/>
      <c r="R191" s="115"/>
      <c r="S191" s="115"/>
      <c r="T191" s="115"/>
      <c r="U191" s="115"/>
      <c r="V191" s="115"/>
      <c r="W191" s="115"/>
    </row>
    <row r="192" spans="1:23" ht="12.75" customHeight="1" x14ac:dyDescent="0.25">
      <c r="A192" s="336"/>
      <c r="B192" s="306"/>
      <c r="C192" s="306"/>
      <c r="D192" s="384"/>
      <c r="E192" s="384"/>
      <c r="F192" s="384"/>
      <c r="G192" s="115"/>
      <c r="H192" s="115"/>
      <c r="I192" s="115"/>
      <c r="J192" s="114"/>
      <c r="K192" s="114"/>
      <c r="L192" s="114"/>
      <c r="M192" s="114"/>
      <c r="N192" s="114"/>
      <c r="O192" s="114"/>
      <c r="P192" s="115"/>
      <c r="Q192" s="115"/>
      <c r="R192" s="115"/>
      <c r="S192" s="115"/>
      <c r="T192" s="115"/>
      <c r="U192" s="115"/>
      <c r="V192" s="115"/>
      <c r="W192" s="115"/>
    </row>
    <row r="193" spans="1:23" ht="12.75" customHeight="1" x14ac:dyDescent="0.25">
      <c r="A193" s="336"/>
      <c r="B193" s="306"/>
      <c r="C193" s="306"/>
      <c r="D193" s="428" t="s">
        <v>561</v>
      </c>
      <c r="E193" s="384"/>
      <c r="F193" s="384"/>
      <c r="G193" s="383"/>
      <c r="H193" s="115"/>
      <c r="I193" s="115"/>
      <c r="J193" s="114"/>
      <c r="K193" s="114"/>
      <c r="L193" s="114"/>
      <c r="M193" s="114"/>
      <c r="N193" s="114"/>
      <c r="O193" s="114"/>
      <c r="P193" s="115"/>
      <c r="Q193" s="115"/>
      <c r="R193" s="115"/>
      <c r="S193" s="115"/>
      <c r="T193" s="115"/>
      <c r="U193" s="115"/>
      <c r="V193" s="115"/>
      <c r="W193" s="115"/>
    </row>
    <row r="194" spans="1:23" ht="12.75" customHeight="1" x14ac:dyDescent="0.25">
      <c r="A194" s="336"/>
      <c r="B194" s="306"/>
      <c r="C194" s="306"/>
      <c r="D194" s="384"/>
      <c r="E194" s="384"/>
      <c r="F194" s="384"/>
      <c r="G194" s="115"/>
      <c r="H194" s="115"/>
      <c r="I194" s="115"/>
      <c r="J194" s="114"/>
      <c r="K194" s="114"/>
      <c r="L194" s="114"/>
      <c r="M194" s="114"/>
      <c r="N194" s="114"/>
      <c r="O194" s="114"/>
    </row>
    <row r="195" spans="1:23" ht="12.75" customHeight="1" x14ac:dyDescent="0.25">
      <c r="A195" s="336"/>
      <c r="B195" s="306"/>
      <c r="C195" s="306"/>
      <c r="D195" s="393">
        <f>D81</f>
        <v>616001</v>
      </c>
      <c r="E195" s="393"/>
      <c r="F195" s="381" t="str">
        <f>G81</f>
        <v>Voorzieningen voor BOA's</v>
      </c>
      <c r="G195" s="115"/>
      <c r="H195" s="114"/>
      <c r="I195" s="114"/>
      <c r="J195" s="115"/>
      <c r="K195" s="115"/>
      <c r="L195" s="115"/>
      <c r="M195" s="115"/>
      <c r="N195" s="115"/>
      <c r="O195" s="115"/>
    </row>
    <row r="196" spans="1:23" ht="12.75" customHeight="1" x14ac:dyDescent="0.25">
      <c r="A196" s="336"/>
      <c r="B196" s="306"/>
      <c r="C196" s="306"/>
      <c r="D196" s="393"/>
      <c r="E196" s="393"/>
      <c r="F196" s="2510" t="s">
        <v>2698</v>
      </c>
      <c r="G196" s="2510"/>
      <c r="H196" s="2510"/>
      <c r="I196" s="2510"/>
      <c r="J196" s="2510"/>
      <c r="K196" s="2510"/>
      <c r="L196" s="2510"/>
      <c r="M196" s="115"/>
      <c r="N196" s="115"/>
      <c r="O196" s="115"/>
    </row>
    <row r="197" spans="1:23" ht="12.75" customHeight="1" x14ac:dyDescent="0.25">
      <c r="A197" s="336"/>
      <c r="B197" s="306"/>
      <c r="C197" s="306"/>
      <c r="D197" s="393"/>
      <c r="E197" s="393"/>
      <c r="F197" s="2510"/>
      <c r="G197" s="2510"/>
      <c r="H197" s="2510"/>
      <c r="I197" s="2510"/>
      <c r="J197" s="2510"/>
      <c r="K197" s="2510"/>
      <c r="L197" s="2510"/>
      <c r="M197" s="115"/>
      <c r="N197" s="115"/>
      <c r="O197" s="115"/>
    </row>
    <row r="198" spans="1:23" ht="12.75" customHeight="1" x14ac:dyDescent="0.25">
      <c r="A198" s="336"/>
      <c r="B198" s="306"/>
      <c r="C198" s="306"/>
      <c r="D198" s="384"/>
      <c r="E198" s="384"/>
      <c r="F198" s="2510" t="s">
        <v>2699</v>
      </c>
      <c r="G198" s="2510"/>
      <c r="H198" s="2510"/>
      <c r="I198" s="2510"/>
      <c r="J198" s="2510"/>
      <c r="K198" s="2510"/>
      <c r="L198" s="2510"/>
      <c r="M198" s="2510"/>
      <c r="N198" s="115"/>
      <c r="O198" s="115"/>
    </row>
    <row r="199" spans="1:23" ht="12.75" customHeight="1" x14ac:dyDescent="0.25">
      <c r="A199" s="336"/>
      <c r="B199" s="306"/>
      <c r="C199" s="306"/>
      <c r="D199" s="384"/>
      <c r="E199" s="384"/>
      <c r="F199" s="2510"/>
      <c r="G199" s="2510"/>
      <c r="H199" s="2510"/>
      <c r="I199" s="2510"/>
      <c r="J199" s="2510"/>
      <c r="K199" s="2510"/>
      <c r="L199" s="2510"/>
      <c r="M199" s="2510"/>
      <c r="N199" s="115"/>
      <c r="O199" s="115"/>
    </row>
    <row r="200" spans="1:23" ht="12.75" customHeight="1" x14ac:dyDescent="0.25">
      <c r="A200" s="336"/>
      <c r="B200" s="306"/>
      <c r="C200" s="306"/>
      <c r="D200" s="384"/>
      <c r="E200" s="384"/>
      <c r="F200" s="2510"/>
      <c r="G200" s="2510"/>
      <c r="H200" s="2510"/>
      <c r="I200" s="2510"/>
      <c r="J200" s="2510"/>
      <c r="K200" s="2510"/>
      <c r="L200" s="2510"/>
      <c r="M200" s="2510"/>
      <c r="N200" s="115"/>
      <c r="O200" s="115"/>
    </row>
    <row r="201" spans="1:23" ht="12.75" customHeight="1" x14ac:dyDescent="0.25">
      <c r="A201" s="336"/>
      <c r="B201" s="306"/>
      <c r="C201" s="306"/>
      <c r="D201" s="384"/>
      <c r="E201" s="384"/>
      <c r="F201" s="1262"/>
      <c r="G201" s="1262"/>
      <c r="H201" s="1262"/>
      <c r="I201" s="1262"/>
      <c r="J201" s="115"/>
      <c r="K201" s="115"/>
      <c r="L201" s="115"/>
      <c r="M201" s="115"/>
      <c r="N201" s="115"/>
      <c r="O201" s="115"/>
    </row>
    <row r="202" spans="1:23" ht="12.75" customHeight="1" x14ac:dyDescent="0.25">
      <c r="A202" s="336"/>
      <c r="B202" s="306"/>
      <c r="C202" s="306"/>
      <c r="D202" s="419"/>
      <c r="E202" s="419"/>
      <c r="F202" s="2556" t="s">
        <v>2700</v>
      </c>
      <c r="G202" s="2556"/>
      <c r="H202" s="115"/>
      <c r="I202" s="115"/>
      <c r="J202" s="115"/>
      <c r="K202" s="115"/>
      <c r="L202" s="115"/>
      <c r="M202" s="115"/>
      <c r="N202" s="115"/>
      <c r="O202" s="115"/>
    </row>
    <row r="203" spans="1:23" ht="12.75" customHeight="1" x14ac:dyDescent="0.25">
      <c r="A203" s="336"/>
      <c r="B203" s="306"/>
      <c r="C203" s="306"/>
      <c r="D203" s="1263"/>
      <c r="E203" s="1263"/>
      <c r="F203" s="530" t="s">
        <v>2701</v>
      </c>
      <c r="G203" s="401"/>
      <c r="H203" s="401"/>
      <c r="I203" s="401"/>
      <c r="J203" s="115"/>
      <c r="K203" s="115"/>
      <c r="L203" s="115"/>
      <c r="M203" s="115"/>
      <c r="N203" s="115"/>
      <c r="O203" s="115"/>
    </row>
    <row r="204" spans="1:23" s="1264" customFormat="1" ht="12.75" customHeight="1" x14ac:dyDescent="0.25">
      <c r="A204" s="336"/>
      <c r="B204" s="306"/>
      <c r="C204" s="306"/>
      <c r="D204" s="384"/>
      <c r="E204" s="384"/>
      <c r="F204" s="530" t="s">
        <v>2702</v>
      </c>
      <c r="G204" s="401"/>
      <c r="H204" s="115"/>
      <c r="I204" s="115"/>
      <c r="J204" s="115"/>
      <c r="K204" s="115"/>
      <c r="L204" s="115"/>
      <c r="M204" s="115"/>
      <c r="N204" s="115"/>
      <c r="O204" s="115"/>
    </row>
    <row r="205" spans="1:23" s="1264" customFormat="1" ht="12.75" customHeight="1" x14ac:dyDescent="0.25">
      <c r="A205" s="336"/>
      <c r="B205" s="306"/>
      <c r="C205" s="306"/>
      <c r="D205" s="384"/>
      <c r="E205" s="384"/>
      <c r="F205" s="530" t="s">
        <v>2703</v>
      </c>
      <c r="G205" s="401"/>
      <c r="H205" s="115"/>
      <c r="I205" s="115"/>
      <c r="J205" s="115"/>
      <c r="K205" s="115"/>
      <c r="L205" s="115"/>
      <c r="M205" s="115"/>
      <c r="N205" s="115"/>
      <c r="O205" s="115"/>
    </row>
    <row r="206" spans="1:23" s="1264" customFormat="1" ht="12.75" customHeight="1" x14ac:dyDescent="0.25">
      <c r="A206" s="336"/>
      <c r="B206" s="306"/>
      <c r="C206" s="306"/>
      <c r="D206" s="384"/>
      <c r="E206" s="384"/>
      <c r="F206" s="530" t="s">
        <v>2704</v>
      </c>
      <c r="G206" s="401"/>
      <c r="H206" s="401"/>
      <c r="I206" s="401"/>
      <c r="J206" s="115"/>
      <c r="K206" s="115"/>
      <c r="L206" s="115"/>
      <c r="M206" s="115"/>
      <c r="N206" s="115"/>
      <c r="O206" s="115"/>
    </row>
    <row r="207" spans="1:23" s="1264" customFormat="1" ht="12.75" customHeight="1" x14ac:dyDescent="0.25">
      <c r="A207" s="336"/>
      <c r="B207" s="306"/>
      <c r="C207" s="306"/>
      <c r="D207" s="384"/>
      <c r="E207" s="384"/>
      <c r="F207" s="530" t="s">
        <v>2705</v>
      </c>
      <c r="G207" s="401"/>
      <c r="H207" s="115"/>
      <c r="I207" s="115"/>
      <c r="J207" s="115"/>
      <c r="K207" s="115"/>
      <c r="L207" s="115"/>
      <c r="M207" s="115"/>
      <c r="N207" s="115"/>
      <c r="O207" s="115"/>
    </row>
    <row r="208" spans="1:23" s="1264" customFormat="1" ht="12.75" customHeight="1" x14ac:dyDescent="0.25">
      <c r="A208" s="336"/>
      <c r="B208" s="306"/>
      <c r="C208" s="306"/>
      <c r="D208" s="384"/>
      <c r="E208" s="384"/>
      <c r="F208" s="2556"/>
      <c r="G208" s="2556"/>
      <c r="H208" s="486"/>
      <c r="I208" s="486"/>
      <c r="J208" s="407">
        <v>2025</v>
      </c>
      <c r="K208" s="407">
        <v>2026</v>
      </c>
      <c r="L208" s="407">
        <v>2027</v>
      </c>
      <c r="M208" s="407">
        <v>2028</v>
      </c>
      <c r="N208" s="407">
        <v>2029</v>
      </c>
      <c r="O208" s="407">
        <v>2030</v>
      </c>
    </row>
    <row r="209" spans="1:16" s="1264" customFormat="1" ht="12.75" customHeight="1" x14ac:dyDescent="0.25">
      <c r="A209" s="336"/>
      <c r="B209" s="306"/>
      <c r="C209" s="306"/>
      <c r="D209" s="384"/>
      <c r="E209" s="384"/>
      <c r="F209" s="563"/>
      <c r="G209" s="399"/>
      <c r="H209" s="115"/>
      <c r="I209" s="115"/>
      <c r="J209" s="115"/>
      <c r="K209" s="115"/>
      <c r="L209" s="115"/>
      <c r="M209" s="115"/>
      <c r="N209" s="115"/>
      <c r="O209" s="115"/>
    </row>
    <row r="210" spans="1:16" s="1264" customFormat="1" ht="12.75" customHeight="1" x14ac:dyDescent="0.25">
      <c r="A210" s="336"/>
      <c r="B210" s="306"/>
      <c r="C210" s="306"/>
      <c r="D210" s="384">
        <v>43803</v>
      </c>
      <c r="E210" s="384"/>
      <c r="F210" s="401" t="s">
        <v>2706</v>
      </c>
      <c r="G210" s="399"/>
      <c r="H210" s="115"/>
      <c r="I210" s="115"/>
      <c r="J210" s="1265">
        <v>2500</v>
      </c>
      <c r="K210" s="1266">
        <v>2570</v>
      </c>
      <c r="L210" s="1266">
        <f>ROUND(K210*T$2,-1)</f>
        <v>2620</v>
      </c>
      <c r="M210" s="1266">
        <f>ROUND(L210*U$2,-1)</f>
        <v>2680</v>
      </c>
      <c r="N210" s="1266">
        <f>ROUND(M210*V$2,-1)</f>
        <v>2740</v>
      </c>
      <c r="O210" s="1266">
        <f>ROUND(N210*W$2,-1)</f>
        <v>2800</v>
      </c>
      <c r="P210" s="401"/>
    </row>
    <row r="211" spans="1:16" s="1264" customFormat="1" ht="12.75" customHeight="1" thickBot="1" x14ac:dyDescent="0.3">
      <c r="A211" s="336"/>
      <c r="B211" s="306"/>
      <c r="C211" s="306"/>
      <c r="D211" s="384"/>
      <c r="E211" s="384"/>
      <c r="F211" s="563"/>
      <c r="G211" s="399"/>
      <c r="H211" s="115"/>
      <c r="I211" s="115"/>
      <c r="J211" s="1874">
        <v>2500</v>
      </c>
      <c r="K211" s="1874">
        <v>2570</v>
      </c>
      <c r="L211" s="1874">
        <f t="shared" ref="L211:M211" si="80">SUM(L210)</f>
        <v>2620</v>
      </c>
      <c r="M211" s="1874">
        <f t="shared" si="80"/>
        <v>2680</v>
      </c>
      <c r="N211" s="1874">
        <f t="shared" ref="N211:O211" si="81">SUM(N210)</f>
        <v>2740</v>
      </c>
      <c r="O211" s="1874">
        <f t="shared" si="81"/>
        <v>2800</v>
      </c>
      <c r="P211" s="401"/>
    </row>
    <row r="212" spans="1:16" s="1264" customFormat="1" ht="12.75" customHeight="1" thickTop="1" x14ac:dyDescent="0.25">
      <c r="A212" s="336"/>
      <c r="B212" s="306"/>
      <c r="C212" s="306"/>
      <c r="D212" s="384"/>
      <c r="E212" s="384"/>
      <c r="F212" s="563"/>
      <c r="G212" s="399"/>
      <c r="H212" s="115"/>
      <c r="I212" s="115"/>
      <c r="J212" s="115"/>
      <c r="K212" s="115"/>
      <c r="L212" s="115"/>
      <c r="M212" s="115"/>
      <c r="N212" s="115"/>
      <c r="O212" s="115"/>
      <c r="P212" s="401"/>
    </row>
    <row r="213" spans="1:16" s="1264" customFormat="1" ht="12.75" customHeight="1" x14ac:dyDescent="0.25">
      <c r="A213" s="336"/>
      <c r="B213" s="306"/>
      <c r="C213" s="306"/>
      <c r="D213" s="384"/>
      <c r="E213" s="384"/>
      <c r="F213" s="563"/>
      <c r="G213" s="399"/>
      <c r="H213" s="115"/>
      <c r="I213" s="115"/>
      <c r="J213" s="115"/>
      <c r="K213" s="115"/>
      <c r="L213" s="115"/>
      <c r="M213" s="115"/>
      <c r="N213" s="115"/>
      <c r="O213" s="115"/>
      <c r="P213" s="401"/>
    </row>
    <row r="214" spans="1:16" s="1264" customFormat="1" ht="12.75" customHeight="1" x14ac:dyDescent="0.25">
      <c r="A214" s="336"/>
      <c r="B214" s="306"/>
      <c r="C214" s="306"/>
      <c r="D214" s="143">
        <v>43805</v>
      </c>
      <c r="E214" s="143"/>
      <c r="F214" s="1267" t="s">
        <v>2707</v>
      </c>
      <c r="G214" s="1267"/>
      <c r="H214" s="558"/>
      <c r="I214" s="558"/>
      <c r="J214" s="641">
        <v>4784</v>
      </c>
      <c r="K214" s="641">
        <v>5580</v>
      </c>
      <c r="L214" s="641">
        <f>ROUND(K214*T2,-1)</f>
        <v>5700</v>
      </c>
      <c r="M214" s="641">
        <f>ROUND(L214*U2,-1)</f>
        <v>5830</v>
      </c>
      <c r="N214" s="641">
        <f>ROUND(M214*V2,-1)</f>
        <v>5960</v>
      </c>
      <c r="O214" s="641">
        <f>ROUND(N214*W2,-1)</f>
        <v>6100</v>
      </c>
      <c r="P214" s="1267"/>
    </row>
    <row r="215" spans="1:16" s="1264" customFormat="1" ht="12.75" customHeight="1" thickBot="1" x14ac:dyDescent="0.3">
      <c r="A215" s="336"/>
      <c r="B215" s="306"/>
      <c r="C215" s="306"/>
      <c r="D215" s="143"/>
      <c r="E215" s="143"/>
      <c r="F215" s="1267"/>
      <c r="G215" s="1267"/>
      <c r="H215" s="558"/>
      <c r="I215" s="558"/>
      <c r="J215" s="1268">
        <v>4784</v>
      </c>
      <c r="K215" s="1268">
        <v>5580</v>
      </c>
      <c r="L215" s="1268">
        <f t="shared" ref="L215:M215" si="82">L214</f>
        <v>5700</v>
      </c>
      <c r="M215" s="1268">
        <f t="shared" si="82"/>
        <v>5830</v>
      </c>
      <c r="N215" s="1268">
        <f t="shared" ref="N215:O215" si="83">N214</f>
        <v>5960</v>
      </c>
      <c r="O215" s="1268">
        <f t="shared" si="83"/>
        <v>6100</v>
      </c>
      <c r="P215" s="1267"/>
    </row>
    <row r="216" spans="1:16" s="1264" customFormat="1" ht="12.75" customHeight="1" thickTop="1" x14ac:dyDescent="0.25">
      <c r="A216" s="336"/>
      <c r="B216" s="306"/>
      <c r="C216" s="306"/>
      <c r="D216" s="384"/>
      <c r="E216" s="384"/>
      <c r="F216" s="1269"/>
      <c r="G216" s="1267"/>
      <c r="H216" s="558"/>
      <c r="I216" s="558"/>
      <c r="J216" s="558"/>
      <c r="K216" s="558"/>
      <c r="L216" s="558"/>
      <c r="M216" s="558"/>
      <c r="N216" s="558"/>
      <c r="O216" s="558"/>
      <c r="P216" s="401"/>
    </row>
    <row r="217" spans="1:16" s="1264" customFormat="1" ht="12.75" customHeight="1" x14ac:dyDescent="0.25">
      <c r="A217" s="336"/>
      <c r="B217" s="306"/>
      <c r="C217" s="306"/>
      <c r="D217" s="143">
        <v>43812</v>
      </c>
      <c r="E217" s="143"/>
      <c r="F217" s="1267" t="s">
        <v>1702</v>
      </c>
      <c r="G217" s="1267"/>
      <c r="H217" s="486"/>
      <c r="I217" s="486"/>
      <c r="J217" s="1105"/>
      <c r="K217" s="1105"/>
      <c r="L217" s="1105"/>
      <c r="M217" s="1105"/>
      <c r="N217" s="1105"/>
      <c r="O217" s="1105"/>
      <c r="P217" s="1267"/>
    </row>
    <row r="218" spans="1:16" s="1264" customFormat="1" ht="12.75" customHeight="1" x14ac:dyDescent="0.25">
      <c r="A218" s="336"/>
      <c r="B218" s="306"/>
      <c r="C218" s="306"/>
      <c r="D218" s="143"/>
      <c r="E218" s="143"/>
      <c r="F218" s="1269" t="s">
        <v>2708</v>
      </c>
      <c r="G218" s="1267"/>
      <c r="H218" s="424"/>
      <c r="I218" s="424"/>
      <c r="J218" s="394">
        <v>6880</v>
      </c>
      <c r="K218" s="558">
        <v>7059</v>
      </c>
      <c r="L218" s="558">
        <f>ROUND(K218*T$2,0)</f>
        <v>7207</v>
      </c>
      <c r="M218" s="558">
        <f>ROUND(L218*U$2,0)</f>
        <v>7373</v>
      </c>
      <c r="N218" s="558">
        <f>ROUND(M218*V$2,0)</f>
        <v>7543</v>
      </c>
      <c r="O218" s="558">
        <f>ROUND(N218*W$2,0)</f>
        <v>7716</v>
      </c>
      <c r="P218" s="1267"/>
    </row>
    <row r="219" spans="1:16" s="1264" customFormat="1" ht="12.75" customHeight="1" x14ac:dyDescent="0.25">
      <c r="A219" s="336"/>
      <c r="B219" s="306"/>
      <c r="C219" s="306"/>
      <c r="D219" s="143"/>
      <c r="E219" s="143"/>
      <c r="F219" s="1269" t="s">
        <v>2709</v>
      </c>
      <c r="G219" s="1267"/>
      <c r="H219" s="424"/>
      <c r="I219" s="424"/>
      <c r="J219" s="394">
        <v>0</v>
      </c>
      <c r="K219" s="394">
        <v>5445</v>
      </c>
      <c r="L219" s="394">
        <v>0</v>
      </c>
      <c r="M219" s="394">
        <v>0</v>
      </c>
      <c r="N219" s="394">
        <v>0</v>
      </c>
      <c r="O219" s="394">
        <v>0</v>
      </c>
      <c r="P219" s="1267"/>
    </row>
    <row r="220" spans="1:16" s="1264" customFormat="1" ht="12.75" customHeight="1" x14ac:dyDescent="0.25">
      <c r="A220" s="336"/>
      <c r="B220" s="306"/>
      <c r="C220" s="306"/>
      <c r="D220" s="143"/>
      <c r="E220" s="143"/>
      <c r="F220" s="1269" t="s">
        <v>2710</v>
      </c>
      <c r="G220" s="1267"/>
      <c r="H220" s="424"/>
      <c r="I220" s="424"/>
      <c r="J220" s="394">
        <v>2985</v>
      </c>
      <c r="K220" s="558">
        <v>3185</v>
      </c>
      <c r="L220" s="558">
        <f t="shared" ref="L220:O222" si="84">ROUND(K220*T$2,0)</f>
        <v>3252</v>
      </c>
      <c r="M220" s="558">
        <f t="shared" si="84"/>
        <v>3327</v>
      </c>
      <c r="N220" s="558">
        <f t="shared" si="84"/>
        <v>3404</v>
      </c>
      <c r="O220" s="558">
        <f t="shared" si="84"/>
        <v>3482</v>
      </c>
      <c r="P220" s="1267"/>
    </row>
    <row r="221" spans="1:16" s="1264" customFormat="1" ht="12.75" customHeight="1" x14ac:dyDescent="0.25">
      <c r="A221" s="336"/>
      <c r="B221" s="306"/>
      <c r="C221" s="306"/>
      <c r="D221" s="411"/>
      <c r="E221" s="411"/>
      <c r="F221" s="1269" t="s">
        <v>2711</v>
      </c>
      <c r="G221" s="1267"/>
      <c r="H221" s="558"/>
      <c r="I221" s="558"/>
      <c r="J221" s="558">
        <v>5592.32</v>
      </c>
      <c r="K221" s="558">
        <v>5000</v>
      </c>
      <c r="L221" s="558">
        <f t="shared" si="84"/>
        <v>5105</v>
      </c>
      <c r="M221" s="558">
        <f t="shared" si="84"/>
        <v>5222</v>
      </c>
      <c r="N221" s="558">
        <f t="shared" si="84"/>
        <v>5342</v>
      </c>
      <c r="O221" s="558">
        <f t="shared" si="84"/>
        <v>5465</v>
      </c>
      <c r="P221" s="401"/>
    </row>
    <row r="222" spans="1:16" s="1264" customFormat="1" ht="12.75" customHeight="1" x14ac:dyDescent="0.25">
      <c r="A222" s="336"/>
      <c r="B222" s="306"/>
      <c r="C222" s="306"/>
      <c r="D222" s="411"/>
      <c r="E222" s="411"/>
      <c r="F222" s="1269" t="s">
        <v>2712</v>
      </c>
      <c r="G222" s="1267"/>
      <c r="H222" s="558"/>
      <c r="I222" s="558"/>
      <c r="J222" s="558">
        <v>1414</v>
      </c>
      <c r="K222" s="558">
        <v>1451</v>
      </c>
      <c r="L222" s="558">
        <f t="shared" si="84"/>
        <v>1481</v>
      </c>
      <c r="M222" s="558">
        <f t="shared" si="84"/>
        <v>1515</v>
      </c>
      <c r="N222" s="558">
        <f t="shared" si="84"/>
        <v>1550</v>
      </c>
      <c r="O222" s="558">
        <f t="shared" si="84"/>
        <v>1586</v>
      </c>
      <c r="P222" s="401"/>
    </row>
    <row r="223" spans="1:16" s="1264" customFormat="1" ht="12.75" customHeight="1" x14ac:dyDescent="0.25">
      <c r="A223" s="336"/>
      <c r="B223" s="306"/>
      <c r="C223" s="306"/>
      <c r="D223" s="1270"/>
      <c r="E223" s="1270"/>
      <c r="F223" s="530" t="s">
        <v>2713</v>
      </c>
      <c r="G223" s="401"/>
      <c r="H223" s="401"/>
      <c r="I223" s="401"/>
      <c r="J223" s="1271" t="s">
        <v>1916</v>
      </c>
      <c r="K223" s="1057">
        <v>6000</v>
      </c>
      <c r="L223" s="558">
        <f t="shared" ref="L223" si="85">ROUND(K223*T$2,0)</f>
        <v>6126</v>
      </c>
      <c r="M223" s="558">
        <f t="shared" ref="M223" si="86">ROUND(L223*U$2,0)</f>
        <v>6267</v>
      </c>
      <c r="N223" s="558">
        <f t="shared" ref="N223:O223" si="87">ROUND(M223*V$2,0)</f>
        <v>6411</v>
      </c>
      <c r="O223" s="558">
        <f t="shared" si="87"/>
        <v>6558</v>
      </c>
      <c r="P223" s="401"/>
    </row>
    <row r="224" spans="1:16" s="1264" customFormat="1" ht="12.75" customHeight="1" x14ac:dyDescent="0.25">
      <c r="A224" s="336"/>
      <c r="B224" s="306"/>
      <c r="C224" s="306"/>
      <c r="D224" s="1270"/>
      <c r="E224" s="1270"/>
      <c r="F224" s="1269" t="s">
        <v>2714</v>
      </c>
      <c r="G224" s="1267"/>
      <c r="H224" s="558"/>
      <c r="I224" s="558"/>
      <c r="J224" s="558">
        <v>1000</v>
      </c>
      <c r="K224" s="558">
        <v>0</v>
      </c>
      <c r="L224" s="558">
        <f>ROUND(K224*T$2,0)</f>
        <v>0</v>
      </c>
      <c r="M224" s="558">
        <f>ROUND(L224*U$2,0)</f>
        <v>0</v>
      </c>
      <c r="N224" s="558">
        <f>ROUND(M224*V$2,0)</f>
        <v>0</v>
      </c>
      <c r="O224" s="558">
        <f>ROUND(N224*W$2,0)</f>
        <v>0</v>
      </c>
      <c r="P224" s="401"/>
    </row>
    <row r="225" spans="1:16" s="1264" customFormat="1" ht="12.75" customHeight="1" thickBot="1" x14ac:dyDescent="0.3">
      <c r="A225" s="336"/>
      <c r="B225" s="306"/>
      <c r="C225" s="306"/>
      <c r="D225" s="411"/>
      <c r="E225" s="411"/>
      <c r="F225" s="1267"/>
      <c r="G225" s="1267"/>
      <c r="H225" s="558"/>
      <c r="I225" s="558"/>
      <c r="J225" s="1768">
        <v>17871.32</v>
      </c>
      <c r="K225" s="1768">
        <v>28140</v>
      </c>
      <c r="L225" s="1768">
        <f t="shared" ref="L225:N225" si="88">SUM(L218:L224)</f>
        <v>23171</v>
      </c>
      <c r="M225" s="1768">
        <f t="shared" si="88"/>
        <v>23704</v>
      </c>
      <c r="N225" s="1768">
        <f t="shared" si="88"/>
        <v>24250</v>
      </c>
      <c r="O225" s="1768">
        <f t="shared" ref="O225" si="89">SUM(O218:O224)</f>
        <v>24807</v>
      </c>
      <c r="P225" s="401"/>
    </row>
    <row r="226" spans="1:16" s="1264" customFormat="1" ht="12.75" customHeight="1" thickTop="1" x14ac:dyDescent="0.25">
      <c r="A226" s="336"/>
      <c r="B226" s="306"/>
      <c r="C226" s="306"/>
      <c r="D226" s="411"/>
      <c r="E226" s="411"/>
      <c r="F226" s="1267"/>
      <c r="G226" s="1267"/>
      <c r="H226" s="558"/>
      <c r="I226" s="558"/>
      <c r="J226" s="115"/>
      <c r="K226" s="115"/>
      <c r="L226" s="115"/>
      <c r="M226" s="115"/>
      <c r="N226" s="115"/>
      <c r="O226" s="115"/>
      <c r="P226" s="401"/>
    </row>
    <row r="227" spans="1:16" s="1264" customFormat="1" ht="12.75" customHeight="1" x14ac:dyDescent="0.25">
      <c r="A227" s="336"/>
      <c r="B227" s="306"/>
      <c r="C227" s="306"/>
      <c r="D227" s="393">
        <f>D91</f>
        <v>616002</v>
      </c>
      <c r="E227" s="393"/>
      <c r="F227" s="381" t="s">
        <v>2715</v>
      </c>
      <c r="G227" s="115"/>
      <c r="H227" s="115"/>
      <c r="I227" s="115"/>
      <c r="J227" s="115"/>
      <c r="K227" s="115"/>
      <c r="L227" s="115"/>
      <c r="M227" s="115"/>
      <c r="N227" s="115"/>
      <c r="O227" s="115"/>
      <c r="P227" s="401"/>
    </row>
    <row r="228" spans="1:16" s="1264" customFormat="1" ht="12.75" customHeight="1" x14ac:dyDescent="0.25">
      <c r="A228" s="306"/>
      <c r="B228" s="306"/>
      <c r="C228" s="306"/>
      <c r="D228" s="393"/>
      <c r="E228" s="393"/>
      <c r="F228" s="1272" t="s">
        <v>2716</v>
      </c>
      <c r="G228" s="115"/>
      <c r="H228" s="396"/>
      <c r="I228" s="396"/>
      <c r="J228" s="396"/>
      <c r="K228" s="396"/>
      <c r="L228" s="396"/>
      <c r="M228" s="396"/>
      <c r="N228" s="396"/>
      <c r="O228" s="396"/>
      <c r="P228" s="401"/>
    </row>
    <row r="229" spans="1:16" s="1264" customFormat="1" ht="12.75" customHeight="1" x14ac:dyDescent="0.25">
      <c r="A229" s="306"/>
      <c r="B229" s="306"/>
      <c r="C229" s="306"/>
      <c r="D229" s="393"/>
      <c r="E229" s="393"/>
      <c r="F229" s="381"/>
      <c r="G229" s="115"/>
      <c r="H229" s="114"/>
      <c r="I229" s="114"/>
      <c r="J229" s="407">
        <v>2025</v>
      </c>
      <c r="K229" s="407">
        <v>2026</v>
      </c>
      <c r="L229" s="407">
        <v>2027</v>
      </c>
      <c r="M229" s="407">
        <v>2028</v>
      </c>
      <c r="N229" s="407">
        <v>2029</v>
      </c>
      <c r="O229" s="407">
        <v>2030</v>
      </c>
      <c r="P229" s="401"/>
    </row>
    <row r="230" spans="1:16" s="1264" customFormat="1" ht="12.75" customHeight="1" x14ac:dyDescent="0.25">
      <c r="A230" s="306"/>
      <c r="B230" s="306"/>
      <c r="C230" s="306"/>
      <c r="D230" s="393"/>
      <c r="E230" s="393"/>
      <c r="F230" s="381"/>
      <c r="G230" s="115"/>
      <c r="H230" s="114"/>
      <c r="I230" s="114"/>
      <c r="J230" s="1273"/>
      <c r="K230" s="396"/>
      <c r="L230" s="396"/>
      <c r="M230" s="396"/>
      <c r="N230" s="396"/>
      <c r="O230" s="396"/>
      <c r="P230" s="401"/>
    </row>
    <row r="231" spans="1:16" s="1264" customFormat="1" ht="12.75" customHeight="1" x14ac:dyDescent="0.25">
      <c r="A231" s="306"/>
      <c r="B231" s="306"/>
      <c r="C231" s="306"/>
      <c r="D231" s="384">
        <v>44360</v>
      </c>
      <c r="E231" s="384"/>
      <c r="F231" s="115" t="s">
        <v>2717</v>
      </c>
      <c r="G231" s="115"/>
      <c r="H231" s="114"/>
      <c r="I231" s="114"/>
      <c r="J231" s="558">
        <v>15065</v>
      </c>
      <c r="K231" s="558">
        <v>28570</v>
      </c>
      <c r="L231" s="558">
        <f>ROUND(K231*T2,-1)</f>
        <v>29170</v>
      </c>
      <c r="M231" s="558">
        <f>ROUND(L231*U2,-1)</f>
        <v>29840</v>
      </c>
      <c r="N231" s="558">
        <f>ROUND(M231*V2,-1)</f>
        <v>30530</v>
      </c>
      <c r="O231" s="558">
        <f>ROUND(N231*W2,-1)</f>
        <v>31230</v>
      </c>
      <c r="P231" s="401"/>
    </row>
    <row r="232" spans="1:16" s="1264" customFormat="1" ht="12.75" customHeight="1" x14ac:dyDescent="0.25">
      <c r="A232" s="306"/>
      <c r="B232" s="306"/>
      <c r="C232" s="306"/>
      <c r="D232" s="384"/>
      <c r="E232" s="384"/>
      <c r="F232" s="115" t="s">
        <v>2718</v>
      </c>
      <c r="G232" s="115"/>
      <c r="H232" s="114"/>
      <c r="I232" s="114"/>
      <c r="J232" s="558">
        <v>13485</v>
      </c>
      <c r="K232" s="558">
        <v>0</v>
      </c>
      <c r="L232" s="558">
        <f>ROUND(K232*T$2,0)</f>
        <v>0</v>
      </c>
      <c r="M232" s="558">
        <f>ROUND(L232*U$2,0)</f>
        <v>0</v>
      </c>
      <c r="N232" s="558">
        <f>ROUND(M232*V$2,0)</f>
        <v>0</v>
      </c>
      <c r="O232" s="558">
        <f>ROUND(N232*W$2,0)</f>
        <v>0</v>
      </c>
      <c r="P232" s="401"/>
    </row>
    <row r="233" spans="1:16" s="1264" customFormat="1" ht="12.75" customHeight="1" thickBot="1" x14ac:dyDescent="0.3">
      <c r="A233" s="601"/>
      <c r="B233" s="401"/>
      <c r="C233" s="401"/>
      <c r="D233" s="401"/>
      <c r="E233" s="401"/>
      <c r="F233" s="401"/>
      <c r="G233" s="401"/>
      <c r="H233" s="114"/>
      <c r="I233" s="114"/>
      <c r="J233" s="1768">
        <v>28550</v>
      </c>
      <c r="K233" s="1768">
        <v>28570</v>
      </c>
      <c r="L233" s="1768">
        <f>SUM(L231:L232)</f>
        <v>29170</v>
      </c>
      <c r="M233" s="1768">
        <f>SUM(M231:M232)</f>
        <v>29840</v>
      </c>
      <c r="N233" s="1768">
        <f>SUM(N231:N232)</f>
        <v>30530</v>
      </c>
      <c r="O233" s="1768">
        <f>SUM(O231:O232)</f>
        <v>31230</v>
      </c>
      <c r="P233" s="401"/>
    </row>
    <row r="234" spans="1:16" s="1264" customFormat="1" ht="12.75" customHeight="1" thickTop="1" x14ac:dyDescent="0.25">
      <c r="A234" s="601"/>
      <c r="B234" s="401"/>
      <c r="C234" s="401"/>
      <c r="D234" s="384"/>
      <c r="E234" s="384"/>
      <c r="F234" s="115"/>
      <c r="G234" s="115"/>
      <c r="H234" s="114"/>
      <c r="I234" s="114"/>
      <c r="J234" s="114"/>
      <c r="K234" s="114"/>
      <c r="L234" s="114"/>
      <c r="M234" s="114"/>
      <c r="N234" s="114"/>
      <c r="O234" s="114"/>
      <c r="P234" s="401"/>
    </row>
    <row r="235" spans="1:16" ht="12.75" customHeight="1" x14ac:dyDescent="0.25">
      <c r="A235" s="601"/>
      <c r="B235" s="401"/>
      <c r="C235" s="401"/>
      <c r="D235" s="433">
        <f>D96</f>
        <v>616003</v>
      </c>
      <c r="E235" s="433"/>
      <c r="F235" s="561" t="s">
        <v>2681</v>
      </c>
      <c r="G235" s="401"/>
      <c r="H235" s="399"/>
      <c r="I235" s="399"/>
      <c r="J235" s="486"/>
      <c r="K235" s="486"/>
      <c r="L235" s="486"/>
      <c r="M235" s="486"/>
      <c r="N235" s="486"/>
      <c r="O235" s="486"/>
      <c r="P235" s="115"/>
    </row>
    <row r="236" spans="1:16" ht="12.75" customHeight="1" x14ac:dyDescent="0.25">
      <c r="A236" s="601"/>
      <c r="B236" s="401"/>
      <c r="C236" s="401"/>
      <c r="D236" s="639"/>
      <c r="E236" s="639"/>
      <c r="F236" s="383" t="s">
        <v>2719</v>
      </c>
      <c r="G236" s="401"/>
      <c r="H236" s="399"/>
      <c r="I236" s="399"/>
      <c r="J236" s="401"/>
      <c r="K236" s="401"/>
      <c r="L236" s="401"/>
      <c r="M236" s="401"/>
      <c r="N236" s="401"/>
      <c r="O236" s="401"/>
      <c r="P236" s="115"/>
    </row>
    <row r="237" spans="1:16" ht="12.75" customHeight="1" x14ac:dyDescent="0.25">
      <c r="A237" s="601"/>
      <c r="B237" s="401"/>
      <c r="C237" s="401"/>
      <c r="D237" s="640">
        <v>44380</v>
      </c>
      <c r="E237" s="640"/>
      <c r="F237" s="401" t="s">
        <v>2720</v>
      </c>
      <c r="G237" s="401"/>
      <c r="H237" s="399"/>
      <c r="I237" s="399"/>
      <c r="J237" s="641">
        <v>10193</v>
      </c>
      <c r="K237" s="641">
        <v>10458</v>
      </c>
      <c r="L237" s="641">
        <f>ROUND(K237*T$2,0)</f>
        <v>10678</v>
      </c>
      <c r="M237" s="641">
        <f>ROUND(L237*U$2,0)</f>
        <v>10924</v>
      </c>
      <c r="N237" s="641">
        <f>ROUND(M237*V$2,0)</f>
        <v>11175</v>
      </c>
      <c r="O237" s="641">
        <f>ROUND(N237*W$2,0)</f>
        <v>11432</v>
      </c>
      <c r="P237" s="115"/>
    </row>
    <row r="238" spans="1:16" ht="12.75" customHeight="1" thickBot="1" x14ac:dyDescent="0.3">
      <c r="A238" s="601"/>
      <c r="B238" s="401"/>
      <c r="C238" s="401"/>
      <c r="D238" s="115"/>
      <c r="E238" s="115"/>
      <c r="F238" s="115"/>
      <c r="G238" s="401"/>
      <c r="H238" s="399"/>
      <c r="I238" s="399"/>
      <c r="J238" s="1268">
        <v>10193</v>
      </c>
      <c r="K238" s="1268">
        <v>10458</v>
      </c>
      <c r="L238" s="1268">
        <f t="shared" ref="L238:M238" si="90">SUM(L237)</f>
        <v>10678</v>
      </c>
      <c r="M238" s="1268">
        <f t="shared" si="90"/>
        <v>10924</v>
      </c>
      <c r="N238" s="1268">
        <f t="shared" ref="N238:O238" si="91">SUM(N237)</f>
        <v>11175</v>
      </c>
      <c r="O238" s="1268">
        <f t="shared" si="91"/>
        <v>11432</v>
      </c>
      <c r="P238" s="115"/>
    </row>
    <row r="239" spans="1:16" ht="12.75" customHeight="1" thickTop="1" x14ac:dyDescent="0.25">
      <c r="A239" s="601"/>
      <c r="B239" s="401"/>
      <c r="C239" s="401"/>
      <c r="D239" s="639"/>
      <c r="E239" s="639"/>
      <c r="F239" s="401"/>
      <c r="G239" s="401"/>
      <c r="H239" s="399"/>
      <c r="I239" s="399"/>
      <c r="J239" s="558"/>
      <c r="K239" s="558"/>
      <c r="L239" s="558"/>
      <c r="M239" s="558"/>
      <c r="N239" s="558"/>
      <c r="O239" s="558"/>
      <c r="P239" s="115"/>
    </row>
    <row r="240" spans="1:16" ht="12.75" customHeight="1" x14ac:dyDescent="0.25">
      <c r="A240" s="601"/>
      <c r="B240" s="401"/>
      <c r="C240" s="401"/>
      <c r="D240" s="1274">
        <f>D101</f>
        <v>616004</v>
      </c>
      <c r="E240" s="1274"/>
      <c r="F240" s="561" t="s">
        <v>2682</v>
      </c>
      <c r="G240" s="401"/>
      <c r="H240" s="399"/>
      <c r="I240" s="399"/>
      <c r="J240" s="486"/>
      <c r="K240" s="486"/>
      <c r="L240" s="486"/>
      <c r="M240" s="486"/>
      <c r="N240" s="486"/>
      <c r="O240" s="486"/>
      <c r="P240" s="115"/>
    </row>
    <row r="241" spans="1:26" ht="12.75" customHeight="1" x14ac:dyDescent="0.25">
      <c r="A241" s="601"/>
      <c r="B241" s="401"/>
      <c r="C241" s="401"/>
      <c r="D241" s="639"/>
      <c r="E241" s="639"/>
      <c r="F241" s="383" t="s">
        <v>533</v>
      </c>
      <c r="G241" s="401"/>
      <c r="H241" s="399"/>
      <c r="I241" s="399"/>
      <c r="J241" s="486"/>
      <c r="K241" s="486"/>
      <c r="L241" s="486"/>
      <c r="M241" s="486"/>
      <c r="N241" s="486"/>
      <c r="O241" s="486"/>
      <c r="P241" s="115"/>
    </row>
    <row r="242" spans="1:26" ht="12.75" customHeight="1" x14ac:dyDescent="0.25">
      <c r="A242" s="601"/>
      <c r="B242" s="401"/>
      <c r="C242" s="401"/>
      <c r="D242" s="640">
        <v>43812</v>
      </c>
      <c r="E242" s="640"/>
      <c r="F242" s="401" t="s">
        <v>2721</v>
      </c>
      <c r="G242" s="401"/>
      <c r="H242" s="399"/>
      <c r="I242" s="399"/>
      <c r="J242" s="558">
        <v>11960</v>
      </c>
      <c r="K242" s="558">
        <v>12000</v>
      </c>
      <c r="L242" s="558">
        <f t="shared" ref="L242:O246" si="92">ROUND(K242*T$2,0)</f>
        <v>12252</v>
      </c>
      <c r="M242" s="558">
        <f t="shared" si="92"/>
        <v>12534</v>
      </c>
      <c r="N242" s="558">
        <f t="shared" si="92"/>
        <v>12822</v>
      </c>
      <c r="O242" s="558">
        <f t="shared" si="92"/>
        <v>13117</v>
      </c>
      <c r="P242" s="115"/>
      <c r="Q242" s="115"/>
      <c r="R242" s="115"/>
      <c r="S242" s="115"/>
      <c r="T242" s="115"/>
      <c r="U242" s="115"/>
      <c r="V242" s="115"/>
      <c r="W242" s="115"/>
      <c r="X242" s="115"/>
      <c r="Y242" s="115"/>
      <c r="Z242" s="115"/>
    </row>
    <row r="243" spans="1:26" s="1264" customFormat="1" ht="12.75" customHeight="1" x14ac:dyDescent="0.25">
      <c r="A243" s="601"/>
      <c r="B243" s="401"/>
      <c r="C243" s="401"/>
      <c r="D243" s="384"/>
      <c r="E243" s="384"/>
      <c r="F243" s="530" t="s">
        <v>2722</v>
      </c>
      <c r="G243" s="401"/>
      <c r="H243" s="399"/>
      <c r="I243" s="399"/>
      <c r="J243" s="558">
        <v>1098</v>
      </c>
      <c r="K243" s="558">
        <v>0</v>
      </c>
      <c r="L243" s="558">
        <f t="shared" si="92"/>
        <v>0</v>
      </c>
      <c r="M243" s="558">
        <f t="shared" si="92"/>
        <v>0</v>
      </c>
      <c r="N243" s="558">
        <f t="shared" si="92"/>
        <v>0</v>
      </c>
      <c r="O243" s="558">
        <f t="shared" si="92"/>
        <v>0</v>
      </c>
      <c r="P243" s="401"/>
      <c r="Q243" s="401"/>
      <c r="R243" s="401"/>
      <c r="S243" s="401"/>
      <c r="T243" s="401"/>
      <c r="U243" s="401"/>
      <c r="V243" s="401"/>
      <c r="W243" s="401"/>
      <c r="X243" s="401"/>
      <c r="Y243" s="401"/>
      <c r="Z243" s="401"/>
    </row>
    <row r="244" spans="1:26" s="1264" customFormat="1" ht="12.75" customHeight="1" x14ac:dyDescent="0.25">
      <c r="A244" s="601"/>
      <c r="B244" s="401"/>
      <c r="C244" s="401"/>
      <c r="D244" s="384"/>
      <c r="E244" s="301"/>
      <c r="F244" s="308" t="s">
        <v>2723</v>
      </c>
      <c r="G244" s="115"/>
      <c r="H244" s="114"/>
      <c r="I244" s="114"/>
      <c r="J244" s="558">
        <v>0</v>
      </c>
      <c r="K244" s="558">
        <v>0</v>
      </c>
      <c r="L244" s="558">
        <f t="shared" si="92"/>
        <v>0</v>
      </c>
      <c r="M244" s="558">
        <f t="shared" si="92"/>
        <v>0</v>
      </c>
      <c r="N244" s="558">
        <f t="shared" si="92"/>
        <v>0</v>
      </c>
      <c r="O244" s="558">
        <f t="shared" si="92"/>
        <v>0</v>
      </c>
      <c r="P244" s="401"/>
      <c r="Q244" s="401"/>
      <c r="R244" s="401"/>
      <c r="S244" s="401"/>
      <c r="T244" s="401"/>
      <c r="U244" s="401"/>
      <c r="V244" s="401"/>
      <c r="W244" s="401"/>
      <c r="X244" s="401"/>
      <c r="Y244" s="401"/>
      <c r="Z244" s="401"/>
    </row>
    <row r="245" spans="1:26" s="1264" customFormat="1" ht="12.75" customHeight="1" x14ac:dyDescent="0.25">
      <c r="A245" s="336"/>
      <c r="B245" s="306"/>
      <c r="C245" s="306"/>
      <c r="D245" s="384"/>
      <c r="E245" s="384"/>
      <c r="F245" s="530" t="s">
        <v>2724</v>
      </c>
      <c r="G245" s="401"/>
      <c r="H245" s="115"/>
      <c r="I245" s="115"/>
      <c r="J245" s="558">
        <v>413</v>
      </c>
      <c r="K245" s="558">
        <v>0</v>
      </c>
      <c r="L245" s="558">
        <f t="shared" si="92"/>
        <v>0</v>
      </c>
      <c r="M245" s="558">
        <f t="shared" si="92"/>
        <v>0</v>
      </c>
      <c r="N245" s="558">
        <f t="shared" si="92"/>
        <v>0</v>
      </c>
      <c r="O245" s="558">
        <f t="shared" si="92"/>
        <v>0</v>
      </c>
      <c r="P245" s="401"/>
      <c r="Q245" s="401"/>
      <c r="R245" s="401"/>
      <c r="S245" s="401"/>
      <c r="T245" s="401"/>
      <c r="U245" s="401"/>
      <c r="V245" s="401"/>
      <c r="W245" s="401"/>
      <c r="X245" s="401"/>
      <c r="Y245" s="401"/>
      <c r="Z245" s="401"/>
    </row>
    <row r="246" spans="1:26" s="1264" customFormat="1" ht="12.75" customHeight="1" x14ac:dyDescent="0.25">
      <c r="A246" s="336"/>
      <c r="B246" s="306"/>
      <c r="C246" s="306"/>
      <c r="D246" s="384"/>
      <c r="E246" s="384"/>
      <c r="F246" s="530" t="s">
        <v>2725</v>
      </c>
      <c r="G246" s="401"/>
      <c r="H246" s="115"/>
      <c r="I246" s="115"/>
      <c r="J246" s="558">
        <v>1521</v>
      </c>
      <c r="K246" s="558">
        <v>12500</v>
      </c>
      <c r="L246" s="558">
        <f t="shared" si="92"/>
        <v>12763</v>
      </c>
      <c r="M246" s="558">
        <f t="shared" si="92"/>
        <v>13057</v>
      </c>
      <c r="N246" s="558">
        <f t="shared" si="92"/>
        <v>13357</v>
      </c>
      <c r="O246" s="558">
        <f t="shared" si="92"/>
        <v>13664</v>
      </c>
      <c r="P246" s="401"/>
      <c r="Q246" s="401"/>
      <c r="R246" s="401"/>
      <c r="S246" s="401"/>
      <c r="T246" s="401"/>
      <c r="U246" s="401"/>
      <c r="V246" s="401"/>
      <c r="W246" s="401"/>
      <c r="X246" s="401"/>
      <c r="Y246" s="401"/>
      <c r="Z246" s="401"/>
    </row>
    <row r="247" spans="1:26" s="1264" customFormat="1" ht="12.75" customHeight="1" x14ac:dyDescent="0.25">
      <c r="A247" s="336"/>
      <c r="B247" s="306"/>
      <c r="C247" s="306"/>
      <c r="D247" s="384"/>
      <c r="E247" s="384"/>
      <c r="F247" s="530"/>
      <c r="G247" s="401"/>
      <c r="H247" s="115"/>
      <c r="I247" s="115"/>
      <c r="J247" s="558"/>
      <c r="K247" s="558"/>
      <c r="L247" s="558"/>
      <c r="M247" s="558"/>
      <c r="N247" s="558"/>
      <c r="O247" s="558"/>
      <c r="P247" s="401"/>
      <c r="Q247" s="401"/>
      <c r="R247" s="401"/>
      <c r="S247" s="401"/>
      <c r="T247" s="401"/>
      <c r="U247" s="401"/>
      <c r="V247" s="401"/>
      <c r="W247" s="401"/>
      <c r="X247" s="401"/>
      <c r="Y247" s="401"/>
      <c r="Z247" s="401"/>
    </row>
    <row r="248" spans="1:26" ht="12.75" customHeight="1" thickBot="1" x14ac:dyDescent="0.3">
      <c r="A248" s="601"/>
      <c r="B248" s="401"/>
      <c r="C248" s="401"/>
      <c r="D248" s="115"/>
      <c r="E248" s="115"/>
      <c r="F248" s="115"/>
      <c r="G248" s="401"/>
      <c r="H248" s="399"/>
      <c r="I248" s="399"/>
      <c r="J248" s="1768">
        <v>14992</v>
      </c>
      <c r="K248" s="1768">
        <v>24500</v>
      </c>
      <c r="L248" s="1768">
        <f>SUM(L242:L246)</f>
        <v>25015</v>
      </c>
      <c r="M248" s="1768">
        <f>SUM(M242:M246)</f>
        <v>25591</v>
      </c>
      <c r="N248" s="1768">
        <f>SUM(N242:N246)</f>
        <v>26179</v>
      </c>
      <c r="O248" s="1768">
        <f>SUM(O242:O246)</f>
        <v>26781</v>
      </c>
      <c r="P248" s="115"/>
      <c r="Q248" s="115"/>
      <c r="R248" s="115"/>
      <c r="S248" s="115"/>
      <c r="T248" s="115"/>
      <c r="U248" s="115"/>
      <c r="V248" s="115"/>
      <c r="W248" s="115"/>
      <c r="X248" s="115"/>
      <c r="Y248" s="115"/>
      <c r="Z248" s="115"/>
    </row>
    <row r="249" spans="1:26" ht="12.75" customHeight="1" thickTop="1" x14ac:dyDescent="0.25">
      <c r="A249" s="601"/>
      <c r="B249" s="401"/>
      <c r="C249" s="401"/>
      <c r="D249" s="115"/>
      <c r="E249" s="115"/>
      <c r="F249" s="381" t="s">
        <v>2726</v>
      </c>
      <c r="G249" s="115"/>
      <c r="H249" s="115"/>
      <c r="I249" s="115"/>
      <c r="J249" s="558"/>
      <c r="K249" s="558"/>
      <c r="L249" s="558"/>
      <c r="M249" s="558"/>
      <c r="N249" s="558"/>
      <c r="O249" s="558"/>
      <c r="P249" s="115"/>
      <c r="Q249" s="115"/>
      <c r="R249" s="115"/>
      <c r="S249" s="115"/>
      <c r="T249" s="115"/>
      <c r="U249" s="115"/>
      <c r="V249" s="115"/>
      <c r="W249" s="115"/>
      <c r="X249" s="115"/>
      <c r="Y249" s="115"/>
      <c r="Z249" s="115"/>
    </row>
    <row r="250" spans="1:26" ht="12.75" customHeight="1" x14ac:dyDescent="0.25">
      <c r="A250" s="601"/>
      <c r="B250" s="401"/>
      <c r="C250" s="401"/>
      <c r="D250" s="115"/>
      <c r="E250" s="115"/>
      <c r="F250" s="2510" t="s">
        <v>2727</v>
      </c>
      <c r="G250" s="2510"/>
      <c r="H250" s="2510"/>
      <c r="I250" s="2510"/>
      <c r="J250" s="2510"/>
      <c r="K250" s="2510"/>
      <c r="L250" s="2510"/>
      <c r="M250" s="2510"/>
      <c r="N250" s="298"/>
      <c r="O250" s="298"/>
      <c r="P250" s="115"/>
      <c r="Q250" s="115"/>
      <c r="R250" s="115"/>
      <c r="S250" s="115"/>
      <c r="T250" s="115"/>
      <c r="U250" s="115"/>
      <c r="V250" s="115"/>
      <c r="W250" s="115"/>
      <c r="X250" s="115"/>
      <c r="Y250" s="115"/>
      <c r="Z250" s="115"/>
    </row>
    <row r="251" spans="1:26" ht="12.75" customHeight="1" x14ac:dyDescent="0.25">
      <c r="A251" s="601"/>
      <c r="B251" s="401"/>
      <c r="C251" s="401"/>
      <c r="D251" s="115"/>
      <c r="E251" s="115"/>
      <c r="F251" s="2510"/>
      <c r="G251" s="2510"/>
      <c r="H251" s="2510"/>
      <c r="I251" s="2510"/>
      <c r="J251" s="2510"/>
      <c r="K251" s="2510"/>
      <c r="L251" s="2510"/>
      <c r="M251" s="2510"/>
      <c r="N251" s="298"/>
      <c r="O251" s="298"/>
      <c r="P251" s="115"/>
      <c r="Q251" s="115"/>
      <c r="R251" s="115"/>
      <c r="S251" s="115"/>
      <c r="T251" s="115"/>
      <c r="U251" s="115"/>
      <c r="V251" s="115"/>
      <c r="W251" s="115"/>
      <c r="X251" s="115"/>
      <c r="Y251" s="115"/>
      <c r="Z251" s="115"/>
    </row>
    <row r="252" spans="1:26" ht="12.75" customHeight="1" x14ac:dyDescent="0.25">
      <c r="A252" s="601"/>
      <c r="B252" s="401"/>
      <c r="C252" s="401"/>
      <c r="D252" s="115"/>
      <c r="E252" s="115"/>
      <c r="F252" s="2510"/>
      <c r="G252" s="2510"/>
      <c r="H252" s="2510"/>
      <c r="I252" s="2510"/>
      <c r="J252" s="2510"/>
      <c r="K252" s="2510"/>
      <c r="L252" s="2510"/>
      <c r="M252" s="2510"/>
      <c r="N252" s="298"/>
      <c r="O252" s="298"/>
      <c r="P252" s="115"/>
      <c r="Q252" s="115"/>
      <c r="R252" s="115"/>
      <c r="S252" s="115"/>
      <c r="T252" s="115"/>
      <c r="U252" s="115"/>
      <c r="V252" s="115"/>
      <c r="W252" s="115"/>
      <c r="X252" s="115"/>
      <c r="Y252" s="115"/>
      <c r="Z252" s="115"/>
    </row>
    <row r="253" spans="1:26" ht="12.75" customHeight="1" x14ac:dyDescent="0.25">
      <c r="A253" s="601"/>
      <c r="B253" s="401"/>
      <c r="C253" s="401"/>
      <c r="D253" s="115"/>
      <c r="E253" s="115"/>
      <c r="F253" s="399"/>
      <c r="G253" s="399"/>
      <c r="H253" s="399"/>
      <c r="I253" s="399"/>
      <c r="J253" s="558"/>
      <c r="K253" s="558"/>
      <c r="L253" s="558"/>
      <c r="M253" s="558"/>
      <c r="N253" s="558"/>
      <c r="O253" s="558"/>
      <c r="P253" s="115"/>
      <c r="Q253" s="115"/>
      <c r="R253" s="115"/>
      <c r="S253" s="115"/>
      <c r="T253" s="115"/>
      <c r="U253" s="115"/>
      <c r="V253" s="115"/>
      <c r="W253" s="115"/>
      <c r="X253" s="115"/>
      <c r="Y253" s="115"/>
      <c r="Z253" s="115"/>
    </row>
    <row r="254" spans="1:26" ht="12.75" customHeight="1" x14ac:dyDescent="0.25">
      <c r="A254" s="601"/>
      <c r="B254" s="401"/>
      <c r="C254" s="401"/>
      <c r="D254" s="1274">
        <f>D106</f>
        <v>616005</v>
      </c>
      <c r="E254" s="1274"/>
      <c r="F254" s="561" t="s">
        <v>2683</v>
      </c>
      <c r="G254" s="561"/>
      <c r="H254" s="399"/>
      <c r="I254" s="399"/>
      <c r="J254" s="486"/>
      <c r="K254" s="486"/>
      <c r="L254" s="486"/>
      <c r="M254" s="486"/>
      <c r="N254" s="486"/>
      <c r="O254" s="486"/>
      <c r="P254" s="382"/>
      <c r="Q254" s="382"/>
      <c r="R254" s="382"/>
      <c r="S254" s="410"/>
      <c r="T254" s="381"/>
      <c r="U254" s="115"/>
      <c r="V254" s="115"/>
      <c r="W254" s="115"/>
      <c r="X254" s="115"/>
      <c r="Y254" s="115"/>
      <c r="Z254" s="115"/>
    </row>
    <row r="255" spans="1:26" ht="12.75" customHeight="1" x14ac:dyDescent="0.25">
      <c r="A255" s="601"/>
      <c r="B255" s="401"/>
      <c r="C255" s="401"/>
      <c r="D255" s="639"/>
      <c r="E255" s="639"/>
      <c r="F255" s="383" t="s">
        <v>533</v>
      </c>
      <c r="G255" s="401"/>
      <c r="H255" s="399"/>
      <c r="I255" s="399"/>
      <c r="J255" s="401"/>
      <c r="K255" s="401"/>
      <c r="L255" s="401"/>
      <c r="M255" s="401"/>
      <c r="N255" s="401"/>
      <c r="O255" s="401"/>
      <c r="P255" s="382"/>
      <c r="Q255" s="382"/>
      <c r="R255" s="382"/>
      <c r="S255" s="114"/>
      <c r="T255" s="381"/>
      <c r="U255" s="115"/>
      <c r="V255" s="115"/>
      <c r="W255" s="115"/>
      <c r="X255" s="114"/>
      <c r="Y255" s="114"/>
      <c r="Z255" s="114"/>
    </row>
    <row r="256" spans="1:26" ht="12.75" customHeight="1" x14ac:dyDescent="0.25">
      <c r="A256" s="601"/>
      <c r="B256" s="401"/>
      <c r="C256" s="401"/>
      <c r="D256" s="640">
        <v>43812</v>
      </c>
      <c r="E256" s="640"/>
      <c r="F256" s="401" t="s">
        <v>2728</v>
      </c>
      <c r="G256" s="401"/>
      <c r="H256" s="399"/>
      <c r="I256" s="399"/>
      <c r="J256" s="558">
        <v>6098</v>
      </c>
      <c r="K256" s="558">
        <v>2257</v>
      </c>
      <c r="L256" s="558">
        <f>ROUND(K256*T$2,0)</f>
        <v>2304</v>
      </c>
      <c r="M256" s="558">
        <f>ROUND(L256*U$2,0)</f>
        <v>2357</v>
      </c>
      <c r="N256" s="558">
        <f>ROUND(M256*V$2,0)</f>
        <v>2411</v>
      </c>
      <c r="O256" s="558">
        <f>ROUND(N256*W$2,0)</f>
        <v>2466</v>
      </c>
      <c r="P256" s="336"/>
      <c r="Q256" s="336"/>
      <c r="R256" s="336"/>
      <c r="S256" s="308"/>
      <c r="T256" s="115"/>
      <c r="U256" s="115"/>
      <c r="V256" s="115"/>
      <c r="W256" s="115"/>
      <c r="X256" s="115"/>
      <c r="Y256" s="115"/>
      <c r="Z256" s="115"/>
    </row>
    <row r="257" spans="1:26" ht="12.75" customHeight="1" x14ac:dyDescent="0.25">
      <c r="A257" s="601"/>
      <c r="B257" s="401"/>
      <c r="C257" s="401"/>
      <c r="D257" s="640"/>
      <c r="E257" s="640"/>
      <c r="F257" s="401" t="s">
        <v>2729</v>
      </c>
      <c r="G257" s="401"/>
      <c r="H257" s="399"/>
      <c r="I257" s="399"/>
      <c r="J257" s="558">
        <v>7062</v>
      </c>
      <c r="K257" s="558"/>
      <c r="L257" s="558"/>
      <c r="M257" s="558"/>
      <c r="N257" s="558"/>
      <c r="O257" s="558"/>
      <c r="P257" s="336"/>
      <c r="Q257" s="336"/>
      <c r="R257" s="336"/>
      <c r="S257" s="308"/>
      <c r="T257" s="115"/>
      <c r="U257" s="115"/>
      <c r="V257" s="115"/>
      <c r="W257" s="115"/>
      <c r="X257" s="115"/>
      <c r="Y257" s="115"/>
      <c r="Z257" s="115"/>
    </row>
    <row r="258" spans="1:26" ht="12.75" customHeight="1" x14ac:dyDescent="0.25">
      <c r="A258" s="601"/>
      <c r="B258" s="401"/>
      <c r="C258" s="401"/>
      <c r="D258" s="640"/>
      <c r="E258" s="640"/>
      <c r="F258" s="401" t="s">
        <v>2730</v>
      </c>
      <c r="G258" s="401"/>
      <c r="H258" s="399"/>
      <c r="I258" s="399"/>
      <c r="J258" s="558">
        <v>23333</v>
      </c>
      <c r="K258" s="558">
        <v>31002</v>
      </c>
      <c r="L258" s="558">
        <f>ROUND(K258*T$2,0)-7062</f>
        <v>24591</v>
      </c>
      <c r="M258" s="558">
        <f t="shared" ref="M258:O259" si="93">ROUND(L258*U$2,0)</f>
        <v>25157</v>
      </c>
      <c r="N258" s="558">
        <f t="shared" si="93"/>
        <v>25736</v>
      </c>
      <c r="O258" s="558">
        <f t="shared" si="93"/>
        <v>26328</v>
      </c>
      <c r="P258" s="143"/>
      <c r="Q258" s="143"/>
      <c r="R258" s="143"/>
      <c r="S258" s="115"/>
      <c r="T258" s="115"/>
      <c r="U258" s="115"/>
      <c r="V258" s="115"/>
      <c r="W258" s="115"/>
      <c r="X258" s="114"/>
      <c r="Y258" s="114"/>
      <c r="Z258" s="114"/>
    </row>
    <row r="259" spans="1:26" ht="12.75" customHeight="1" x14ac:dyDescent="0.25">
      <c r="A259" s="601"/>
      <c r="B259" s="401"/>
      <c r="C259" s="401"/>
      <c r="D259" s="640"/>
      <c r="E259" s="640"/>
      <c r="F259" s="401" t="s">
        <v>2731</v>
      </c>
      <c r="G259" s="401"/>
      <c r="H259" s="399"/>
      <c r="I259" s="399"/>
      <c r="J259" s="558">
        <v>0</v>
      </c>
      <c r="K259" s="558">
        <v>4000</v>
      </c>
      <c r="L259" s="558">
        <f>ROUND(K259*T$2,0)</f>
        <v>4084</v>
      </c>
      <c r="M259" s="558">
        <f t="shared" si="93"/>
        <v>4178</v>
      </c>
      <c r="N259" s="558">
        <f t="shared" si="93"/>
        <v>4274</v>
      </c>
      <c r="O259" s="558">
        <f t="shared" si="93"/>
        <v>4372</v>
      </c>
      <c r="P259" s="143"/>
      <c r="Q259" s="143"/>
      <c r="R259" s="143"/>
      <c r="S259" s="115"/>
      <c r="T259" s="115"/>
      <c r="U259" s="115"/>
      <c r="V259" s="115"/>
      <c r="W259" s="115"/>
      <c r="X259" s="114"/>
      <c r="Y259" s="114"/>
      <c r="Z259" s="114"/>
    </row>
    <row r="260" spans="1:26" s="2178" customFormat="1" ht="12.75" customHeight="1" x14ac:dyDescent="0.25">
      <c r="A260" s="1724"/>
      <c r="B260" s="1719"/>
      <c r="C260" s="1719"/>
      <c r="D260" s="2174"/>
      <c r="E260" s="2174"/>
      <c r="F260" s="1719" t="s">
        <v>5308</v>
      </c>
      <c r="G260" s="1719"/>
      <c r="H260" s="2175"/>
      <c r="I260" s="2175"/>
      <c r="J260" s="2176"/>
      <c r="K260" s="2176">
        <v>10000</v>
      </c>
      <c r="L260" s="2176">
        <v>10000</v>
      </c>
      <c r="M260" s="2176">
        <v>8000</v>
      </c>
      <c r="N260" s="2176"/>
      <c r="O260" s="2176"/>
      <c r="P260" s="1723"/>
      <c r="Q260" s="1723"/>
      <c r="R260" s="1723"/>
      <c r="S260" s="1720"/>
      <c r="T260" s="1720"/>
      <c r="U260" s="1720"/>
      <c r="V260" s="1720"/>
      <c r="W260" s="1720"/>
      <c r="X260" s="2177"/>
      <c r="Y260" s="2177"/>
      <c r="Z260" s="2177"/>
    </row>
    <row r="261" spans="1:26" ht="12.75" customHeight="1" thickBot="1" x14ac:dyDescent="0.3">
      <c r="A261" s="601"/>
      <c r="B261" s="401"/>
      <c r="C261" s="401"/>
      <c r="D261" s="640"/>
      <c r="E261" s="640"/>
      <c r="F261" s="401"/>
      <c r="G261" s="401"/>
      <c r="H261" s="399"/>
      <c r="I261" s="399"/>
      <c r="J261" s="1768">
        <v>36493</v>
      </c>
      <c r="K261" s="1768">
        <f>SUM(K256:K260)</f>
        <v>47259</v>
      </c>
      <c r="L261" s="1768">
        <f t="shared" ref="L261:O261" si="94">SUM(L256:L260)</f>
        <v>40979</v>
      </c>
      <c r="M261" s="1768">
        <f t="shared" si="94"/>
        <v>39692</v>
      </c>
      <c r="N261" s="1768">
        <f t="shared" si="94"/>
        <v>32421</v>
      </c>
      <c r="O261" s="1768">
        <f t="shared" si="94"/>
        <v>33166</v>
      </c>
      <c r="P261" s="115"/>
      <c r="Q261" s="115"/>
      <c r="R261" s="115"/>
      <c r="S261" s="115"/>
      <c r="T261" s="115"/>
      <c r="U261" s="115"/>
      <c r="V261" s="115"/>
      <c r="W261" s="115"/>
      <c r="X261" s="115"/>
      <c r="Y261" s="115"/>
      <c r="Z261" s="115"/>
    </row>
    <row r="262" spans="1:26" ht="12.75" customHeight="1" thickTop="1" x14ac:dyDescent="0.25">
      <c r="A262" s="601"/>
      <c r="B262" s="401"/>
      <c r="C262" s="401"/>
      <c r="D262" s="640"/>
      <c r="E262" s="640"/>
      <c r="F262" s="401"/>
      <c r="G262" s="401"/>
      <c r="H262" s="558"/>
      <c r="I262" s="558"/>
      <c r="J262" s="558"/>
      <c r="K262" s="558"/>
      <c r="L262" s="558"/>
      <c r="M262" s="558"/>
      <c r="N262" s="558"/>
      <c r="O262" s="558"/>
      <c r="P262" s="298"/>
      <c r="Q262" s="298"/>
      <c r="R262" s="115"/>
      <c r="S262" s="115"/>
      <c r="T262" s="115"/>
      <c r="U262" s="115"/>
      <c r="V262" s="115"/>
      <c r="W262" s="115"/>
      <c r="X262" s="115"/>
      <c r="Y262" s="115"/>
      <c r="Z262" s="115"/>
    </row>
    <row r="263" spans="1:26" ht="12.75" customHeight="1" x14ac:dyDescent="0.25">
      <c r="A263" s="601"/>
      <c r="B263" s="401"/>
      <c r="C263" s="401"/>
      <c r="D263" s="393">
        <f>D111</f>
        <v>616006</v>
      </c>
      <c r="E263" s="393"/>
      <c r="F263" s="445" t="s">
        <v>2684</v>
      </c>
      <c r="G263" s="401"/>
      <c r="H263" s="486"/>
      <c r="I263" s="486"/>
      <c r="J263" s="486"/>
      <c r="K263" s="486"/>
      <c r="L263" s="486"/>
      <c r="M263" s="486"/>
      <c r="N263" s="486"/>
      <c r="O263" s="486"/>
      <c r="P263" s="298"/>
      <c r="Q263" s="298"/>
      <c r="R263" s="115"/>
      <c r="S263" s="115"/>
      <c r="T263" s="115"/>
      <c r="U263" s="115"/>
      <c r="V263" s="115"/>
      <c r="W263" s="115"/>
      <c r="X263" s="115"/>
      <c r="Y263" s="115"/>
      <c r="Z263" s="115"/>
    </row>
    <row r="264" spans="1:26" ht="12.75" customHeight="1" x14ac:dyDescent="0.25">
      <c r="A264" s="601"/>
      <c r="B264" s="401"/>
      <c r="C264" s="401"/>
      <c r="D264" s="639"/>
      <c r="E264" s="639"/>
      <c r="F264" s="383" t="s">
        <v>533</v>
      </c>
      <c r="G264" s="401"/>
      <c r="H264" s="558"/>
      <c r="I264" s="558"/>
      <c r="J264" s="558"/>
      <c r="K264" s="558"/>
      <c r="L264" s="558"/>
      <c r="M264" s="558"/>
      <c r="N264" s="558"/>
      <c r="O264" s="558"/>
      <c r="P264" s="298"/>
      <c r="Q264" s="298"/>
      <c r="R264" s="115"/>
      <c r="S264" s="115"/>
      <c r="T264" s="115"/>
      <c r="U264" s="115"/>
      <c r="V264" s="115"/>
      <c r="W264" s="115"/>
      <c r="X264" s="115"/>
      <c r="Y264" s="115"/>
      <c r="Z264" s="115"/>
    </row>
    <row r="265" spans="1:26" ht="12.75" customHeight="1" x14ac:dyDescent="0.25">
      <c r="A265" s="601"/>
      <c r="B265" s="401"/>
      <c r="C265" s="401"/>
      <c r="D265" s="640">
        <v>43511</v>
      </c>
      <c r="E265" s="640"/>
      <c r="F265" s="530" t="s">
        <v>2732</v>
      </c>
      <c r="G265" s="401"/>
      <c r="H265" s="558"/>
      <c r="I265" s="558"/>
      <c r="J265" s="558">
        <v>1423</v>
      </c>
      <c r="K265" s="558">
        <v>1476</v>
      </c>
      <c r="L265" s="558">
        <f>ROUND(K265*T$2,0)+23</f>
        <v>1530</v>
      </c>
      <c r="M265" s="558">
        <f>ROUND(L265*U$2,0)+23</f>
        <v>1588</v>
      </c>
      <c r="N265" s="558">
        <f>ROUND(M265*V$2,0)+24</f>
        <v>1649</v>
      </c>
      <c r="O265" s="558">
        <f t="shared" ref="O265" si="95">ROUND(N265*W$2,0)</f>
        <v>1687</v>
      </c>
      <c r="P265" s="298"/>
      <c r="Q265" s="298"/>
      <c r="R265" s="115"/>
      <c r="S265" s="115"/>
      <c r="T265" s="115"/>
      <c r="U265" s="115"/>
      <c r="V265" s="115"/>
      <c r="W265" s="115"/>
      <c r="X265" s="115"/>
      <c r="Y265" s="115"/>
      <c r="Z265" s="115"/>
    </row>
    <row r="266" spans="1:26" ht="12.75" customHeight="1" x14ac:dyDescent="0.25">
      <c r="A266" s="601"/>
      <c r="B266" s="401"/>
      <c r="C266" s="401"/>
      <c r="D266" s="640">
        <v>43511</v>
      </c>
      <c r="E266" s="639"/>
      <c r="F266" s="401" t="s">
        <v>2733</v>
      </c>
      <c r="G266" s="401"/>
      <c r="H266" s="558"/>
      <c r="I266" s="558"/>
      <c r="J266" s="558">
        <v>20041</v>
      </c>
      <c r="K266" s="558">
        <v>20562</v>
      </c>
      <c r="L266" s="558">
        <f>ROUND(K266*T$2,0)</f>
        <v>20994</v>
      </c>
      <c r="M266" s="558">
        <f>ROUND(L266*U$2,0)</f>
        <v>21477</v>
      </c>
      <c r="N266" s="558">
        <f>ROUND(M266*V$2,0)</f>
        <v>21971</v>
      </c>
      <c r="O266" s="558">
        <f>ROUND(N266*W$2,0)</f>
        <v>22476</v>
      </c>
      <c r="P266" s="298"/>
      <c r="Q266" s="298"/>
      <c r="R266" s="115"/>
      <c r="S266" s="115"/>
      <c r="T266" s="115"/>
      <c r="U266" s="115"/>
      <c r="V266" s="115"/>
      <c r="W266" s="115"/>
      <c r="X266" s="115"/>
      <c r="Y266" s="115"/>
      <c r="Z266" s="115"/>
    </row>
    <row r="267" spans="1:26" ht="12.75" customHeight="1" thickBot="1" x14ac:dyDescent="0.3">
      <c r="A267" s="601"/>
      <c r="B267" s="401"/>
      <c r="C267" s="401"/>
      <c r="D267" s="639"/>
      <c r="E267" s="639"/>
      <c r="F267" s="401"/>
      <c r="G267" s="401"/>
      <c r="H267" s="558"/>
      <c r="I267" s="558"/>
      <c r="J267" s="1768">
        <v>21464</v>
      </c>
      <c r="K267" s="1768">
        <v>22038</v>
      </c>
      <c r="L267" s="1768">
        <f>SUM(L265:L266)</f>
        <v>22524</v>
      </c>
      <c r="M267" s="1768">
        <f>SUM(M265:M266)</f>
        <v>23065</v>
      </c>
      <c r="N267" s="1768">
        <f>SUM(N265:N266)</f>
        <v>23620</v>
      </c>
      <c r="O267" s="1768">
        <f>SUM(O265:O266)</f>
        <v>24163</v>
      </c>
      <c r="P267" s="298"/>
      <c r="Q267" s="298"/>
      <c r="R267" s="115"/>
      <c r="S267" s="115"/>
      <c r="T267" s="115"/>
      <c r="U267" s="115"/>
      <c r="V267" s="115"/>
      <c r="W267" s="115"/>
      <c r="X267" s="115"/>
      <c r="Y267" s="115"/>
      <c r="Z267" s="115"/>
    </row>
    <row r="268" spans="1:26" ht="12.75" customHeight="1" thickTop="1" x14ac:dyDescent="0.25">
      <c r="A268" s="601"/>
      <c r="B268" s="401"/>
      <c r="C268" s="401"/>
      <c r="D268" s="639"/>
      <c r="E268" s="639"/>
      <c r="F268" s="401"/>
      <c r="G268" s="401"/>
      <c r="H268" s="558"/>
      <c r="I268" s="558"/>
      <c r="J268" s="558"/>
      <c r="K268" s="558"/>
      <c r="L268" s="558"/>
      <c r="M268" s="558"/>
      <c r="N268" s="558"/>
      <c r="O268" s="558"/>
      <c r="P268" s="298"/>
      <c r="Q268" s="298"/>
      <c r="R268" s="115"/>
      <c r="S268" s="115"/>
      <c r="T268" s="115"/>
      <c r="U268" s="115"/>
      <c r="V268" s="115"/>
      <c r="W268" s="115"/>
      <c r="X268" s="115"/>
      <c r="Y268" s="115"/>
      <c r="Z268" s="115"/>
    </row>
    <row r="269" spans="1:26" ht="12.75" customHeight="1" x14ac:dyDescent="0.25">
      <c r="A269" s="601"/>
      <c r="B269" s="401"/>
      <c r="C269" s="401"/>
      <c r="D269" s="1274">
        <f>D116</f>
        <v>616007</v>
      </c>
      <c r="E269" s="1274"/>
      <c r="F269" s="561" t="s">
        <v>2685</v>
      </c>
      <c r="G269" s="561"/>
      <c r="H269" s="558"/>
      <c r="I269" s="558"/>
      <c r="J269" s="401"/>
      <c r="K269" s="401"/>
      <c r="L269" s="401"/>
      <c r="M269" s="401"/>
      <c r="N269" s="401"/>
      <c r="O269" s="401"/>
      <c r="P269" s="115"/>
      <c r="Q269" s="115"/>
      <c r="R269" s="115"/>
      <c r="S269" s="115"/>
      <c r="T269" s="115"/>
      <c r="U269" s="115"/>
      <c r="V269" s="115"/>
      <c r="W269" s="115"/>
      <c r="X269" s="115"/>
      <c r="Y269" s="115"/>
      <c r="Z269" s="115"/>
    </row>
    <row r="270" spans="1:26" ht="12.75" customHeight="1" x14ac:dyDescent="0.25">
      <c r="A270" s="601"/>
      <c r="B270" s="401"/>
      <c r="C270" s="401"/>
      <c r="D270" s="1274"/>
      <c r="E270" s="1274"/>
      <c r="F270" s="383" t="s">
        <v>533</v>
      </c>
      <c r="G270" s="561"/>
      <c r="H270" s="558"/>
      <c r="I270" s="558"/>
      <c r="J270" s="401"/>
      <c r="K270" s="401"/>
      <c r="L270" s="401"/>
      <c r="M270" s="401"/>
      <c r="N270" s="401"/>
      <c r="O270" s="401"/>
      <c r="P270" s="115"/>
      <c r="Q270" s="115"/>
      <c r="R270" s="115"/>
      <c r="S270" s="115"/>
      <c r="T270" s="115"/>
      <c r="U270" s="115"/>
      <c r="V270" s="115"/>
      <c r="W270" s="115"/>
      <c r="X270" s="115"/>
      <c r="Y270" s="115"/>
      <c r="Z270" s="115"/>
    </row>
    <row r="271" spans="1:26" ht="12.75" customHeight="1" x14ac:dyDescent="0.25">
      <c r="A271" s="601"/>
      <c r="B271" s="401"/>
      <c r="C271" s="401"/>
      <c r="D271" s="640">
        <v>44320</v>
      </c>
      <c r="E271" s="640"/>
      <c r="F271" s="2510" t="s">
        <v>2734</v>
      </c>
      <c r="G271" s="2510"/>
      <c r="H271" s="2510"/>
      <c r="I271" s="2510"/>
      <c r="J271" s="2510"/>
      <c r="K271" s="399"/>
      <c r="L271" s="399"/>
      <c r="M271" s="399"/>
      <c r="N271" s="399"/>
      <c r="O271" s="399"/>
      <c r="P271" s="115"/>
      <c r="Q271" s="115"/>
      <c r="R271" s="115"/>
      <c r="S271" s="115"/>
      <c r="T271" s="115"/>
      <c r="U271" s="115"/>
      <c r="V271" s="115"/>
      <c r="W271" s="115"/>
      <c r="X271" s="115"/>
      <c r="Y271" s="115"/>
      <c r="Z271" s="115"/>
    </row>
    <row r="272" spans="1:26" ht="12.75" customHeight="1" x14ac:dyDescent="0.25">
      <c r="A272" s="601"/>
      <c r="B272" s="401"/>
      <c r="C272" s="401"/>
      <c r="D272" s="639"/>
      <c r="E272" s="639"/>
      <c r="F272" s="2510"/>
      <c r="G272" s="2510"/>
      <c r="H272" s="2510"/>
      <c r="I272" s="2510"/>
      <c r="J272" s="2510"/>
      <c r="K272" s="399"/>
      <c r="L272" s="399"/>
      <c r="M272" s="399"/>
      <c r="N272" s="399"/>
      <c r="O272" s="399"/>
      <c r="P272" s="115"/>
      <c r="Q272" s="115"/>
      <c r="R272" s="115"/>
      <c r="S272" s="115"/>
      <c r="T272" s="115"/>
      <c r="U272" s="115"/>
      <c r="V272" s="115"/>
      <c r="W272" s="115"/>
      <c r="X272" s="115"/>
      <c r="Y272" s="115"/>
      <c r="Z272" s="115"/>
    </row>
    <row r="273" spans="1:26" ht="12.75" customHeight="1" x14ac:dyDescent="0.25">
      <c r="A273" s="601"/>
      <c r="B273" s="401"/>
      <c r="C273" s="401"/>
      <c r="D273" s="639"/>
      <c r="E273" s="639"/>
      <c r="F273" s="2510"/>
      <c r="G273" s="2510"/>
      <c r="H273" s="2510"/>
      <c r="I273" s="2510"/>
      <c r="J273" s="2510"/>
      <c r="K273" s="115"/>
      <c r="L273" s="115"/>
      <c r="M273" s="115"/>
      <c r="N273" s="115"/>
      <c r="O273" s="115"/>
      <c r="P273" s="115"/>
      <c r="Q273" s="115"/>
      <c r="R273" s="115"/>
      <c r="S273" s="115"/>
      <c r="T273" s="115"/>
      <c r="U273" s="115"/>
      <c r="V273" s="115"/>
      <c r="W273" s="115"/>
      <c r="X273" s="115"/>
      <c r="Y273" s="115"/>
      <c r="Z273" s="115"/>
    </row>
    <row r="274" spans="1:26" ht="12.75" customHeight="1" x14ac:dyDescent="0.25">
      <c r="A274" s="601"/>
      <c r="B274" s="401"/>
      <c r="C274" s="401"/>
      <c r="D274" s="639"/>
      <c r="E274" s="639"/>
      <c r="F274" s="219"/>
      <c r="G274" s="219"/>
      <c r="H274" s="219"/>
      <c r="I274" s="219"/>
      <c r="J274" s="407">
        <v>2025</v>
      </c>
      <c r="K274" s="407">
        <v>2026</v>
      </c>
      <c r="L274" s="407">
        <v>2027</v>
      </c>
      <c r="M274" s="407">
        <v>2028</v>
      </c>
      <c r="N274" s="407">
        <v>2029</v>
      </c>
      <c r="O274" s="407">
        <v>2030</v>
      </c>
      <c r="P274" s="115"/>
      <c r="Q274" s="115"/>
      <c r="R274" s="115"/>
      <c r="S274" s="115"/>
      <c r="T274" s="115"/>
      <c r="U274" s="115"/>
      <c r="V274" s="115"/>
      <c r="W274" s="115"/>
      <c r="X274" s="115"/>
      <c r="Y274" s="115"/>
      <c r="Z274" s="115"/>
    </row>
    <row r="275" spans="1:26" ht="12.75" customHeight="1" x14ac:dyDescent="0.25">
      <c r="A275" s="601"/>
      <c r="B275" s="401"/>
      <c r="C275" s="401"/>
      <c r="D275" s="446"/>
      <c r="E275" s="446"/>
      <c r="F275" s="114"/>
      <c r="G275" s="115"/>
      <c r="H275" s="558"/>
      <c r="I275" s="558"/>
      <c r="J275" s="558"/>
      <c r="K275" s="558"/>
      <c r="L275" s="558"/>
      <c r="M275" s="558"/>
      <c r="N275" s="558"/>
      <c r="O275" s="558"/>
      <c r="P275" s="115"/>
      <c r="Q275" s="115"/>
      <c r="R275" s="115"/>
      <c r="S275" s="115"/>
      <c r="T275" s="115"/>
      <c r="U275" s="115"/>
      <c r="V275" s="115"/>
      <c r="W275" s="115"/>
      <c r="X275" s="115"/>
      <c r="Y275" s="115"/>
      <c r="Z275" s="115"/>
    </row>
    <row r="276" spans="1:26" ht="12.75" customHeight="1" x14ac:dyDescent="0.25">
      <c r="A276" s="601"/>
      <c r="B276" s="401"/>
      <c r="C276" s="401"/>
      <c r="D276" s="446" t="s">
        <v>2735</v>
      </c>
      <c r="E276" s="446"/>
      <c r="F276" s="482">
        <v>31506</v>
      </c>
      <c r="G276" s="115" t="s">
        <v>663</v>
      </c>
      <c r="H276" s="1275">
        <v>0.25</v>
      </c>
      <c r="I276" s="1275"/>
      <c r="J276" s="558">
        <v>7932.25</v>
      </c>
      <c r="K276" s="558"/>
      <c r="L276" s="558"/>
      <c r="M276" s="558"/>
      <c r="N276" s="558"/>
      <c r="O276" s="558"/>
      <c r="P276" s="115"/>
      <c r="Q276" s="115"/>
      <c r="R276" s="115"/>
      <c r="S276" s="115"/>
      <c r="T276" s="115"/>
      <c r="U276" s="115"/>
      <c r="V276" s="115"/>
      <c r="W276" s="115"/>
      <c r="X276" s="115"/>
      <c r="Y276" s="115"/>
      <c r="Z276" s="115"/>
    </row>
    <row r="277" spans="1:26" ht="12.75" customHeight="1" x14ac:dyDescent="0.25">
      <c r="A277" s="601"/>
      <c r="B277" s="401"/>
      <c r="C277" s="401"/>
      <c r="D277" s="446" t="s">
        <v>2736</v>
      </c>
      <c r="E277" s="446"/>
      <c r="F277" s="482">
        <v>32141</v>
      </c>
      <c r="G277" s="115" t="s">
        <v>663</v>
      </c>
      <c r="H277" s="1275">
        <v>0.25</v>
      </c>
      <c r="I277" s="1275"/>
      <c r="J277" s="558"/>
      <c r="K277" s="558">
        <v>8035.25</v>
      </c>
      <c r="L277" s="558"/>
      <c r="M277" s="558"/>
      <c r="N277" s="558"/>
      <c r="O277" s="558"/>
      <c r="P277" s="115"/>
      <c r="Q277" s="115"/>
      <c r="R277" s="115"/>
      <c r="S277" s="115"/>
      <c r="T277" s="115"/>
      <c r="U277" s="115"/>
      <c r="V277" s="115"/>
      <c r="W277" s="115"/>
      <c r="X277" s="115"/>
      <c r="Y277" s="115"/>
      <c r="Z277" s="115"/>
    </row>
    <row r="278" spans="1:26" ht="12.75" customHeight="1" x14ac:dyDescent="0.25">
      <c r="A278" s="601"/>
      <c r="B278" s="401"/>
      <c r="C278" s="401"/>
      <c r="D278" s="446" t="s">
        <v>2737</v>
      </c>
      <c r="E278" s="446"/>
      <c r="F278" s="482">
        <v>32540</v>
      </c>
      <c r="G278" s="115" t="s">
        <v>663</v>
      </c>
      <c r="H278" s="1275">
        <v>0.25</v>
      </c>
      <c r="I278" s="1275"/>
      <c r="J278" s="558"/>
      <c r="K278" s="558"/>
      <c r="L278" s="558">
        <f>F278*H278</f>
        <v>8135</v>
      </c>
      <c r="M278" s="558"/>
      <c r="N278" s="558"/>
      <c r="O278" s="558"/>
      <c r="P278" s="115"/>
      <c r="Q278" s="115"/>
      <c r="R278" s="115"/>
      <c r="S278" s="115"/>
      <c r="T278" s="115"/>
      <c r="U278" s="115"/>
      <c r="V278" s="115"/>
      <c r="W278" s="115"/>
      <c r="X278" s="115"/>
      <c r="Y278" s="115"/>
      <c r="Z278" s="115"/>
    </row>
    <row r="279" spans="1:26" ht="12.75" customHeight="1" x14ac:dyDescent="0.25">
      <c r="A279" s="601"/>
      <c r="B279" s="401"/>
      <c r="C279" s="401"/>
      <c r="D279" s="446" t="s">
        <v>2738</v>
      </c>
      <c r="E279" s="446"/>
      <c r="F279" s="482">
        <v>33182</v>
      </c>
      <c r="G279" s="115" t="s">
        <v>663</v>
      </c>
      <c r="H279" s="1275">
        <v>0.25</v>
      </c>
      <c r="I279" s="1275"/>
      <c r="J279" s="558"/>
      <c r="K279" s="558"/>
      <c r="L279" s="558"/>
      <c r="M279" s="558">
        <f>+F279*H279</f>
        <v>8295.5</v>
      </c>
      <c r="N279" s="115"/>
      <c r="O279" s="115"/>
      <c r="P279" s="115"/>
      <c r="Q279" s="115"/>
      <c r="R279" s="115"/>
      <c r="S279" s="115"/>
      <c r="T279" s="115"/>
      <c r="U279" s="115"/>
      <c r="V279" s="115"/>
      <c r="W279" s="115"/>
      <c r="X279" s="115"/>
      <c r="Y279" s="115"/>
      <c r="Z279" s="115"/>
    </row>
    <row r="280" spans="1:26" ht="12.75" customHeight="1" x14ac:dyDescent="0.25">
      <c r="A280" s="601"/>
      <c r="B280" s="401"/>
      <c r="C280" s="401"/>
      <c r="D280" s="446" t="s">
        <v>2739</v>
      </c>
      <c r="E280" s="446"/>
      <c r="F280" s="482">
        <v>33710</v>
      </c>
      <c r="G280" s="115" t="s">
        <v>663</v>
      </c>
      <c r="H280" s="1275">
        <v>0.25</v>
      </c>
      <c r="I280" s="1275"/>
      <c r="J280" s="558"/>
      <c r="K280" s="558"/>
      <c r="L280" s="558"/>
      <c r="M280" s="558"/>
      <c r="N280" s="558">
        <f>+F280*H280</f>
        <v>8427.5</v>
      </c>
      <c r="O280" s="558"/>
      <c r="P280" s="115"/>
      <c r="Q280" s="115"/>
      <c r="R280" s="115"/>
      <c r="S280" s="115"/>
      <c r="T280" s="115"/>
      <c r="U280" s="115"/>
      <c r="V280" s="115"/>
      <c r="W280" s="115"/>
      <c r="X280" s="115"/>
      <c r="Y280" s="115"/>
      <c r="Z280" s="115"/>
    </row>
    <row r="281" spans="1:26" ht="12.75" customHeight="1" x14ac:dyDescent="0.25">
      <c r="A281" s="601"/>
      <c r="B281" s="401"/>
      <c r="C281" s="401"/>
      <c r="D281" s="2052" t="s">
        <v>5272</v>
      </c>
      <c r="E281" s="2052"/>
      <c r="F281" s="2053">
        <v>33710</v>
      </c>
      <c r="G281" s="358" t="s">
        <v>663</v>
      </c>
      <c r="H281" s="2054">
        <v>0.25</v>
      </c>
      <c r="I281" s="1275"/>
      <c r="J281" s="558"/>
      <c r="K281" s="558"/>
      <c r="L281" s="558"/>
      <c r="M281" s="558"/>
      <c r="N281" s="558"/>
      <c r="O281" s="558">
        <f>+F281*H281</f>
        <v>8427.5</v>
      </c>
      <c r="P281" s="115"/>
      <c r="Q281" s="115"/>
      <c r="R281" s="115"/>
      <c r="S281" s="115"/>
      <c r="T281" s="115"/>
      <c r="U281" s="115"/>
      <c r="V281" s="115"/>
      <c r="W281" s="115"/>
      <c r="X281" s="115"/>
      <c r="Y281" s="115"/>
      <c r="Z281" s="115"/>
    </row>
    <row r="282" spans="1:26" ht="12.75" customHeight="1" thickBot="1" x14ac:dyDescent="0.3">
      <c r="A282" s="601"/>
      <c r="B282" s="401"/>
      <c r="C282" s="401"/>
      <c r="D282" s="639"/>
      <c r="E282" s="639"/>
      <c r="F282" s="401" t="s">
        <v>2740</v>
      </c>
      <c r="G282" s="401"/>
      <c r="H282" s="558"/>
      <c r="I282" s="558"/>
      <c r="J282" s="1768">
        <v>7932.25</v>
      </c>
      <c r="K282" s="1768">
        <v>8035.25</v>
      </c>
      <c r="L282" s="1768">
        <f>SUM(L276:L279)</f>
        <v>8135</v>
      </c>
      <c r="M282" s="1768">
        <f>SUM(M276:M279)</f>
        <v>8295.5</v>
      </c>
      <c r="N282" s="1768">
        <f>SUM(N276:N280)</f>
        <v>8427.5</v>
      </c>
      <c r="O282" s="1768">
        <f>SUM(O276:O281)</f>
        <v>8427.5</v>
      </c>
      <c r="P282" s="115"/>
      <c r="Q282" s="115"/>
      <c r="R282" s="115"/>
      <c r="S282" s="115"/>
      <c r="T282" s="115"/>
      <c r="U282" s="115"/>
      <c r="V282" s="115"/>
      <c r="W282" s="115"/>
      <c r="X282" s="115"/>
      <c r="Y282" s="115"/>
      <c r="Z282" s="115"/>
    </row>
    <row r="283" spans="1:26" ht="12.75" customHeight="1" thickTop="1" x14ac:dyDescent="0.25">
      <c r="A283" s="336"/>
      <c r="B283" s="306"/>
      <c r="C283" s="306"/>
      <c r="D283" s="301"/>
      <c r="E283" s="301"/>
      <c r="F283" s="301"/>
      <c r="G283" s="115"/>
      <c r="H283" s="115"/>
      <c r="I283" s="115"/>
      <c r="J283" s="115"/>
      <c r="K283" s="115"/>
      <c r="L283" s="115"/>
      <c r="M283" s="115"/>
      <c r="N283" s="115"/>
      <c r="O283" s="115"/>
      <c r="P283" s="115"/>
      <c r="Q283" s="115"/>
      <c r="R283" s="115"/>
      <c r="S283" s="115"/>
      <c r="T283" s="115"/>
      <c r="U283" s="115"/>
      <c r="V283" s="115"/>
      <c r="W283" s="115"/>
      <c r="X283" s="115"/>
      <c r="Y283" s="115"/>
      <c r="Z283" s="115"/>
    </row>
    <row r="284" spans="1:26" ht="12.75" customHeight="1" x14ac:dyDescent="0.25">
      <c r="A284" s="336"/>
      <c r="B284" s="115"/>
      <c r="C284" s="115"/>
      <c r="D284" s="143"/>
      <c r="E284" s="143"/>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spans="1:26" ht="12.75" customHeight="1" x14ac:dyDescent="0.25">
      <c r="A285" s="336"/>
      <c r="B285" s="115"/>
      <c r="C285" s="115"/>
      <c r="D285" s="143"/>
      <c r="E285" s="143"/>
      <c r="F285" s="115"/>
      <c r="G285" s="115"/>
      <c r="H285" s="115"/>
      <c r="I285" s="115"/>
      <c r="J285" s="486"/>
      <c r="K285" s="486"/>
      <c r="L285" s="486"/>
      <c r="M285" s="486"/>
      <c r="N285" s="486"/>
      <c r="O285" s="486"/>
      <c r="P285" s="115"/>
      <c r="Q285" s="115"/>
      <c r="R285" s="115"/>
      <c r="S285" s="115"/>
      <c r="T285" s="115"/>
      <c r="U285" s="115"/>
      <c r="V285" s="115"/>
      <c r="W285" s="115"/>
      <c r="X285" s="115"/>
      <c r="Y285" s="115"/>
      <c r="Z285" s="115"/>
    </row>
    <row r="286" spans="1:26" ht="12.75" customHeight="1" x14ac:dyDescent="0.25">
      <c r="A286" s="336"/>
      <c r="B286" s="115"/>
      <c r="C286" s="115"/>
      <c r="D286" s="393">
        <f>D128</f>
        <v>616013</v>
      </c>
      <c r="E286" s="382"/>
      <c r="F286" s="410" t="s">
        <v>2687</v>
      </c>
      <c r="G286" s="381"/>
      <c r="H286" s="115"/>
      <c r="I286" s="115"/>
      <c r="J286" s="115"/>
      <c r="K286" s="115"/>
      <c r="L286" s="115"/>
      <c r="M286" s="115"/>
      <c r="N286" s="115"/>
      <c r="O286" s="115"/>
      <c r="P286" s="115"/>
      <c r="Q286" s="115"/>
      <c r="R286" s="115"/>
      <c r="S286" s="115"/>
      <c r="T286" s="115"/>
      <c r="U286" s="115"/>
      <c r="V286" s="115"/>
      <c r="W286" s="115"/>
      <c r="X286" s="115"/>
      <c r="Y286" s="115"/>
      <c r="Z286" s="115"/>
    </row>
    <row r="287" spans="1:26" ht="12.75" customHeight="1" x14ac:dyDescent="0.25">
      <c r="A287" s="336"/>
      <c r="B287" s="115"/>
      <c r="C287" s="115"/>
      <c r="D287" s="382"/>
      <c r="E287" s="382"/>
      <c r="F287" s="114" t="s">
        <v>2741</v>
      </c>
      <c r="G287" s="381"/>
      <c r="H287" s="115"/>
      <c r="I287" s="115"/>
      <c r="J287" s="114"/>
      <c r="K287" s="114"/>
      <c r="L287" s="114"/>
      <c r="M287" s="114"/>
      <c r="N287" s="114"/>
      <c r="O287" s="114"/>
      <c r="P287" s="115"/>
      <c r="Q287" s="115"/>
      <c r="R287" s="115"/>
      <c r="S287" s="115"/>
      <c r="T287" s="115"/>
      <c r="U287" s="115"/>
      <c r="V287" s="115"/>
      <c r="W287" s="115"/>
      <c r="X287" s="115"/>
      <c r="Y287" s="115"/>
      <c r="Z287" s="115"/>
    </row>
    <row r="288" spans="1:26" ht="12.75" customHeight="1" x14ac:dyDescent="0.25">
      <c r="A288" s="336"/>
      <c r="B288" s="115"/>
      <c r="C288" s="115"/>
      <c r="D288" s="336"/>
      <c r="E288" s="336"/>
      <c r="F288" s="308" t="s">
        <v>2742</v>
      </c>
      <c r="G288" s="115"/>
      <c r="H288" s="115"/>
      <c r="I288" s="115"/>
      <c r="J288" s="115"/>
      <c r="K288" s="115"/>
      <c r="L288" s="115"/>
      <c r="M288" s="115"/>
      <c r="N288" s="115"/>
      <c r="O288" s="115"/>
      <c r="P288" s="115"/>
      <c r="Q288" s="115"/>
      <c r="R288" s="115"/>
      <c r="S288" s="115"/>
      <c r="T288" s="115"/>
      <c r="U288" s="115"/>
      <c r="V288" s="115"/>
      <c r="W288" s="115"/>
      <c r="X288" s="115"/>
      <c r="Y288" s="115"/>
      <c r="Z288" s="115"/>
    </row>
    <row r="289" spans="1:26" ht="12.75" customHeight="1" x14ac:dyDescent="0.25">
      <c r="A289" s="336"/>
      <c r="B289" s="115"/>
      <c r="C289" s="115"/>
      <c r="D289" s="143">
        <v>43812</v>
      </c>
      <c r="E289" s="143"/>
      <c r="F289" s="306" t="s">
        <v>535</v>
      </c>
      <c r="G289" s="115"/>
      <c r="H289" s="115"/>
      <c r="I289" s="115"/>
      <c r="J289" s="558">
        <v>61794</v>
      </c>
      <c r="K289" s="558">
        <v>63401</v>
      </c>
      <c r="L289" s="558">
        <f>ROUND(K289*T$2,0)</f>
        <v>64732</v>
      </c>
      <c r="M289" s="558">
        <f>ROUND(L289*U$2,0)</f>
        <v>66221</v>
      </c>
      <c r="N289" s="558">
        <f>ROUND(M289*V$2,0)</f>
        <v>67744</v>
      </c>
      <c r="O289" s="558">
        <f>ROUND(N289*W$2,0)</f>
        <v>69302</v>
      </c>
      <c r="P289" s="115"/>
      <c r="Q289" s="115"/>
      <c r="R289" s="115"/>
      <c r="S289" s="115"/>
      <c r="T289" s="115"/>
      <c r="U289" s="115"/>
      <c r="V289" s="115"/>
      <c r="W289" s="115"/>
      <c r="X289" s="115"/>
      <c r="Y289" s="115"/>
      <c r="Z289" s="115"/>
    </row>
    <row r="290" spans="1:26" ht="12.75" customHeight="1" thickBot="1" x14ac:dyDescent="0.3">
      <c r="A290" s="336"/>
      <c r="B290" s="115"/>
      <c r="C290" s="115"/>
      <c r="D290" s="301"/>
      <c r="E290" s="301"/>
      <c r="F290" s="115" t="str">
        <f>"Totaal "&amp;D289</f>
        <v>Totaal 43812</v>
      </c>
      <c r="G290" s="115"/>
      <c r="H290" s="115"/>
      <c r="I290" s="115"/>
      <c r="J290" s="1744">
        <v>61794</v>
      </c>
      <c r="K290" s="1744">
        <v>63401</v>
      </c>
      <c r="L290" s="1744">
        <f>SUM(L289:L289)</f>
        <v>64732</v>
      </c>
      <c r="M290" s="1744">
        <f>SUM(M289:M289)</f>
        <v>66221</v>
      </c>
      <c r="N290" s="1744">
        <f>SUM(N289:N289)</f>
        <v>67744</v>
      </c>
      <c r="O290" s="1744">
        <f>SUM(O289:O289)</f>
        <v>69302</v>
      </c>
      <c r="P290" s="115"/>
      <c r="Q290" s="115"/>
      <c r="R290" s="115"/>
      <c r="S290" s="115"/>
      <c r="T290" s="115"/>
      <c r="U290" s="115"/>
      <c r="V290" s="115"/>
      <c r="W290" s="115"/>
      <c r="X290" s="115"/>
      <c r="Y290" s="115"/>
      <c r="Z290" s="115"/>
    </row>
    <row r="291" spans="1:26" ht="12.75" customHeight="1" thickTop="1" x14ac:dyDescent="0.25">
      <c r="A291" s="336"/>
      <c r="B291" s="115"/>
      <c r="C291" s="115"/>
      <c r="D291" s="301"/>
      <c r="E291" s="301"/>
      <c r="F291" s="115"/>
      <c r="G291" s="115"/>
      <c r="H291" s="115"/>
      <c r="I291" s="115"/>
      <c r="J291" s="114"/>
      <c r="K291" s="114"/>
      <c r="L291" s="114"/>
      <c r="M291" s="114"/>
      <c r="N291" s="114"/>
      <c r="O291" s="114"/>
      <c r="P291" s="115"/>
      <c r="Q291" s="115"/>
      <c r="R291" s="115"/>
      <c r="S291" s="115"/>
      <c r="T291" s="115"/>
      <c r="U291" s="115"/>
      <c r="V291" s="115"/>
      <c r="W291" s="115"/>
      <c r="X291" s="115"/>
      <c r="Y291" s="115"/>
      <c r="Z291" s="115"/>
    </row>
    <row r="292" spans="1:26" ht="12.75" customHeight="1" x14ac:dyDescent="0.25">
      <c r="A292" s="336"/>
      <c r="B292" s="306"/>
      <c r="C292" s="306"/>
      <c r="D292" s="393">
        <f>D160</f>
        <v>616015</v>
      </c>
      <c r="E292" s="393"/>
      <c r="F292" s="410" t="s">
        <v>2743</v>
      </c>
      <c r="G292" s="115"/>
      <c r="H292" s="114"/>
      <c r="I292" s="114"/>
      <c r="J292" s="114"/>
      <c r="K292" s="114"/>
      <c r="L292" s="114"/>
      <c r="M292" s="114"/>
      <c r="N292" s="114"/>
      <c r="O292" s="114"/>
      <c r="P292" s="115"/>
      <c r="Q292" s="115"/>
      <c r="R292" s="115"/>
      <c r="S292" s="115"/>
      <c r="T292" s="115"/>
      <c r="U292" s="115"/>
      <c r="V292" s="115"/>
      <c r="W292" s="115"/>
      <c r="X292" s="115"/>
      <c r="Y292" s="115"/>
      <c r="Z292" s="115"/>
    </row>
    <row r="293" spans="1:26" ht="12.75" customHeight="1" x14ac:dyDescent="0.25">
      <c r="A293" s="336"/>
      <c r="B293" s="306"/>
      <c r="C293" s="306"/>
      <c r="D293" s="143">
        <v>43812</v>
      </c>
      <c r="E293" s="143"/>
      <c r="F293" s="114" t="s">
        <v>2744</v>
      </c>
      <c r="G293" s="115"/>
      <c r="H293" s="114"/>
      <c r="I293" s="114"/>
      <c r="J293" s="114"/>
      <c r="K293" s="114"/>
      <c r="L293" s="114"/>
      <c r="M293" s="114"/>
      <c r="N293" s="114"/>
      <c r="O293" s="114"/>
      <c r="P293" s="115"/>
      <c r="Q293" s="115"/>
      <c r="R293" s="115"/>
      <c r="S293" s="115"/>
      <c r="T293" s="115"/>
      <c r="U293" s="115"/>
      <c r="V293" s="115"/>
      <c r="W293" s="115"/>
      <c r="X293" s="115"/>
      <c r="Y293" s="115"/>
      <c r="Z293" s="115"/>
    </row>
    <row r="294" spans="1:26" ht="12.75" customHeight="1" x14ac:dyDescent="0.25">
      <c r="A294" s="336"/>
      <c r="B294" s="306"/>
      <c r="C294" s="306"/>
      <c r="D294" s="336"/>
      <c r="E294" s="336"/>
      <c r="F294" s="114"/>
      <c r="G294" s="115"/>
      <c r="H294" s="114"/>
      <c r="I294" s="114"/>
      <c r="J294" s="114"/>
      <c r="K294" s="114"/>
      <c r="L294" s="114"/>
      <c r="M294" s="114"/>
      <c r="N294" s="114"/>
      <c r="O294" s="114"/>
      <c r="P294" s="115"/>
      <c r="Q294" s="115"/>
      <c r="R294" s="115"/>
      <c r="S294" s="115"/>
      <c r="T294" s="115"/>
      <c r="U294" s="115"/>
      <c r="V294" s="115"/>
      <c r="W294" s="115"/>
      <c r="X294" s="115"/>
      <c r="Y294" s="115"/>
      <c r="Z294" s="115"/>
    </row>
    <row r="295" spans="1:26" ht="12.75" customHeight="1" x14ac:dyDescent="0.25">
      <c r="A295" s="336"/>
      <c r="B295" s="306"/>
      <c r="C295" s="306"/>
      <c r="D295" s="336"/>
      <c r="E295" s="336"/>
      <c r="F295" s="1180" t="s">
        <v>2745</v>
      </c>
      <c r="G295" s="115"/>
      <c r="H295" s="114"/>
      <c r="I295" s="114"/>
      <c r="J295" s="407">
        <v>2025</v>
      </c>
      <c r="K295" s="407">
        <v>2026</v>
      </c>
      <c r="L295" s="407">
        <v>2027</v>
      </c>
      <c r="M295" s="407">
        <v>2028</v>
      </c>
      <c r="N295" s="407">
        <v>2029</v>
      </c>
      <c r="O295" s="407">
        <v>2030</v>
      </c>
      <c r="P295" s="115"/>
      <c r="Q295" s="115"/>
      <c r="R295" s="115"/>
      <c r="S295" s="115"/>
      <c r="T295" s="115"/>
      <c r="U295" s="115"/>
      <c r="V295" s="115"/>
      <c r="W295" s="115"/>
      <c r="X295" s="115"/>
      <c r="Y295" s="115"/>
      <c r="Z295" s="115"/>
    </row>
    <row r="296" spans="1:26" ht="12.75" customHeight="1" x14ac:dyDescent="0.25">
      <c r="A296" s="336"/>
      <c r="B296" s="306"/>
      <c r="C296" s="306"/>
      <c r="D296" s="336"/>
      <c r="E296" s="336"/>
      <c r="F296" s="114"/>
      <c r="G296" s="400"/>
      <c r="H296" s="114"/>
      <c r="I296" s="114"/>
      <c r="J296" s="114"/>
      <c r="K296" s="114"/>
      <c r="L296" s="114"/>
      <c r="M296" s="114"/>
      <c r="N296" s="114"/>
      <c r="O296" s="114"/>
      <c r="P296" s="115"/>
      <c r="Q296" s="115"/>
      <c r="R296" s="115"/>
      <c r="S296" s="115"/>
      <c r="T296" s="115"/>
      <c r="U296" s="115"/>
      <c r="V296" s="115"/>
      <c r="W296" s="115"/>
      <c r="X296" s="115"/>
      <c r="Y296" s="115"/>
      <c r="Z296" s="115"/>
    </row>
    <row r="297" spans="1:26" ht="12.75" customHeight="1" x14ac:dyDescent="0.25">
      <c r="A297" s="336"/>
      <c r="B297" s="306"/>
      <c r="C297" s="306"/>
      <c r="D297" s="115"/>
      <c r="E297" s="115"/>
      <c r="F297" s="482">
        <v>31506</v>
      </c>
      <c r="G297" s="398"/>
      <c r="H297" s="633" t="s">
        <v>2746</v>
      </c>
      <c r="I297" s="1033">
        <v>2.16</v>
      </c>
      <c r="J297" s="114">
        <f>4*16860</f>
        <v>67440</v>
      </c>
      <c r="K297" s="114"/>
      <c r="L297" s="114"/>
      <c r="M297" s="114"/>
      <c r="N297" s="114"/>
      <c r="O297" s="114"/>
      <c r="P297" s="115"/>
      <c r="Q297" s="115"/>
      <c r="R297" s="115"/>
      <c r="S297" s="115"/>
      <c r="T297" s="115"/>
      <c r="U297" s="115"/>
      <c r="V297" s="115"/>
      <c r="W297" s="115"/>
      <c r="X297" s="115"/>
      <c r="Y297" s="115"/>
      <c r="Z297" s="115"/>
    </row>
    <row r="298" spans="1:26" ht="12.75" customHeight="1" x14ac:dyDescent="0.25">
      <c r="A298" s="336"/>
      <c r="B298" s="306"/>
      <c r="C298" s="306"/>
      <c r="D298" s="115"/>
      <c r="E298" s="115"/>
      <c r="F298" s="482">
        <v>32141</v>
      </c>
      <c r="G298" s="398"/>
      <c r="H298" s="633" t="s">
        <v>2747</v>
      </c>
      <c r="I298" s="1033">
        <f>I297*S2</f>
        <v>2.2161600000000004</v>
      </c>
      <c r="J298" s="114"/>
      <c r="K298" s="114">
        <v>71229.598560000013</v>
      </c>
      <c r="L298" s="114"/>
      <c r="M298" s="114"/>
      <c r="N298" s="114"/>
      <c r="O298" s="114"/>
      <c r="P298" s="115"/>
      <c r="Q298" s="115"/>
      <c r="R298" s="115"/>
      <c r="S298" s="115"/>
      <c r="T298" s="115"/>
      <c r="U298" s="115"/>
      <c r="V298" s="115"/>
      <c r="W298" s="115"/>
      <c r="X298" s="115"/>
      <c r="Y298" s="115"/>
      <c r="Z298" s="115"/>
    </row>
    <row r="299" spans="1:26" ht="12.75" customHeight="1" x14ac:dyDescent="0.25">
      <c r="A299" s="336"/>
      <c r="B299" s="306"/>
      <c r="C299" s="306"/>
      <c r="D299" s="115"/>
      <c r="E299" s="115"/>
      <c r="F299" s="482">
        <v>32540</v>
      </c>
      <c r="G299" s="398"/>
      <c r="H299" s="633" t="s">
        <v>2748</v>
      </c>
      <c r="I299" s="1033">
        <f>I298*T2</f>
        <v>2.26269936</v>
      </c>
      <c r="J299" s="114"/>
      <c r="K299" s="114"/>
      <c r="L299" s="544">
        <f>F299*I299-144</f>
        <v>73484.237174399997</v>
      </c>
      <c r="M299" s="114"/>
      <c r="N299" s="114"/>
      <c r="O299" s="114"/>
      <c r="P299" s="115"/>
      <c r="Q299" s="115"/>
      <c r="R299" s="115"/>
      <c r="S299" s="115"/>
      <c r="T299" s="115"/>
      <c r="U299" s="115"/>
      <c r="V299" s="115"/>
      <c r="W299" s="115"/>
      <c r="X299" s="115"/>
      <c r="Y299" s="115"/>
      <c r="Z299" s="115"/>
    </row>
    <row r="300" spans="1:26" ht="12.75" customHeight="1" x14ac:dyDescent="0.25">
      <c r="A300" s="336"/>
      <c r="B300" s="306"/>
      <c r="C300" s="306"/>
      <c r="D300" s="115"/>
      <c r="E300" s="115"/>
      <c r="F300" s="482">
        <v>33182</v>
      </c>
      <c r="G300" s="398"/>
      <c r="H300" s="633" t="s">
        <v>2749</v>
      </c>
      <c r="I300" s="1033">
        <f>I299*U3</f>
        <v>2.34641923632</v>
      </c>
      <c r="J300" s="114"/>
      <c r="K300" s="114"/>
      <c r="L300" s="114"/>
      <c r="M300" s="544">
        <f>+F300*I300-154</f>
        <v>77704.883099570245</v>
      </c>
      <c r="N300" s="115"/>
      <c r="O300" s="115"/>
      <c r="P300" s="115"/>
      <c r="Q300" s="115"/>
      <c r="R300" s="115"/>
      <c r="S300" s="115"/>
      <c r="T300" s="115"/>
      <c r="U300" s="115"/>
      <c r="V300" s="115"/>
      <c r="W300" s="115"/>
      <c r="X300" s="115"/>
      <c r="Y300" s="115"/>
      <c r="Z300" s="115"/>
    </row>
    <row r="301" spans="1:26" ht="12.75" customHeight="1" x14ac:dyDescent="0.25">
      <c r="A301" s="336"/>
      <c r="B301" s="306"/>
      <c r="C301" s="306"/>
      <c r="D301" s="115"/>
      <c r="E301" s="115"/>
      <c r="F301" s="482">
        <v>33710</v>
      </c>
      <c r="G301" s="398"/>
      <c r="H301" s="633" t="s">
        <v>2750</v>
      </c>
      <c r="I301" s="1033">
        <f>I300*V3</f>
        <v>2.4332367480638397</v>
      </c>
      <c r="J301" s="114"/>
      <c r="K301" s="114"/>
      <c r="L301" s="114"/>
      <c r="M301" s="114"/>
      <c r="N301" s="544">
        <f>+F301*I301-1062</f>
        <v>80962.410777232042</v>
      </c>
      <c r="O301" s="114"/>
      <c r="P301" s="115"/>
      <c r="Q301" s="115"/>
      <c r="R301" s="115"/>
      <c r="S301" s="115"/>
      <c r="T301" s="115"/>
      <c r="U301" s="115"/>
      <c r="V301" s="115"/>
      <c r="W301" s="115"/>
      <c r="X301" s="115"/>
      <c r="Y301" s="115"/>
      <c r="Z301" s="115"/>
    </row>
    <row r="302" spans="1:26" ht="12.75" customHeight="1" x14ac:dyDescent="0.25">
      <c r="A302" s="336"/>
      <c r="B302" s="306"/>
      <c r="C302" s="306"/>
      <c r="D302" s="115"/>
      <c r="E302" s="115"/>
      <c r="F302" s="2053">
        <v>33710</v>
      </c>
      <c r="G302" s="2063"/>
      <c r="H302" s="2093" t="s">
        <v>5273</v>
      </c>
      <c r="I302" s="2107">
        <f>I301*W$4</f>
        <v>2.5072558099399416</v>
      </c>
      <c r="J302" s="114"/>
      <c r="K302" s="114"/>
      <c r="L302" s="114"/>
      <c r="M302" s="114"/>
      <c r="N302" s="114"/>
      <c r="O302" s="114">
        <f>+F302*I302</f>
        <v>84519.593353075426</v>
      </c>
      <c r="P302" s="115"/>
      <c r="Q302" s="115"/>
      <c r="R302" s="115"/>
      <c r="S302" s="115"/>
      <c r="T302" s="115"/>
      <c r="U302" s="115"/>
      <c r="V302" s="115"/>
      <c r="W302" s="115"/>
      <c r="X302" s="115"/>
      <c r="Y302" s="115"/>
      <c r="Z302" s="115"/>
    </row>
    <row r="303" spans="1:26" ht="12.75" customHeight="1" x14ac:dyDescent="0.25">
      <c r="A303" s="336"/>
      <c r="B303" s="306"/>
      <c r="C303" s="306"/>
      <c r="D303" s="336"/>
      <c r="E303" s="336"/>
      <c r="F303" s="398"/>
      <c r="G303" s="400"/>
      <c r="H303" s="114"/>
      <c r="I303" s="114"/>
      <c r="J303" s="114"/>
      <c r="K303" s="114"/>
      <c r="L303" s="114"/>
      <c r="M303" s="114"/>
      <c r="N303" s="114"/>
      <c r="O303" s="114"/>
      <c r="P303" s="115"/>
      <c r="Q303" s="115"/>
      <c r="R303" s="115"/>
      <c r="S303" s="115"/>
      <c r="T303" s="115"/>
      <c r="U303" s="115"/>
      <c r="V303" s="115"/>
      <c r="W303" s="115"/>
      <c r="X303" s="115"/>
      <c r="Y303" s="115"/>
      <c r="Z303" s="115"/>
    </row>
    <row r="304" spans="1:26" ht="12.75" customHeight="1" thickBot="1" x14ac:dyDescent="0.3">
      <c r="A304" s="336"/>
      <c r="B304" s="306"/>
      <c r="C304" s="306"/>
      <c r="D304" s="336"/>
      <c r="E304" s="336"/>
      <c r="F304" s="114" t="str">
        <f>"Totaal "&amp;D293</f>
        <v>Totaal 43812</v>
      </c>
      <c r="G304" s="115"/>
      <c r="H304" s="114"/>
      <c r="I304" s="114"/>
      <c r="J304" s="1744">
        <v>62767.901189919998</v>
      </c>
      <c r="K304" s="1744">
        <v>71229.598560000013</v>
      </c>
      <c r="L304" s="1744">
        <f>SUM(L296:L303)</f>
        <v>73484.237174399997</v>
      </c>
      <c r="M304" s="1744">
        <f>SUM(M296:M303)</f>
        <v>77704.883099570245</v>
      </c>
      <c r="N304" s="1744">
        <f>SUM(N296:N303)</f>
        <v>80962.410777232042</v>
      </c>
      <c r="O304" s="1744">
        <f>SUM(O296:O303)</f>
        <v>84519.593353075426</v>
      </c>
      <c r="P304" s="115"/>
      <c r="Q304" s="115"/>
      <c r="R304" s="115"/>
      <c r="S304" s="115"/>
      <c r="T304" s="115"/>
      <c r="U304" s="115"/>
      <c r="V304" s="115"/>
      <c r="W304" s="115"/>
      <c r="X304" s="115"/>
      <c r="Y304" s="115"/>
      <c r="Z304" s="115"/>
    </row>
    <row r="305" spans="1:26" ht="12.75" customHeight="1" thickTop="1" x14ac:dyDescent="0.25">
      <c r="A305" s="336"/>
      <c r="B305" s="306"/>
      <c r="C305" s="306"/>
      <c r="D305" s="384"/>
      <c r="E305" s="384"/>
      <c r="F305" s="115"/>
      <c r="G305" s="115"/>
      <c r="H305" s="114"/>
      <c r="I305" s="114"/>
      <c r="J305" s="114"/>
      <c r="K305" s="114"/>
      <c r="L305" s="114"/>
      <c r="M305" s="114"/>
      <c r="N305" s="114"/>
      <c r="O305" s="114"/>
      <c r="P305" s="1245"/>
      <c r="Q305" s="1245"/>
      <c r="R305" s="115"/>
      <c r="S305" s="115"/>
      <c r="T305" s="115"/>
      <c r="U305" s="115"/>
      <c r="V305" s="115"/>
      <c r="W305" s="115"/>
      <c r="X305" s="115"/>
      <c r="Y305" s="115"/>
      <c r="Z305" s="115"/>
    </row>
    <row r="306" spans="1:26" ht="12.75" customHeight="1" x14ac:dyDescent="0.25">
      <c r="A306" s="336"/>
      <c r="B306" s="306"/>
      <c r="C306" s="306"/>
      <c r="D306" s="639"/>
      <c r="E306" s="639"/>
      <c r="F306" s="401"/>
      <c r="G306" s="401"/>
      <c r="H306" s="558"/>
      <c r="I306" s="558"/>
      <c r="J306" s="558"/>
      <c r="K306" s="558"/>
      <c r="L306" s="558"/>
      <c r="M306" s="558"/>
      <c r="N306" s="558"/>
      <c r="O306" s="558"/>
      <c r="P306" s="115"/>
      <c r="Q306" s="115"/>
      <c r="R306" s="115"/>
      <c r="S306" s="115"/>
      <c r="T306" s="115"/>
      <c r="U306" s="115"/>
      <c r="V306" s="115"/>
      <c r="W306" s="115"/>
      <c r="X306" s="115"/>
      <c r="Y306" s="115"/>
      <c r="Z306" s="115"/>
    </row>
    <row r="307" spans="1:26" ht="12.75" customHeight="1" x14ac:dyDescent="0.25">
      <c r="A307" s="336"/>
      <c r="B307" s="306"/>
      <c r="C307" s="306"/>
      <c r="D307" s="393">
        <f>D181</f>
        <v>616008</v>
      </c>
      <c r="E307" s="393"/>
      <c r="F307" s="477" t="s">
        <v>2751</v>
      </c>
      <c r="G307" s="115"/>
      <c r="H307" s="558"/>
      <c r="I307" s="558"/>
      <c r="J307" s="401"/>
      <c r="K307" s="401"/>
      <c r="L307" s="401"/>
      <c r="M307" s="401"/>
      <c r="N307" s="401"/>
      <c r="O307" s="401"/>
      <c r="P307" s="115"/>
      <c r="Q307" s="115"/>
      <c r="R307" s="115"/>
      <c r="S307" s="115"/>
      <c r="T307" s="115"/>
      <c r="U307" s="115"/>
      <c r="V307" s="115"/>
      <c r="W307" s="115"/>
      <c r="X307" s="115"/>
      <c r="Y307" s="115"/>
      <c r="Z307" s="115"/>
    </row>
    <row r="308" spans="1:26" ht="12.75" customHeight="1" x14ac:dyDescent="0.25">
      <c r="A308" s="336"/>
      <c r="B308" s="306"/>
      <c r="C308" s="306"/>
      <c r="D308" s="393"/>
      <c r="E308" s="393"/>
      <c r="F308" s="383" t="s">
        <v>533</v>
      </c>
      <c r="G308" s="115"/>
      <c r="H308" s="114"/>
      <c r="I308" s="114"/>
      <c r="J308" s="401"/>
      <c r="K308" s="401"/>
      <c r="L308" s="401"/>
      <c r="M308" s="401"/>
      <c r="N308" s="401"/>
      <c r="O308" s="401"/>
      <c r="P308" s="115"/>
      <c r="Q308" s="115"/>
      <c r="R308" s="115"/>
      <c r="S308" s="115"/>
      <c r="T308" s="115"/>
      <c r="U308" s="115"/>
      <c r="V308" s="115"/>
      <c r="W308" s="115"/>
      <c r="X308" s="115"/>
      <c r="Y308" s="115"/>
      <c r="Z308" s="115"/>
    </row>
    <row r="309" spans="1:26" ht="12.75" customHeight="1" x14ac:dyDescent="0.25">
      <c r="A309" s="336"/>
      <c r="B309" s="306"/>
      <c r="C309" s="306"/>
      <c r="D309" s="384"/>
      <c r="E309" s="384"/>
      <c r="F309" s="2529" t="s">
        <v>2752</v>
      </c>
      <c r="G309" s="2529"/>
      <c r="H309" s="2529"/>
      <c r="I309" s="2529"/>
      <c r="J309" s="2529"/>
      <c r="K309" s="2529"/>
      <c r="L309" s="2529"/>
      <c r="M309" s="2572"/>
      <c r="N309" s="2572"/>
      <c r="O309" s="1196"/>
      <c r="P309" s="115"/>
      <c r="Q309" s="115"/>
      <c r="R309" s="115"/>
      <c r="S309" s="115"/>
      <c r="T309" s="115"/>
      <c r="U309" s="115"/>
      <c r="V309" s="115"/>
      <c r="W309" s="115"/>
      <c r="X309" s="115"/>
      <c r="Y309" s="115"/>
      <c r="Z309" s="115"/>
    </row>
    <row r="310" spans="1:26" ht="12.75" customHeight="1" x14ac:dyDescent="0.25">
      <c r="A310" s="336"/>
      <c r="B310" s="306"/>
      <c r="C310" s="306"/>
      <c r="D310" s="384"/>
      <c r="E310" s="384"/>
      <c r="F310" s="2529"/>
      <c r="G310" s="2529"/>
      <c r="H310" s="2529"/>
      <c r="I310" s="2529"/>
      <c r="J310" s="2529"/>
      <c r="K310" s="2529"/>
      <c r="L310" s="2529"/>
      <c r="M310" s="2572"/>
      <c r="N310" s="2572"/>
      <c r="O310" s="1196"/>
      <c r="P310" s="115"/>
      <c r="Q310" s="115"/>
      <c r="R310" s="115"/>
      <c r="S310" s="115"/>
      <c r="T310" s="115"/>
      <c r="U310" s="115"/>
      <c r="V310" s="115"/>
      <c r="W310" s="115"/>
      <c r="X310" s="115"/>
      <c r="Y310" s="115"/>
      <c r="Z310" s="115"/>
    </row>
    <row r="311" spans="1:26" ht="12.75" customHeight="1" x14ac:dyDescent="0.25">
      <c r="A311" s="336"/>
      <c r="B311" s="306"/>
      <c r="C311" s="306"/>
      <c r="D311" s="384"/>
      <c r="E311" s="384"/>
      <c r="F311" s="2529"/>
      <c r="G311" s="2529"/>
      <c r="H311" s="2529"/>
      <c r="I311" s="2529"/>
      <c r="J311" s="2529"/>
      <c r="K311" s="2529"/>
      <c r="L311" s="2529"/>
      <c r="M311" s="2572"/>
      <c r="N311" s="2572"/>
      <c r="O311" s="1196"/>
      <c r="P311" s="115"/>
      <c r="Q311" s="115"/>
      <c r="R311" s="115"/>
      <c r="S311" s="115"/>
      <c r="T311" s="115"/>
      <c r="U311" s="115"/>
      <c r="V311" s="115"/>
      <c r="W311" s="115"/>
      <c r="X311" s="115"/>
      <c r="Y311" s="115"/>
      <c r="Z311" s="115"/>
    </row>
    <row r="312" spans="1:26" ht="12.75" customHeight="1" x14ac:dyDescent="0.25">
      <c r="A312" s="336"/>
      <c r="B312" s="306"/>
      <c r="C312" s="306"/>
      <c r="D312" s="384"/>
      <c r="E312" s="384"/>
      <c r="F312" s="2529"/>
      <c r="G312" s="2529"/>
      <c r="H312" s="2529"/>
      <c r="I312" s="2529"/>
      <c r="J312" s="2529"/>
      <c r="K312" s="2529"/>
      <c r="L312" s="2529"/>
      <c r="M312" s="2572"/>
      <c r="N312" s="2572"/>
      <c r="O312" s="1196"/>
      <c r="P312" s="115"/>
      <c r="Q312" s="115"/>
      <c r="R312" s="115"/>
      <c r="S312" s="115"/>
      <c r="T312" s="115"/>
      <c r="U312" s="115"/>
      <c r="V312" s="115"/>
      <c r="W312" s="115"/>
      <c r="X312" s="115"/>
      <c r="Y312" s="115"/>
      <c r="Z312" s="115"/>
    </row>
    <row r="313" spans="1:26" ht="12.75" customHeight="1" x14ac:dyDescent="0.25">
      <c r="A313" s="336"/>
      <c r="B313" s="306"/>
      <c r="C313" s="306"/>
      <c r="D313" s="384"/>
      <c r="E313" s="384"/>
      <c r="F313" s="2529"/>
      <c r="G313" s="2529"/>
      <c r="H313" s="2529"/>
      <c r="I313" s="2529"/>
      <c r="J313" s="2529"/>
      <c r="K313" s="2529"/>
      <c r="L313" s="2529"/>
      <c r="M313" s="2572"/>
      <c r="N313" s="2572"/>
      <c r="O313" s="1196"/>
      <c r="P313" s="115"/>
      <c r="Q313" s="115"/>
      <c r="R313" s="115"/>
      <c r="S313" s="115"/>
      <c r="T313" s="115"/>
      <c r="U313" s="115"/>
      <c r="V313" s="115"/>
      <c r="W313" s="115"/>
      <c r="X313" s="115"/>
      <c r="Y313" s="115"/>
      <c r="Z313" s="115"/>
    </row>
    <row r="314" spans="1:26" ht="12.75" customHeight="1" x14ac:dyDescent="0.25">
      <c r="A314" s="336"/>
      <c r="B314" s="306"/>
      <c r="C314" s="306"/>
      <c r="D314" s="384"/>
      <c r="E314" s="384"/>
      <c r="F314" s="2529"/>
      <c r="G314" s="2529"/>
      <c r="H314" s="2529"/>
      <c r="I314" s="2529"/>
      <c r="J314" s="2529"/>
      <c r="K314" s="2529"/>
      <c r="L314" s="2529"/>
      <c r="M314" s="2572"/>
      <c r="N314" s="2572"/>
      <c r="O314" s="1196"/>
      <c r="P314" s="115"/>
      <c r="Q314" s="115"/>
      <c r="R314" s="115"/>
      <c r="S314" s="115"/>
      <c r="T314" s="115"/>
      <c r="U314" s="115"/>
      <c r="V314" s="115"/>
      <c r="W314" s="115"/>
      <c r="X314" s="115"/>
      <c r="Y314" s="115"/>
      <c r="Z314" s="115"/>
    </row>
    <row r="315" spans="1:26" ht="12.75" customHeight="1" x14ac:dyDescent="0.25">
      <c r="A315" s="336"/>
      <c r="B315" s="306"/>
      <c r="C315" s="306"/>
      <c r="D315" s="384"/>
      <c r="E315" s="384"/>
      <c r="F315" s="2529"/>
      <c r="G315" s="2529"/>
      <c r="H315" s="2529"/>
      <c r="I315" s="2529"/>
      <c r="J315" s="2529"/>
      <c r="K315" s="2529"/>
      <c r="L315" s="2529"/>
      <c r="M315" s="2572"/>
      <c r="N315" s="2572"/>
      <c r="O315" s="1196"/>
      <c r="P315" s="115"/>
      <c r="Q315" s="115"/>
      <c r="R315" s="115"/>
      <c r="S315" s="115"/>
      <c r="T315" s="115"/>
      <c r="U315" s="115"/>
      <c r="V315" s="115"/>
      <c r="W315" s="115"/>
      <c r="X315" s="115"/>
      <c r="Y315" s="115"/>
      <c r="Z315" s="115"/>
    </row>
    <row r="316" spans="1:26" ht="12.75" customHeight="1" x14ac:dyDescent="0.25">
      <c r="A316" s="336"/>
      <c r="B316" s="306"/>
      <c r="C316" s="306"/>
      <c r="D316" s="384"/>
      <c r="E316" s="384"/>
      <c r="F316" s="401"/>
      <c r="G316" s="399"/>
      <c r="H316" s="114"/>
      <c r="I316" s="114"/>
      <c r="J316" s="1276">
        <v>2025</v>
      </c>
      <c r="K316" s="407">
        <v>2026</v>
      </c>
      <c r="L316" s="407">
        <v>2027</v>
      </c>
      <c r="M316" s="407">
        <v>2028</v>
      </c>
      <c r="N316" s="407">
        <v>2029</v>
      </c>
      <c r="O316" s="407">
        <v>2030</v>
      </c>
      <c r="P316" s="115"/>
      <c r="Q316" s="115"/>
      <c r="R316" s="115"/>
      <c r="S316" s="115"/>
      <c r="T316" s="115"/>
      <c r="U316" s="115"/>
      <c r="V316" s="115"/>
      <c r="W316" s="115"/>
      <c r="X316" s="115"/>
      <c r="Y316" s="115"/>
      <c r="Z316" s="115"/>
    </row>
    <row r="317" spans="1:26" ht="12.75" customHeight="1" x14ac:dyDescent="0.25">
      <c r="A317" s="336"/>
      <c r="B317" s="306"/>
      <c r="C317" s="306"/>
      <c r="D317" s="384"/>
      <c r="E317" s="384"/>
      <c r="F317" s="115"/>
      <c r="G317" s="399"/>
      <c r="H317" s="114"/>
      <c r="I317" s="114"/>
      <c r="J317" s="115"/>
      <c r="K317" s="115"/>
      <c r="L317" s="115"/>
      <c r="M317" s="115"/>
      <c r="N317" s="115"/>
      <c r="O317" s="115"/>
      <c r="P317" s="115"/>
      <c r="Q317" s="115"/>
      <c r="R317" s="115"/>
      <c r="S317" s="115"/>
      <c r="T317" s="115"/>
      <c r="U317" s="115"/>
      <c r="V317" s="115"/>
      <c r="W317" s="115"/>
      <c r="X317" s="115"/>
      <c r="Y317" s="115"/>
      <c r="Z317" s="115"/>
    </row>
    <row r="318" spans="1:26" ht="12.75" customHeight="1" x14ac:dyDescent="0.25">
      <c r="A318" s="336"/>
      <c r="B318" s="306"/>
      <c r="C318" s="306"/>
      <c r="D318" s="143">
        <v>43812</v>
      </c>
      <c r="E318" s="143"/>
      <c r="F318" s="115" t="s">
        <v>2753</v>
      </c>
      <c r="G318" s="115"/>
      <c r="H318" s="114"/>
      <c r="I318" s="114"/>
      <c r="J318" s="394">
        <v>18725</v>
      </c>
      <c r="K318" s="394">
        <v>19212</v>
      </c>
      <c r="L318" s="394">
        <f>ROUND(K318*T$2,0)</f>
        <v>19615</v>
      </c>
      <c r="M318" s="394">
        <f>ROUND(L318*U$2,0)</f>
        <v>20066</v>
      </c>
      <c r="N318" s="394">
        <f>ROUND(M318*V$2,0)</f>
        <v>20528</v>
      </c>
      <c r="O318" s="394">
        <f>ROUND(N318*W$2,0)</f>
        <v>21000</v>
      </c>
      <c r="P318" s="1245"/>
      <c r="Q318" s="1245"/>
      <c r="R318" s="115"/>
      <c r="S318" s="115"/>
      <c r="T318" s="115"/>
      <c r="U318" s="115"/>
      <c r="V318" s="115"/>
      <c r="W318" s="115"/>
      <c r="X318" s="115"/>
      <c r="Y318" s="115"/>
      <c r="Z318" s="115"/>
    </row>
    <row r="319" spans="1:26" ht="12.75" customHeight="1" thickBot="1" x14ac:dyDescent="0.3">
      <c r="A319" s="336"/>
      <c r="B319" s="306"/>
      <c r="C319" s="306"/>
      <c r="D319" s="384"/>
      <c r="E319" s="384"/>
      <c r="F319" s="115" t="str">
        <f>"Totaal "&amp;D318</f>
        <v>Totaal 43812</v>
      </c>
      <c r="G319" s="115"/>
      <c r="H319" s="114"/>
      <c r="I319" s="114"/>
      <c r="J319" s="1779">
        <v>18725</v>
      </c>
      <c r="K319" s="1779">
        <v>19212</v>
      </c>
      <c r="L319" s="1779">
        <f>SUM(L318:L318)</f>
        <v>19615</v>
      </c>
      <c r="M319" s="1779">
        <f>SUM(M318:M318)</f>
        <v>20066</v>
      </c>
      <c r="N319" s="1779">
        <f>SUM(N318:N318)</f>
        <v>20528</v>
      </c>
      <c r="O319" s="1779">
        <f>SUM(O318:O318)</f>
        <v>21000</v>
      </c>
      <c r="P319" s="1245"/>
      <c r="Q319" s="1245"/>
      <c r="R319" s="115"/>
      <c r="S319" s="115"/>
      <c r="T319" s="115"/>
      <c r="U319" s="115"/>
      <c r="V319" s="115"/>
      <c r="W319" s="115"/>
      <c r="X319" s="115"/>
      <c r="Y319" s="115"/>
      <c r="Z319" s="115"/>
    </row>
    <row r="320" spans="1:26" ht="12.75" customHeight="1" thickTop="1" x14ac:dyDescent="0.25">
      <c r="A320" s="336"/>
      <c r="B320" s="306"/>
      <c r="C320" s="306"/>
      <c r="D320" s="384"/>
      <c r="E320" s="384"/>
      <c r="F320" s="115"/>
      <c r="G320" s="115"/>
      <c r="H320" s="114"/>
      <c r="I320" s="114"/>
      <c r="J320" s="394"/>
      <c r="K320" s="394"/>
      <c r="L320" s="394"/>
      <c r="M320" s="394"/>
      <c r="N320" s="394"/>
      <c r="O320" s="394"/>
      <c r="P320" s="1245"/>
      <c r="Q320" s="1245"/>
      <c r="R320" s="115"/>
      <c r="S320" s="115"/>
      <c r="T320" s="115"/>
      <c r="U320" s="115"/>
      <c r="V320" s="115"/>
      <c r="W320" s="115"/>
      <c r="X320" s="115"/>
      <c r="Y320" s="115"/>
      <c r="Z320" s="115"/>
    </row>
    <row r="321" spans="1:26" ht="12.75" customHeight="1" x14ac:dyDescent="0.25">
      <c r="A321" s="336"/>
      <c r="B321" s="306"/>
      <c r="C321" s="306"/>
      <c r="D321" s="393">
        <f>D138</f>
        <v>616016</v>
      </c>
      <c r="E321" s="393"/>
      <c r="F321" s="477" t="s">
        <v>2689</v>
      </c>
      <c r="G321" s="115"/>
      <c r="H321" s="558"/>
      <c r="I321" s="558"/>
      <c r="J321" s="401"/>
      <c r="K321" s="401"/>
      <c r="L321" s="401"/>
      <c r="M321" s="401"/>
      <c r="N321" s="401"/>
      <c r="O321" s="401"/>
      <c r="P321" s="115"/>
      <c r="Q321" s="115"/>
      <c r="R321" s="115"/>
      <c r="S321" s="115"/>
      <c r="T321" s="115"/>
      <c r="U321" s="115"/>
      <c r="V321" s="115"/>
      <c r="W321" s="115"/>
      <c r="X321" s="115"/>
      <c r="Y321" s="115"/>
      <c r="Z321" s="115"/>
    </row>
    <row r="322" spans="1:26" ht="12.75" customHeight="1" x14ac:dyDescent="0.25">
      <c r="A322" s="336"/>
      <c r="B322" s="306"/>
      <c r="C322" s="306"/>
      <c r="D322" s="393"/>
      <c r="E322" s="393"/>
      <c r="F322" s="383" t="s">
        <v>533</v>
      </c>
      <c r="G322" s="115"/>
      <c r="H322" s="114"/>
      <c r="I322" s="114"/>
      <c r="J322" s="401"/>
      <c r="K322" s="401"/>
      <c r="L322" s="401"/>
      <c r="M322" s="401"/>
      <c r="N322" s="401"/>
      <c r="O322" s="401"/>
      <c r="P322" s="115"/>
      <c r="Q322" s="115"/>
      <c r="R322" s="115"/>
      <c r="S322" s="115"/>
      <c r="T322" s="115"/>
      <c r="U322" s="115"/>
      <c r="V322" s="115"/>
      <c r="W322" s="115"/>
      <c r="X322" s="115"/>
      <c r="Y322" s="115"/>
      <c r="Z322" s="115"/>
    </row>
    <row r="323" spans="1:26" ht="12.75" customHeight="1" x14ac:dyDescent="0.25">
      <c r="A323" s="336"/>
      <c r="B323" s="306"/>
      <c r="C323" s="306"/>
      <c r="D323" s="143">
        <v>43511</v>
      </c>
      <c r="E323" s="143"/>
      <c r="F323" s="115" t="s">
        <v>2754</v>
      </c>
      <c r="G323" s="115"/>
      <c r="H323" s="114"/>
      <c r="I323" s="114"/>
      <c r="J323" s="394">
        <v>92803</v>
      </c>
      <c r="K323" s="394">
        <v>82659</v>
      </c>
      <c r="L323" s="394">
        <f>-L403-12000</f>
        <v>86635</v>
      </c>
      <c r="M323" s="394">
        <f>-M403-12000</f>
        <v>90284</v>
      </c>
      <c r="N323" s="394">
        <f>-N403-12000</f>
        <v>94069</v>
      </c>
      <c r="O323" s="394">
        <f>-O403-12000</f>
        <v>97994</v>
      </c>
      <c r="P323" s="115"/>
      <c r="Q323" s="115"/>
      <c r="R323" s="115"/>
      <c r="S323" s="115"/>
      <c r="T323" s="115"/>
      <c r="U323" s="115"/>
      <c r="V323" s="115"/>
      <c r="W323" s="115"/>
      <c r="X323" s="115"/>
      <c r="Y323" s="115"/>
      <c r="Z323" s="115"/>
    </row>
    <row r="324" spans="1:26" ht="12.75" customHeight="1" x14ac:dyDescent="0.25">
      <c r="A324" s="336"/>
      <c r="B324" s="306"/>
      <c r="C324" s="306"/>
      <c r="D324" s="143"/>
      <c r="E324" s="143"/>
      <c r="F324" s="115"/>
      <c r="G324" s="115"/>
      <c r="H324" s="114"/>
      <c r="I324" s="114"/>
      <c r="J324" s="394"/>
      <c r="K324" s="394"/>
      <c r="L324" s="394"/>
      <c r="M324" s="394"/>
      <c r="N324" s="394"/>
      <c r="O324" s="394"/>
      <c r="P324" s="115"/>
      <c r="Q324" s="115"/>
      <c r="R324" s="115"/>
      <c r="S324" s="115"/>
      <c r="T324" s="115"/>
      <c r="U324" s="115"/>
      <c r="V324" s="115"/>
      <c r="W324" s="115"/>
      <c r="X324" s="115"/>
      <c r="Y324" s="115"/>
      <c r="Z324" s="115"/>
    </row>
    <row r="325" spans="1:26" ht="12.75" customHeight="1" thickBot="1" x14ac:dyDescent="0.3">
      <c r="A325" s="336"/>
      <c r="B325" s="306"/>
      <c r="C325" s="306"/>
      <c r="D325" s="384"/>
      <c r="E325" s="384"/>
      <c r="F325" s="115" t="str">
        <f>"Totaal "&amp;D323</f>
        <v>Totaal 43511</v>
      </c>
      <c r="G325" s="115"/>
      <c r="H325" s="114"/>
      <c r="I325" s="114"/>
      <c r="J325" s="1779">
        <v>92803</v>
      </c>
      <c r="K325" s="1779">
        <v>82659</v>
      </c>
      <c r="L325" s="1779">
        <f>SUM(L323:L323)</f>
        <v>86635</v>
      </c>
      <c r="M325" s="1779">
        <f>SUM(M323:M323)</f>
        <v>90284</v>
      </c>
      <c r="N325" s="1779">
        <f>SUM(N323:N323)</f>
        <v>94069</v>
      </c>
      <c r="O325" s="1779">
        <f>SUM(O323:O323)</f>
        <v>97994</v>
      </c>
      <c r="P325" s="115"/>
      <c r="Q325" s="115"/>
    </row>
    <row r="326" spans="1:26" ht="12.75" customHeight="1" thickTop="1" x14ac:dyDescent="0.25">
      <c r="A326" s="336"/>
      <c r="B326" s="306"/>
      <c r="C326" s="306"/>
      <c r="D326" s="384"/>
      <c r="E326" s="384"/>
      <c r="F326" s="401"/>
      <c r="G326" s="401"/>
      <c r="H326" s="401"/>
      <c r="I326" s="401"/>
      <c r="J326" s="399"/>
      <c r="K326" s="399"/>
      <c r="L326" s="399"/>
      <c r="M326" s="399"/>
      <c r="N326" s="399"/>
      <c r="O326" s="399"/>
      <c r="P326" s="115"/>
      <c r="Q326" s="115"/>
    </row>
    <row r="327" spans="1:26" ht="12.75" customHeight="1" x14ac:dyDescent="0.25">
      <c r="A327" s="336"/>
      <c r="B327" s="306"/>
      <c r="C327" s="306"/>
      <c r="D327" s="384"/>
      <c r="E327" s="384"/>
      <c r="F327" s="401" t="s">
        <v>2755</v>
      </c>
      <c r="G327" s="401"/>
      <c r="H327" s="401"/>
      <c r="I327" s="401"/>
      <c r="J327" s="399"/>
      <c r="K327" s="399"/>
      <c r="L327" s="399"/>
      <c r="M327" s="399"/>
      <c r="N327" s="399"/>
      <c r="O327" s="399"/>
      <c r="P327" s="115"/>
      <c r="Q327" s="115"/>
    </row>
    <row r="328" spans="1:26" ht="12.75" customHeight="1" x14ac:dyDescent="0.25">
      <c r="A328" s="336"/>
      <c r="B328" s="306"/>
      <c r="C328" s="306"/>
      <c r="D328" s="384"/>
      <c r="E328" s="384"/>
      <c r="F328" s="401"/>
      <c r="G328" s="399"/>
      <c r="H328" s="114"/>
      <c r="I328" s="114"/>
      <c r="J328" s="114"/>
      <c r="K328" s="114"/>
      <c r="L328" s="114"/>
      <c r="M328" s="114"/>
      <c r="N328" s="114"/>
      <c r="O328" s="114"/>
      <c r="P328" s="115"/>
      <c r="Q328" s="115"/>
    </row>
    <row r="329" spans="1:26" ht="12.75" customHeight="1" x14ac:dyDescent="0.25">
      <c r="A329" s="336"/>
      <c r="B329" s="306"/>
      <c r="C329" s="306"/>
      <c r="D329" s="384"/>
      <c r="E329" s="384"/>
      <c r="F329" s="115"/>
      <c r="G329" s="399"/>
      <c r="H329" s="114"/>
      <c r="I329" s="114"/>
      <c r="J329" s="115"/>
      <c r="K329" s="115"/>
      <c r="L329" s="115"/>
      <c r="M329" s="115"/>
      <c r="N329" s="115"/>
      <c r="O329" s="115"/>
      <c r="P329" s="115"/>
      <c r="Q329" s="115"/>
    </row>
    <row r="330" spans="1:26" ht="12.75" customHeight="1" x14ac:dyDescent="0.25">
      <c r="A330" s="336"/>
      <c r="B330" s="306"/>
      <c r="C330" s="306"/>
      <c r="D330" s="143">
        <v>43812</v>
      </c>
      <c r="E330" s="143"/>
      <c r="F330" s="115" t="s">
        <v>2756</v>
      </c>
      <c r="G330" s="115"/>
      <c r="H330" s="114"/>
      <c r="I330" s="114"/>
      <c r="J330" s="394">
        <v>15558</v>
      </c>
      <c r="K330" s="394">
        <v>15963</v>
      </c>
      <c r="L330" s="394">
        <f>ROUND(K330*T$2,0)</f>
        <v>16298</v>
      </c>
      <c r="M330" s="394">
        <f>ROUND(L330*U$2,0)</f>
        <v>16673</v>
      </c>
      <c r="N330" s="394">
        <f>ROUND(M330*V$2,0)</f>
        <v>17056</v>
      </c>
      <c r="O330" s="394">
        <f>ROUND(N330*W$2,0)</f>
        <v>17448</v>
      </c>
      <c r="P330" s="1245"/>
      <c r="Q330" s="1245"/>
    </row>
    <row r="331" spans="1:26" ht="12.75" customHeight="1" thickBot="1" x14ac:dyDescent="0.3">
      <c r="A331" s="336"/>
      <c r="B331" s="306"/>
      <c r="C331" s="306"/>
      <c r="D331" s="384"/>
      <c r="E331" s="384"/>
      <c r="F331" s="115" t="str">
        <f>"Totaal "&amp;D330</f>
        <v>Totaal 43812</v>
      </c>
      <c r="G331" s="115"/>
      <c r="H331" s="114"/>
      <c r="I331" s="114"/>
      <c r="J331" s="1779">
        <v>15558</v>
      </c>
      <c r="K331" s="1779">
        <v>15963</v>
      </c>
      <c r="L331" s="1779">
        <f>SUM(L330:L330)</f>
        <v>16298</v>
      </c>
      <c r="M331" s="1779">
        <f>SUM(M330:M330)</f>
        <v>16673</v>
      </c>
      <c r="N331" s="1779">
        <f>SUM(N330:N330)</f>
        <v>17056</v>
      </c>
      <c r="O331" s="1779">
        <f>SUM(O330:O330)</f>
        <v>17448</v>
      </c>
      <c r="P331" s="1245"/>
      <c r="Q331" s="1245"/>
    </row>
    <row r="332" spans="1:26" ht="12.75" customHeight="1" thickTop="1" x14ac:dyDescent="0.25">
      <c r="A332" s="336"/>
      <c r="B332" s="306"/>
      <c r="C332" s="306"/>
      <c r="D332" s="384"/>
      <c r="E332" s="384"/>
      <c r="F332" s="115"/>
      <c r="G332" s="115"/>
      <c r="H332" s="114"/>
      <c r="I332" s="114"/>
      <c r="J332" s="394"/>
      <c r="K332" s="394"/>
      <c r="L332" s="394"/>
      <c r="M332" s="394"/>
      <c r="N332" s="394"/>
      <c r="O332" s="394"/>
      <c r="P332" s="1245"/>
      <c r="Q332" s="1245"/>
    </row>
    <row r="333" spans="1:26" ht="12.75" customHeight="1" x14ac:dyDescent="0.25">
      <c r="A333" s="336"/>
      <c r="B333" s="306"/>
      <c r="C333" s="306"/>
      <c r="D333" s="384"/>
      <c r="E333" s="384"/>
      <c r="F333" s="115"/>
      <c r="G333" s="115"/>
      <c r="H333" s="114"/>
      <c r="I333" s="114"/>
      <c r="J333" s="394"/>
      <c r="K333" s="394"/>
      <c r="L333" s="394"/>
      <c r="M333" s="394"/>
      <c r="N333" s="394"/>
      <c r="O333" s="394"/>
      <c r="P333" s="1245"/>
      <c r="Q333" s="1245"/>
    </row>
    <row r="334" spans="1:26" ht="12.75" customHeight="1" x14ac:dyDescent="0.25">
      <c r="A334" s="336"/>
      <c r="B334" s="306"/>
      <c r="C334" s="306"/>
      <c r="D334" s="639"/>
      <c r="E334" s="639"/>
      <c r="F334" s="401"/>
      <c r="G334" s="401"/>
      <c r="H334" s="114"/>
      <c r="I334" s="114"/>
      <c r="J334" s="558"/>
      <c r="K334" s="558"/>
      <c r="L334" s="558"/>
      <c r="M334" s="558"/>
      <c r="N334" s="558"/>
      <c r="O334" s="558"/>
      <c r="P334" s="1245"/>
      <c r="Q334" s="1245"/>
    </row>
    <row r="335" spans="1:26" ht="12.75" customHeight="1" x14ac:dyDescent="0.25">
      <c r="A335" s="601"/>
      <c r="B335" s="401"/>
      <c r="C335" s="401"/>
      <c r="D335" s="393">
        <v>616903</v>
      </c>
      <c r="E335" s="393"/>
      <c r="F335" s="381" t="s">
        <v>2757</v>
      </c>
      <c r="G335" s="401"/>
      <c r="H335" s="558"/>
      <c r="I335" s="558"/>
      <c r="J335" s="558"/>
      <c r="K335" s="558"/>
      <c r="L335" s="558"/>
      <c r="M335" s="558"/>
      <c r="N335" s="558"/>
      <c r="O335" s="558"/>
      <c r="P335" s="115"/>
      <c r="Q335" s="115"/>
    </row>
    <row r="336" spans="1:26" ht="12.75" customHeight="1" x14ac:dyDescent="0.25">
      <c r="A336" s="601"/>
      <c r="B336" s="401"/>
      <c r="C336" s="401"/>
      <c r="D336" s="640">
        <v>41100</v>
      </c>
      <c r="E336" s="640"/>
      <c r="F336" s="423"/>
      <c r="G336" s="115"/>
      <c r="H336" s="115"/>
      <c r="I336" s="115"/>
      <c r="J336" s="1276">
        <v>2025</v>
      </c>
      <c r="K336" s="407">
        <v>2026</v>
      </c>
      <c r="L336" s="407">
        <v>2027</v>
      </c>
      <c r="M336" s="407">
        <v>2028</v>
      </c>
      <c r="N336" s="407">
        <v>2029</v>
      </c>
      <c r="O336" s="407">
        <v>2030</v>
      </c>
      <c r="P336" s="115"/>
      <c r="Q336" s="115"/>
    </row>
    <row r="337" spans="1:17" ht="12.75" customHeight="1" x14ac:dyDescent="0.25">
      <c r="A337" s="601"/>
      <c r="B337" s="401"/>
      <c r="C337" s="401"/>
      <c r="D337" s="401"/>
      <c r="E337" s="401"/>
      <c r="F337" s="115" t="s">
        <v>541</v>
      </c>
      <c r="G337" s="401"/>
      <c r="H337" s="558"/>
      <c r="I337" s="558"/>
      <c r="J337" s="558"/>
      <c r="K337" s="558"/>
      <c r="L337" s="558"/>
      <c r="M337" s="558"/>
      <c r="N337" s="558"/>
      <c r="O337" s="558"/>
      <c r="P337" s="115"/>
      <c r="Q337" s="115"/>
    </row>
    <row r="338" spans="1:17" ht="12.75" customHeight="1" x14ac:dyDescent="0.25">
      <c r="A338" s="336"/>
      <c r="B338" s="306"/>
      <c r="C338" s="306"/>
      <c r="D338" s="639"/>
      <c r="E338" s="639"/>
      <c r="F338" s="530" t="s">
        <v>2758</v>
      </c>
      <c r="G338" s="401"/>
      <c r="H338" s="558"/>
      <c r="I338" s="558"/>
      <c r="J338" s="558">
        <v>116299</v>
      </c>
      <c r="K338" s="558">
        <v>357861.82</v>
      </c>
      <c r="L338" s="558">
        <f t="shared" ref="L338:O340" si="96">ROUND(K338*T$3,0)</f>
        <v>372892</v>
      </c>
      <c r="M338" s="558">
        <f t="shared" si="96"/>
        <v>386689</v>
      </c>
      <c r="N338" s="558">
        <f t="shared" si="96"/>
        <v>400996</v>
      </c>
      <c r="O338" s="558">
        <f t="shared" si="96"/>
        <v>415833</v>
      </c>
      <c r="P338" s="115" t="s">
        <v>2759</v>
      </c>
      <c r="Q338" s="115"/>
    </row>
    <row r="339" spans="1:17" ht="12.75" customHeight="1" x14ac:dyDescent="0.25">
      <c r="A339" s="336"/>
      <c r="B339" s="306"/>
      <c r="C339" s="306"/>
      <c r="D339" s="639"/>
      <c r="E339" s="639"/>
      <c r="F339" s="530" t="s">
        <v>2760</v>
      </c>
      <c r="G339" s="401"/>
      <c r="H339" s="558"/>
      <c r="I339" s="558"/>
      <c r="J339" s="558">
        <v>45362.58</v>
      </c>
      <c r="K339" s="558">
        <v>47733.85</v>
      </c>
      <c r="L339" s="558">
        <f t="shared" si="96"/>
        <v>49739</v>
      </c>
      <c r="M339" s="558">
        <f t="shared" si="96"/>
        <v>51579</v>
      </c>
      <c r="N339" s="558">
        <f t="shared" si="96"/>
        <v>53487</v>
      </c>
      <c r="O339" s="558">
        <f t="shared" si="96"/>
        <v>55466</v>
      </c>
      <c r="P339" s="115"/>
      <c r="Q339" s="115"/>
    </row>
    <row r="340" spans="1:17" ht="12.75" customHeight="1" x14ac:dyDescent="0.25">
      <c r="A340" s="336"/>
      <c r="B340" s="306"/>
      <c r="C340" s="306"/>
      <c r="D340" s="639"/>
      <c r="E340" s="639"/>
      <c r="F340" s="530" t="s">
        <v>930</v>
      </c>
      <c r="G340" s="401"/>
      <c r="H340" s="558"/>
      <c r="I340" s="558"/>
      <c r="J340" s="558">
        <v>727159.35</v>
      </c>
      <c r="K340" s="558">
        <v>732248.11</v>
      </c>
      <c r="L340" s="558">
        <f t="shared" si="96"/>
        <v>763003</v>
      </c>
      <c r="M340" s="558">
        <f t="shared" si="96"/>
        <v>791234</v>
      </c>
      <c r="N340" s="558">
        <f t="shared" si="96"/>
        <v>820510</v>
      </c>
      <c r="O340" s="558">
        <f t="shared" si="96"/>
        <v>850869</v>
      </c>
      <c r="P340" s="115"/>
      <c r="Q340" s="115"/>
    </row>
    <row r="341" spans="1:17" ht="12.75" customHeight="1" x14ac:dyDescent="0.25">
      <c r="A341" s="336"/>
      <c r="B341" s="306"/>
      <c r="C341" s="306"/>
      <c r="D341" s="639"/>
      <c r="E341" s="639"/>
      <c r="F341" s="530"/>
      <c r="G341" s="401"/>
      <c r="H341" s="558"/>
      <c r="I341" s="558"/>
      <c r="J341" s="558"/>
      <c r="K341" s="558"/>
      <c r="L341" s="558"/>
      <c r="M341" s="558"/>
      <c r="N341" s="558"/>
      <c r="O341" s="558"/>
      <c r="P341" s="115"/>
      <c r="Q341" s="115"/>
    </row>
    <row r="342" spans="1:17" ht="12.75" customHeight="1" thickBot="1" x14ac:dyDescent="0.3">
      <c r="A342" s="336"/>
      <c r="B342" s="306"/>
      <c r="C342" s="306"/>
      <c r="D342" s="639"/>
      <c r="E342" s="639"/>
      <c r="F342" s="401" t="str">
        <f>"Totaal "&amp;D336</f>
        <v>Totaal 41100</v>
      </c>
      <c r="G342" s="401"/>
      <c r="H342" s="558"/>
      <c r="I342" s="558"/>
      <c r="J342" s="1768">
        <v>888820.92999999993</v>
      </c>
      <c r="K342" s="1768">
        <v>1137843.78</v>
      </c>
      <c r="L342" s="1768">
        <f>SUM(L337:L341)</f>
        <v>1185634</v>
      </c>
      <c r="M342" s="1768">
        <f>SUM(M337:M341)</f>
        <v>1229502</v>
      </c>
      <c r="N342" s="1768">
        <f>SUM(N337:N341)</f>
        <v>1274993</v>
      </c>
      <c r="O342" s="1768">
        <f>SUM(O337:O341)</f>
        <v>1322168</v>
      </c>
      <c r="P342" s="115"/>
      <c r="Q342" s="115"/>
    </row>
    <row r="343" spans="1:17" ht="12.75" customHeight="1" thickTop="1" x14ac:dyDescent="0.25">
      <c r="A343" s="336"/>
      <c r="B343" s="306"/>
      <c r="C343" s="306"/>
      <c r="D343" s="639"/>
      <c r="E343" s="639"/>
      <c r="F343" s="401"/>
      <c r="G343" s="401"/>
      <c r="H343" s="558"/>
      <c r="I343" s="558"/>
      <c r="J343" s="558"/>
      <c r="K343" s="558"/>
      <c r="L343" s="558"/>
      <c r="M343" s="558"/>
      <c r="N343" s="558"/>
      <c r="O343" s="558"/>
      <c r="P343" s="115"/>
      <c r="Q343" s="115"/>
    </row>
    <row r="344" spans="1:17" ht="12.75" customHeight="1" x14ac:dyDescent="0.25">
      <c r="A344" s="336"/>
      <c r="B344" s="306"/>
      <c r="C344" s="306"/>
      <c r="D344" s="639"/>
      <c r="E344" s="639"/>
      <c r="F344" s="401"/>
      <c r="G344" s="401"/>
      <c r="H344" s="558"/>
      <c r="I344" s="558"/>
      <c r="J344" s="558"/>
      <c r="K344" s="558"/>
      <c r="L344" s="558"/>
      <c r="M344" s="558"/>
      <c r="N344" s="558"/>
      <c r="O344" s="558"/>
      <c r="P344" s="115"/>
      <c r="Q344" s="115"/>
    </row>
    <row r="345" spans="1:17" ht="12.75" customHeight="1" x14ac:dyDescent="0.25">
      <c r="A345" s="336"/>
      <c r="B345" s="306"/>
      <c r="C345" s="306"/>
      <c r="D345" s="640">
        <v>43511</v>
      </c>
      <c r="E345" s="639"/>
      <c r="F345" s="401" t="s">
        <v>2761</v>
      </c>
      <c r="G345" s="401"/>
      <c r="H345" s="558"/>
      <c r="I345" s="558"/>
      <c r="J345" s="558"/>
      <c r="K345" s="558">
        <v>45000</v>
      </c>
      <c r="L345" s="558"/>
      <c r="M345" s="558"/>
      <c r="N345" s="558"/>
      <c r="O345" s="558"/>
      <c r="P345" s="115"/>
      <c r="Q345" s="115"/>
    </row>
    <row r="346" spans="1:17" ht="12.75" customHeight="1" x14ac:dyDescent="0.25">
      <c r="A346" s="336"/>
      <c r="B346" s="306"/>
      <c r="C346" s="306"/>
      <c r="D346" s="639"/>
      <c r="E346" s="639"/>
      <c r="F346" s="401" t="s">
        <v>2762</v>
      </c>
      <c r="G346" s="401"/>
      <c r="H346" s="558"/>
      <c r="I346" s="558"/>
      <c r="J346" s="558"/>
      <c r="K346" s="558"/>
      <c r="L346" s="558"/>
      <c r="M346" s="558"/>
      <c r="N346" s="558"/>
      <c r="O346" s="558"/>
      <c r="P346" s="115"/>
      <c r="Q346" s="115"/>
    </row>
    <row r="347" spans="1:17" ht="12.75" customHeight="1" thickBot="1" x14ac:dyDescent="0.3">
      <c r="A347" s="336"/>
      <c r="B347" s="306"/>
      <c r="C347" s="306"/>
      <c r="D347" s="639"/>
      <c r="E347" s="639"/>
      <c r="F347" s="401"/>
      <c r="G347" s="401"/>
      <c r="H347" s="558"/>
      <c r="I347" s="558"/>
      <c r="J347" s="1768">
        <f>SUM(J344:J346)</f>
        <v>0</v>
      </c>
      <c r="K347" s="1768">
        <v>45000</v>
      </c>
      <c r="L347" s="1768">
        <f t="shared" ref="L347:N347" si="97">SUM(L344:L346)</f>
        <v>0</v>
      </c>
      <c r="M347" s="1768">
        <f t="shared" si="97"/>
        <v>0</v>
      </c>
      <c r="N347" s="1768">
        <f t="shared" si="97"/>
        <v>0</v>
      </c>
      <c r="O347" s="1768">
        <f t="shared" ref="O347" si="98">SUM(O344:O346)</f>
        <v>0</v>
      </c>
      <c r="P347" s="115"/>
      <c r="Q347" s="115"/>
    </row>
    <row r="348" spans="1:17" ht="12.75" customHeight="1" thickTop="1" x14ac:dyDescent="0.25">
      <c r="A348" s="336"/>
      <c r="B348" s="306"/>
      <c r="C348" s="306"/>
      <c r="D348" s="639"/>
      <c r="E348" s="639"/>
      <c r="F348" s="401"/>
      <c r="G348" s="401"/>
      <c r="H348" s="558"/>
      <c r="I348" s="558"/>
      <c r="J348" s="558"/>
      <c r="K348" s="558"/>
      <c r="L348" s="558"/>
      <c r="M348" s="558"/>
      <c r="N348" s="558"/>
      <c r="O348" s="558"/>
      <c r="P348" s="115"/>
      <c r="Q348" s="115"/>
    </row>
    <row r="349" spans="1:17" ht="12.75" customHeight="1" x14ac:dyDescent="0.25">
      <c r="A349" s="336"/>
      <c r="B349" s="115"/>
      <c r="C349" s="115"/>
      <c r="D349" s="382">
        <v>616901</v>
      </c>
      <c r="E349" s="382"/>
      <c r="F349" s="381" t="s">
        <v>2763</v>
      </c>
      <c r="G349" s="115"/>
      <c r="H349" s="114"/>
      <c r="I349" s="114"/>
      <c r="J349" s="114"/>
      <c r="K349" s="114"/>
      <c r="L349" s="114"/>
      <c r="M349" s="114"/>
      <c r="N349" s="114"/>
      <c r="O349" s="114"/>
      <c r="P349" s="115"/>
      <c r="Q349" s="115"/>
    </row>
    <row r="350" spans="1:17" ht="12.75" customHeight="1" x14ac:dyDescent="0.25">
      <c r="A350" s="336"/>
      <c r="B350" s="115"/>
      <c r="C350" s="115"/>
      <c r="D350" s="393"/>
      <c r="E350" s="393"/>
      <c r="F350" s="383" t="s">
        <v>533</v>
      </c>
      <c r="G350" s="115"/>
      <c r="H350" s="114"/>
      <c r="I350" s="114"/>
      <c r="J350" s="114"/>
      <c r="K350" s="114"/>
      <c r="L350" s="114"/>
      <c r="M350" s="114"/>
      <c r="N350" s="114"/>
      <c r="O350" s="114"/>
      <c r="P350" s="115"/>
      <c r="Q350" s="115"/>
    </row>
    <row r="351" spans="1:17" ht="12.75" customHeight="1" x14ac:dyDescent="0.25">
      <c r="A351" s="336"/>
      <c r="B351" s="115"/>
      <c r="C351" s="115"/>
      <c r="D351" s="143">
        <v>41100</v>
      </c>
      <c r="E351" s="143"/>
      <c r="F351" s="115" t="s">
        <v>541</v>
      </c>
      <c r="G351" s="115"/>
      <c r="H351" s="114"/>
      <c r="I351" s="114"/>
      <c r="J351" s="115"/>
      <c r="K351" s="115"/>
      <c r="L351" s="115"/>
      <c r="M351" s="115"/>
      <c r="N351" s="115"/>
      <c r="O351" s="115"/>
      <c r="P351" s="115"/>
      <c r="Q351" s="115"/>
    </row>
    <row r="352" spans="1:17" ht="12.75" customHeight="1" x14ac:dyDescent="0.25">
      <c r="A352" s="336"/>
      <c r="B352" s="115"/>
      <c r="C352" s="115"/>
      <c r="D352" s="384"/>
      <c r="E352" s="384"/>
      <c r="F352" s="308" t="s">
        <v>2764</v>
      </c>
      <c r="G352" s="115"/>
      <c r="H352" s="114"/>
      <c r="I352" s="114"/>
      <c r="J352" s="114">
        <v>139575.14000000001</v>
      </c>
      <c r="K352" s="114">
        <v>79344.77</v>
      </c>
      <c r="L352" s="114">
        <f t="shared" ref="L352:O353" si="99">ROUND(K352*T$3,0)</f>
        <v>82677</v>
      </c>
      <c r="M352" s="114">
        <f t="shared" si="99"/>
        <v>85736</v>
      </c>
      <c r="N352" s="114">
        <f t="shared" si="99"/>
        <v>88908</v>
      </c>
      <c r="O352" s="114">
        <f t="shared" si="99"/>
        <v>92198</v>
      </c>
      <c r="P352" s="115"/>
      <c r="Q352" s="115"/>
    </row>
    <row r="353" spans="1:17" ht="12.75" customHeight="1" x14ac:dyDescent="0.25">
      <c r="A353" s="336"/>
      <c r="B353" s="115"/>
      <c r="C353" s="115"/>
      <c r="D353" s="384"/>
      <c r="E353" s="384"/>
      <c r="F353" s="308" t="s">
        <v>2674</v>
      </c>
      <c r="G353" s="115"/>
      <c r="H353" s="114"/>
      <c r="I353" s="114"/>
      <c r="J353" s="114">
        <v>40725.5</v>
      </c>
      <c r="K353" s="114">
        <v>34564.550000000003</v>
      </c>
      <c r="L353" s="114">
        <f t="shared" si="99"/>
        <v>36016</v>
      </c>
      <c r="M353" s="114">
        <f t="shared" si="99"/>
        <v>37349</v>
      </c>
      <c r="N353" s="114">
        <f t="shared" si="99"/>
        <v>38731</v>
      </c>
      <c r="O353" s="114">
        <f t="shared" si="99"/>
        <v>40164</v>
      </c>
      <c r="P353" s="115"/>
      <c r="Q353" s="115"/>
    </row>
    <row r="354" spans="1:17" ht="12.75" customHeight="1" thickBot="1" x14ac:dyDescent="0.3">
      <c r="A354" s="336"/>
      <c r="B354" s="115"/>
      <c r="C354" s="115"/>
      <c r="D354" s="384"/>
      <c r="E354" s="384"/>
      <c r="F354" s="308"/>
      <c r="G354" s="115"/>
      <c r="H354" s="114"/>
      <c r="I354" s="114"/>
      <c r="J354" s="1971">
        <f>SUM(J352:J353)</f>
        <v>180300.64</v>
      </c>
      <c r="K354" s="1971">
        <f t="shared" ref="K354:O354" si="100">SUM(K352:K353)</f>
        <v>113909.32</v>
      </c>
      <c r="L354" s="1971">
        <f t="shared" si="100"/>
        <v>118693</v>
      </c>
      <c r="M354" s="1971">
        <f t="shared" si="100"/>
        <v>123085</v>
      </c>
      <c r="N354" s="1971">
        <f t="shared" si="100"/>
        <v>127639</v>
      </c>
      <c r="O354" s="1971">
        <f t="shared" si="100"/>
        <v>132362</v>
      </c>
      <c r="P354" s="115"/>
      <c r="Q354" s="115"/>
    </row>
    <row r="355" spans="1:17" ht="12.75" customHeight="1" thickTop="1" x14ac:dyDescent="0.25">
      <c r="A355" s="336"/>
      <c r="B355" s="115"/>
      <c r="C355" s="115"/>
      <c r="D355" s="384"/>
      <c r="E355" s="384"/>
      <c r="F355" s="308"/>
      <c r="G355" s="115"/>
      <c r="H355" s="114"/>
      <c r="I355" s="114"/>
      <c r="J355" s="114"/>
      <c r="K355" s="114"/>
      <c r="L355" s="114"/>
      <c r="M355" s="114"/>
      <c r="N355" s="114"/>
      <c r="O355" s="114"/>
      <c r="P355" s="115"/>
      <c r="Q355" s="115"/>
    </row>
    <row r="356" spans="1:17" ht="12.75" customHeight="1" x14ac:dyDescent="0.25">
      <c r="A356" s="336"/>
      <c r="B356" s="115"/>
      <c r="C356" s="115"/>
      <c r="D356" s="384"/>
      <c r="E356" s="384"/>
      <c r="F356" s="308"/>
      <c r="G356" s="115"/>
      <c r="H356" s="114"/>
      <c r="I356" s="114"/>
      <c r="J356" s="114"/>
      <c r="K356" s="114"/>
      <c r="L356" s="114"/>
      <c r="M356" s="114"/>
      <c r="N356" s="114"/>
      <c r="O356" s="114"/>
      <c r="P356" s="115"/>
      <c r="Q356" s="115"/>
    </row>
    <row r="357" spans="1:17" ht="12.75" customHeight="1" x14ac:dyDescent="0.25">
      <c r="A357" s="336"/>
      <c r="B357" s="115"/>
      <c r="C357" s="115"/>
      <c r="D357" s="384">
        <v>43511</v>
      </c>
      <c r="E357" s="384"/>
      <c r="F357" s="2187" t="s">
        <v>5325</v>
      </c>
      <c r="G357" s="1720"/>
      <c r="H357" s="2177"/>
      <c r="I357" s="2177"/>
      <c r="J357" s="2177"/>
      <c r="K357" s="2177">
        <v>97500</v>
      </c>
      <c r="L357" s="2177"/>
      <c r="M357" s="2177"/>
      <c r="N357" s="2177"/>
      <c r="O357" s="2177"/>
      <c r="P357" s="115"/>
      <c r="Q357" s="115"/>
    </row>
    <row r="358" spans="1:17" ht="12.75" customHeight="1" thickBot="1" x14ac:dyDescent="0.3">
      <c r="A358" s="336"/>
      <c r="B358" s="115"/>
      <c r="C358" s="115"/>
      <c r="D358" s="396"/>
      <c r="E358" s="396"/>
      <c r="F358" s="115" t="str">
        <f>"Totaal "&amp;D351</f>
        <v>Totaal 41100</v>
      </c>
      <c r="G358" s="115"/>
      <c r="H358" s="114"/>
      <c r="I358" s="114"/>
      <c r="J358" s="1744">
        <v>0</v>
      </c>
      <c r="K358" s="1744">
        <f>SUM(K357)</f>
        <v>97500</v>
      </c>
      <c r="L358" s="1744">
        <f t="shared" ref="L358:O358" si="101">SUM(L357)</f>
        <v>0</v>
      </c>
      <c r="M358" s="1744">
        <f t="shared" si="101"/>
        <v>0</v>
      </c>
      <c r="N358" s="1744">
        <f t="shared" si="101"/>
        <v>0</v>
      </c>
      <c r="O358" s="1744">
        <f t="shared" si="101"/>
        <v>0</v>
      </c>
      <c r="P358" s="115"/>
      <c r="Q358" s="115"/>
    </row>
    <row r="359" spans="1:17" ht="12.75" customHeight="1" thickTop="1" x14ac:dyDescent="0.25">
      <c r="A359" s="336"/>
      <c r="B359" s="115"/>
      <c r="C359" s="115"/>
      <c r="D359" s="396"/>
      <c r="E359" s="396"/>
      <c r="F359" s="115"/>
      <c r="G359" s="115"/>
      <c r="H359" s="114"/>
      <c r="I359" s="114"/>
      <c r="J359" s="114"/>
      <c r="K359" s="114"/>
      <c r="L359" s="114"/>
      <c r="M359" s="114"/>
      <c r="N359" s="114"/>
      <c r="O359" s="114"/>
      <c r="P359" s="115"/>
      <c r="Q359" s="115"/>
    </row>
    <row r="360" spans="1:17" ht="12.75" customHeight="1" x14ac:dyDescent="0.25">
      <c r="A360" s="336"/>
      <c r="B360" s="115"/>
      <c r="C360" s="115"/>
      <c r="D360" s="382">
        <v>616902</v>
      </c>
      <c r="E360" s="382"/>
      <c r="F360" s="381" t="s">
        <v>2765</v>
      </c>
      <c r="G360" s="115"/>
      <c r="H360" s="114"/>
      <c r="I360" s="114"/>
      <c r="J360" s="114"/>
      <c r="K360" s="114"/>
      <c r="L360" s="114"/>
      <c r="M360" s="114"/>
      <c r="N360" s="114"/>
      <c r="O360" s="114"/>
      <c r="P360" s="115"/>
      <c r="Q360" s="115"/>
    </row>
    <row r="361" spans="1:17" ht="12.75" customHeight="1" x14ac:dyDescent="0.25">
      <c r="A361" s="336"/>
      <c r="B361" s="115"/>
      <c r="C361" s="115"/>
      <c r="D361" s="396"/>
      <c r="E361" s="396"/>
      <c r="F361" s="115" t="s">
        <v>2766</v>
      </c>
      <c r="G361" s="115"/>
      <c r="H361" s="114"/>
      <c r="I361" s="114"/>
      <c r="J361" s="114"/>
      <c r="K361" s="114"/>
      <c r="L361" s="114"/>
      <c r="M361" s="114"/>
      <c r="N361" s="114"/>
      <c r="O361" s="114"/>
      <c r="P361" s="115"/>
      <c r="Q361" s="115"/>
    </row>
    <row r="362" spans="1:17" ht="12.75" customHeight="1" x14ac:dyDescent="0.25">
      <c r="A362" s="336"/>
      <c r="B362" s="115"/>
      <c r="C362" s="115"/>
      <c r="D362" s="396"/>
      <c r="E362" s="396"/>
      <c r="F362" s="308" t="s">
        <v>2767</v>
      </c>
      <c r="G362" s="115"/>
      <c r="H362" s="114"/>
      <c r="I362" s="114"/>
      <c r="J362" s="114"/>
      <c r="K362" s="114"/>
      <c r="L362" s="114"/>
      <c r="M362" s="114"/>
      <c r="N362" s="114"/>
      <c r="O362" s="114"/>
      <c r="P362" s="115"/>
      <c r="Q362" s="115"/>
    </row>
    <row r="363" spans="1:17" ht="12.75" customHeight="1" x14ac:dyDescent="0.25">
      <c r="A363" s="336"/>
      <c r="B363" s="115"/>
      <c r="C363" s="115"/>
      <c r="D363" s="396"/>
      <c r="E363" s="396"/>
      <c r="F363" s="308" t="s">
        <v>2768</v>
      </c>
      <c r="G363" s="115"/>
      <c r="H363" s="114"/>
      <c r="I363" s="114"/>
      <c r="J363" s="114"/>
      <c r="K363" s="114"/>
      <c r="L363" s="114"/>
      <c r="M363" s="114"/>
      <c r="N363" s="114"/>
      <c r="O363" s="114"/>
      <c r="P363" s="115"/>
      <c r="Q363" s="115"/>
    </row>
    <row r="364" spans="1:17" ht="12.75" customHeight="1" x14ac:dyDescent="0.25">
      <c r="A364" s="336"/>
      <c r="B364" s="115"/>
      <c r="C364" s="115"/>
      <c r="D364" s="396"/>
      <c r="E364" s="396"/>
      <c r="F364" s="308" t="s">
        <v>2769</v>
      </c>
      <c r="G364" s="115"/>
      <c r="H364" s="114"/>
      <c r="I364" s="114"/>
      <c r="J364" s="114"/>
      <c r="K364" s="114"/>
      <c r="L364" s="114"/>
      <c r="M364" s="114"/>
      <c r="N364" s="114"/>
      <c r="O364" s="114"/>
      <c r="P364" s="115"/>
      <c r="Q364" s="115"/>
    </row>
    <row r="365" spans="1:17" ht="12.75" customHeight="1" x14ac:dyDescent="0.25">
      <c r="A365" s="336"/>
      <c r="B365" s="115"/>
      <c r="C365" s="115"/>
      <c r="D365" s="143">
        <v>41100</v>
      </c>
      <c r="E365" s="143"/>
      <c r="F365" s="115" t="s">
        <v>541</v>
      </c>
      <c r="G365" s="115"/>
      <c r="H365" s="114"/>
      <c r="I365" s="114"/>
      <c r="J365" s="114"/>
      <c r="K365" s="114"/>
      <c r="L365" s="114"/>
      <c r="M365" s="114"/>
      <c r="N365" s="114"/>
      <c r="O365" s="114"/>
      <c r="P365" s="115"/>
      <c r="Q365" s="115"/>
    </row>
    <row r="366" spans="1:17" ht="12.75" customHeight="1" x14ac:dyDescent="0.25">
      <c r="A366" s="336"/>
      <c r="B366" s="115"/>
      <c r="C366" s="115"/>
      <c r="D366" s="301"/>
      <c r="E366" s="301"/>
      <c r="F366" s="308" t="s">
        <v>930</v>
      </c>
      <c r="G366" s="115"/>
      <c r="H366" s="114"/>
      <c r="I366" s="114"/>
      <c r="J366" s="114">
        <v>39087.99</v>
      </c>
      <c r="K366" s="114">
        <v>47358.23</v>
      </c>
      <c r="L366" s="114">
        <f t="shared" ref="L366:O367" si="102">ROUND(K366*T$3,0)</f>
        <v>49347</v>
      </c>
      <c r="M366" s="114">
        <f t="shared" si="102"/>
        <v>51173</v>
      </c>
      <c r="N366" s="114">
        <f t="shared" si="102"/>
        <v>53066</v>
      </c>
      <c r="O366" s="114">
        <f t="shared" si="102"/>
        <v>55029</v>
      </c>
      <c r="P366" s="115"/>
      <c r="Q366" s="115"/>
    </row>
    <row r="367" spans="1:17" ht="12.75" customHeight="1" x14ac:dyDescent="0.25">
      <c r="A367" s="336"/>
      <c r="B367" s="115"/>
      <c r="C367" s="115"/>
      <c r="D367" s="301"/>
      <c r="E367" s="301"/>
      <c r="F367" s="308" t="s">
        <v>2764</v>
      </c>
      <c r="G367" s="115"/>
      <c r="H367" s="114"/>
      <c r="I367" s="114"/>
      <c r="J367" s="114">
        <v>165282.29</v>
      </c>
      <c r="K367" s="114">
        <v>132165</v>
      </c>
      <c r="L367" s="114">
        <f t="shared" si="102"/>
        <v>137716</v>
      </c>
      <c r="M367" s="114">
        <f t="shared" si="102"/>
        <v>142811</v>
      </c>
      <c r="N367" s="114">
        <f t="shared" si="102"/>
        <v>148095</v>
      </c>
      <c r="O367" s="114">
        <f t="shared" si="102"/>
        <v>153575</v>
      </c>
      <c r="P367" s="115"/>
      <c r="Q367" s="115"/>
    </row>
    <row r="368" spans="1:17" ht="12.75" customHeight="1" thickBot="1" x14ac:dyDescent="0.3">
      <c r="A368" s="336"/>
      <c r="B368" s="115"/>
      <c r="C368" s="115"/>
      <c r="D368" s="301"/>
      <c r="E368" s="301"/>
      <c r="F368" s="115" t="str">
        <f>"Totaal "&amp;D365</f>
        <v>Totaal 41100</v>
      </c>
      <c r="G368" s="115"/>
      <c r="H368" s="114"/>
      <c r="I368" s="114"/>
      <c r="J368" s="1744">
        <v>204370.28</v>
      </c>
      <c r="K368" s="1744">
        <v>179523.23</v>
      </c>
      <c r="L368" s="1744">
        <f>SUM(L366:L367)</f>
        <v>187063</v>
      </c>
      <c r="M368" s="1744">
        <f>SUM(M366:M367)</f>
        <v>193984</v>
      </c>
      <c r="N368" s="1744">
        <f>SUM(N366:N367)</f>
        <v>201161</v>
      </c>
      <c r="O368" s="1744">
        <f>SUM(O366:O367)</f>
        <v>208604</v>
      </c>
      <c r="P368" s="115"/>
      <c r="Q368" s="115"/>
    </row>
    <row r="369" spans="1:18" ht="12.75" customHeight="1" thickTop="1" x14ac:dyDescent="0.25">
      <c r="A369" s="336"/>
      <c r="B369" s="306"/>
      <c r="C369" s="306"/>
      <c r="D369" s="1210"/>
      <c r="E369" s="1201"/>
      <c r="F369" s="1201"/>
      <c r="G369" s="510"/>
      <c r="H369" s="666"/>
      <c r="I369" s="666"/>
      <c r="J369" s="1245"/>
      <c r="K369" s="1245"/>
      <c r="L369" s="1245"/>
      <c r="M369" s="1245"/>
      <c r="N369" s="1245"/>
      <c r="O369" s="1245"/>
      <c r="P369" s="1245"/>
      <c r="Q369" s="115"/>
    </row>
    <row r="370" spans="1:18" ht="12.75" customHeight="1" x14ac:dyDescent="0.25">
      <c r="A370" s="336"/>
      <c r="B370" s="306"/>
      <c r="C370" s="306"/>
      <c r="D370" s="301"/>
      <c r="E370" s="301"/>
      <c r="F370" s="114"/>
      <c r="G370" s="115"/>
      <c r="H370" s="399"/>
      <c r="I370" s="399"/>
      <c r="J370" s="114"/>
      <c r="K370" s="114"/>
      <c r="L370" s="114"/>
      <c r="M370" s="114"/>
      <c r="N370" s="114"/>
      <c r="O370" s="114"/>
      <c r="P370" s="1245"/>
      <c r="Q370" s="1245"/>
    </row>
    <row r="371" spans="1:18" ht="12.75" customHeight="1" x14ac:dyDescent="0.25">
      <c r="A371" s="336"/>
      <c r="B371" s="115"/>
      <c r="C371" s="115"/>
      <c r="D371" s="382">
        <f>D144</f>
        <v>616009</v>
      </c>
      <c r="E371" s="382"/>
      <c r="F371" s="410" t="s">
        <v>2770</v>
      </c>
      <c r="G371" s="381"/>
      <c r="H371" s="115"/>
      <c r="I371" s="115"/>
      <c r="J371" s="115"/>
      <c r="K371" s="115"/>
      <c r="L371" s="115"/>
      <c r="M371" s="115"/>
      <c r="N371" s="115"/>
      <c r="O371" s="115"/>
      <c r="P371" s="115"/>
      <c r="Q371" s="115"/>
    </row>
    <row r="372" spans="1:18" ht="12.75" customHeight="1" x14ac:dyDescent="0.25">
      <c r="A372" s="336"/>
      <c r="B372" s="115"/>
      <c r="C372" s="115"/>
      <c r="D372" s="382"/>
      <c r="E372" s="382"/>
      <c r="F372" s="114" t="s">
        <v>2771</v>
      </c>
      <c r="G372" s="381"/>
      <c r="H372" s="115"/>
      <c r="I372" s="115"/>
      <c r="J372" s="114"/>
      <c r="K372" s="114"/>
      <c r="L372" s="114"/>
      <c r="M372" s="114"/>
      <c r="N372" s="114"/>
      <c r="O372" s="114"/>
      <c r="P372" s="115"/>
      <c r="Q372" s="115"/>
    </row>
    <row r="373" spans="1:18" ht="12.75" customHeight="1" x14ac:dyDescent="0.25">
      <c r="A373" s="336"/>
      <c r="B373" s="115"/>
      <c r="C373" s="115"/>
      <c r="D373" s="336"/>
      <c r="E373" s="336"/>
      <c r="F373" s="1277"/>
      <c r="G373" s="115"/>
      <c r="H373" s="115"/>
      <c r="I373" s="115"/>
      <c r="J373" s="115"/>
      <c r="K373" s="115"/>
      <c r="L373" s="115"/>
      <c r="M373" s="115"/>
      <c r="N373" s="115"/>
      <c r="O373" s="115"/>
      <c r="P373" s="115"/>
      <c r="Q373" s="115"/>
    </row>
    <row r="374" spans="1:18" ht="12.75" customHeight="1" x14ac:dyDescent="0.25">
      <c r="A374" s="336"/>
      <c r="B374" s="115"/>
      <c r="C374" s="115"/>
      <c r="D374" s="143">
        <v>83700</v>
      </c>
      <c r="E374" s="143"/>
      <c r="F374" s="306" t="s">
        <v>737</v>
      </c>
      <c r="G374" s="115"/>
      <c r="H374" s="115"/>
      <c r="I374" s="115"/>
      <c r="J374" s="114">
        <v>-78276</v>
      </c>
      <c r="K374" s="114">
        <v>-20000</v>
      </c>
      <c r="L374" s="114">
        <f t="shared" ref="L374:O376" si="103">ROUND(K374*T$2,0)</f>
        <v>-20420</v>
      </c>
      <c r="M374" s="114">
        <f t="shared" si="103"/>
        <v>-20890</v>
      </c>
      <c r="N374" s="114">
        <f t="shared" si="103"/>
        <v>-21370</v>
      </c>
      <c r="O374" s="114">
        <f t="shared" si="103"/>
        <v>-21862</v>
      </c>
      <c r="P374" s="115"/>
      <c r="Q374" s="115"/>
    </row>
    <row r="375" spans="1:18" ht="12.75" customHeight="1" x14ac:dyDescent="0.25">
      <c r="A375" s="336"/>
      <c r="B375" s="115"/>
      <c r="C375" s="115"/>
      <c r="D375" s="143"/>
      <c r="E375" s="143"/>
      <c r="F375" s="115" t="s">
        <v>2772</v>
      </c>
      <c r="G375" s="115"/>
      <c r="H375" s="115"/>
      <c r="I375" s="115"/>
      <c r="J375" s="114">
        <v>42582</v>
      </c>
      <c r="K375" s="114">
        <v>0</v>
      </c>
      <c r="L375" s="114">
        <f t="shared" si="103"/>
        <v>0</v>
      </c>
      <c r="M375" s="114">
        <f t="shared" si="103"/>
        <v>0</v>
      </c>
      <c r="N375" s="114">
        <f t="shared" si="103"/>
        <v>0</v>
      </c>
      <c r="O375" s="114">
        <f t="shared" si="103"/>
        <v>0</v>
      </c>
      <c r="P375" s="115"/>
      <c r="Q375" s="115"/>
    </row>
    <row r="376" spans="1:18" ht="12.75" customHeight="1" x14ac:dyDescent="0.25">
      <c r="A376" s="336"/>
      <c r="B376" s="115"/>
      <c r="C376" s="115"/>
      <c r="D376" s="143"/>
      <c r="E376" s="143"/>
      <c r="F376" s="115"/>
      <c r="G376" s="115"/>
      <c r="H376" s="115"/>
      <c r="I376" s="115"/>
      <c r="J376" s="114">
        <v>-280</v>
      </c>
      <c r="K376" s="114">
        <v>0</v>
      </c>
      <c r="L376" s="114">
        <f t="shared" si="103"/>
        <v>0</v>
      </c>
      <c r="M376" s="114">
        <f t="shared" si="103"/>
        <v>0</v>
      </c>
      <c r="N376" s="114">
        <f t="shared" si="103"/>
        <v>0</v>
      </c>
      <c r="O376" s="114">
        <f t="shared" si="103"/>
        <v>0</v>
      </c>
      <c r="P376" s="115"/>
      <c r="Q376" s="115"/>
    </row>
    <row r="377" spans="1:18" ht="12.75" customHeight="1" thickBot="1" x14ac:dyDescent="0.3">
      <c r="A377" s="336"/>
      <c r="B377" s="115"/>
      <c r="C377" s="115"/>
      <c r="D377" s="301"/>
      <c r="E377" s="301"/>
      <c r="F377" s="115" t="str">
        <f>"Totaal "&amp;D374</f>
        <v>Totaal 83700</v>
      </c>
      <c r="G377" s="115"/>
      <c r="H377" s="115"/>
      <c r="I377" s="115"/>
      <c r="J377" s="1744">
        <v>-35974</v>
      </c>
      <c r="K377" s="1744">
        <v>-20000</v>
      </c>
      <c r="L377" s="1744">
        <f>SUM(L374:L376)</f>
        <v>-20420</v>
      </c>
      <c r="M377" s="1744">
        <f>SUM(M374:M376)</f>
        <v>-20890</v>
      </c>
      <c r="N377" s="1744">
        <f>SUM(N374:N376)</f>
        <v>-21370</v>
      </c>
      <c r="O377" s="1744">
        <f>SUM(O374:O376)</f>
        <v>-21862</v>
      </c>
      <c r="P377" s="115"/>
      <c r="Q377" s="115"/>
      <c r="R377" s="115"/>
    </row>
    <row r="378" spans="1:18" ht="12.75" customHeight="1" thickTop="1" x14ac:dyDescent="0.25">
      <c r="A378" s="336"/>
      <c r="B378" s="115"/>
      <c r="C378" s="115"/>
      <c r="D378" s="301"/>
      <c r="E378" s="301"/>
      <c r="F378" s="115"/>
      <c r="G378" s="115"/>
      <c r="H378" s="115"/>
      <c r="I378" s="115"/>
      <c r="J378" s="115"/>
      <c r="K378" s="115"/>
      <c r="L378" s="115"/>
      <c r="M378" s="115"/>
      <c r="N378" s="115"/>
      <c r="O378" s="115"/>
      <c r="P378" s="115"/>
      <c r="Q378" s="115"/>
      <c r="R378" s="115"/>
    </row>
    <row r="379" spans="1:18" ht="12.75" customHeight="1" x14ac:dyDescent="0.25">
      <c r="A379" s="336"/>
      <c r="B379" s="115"/>
      <c r="C379" s="115"/>
      <c r="D379" s="382">
        <f>D170</f>
        <v>616010</v>
      </c>
      <c r="E379" s="382"/>
      <c r="F379" s="410" t="s">
        <v>2773</v>
      </c>
      <c r="G379" s="381"/>
      <c r="H379" s="115"/>
      <c r="I379" s="115"/>
      <c r="J379" s="114"/>
      <c r="K379" s="114"/>
      <c r="L379" s="114"/>
      <c r="M379" s="114"/>
      <c r="N379" s="114"/>
      <c r="O379" s="114"/>
      <c r="P379" s="115"/>
      <c r="Q379" s="115"/>
      <c r="R379" s="115"/>
    </row>
    <row r="380" spans="1:18" ht="12.75" customHeight="1" x14ac:dyDescent="0.25">
      <c r="A380" s="336"/>
      <c r="B380" s="115"/>
      <c r="C380" s="115"/>
      <c r="D380" s="382"/>
      <c r="E380" s="382"/>
      <c r="F380" s="114" t="s">
        <v>2774</v>
      </c>
      <c r="G380" s="381"/>
      <c r="H380" s="115"/>
      <c r="I380" s="115"/>
      <c r="J380" s="114"/>
      <c r="K380" s="114"/>
      <c r="L380" s="114"/>
      <c r="M380" s="114"/>
      <c r="N380" s="114"/>
      <c r="O380" s="114"/>
      <c r="P380" s="115"/>
      <c r="Q380" s="115"/>
      <c r="R380" s="115"/>
    </row>
    <row r="381" spans="1:18" ht="12.75" customHeight="1" x14ac:dyDescent="0.25">
      <c r="A381" s="336"/>
      <c r="B381" s="115"/>
      <c r="C381" s="115"/>
      <c r="D381" s="336"/>
      <c r="E381" s="336"/>
      <c r="F381" s="114" t="s">
        <v>2775</v>
      </c>
      <c r="G381" s="115"/>
      <c r="H381" s="115"/>
      <c r="I381" s="115"/>
      <c r="J381" s="115"/>
      <c r="K381" s="115"/>
      <c r="L381" s="115"/>
      <c r="M381" s="115"/>
      <c r="N381" s="115"/>
      <c r="O381" s="115"/>
      <c r="P381" s="115"/>
      <c r="Q381" s="115"/>
      <c r="R381" s="115"/>
    </row>
    <row r="382" spans="1:18" ht="12.75" customHeight="1" x14ac:dyDescent="0.25">
      <c r="A382" s="336"/>
      <c r="B382" s="115"/>
      <c r="C382" s="115"/>
      <c r="D382" s="143">
        <v>83700</v>
      </c>
      <c r="E382" s="143"/>
      <c r="F382" s="306" t="s">
        <v>737</v>
      </c>
      <c r="G382" s="115"/>
      <c r="H382" s="115"/>
      <c r="I382" s="115"/>
      <c r="J382" s="114">
        <v>-5833</v>
      </c>
      <c r="K382" s="114">
        <v>-5985</v>
      </c>
      <c r="L382" s="114">
        <f>ROUND(K382*T$2,0)</f>
        <v>-6111</v>
      </c>
      <c r="M382" s="114">
        <f>ROUND(L382*U$2,0)</f>
        <v>-6252</v>
      </c>
      <c r="N382" s="114">
        <f>ROUND(M382*V$2,0)</f>
        <v>-6396</v>
      </c>
      <c r="O382" s="114">
        <f>ROUND(N382*W$2,0)</f>
        <v>-6543</v>
      </c>
      <c r="P382" s="115"/>
      <c r="Q382" s="115"/>
      <c r="R382" s="115"/>
    </row>
    <row r="383" spans="1:18" ht="12.75" customHeight="1" thickBot="1" x14ac:dyDescent="0.3">
      <c r="A383" s="336"/>
      <c r="B383" s="115"/>
      <c r="C383" s="115"/>
      <c r="D383" s="301"/>
      <c r="E383" s="301"/>
      <c r="F383" s="115" t="str">
        <f>"Totaal "&amp;D382</f>
        <v>Totaal 83700</v>
      </c>
      <c r="G383" s="115"/>
      <c r="H383" s="115"/>
      <c r="I383" s="115"/>
      <c r="J383" s="1744">
        <v>-5833</v>
      </c>
      <c r="K383" s="1744">
        <v>-5985</v>
      </c>
      <c r="L383" s="1744">
        <f>SUM(L382:L382)</f>
        <v>-6111</v>
      </c>
      <c r="M383" s="1744">
        <f>SUM(M382:M382)</f>
        <v>-6252</v>
      </c>
      <c r="N383" s="1744">
        <f>SUM(N382:N382)</f>
        <v>-6396</v>
      </c>
      <c r="O383" s="1744">
        <f>SUM(O382:O382)</f>
        <v>-6543</v>
      </c>
      <c r="P383" s="115"/>
      <c r="Q383" s="115"/>
      <c r="R383" s="115"/>
    </row>
    <row r="384" spans="1:18" ht="12.75" customHeight="1" thickTop="1" x14ac:dyDescent="0.25">
      <c r="A384" s="336"/>
      <c r="B384" s="115"/>
      <c r="C384" s="115"/>
      <c r="D384" s="301"/>
      <c r="E384" s="301"/>
      <c r="F384" s="115"/>
      <c r="G384" s="115"/>
      <c r="H384" s="115"/>
      <c r="I384" s="115"/>
      <c r="J384" s="115"/>
      <c r="K384" s="115"/>
      <c r="L384" s="115"/>
      <c r="M384" s="115"/>
      <c r="N384" s="115"/>
      <c r="O384" s="115"/>
      <c r="P384" s="115"/>
      <c r="Q384" s="115"/>
      <c r="R384" s="115"/>
    </row>
    <row r="385" spans="1:22" ht="12.75" customHeight="1" x14ac:dyDescent="0.25">
      <c r="A385" s="336"/>
      <c r="B385" s="115"/>
      <c r="C385" s="115"/>
      <c r="D385" s="382">
        <f>D175</f>
        <v>616011</v>
      </c>
      <c r="E385" s="382"/>
      <c r="F385" s="410" t="s">
        <v>2776</v>
      </c>
      <c r="G385" s="381"/>
      <c r="H385" s="115"/>
      <c r="I385" s="115"/>
      <c r="J385" s="115"/>
      <c r="K385" s="115"/>
      <c r="L385" s="115"/>
      <c r="M385" s="115"/>
      <c r="N385" s="115"/>
      <c r="O385" s="115"/>
      <c r="P385" s="115"/>
      <c r="Q385" s="115"/>
      <c r="R385" s="115"/>
    </row>
    <row r="386" spans="1:22" ht="12.75" customHeight="1" x14ac:dyDescent="0.25">
      <c r="A386" s="336"/>
      <c r="B386" s="115"/>
      <c r="C386" s="115"/>
      <c r="D386" s="382"/>
      <c r="E386" s="382"/>
      <c r="F386" s="114" t="s">
        <v>2777</v>
      </c>
      <c r="G386" s="381"/>
      <c r="H386" s="115"/>
      <c r="I386" s="115"/>
      <c r="J386" s="114"/>
      <c r="K386" s="114"/>
      <c r="L386" s="114"/>
      <c r="M386" s="114"/>
      <c r="N386" s="114"/>
      <c r="O386" s="114"/>
      <c r="P386" s="115"/>
      <c r="Q386" s="115"/>
      <c r="R386" s="115"/>
    </row>
    <row r="387" spans="1:22" ht="12.75" customHeight="1" x14ac:dyDescent="0.25">
      <c r="A387" s="336"/>
      <c r="B387" s="115"/>
      <c r="C387" s="115"/>
      <c r="D387" s="336"/>
      <c r="E387" s="336"/>
      <c r="F387" s="308" t="s">
        <v>2778</v>
      </c>
      <c r="G387" s="115"/>
      <c r="H387" s="115"/>
      <c r="I387" s="115"/>
      <c r="J387" s="115"/>
      <c r="K387" s="115"/>
      <c r="L387" s="115"/>
      <c r="M387" s="115"/>
      <c r="N387" s="115"/>
      <c r="O387" s="115"/>
      <c r="P387" s="115"/>
      <c r="Q387" s="115"/>
      <c r="R387" s="115"/>
    </row>
    <row r="388" spans="1:22" ht="12.75" customHeight="1" x14ac:dyDescent="0.25">
      <c r="A388" s="336"/>
      <c r="B388" s="115"/>
      <c r="C388" s="115"/>
      <c r="D388" s="143">
        <v>83700</v>
      </c>
      <c r="E388" s="143"/>
      <c r="F388" s="306" t="s">
        <v>737</v>
      </c>
      <c r="G388" s="115"/>
      <c r="H388" s="115"/>
      <c r="I388" s="115"/>
      <c r="J388" s="114">
        <v>-34997</v>
      </c>
      <c r="K388" s="114">
        <v>-35907</v>
      </c>
      <c r="L388" s="114">
        <f>ROUND(K388*T$2,0)</f>
        <v>-36661</v>
      </c>
      <c r="M388" s="114">
        <f>ROUND(L388*U$2,0)</f>
        <v>-37504</v>
      </c>
      <c r="N388" s="114">
        <f>ROUND(M388*V$2,0)</f>
        <v>-38367</v>
      </c>
      <c r="O388" s="114">
        <f>ROUND(N388*W$2,0)</f>
        <v>-39249</v>
      </c>
      <c r="P388" s="115"/>
      <c r="Q388" s="115"/>
      <c r="R388" s="115"/>
    </row>
    <row r="389" spans="1:22" ht="12.75" customHeight="1" thickBot="1" x14ac:dyDescent="0.3">
      <c r="A389" s="336"/>
      <c r="B389" s="115"/>
      <c r="C389" s="115"/>
      <c r="D389" s="301"/>
      <c r="E389" s="301"/>
      <c r="F389" s="115" t="str">
        <f>"Totaal "&amp;D388</f>
        <v>Totaal 83700</v>
      </c>
      <c r="G389" s="115"/>
      <c r="H389" s="115"/>
      <c r="I389" s="115"/>
      <c r="J389" s="1744">
        <v>-34997</v>
      </c>
      <c r="K389" s="1744">
        <v>-35907</v>
      </c>
      <c r="L389" s="1744">
        <f>SUM(L388:L388)</f>
        <v>-36661</v>
      </c>
      <c r="M389" s="1744">
        <f>SUM(M388:M388)</f>
        <v>-37504</v>
      </c>
      <c r="N389" s="1744">
        <f>SUM(N388:N388)</f>
        <v>-38367</v>
      </c>
      <c r="O389" s="1744">
        <f>SUM(O388:O388)</f>
        <v>-39249</v>
      </c>
      <c r="P389" s="115"/>
      <c r="Q389" s="115"/>
      <c r="R389" s="115"/>
    </row>
    <row r="390" spans="1:22" ht="12.75" customHeight="1" thickTop="1" x14ac:dyDescent="0.25">
      <c r="A390" s="336"/>
      <c r="B390" s="115"/>
      <c r="C390" s="115"/>
      <c r="D390" s="301"/>
      <c r="E390" s="301"/>
      <c r="F390" s="115"/>
      <c r="G390" s="115"/>
      <c r="H390" s="115"/>
      <c r="I390" s="115"/>
      <c r="J390" s="115"/>
      <c r="K390" s="115"/>
      <c r="L390" s="115"/>
      <c r="M390" s="115"/>
      <c r="N390" s="115"/>
      <c r="O390" s="115"/>
      <c r="P390" s="115"/>
      <c r="Q390" s="115"/>
      <c r="R390" s="115"/>
    </row>
    <row r="391" spans="1:22" ht="12.75" customHeight="1" x14ac:dyDescent="0.25">
      <c r="A391" s="336"/>
      <c r="B391" s="115"/>
      <c r="C391" s="115"/>
      <c r="D391" s="382">
        <f>D165</f>
        <v>616012</v>
      </c>
      <c r="E391" s="382"/>
      <c r="F391" s="410" t="s">
        <v>2779</v>
      </c>
      <c r="G391" s="381"/>
      <c r="H391" s="115"/>
      <c r="I391" s="115"/>
      <c r="J391" s="115"/>
      <c r="K391" s="115"/>
      <c r="L391" s="115"/>
      <c r="M391" s="115"/>
      <c r="N391" s="115"/>
      <c r="O391" s="115"/>
      <c r="P391" s="115"/>
      <c r="Q391" s="115"/>
      <c r="R391" s="115"/>
    </row>
    <row r="392" spans="1:22" ht="12.75" customHeight="1" x14ac:dyDescent="0.25">
      <c r="A392" s="336"/>
      <c r="B392" s="115"/>
      <c r="C392" s="115"/>
      <c r="D392" s="382"/>
      <c r="E392" s="382"/>
      <c r="F392" s="114" t="s">
        <v>2777</v>
      </c>
      <c r="G392" s="381"/>
      <c r="H392" s="115"/>
      <c r="I392" s="115"/>
      <c r="J392" s="114"/>
      <c r="K392" s="114"/>
      <c r="L392" s="114"/>
      <c r="M392" s="114"/>
      <c r="N392" s="114"/>
      <c r="O392" s="114"/>
      <c r="P392" s="115"/>
      <c r="Q392" s="115"/>
      <c r="R392" s="115"/>
    </row>
    <row r="393" spans="1:22" ht="12.75" customHeight="1" x14ac:dyDescent="0.25">
      <c r="B393" s="115"/>
      <c r="C393" s="115"/>
      <c r="D393" s="143">
        <v>83700</v>
      </c>
      <c r="E393" s="143"/>
      <c r="F393" s="306" t="s">
        <v>737</v>
      </c>
      <c r="G393" s="115"/>
      <c r="H393" s="115"/>
      <c r="I393" s="115"/>
      <c r="J393" s="114">
        <v>-1750</v>
      </c>
      <c r="K393" s="114">
        <v>-1796</v>
      </c>
      <c r="L393" s="114">
        <f>ROUND(K393*T$2,0)</f>
        <v>-1834</v>
      </c>
      <c r="M393" s="114">
        <f>ROUND(L393*U$2,0)</f>
        <v>-1876</v>
      </c>
      <c r="N393" s="114">
        <f>ROUND(M393*V$2,0)</f>
        <v>-1919</v>
      </c>
      <c r="O393" s="114">
        <f>ROUND(N393*W$2,0)</f>
        <v>-1963</v>
      </c>
      <c r="P393" s="115"/>
      <c r="Q393" s="115"/>
      <c r="R393" s="115"/>
      <c r="S393" s="115"/>
      <c r="T393" s="115"/>
      <c r="U393" s="115"/>
      <c r="V393" s="115"/>
    </row>
    <row r="394" spans="1:22" ht="12.75" customHeight="1" thickBot="1" x14ac:dyDescent="0.3">
      <c r="B394" s="115"/>
      <c r="C394" s="115"/>
      <c r="D394" s="301"/>
      <c r="E394" s="301"/>
      <c r="F394" s="115" t="str">
        <f>"Totaal "&amp;D393</f>
        <v>Totaal 83700</v>
      </c>
      <c r="G394" s="115"/>
      <c r="H394" s="115"/>
      <c r="I394" s="115"/>
      <c r="J394" s="1744">
        <v>-1750</v>
      </c>
      <c r="K394" s="1744">
        <v>-1796</v>
      </c>
      <c r="L394" s="1744">
        <f>SUM(L393:L393)</f>
        <v>-1834</v>
      </c>
      <c r="M394" s="1744">
        <f>SUM(M393:M393)</f>
        <v>-1876</v>
      </c>
      <c r="N394" s="1744">
        <f>SUM(N393:N393)</f>
        <v>-1919</v>
      </c>
      <c r="O394" s="1744">
        <f>SUM(O393:O393)</f>
        <v>-1963</v>
      </c>
      <c r="P394" s="115"/>
      <c r="Q394" s="115"/>
      <c r="R394" s="115"/>
      <c r="S394" s="115"/>
      <c r="T394" s="115"/>
      <c r="U394" s="115"/>
      <c r="V394" s="115"/>
    </row>
    <row r="395" spans="1:22" ht="12.75" customHeight="1" thickTop="1" x14ac:dyDescent="0.25">
      <c r="B395" s="115"/>
      <c r="C395" s="115"/>
      <c r="D395" s="301"/>
      <c r="E395" s="301"/>
      <c r="F395" s="115"/>
      <c r="G395" s="115"/>
      <c r="H395" s="115"/>
      <c r="I395" s="115"/>
      <c r="J395" s="115"/>
      <c r="K395" s="115"/>
      <c r="L395" s="115"/>
      <c r="M395" s="115"/>
      <c r="N395" s="115"/>
      <c r="O395" s="115"/>
      <c r="P395" s="115"/>
      <c r="Q395" s="115"/>
      <c r="R395" s="115"/>
      <c r="S395" s="115"/>
      <c r="T395" s="115"/>
      <c r="U395" s="115"/>
      <c r="V395" s="115"/>
    </row>
    <row r="396" spans="1:22" ht="12.75" customHeight="1" x14ac:dyDescent="0.25">
      <c r="B396" s="306"/>
      <c r="C396" s="306"/>
      <c r="D396" s="393">
        <f>D321</f>
        <v>616016</v>
      </c>
      <c r="E396" s="393"/>
      <c r="F396" s="477" t="s">
        <v>2689</v>
      </c>
      <c r="G396" s="115"/>
      <c r="H396" s="558"/>
      <c r="I396" s="558"/>
      <c r="J396" s="401"/>
      <c r="K396" s="401"/>
      <c r="L396" s="401"/>
      <c r="M396" s="401"/>
      <c r="N396" s="401"/>
      <c r="O396" s="401"/>
      <c r="P396" s="115"/>
      <c r="Q396" s="115"/>
      <c r="R396" s="115"/>
      <c r="S396" s="115"/>
      <c r="T396" s="115"/>
      <c r="U396" s="115"/>
      <c r="V396" s="115"/>
    </row>
    <row r="397" spans="1:22" ht="12.75" customHeight="1" x14ac:dyDescent="0.25">
      <c r="B397" s="306"/>
      <c r="C397" s="306"/>
      <c r="D397" s="393"/>
      <c r="E397" s="393"/>
      <c r="F397" s="383" t="s">
        <v>554</v>
      </c>
      <c r="G397" s="115"/>
      <c r="H397" s="114"/>
      <c r="I397" s="114"/>
      <c r="J397" s="1276">
        <v>2025</v>
      </c>
      <c r="K397" s="407">
        <v>2026</v>
      </c>
      <c r="L397" s="1276">
        <v>2027</v>
      </c>
      <c r="M397" s="407">
        <v>2028</v>
      </c>
      <c r="N397" s="1276">
        <v>2029</v>
      </c>
      <c r="O397" s="1276">
        <v>2030</v>
      </c>
      <c r="P397" s="115"/>
      <c r="Q397" s="115"/>
      <c r="R397" s="115"/>
      <c r="S397" s="115"/>
      <c r="T397" s="115"/>
      <c r="U397" s="115"/>
      <c r="V397" s="115"/>
    </row>
    <row r="398" spans="1:22" ht="12.75" customHeight="1" x14ac:dyDescent="0.25">
      <c r="B398" s="306"/>
      <c r="C398" s="306"/>
      <c r="D398" s="384"/>
      <c r="E398" s="384"/>
      <c r="F398" s="530"/>
      <c r="G398" s="401"/>
      <c r="H398" s="401"/>
      <c r="I398" s="401"/>
      <c r="J398" s="399"/>
      <c r="K398" s="399"/>
      <c r="L398" s="399"/>
      <c r="M398" s="399"/>
      <c r="N398" s="399"/>
      <c r="O398" s="399"/>
      <c r="P398" s="115"/>
      <c r="Q398" s="115"/>
      <c r="R398" s="115"/>
      <c r="S398" s="115"/>
      <c r="T398" s="115"/>
      <c r="U398" s="115"/>
      <c r="V398" s="115"/>
    </row>
    <row r="399" spans="1:22" ht="12.75" customHeight="1" x14ac:dyDescent="0.25">
      <c r="B399" s="306"/>
      <c r="C399" s="306"/>
      <c r="D399" s="384"/>
      <c r="E399" s="384"/>
      <c r="F399" s="2531" t="s">
        <v>2780</v>
      </c>
      <c r="G399" s="2531"/>
      <c r="H399" s="2531"/>
      <c r="I399" s="2531"/>
      <c r="J399" s="2531"/>
      <c r="K399" s="2531"/>
      <c r="L399" s="115"/>
      <c r="M399" s="115"/>
      <c r="N399" s="115"/>
      <c r="O399" s="115"/>
      <c r="P399" s="115"/>
      <c r="Q399" s="115"/>
      <c r="R399" s="115"/>
      <c r="S399" s="115"/>
      <c r="T399" s="115"/>
      <c r="U399" s="115"/>
      <c r="V399" s="115"/>
    </row>
    <row r="400" spans="1:22" ht="12.75" customHeight="1" x14ac:dyDescent="0.25">
      <c r="B400" s="306"/>
      <c r="C400" s="306"/>
      <c r="D400" s="384"/>
      <c r="E400" s="384"/>
      <c r="F400" s="2531"/>
      <c r="G400" s="2531"/>
      <c r="H400" s="2531"/>
      <c r="I400" s="2531"/>
      <c r="J400" s="2531"/>
      <c r="K400" s="2531"/>
      <c r="L400" s="115"/>
      <c r="M400" s="115"/>
      <c r="N400" s="115"/>
      <c r="O400" s="115"/>
      <c r="P400" s="115"/>
      <c r="Q400" s="115"/>
      <c r="R400" s="115"/>
      <c r="S400" s="115"/>
      <c r="T400" s="115"/>
      <c r="U400" s="115"/>
      <c r="V400" s="115"/>
    </row>
    <row r="401" spans="2:22" ht="12.75" customHeight="1" x14ac:dyDescent="0.25">
      <c r="B401" s="306"/>
      <c r="C401" s="306"/>
      <c r="D401" s="384"/>
      <c r="E401" s="384"/>
      <c r="F401" s="2531"/>
      <c r="G401" s="2531"/>
      <c r="H401" s="2531"/>
      <c r="I401" s="2531"/>
      <c r="J401" s="2531"/>
      <c r="K401" s="2531"/>
      <c r="L401" s="115"/>
      <c r="M401" s="115"/>
      <c r="N401" s="115"/>
      <c r="O401" s="115"/>
      <c r="P401" s="115"/>
      <c r="Q401" s="115"/>
      <c r="R401" s="115"/>
      <c r="S401" s="115"/>
      <c r="T401" s="115"/>
      <c r="U401" s="115"/>
      <c r="V401" s="115"/>
    </row>
    <row r="402" spans="2:22" ht="12.75" customHeight="1" x14ac:dyDescent="0.25">
      <c r="B402" s="306"/>
      <c r="C402" s="306"/>
      <c r="D402" s="384"/>
      <c r="E402" s="384"/>
      <c r="F402" s="2531"/>
      <c r="G402" s="2531"/>
      <c r="H402" s="2531"/>
      <c r="I402" s="2531"/>
      <c r="J402" s="2531"/>
      <c r="K402" s="2531"/>
      <c r="L402" s="115"/>
      <c r="M402" s="115"/>
      <c r="N402" s="115"/>
      <c r="O402" s="115"/>
      <c r="P402" s="115"/>
      <c r="Q402" s="115"/>
      <c r="R402" s="115"/>
      <c r="S402" s="115"/>
      <c r="T402" s="115"/>
      <c r="U402" s="115"/>
      <c r="V402" s="115"/>
    </row>
    <row r="403" spans="2:22" ht="12.75" customHeight="1" x14ac:dyDescent="0.25">
      <c r="B403" s="306"/>
      <c r="C403" s="306"/>
      <c r="D403" s="143">
        <v>83520</v>
      </c>
      <c r="E403" s="143"/>
      <c r="F403" s="115" t="s">
        <v>2781</v>
      </c>
      <c r="G403" s="115"/>
      <c r="H403" s="114"/>
      <c r="I403" s="114"/>
      <c r="J403" s="394">
        <v>-92803</v>
      </c>
      <c r="K403" s="394">
        <v>-94659</v>
      </c>
      <c r="L403" s="394">
        <f>ROUND(K403*T$3,0)</f>
        <v>-98635</v>
      </c>
      <c r="M403" s="394">
        <f>ROUND(L403*U$3,0)</f>
        <v>-102284</v>
      </c>
      <c r="N403" s="394">
        <f>ROUND(M403*V$3,0)</f>
        <v>-106069</v>
      </c>
      <c r="O403" s="394">
        <f>ROUND(N403*W$3,0)</f>
        <v>-109994</v>
      </c>
      <c r="P403" s="115"/>
      <c r="Q403" s="115"/>
      <c r="R403" s="115"/>
      <c r="S403" s="115"/>
      <c r="T403" s="115"/>
      <c r="U403" s="115"/>
      <c r="V403" s="115"/>
    </row>
    <row r="404" spans="2:22" ht="12.75" customHeight="1" thickBot="1" x14ac:dyDescent="0.3">
      <c r="B404" s="306"/>
      <c r="C404" s="306"/>
      <c r="D404" s="384"/>
      <c r="E404" s="384"/>
      <c r="F404" s="115" t="str">
        <f>"Totaal "&amp;D403</f>
        <v>Totaal 83520</v>
      </c>
      <c r="G404" s="115"/>
      <c r="H404" s="114"/>
      <c r="I404" s="114"/>
      <c r="J404" s="1779">
        <v>-92803</v>
      </c>
      <c r="K404" s="1779">
        <v>-94659</v>
      </c>
      <c r="L404" s="1779">
        <f>SUM(L403:L403)</f>
        <v>-98635</v>
      </c>
      <c r="M404" s="1779">
        <f>SUM(M403:M403)</f>
        <v>-102284</v>
      </c>
      <c r="N404" s="1779">
        <f>SUM(N403:N403)</f>
        <v>-106069</v>
      </c>
      <c r="O404" s="1779">
        <f>SUM(O403:O403)</f>
        <v>-109994</v>
      </c>
      <c r="P404" s="115"/>
      <c r="Q404" s="115"/>
      <c r="R404" s="115"/>
      <c r="S404" s="115"/>
      <c r="T404" s="115"/>
      <c r="U404" s="115"/>
      <c r="V404" s="115"/>
    </row>
    <row r="405" spans="2:22" ht="12.75" customHeight="1" thickTop="1" x14ac:dyDescent="0.25">
      <c r="B405" s="306"/>
      <c r="C405" s="306"/>
      <c r="D405" s="301"/>
      <c r="E405" s="301"/>
      <c r="F405" s="115"/>
      <c r="G405" s="115"/>
      <c r="H405" s="115"/>
      <c r="I405" s="115"/>
      <c r="J405" s="115"/>
      <c r="K405" s="115"/>
      <c r="L405" s="115"/>
      <c r="M405" s="115"/>
      <c r="N405" s="115"/>
      <c r="O405" s="115"/>
      <c r="P405" s="115"/>
      <c r="Q405" s="115"/>
      <c r="R405" s="115"/>
      <c r="S405" s="115"/>
      <c r="T405" s="115"/>
      <c r="U405" s="115"/>
      <c r="V405" s="115"/>
    </row>
    <row r="406" spans="2:22" ht="12.75" customHeight="1" x14ac:dyDescent="0.25">
      <c r="B406" s="1201"/>
      <c r="C406" s="1201"/>
      <c r="D406" s="1278" t="s">
        <v>2782</v>
      </c>
      <c r="E406" s="1278"/>
      <c r="F406" s="1278"/>
      <c r="G406" s="1201"/>
      <c r="H406" s="1201"/>
      <c r="I406" s="1201"/>
      <c r="J406" s="1202"/>
      <c r="K406" s="1202"/>
      <c r="L406" s="1202"/>
      <c r="M406" s="1202"/>
      <c r="N406" s="1202"/>
      <c r="O406" s="1202"/>
      <c r="P406" s="1203"/>
      <c r="Q406" s="1203"/>
      <c r="R406" s="1201"/>
      <c r="S406" s="115"/>
      <c r="T406" s="115"/>
      <c r="U406" s="115"/>
      <c r="V406" s="115"/>
    </row>
    <row r="407" spans="2:22" ht="12.75" customHeight="1" x14ac:dyDescent="0.25">
      <c r="B407" s="1201"/>
      <c r="C407" s="1201"/>
      <c r="D407" s="1204"/>
      <c r="E407" s="1204"/>
      <c r="F407" s="1204"/>
      <c r="G407" s="1201"/>
      <c r="H407" s="1201"/>
      <c r="I407" s="1201"/>
      <c r="J407" s="407">
        <v>2025</v>
      </c>
      <c r="K407" s="407">
        <v>2026</v>
      </c>
      <c r="L407" s="407">
        <v>2027</v>
      </c>
      <c r="M407" s="407">
        <v>2028</v>
      </c>
      <c r="N407" s="407">
        <v>2029</v>
      </c>
      <c r="O407" s="407">
        <v>2030</v>
      </c>
      <c r="P407" s="1205"/>
      <c r="Q407" s="1201"/>
      <c r="R407" s="115"/>
      <c r="S407" s="115"/>
      <c r="T407" s="115"/>
      <c r="U407" s="115"/>
      <c r="V407" s="115"/>
    </row>
    <row r="408" spans="2:22" ht="12.75" customHeight="1" x14ac:dyDescent="0.25">
      <c r="B408" s="1201"/>
      <c r="C408" s="1201"/>
      <c r="D408" s="1206" t="s">
        <v>2783</v>
      </c>
      <c r="E408" s="1206"/>
      <c r="F408" s="1206"/>
      <c r="G408" s="1201"/>
      <c r="H408" s="1201"/>
      <c r="I408" s="1201"/>
      <c r="J408" s="1202"/>
      <c r="K408" s="1202"/>
      <c r="L408" s="1202"/>
      <c r="M408" s="1202"/>
      <c r="N408" s="1202"/>
      <c r="O408" s="1202"/>
      <c r="P408" s="1205"/>
      <c r="Q408" s="1201"/>
      <c r="R408" s="115"/>
      <c r="S408" s="115"/>
      <c r="T408" s="115"/>
      <c r="U408" s="115"/>
      <c r="V408" s="115"/>
    </row>
    <row r="409" spans="2:22" ht="12.75" customHeight="1" x14ac:dyDescent="0.25">
      <c r="B409" s="1201"/>
      <c r="C409" s="1201"/>
      <c r="D409" s="1204" t="s">
        <v>2784</v>
      </c>
      <c r="E409" s="1204"/>
      <c r="F409" s="1204"/>
      <c r="G409" s="1201"/>
      <c r="H409" s="1201"/>
      <c r="I409" s="1201"/>
      <c r="J409" s="1207">
        <v>180300.64</v>
      </c>
      <c r="K409" s="1207">
        <v>113909.32</v>
      </c>
      <c r="L409" s="1207">
        <f>L358</f>
        <v>0</v>
      </c>
      <c r="M409" s="1207">
        <f>M358</f>
        <v>0</v>
      </c>
      <c r="N409" s="1207">
        <f>N358</f>
        <v>0</v>
      </c>
      <c r="O409" s="1207">
        <f>O358</f>
        <v>0</v>
      </c>
      <c r="P409" s="1205"/>
      <c r="Q409" s="1201"/>
      <c r="R409" s="115"/>
      <c r="S409" s="115"/>
      <c r="T409" s="115"/>
      <c r="U409" s="115"/>
      <c r="V409" s="115"/>
    </row>
    <row r="410" spans="2:22" ht="12.75" customHeight="1" x14ac:dyDescent="0.25">
      <c r="B410" s="1201"/>
      <c r="C410" s="1201"/>
      <c r="D410" s="1204"/>
      <c r="E410" s="1204"/>
      <c r="F410" s="1204"/>
      <c r="G410" s="1201"/>
      <c r="H410" s="1201"/>
      <c r="I410" s="1201"/>
      <c r="J410" s="1202"/>
      <c r="K410" s="1202"/>
      <c r="L410" s="1202"/>
      <c r="M410" s="1202"/>
      <c r="N410" s="1202"/>
      <c r="O410" s="1202"/>
      <c r="P410" s="1205"/>
      <c r="Q410" s="1201"/>
      <c r="R410" s="115"/>
      <c r="S410" s="115"/>
      <c r="T410" s="115"/>
      <c r="U410" s="115"/>
      <c r="V410" s="115"/>
    </row>
    <row r="411" spans="2:22" ht="12.75" customHeight="1" x14ac:dyDescent="0.25">
      <c r="B411" s="1201"/>
      <c r="C411" s="1201"/>
      <c r="D411" s="1204" t="s">
        <v>2038</v>
      </c>
      <c r="E411" s="1204"/>
      <c r="F411" s="1204"/>
      <c r="G411" s="1201"/>
      <c r="H411" s="1201"/>
      <c r="I411" s="1201"/>
      <c r="J411" s="1202">
        <v>180300.64</v>
      </c>
      <c r="K411" s="1202">
        <v>113909.32</v>
      </c>
      <c r="L411" s="1202">
        <f t="shared" ref="L411:M411" si="104">SUM(L409:L410)</f>
        <v>0</v>
      </c>
      <c r="M411" s="1202">
        <f t="shared" si="104"/>
        <v>0</v>
      </c>
      <c r="N411" s="1202">
        <f t="shared" ref="N411:O411" si="105">SUM(N409:N410)</f>
        <v>0</v>
      </c>
      <c r="O411" s="1202">
        <f t="shared" si="105"/>
        <v>0</v>
      </c>
      <c r="P411" s="1205"/>
      <c r="Q411" s="1201"/>
      <c r="R411" s="115"/>
      <c r="S411" s="115"/>
      <c r="T411" s="115"/>
      <c r="U411" s="115"/>
      <c r="V411" s="115"/>
    </row>
    <row r="412" spans="2:22" ht="12.75" customHeight="1" x14ac:dyDescent="0.25">
      <c r="B412" s="1201"/>
      <c r="C412" s="1201"/>
      <c r="D412" s="1204"/>
      <c r="E412" s="1204"/>
      <c r="F412" s="1204"/>
      <c r="G412" s="1201"/>
      <c r="H412" s="1201"/>
      <c r="I412" s="1201"/>
      <c r="J412" s="1207"/>
      <c r="K412" s="1207"/>
      <c r="L412" s="1207"/>
      <c r="M412" s="1207"/>
      <c r="N412" s="1207"/>
      <c r="O412" s="1207"/>
      <c r="P412" s="1205"/>
      <c r="Q412" s="1201"/>
      <c r="R412" s="115"/>
      <c r="S412" s="115"/>
      <c r="T412" s="115"/>
      <c r="U412" s="115"/>
      <c r="V412" s="115"/>
    </row>
    <row r="413" spans="2:22" ht="12.75" customHeight="1" x14ac:dyDescent="0.25">
      <c r="B413" s="1201"/>
      <c r="C413" s="1201"/>
      <c r="D413" s="1204" t="s">
        <v>2785</v>
      </c>
      <c r="E413" s="1204"/>
      <c r="F413" s="1204"/>
      <c r="G413" s="1201"/>
      <c r="H413" s="1201"/>
      <c r="I413" s="1201"/>
      <c r="J413" s="1202">
        <v>180300.64</v>
      </c>
      <c r="K413" s="1202">
        <v>113909.32</v>
      </c>
      <c r="L413" s="1202">
        <f>SUM(L411:L412)</f>
        <v>0</v>
      </c>
      <c r="M413" s="1202">
        <f>SUM(M411:M412)</f>
        <v>0</v>
      </c>
      <c r="N413" s="1202">
        <f>SUM(N411:N412)</f>
        <v>0</v>
      </c>
      <c r="O413" s="1202">
        <f>SUM(O411:O412)</f>
        <v>0</v>
      </c>
      <c r="P413" s="1205"/>
      <c r="Q413" s="1201"/>
      <c r="R413" s="115"/>
      <c r="S413" s="115"/>
      <c r="T413" s="115"/>
      <c r="U413" s="115"/>
      <c r="V413" s="115"/>
    </row>
    <row r="414" spans="2:22" ht="12.75" customHeight="1" x14ac:dyDescent="0.25">
      <c r="B414" s="1201"/>
      <c r="C414" s="1201"/>
      <c r="D414" s="1204"/>
      <c r="E414" s="1204"/>
      <c r="F414" s="1204"/>
      <c r="G414" s="1201"/>
      <c r="H414" s="1208"/>
      <c r="I414" s="1208"/>
      <c r="J414" s="1202"/>
      <c r="K414" s="1202"/>
      <c r="L414" s="1202"/>
      <c r="M414" s="1202"/>
      <c r="N414" s="1202"/>
      <c r="O414" s="1202"/>
      <c r="P414" s="1205"/>
      <c r="Q414" s="1201"/>
      <c r="R414" s="115"/>
      <c r="S414" s="115"/>
      <c r="T414" s="115"/>
      <c r="U414" s="115"/>
      <c r="V414" s="115"/>
    </row>
    <row r="415" spans="2:22" ht="12.75" customHeight="1" x14ac:dyDescent="0.25">
      <c r="B415" s="1201"/>
      <c r="C415" s="1201"/>
      <c r="D415" s="1206" t="s">
        <v>2786</v>
      </c>
      <c r="E415" s="1206"/>
      <c r="F415" s="1206"/>
      <c r="G415" s="1201"/>
      <c r="H415" s="1201"/>
      <c r="I415" s="1201"/>
      <c r="J415" s="1202"/>
      <c r="K415" s="1202"/>
      <c r="L415" s="1202"/>
      <c r="M415" s="1202"/>
      <c r="N415" s="1202"/>
      <c r="O415" s="1202"/>
      <c r="P415" s="1205"/>
      <c r="Q415" s="1201"/>
      <c r="R415" s="115"/>
      <c r="S415" s="115"/>
      <c r="T415" s="115"/>
      <c r="U415" s="115"/>
      <c r="V415" s="115"/>
    </row>
    <row r="416" spans="2:22" ht="12.75" customHeight="1" x14ac:dyDescent="0.25">
      <c r="B416" s="1201"/>
      <c r="C416" s="1201"/>
      <c r="D416" s="1204"/>
      <c r="E416" s="1204"/>
      <c r="F416" s="1204"/>
      <c r="G416" s="1201"/>
      <c r="H416" s="1201"/>
      <c r="I416" s="1201"/>
      <c r="J416" s="1202"/>
      <c r="K416" s="1202"/>
      <c r="L416" s="1202"/>
      <c r="M416" s="1202"/>
      <c r="N416" s="1202"/>
      <c r="O416" s="1202"/>
      <c r="P416" s="1205"/>
      <c r="Q416" s="1201"/>
      <c r="R416" s="115"/>
      <c r="S416" s="115"/>
      <c r="T416" s="115"/>
      <c r="U416" s="115"/>
      <c r="V416" s="115"/>
    </row>
    <row r="417" spans="2:32" ht="12.75" customHeight="1" x14ac:dyDescent="0.25">
      <c r="B417" s="1201"/>
      <c r="C417" s="1201"/>
      <c r="D417" s="1209" t="s">
        <v>2787</v>
      </c>
      <c r="E417" s="1209"/>
      <c r="F417" s="1209"/>
      <c r="G417" s="1201"/>
      <c r="H417" s="1201"/>
      <c r="I417" s="1201"/>
      <c r="J417" s="1202"/>
      <c r="K417" s="1202"/>
      <c r="L417" s="1202"/>
      <c r="M417" s="1202"/>
      <c r="N417" s="1202"/>
      <c r="O417" s="1202"/>
      <c r="P417" s="1205"/>
      <c r="Q417" s="1205"/>
      <c r="R417" s="1201"/>
      <c r="S417" s="115"/>
      <c r="T417" s="115"/>
      <c r="U417" s="115"/>
      <c r="V417" s="115"/>
    </row>
    <row r="418" spans="2:32" ht="12.75" customHeight="1" x14ac:dyDescent="0.25">
      <c r="B418" s="1210"/>
      <c r="C418" s="1210"/>
      <c r="D418" s="1210" t="s">
        <v>2788</v>
      </c>
      <c r="E418" s="1210"/>
      <c r="F418" s="1210"/>
      <c r="G418" s="1210"/>
      <c r="H418" s="1210"/>
      <c r="I418" s="1210"/>
      <c r="J418" s="1211">
        <v>180300.64</v>
      </c>
      <c r="K418" s="1211">
        <v>113909.32</v>
      </c>
      <c r="L418" s="1211">
        <f>L411</f>
        <v>0</v>
      </c>
      <c r="M418" s="1211">
        <f>M411</f>
        <v>0</v>
      </c>
      <c r="N418" s="1211">
        <f>N411</f>
        <v>0</v>
      </c>
      <c r="O418" s="2109">
        <f>O411</f>
        <v>0</v>
      </c>
      <c r="P418" s="1212"/>
      <c r="Q418" s="1212"/>
      <c r="R418" s="1212" t="s">
        <v>940</v>
      </c>
      <c r="S418" s="1212" t="s">
        <v>941</v>
      </c>
      <c r="T418" s="1212" t="s">
        <v>942</v>
      </c>
      <c r="U418" s="1212" t="s">
        <v>943</v>
      </c>
      <c r="V418" s="1212" t="s">
        <v>944</v>
      </c>
      <c r="W418" s="2108" t="s">
        <v>5284</v>
      </c>
    </row>
    <row r="419" spans="2:32" ht="12.75" customHeight="1" x14ac:dyDescent="0.3">
      <c r="B419" s="1201"/>
      <c r="C419" s="1201"/>
      <c r="D419" s="507" t="s">
        <v>945</v>
      </c>
      <c r="E419" s="115"/>
      <c r="F419" s="115"/>
      <c r="G419" s="115"/>
      <c r="H419" s="115"/>
      <c r="I419" s="508"/>
      <c r="J419" s="508"/>
      <c r="K419" s="508"/>
      <c r="L419" s="151"/>
      <c r="M419" s="151"/>
      <c r="N419" s="151"/>
      <c r="O419" s="547"/>
      <c r="P419" s="1246"/>
      <c r="Q419" s="11"/>
      <c r="R419" s="1247"/>
      <c r="S419" s="1247"/>
      <c r="T419" s="1247"/>
      <c r="U419" s="115"/>
      <c r="V419" s="115"/>
      <c r="W419" s="358"/>
    </row>
    <row r="420" spans="2:32" ht="12.75" customHeight="1" x14ac:dyDescent="0.3">
      <c r="B420" s="1201"/>
      <c r="C420" s="1201"/>
      <c r="D420" s="507"/>
      <c r="E420" s="115"/>
      <c r="F420" s="115"/>
      <c r="G420" s="115"/>
      <c r="H420" s="115"/>
      <c r="I420" s="508"/>
      <c r="J420" s="508"/>
      <c r="K420" s="508"/>
      <c r="L420" s="151"/>
      <c r="M420" s="151"/>
      <c r="N420" s="151"/>
      <c r="O420" s="547"/>
      <c r="P420" s="1246"/>
      <c r="Q420" s="11"/>
      <c r="R420" s="1247"/>
      <c r="S420" s="1247"/>
      <c r="T420" s="1247"/>
      <c r="U420" s="115"/>
      <c r="V420" s="115"/>
      <c r="W420" s="358"/>
    </row>
    <row r="421" spans="2:32" ht="12.75" customHeight="1" x14ac:dyDescent="0.3">
      <c r="B421" s="1201"/>
      <c r="C421" s="1201"/>
      <c r="D421" s="115" t="s">
        <v>946</v>
      </c>
      <c r="E421" s="115"/>
      <c r="F421" s="115"/>
      <c r="G421" s="115"/>
      <c r="H421" s="115"/>
      <c r="I421" s="359"/>
      <c r="J421" s="151">
        <v>18666.042479474519</v>
      </c>
      <c r="K421" s="151">
        <v>10267.787828249358</v>
      </c>
      <c r="L421" s="151">
        <f t="shared" ref="L421:L428" si="106">L$409*T421</f>
        <v>0</v>
      </c>
      <c r="M421" s="151">
        <f t="shared" ref="M421:M428" si="107">M$409*U421</f>
        <v>0</v>
      </c>
      <c r="N421" s="151">
        <f t="shared" ref="N421:O428" si="108">N$409*V421</f>
        <v>0</v>
      </c>
      <c r="O421" s="547">
        <f t="shared" si="108"/>
        <v>0</v>
      </c>
      <c r="P421" s="1246"/>
      <c r="Q421" s="115"/>
      <c r="R421" s="508">
        <v>0.10002862957699615</v>
      </c>
      <c r="S421" s="1249">
        <v>9.0140015130011811E-2</v>
      </c>
      <c r="T421" s="1249">
        <v>9.4116051248378754E-2</v>
      </c>
      <c r="U421" s="1249">
        <v>9.9292008067508306E-2</v>
      </c>
      <c r="V421" s="1249">
        <v>0.10438807427196223</v>
      </c>
      <c r="W421" s="2082">
        <v>0.10438807427196223</v>
      </c>
    </row>
    <row r="422" spans="2:32" ht="12.75" customHeight="1" x14ac:dyDescent="0.3">
      <c r="B422" s="1201"/>
      <c r="C422" s="1201"/>
      <c r="D422" s="115" t="s">
        <v>947</v>
      </c>
      <c r="E422" s="115"/>
      <c r="F422" s="115"/>
      <c r="G422" s="115"/>
      <c r="H422" s="115"/>
      <c r="I422" s="359"/>
      <c r="J422" s="151">
        <v>434.91857514644403</v>
      </c>
      <c r="K422" s="151">
        <v>249.23036012942768</v>
      </c>
      <c r="L422" s="151">
        <f t="shared" si="106"/>
        <v>0</v>
      </c>
      <c r="M422" s="151">
        <f t="shared" si="107"/>
        <v>0</v>
      </c>
      <c r="N422" s="151">
        <f t="shared" si="108"/>
        <v>0</v>
      </c>
      <c r="O422" s="547">
        <f t="shared" si="108"/>
        <v>0</v>
      </c>
      <c r="P422" s="1246"/>
      <c r="Q422" s="115"/>
      <c r="R422" s="508">
        <v>2.3306659189979155E-3</v>
      </c>
      <c r="S422" s="1249">
        <v>2.1879716262850806E-3</v>
      </c>
      <c r="T422" s="1249">
        <v>2.1808700203638722E-3</v>
      </c>
      <c r="U422" s="1249">
        <v>2.1738259745138874E-3</v>
      </c>
      <c r="V422" s="1249">
        <v>2.1667766391142334E-3</v>
      </c>
      <c r="W422" s="2082">
        <v>2.1667766391142334E-3</v>
      </c>
    </row>
    <row r="423" spans="2:32" ht="12.75" customHeight="1" x14ac:dyDescent="0.3">
      <c r="B423" s="1201"/>
      <c r="C423" s="1201"/>
      <c r="D423" s="115" t="s">
        <v>948</v>
      </c>
      <c r="E423" s="115"/>
      <c r="F423" s="115"/>
      <c r="G423" s="115"/>
      <c r="H423" s="115"/>
      <c r="I423" s="359"/>
      <c r="J423" s="151">
        <v>35708.526535377161</v>
      </c>
      <c r="K423" s="151">
        <v>19921.221153624014</v>
      </c>
      <c r="L423" s="151">
        <f t="shared" si="106"/>
        <v>0</v>
      </c>
      <c r="M423" s="151">
        <f t="shared" si="107"/>
        <v>0</v>
      </c>
      <c r="N423" s="151">
        <f t="shared" si="108"/>
        <v>0</v>
      </c>
      <c r="O423" s="547">
        <f t="shared" si="108"/>
        <v>0</v>
      </c>
      <c r="P423" s="1246"/>
      <c r="Q423" s="115"/>
      <c r="R423" s="508">
        <v>0.19135684371635128</v>
      </c>
      <c r="S423" s="509">
        <v>0.17488666558297436</v>
      </c>
      <c r="T423" s="509">
        <v>0.17438652803424973</v>
      </c>
      <c r="U423" s="509">
        <v>0.17388779816254066</v>
      </c>
      <c r="V423" s="509">
        <v>0.17339048621050948</v>
      </c>
      <c r="W423" s="2083">
        <v>0.17339048621050948</v>
      </c>
    </row>
    <row r="424" spans="2:32" ht="12.75" customHeight="1" x14ac:dyDescent="0.3">
      <c r="B424" s="1201"/>
      <c r="C424" s="1201"/>
      <c r="D424" s="115" t="s">
        <v>949</v>
      </c>
      <c r="E424" s="115"/>
      <c r="F424" s="115"/>
      <c r="G424" s="115"/>
      <c r="H424" s="115"/>
      <c r="I424" s="359"/>
      <c r="J424" s="151">
        <v>47362.083429078397</v>
      </c>
      <c r="K424" s="151">
        <v>25856.960002720003</v>
      </c>
      <c r="L424" s="151">
        <f t="shared" si="106"/>
        <v>0</v>
      </c>
      <c r="M424" s="151">
        <f t="shared" si="107"/>
        <v>0</v>
      </c>
      <c r="N424" s="151">
        <f t="shared" si="108"/>
        <v>0</v>
      </c>
      <c r="O424" s="547">
        <f t="shared" si="108"/>
        <v>0</v>
      </c>
      <c r="P424" s="1246"/>
      <c r="Q424" s="115"/>
      <c r="R424" s="508">
        <v>0.2538065744000943</v>
      </c>
      <c r="S424" s="509">
        <v>0.226996</v>
      </c>
      <c r="T424" s="509">
        <v>0.22213899999999998</v>
      </c>
      <c r="U424" s="509">
        <v>0.22063199999999999</v>
      </c>
      <c r="V424" s="509">
        <v>0.21912900000000002</v>
      </c>
      <c r="W424" s="2083">
        <v>0.21912900000000002</v>
      </c>
    </row>
    <row r="425" spans="2:32" ht="12.75" customHeight="1" x14ac:dyDescent="0.3">
      <c r="B425" s="1201"/>
      <c r="C425" s="1201"/>
      <c r="D425" s="308" t="s">
        <v>950</v>
      </c>
      <c r="E425" s="115"/>
      <c r="F425" s="115"/>
      <c r="G425" s="115"/>
      <c r="H425" s="115"/>
      <c r="I425" s="359"/>
      <c r="J425" s="151">
        <v>6556.8144570915756</v>
      </c>
      <c r="K425" s="151">
        <v>3519.2302391184271</v>
      </c>
      <c r="L425" s="151">
        <f t="shared" si="106"/>
        <v>0</v>
      </c>
      <c r="M425" s="151">
        <f t="shared" si="107"/>
        <v>0</v>
      </c>
      <c r="N425" s="151">
        <f t="shared" si="108"/>
        <v>0</v>
      </c>
      <c r="O425" s="547">
        <f t="shared" si="108"/>
        <v>0</v>
      </c>
      <c r="P425" s="1246"/>
      <c r="Q425" s="115"/>
      <c r="R425" s="508">
        <v>3.513702303285287E-2</v>
      </c>
      <c r="S425" s="509">
        <v>3.0895015782013507E-2</v>
      </c>
      <c r="T425" s="509">
        <v>3.0766417766252215E-2</v>
      </c>
      <c r="U425" s="509">
        <v>3.0639101158068314E-2</v>
      </c>
      <c r="V425" s="509">
        <v>3.051322591199954E-2</v>
      </c>
      <c r="W425" s="2083">
        <v>3.051322591199954E-2</v>
      </c>
      <c r="X425" s="115"/>
      <c r="Y425" s="115"/>
      <c r="Z425" s="115"/>
      <c r="AA425" s="115"/>
      <c r="AB425" s="115"/>
      <c r="AC425" s="115"/>
      <c r="AD425" s="115"/>
      <c r="AE425" s="115"/>
      <c r="AF425" s="115"/>
    </row>
    <row r="426" spans="2:32" ht="12.75" customHeight="1" x14ac:dyDescent="0.3">
      <c r="B426" s="1201"/>
      <c r="C426" s="1201"/>
      <c r="D426" s="308" t="s">
        <v>951</v>
      </c>
      <c r="E426" s="115"/>
      <c r="F426" s="115"/>
      <c r="G426" s="115"/>
      <c r="H426" s="115"/>
      <c r="I426" s="359"/>
      <c r="J426" s="151">
        <v>0</v>
      </c>
      <c r="K426" s="151">
        <v>0</v>
      </c>
      <c r="L426" s="151">
        <f t="shared" si="106"/>
        <v>0</v>
      </c>
      <c r="M426" s="151">
        <f t="shared" si="107"/>
        <v>0</v>
      </c>
      <c r="N426" s="151">
        <f t="shared" si="108"/>
        <v>0</v>
      </c>
      <c r="O426" s="547">
        <f t="shared" si="108"/>
        <v>0</v>
      </c>
      <c r="P426" s="1246"/>
      <c r="Q426" s="115"/>
      <c r="R426" s="508">
        <v>0</v>
      </c>
      <c r="S426" s="509">
        <v>0</v>
      </c>
      <c r="T426" s="509">
        <v>0</v>
      </c>
      <c r="U426" s="509">
        <v>0</v>
      </c>
      <c r="V426" s="509">
        <v>0</v>
      </c>
      <c r="W426" s="2083">
        <v>0</v>
      </c>
      <c r="X426" s="115"/>
      <c r="Y426" s="115"/>
      <c r="Z426" s="115"/>
      <c r="AA426" s="115"/>
      <c r="AB426" s="115"/>
      <c r="AC426" s="115"/>
      <c r="AD426" s="115"/>
      <c r="AE426" s="115"/>
      <c r="AF426" s="115"/>
    </row>
    <row r="427" spans="2:32" ht="12.75" customHeight="1" x14ac:dyDescent="0.3">
      <c r="B427" s="115"/>
      <c r="C427" s="115"/>
      <c r="D427" s="308" t="s">
        <v>952</v>
      </c>
      <c r="E427" s="115"/>
      <c r="F427" s="115"/>
      <c r="G427" s="115"/>
      <c r="H427" s="115"/>
      <c r="I427" s="359"/>
      <c r="J427" s="151">
        <v>0</v>
      </c>
      <c r="K427" s="151">
        <v>0</v>
      </c>
      <c r="L427" s="151">
        <f t="shared" si="106"/>
        <v>0</v>
      </c>
      <c r="M427" s="151">
        <f t="shared" si="107"/>
        <v>0</v>
      </c>
      <c r="N427" s="151">
        <f t="shared" si="108"/>
        <v>0</v>
      </c>
      <c r="O427" s="547">
        <f t="shared" si="108"/>
        <v>0</v>
      </c>
      <c r="P427" s="1246"/>
      <c r="Q427" s="115"/>
      <c r="R427" s="508">
        <v>0</v>
      </c>
      <c r="S427" s="509">
        <v>0</v>
      </c>
      <c r="T427" s="509">
        <v>0</v>
      </c>
      <c r="U427" s="509">
        <v>0</v>
      </c>
      <c r="V427" s="509">
        <v>0</v>
      </c>
      <c r="W427" s="2083">
        <v>0</v>
      </c>
      <c r="X427" s="115"/>
      <c r="Y427" s="115"/>
      <c r="Z427" s="115"/>
      <c r="AA427" s="115"/>
      <c r="AB427" s="115"/>
      <c r="AC427" s="115"/>
      <c r="AD427" s="115"/>
      <c r="AE427" s="115"/>
      <c r="AF427" s="115"/>
    </row>
    <row r="428" spans="2:32" ht="12.75" customHeight="1" x14ac:dyDescent="0.3">
      <c r="B428" s="115"/>
      <c r="C428" s="115"/>
      <c r="D428" s="308" t="s">
        <v>953</v>
      </c>
      <c r="E428" s="115"/>
      <c r="F428" s="115"/>
      <c r="G428" s="115"/>
      <c r="H428" s="115"/>
      <c r="I428" s="359"/>
      <c r="J428" s="151">
        <v>29456.162865848386</v>
      </c>
      <c r="K428" s="151">
        <v>18872.431269506164</v>
      </c>
      <c r="L428" s="151">
        <f t="shared" si="106"/>
        <v>0</v>
      </c>
      <c r="M428" s="151">
        <f t="shared" si="107"/>
        <v>0</v>
      </c>
      <c r="N428" s="151">
        <f t="shared" si="108"/>
        <v>0</v>
      </c>
      <c r="O428" s="547">
        <f t="shared" si="108"/>
        <v>0</v>
      </c>
      <c r="P428" s="1246"/>
      <c r="Q428" s="115"/>
      <c r="R428" s="508">
        <v>0.15785132854527636</v>
      </c>
      <c r="S428" s="509">
        <v>0.16567943052865353</v>
      </c>
      <c r="T428" s="509">
        <v>0.14716489103378858</v>
      </c>
      <c r="U428" s="509">
        <v>0.14716498116661511</v>
      </c>
      <c r="V428" s="509">
        <v>0.14716501622526443</v>
      </c>
      <c r="W428" s="2083">
        <v>0.14716501622526443</v>
      </c>
      <c r="X428" s="115"/>
      <c r="Y428" s="115"/>
      <c r="Z428" s="115"/>
      <c r="AA428" s="115"/>
      <c r="AB428" s="115"/>
      <c r="AC428" s="115"/>
      <c r="AD428" s="115"/>
      <c r="AE428" s="115"/>
      <c r="AF428" s="115"/>
    </row>
    <row r="429" spans="2:32" ht="12.75" customHeight="1" x14ac:dyDescent="0.25">
      <c r="B429" s="115"/>
      <c r="C429" s="115"/>
      <c r="D429" s="115"/>
      <c r="E429" s="115"/>
      <c r="F429" s="115"/>
      <c r="G429" s="115"/>
      <c r="H429" s="115"/>
      <c r="I429" s="359"/>
      <c r="J429" s="359"/>
      <c r="K429" s="359"/>
      <c r="L429" s="151"/>
      <c r="M429" s="151"/>
      <c r="N429" s="151"/>
      <c r="O429" s="547"/>
      <c r="P429" s="1246"/>
      <c r="Q429" s="115"/>
      <c r="R429" s="508"/>
      <c r="S429" s="508"/>
      <c r="T429" s="508"/>
      <c r="U429" s="508"/>
      <c r="V429" s="508"/>
      <c r="W429" s="2090"/>
      <c r="X429" s="115"/>
      <c r="Y429" s="115"/>
      <c r="Z429" s="115"/>
      <c r="AA429" s="115"/>
      <c r="AB429" s="115"/>
      <c r="AC429" s="115"/>
      <c r="AD429" s="115"/>
      <c r="AE429" s="115"/>
      <c r="AF429" s="115"/>
    </row>
    <row r="430" spans="2:32" ht="12.75" customHeight="1" x14ac:dyDescent="0.3">
      <c r="B430" s="1201"/>
      <c r="C430" s="1201"/>
      <c r="D430" s="507" t="s">
        <v>954</v>
      </c>
      <c r="E430" s="115"/>
      <c r="F430" s="115"/>
      <c r="G430" s="115"/>
      <c r="H430" s="115"/>
      <c r="I430" s="359"/>
      <c r="J430" s="359"/>
      <c r="K430" s="359"/>
      <c r="L430" s="151"/>
      <c r="M430" s="151"/>
      <c r="N430" s="151"/>
      <c r="O430" s="547"/>
      <c r="P430" s="1246"/>
      <c r="Q430" s="115"/>
      <c r="R430" s="508"/>
      <c r="S430" s="508"/>
      <c r="T430" s="508"/>
      <c r="U430" s="508"/>
      <c r="V430" s="508"/>
      <c r="W430" s="2090"/>
      <c r="X430" s="115"/>
      <c r="Y430" s="115"/>
      <c r="Z430" s="115"/>
      <c r="AA430" s="115"/>
      <c r="AB430" s="115"/>
      <c r="AC430" s="115"/>
      <c r="AD430" s="115"/>
      <c r="AE430" s="115"/>
      <c r="AF430" s="115"/>
    </row>
    <row r="431" spans="2:32" ht="12.75" customHeight="1" x14ac:dyDescent="0.25">
      <c r="B431" s="1201"/>
      <c r="C431" s="1201"/>
      <c r="D431" s="115"/>
      <c r="E431" s="115"/>
      <c r="F431" s="115"/>
      <c r="G431" s="115"/>
      <c r="H431" s="115"/>
      <c r="I431" s="359"/>
      <c r="J431" s="359"/>
      <c r="K431" s="359"/>
      <c r="L431" s="151"/>
      <c r="M431" s="151"/>
      <c r="N431" s="151"/>
      <c r="O431" s="547"/>
      <c r="P431" s="1246"/>
      <c r="Q431" s="115"/>
      <c r="R431" s="508"/>
      <c r="S431" s="508"/>
      <c r="T431" s="508"/>
      <c r="U431" s="508"/>
      <c r="V431" s="508"/>
      <c r="W431" s="2090"/>
      <c r="X431" s="115"/>
      <c r="Y431" s="115"/>
      <c r="Z431" s="115"/>
      <c r="AA431" s="115"/>
      <c r="AB431" s="115"/>
      <c r="AC431" s="115"/>
      <c r="AD431" s="115"/>
      <c r="AE431" s="115"/>
      <c r="AF431" s="115"/>
    </row>
    <row r="432" spans="2:32" ht="12.75" customHeight="1" x14ac:dyDescent="0.3">
      <c r="B432" s="1201"/>
      <c r="C432" s="1201"/>
      <c r="D432" s="115" t="s">
        <v>955</v>
      </c>
      <c r="E432" s="115"/>
      <c r="F432" s="115"/>
      <c r="G432" s="115"/>
      <c r="H432" s="115"/>
      <c r="I432" s="359"/>
      <c r="J432" s="151">
        <v>7624.1015517631267</v>
      </c>
      <c r="K432" s="151">
        <v>3675.1085327064602</v>
      </c>
      <c r="L432" s="151">
        <f t="shared" ref="L432:O433" si="109">L$409*T432</f>
        <v>0</v>
      </c>
      <c r="M432" s="151">
        <f t="shared" si="109"/>
        <v>0</v>
      </c>
      <c r="N432" s="151">
        <f t="shared" si="109"/>
        <v>0</v>
      </c>
      <c r="O432" s="547">
        <f t="shared" si="109"/>
        <v>0</v>
      </c>
      <c r="P432" s="1246"/>
      <c r="Q432" s="115"/>
      <c r="R432" s="508">
        <v>4.085646064597323E-2</v>
      </c>
      <c r="S432" s="509">
        <v>3.2263457746095403E-2</v>
      </c>
      <c r="T432" s="509">
        <v>4.7579415939850316E-2</v>
      </c>
      <c r="U432" s="509">
        <v>4.5607867417297838E-2</v>
      </c>
      <c r="V432" s="509">
        <v>4.4188607727701418E-2</v>
      </c>
      <c r="W432" s="2083">
        <v>4.4188607727701418E-2</v>
      </c>
      <c r="X432" s="115"/>
      <c r="Y432" s="115"/>
      <c r="Z432" s="115"/>
      <c r="AA432" s="115"/>
      <c r="AB432" s="115"/>
      <c r="AC432" s="115"/>
      <c r="AD432" s="115"/>
      <c r="AE432" s="115"/>
      <c r="AF432" s="115"/>
    </row>
    <row r="433" spans="2:32" ht="12.75" customHeight="1" x14ac:dyDescent="0.3">
      <c r="B433" s="1201"/>
      <c r="C433" s="1201"/>
      <c r="D433" s="115" t="s">
        <v>956</v>
      </c>
      <c r="E433" s="115"/>
      <c r="F433" s="115"/>
      <c r="G433" s="115"/>
      <c r="H433" s="115"/>
      <c r="I433" s="359"/>
      <c r="J433" s="151">
        <v>31100.227853046039</v>
      </c>
      <c r="K433" s="151">
        <v>19158.180712160003</v>
      </c>
      <c r="L433" s="151">
        <f t="shared" si="109"/>
        <v>0</v>
      </c>
      <c r="M433" s="151">
        <f t="shared" si="109"/>
        <v>0</v>
      </c>
      <c r="N433" s="151">
        <f t="shared" si="109"/>
        <v>0</v>
      </c>
      <c r="O433" s="547">
        <f t="shared" si="109"/>
        <v>0</v>
      </c>
      <c r="P433" s="1246"/>
      <c r="Q433" s="115"/>
      <c r="R433" s="508">
        <v>0.16666163569987213</v>
      </c>
      <c r="S433" s="509">
        <v>0.168188</v>
      </c>
      <c r="T433" s="509">
        <v>0.16177600000000003</v>
      </c>
      <c r="U433" s="509">
        <v>0.130523</v>
      </c>
      <c r="V433" s="509">
        <v>0.125635</v>
      </c>
      <c r="W433" s="2083">
        <v>0.125635</v>
      </c>
      <c r="X433" s="115"/>
      <c r="Y433" s="115"/>
      <c r="Z433" s="115"/>
      <c r="AA433" s="115"/>
      <c r="AB433" s="115"/>
      <c r="AC433" s="115"/>
      <c r="AD433" s="115"/>
      <c r="AE433" s="115"/>
      <c r="AF433" s="115"/>
    </row>
    <row r="434" spans="2:32" ht="12.75" customHeight="1" x14ac:dyDescent="0.25">
      <c r="B434" s="1201"/>
      <c r="C434" s="1201"/>
      <c r="D434" s="411"/>
      <c r="E434" s="301"/>
      <c r="F434" s="301"/>
      <c r="G434" s="359"/>
      <c r="H434" s="359"/>
      <c r="I434" s="510"/>
      <c r="J434" s="151"/>
      <c r="K434" s="151"/>
      <c r="L434" s="151"/>
      <c r="M434" s="151"/>
      <c r="N434" s="151"/>
      <c r="O434" s="547"/>
      <c r="P434" s="1246"/>
      <c r="Q434" s="115"/>
      <c r="R434" s="12"/>
      <c r="S434" s="1250"/>
      <c r="T434" s="1250"/>
      <c r="U434" s="1250"/>
      <c r="V434" s="1250"/>
      <c r="W434" s="2101"/>
      <c r="X434" s="115"/>
      <c r="Y434" s="115"/>
      <c r="Z434" s="115"/>
      <c r="AA434" s="115"/>
      <c r="AB434" s="115"/>
      <c r="AC434" s="115"/>
      <c r="AD434" s="115"/>
      <c r="AE434" s="115"/>
      <c r="AF434" s="115"/>
    </row>
    <row r="435" spans="2:32" ht="12.75" customHeight="1" thickBot="1" x14ac:dyDescent="0.3">
      <c r="B435" s="115"/>
      <c r="C435" s="115"/>
      <c r="D435" s="301" t="s">
        <v>957</v>
      </c>
      <c r="E435" s="301"/>
      <c r="F435" s="301"/>
      <c r="G435" s="359"/>
      <c r="H435" s="359"/>
      <c r="I435" s="510"/>
      <c r="J435" s="1745">
        <v>176908.87774682566</v>
      </c>
      <c r="K435" s="1745">
        <v>101520.15009821385</v>
      </c>
      <c r="L435" s="1745">
        <f t="shared" ref="L435:M435" si="110">SUM(L421:L434)</f>
        <v>0</v>
      </c>
      <c r="M435" s="1745">
        <f t="shared" si="110"/>
        <v>0</v>
      </c>
      <c r="N435" s="1745">
        <f t="shared" ref="N435:O435" si="111">SUM(N421:N434)</f>
        <v>0</v>
      </c>
      <c r="O435" s="2110">
        <f t="shared" si="111"/>
        <v>0</v>
      </c>
      <c r="P435" s="458"/>
      <c r="Q435" s="115"/>
      <c r="R435" s="458"/>
      <c r="S435" s="458"/>
      <c r="T435" s="458"/>
      <c r="U435" s="458"/>
      <c r="V435" s="458"/>
      <c r="W435" s="2102"/>
      <c r="X435" s="115"/>
      <c r="Y435" s="115"/>
      <c r="Z435" s="115"/>
      <c r="AA435" s="115"/>
      <c r="AB435" s="115"/>
      <c r="AC435" s="115"/>
      <c r="AD435" s="115"/>
      <c r="AE435" s="115"/>
      <c r="AF435" s="115"/>
    </row>
    <row r="436" spans="2:32" ht="12.75" customHeight="1" thickTop="1" x14ac:dyDescent="0.25">
      <c r="B436" s="115"/>
      <c r="C436" s="115"/>
      <c r="D436" s="301"/>
      <c r="E436" s="301"/>
      <c r="F436" s="301"/>
      <c r="G436" s="359"/>
      <c r="H436" s="359"/>
      <c r="I436" s="510"/>
      <c r="J436" s="503"/>
      <c r="K436" s="503"/>
      <c r="L436" s="503"/>
      <c r="M436" s="503"/>
      <c r="N436" s="503"/>
      <c r="O436" s="503"/>
      <c r="P436" s="647" t="s">
        <v>958</v>
      </c>
      <c r="Q436" s="115"/>
      <c r="R436" s="1177">
        <f>SUM(R421:R434)</f>
        <v>0.94802916153641426</v>
      </c>
      <c r="S436" s="1177">
        <f t="shared" ref="S436:U436" si="112">SUM(S421:S434)</f>
        <v>0.89123655639603361</v>
      </c>
      <c r="T436" s="1177">
        <f t="shared" si="112"/>
        <v>0.88010917404288347</v>
      </c>
      <c r="U436" s="1177">
        <f t="shared" si="112"/>
        <v>0.84992058194654407</v>
      </c>
      <c r="V436" s="1177">
        <f t="shared" ref="V436:W436" si="113">SUM(V421:V434)</f>
        <v>0.84657618698655135</v>
      </c>
      <c r="W436" s="2103">
        <f t="shared" si="113"/>
        <v>0.84657618698655135</v>
      </c>
      <c r="X436" s="115"/>
      <c r="Y436" s="115"/>
      <c r="Z436" s="115"/>
      <c r="AA436" s="115"/>
      <c r="AB436" s="115"/>
      <c r="AC436" s="115"/>
      <c r="AD436" s="115"/>
      <c r="AE436" s="115"/>
      <c r="AF436" s="115"/>
    </row>
    <row r="437" spans="2:32" ht="12.75" customHeight="1" x14ac:dyDescent="0.25">
      <c r="B437" s="115"/>
      <c r="C437" s="115"/>
      <c r="D437" s="301" t="s">
        <v>959</v>
      </c>
      <c r="E437" s="301"/>
      <c r="F437" s="301"/>
      <c r="G437" s="359"/>
      <c r="H437" s="359"/>
      <c r="I437" s="510"/>
      <c r="J437" s="503">
        <v>180300.64</v>
      </c>
      <c r="K437" s="503">
        <v>113909.32</v>
      </c>
      <c r="L437" s="503">
        <f>L413</f>
        <v>0</v>
      </c>
      <c r="M437" s="503">
        <f>M413</f>
        <v>0</v>
      </c>
      <c r="N437" s="503">
        <f>N413</f>
        <v>0</v>
      </c>
      <c r="O437" s="503">
        <f>O413</f>
        <v>0</v>
      </c>
      <c r="P437" s="458"/>
      <c r="Q437" s="458"/>
      <c r="R437" s="458"/>
      <c r="S437" s="458"/>
      <c r="T437" s="458"/>
      <c r="U437" s="115"/>
      <c r="V437" s="115"/>
      <c r="W437" s="115"/>
      <c r="X437" s="115"/>
      <c r="Y437" s="115"/>
      <c r="Z437" s="115"/>
      <c r="AA437" s="115"/>
      <c r="AB437" s="115"/>
      <c r="AC437" s="115"/>
      <c r="AD437" s="115"/>
      <c r="AE437" s="115"/>
      <c r="AF437" s="115"/>
    </row>
    <row r="438" spans="2:32" ht="12.75" customHeight="1" x14ac:dyDescent="0.25">
      <c r="B438" s="115"/>
      <c r="C438" s="115"/>
      <c r="D438" s="301" t="s">
        <v>960</v>
      </c>
      <c r="E438" s="301"/>
      <c r="F438" s="301"/>
      <c r="G438" s="359"/>
      <c r="H438" s="359"/>
      <c r="I438" s="510"/>
      <c r="J438" s="503">
        <v>176908.87774682566</v>
      </c>
      <c r="K438" s="503">
        <v>101520.15009821385</v>
      </c>
      <c r="L438" s="503">
        <f t="shared" ref="L438:M438" si="114">L435</f>
        <v>0</v>
      </c>
      <c r="M438" s="503">
        <f t="shared" si="114"/>
        <v>0</v>
      </c>
      <c r="N438" s="503">
        <f t="shared" ref="N438:O438" si="115">N435</f>
        <v>0</v>
      </c>
      <c r="O438" s="503">
        <f t="shared" si="115"/>
        <v>0</v>
      </c>
      <c r="P438" s="115"/>
      <c r="Q438" s="115"/>
      <c r="R438" s="115"/>
      <c r="S438" s="115"/>
      <c r="T438" s="115"/>
      <c r="U438" s="115"/>
      <c r="V438" s="115"/>
      <c r="W438" s="115"/>
      <c r="X438" s="115"/>
      <c r="Y438" s="115"/>
      <c r="Z438" s="115"/>
      <c r="AA438" s="115"/>
      <c r="AB438" s="115"/>
      <c r="AC438" s="115"/>
      <c r="AD438" s="115"/>
      <c r="AE438" s="115"/>
      <c r="AF438" s="115"/>
    </row>
    <row r="439" spans="2:32" ht="12.75" customHeight="1" x14ac:dyDescent="0.25">
      <c r="B439" s="115"/>
      <c r="C439" s="115"/>
      <c r="D439" s="301" t="s">
        <v>961</v>
      </c>
      <c r="E439" s="301"/>
      <c r="F439" s="301"/>
      <c r="G439" s="359"/>
      <c r="H439" s="359"/>
      <c r="I439" s="510"/>
      <c r="J439" s="511">
        <v>-35974</v>
      </c>
      <c r="K439" s="511">
        <v>-20000</v>
      </c>
      <c r="L439" s="511">
        <f>L147</f>
        <v>-20420</v>
      </c>
      <c r="M439" s="511">
        <f>M147</f>
        <v>-20890</v>
      </c>
      <c r="N439" s="511">
        <f>N147</f>
        <v>-21370</v>
      </c>
      <c r="O439" s="511">
        <f>O147</f>
        <v>-21862</v>
      </c>
      <c r="P439" s="115"/>
      <c r="Q439" s="115"/>
      <c r="R439" s="115"/>
      <c r="S439" s="115"/>
      <c r="T439" s="115"/>
      <c r="U439" s="115"/>
      <c r="V439" s="115"/>
      <c r="W439" s="115"/>
      <c r="X439" s="115"/>
      <c r="Y439" s="115"/>
      <c r="Z439" s="115"/>
      <c r="AA439" s="115"/>
      <c r="AB439" s="115"/>
      <c r="AC439" s="115"/>
      <c r="AD439" s="115"/>
      <c r="AE439" s="115"/>
      <c r="AF439" s="115"/>
    </row>
    <row r="440" spans="2:32" ht="12.75" customHeight="1" x14ac:dyDescent="0.25">
      <c r="B440" s="115"/>
      <c r="C440" s="115"/>
      <c r="D440" s="301"/>
      <c r="E440" s="301"/>
      <c r="F440" s="301"/>
      <c r="G440" s="359"/>
      <c r="H440" s="359"/>
      <c r="I440" s="510"/>
      <c r="J440" s="503"/>
      <c r="K440" s="503"/>
      <c r="L440" s="503"/>
      <c r="M440" s="503"/>
      <c r="N440" s="503"/>
      <c r="O440" s="503"/>
      <c r="P440" s="115"/>
      <c r="Q440" s="115"/>
      <c r="R440" s="115"/>
      <c r="S440" s="115"/>
      <c r="T440" s="115"/>
      <c r="U440" s="115"/>
      <c r="V440" s="115"/>
      <c r="W440" s="115"/>
      <c r="X440" s="115"/>
      <c r="Y440" s="115"/>
      <c r="Z440" s="115"/>
      <c r="AA440" s="115"/>
      <c r="AB440" s="115"/>
      <c r="AC440" s="115"/>
      <c r="AD440" s="115"/>
      <c r="AE440" s="115"/>
      <c r="AF440" s="115"/>
    </row>
    <row r="441" spans="2:32" ht="12.75" customHeight="1" x14ac:dyDescent="0.25">
      <c r="B441" s="115"/>
      <c r="C441" s="115"/>
      <c r="D441" s="301"/>
      <c r="E441" s="301"/>
      <c r="F441" s="301"/>
      <c r="G441" s="359"/>
      <c r="H441" s="359"/>
      <c r="I441" s="510"/>
      <c r="J441" s="503"/>
      <c r="K441" s="503"/>
      <c r="L441" s="503"/>
      <c r="M441" s="503"/>
      <c r="N441" s="503"/>
      <c r="O441" s="503"/>
      <c r="P441" s="115"/>
      <c r="Q441" s="115"/>
      <c r="R441" s="115"/>
      <c r="S441" s="115"/>
      <c r="T441" s="115"/>
      <c r="U441" s="115"/>
      <c r="V441" s="115"/>
      <c r="W441" s="115"/>
      <c r="X441" s="115"/>
      <c r="Y441" s="115"/>
      <c r="Z441" s="115"/>
      <c r="AA441" s="115"/>
      <c r="AB441" s="115"/>
      <c r="AC441" s="115"/>
      <c r="AD441" s="115"/>
      <c r="AE441" s="115"/>
      <c r="AF441" s="115"/>
    </row>
    <row r="442" spans="2:32" ht="12.75" customHeight="1" x14ac:dyDescent="0.25">
      <c r="B442" s="115"/>
      <c r="C442" s="115"/>
      <c r="D442" s="301" t="s">
        <v>962</v>
      </c>
      <c r="E442" s="301"/>
      <c r="F442" s="301"/>
      <c r="G442" s="359"/>
      <c r="H442" s="359"/>
      <c r="I442" s="510"/>
      <c r="J442" s="510">
        <v>321235.5177468257</v>
      </c>
      <c r="K442" s="510">
        <v>195429.47009821387</v>
      </c>
      <c r="L442" s="510">
        <f t="shared" ref="L442:M442" si="116">SUM(L437:L441)</f>
        <v>-20420</v>
      </c>
      <c r="M442" s="510">
        <f t="shared" si="116"/>
        <v>-20890</v>
      </c>
      <c r="N442" s="510">
        <f t="shared" ref="N442:O442" si="117">SUM(N437:N441)</f>
        <v>-21370</v>
      </c>
      <c r="O442" s="510">
        <f t="shared" si="117"/>
        <v>-21862</v>
      </c>
      <c r="P442" s="115"/>
      <c r="Q442" s="115"/>
      <c r="R442" s="115"/>
      <c r="S442" s="115"/>
      <c r="T442" s="115"/>
      <c r="U442" s="115"/>
      <c r="V442" s="115"/>
      <c r="W442" s="115"/>
      <c r="X442" s="115"/>
      <c r="Y442" s="115"/>
      <c r="Z442" s="115"/>
      <c r="AA442" s="115"/>
      <c r="AB442" s="115"/>
      <c r="AC442" s="115"/>
      <c r="AD442" s="115"/>
      <c r="AE442" s="115"/>
      <c r="AF442" s="115"/>
    </row>
    <row r="443" spans="2:32" ht="12.75" customHeight="1" x14ac:dyDescent="0.25">
      <c r="B443" s="115"/>
      <c r="C443" s="115"/>
      <c r="D443" s="301" t="s">
        <v>963</v>
      </c>
      <c r="E443" s="301"/>
      <c r="F443" s="301"/>
      <c r="G443" s="359"/>
      <c r="H443" s="359"/>
      <c r="I443" s="512"/>
      <c r="J443" s="512">
        <v>0.10070840280772356</v>
      </c>
      <c r="K443" s="512">
        <v>9.2837809009519628E-2</v>
      </c>
      <c r="L443" s="512" t="e">
        <f t="shared" ref="L443:M443" si="118">IF((-L439/(L437+L438))&gt;0,-L439/(L437+L438),L439/(L437+L438))</f>
        <v>#DIV/0!</v>
      </c>
      <c r="M443" s="512" t="e">
        <f t="shared" si="118"/>
        <v>#DIV/0!</v>
      </c>
      <c r="N443" s="512" t="e">
        <f t="shared" ref="N443:O443" si="119">IF((-N439/(N437+N438))&gt;0,-N439/(N437+N438),N439/(N437+N438))</f>
        <v>#DIV/0!</v>
      </c>
      <c r="O443" s="512" t="e">
        <f t="shared" si="119"/>
        <v>#DIV/0!</v>
      </c>
      <c r="P443" s="301"/>
      <c r="Q443" s="301"/>
      <c r="R443" s="301"/>
      <c r="S443" s="359"/>
      <c r="T443" s="359"/>
      <c r="U443" s="510"/>
      <c r="V443" s="115"/>
      <c r="W443" s="510"/>
      <c r="X443" s="510"/>
      <c r="Y443" s="510"/>
      <c r="Z443" s="510"/>
      <c r="AA443" s="115"/>
      <c r="AB443" s="115"/>
      <c r="AC443" s="115"/>
      <c r="AD443" s="115"/>
      <c r="AE443" s="115"/>
      <c r="AF443" s="115"/>
    </row>
    <row r="444" spans="2:32" ht="12.75" customHeight="1" x14ac:dyDescent="0.25">
      <c r="B444" s="115"/>
      <c r="C444" s="115"/>
      <c r="D444" s="301"/>
      <c r="E444" s="301"/>
      <c r="F444" s="301"/>
      <c r="G444" s="359"/>
      <c r="H444" s="359"/>
      <c r="I444" s="512"/>
      <c r="J444" s="512"/>
      <c r="K444" s="512"/>
      <c r="L444" s="512"/>
      <c r="M444" s="512"/>
      <c r="N444" s="512"/>
      <c r="O444" s="512"/>
      <c r="P444" s="301"/>
      <c r="Q444" s="301"/>
      <c r="R444" s="301"/>
      <c r="S444" s="359"/>
      <c r="T444" s="359"/>
      <c r="U444" s="510"/>
      <c r="V444" s="115"/>
      <c r="W444" s="510"/>
      <c r="X444" s="510"/>
      <c r="Y444" s="510"/>
      <c r="Z444" s="510"/>
      <c r="AA444" s="115"/>
      <c r="AB444" s="115"/>
      <c r="AC444" s="115"/>
      <c r="AD444" s="115"/>
      <c r="AE444" s="115"/>
      <c r="AF444" s="115"/>
    </row>
    <row r="445" spans="2:32" ht="12.75" customHeight="1" x14ac:dyDescent="0.25">
      <c r="B445" s="115"/>
      <c r="C445" s="115"/>
      <c r="D445" s="301"/>
      <c r="E445" s="301"/>
      <c r="F445" s="301"/>
      <c r="G445" s="115"/>
      <c r="H445" s="115"/>
      <c r="I445" s="115"/>
      <c r="J445" s="115"/>
      <c r="K445" s="115"/>
      <c r="L445" s="115"/>
      <c r="M445" s="115"/>
      <c r="N445" s="115"/>
      <c r="O445" s="115"/>
      <c r="P445" s="115"/>
      <c r="Q445" s="115"/>
      <c r="R445" s="115"/>
      <c r="S445" s="115"/>
      <c r="T445" s="115"/>
      <c r="U445" s="115"/>
      <c r="V445" s="115"/>
      <c r="W445" s="115"/>
      <c r="X445" s="115"/>
      <c r="Y445" s="115"/>
      <c r="Z445" s="115"/>
      <c r="AA445" s="115"/>
      <c r="AB445" s="115"/>
      <c r="AC445" s="115"/>
      <c r="AD445" s="115"/>
      <c r="AE445" s="115"/>
      <c r="AF445" s="115"/>
    </row>
    <row r="446" spans="2:32" ht="12.75" customHeight="1" x14ac:dyDescent="0.25">
      <c r="B446" s="115"/>
      <c r="C446" s="115"/>
      <c r="D446" s="1206" t="s">
        <v>2789</v>
      </c>
      <c r="E446" s="1206"/>
      <c r="F446" s="1206"/>
      <c r="G446" s="1201"/>
      <c r="H446" s="1201"/>
      <c r="I446" s="1201"/>
      <c r="J446" s="1202"/>
      <c r="K446" s="1202"/>
      <c r="L446" s="1202"/>
      <c r="M446" s="1202"/>
      <c r="N446" s="1202"/>
      <c r="O446" s="1202"/>
      <c r="P446" s="1205"/>
      <c r="Q446" s="1201"/>
      <c r="R446" s="115"/>
      <c r="S446" s="115"/>
      <c r="T446" s="115"/>
      <c r="U446" s="115"/>
      <c r="V446" s="115"/>
      <c r="W446" s="115"/>
      <c r="X446" s="115"/>
      <c r="Y446" s="115"/>
      <c r="Z446" s="115"/>
      <c r="AA446" s="115"/>
      <c r="AB446" s="115"/>
      <c r="AC446" s="115"/>
      <c r="AD446" s="115"/>
      <c r="AE446" s="115"/>
      <c r="AF446" s="115"/>
    </row>
    <row r="447" spans="2:32" ht="12.75" customHeight="1" x14ac:dyDescent="0.25">
      <c r="B447" s="115"/>
      <c r="C447" s="115"/>
      <c r="D447" s="1204" t="s">
        <v>2693</v>
      </c>
      <c r="E447" s="1204"/>
      <c r="F447" s="1204"/>
      <c r="G447" s="1201"/>
      <c r="H447" s="1201"/>
      <c r="I447" s="1201"/>
      <c r="J447" s="1207">
        <v>204370.28</v>
      </c>
      <c r="K447" s="1207">
        <v>179523.23</v>
      </c>
      <c r="L447" s="1207">
        <f>L368</f>
        <v>187063</v>
      </c>
      <c r="M447" s="1207">
        <f>M368</f>
        <v>193984</v>
      </c>
      <c r="N447" s="1207">
        <f>N368</f>
        <v>201161</v>
      </c>
      <c r="O447" s="1207">
        <f>O368</f>
        <v>208604</v>
      </c>
      <c r="P447" s="1205"/>
      <c r="Q447" s="1201"/>
      <c r="R447" s="115"/>
      <c r="S447" s="115"/>
      <c r="T447" s="115"/>
      <c r="U447" s="115"/>
      <c r="V447" s="115"/>
      <c r="W447" s="115"/>
      <c r="X447" s="115"/>
      <c r="Y447" s="115"/>
      <c r="Z447" s="115"/>
      <c r="AA447" s="115"/>
      <c r="AB447" s="115"/>
      <c r="AC447" s="115"/>
      <c r="AD447" s="115"/>
      <c r="AE447" s="115"/>
      <c r="AF447" s="115"/>
    </row>
    <row r="448" spans="2:32" ht="12.75" customHeight="1" x14ac:dyDescent="0.25">
      <c r="B448" s="115"/>
      <c r="C448" s="115"/>
      <c r="D448" s="1204"/>
      <c r="E448" s="1204"/>
      <c r="F448" s="1204"/>
      <c r="G448" s="1201"/>
      <c r="H448" s="1201"/>
      <c r="I448" s="1201"/>
      <c r="J448" s="1202"/>
      <c r="K448" s="1202"/>
      <c r="L448" s="1202"/>
      <c r="M448" s="1202"/>
      <c r="N448" s="1202"/>
      <c r="O448" s="1202"/>
      <c r="P448" s="1205"/>
      <c r="Q448" s="1201"/>
      <c r="R448" s="115"/>
      <c r="S448" s="115"/>
      <c r="T448" s="115"/>
      <c r="U448" s="115"/>
      <c r="V448" s="115"/>
      <c r="W448" s="115"/>
      <c r="X448" s="115"/>
      <c r="Y448" s="115"/>
      <c r="Z448" s="115"/>
      <c r="AA448" s="115"/>
      <c r="AB448" s="115"/>
      <c r="AC448" s="115"/>
      <c r="AD448" s="115"/>
      <c r="AE448" s="115"/>
      <c r="AF448" s="115"/>
    </row>
    <row r="449" spans="2:32" ht="12.75" customHeight="1" x14ac:dyDescent="0.25">
      <c r="B449" s="115"/>
      <c r="C449" s="115"/>
      <c r="D449" s="1204" t="s">
        <v>2790</v>
      </c>
      <c r="E449" s="1204"/>
      <c r="F449" s="1204"/>
      <c r="G449" s="1201"/>
      <c r="H449" s="1201"/>
      <c r="I449" s="1201"/>
      <c r="J449" s="1207">
        <v>204370.28</v>
      </c>
      <c r="K449" s="1207">
        <v>179523.23</v>
      </c>
      <c r="L449" s="1207">
        <f>SUM(L447:L448)</f>
        <v>187063</v>
      </c>
      <c r="M449" s="1207">
        <f>SUM(M447:M448)</f>
        <v>193984</v>
      </c>
      <c r="N449" s="1207">
        <f>SUM(N447:N448)</f>
        <v>201161</v>
      </c>
      <c r="O449" s="1207">
        <f>SUM(O447:O448)</f>
        <v>208604</v>
      </c>
      <c r="P449" s="1205"/>
      <c r="Q449" s="1201"/>
      <c r="R449" s="115"/>
      <c r="S449" s="115"/>
      <c r="T449" s="115"/>
      <c r="U449" s="115"/>
      <c r="V449" s="115"/>
      <c r="W449" s="115"/>
      <c r="X449" s="115"/>
      <c r="Y449" s="115"/>
      <c r="Z449" s="115"/>
      <c r="AA449" s="115"/>
      <c r="AB449" s="115"/>
      <c r="AC449" s="115"/>
      <c r="AD449" s="115"/>
      <c r="AE449" s="115"/>
      <c r="AF449" s="115"/>
    </row>
    <row r="450" spans="2:32" ht="12.75" customHeight="1" x14ac:dyDescent="0.25">
      <c r="B450" s="115"/>
      <c r="C450" s="115"/>
      <c r="D450" s="1204" t="s">
        <v>2785</v>
      </c>
      <c r="E450" s="1204"/>
      <c r="F450" s="1204"/>
      <c r="G450" s="1201"/>
      <c r="H450" s="1201"/>
      <c r="I450" s="1201"/>
      <c r="J450" s="1202">
        <v>204370.28</v>
      </c>
      <c r="K450" s="1202">
        <v>179523.23</v>
      </c>
      <c r="L450" s="1202">
        <f>SUM(L449:L449)</f>
        <v>187063</v>
      </c>
      <c r="M450" s="1202">
        <f>SUM(M449:M449)</f>
        <v>193984</v>
      </c>
      <c r="N450" s="1202">
        <f>SUM(N449:N449)</f>
        <v>201161</v>
      </c>
      <c r="O450" s="1202">
        <f>SUM(O449:O449)</f>
        <v>208604</v>
      </c>
      <c r="P450" s="1205"/>
      <c r="Q450" s="1201"/>
      <c r="R450" s="115"/>
      <c r="S450" s="115"/>
      <c r="T450" s="115"/>
      <c r="U450" s="115"/>
      <c r="V450" s="115"/>
      <c r="W450" s="115"/>
      <c r="X450" s="115"/>
      <c r="Y450" s="115"/>
      <c r="Z450" s="115"/>
      <c r="AA450" s="115"/>
      <c r="AB450" s="115"/>
      <c r="AC450" s="115"/>
      <c r="AD450" s="115"/>
      <c r="AE450" s="115"/>
      <c r="AF450" s="115"/>
    </row>
    <row r="451" spans="2:32" ht="12.75" customHeight="1" x14ac:dyDescent="0.25">
      <c r="B451" s="115"/>
      <c r="C451" s="115"/>
      <c r="D451" s="301"/>
      <c r="E451" s="301"/>
      <c r="F451" s="301"/>
      <c r="G451" s="115"/>
      <c r="H451" s="115"/>
      <c r="I451" s="115"/>
      <c r="J451" s="115"/>
      <c r="K451" s="115"/>
      <c r="L451" s="115"/>
      <c r="M451" s="115"/>
      <c r="N451" s="115"/>
      <c r="O451" s="115"/>
      <c r="P451" s="115"/>
      <c r="Q451" s="115"/>
      <c r="R451" s="115"/>
      <c r="S451" s="115"/>
      <c r="T451" s="115"/>
      <c r="U451" s="115"/>
      <c r="V451" s="115"/>
      <c r="W451" s="115"/>
      <c r="X451" s="115"/>
      <c r="Y451" s="115"/>
      <c r="Z451" s="115"/>
      <c r="AA451" s="115"/>
      <c r="AB451" s="115"/>
      <c r="AC451" s="115"/>
      <c r="AD451" s="115"/>
      <c r="AE451" s="115"/>
      <c r="AF451" s="115"/>
    </row>
    <row r="452" spans="2:32" ht="12.75" customHeight="1" x14ac:dyDescent="0.25">
      <c r="B452" s="306"/>
      <c r="C452" s="306"/>
      <c r="D452" s="1206" t="s">
        <v>2791</v>
      </c>
      <c r="E452" s="1206"/>
      <c r="F452" s="1206"/>
      <c r="G452" s="1201"/>
      <c r="H452" s="1201"/>
      <c r="I452" s="1201"/>
      <c r="J452" s="1279"/>
      <c r="K452" s="1279"/>
      <c r="L452" s="1279"/>
      <c r="M452" s="1279"/>
      <c r="N452" s="1279"/>
      <c r="O452" s="1279"/>
      <c r="P452" s="1205"/>
      <c r="Q452" s="1201"/>
      <c r="R452" s="115"/>
      <c r="S452" s="115"/>
      <c r="T452" s="115"/>
      <c r="U452" s="115"/>
      <c r="V452" s="115"/>
      <c r="W452" s="115"/>
      <c r="X452" s="115"/>
      <c r="Y452" s="115"/>
      <c r="Z452" s="115"/>
      <c r="AA452" s="115"/>
      <c r="AB452" s="115"/>
      <c r="AC452" s="115"/>
      <c r="AD452" s="115"/>
      <c r="AE452" s="115"/>
      <c r="AF452" s="115"/>
    </row>
    <row r="453" spans="2:32" ht="12.75" customHeight="1" x14ac:dyDescent="0.25">
      <c r="B453" s="306"/>
      <c r="C453" s="306"/>
      <c r="D453" s="1204"/>
      <c r="E453" s="1204"/>
      <c r="F453" s="1204"/>
      <c r="G453" s="1201"/>
      <c r="H453" s="1201"/>
      <c r="I453" s="1201"/>
      <c r="J453" s="1279"/>
      <c r="K453" s="1279"/>
      <c r="L453" s="1279"/>
      <c r="M453" s="1279"/>
      <c r="N453" s="1279"/>
      <c r="O453" s="1279"/>
      <c r="P453" s="1205"/>
      <c r="Q453" s="1201"/>
      <c r="R453" s="115"/>
      <c r="S453" s="115"/>
      <c r="T453" s="115"/>
      <c r="U453" s="115"/>
      <c r="V453" s="115"/>
      <c r="W453" s="115"/>
      <c r="X453" s="115"/>
      <c r="Y453" s="115"/>
      <c r="Z453" s="115"/>
      <c r="AA453" s="115"/>
      <c r="AB453" s="115"/>
      <c r="AC453" s="115"/>
      <c r="AD453" s="115"/>
      <c r="AE453" s="115"/>
      <c r="AF453" s="115"/>
    </row>
    <row r="454" spans="2:32" ht="12.75" customHeight="1" x14ac:dyDescent="0.25">
      <c r="B454" s="306"/>
      <c r="C454" s="306"/>
      <c r="D454" s="1209" t="s">
        <v>2787</v>
      </c>
      <c r="E454" s="1209"/>
      <c r="F454" s="1209"/>
      <c r="G454" s="1201"/>
      <c r="H454" s="1201"/>
      <c r="I454" s="1201"/>
      <c r="J454" s="1202"/>
      <c r="K454" s="1202"/>
      <c r="L454" s="1202"/>
      <c r="M454" s="1202"/>
      <c r="N454" s="1202"/>
      <c r="O454" s="1202"/>
      <c r="P454" s="1205"/>
      <c r="Q454" s="1205"/>
      <c r="R454" s="1201"/>
      <c r="S454" s="115"/>
      <c r="T454" s="115"/>
      <c r="U454" s="115"/>
      <c r="V454" s="115"/>
      <c r="W454" s="115"/>
      <c r="X454" s="115"/>
      <c r="Y454" s="115"/>
      <c r="Z454" s="115"/>
      <c r="AA454" s="115"/>
      <c r="AB454" s="115"/>
      <c r="AC454" s="115"/>
      <c r="AD454" s="115"/>
      <c r="AE454" s="115"/>
      <c r="AF454" s="115"/>
    </row>
    <row r="455" spans="2:32" ht="12.75" customHeight="1" x14ac:dyDescent="0.25">
      <c r="B455" s="306"/>
      <c r="C455" s="306"/>
      <c r="D455" s="1210" t="s">
        <v>2788</v>
      </c>
      <c r="E455" s="1210"/>
      <c r="F455" s="1210"/>
      <c r="G455" s="1210"/>
      <c r="H455" s="1210"/>
      <c r="I455" s="1210"/>
      <c r="J455" s="1211">
        <v>204370.28</v>
      </c>
      <c r="K455" s="1211">
        <v>179523.23</v>
      </c>
      <c r="L455" s="1211">
        <f t="shared" ref="L455:M455" si="120">L450</f>
        <v>187063</v>
      </c>
      <c r="M455" s="1211">
        <f t="shared" si="120"/>
        <v>193984</v>
      </c>
      <c r="N455" s="1211">
        <f t="shared" ref="N455:O455" si="121">N450</f>
        <v>201161</v>
      </c>
      <c r="O455" s="1211">
        <f t="shared" si="121"/>
        <v>208604</v>
      </c>
      <c r="P455" s="1212"/>
      <c r="Q455" s="1212"/>
      <c r="R455" s="115"/>
      <c r="S455" s="115"/>
      <c r="T455" s="115"/>
      <c r="U455" s="115"/>
      <c r="V455" s="115"/>
      <c r="W455" s="115"/>
      <c r="X455" s="115"/>
      <c r="Y455" s="115"/>
      <c r="Z455" s="115"/>
      <c r="AA455" s="115"/>
      <c r="AB455" s="115"/>
      <c r="AC455" s="115"/>
      <c r="AD455" s="115"/>
      <c r="AE455" s="115"/>
      <c r="AF455" s="115"/>
    </row>
    <row r="456" spans="2:32" ht="12.75" customHeight="1" x14ac:dyDescent="0.25">
      <c r="B456" s="306"/>
      <c r="C456" s="306"/>
      <c r="D456" s="1210"/>
      <c r="E456" s="1210"/>
      <c r="F456" s="1210"/>
      <c r="G456" s="1210"/>
      <c r="H456" s="1210"/>
      <c r="I456" s="1210"/>
      <c r="J456" s="1211"/>
      <c r="K456" s="1211"/>
      <c r="L456" s="1211"/>
      <c r="M456" s="1211"/>
      <c r="N456" s="1211"/>
      <c r="O456" s="1211"/>
      <c r="P456" s="1203"/>
      <c r="Q456" s="1203"/>
      <c r="R456" s="1203"/>
      <c r="S456" s="1203"/>
      <c r="T456" s="1203"/>
      <c r="U456" s="1203"/>
      <c r="V456" s="115"/>
      <c r="W456" s="115"/>
      <c r="X456" s="115"/>
      <c r="Y456" s="115"/>
      <c r="Z456" s="115"/>
      <c r="AA456" s="115"/>
      <c r="AB456" s="115"/>
      <c r="AC456" s="115"/>
      <c r="AD456" s="115"/>
      <c r="AE456" s="115"/>
      <c r="AF456" s="115"/>
    </row>
    <row r="457" spans="2:32" ht="12.75" customHeight="1" x14ac:dyDescent="0.3">
      <c r="B457" s="306"/>
      <c r="C457" s="306"/>
      <c r="D457" s="507" t="s">
        <v>945</v>
      </c>
      <c r="E457" s="115"/>
      <c r="F457" s="115"/>
      <c r="G457" s="115"/>
      <c r="H457" s="115"/>
      <c r="I457" s="508"/>
      <c r="J457" s="508"/>
      <c r="K457" s="508"/>
      <c r="L457" s="151"/>
      <c r="M457" s="151"/>
      <c r="N457" s="151"/>
      <c r="O457" s="151"/>
      <c r="P457" s="1203"/>
      <c r="Q457" s="1203"/>
      <c r="R457" s="1203"/>
      <c r="S457" s="381">
        <v>2026</v>
      </c>
      <c r="T457" s="381">
        <v>2027</v>
      </c>
      <c r="U457" s="381">
        <v>2028</v>
      </c>
      <c r="V457" s="381">
        <v>2029</v>
      </c>
      <c r="W457" s="2111">
        <v>2030</v>
      </c>
      <c r="X457" s="115"/>
      <c r="Y457" s="115"/>
      <c r="Z457" s="115"/>
      <c r="AA457" s="115"/>
      <c r="AB457" s="115"/>
      <c r="AC457" s="115"/>
      <c r="AD457" s="115"/>
      <c r="AE457" s="115"/>
      <c r="AF457" s="115"/>
    </row>
    <row r="458" spans="2:32" ht="12.75" customHeight="1" x14ac:dyDescent="0.3">
      <c r="B458" s="306"/>
      <c r="C458" s="306"/>
      <c r="D458" s="507"/>
      <c r="E458" s="115"/>
      <c r="F458" s="115"/>
      <c r="G458" s="115"/>
      <c r="H458" s="115"/>
      <c r="I458" s="508"/>
      <c r="J458" s="508"/>
      <c r="K458" s="508"/>
      <c r="L458" s="151"/>
      <c r="M458" s="151"/>
      <c r="N458" s="151"/>
      <c r="O458" s="151"/>
      <c r="P458" s="1203"/>
      <c r="Q458" s="1203"/>
      <c r="R458" s="1203"/>
      <c r="S458" s="115"/>
      <c r="T458" s="115"/>
      <c r="U458" s="115"/>
      <c r="V458" s="115"/>
      <c r="W458" s="358"/>
      <c r="X458" s="115"/>
      <c r="Y458" s="115"/>
      <c r="Z458" s="115"/>
      <c r="AA458" s="115"/>
      <c r="AB458" s="115"/>
      <c r="AC458" s="115"/>
      <c r="AD458" s="115"/>
      <c r="AE458" s="115"/>
      <c r="AF458" s="115"/>
    </row>
    <row r="459" spans="2:32" ht="12.75" customHeight="1" x14ac:dyDescent="0.3">
      <c r="B459" s="306"/>
      <c r="C459" s="306"/>
      <c r="D459" s="115" t="s">
        <v>946</v>
      </c>
      <c r="E459" s="115"/>
      <c r="F459" s="115"/>
      <c r="G459" s="115"/>
      <c r="H459" s="115"/>
      <c r="I459" s="359"/>
      <c r="J459" s="151">
        <v>16179.830891338283</v>
      </c>
      <c r="K459" s="151">
        <v>16182.226668388592</v>
      </c>
      <c r="L459" s="151">
        <f>L$447*T459</f>
        <v>17605.630894675476</v>
      </c>
      <c r="M459" s="151">
        <f>M$447*U459</f>
        <v>19261.060892967533</v>
      </c>
      <c r="N459" s="151">
        <f>N$447*V459</f>
        <v>20998.809408622194</v>
      </c>
      <c r="O459" s="547">
        <f>O$447*W459</f>
        <v>21775.769845428407</v>
      </c>
      <c r="P459" s="1203"/>
      <c r="Q459" s="1203"/>
      <c r="R459" s="508">
        <v>0.10002862957699615</v>
      </c>
      <c r="S459" s="509">
        <v>9.0140015130011811E-2</v>
      </c>
      <c r="T459" s="509">
        <v>9.4116051248378754E-2</v>
      </c>
      <c r="U459" s="509">
        <v>9.9292008067508306E-2</v>
      </c>
      <c r="V459" s="509">
        <v>0.10438807427196223</v>
      </c>
      <c r="W459" s="2083">
        <v>0.10438807427196223</v>
      </c>
      <c r="X459" s="115"/>
      <c r="Y459" s="115"/>
      <c r="Z459" s="115"/>
      <c r="AA459" s="115"/>
      <c r="AB459" s="115"/>
      <c r="AC459" s="115"/>
      <c r="AD459" s="115"/>
      <c r="AE459" s="115"/>
      <c r="AF459" s="115"/>
    </row>
    <row r="460" spans="2:32" ht="12.75" customHeight="1" x14ac:dyDescent="0.3">
      <c r="B460" s="306"/>
      <c r="C460" s="306"/>
      <c r="D460" s="115" t="s">
        <v>947</v>
      </c>
      <c r="E460" s="115"/>
      <c r="F460" s="115"/>
      <c r="G460" s="115"/>
      <c r="H460" s="115"/>
      <c r="I460" s="359"/>
      <c r="J460" s="151">
        <v>376.98987372975085</v>
      </c>
      <c r="K460" s="151">
        <v>392.79173349905057</v>
      </c>
      <c r="L460" s="151">
        <f t="shared" ref="L460:L466" si="122">L$447*T460</f>
        <v>407.960088619327</v>
      </c>
      <c r="M460" s="151">
        <f t="shared" ref="M460:M466" si="123">M$447*U460</f>
        <v>421.68745784010196</v>
      </c>
      <c r="N460" s="151">
        <f t="shared" ref="N460:O466" si="124">N$447*V460</f>
        <v>435.87095550085832</v>
      </c>
      <c r="O460" s="547">
        <f t="shared" si="124"/>
        <v>451.99827402578552</v>
      </c>
      <c r="P460" s="1203"/>
      <c r="Q460" s="1201"/>
      <c r="R460" s="508">
        <v>2.3306659189979155E-3</v>
      </c>
      <c r="S460" s="509">
        <v>2.1879716262850806E-3</v>
      </c>
      <c r="T460" s="509">
        <v>2.1808700203638722E-3</v>
      </c>
      <c r="U460" s="509">
        <v>2.1738259745138874E-3</v>
      </c>
      <c r="V460" s="509">
        <v>2.1667766391142334E-3</v>
      </c>
      <c r="W460" s="2083">
        <v>2.1667766391142334E-3</v>
      </c>
      <c r="X460" s="115"/>
      <c r="Y460" s="115"/>
      <c r="Z460" s="115"/>
      <c r="AA460" s="115"/>
      <c r="AB460" s="115"/>
      <c r="AC460" s="115"/>
      <c r="AD460" s="115"/>
      <c r="AE460" s="115"/>
      <c r="AF460" s="115"/>
    </row>
    <row r="461" spans="2:32" ht="12.75" customHeight="1" x14ac:dyDescent="0.3">
      <c r="B461" s="306"/>
      <c r="C461" s="306"/>
      <c r="D461" s="115" t="s">
        <v>948</v>
      </c>
      <c r="E461" s="115"/>
      <c r="F461" s="115"/>
      <c r="G461" s="115"/>
      <c r="H461" s="115"/>
      <c r="I461" s="359"/>
      <c r="J461" s="151">
        <v>30952.352184807252</v>
      </c>
      <c r="K461" s="151">
        <v>31396.219089385391</v>
      </c>
      <c r="L461" s="151">
        <f t="shared" si="122"/>
        <v>32621.267093670856</v>
      </c>
      <c r="M461" s="151">
        <f t="shared" si="123"/>
        <v>33731.45063876229</v>
      </c>
      <c r="N461" s="151">
        <f t="shared" si="124"/>
        <v>34879.403596592296</v>
      </c>
      <c r="O461" s="547">
        <f t="shared" si="124"/>
        <v>36169.948985457122</v>
      </c>
      <c r="P461" s="1203"/>
      <c r="Q461" s="1201"/>
      <c r="R461" s="508">
        <v>0.19135684371635128</v>
      </c>
      <c r="S461" s="509">
        <v>0.17488666558297436</v>
      </c>
      <c r="T461" s="509">
        <v>0.17438652803424973</v>
      </c>
      <c r="U461" s="509">
        <v>0.17388779816254066</v>
      </c>
      <c r="V461" s="509">
        <v>0.17339048621050948</v>
      </c>
      <c r="W461" s="2083">
        <v>0.17339048621050948</v>
      </c>
      <c r="X461" s="115"/>
      <c r="Y461" s="115"/>
      <c r="Z461" s="115"/>
      <c r="AA461" s="115"/>
      <c r="AB461" s="115"/>
      <c r="AC461" s="115"/>
      <c r="AD461" s="115"/>
      <c r="AE461" s="115"/>
      <c r="AF461" s="115"/>
    </row>
    <row r="462" spans="2:32" ht="12.75" customHeight="1" x14ac:dyDescent="0.3">
      <c r="B462" s="306"/>
      <c r="C462" s="306"/>
      <c r="D462" s="115" t="s">
        <v>949</v>
      </c>
      <c r="E462" s="115"/>
      <c r="F462" s="115"/>
      <c r="G462" s="115"/>
      <c r="H462" s="115"/>
      <c r="I462" s="359"/>
      <c r="J462" s="151">
        <v>41053.72102236405</v>
      </c>
      <c r="K462" s="151">
        <v>39351.114548411904</v>
      </c>
      <c r="L462" s="151">
        <f t="shared" si="122"/>
        <v>41679.904318101559</v>
      </c>
      <c r="M462" s="151">
        <f t="shared" si="123"/>
        <v>42116.569223288803</v>
      </c>
      <c r="N462" s="151">
        <f t="shared" si="124"/>
        <v>43365.974790219509</v>
      </c>
      <c r="O462" s="547">
        <f t="shared" si="124"/>
        <v>44970.525127330598</v>
      </c>
      <c r="P462" s="1203"/>
      <c r="Q462" s="1201"/>
      <c r="R462" s="508">
        <v>0.2538065744000943</v>
      </c>
      <c r="S462" s="509">
        <v>0.2191978973886104</v>
      </c>
      <c r="T462" s="509">
        <v>0.22281212381979096</v>
      </c>
      <c r="U462" s="509">
        <v>0.21711362392408035</v>
      </c>
      <c r="V462" s="509">
        <v>0.21557844110050908</v>
      </c>
      <c r="W462" s="2083">
        <v>0.21557844110050908</v>
      </c>
      <c r="X462" s="115"/>
      <c r="Y462" s="115"/>
      <c r="Z462" s="115"/>
      <c r="AA462" s="115"/>
      <c r="AB462" s="115"/>
      <c r="AC462" s="115"/>
      <c r="AD462" s="115"/>
      <c r="AE462" s="115"/>
      <c r="AF462" s="115"/>
    </row>
    <row r="463" spans="2:32" ht="12.75" customHeight="1" x14ac:dyDescent="0.3">
      <c r="B463" s="306"/>
      <c r="C463" s="306"/>
      <c r="D463" s="308" t="s">
        <v>950</v>
      </c>
      <c r="E463" s="115"/>
      <c r="F463" s="115"/>
      <c r="G463" s="115"/>
      <c r="H463" s="115"/>
      <c r="I463" s="359"/>
      <c r="J463" s="151">
        <v>5683.4837496100172</v>
      </c>
      <c r="K463" s="151">
        <v>5546.3730240880413</v>
      </c>
      <c r="L463" s="151">
        <f t="shared" si="122"/>
        <v>5755.2584066084382</v>
      </c>
      <c r="M463" s="151">
        <f t="shared" si="123"/>
        <v>5943.4953990467238</v>
      </c>
      <c r="N463" s="151">
        <f t="shared" si="124"/>
        <v>6138.0710376837396</v>
      </c>
      <c r="O463" s="547">
        <f t="shared" si="124"/>
        <v>6365.1809781467518</v>
      </c>
      <c r="P463" s="1203"/>
      <c r="Q463" s="1201"/>
      <c r="R463" s="508">
        <v>3.513702303285287E-2</v>
      </c>
      <c r="S463" s="509">
        <v>3.0895015782013507E-2</v>
      </c>
      <c r="T463" s="509">
        <v>3.0766417766252215E-2</v>
      </c>
      <c r="U463" s="509">
        <v>3.0639101158068314E-2</v>
      </c>
      <c r="V463" s="509">
        <v>3.051322591199954E-2</v>
      </c>
      <c r="W463" s="2083">
        <v>3.051322591199954E-2</v>
      </c>
      <c r="X463" s="115"/>
      <c r="Y463" s="115"/>
      <c r="Z463" s="115"/>
      <c r="AA463" s="115"/>
      <c r="AB463" s="115"/>
      <c r="AC463" s="115"/>
      <c r="AD463" s="115"/>
      <c r="AE463" s="115"/>
      <c r="AF463" s="115"/>
    </row>
    <row r="464" spans="2:32" ht="12.75" customHeight="1" x14ac:dyDescent="0.3">
      <c r="B464" s="306"/>
      <c r="C464" s="306"/>
      <c r="D464" s="308" t="s">
        <v>951</v>
      </c>
      <c r="E464" s="115"/>
      <c r="F464" s="115"/>
      <c r="G464" s="115"/>
      <c r="H464" s="115"/>
      <c r="I464" s="359"/>
      <c r="J464" s="151">
        <v>0</v>
      </c>
      <c r="K464" s="151">
        <v>0</v>
      </c>
      <c r="L464" s="151">
        <f t="shared" si="122"/>
        <v>0</v>
      </c>
      <c r="M464" s="151">
        <f t="shared" si="123"/>
        <v>0</v>
      </c>
      <c r="N464" s="151">
        <f t="shared" si="124"/>
        <v>0</v>
      </c>
      <c r="O464" s="547">
        <f t="shared" si="124"/>
        <v>0</v>
      </c>
      <c r="P464" s="1203"/>
      <c r="Q464" s="1201"/>
      <c r="R464" s="508">
        <v>0</v>
      </c>
      <c r="S464" s="509">
        <v>0</v>
      </c>
      <c r="T464" s="509">
        <v>0</v>
      </c>
      <c r="U464" s="509">
        <v>0</v>
      </c>
      <c r="V464" s="509">
        <v>0</v>
      </c>
      <c r="W464" s="2083">
        <v>0</v>
      </c>
      <c r="X464" s="115"/>
      <c r="Y464" s="115"/>
      <c r="Z464" s="115"/>
      <c r="AA464" s="115"/>
      <c r="AB464" s="115"/>
      <c r="AC464" s="115"/>
      <c r="AD464" s="115"/>
      <c r="AE464" s="115"/>
      <c r="AF464" s="115"/>
    </row>
    <row r="465" spans="2:32" ht="12.75" customHeight="1" x14ac:dyDescent="0.3">
      <c r="B465" s="306"/>
      <c r="C465" s="306"/>
      <c r="D465" s="308" t="s">
        <v>952</v>
      </c>
      <c r="E465" s="115"/>
      <c r="F465" s="115"/>
      <c r="G465" s="115"/>
      <c r="H465" s="115"/>
      <c r="I465" s="359"/>
      <c r="J465" s="151">
        <v>0</v>
      </c>
      <c r="K465" s="151">
        <v>0</v>
      </c>
      <c r="L465" s="151">
        <f t="shared" si="122"/>
        <v>0</v>
      </c>
      <c r="M465" s="151">
        <f t="shared" si="123"/>
        <v>0</v>
      </c>
      <c r="N465" s="151">
        <f t="shared" si="124"/>
        <v>0</v>
      </c>
      <c r="O465" s="547">
        <f t="shared" si="124"/>
        <v>0</v>
      </c>
      <c r="P465" s="115"/>
      <c r="Q465" s="115"/>
      <c r="R465" s="508">
        <v>0</v>
      </c>
      <c r="S465" s="509">
        <v>0</v>
      </c>
      <c r="T465" s="509">
        <v>0</v>
      </c>
      <c r="U465" s="509">
        <v>0</v>
      </c>
      <c r="V465" s="509">
        <v>0</v>
      </c>
      <c r="W465" s="2083">
        <v>0</v>
      </c>
      <c r="X465" s="115"/>
      <c r="Y465" s="115"/>
      <c r="Z465" s="115"/>
      <c r="AA465" s="115"/>
      <c r="AB465" s="115"/>
      <c r="AC465" s="115"/>
      <c r="AD465" s="115"/>
      <c r="AE465" s="115"/>
      <c r="AF465" s="115"/>
    </row>
    <row r="466" spans="2:32" ht="12.75" customHeight="1" x14ac:dyDescent="0.3">
      <c r="B466" s="306"/>
      <c r="C466" s="306"/>
      <c r="D466" s="308" t="s">
        <v>953</v>
      </c>
      <c r="E466" s="115"/>
      <c r="F466" s="115"/>
      <c r="G466" s="115"/>
      <c r="H466" s="115"/>
      <c r="I466" s="359"/>
      <c r="J466" s="151">
        <v>25532.768094855543</v>
      </c>
      <c r="K466" s="151">
        <v>29743.30651306449</v>
      </c>
      <c r="L466" s="151">
        <f t="shared" si="122"/>
        <v>27529.106011453594</v>
      </c>
      <c r="M466" s="151">
        <f t="shared" si="123"/>
        <v>28547.651706624667</v>
      </c>
      <c r="N466" s="151">
        <f t="shared" si="124"/>
        <v>29603.861828890418</v>
      </c>
      <c r="O466" s="547">
        <f t="shared" si="124"/>
        <v>30699.211044655061</v>
      </c>
      <c r="P466" s="115"/>
      <c r="Q466" s="115"/>
      <c r="R466" s="508">
        <v>0.15785132854527636</v>
      </c>
      <c r="S466" s="509">
        <v>0.16567943052865353</v>
      </c>
      <c r="T466" s="509">
        <v>0.14716489103378858</v>
      </c>
      <c r="U466" s="509">
        <v>0.14716498116661511</v>
      </c>
      <c r="V466" s="509">
        <v>0.14716501622526443</v>
      </c>
      <c r="W466" s="2083">
        <v>0.14716501622526443</v>
      </c>
      <c r="X466" s="115"/>
      <c r="Y466" s="115"/>
      <c r="Z466" s="115"/>
      <c r="AA466" s="115"/>
      <c r="AB466" s="115"/>
      <c r="AC466" s="115"/>
      <c r="AD466" s="115"/>
      <c r="AE466" s="115"/>
      <c r="AF466" s="115"/>
    </row>
    <row r="467" spans="2:32" ht="12.75" customHeight="1" x14ac:dyDescent="0.25">
      <c r="B467" s="306"/>
      <c r="C467" s="306"/>
      <c r="D467" s="115"/>
      <c r="E467" s="115"/>
      <c r="F467" s="115"/>
      <c r="G467" s="115"/>
      <c r="H467" s="115"/>
      <c r="I467" s="359"/>
      <c r="J467" s="359"/>
      <c r="K467" s="359"/>
      <c r="L467" s="151"/>
      <c r="M467" s="151"/>
      <c r="N467" s="151"/>
      <c r="O467" s="547"/>
      <c r="P467" s="115"/>
      <c r="Q467" s="115"/>
      <c r="R467" s="508"/>
      <c r="S467" s="508"/>
      <c r="T467" s="508"/>
      <c r="U467" s="508"/>
      <c r="V467" s="508"/>
      <c r="W467" s="2090"/>
      <c r="X467" s="115"/>
      <c r="Y467" s="115"/>
      <c r="Z467" s="115"/>
      <c r="AA467" s="115"/>
      <c r="AB467" s="115"/>
      <c r="AC467" s="115"/>
      <c r="AD467" s="115"/>
      <c r="AE467" s="115"/>
      <c r="AF467" s="115"/>
    </row>
    <row r="468" spans="2:32" ht="12.75" customHeight="1" x14ac:dyDescent="0.3">
      <c r="B468" s="306"/>
      <c r="C468" s="306"/>
      <c r="D468" s="507" t="s">
        <v>954</v>
      </c>
      <c r="E468" s="115"/>
      <c r="F468" s="115"/>
      <c r="G468" s="115"/>
      <c r="H468" s="115"/>
      <c r="I468" s="359"/>
      <c r="J468" s="359"/>
      <c r="K468" s="359"/>
      <c r="L468" s="151"/>
      <c r="M468" s="151"/>
      <c r="N468" s="151"/>
      <c r="O468" s="547"/>
      <c r="P468" s="115"/>
      <c r="Q468" s="115"/>
      <c r="R468" s="508"/>
      <c r="S468" s="508"/>
      <c r="T468" s="508"/>
      <c r="U468" s="508"/>
      <c r="V468" s="508"/>
      <c r="W468" s="2090"/>
      <c r="X468" s="115"/>
      <c r="Y468" s="115"/>
      <c r="Z468" s="115"/>
      <c r="AA468" s="115"/>
      <c r="AB468" s="115"/>
      <c r="AC468" s="115"/>
      <c r="AD468" s="115"/>
      <c r="AE468" s="115"/>
      <c r="AF468" s="115"/>
    </row>
    <row r="469" spans="2:32" ht="12.75" customHeight="1" x14ac:dyDescent="0.25">
      <c r="B469" s="306"/>
      <c r="C469" s="306"/>
      <c r="D469" s="115"/>
      <c r="E469" s="115"/>
      <c r="F469" s="115"/>
      <c r="G469" s="115"/>
      <c r="H469" s="115"/>
      <c r="I469" s="359"/>
      <c r="J469" s="359"/>
      <c r="K469" s="359"/>
      <c r="L469" s="151"/>
      <c r="M469" s="151"/>
      <c r="N469" s="151"/>
      <c r="O469" s="547"/>
      <c r="P469" s="115"/>
      <c r="Q469" s="115"/>
      <c r="R469" s="508"/>
      <c r="S469" s="508"/>
      <c r="T469" s="508"/>
      <c r="U469" s="508"/>
      <c r="V469" s="508"/>
      <c r="W469" s="2090"/>
      <c r="X469" s="115"/>
      <c r="Y469" s="115"/>
      <c r="Z469" s="115"/>
      <c r="AA469" s="115"/>
      <c r="AB469" s="115"/>
      <c r="AC469" s="115"/>
      <c r="AD469" s="115"/>
      <c r="AE469" s="115"/>
      <c r="AF469" s="115"/>
    </row>
    <row r="470" spans="2:32" ht="12.75" customHeight="1" x14ac:dyDescent="0.3">
      <c r="B470" s="306"/>
      <c r="C470" s="306"/>
      <c r="D470" s="115" t="s">
        <v>955</v>
      </c>
      <c r="E470" s="115"/>
      <c r="F470" s="115"/>
      <c r="G470" s="115"/>
      <c r="H470" s="115"/>
      <c r="I470" s="359"/>
      <c r="J470" s="151">
        <v>6608.614222407462</v>
      </c>
      <c r="K470" s="151">
        <v>5792.0401455475667</v>
      </c>
      <c r="L470" s="151">
        <f t="shared" ref="L470:L471" si="125">L$447*T470</f>
        <v>8900.3482839562203</v>
      </c>
      <c r="M470" s="151">
        <f t="shared" ref="M470:M471" si="126">M$447*U470</f>
        <v>8847.1965530771031</v>
      </c>
      <c r="N470" s="151">
        <f t="shared" ref="N470:O471" si="127">N$447*V470</f>
        <v>8889.0245191121448</v>
      </c>
      <c r="O470" s="547">
        <f t="shared" si="127"/>
        <v>9217.9203264294265</v>
      </c>
      <c r="P470" s="115"/>
      <c r="Q470" s="115"/>
      <c r="R470" s="508">
        <v>4.085646064597323E-2</v>
      </c>
      <c r="S470" s="509">
        <v>3.2263457746095403E-2</v>
      </c>
      <c r="T470" s="509">
        <v>4.7579415939850316E-2</v>
      </c>
      <c r="U470" s="509">
        <v>4.5607867417297838E-2</v>
      </c>
      <c r="V470" s="509">
        <v>4.4188607727701418E-2</v>
      </c>
      <c r="W470" s="2083">
        <v>4.4188607727701418E-2</v>
      </c>
      <c r="X470" s="115"/>
      <c r="Y470" s="115"/>
      <c r="Z470" s="115"/>
      <c r="AA470" s="115"/>
      <c r="AB470" s="115"/>
      <c r="AC470" s="115"/>
      <c r="AD470" s="115"/>
      <c r="AE470" s="115"/>
      <c r="AF470" s="115"/>
    </row>
    <row r="471" spans="2:32" ht="12.75" customHeight="1" x14ac:dyDescent="0.3">
      <c r="B471" s="306"/>
      <c r="C471" s="306"/>
      <c r="D471" s="115" t="s">
        <v>956</v>
      </c>
      <c r="E471" s="115"/>
      <c r="F471" s="115"/>
      <c r="G471" s="115"/>
      <c r="H471" s="115"/>
      <c r="I471" s="359"/>
      <c r="J471" s="151">
        <v>26957.852897725719</v>
      </c>
      <c r="K471" s="151">
        <v>25182.948239456604</v>
      </c>
      <c r="L471" s="151">
        <f t="shared" si="125"/>
        <v>25285.086213762948</v>
      </c>
      <c r="M471" s="151">
        <f t="shared" si="126"/>
        <v>25319.349600883976</v>
      </c>
      <c r="N471" s="151">
        <f t="shared" si="127"/>
        <v>25272.847015653984</v>
      </c>
      <c r="O471" s="547">
        <f t="shared" si="127"/>
        <v>26207.947757534926</v>
      </c>
      <c r="P471" s="115"/>
      <c r="Q471" s="115"/>
      <c r="R471" s="508">
        <v>0.16666163569987213</v>
      </c>
      <c r="S471" s="509">
        <v>0.14027682233355873</v>
      </c>
      <c r="T471" s="509">
        <v>0.13516882661864157</v>
      </c>
      <c r="U471" s="509">
        <v>0.13052287611805086</v>
      </c>
      <c r="V471" s="509">
        <v>0.12563492434246193</v>
      </c>
      <c r="W471" s="2083">
        <v>0.12563492434246193</v>
      </c>
      <c r="X471" s="115"/>
      <c r="Y471" s="115"/>
      <c r="Z471" s="115"/>
      <c r="AA471" s="115"/>
      <c r="AB471" s="115"/>
      <c r="AC471" s="115"/>
      <c r="AD471" s="115"/>
      <c r="AE471" s="115"/>
      <c r="AF471" s="115"/>
    </row>
    <row r="472" spans="2:32" ht="12.75" customHeight="1" x14ac:dyDescent="0.25">
      <c r="B472" s="306"/>
      <c r="C472" s="306"/>
      <c r="D472" s="411"/>
      <c r="E472" s="301"/>
      <c r="F472" s="301"/>
      <c r="G472" s="359"/>
      <c r="H472" s="359"/>
      <c r="I472" s="510"/>
      <c r="J472" s="151"/>
      <c r="K472" s="151"/>
      <c r="L472" s="151"/>
      <c r="M472" s="151"/>
      <c r="N472" s="151"/>
      <c r="O472" s="547"/>
      <c r="P472" s="115"/>
      <c r="Q472" s="115"/>
      <c r="R472" s="149"/>
      <c r="S472" s="149"/>
      <c r="T472" s="149"/>
      <c r="U472" s="149"/>
      <c r="V472" s="149"/>
      <c r="W472" s="2112"/>
      <c r="X472" s="115"/>
      <c r="Y472" s="115"/>
      <c r="Z472" s="115"/>
      <c r="AA472" s="115"/>
      <c r="AB472" s="115"/>
      <c r="AC472" s="115"/>
      <c r="AD472" s="115"/>
      <c r="AE472" s="115"/>
      <c r="AF472" s="115"/>
    </row>
    <row r="473" spans="2:32" ht="12.75" customHeight="1" thickBot="1" x14ac:dyDescent="0.3">
      <c r="B473" s="306"/>
      <c r="C473" s="306"/>
      <c r="D473" s="301" t="s">
        <v>957</v>
      </c>
      <c r="E473" s="301"/>
      <c r="F473" s="301"/>
      <c r="G473" s="359"/>
      <c r="H473" s="359"/>
      <c r="I473" s="510"/>
      <c r="J473" s="1745">
        <v>153345.61293683806</v>
      </c>
      <c r="K473" s="1745">
        <v>153587.01996184164</v>
      </c>
      <c r="L473" s="1745">
        <f t="shared" ref="L473:M473" si="128">SUM(L459:L472)</f>
        <v>159784.56131084842</v>
      </c>
      <c r="M473" s="1745">
        <f t="shared" si="128"/>
        <v>164188.46147249121</v>
      </c>
      <c r="N473" s="1745">
        <f t="shared" ref="N473:O473" si="129">SUM(N459:N472)</f>
        <v>169583.86315227515</v>
      </c>
      <c r="O473" s="2110">
        <f t="shared" si="129"/>
        <v>175858.50233900803</v>
      </c>
      <c r="P473" s="115"/>
      <c r="Q473" s="115"/>
      <c r="R473" s="115"/>
      <c r="S473" s="115"/>
      <c r="T473" s="115"/>
      <c r="U473" s="115"/>
      <c r="V473" s="115"/>
      <c r="W473" s="358"/>
      <c r="X473" s="115"/>
      <c r="Y473" s="115"/>
      <c r="Z473" s="115"/>
      <c r="AA473" s="115"/>
      <c r="AB473" s="115"/>
      <c r="AC473" s="115"/>
      <c r="AD473" s="115"/>
      <c r="AE473" s="115"/>
      <c r="AF473" s="115"/>
    </row>
    <row r="474" spans="2:32" ht="12.75" customHeight="1" thickTop="1" x14ac:dyDescent="0.25">
      <c r="B474" s="306"/>
      <c r="C474" s="306"/>
      <c r="D474" s="301"/>
      <c r="E474" s="301"/>
      <c r="F474" s="301"/>
      <c r="G474" s="359"/>
      <c r="H474" s="359"/>
      <c r="I474" s="510"/>
      <c r="J474" s="503"/>
      <c r="K474" s="503"/>
      <c r="L474" s="503"/>
      <c r="M474" s="503"/>
      <c r="N474" s="503"/>
      <c r="O474" s="503"/>
      <c r="P474" s="381" t="s">
        <v>958</v>
      </c>
      <c r="Q474" s="115"/>
      <c r="R474" s="310">
        <f>SUM(R457:R473)</f>
        <v>0.94802916153641426</v>
      </c>
      <c r="S474" s="310">
        <f>SUM(S458:S473)</f>
        <v>0.85552727611820278</v>
      </c>
      <c r="T474" s="310">
        <f t="shared" ref="T474:V474" si="130">SUM(T458:T473)</f>
        <v>0.85417512448131605</v>
      </c>
      <c r="U474" s="310">
        <f t="shared" si="130"/>
        <v>0.84640208198867528</v>
      </c>
      <c r="V474" s="310">
        <f t="shared" si="130"/>
        <v>0.84302555242952237</v>
      </c>
      <c r="W474" s="2113">
        <f t="shared" ref="W474" si="131">SUM(W458:W473)</f>
        <v>0.84302555242952237</v>
      </c>
      <c r="X474" s="115"/>
      <c r="Y474" s="115"/>
      <c r="Z474" s="115"/>
      <c r="AA474" s="115"/>
      <c r="AB474" s="115"/>
      <c r="AC474" s="115"/>
      <c r="AD474" s="115"/>
      <c r="AE474" s="115"/>
      <c r="AF474" s="115"/>
    </row>
    <row r="475" spans="2:32" ht="12.75" customHeight="1" x14ac:dyDescent="0.25">
      <c r="B475" s="306"/>
      <c r="C475" s="306"/>
      <c r="D475" s="301" t="s">
        <v>959</v>
      </c>
      <c r="E475" s="301"/>
      <c r="F475" s="301"/>
      <c r="G475" s="359"/>
      <c r="H475" s="359"/>
      <c r="I475" s="510"/>
      <c r="J475" s="503">
        <v>204370.28</v>
      </c>
      <c r="K475" s="503">
        <v>179523.23</v>
      </c>
      <c r="L475" s="503">
        <f>L450</f>
        <v>187063</v>
      </c>
      <c r="M475" s="503">
        <f>M450</f>
        <v>193984</v>
      </c>
      <c r="N475" s="503">
        <f>N450</f>
        <v>201161</v>
      </c>
      <c r="O475" s="503">
        <f>O450</f>
        <v>208604</v>
      </c>
      <c r="P475" s="115"/>
      <c r="Q475" s="115"/>
      <c r="R475" s="115"/>
      <c r="S475" s="114"/>
      <c r="T475" s="114"/>
      <c r="U475" s="114"/>
      <c r="V475" s="114"/>
      <c r="W475" s="115"/>
      <c r="X475" s="115"/>
      <c r="Y475" s="115"/>
      <c r="Z475" s="115"/>
      <c r="AA475" s="115"/>
      <c r="AB475" s="115"/>
      <c r="AC475" s="115"/>
      <c r="AD475" s="115"/>
      <c r="AE475" s="115"/>
      <c r="AF475" s="115"/>
    </row>
    <row r="476" spans="2:32" ht="12.75" customHeight="1" x14ac:dyDescent="0.25">
      <c r="B476" s="306"/>
      <c r="C476" s="306"/>
      <c r="D476" s="301" t="s">
        <v>960</v>
      </c>
      <c r="E476" s="301"/>
      <c r="F476" s="301"/>
      <c r="G476" s="359"/>
      <c r="H476" s="359"/>
      <c r="I476" s="510"/>
      <c r="J476" s="503">
        <v>153345.61293683806</v>
      </c>
      <c r="K476" s="503">
        <v>153587.01996184164</v>
      </c>
      <c r="L476" s="503">
        <f t="shared" ref="L476:M476" si="132">L473</f>
        <v>159784.56131084842</v>
      </c>
      <c r="M476" s="503">
        <f t="shared" si="132"/>
        <v>164188.46147249121</v>
      </c>
      <c r="N476" s="503">
        <f t="shared" ref="N476:O476" si="133">N473</f>
        <v>169583.86315227515</v>
      </c>
      <c r="O476" s="503">
        <f t="shared" si="133"/>
        <v>175858.50233900803</v>
      </c>
      <c r="P476" s="115"/>
      <c r="Q476" s="115"/>
      <c r="R476" s="115"/>
      <c r="S476" s="115" t="s">
        <v>2792</v>
      </c>
      <c r="T476" s="115"/>
      <c r="U476" s="115"/>
      <c r="V476" s="115"/>
      <c r="W476" s="115"/>
      <c r="X476" s="115"/>
      <c r="Y476" s="115"/>
      <c r="Z476" s="115"/>
      <c r="AA476" s="115"/>
      <c r="AB476" s="115"/>
      <c r="AC476" s="115"/>
      <c r="AD476" s="115"/>
      <c r="AE476" s="115"/>
      <c r="AF476" s="115"/>
    </row>
    <row r="477" spans="2:32" ht="12.75" customHeight="1" x14ac:dyDescent="0.25">
      <c r="B477" s="306"/>
      <c r="C477" s="306"/>
      <c r="D477" s="301" t="s">
        <v>961</v>
      </c>
      <c r="E477" s="301"/>
      <c r="F477" s="301"/>
      <c r="G477" s="359"/>
      <c r="H477" s="359"/>
      <c r="I477" s="510"/>
      <c r="J477" s="511">
        <v>-42580</v>
      </c>
      <c r="K477" s="511">
        <v>-43688</v>
      </c>
      <c r="L477" s="511">
        <f>L167+L172+L177</f>
        <v>-44606</v>
      </c>
      <c r="M477" s="511">
        <f>M167+M172+M177</f>
        <v>-45632</v>
      </c>
      <c r="N477" s="511">
        <f>N167+N172+N177</f>
        <v>-46682</v>
      </c>
      <c r="O477" s="511">
        <f>O167+O172+O177</f>
        <v>-47755</v>
      </c>
      <c r="P477" s="115"/>
      <c r="Q477" s="115"/>
      <c r="R477" s="115"/>
      <c r="S477" s="115"/>
      <c r="T477" s="115"/>
      <c r="U477" s="115"/>
      <c r="V477" s="115"/>
      <c r="W477" s="115"/>
      <c r="X477" s="115"/>
      <c r="Y477" s="115"/>
      <c r="Z477" s="115"/>
      <c r="AA477" s="115"/>
      <c r="AB477" s="115"/>
      <c r="AC477" s="115"/>
      <c r="AD477" s="115"/>
      <c r="AE477" s="115"/>
      <c r="AF477" s="115"/>
    </row>
    <row r="478" spans="2:32" ht="12.75" customHeight="1" x14ac:dyDescent="0.25">
      <c r="B478" s="306"/>
      <c r="C478" s="306"/>
      <c r="D478" s="301"/>
      <c r="E478" s="301"/>
      <c r="F478" s="301"/>
      <c r="G478" s="359"/>
      <c r="H478" s="359"/>
      <c r="I478" s="510"/>
      <c r="J478" s="503"/>
      <c r="K478" s="503"/>
      <c r="L478" s="503"/>
      <c r="M478" s="503"/>
      <c r="N478" s="503"/>
      <c r="O478" s="503"/>
      <c r="P478" s="115"/>
      <c r="Q478" s="115"/>
      <c r="R478" s="115"/>
      <c r="S478" s="115"/>
      <c r="T478" s="115"/>
      <c r="U478" s="115"/>
      <c r="V478" s="115"/>
      <c r="W478" s="115"/>
      <c r="X478" s="115"/>
      <c r="Y478" s="115"/>
      <c r="Z478" s="115"/>
      <c r="AA478" s="115"/>
      <c r="AB478" s="115"/>
      <c r="AC478" s="115"/>
      <c r="AD478" s="115"/>
      <c r="AE478" s="115"/>
      <c r="AF478" s="115"/>
    </row>
    <row r="479" spans="2:32" ht="12.75" customHeight="1" x14ac:dyDescent="0.25">
      <c r="B479" s="306"/>
      <c r="C479" s="306"/>
      <c r="D479" s="301"/>
      <c r="E479" s="301"/>
      <c r="F479" s="301"/>
      <c r="G479" s="359"/>
      <c r="H479" s="359"/>
      <c r="I479" s="510"/>
      <c r="J479" s="503"/>
      <c r="K479" s="503"/>
      <c r="L479" s="503"/>
      <c r="M479" s="503"/>
      <c r="N479" s="503"/>
      <c r="O479" s="503"/>
      <c r="P479" s="115"/>
      <c r="Q479" s="115"/>
      <c r="R479" s="115"/>
      <c r="S479" s="115"/>
      <c r="T479" s="115"/>
      <c r="U479" s="115"/>
      <c r="V479" s="115"/>
      <c r="W479" s="115"/>
      <c r="X479" s="115"/>
      <c r="Y479" s="115"/>
      <c r="Z479" s="115"/>
      <c r="AA479" s="115"/>
      <c r="AB479" s="115"/>
      <c r="AC479" s="115"/>
      <c r="AD479" s="115"/>
      <c r="AE479" s="115"/>
      <c r="AF479" s="115"/>
    </row>
    <row r="480" spans="2:32" ht="12.75" customHeight="1" x14ac:dyDescent="0.25">
      <c r="B480" s="306"/>
      <c r="C480" s="306"/>
      <c r="D480" s="301" t="s">
        <v>962</v>
      </c>
      <c r="E480" s="301"/>
      <c r="F480" s="301"/>
      <c r="G480" s="359"/>
      <c r="H480" s="359"/>
      <c r="I480" s="510"/>
      <c r="J480" s="510">
        <v>315135.89293683809</v>
      </c>
      <c r="K480" s="510">
        <v>289422.24996184162</v>
      </c>
      <c r="L480" s="510">
        <f t="shared" ref="L480:M480" si="134">SUM(L475:L479)</f>
        <v>302241.56131084845</v>
      </c>
      <c r="M480" s="510">
        <f t="shared" si="134"/>
        <v>312540.46147249121</v>
      </c>
      <c r="N480" s="510">
        <f t="shared" ref="N480:O480" si="135">SUM(N475:N479)</f>
        <v>324062.86315227515</v>
      </c>
      <c r="O480" s="510">
        <f t="shared" si="135"/>
        <v>336707.50233900803</v>
      </c>
      <c r="P480" s="115"/>
      <c r="Q480" s="115"/>
      <c r="R480" s="115"/>
      <c r="S480" s="115"/>
      <c r="T480" s="115"/>
      <c r="U480" s="115"/>
      <c r="V480" s="115"/>
      <c r="W480" s="115"/>
      <c r="X480" s="115"/>
      <c r="Y480" s="115"/>
      <c r="Z480" s="115"/>
      <c r="AA480" s="115"/>
      <c r="AB480" s="115"/>
      <c r="AC480" s="115"/>
      <c r="AD480" s="115"/>
      <c r="AE480" s="115"/>
      <c r="AF480" s="115"/>
    </row>
    <row r="481" spans="2:32" ht="12.75" customHeight="1" x14ac:dyDescent="0.25">
      <c r="B481" s="306"/>
      <c r="C481" s="306"/>
      <c r="D481" s="301" t="s">
        <v>963</v>
      </c>
      <c r="E481" s="301"/>
      <c r="F481" s="301"/>
      <c r="G481" s="359"/>
      <c r="H481" s="359"/>
      <c r="I481" s="512"/>
      <c r="J481" s="512">
        <v>0.11903301150647604</v>
      </c>
      <c r="K481" s="512">
        <v>0.13115177333932096</v>
      </c>
      <c r="L481" s="512">
        <f t="shared" ref="L481:M481" si="136">IF((-L477/(L475+L476))&gt;0,-L477/(L475+L476),L477/(L475+L476))</f>
        <v>0.12860404677899301</v>
      </c>
      <c r="M481" s="512">
        <f t="shared" si="136"/>
        <v>0.12740231287576162</v>
      </c>
      <c r="N481" s="512">
        <f t="shared" ref="N481:O481" si="137">IF((-N477/(N475+N476))&gt;0,-N477/(N475+N476),N477/(N475+N476))</f>
        <v>0.12591408442745278</v>
      </c>
      <c r="O481" s="512">
        <f t="shared" si="137"/>
        <v>0.12421237366314337</v>
      </c>
      <c r="P481" s="115"/>
      <c r="Q481" s="115"/>
      <c r="R481" s="115"/>
      <c r="S481" s="115"/>
      <c r="T481" s="115"/>
      <c r="U481" s="115"/>
      <c r="V481" s="115"/>
      <c r="W481" s="115"/>
      <c r="X481" s="115"/>
      <c r="Y481" s="115"/>
      <c r="Z481" s="115"/>
      <c r="AA481" s="115"/>
      <c r="AB481" s="115"/>
      <c r="AC481" s="115"/>
      <c r="AD481" s="115"/>
      <c r="AE481" s="115"/>
      <c r="AF481" s="115"/>
    </row>
    <row r="482" spans="2:32" ht="12.75" customHeight="1" x14ac:dyDescent="0.25">
      <c r="B482" s="306"/>
      <c r="C482" s="306"/>
      <c r="D482" s="301"/>
      <c r="E482" s="301"/>
      <c r="F482" s="301"/>
      <c r="G482" s="359"/>
      <c r="H482" s="359"/>
      <c r="I482" s="512"/>
      <c r="J482" s="512"/>
      <c r="K482" s="512"/>
      <c r="L482" s="512"/>
      <c r="M482" s="512"/>
      <c r="N482" s="512"/>
      <c r="O482" s="512"/>
      <c r="P482" s="115"/>
      <c r="Q482" s="115"/>
      <c r="R482" s="115"/>
      <c r="S482" s="115"/>
      <c r="T482" s="115"/>
      <c r="U482" s="115"/>
      <c r="V482" s="115"/>
      <c r="W482" s="115"/>
      <c r="X482" s="115"/>
      <c r="Y482" s="115"/>
      <c r="Z482" s="115"/>
      <c r="AA482" s="115"/>
      <c r="AB482" s="115"/>
      <c r="AC482" s="115"/>
      <c r="AD482" s="115"/>
      <c r="AE482" s="115"/>
      <c r="AF482" s="115"/>
    </row>
    <row r="483" spans="2:32" ht="12.75" customHeight="1" x14ac:dyDescent="0.25">
      <c r="B483" s="306"/>
      <c r="C483" s="306"/>
      <c r="D483" s="1209"/>
      <c r="E483" s="1204"/>
      <c r="F483" s="1204"/>
      <c r="G483" s="1201"/>
      <c r="H483" s="1201"/>
      <c r="I483" s="1201"/>
      <c r="J483" s="1252"/>
      <c r="K483" s="1252"/>
      <c r="L483" s="1252"/>
      <c r="M483" s="1252"/>
      <c r="N483" s="1252"/>
      <c r="O483" s="1252"/>
      <c r="P483" s="115"/>
      <c r="Q483" s="115"/>
      <c r="R483" s="115"/>
      <c r="S483" s="115"/>
      <c r="T483" s="115"/>
      <c r="U483" s="115"/>
      <c r="V483" s="115"/>
      <c r="W483" s="115"/>
      <c r="X483" s="115"/>
      <c r="Y483" s="115"/>
      <c r="Z483" s="115"/>
      <c r="AA483" s="115"/>
      <c r="AB483" s="115"/>
      <c r="AC483" s="115"/>
      <c r="AD483" s="115"/>
      <c r="AE483" s="115"/>
      <c r="AF483" s="115"/>
    </row>
    <row r="484" spans="2:32" ht="12.75" customHeight="1" x14ac:dyDescent="0.25">
      <c r="B484" s="306"/>
      <c r="C484" s="306"/>
      <c r="D484" s="1204"/>
      <c r="E484" s="1204"/>
      <c r="F484" s="1204"/>
      <c r="G484" s="1201"/>
      <c r="H484" s="1201"/>
      <c r="I484" s="1201"/>
      <c r="J484" s="1202"/>
      <c r="K484" s="1202"/>
      <c r="L484" s="1202"/>
      <c r="M484" s="1202"/>
      <c r="N484" s="1202"/>
      <c r="O484" s="1202"/>
      <c r="P484" s="115"/>
      <c r="Q484" s="115"/>
      <c r="R484" s="115"/>
      <c r="S484" s="115"/>
      <c r="T484" s="115"/>
      <c r="U484" s="115"/>
      <c r="V484" s="115"/>
      <c r="W484" s="115"/>
      <c r="X484" s="115"/>
      <c r="Y484" s="115"/>
      <c r="Z484" s="115"/>
      <c r="AA484" s="115"/>
      <c r="AB484" s="115"/>
      <c r="AC484" s="115"/>
      <c r="AD484" s="115"/>
      <c r="AE484" s="115"/>
      <c r="AF484" s="115"/>
    </row>
    <row r="485" spans="2:32" ht="12.75" customHeight="1" x14ac:dyDescent="0.25">
      <c r="B485" s="306"/>
      <c r="C485" s="306"/>
      <c r="D485" s="1210"/>
      <c r="E485" s="1210"/>
      <c r="F485" s="1210"/>
      <c r="G485" s="1201"/>
      <c r="H485" s="1201"/>
      <c r="I485" s="1201"/>
      <c r="J485" s="1202"/>
      <c r="K485" s="1202"/>
      <c r="L485" s="1202"/>
      <c r="M485" s="1202"/>
      <c r="N485" s="1202"/>
      <c r="O485" s="1202"/>
      <c r="P485" s="115"/>
      <c r="Q485" s="115"/>
      <c r="R485" s="115"/>
      <c r="S485" s="115"/>
      <c r="T485" s="115"/>
      <c r="U485" s="115"/>
      <c r="V485" s="115"/>
      <c r="W485" s="115"/>
      <c r="X485" s="115"/>
      <c r="Y485" s="115"/>
      <c r="Z485" s="115"/>
      <c r="AA485" s="115"/>
      <c r="AB485" s="115"/>
      <c r="AC485" s="115"/>
      <c r="AD485" s="115"/>
      <c r="AE485" s="115"/>
      <c r="AF485" s="115"/>
    </row>
    <row r="486" spans="2:32" ht="12.75" customHeight="1" x14ac:dyDescent="0.25">
      <c r="B486" s="306"/>
      <c r="C486" s="306"/>
      <c r="D486" s="1210"/>
      <c r="E486" s="1210"/>
      <c r="F486" s="1210"/>
      <c r="G486" s="1201"/>
      <c r="H486" s="1201"/>
      <c r="I486" s="1201"/>
      <c r="J486" s="1202"/>
      <c r="K486" s="1202"/>
      <c r="L486" s="1202"/>
      <c r="M486" s="1202"/>
      <c r="N486" s="1202"/>
      <c r="O486" s="1202"/>
      <c r="P486" s="115"/>
      <c r="Q486" s="115"/>
      <c r="R486" s="115"/>
      <c r="S486" s="115"/>
      <c r="T486" s="115"/>
      <c r="U486" s="115"/>
      <c r="V486" s="115"/>
      <c r="W486" s="115"/>
      <c r="X486" s="115"/>
      <c r="Y486" s="115"/>
      <c r="Z486" s="115"/>
      <c r="AA486" s="115"/>
      <c r="AB486" s="115"/>
      <c r="AC486" s="115"/>
      <c r="AD486" s="115"/>
      <c r="AE486" s="115"/>
      <c r="AF486" s="115"/>
    </row>
    <row r="487" spans="2:32" ht="12.75" customHeight="1" x14ac:dyDescent="0.25">
      <c r="B487" s="306"/>
      <c r="C487" s="306"/>
      <c r="D487" s="1210"/>
      <c r="E487" s="1210"/>
      <c r="F487" s="1210"/>
      <c r="G487" s="1201"/>
      <c r="H487" s="1201"/>
      <c r="I487" s="1201"/>
      <c r="J487" s="1202"/>
      <c r="K487" s="1202"/>
      <c r="L487" s="1202"/>
      <c r="M487" s="1202"/>
      <c r="N487" s="1202"/>
      <c r="O487" s="1202"/>
      <c r="P487" s="115"/>
      <c r="Q487" s="115"/>
      <c r="R487" s="115"/>
      <c r="S487" s="115"/>
      <c r="T487" s="115"/>
      <c r="U487" s="115"/>
      <c r="V487" s="115"/>
      <c r="W487" s="115"/>
      <c r="X487" s="115"/>
      <c r="Y487" s="115"/>
      <c r="Z487" s="115"/>
      <c r="AA487" s="115"/>
      <c r="AB487" s="115"/>
      <c r="AC487" s="115"/>
      <c r="AD487" s="115"/>
      <c r="AE487" s="115"/>
      <c r="AF487" s="115"/>
    </row>
    <row r="488" spans="2:32" ht="12.75" customHeight="1" x14ac:dyDescent="0.25">
      <c r="B488" s="306"/>
      <c r="C488" s="306"/>
      <c r="D488" s="1204"/>
      <c r="E488" s="1204"/>
      <c r="F488" s="1204"/>
      <c r="G488" s="1201"/>
      <c r="H488" s="1201"/>
      <c r="I488" s="1201"/>
      <c r="J488" s="1202"/>
      <c r="K488" s="1202"/>
      <c r="L488" s="1202"/>
      <c r="M488" s="1202"/>
      <c r="N488" s="1202"/>
      <c r="O488" s="1202"/>
      <c r="P488" s="115"/>
      <c r="Q488" s="115"/>
      <c r="R488" s="115"/>
      <c r="S488" s="115"/>
      <c r="T488" s="115"/>
      <c r="U488" s="115"/>
      <c r="V488" s="115"/>
      <c r="W488" s="115"/>
      <c r="X488" s="115"/>
      <c r="Y488" s="115"/>
      <c r="Z488" s="115"/>
      <c r="AA488" s="115"/>
      <c r="AB488" s="115"/>
      <c r="AC488" s="115"/>
      <c r="AD488" s="115"/>
      <c r="AE488" s="115"/>
      <c r="AF488" s="115"/>
    </row>
    <row r="489" spans="2:32" ht="12.75" customHeight="1" x14ac:dyDescent="0.25">
      <c r="B489" s="306"/>
      <c r="C489" s="306"/>
      <c r="D489" s="1210"/>
      <c r="E489" s="1210"/>
      <c r="F489" s="1210"/>
      <c r="G489" s="1201"/>
      <c r="H489" s="1201"/>
      <c r="I489" s="1201"/>
      <c r="J489" s="1202"/>
      <c r="K489" s="1202"/>
      <c r="L489" s="1202"/>
      <c r="M489" s="1202"/>
      <c r="N489" s="1202"/>
      <c r="O489" s="1202"/>
      <c r="P489" s="115"/>
      <c r="Q489" s="115"/>
      <c r="R489" s="115"/>
      <c r="S489" s="115"/>
      <c r="T489" s="115"/>
      <c r="U489" s="115"/>
      <c r="V489" s="115"/>
    </row>
    <row r="490" spans="2:32" ht="12.75" customHeight="1" x14ac:dyDescent="0.25">
      <c r="B490" s="306"/>
      <c r="C490" s="306"/>
      <c r="D490" s="1210"/>
      <c r="E490" s="1210"/>
      <c r="F490" s="1210"/>
      <c r="G490" s="1201"/>
      <c r="H490" s="1201"/>
      <c r="I490" s="1201"/>
      <c r="J490" s="512"/>
      <c r="K490" s="512"/>
      <c r="L490" s="512"/>
      <c r="M490" s="512"/>
      <c r="N490" s="512"/>
      <c r="O490" s="512"/>
      <c r="P490" s="115"/>
      <c r="Q490" s="115"/>
      <c r="R490" s="115"/>
      <c r="S490" s="115"/>
      <c r="T490" s="115"/>
      <c r="U490" s="115"/>
      <c r="V490" s="115"/>
    </row>
  </sheetData>
  <mergeCells count="11">
    <mergeCell ref="D78:D79"/>
    <mergeCell ref="F78:F79"/>
    <mergeCell ref="G78:H79"/>
    <mergeCell ref="F202:G202"/>
    <mergeCell ref="F208:G208"/>
    <mergeCell ref="F196:L197"/>
    <mergeCell ref="F309:N315"/>
    <mergeCell ref="F198:M200"/>
    <mergeCell ref="F399:K402"/>
    <mergeCell ref="F250:M252"/>
    <mergeCell ref="F271:J273"/>
  </mergeCells>
  <phoneticPr fontId="52" type="noConversion"/>
  <hyperlinks>
    <hyperlink ref="A1" location="Inhoudsopgave!A1" display="Inhoudsopgave" xr:uid="{88DA3FE9-713F-4531-85EE-950623D903E9}"/>
  </hyperlinks>
  <pageMargins left="0.59055118110236227" right="0.39370078740157483" top="0.39370078740157483" bottom="0.39370078740157483" header="0.51181102362204722" footer="0.51181102362204722"/>
  <pageSetup paperSize="9" scale="65" orientation="portrait" useFirstPageNumber="1" r:id="rId1"/>
  <headerFooter alignWithMargins="0"/>
  <rowBreaks count="5" manualBreakCount="5">
    <brk id="77" min="3" max="14" man="1"/>
    <brk id="192" min="3" max="14" man="1"/>
    <brk id="268" min="3" max="14" man="1"/>
    <brk id="348" min="3" max="14" man="1"/>
    <brk id="414" min="3" max="14" man="1"/>
  </rowBreaks>
  <colBreaks count="1" manualBreakCount="1">
    <brk id="15" max="508"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DE04C-F45E-44B2-BEC2-10D5D0039B7C}">
  <sheetPr codeName="Blad17"/>
  <dimension ref="A1:Z804"/>
  <sheetViews>
    <sheetView showGridLines="0" view="pageBreakPreview" topLeftCell="A616" zoomScaleNormal="100" zoomScaleSheetLayoutView="100" workbookViewId="0">
      <selection activeCell="D634" sqref="D634:O634"/>
    </sheetView>
  </sheetViews>
  <sheetFormatPr defaultColWidth="9.109375" defaultRowHeight="12.75" customHeight="1" x14ac:dyDescent="0.25"/>
  <cols>
    <col min="1" max="1" width="8" style="311" bestFit="1" customWidth="1"/>
    <col min="2" max="2" width="18.6640625" style="305" bestFit="1" customWidth="1"/>
    <col min="3" max="3" width="12.109375" style="305" customWidth="1"/>
    <col min="4" max="6" width="9.6640625" style="448" customWidth="1"/>
    <col min="7" max="9" width="12.6640625" style="305" customWidth="1"/>
    <col min="10" max="15" width="11.6640625" style="305" customWidth="1"/>
    <col min="16" max="17" width="14.109375" style="305" customWidth="1"/>
    <col min="18" max="22" width="15.6640625" style="305" customWidth="1"/>
    <col min="23" max="23" width="9.44140625" style="305" bestFit="1" customWidth="1"/>
    <col min="24" max="16384" width="9.109375" style="305"/>
  </cols>
  <sheetData>
    <row r="1" spans="1:23" ht="12.75" customHeight="1" x14ac:dyDescent="0.3">
      <c r="A1" s="157" t="s">
        <v>0</v>
      </c>
      <c r="B1" s="115"/>
      <c r="C1" s="115"/>
      <c r="D1" s="301"/>
      <c r="E1" s="301"/>
      <c r="F1" s="301"/>
      <c r="G1" s="115"/>
      <c r="H1" s="115"/>
      <c r="I1" s="115"/>
      <c r="J1" s="115"/>
      <c r="K1" s="115"/>
      <c r="L1" s="115"/>
      <c r="M1" s="115"/>
      <c r="N1" s="115"/>
      <c r="O1" s="115"/>
      <c r="P1" s="304"/>
      <c r="Q1" s="304">
        <v>2024</v>
      </c>
      <c r="R1" s="304">
        <v>2025</v>
      </c>
      <c r="S1" s="304">
        <v>2026</v>
      </c>
      <c r="T1" s="304">
        <v>2027</v>
      </c>
      <c r="U1" s="304">
        <v>2028</v>
      </c>
      <c r="V1" s="304">
        <v>2029</v>
      </c>
      <c r="W1" s="304">
        <v>2030</v>
      </c>
    </row>
    <row r="2" spans="1:23" ht="12.75" customHeight="1" x14ac:dyDescent="0.3">
      <c r="A2" s="306"/>
      <c r="B2" s="115"/>
      <c r="C2" s="115"/>
      <c r="D2" s="301" t="s">
        <v>504</v>
      </c>
      <c r="E2" s="301"/>
      <c r="F2" s="301"/>
      <c r="G2" s="115"/>
      <c r="H2" s="115" t="s">
        <v>2793</v>
      </c>
      <c r="I2" s="115"/>
      <c r="J2" s="115"/>
      <c r="K2" s="115"/>
      <c r="L2" s="115"/>
      <c r="M2" s="115"/>
      <c r="N2" s="115"/>
      <c r="O2" s="115"/>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A3" s="306"/>
      <c r="B3" s="115"/>
      <c r="C3" s="115"/>
      <c r="D3" s="301"/>
      <c r="E3" s="301"/>
      <c r="F3" s="301"/>
      <c r="G3" s="115"/>
      <c r="H3" s="115"/>
      <c r="I3" s="115"/>
      <c r="J3" s="115"/>
      <c r="K3" s="115"/>
      <c r="L3" s="115"/>
      <c r="M3" s="115"/>
      <c r="N3" s="115"/>
      <c r="O3" s="115"/>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A4" s="306"/>
      <c r="B4" s="115"/>
      <c r="C4" s="115"/>
      <c r="D4" s="301" t="s">
        <v>66</v>
      </c>
      <c r="E4" s="301"/>
      <c r="F4" s="301"/>
      <c r="G4" s="115"/>
      <c r="H4" s="115" t="s">
        <v>19</v>
      </c>
      <c r="I4" s="115"/>
      <c r="J4" s="115"/>
      <c r="K4" s="115"/>
      <c r="L4" s="115"/>
      <c r="M4" s="115"/>
      <c r="N4" s="115"/>
      <c r="O4" s="115"/>
      <c r="P4" s="115"/>
      <c r="Q4" s="115"/>
      <c r="R4" s="115"/>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A5" s="306"/>
      <c r="B5" s="115"/>
      <c r="C5" s="115"/>
      <c r="D5" s="301"/>
      <c r="E5" s="301"/>
      <c r="F5" s="301"/>
      <c r="G5" s="115"/>
      <c r="H5" s="115"/>
      <c r="I5" s="115"/>
      <c r="J5" s="115"/>
      <c r="K5" s="115"/>
      <c r="L5" s="115"/>
      <c r="M5" s="115"/>
      <c r="N5" s="115"/>
      <c r="O5" s="115"/>
      <c r="P5" s="115"/>
      <c r="Q5" s="115"/>
      <c r="R5" s="115"/>
      <c r="S5" s="115"/>
      <c r="T5" s="115"/>
      <c r="U5" s="115"/>
      <c r="V5" s="115"/>
    </row>
    <row r="6" spans="1:23" ht="12.75" customHeight="1" x14ac:dyDescent="0.25">
      <c r="A6" s="306"/>
      <c r="B6" s="115"/>
      <c r="C6" s="115"/>
      <c r="D6" s="301"/>
      <c r="E6" s="301"/>
      <c r="F6" s="301"/>
      <c r="G6" s="115"/>
      <c r="H6" s="115"/>
      <c r="I6" s="115"/>
      <c r="J6" s="115"/>
      <c r="K6" s="115"/>
      <c r="L6" s="115"/>
      <c r="M6" s="115"/>
      <c r="N6" s="115"/>
      <c r="O6" s="115"/>
      <c r="P6" s="115"/>
      <c r="Q6" s="115"/>
      <c r="R6" s="115"/>
      <c r="S6" s="115"/>
      <c r="T6" s="115"/>
      <c r="U6" s="115"/>
      <c r="V6" s="115"/>
    </row>
    <row r="7" spans="1:23" ht="12.75" customHeight="1" x14ac:dyDescent="0.25">
      <c r="A7" s="306"/>
      <c r="B7" s="115"/>
      <c r="C7" s="115"/>
      <c r="D7" s="301"/>
      <c r="E7" s="301"/>
      <c r="F7" s="301"/>
      <c r="G7" s="115"/>
      <c r="H7" s="115"/>
      <c r="I7" s="115"/>
      <c r="J7" s="115"/>
      <c r="K7" s="115"/>
      <c r="L7" s="115"/>
      <c r="M7" s="115"/>
      <c r="N7" s="115"/>
      <c r="O7" s="115"/>
      <c r="P7" s="115"/>
      <c r="Q7" s="115"/>
      <c r="R7" s="115"/>
      <c r="S7" s="115"/>
      <c r="T7" s="115"/>
      <c r="U7" s="115"/>
      <c r="V7" s="115"/>
    </row>
    <row r="8" spans="1:23" ht="12.75" customHeight="1" x14ac:dyDescent="0.25">
      <c r="A8" s="306"/>
      <c r="B8" s="115"/>
      <c r="C8" s="115"/>
      <c r="D8" s="301"/>
      <c r="E8" s="301"/>
      <c r="F8" s="301"/>
      <c r="G8" s="115"/>
      <c r="H8" s="115"/>
      <c r="I8" s="115"/>
      <c r="J8" s="115"/>
      <c r="K8" s="115"/>
      <c r="L8" s="115"/>
      <c r="M8" s="115"/>
      <c r="N8" s="115"/>
      <c r="O8" s="115"/>
      <c r="P8" s="115"/>
      <c r="Q8" s="115"/>
      <c r="R8" s="115"/>
      <c r="S8" s="115"/>
      <c r="T8" s="115"/>
      <c r="U8" s="115"/>
      <c r="V8" s="115"/>
    </row>
    <row r="9" spans="1:23" ht="12.75" customHeight="1" x14ac:dyDescent="0.25">
      <c r="A9" s="306"/>
      <c r="B9" s="115"/>
      <c r="C9" s="115"/>
      <c r="D9" s="301"/>
      <c r="E9" s="301"/>
      <c r="F9" s="301"/>
      <c r="G9" s="115"/>
      <c r="H9" s="115"/>
      <c r="I9" s="115"/>
      <c r="J9" s="115"/>
      <c r="K9" s="115"/>
      <c r="L9" s="115"/>
      <c r="M9" s="115"/>
      <c r="N9" s="115"/>
      <c r="O9" s="115"/>
      <c r="P9" s="115"/>
      <c r="Q9" s="115"/>
      <c r="R9" s="115"/>
      <c r="S9" s="115"/>
      <c r="T9" s="115"/>
      <c r="U9" s="115"/>
      <c r="V9" s="115"/>
    </row>
    <row r="10" spans="1:23" ht="12.75" customHeight="1" x14ac:dyDescent="0.25">
      <c r="A10" s="306"/>
      <c r="B10" s="115"/>
      <c r="C10" s="115"/>
      <c r="D10" s="301"/>
      <c r="E10" s="301"/>
      <c r="F10" s="301"/>
      <c r="G10" s="115"/>
      <c r="H10" s="115"/>
      <c r="I10" s="115"/>
      <c r="J10" s="115"/>
      <c r="K10" s="115"/>
      <c r="L10" s="115"/>
      <c r="M10" s="115"/>
      <c r="N10" s="115"/>
      <c r="O10" s="115"/>
      <c r="P10" s="115"/>
      <c r="Q10" s="115"/>
      <c r="R10" s="115"/>
      <c r="S10" s="115"/>
      <c r="T10" s="115"/>
      <c r="U10" s="115"/>
      <c r="V10" s="115"/>
    </row>
    <row r="11" spans="1:23" ht="12.75" customHeight="1" x14ac:dyDescent="0.25">
      <c r="A11" s="306"/>
      <c r="B11" s="115"/>
      <c r="C11" s="115"/>
      <c r="D11" s="301"/>
      <c r="E11" s="301"/>
      <c r="F11" s="301"/>
      <c r="G11" s="115"/>
      <c r="H11" s="115"/>
      <c r="I11" s="115"/>
      <c r="J11" s="115"/>
      <c r="K11" s="115"/>
      <c r="L11" s="115"/>
      <c r="M11" s="115"/>
      <c r="N11" s="115"/>
      <c r="O11" s="115"/>
      <c r="P11" s="115"/>
      <c r="Q11" s="115"/>
      <c r="R11" s="115"/>
      <c r="S11" s="115"/>
      <c r="T11" s="115"/>
      <c r="U11" s="115"/>
      <c r="V11" s="115"/>
    </row>
    <row r="12" spans="1:23" ht="12.75" customHeight="1" x14ac:dyDescent="0.25">
      <c r="A12" s="306"/>
      <c r="B12" s="115"/>
      <c r="C12" s="115"/>
      <c r="D12" s="301"/>
      <c r="E12" s="301"/>
      <c r="F12" s="301"/>
      <c r="G12" s="115"/>
      <c r="H12" s="115"/>
      <c r="I12" s="115"/>
      <c r="J12" s="115"/>
      <c r="K12" s="115"/>
      <c r="L12" s="115"/>
      <c r="M12" s="115"/>
      <c r="N12" s="115"/>
      <c r="O12" s="115"/>
      <c r="P12" s="115"/>
      <c r="Q12" s="115"/>
      <c r="R12" s="115"/>
      <c r="S12" s="115"/>
      <c r="T12" s="115"/>
      <c r="U12" s="115"/>
      <c r="V12" s="115"/>
    </row>
    <row r="13" spans="1:23" ht="12.75" customHeight="1" x14ac:dyDescent="0.25">
      <c r="A13" s="306"/>
      <c r="B13" s="115"/>
      <c r="C13" s="115"/>
      <c r="D13" s="301"/>
      <c r="E13" s="301"/>
      <c r="F13" s="301"/>
      <c r="G13" s="115"/>
      <c r="H13" s="115"/>
      <c r="I13" s="115"/>
      <c r="J13" s="115"/>
      <c r="K13" s="115"/>
      <c r="L13" s="115"/>
      <c r="M13" s="115"/>
      <c r="N13" s="115"/>
      <c r="O13" s="115"/>
      <c r="P13" s="115"/>
      <c r="Q13" s="115"/>
      <c r="R13" s="115"/>
      <c r="S13" s="115"/>
      <c r="T13" s="115"/>
      <c r="U13" s="115"/>
      <c r="V13" s="115"/>
    </row>
    <row r="14" spans="1:23" ht="12.75" customHeight="1" x14ac:dyDescent="0.25">
      <c r="A14" s="306"/>
      <c r="B14" s="115"/>
      <c r="C14" s="115"/>
      <c r="D14" s="301"/>
      <c r="E14" s="301"/>
      <c r="F14" s="301"/>
      <c r="G14" s="115"/>
      <c r="H14" s="115"/>
      <c r="I14" s="115"/>
      <c r="J14" s="115"/>
      <c r="K14" s="115"/>
      <c r="L14" s="115"/>
      <c r="M14" s="115"/>
      <c r="N14" s="115"/>
      <c r="O14" s="115"/>
      <c r="P14" s="115"/>
      <c r="Q14" s="115"/>
      <c r="R14" s="115"/>
      <c r="S14" s="115"/>
      <c r="T14" s="115"/>
      <c r="U14" s="115"/>
      <c r="V14" s="115"/>
    </row>
    <row r="15" spans="1:23" ht="12.75" customHeight="1" x14ac:dyDescent="0.25">
      <c r="A15" s="306"/>
      <c r="B15" s="115"/>
      <c r="C15" s="115"/>
      <c r="D15" s="301"/>
      <c r="E15" s="301"/>
      <c r="F15" s="301"/>
      <c r="G15" s="115"/>
      <c r="H15" s="115"/>
      <c r="I15" s="115"/>
      <c r="J15" s="115"/>
      <c r="K15" s="115"/>
      <c r="L15" s="115"/>
      <c r="M15" s="115"/>
      <c r="N15" s="115"/>
      <c r="O15" s="115"/>
      <c r="P15" s="115"/>
      <c r="Q15" s="115"/>
      <c r="R15" s="115"/>
      <c r="S15" s="115"/>
      <c r="T15" s="115"/>
      <c r="U15" s="115"/>
      <c r="V15" s="115"/>
    </row>
    <row r="16" spans="1:23" ht="12.75" customHeight="1" x14ac:dyDescent="0.25">
      <c r="A16" s="306"/>
      <c r="B16" s="115"/>
      <c r="C16" s="115"/>
      <c r="D16" s="301"/>
      <c r="E16" s="301"/>
      <c r="F16" s="301"/>
      <c r="G16" s="115"/>
      <c r="H16" s="115"/>
      <c r="I16" s="115"/>
      <c r="J16" s="115"/>
      <c r="K16" s="115"/>
      <c r="L16" s="115"/>
      <c r="M16" s="115"/>
      <c r="N16" s="115"/>
      <c r="O16" s="115"/>
      <c r="P16" s="115"/>
      <c r="Q16" s="115"/>
      <c r="R16" s="115"/>
      <c r="S16" s="115"/>
      <c r="T16" s="115"/>
      <c r="U16" s="115"/>
      <c r="V16" s="115"/>
    </row>
    <row r="17" spans="22:22" ht="12.75" customHeight="1" x14ac:dyDescent="0.25">
      <c r="V17" s="115"/>
    </row>
    <row r="18" spans="22:22" ht="12.75" customHeight="1" x14ac:dyDescent="0.25">
      <c r="V18" s="115"/>
    </row>
    <row r="19" spans="22:22" ht="12.75" customHeight="1" x14ac:dyDescent="0.25">
      <c r="V19" s="115"/>
    </row>
    <row r="20" spans="22:22" ht="12.75" customHeight="1" x14ac:dyDescent="0.25">
      <c r="V20" s="115"/>
    </row>
    <row r="21" spans="22:22" ht="12.75" customHeight="1" x14ac:dyDescent="0.25">
      <c r="V21" s="115"/>
    </row>
    <row r="22" spans="22:22" ht="12.75" customHeight="1" x14ac:dyDescent="0.25">
      <c r="V22" s="115"/>
    </row>
    <row r="23" spans="22:22" ht="12.75" customHeight="1" x14ac:dyDescent="0.25">
      <c r="V23" s="115"/>
    </row>
    <row r="24" spans="22:22" ht="12.75" customHeight="1" x14ac:dyDescent="0.25">
      <c r="V24" s="115"/>
    </row>
    <row r="25" spans="22:22" ht="12.75" customHeight="1" x14ac:dyDescent="0.25">
      <c r="V25" s="115"/>
    </row>
    <row r="26" spans="22:22" ht="12.75" customHeight="1" x14ac:dyDescent="0.25">
      <c r="V26" s="115"/>
    </row>
    <row r="27" spans="22:22" ht="12.75" customHeight="1" x14ac:dyDescent="0.25">
      <c r="V27" s="115"/>
    </row>
    <row r="28" spans="22:22" ht="12.75" customHeight="1" x14ac:dyDescent="0.25">
      <c r="V28" s="115"/>
    </row>
    <row r="29" spans="22:22" ht="12.75" customHeight="1" x14ac:dyDescent="0.25">
      <c r="V29" s="115"/>
    </row>
    <row r="30" spans="22:22" ht="12.75" customHeight="1" x14ac:dyDescent="0.25">
      <c r="V30" s="115"/>
    </row>
    <row r="31" spans="22:22" ht="12.75" customHeight="1" x14ac:dyDescent="0.25">
      <c r="V31" s="115"/>
    </row>
    <row r="32" spans="22:22" ht="12.75" customHeight="1" x14ac:dyDescent="0.25">
      <c r="V32" s="115"/>
    </row>
    <row r="33" spans="4:23" ht="12.75" customHeight="1" x14ac:dyDescent="0.25">
      <c r="D33" s="301"/>
      <c r="E33" s="301"/>
      <c r="F33" s="301"/>
      <c r="G33" s="115"/>
      <c r="H33" s="115"/>
      <c r="I33" s="115"/>
      <c r="J33" s="115"/>
      <c r="K33" s="115"/>
      <c r="L33" s="115"/>
      <c r="M33" s="115"/>
      <c r="N33" s="115"/>
      <c r="O33" s="115"/>
      <c r="P33" s="115"/>
      <c r="Q33" s="115"/>
      <c r="R33" s="115"/>
      <c r="S33" s="115"/>
      <c r="T33" s="115"/>
      <c r="U33" s="115"/>
      <c r="V33" s="115"/>
      <c r="W33" s="115"/>
    </row>
    <row r="34" spans="4:23" ht="12.75" customHeight="1" x14ac:dyDescent="0.25">
      <c r="D34" s="301"/>
      <c r="E34" s="301"/>
      <c r="F34" s="301"/>
      <c r="G34" s="115"/>
      <c r="H34" s="115"/>
      <c r="I34" s="115"/>
      <c r="J34" s="115"/>
      <c r="K34" s="115"/>
      <c r="L34" s="115"/>
      <c r="M34" s="115"/>
      <c r="N34" s="115"/>
      <c r="O34" s="115"/>
      <c r="P34" s="115"/>
      <c r="Q34" s="115"/>
      <c r="R34" s="115"/>
      <c r="S34" s="115"/>
      <c r="T34" s="115"/>
      <c r="U34" s="115"/>
      <c r="V34" s="115"/>
      <c r="W34" s="115"/>
    </row>
    <row r="35" spans="4:23" ht="12.75" customHeight="1" x14ac:dyDescent="0.25">
      <c r="D35" s="301"/>
      <c r="E35" s="301"/>
      <c r="F35" s="301"/>
      <c r="G35" s="115"/>
      <c r="H35" s="115"/>
      <c r="I35" s="115"/>
      <c r="J35" s="115"/>
      <c r="K35" s="115"/>
      <c r="L35" s="115"/>
      <c r="M35" s="115"/>
      <c r="N35" s="115"/>
      <c r="O35" s="115"/>
      <c r="P35" s="115"/>
      <c r="Q35" s="115"/>
      <c r="R35" s="115"/>
      <c r="S35" s="115"/>
      <c r="T35" s="115"/>
      <c r="U35" s="115"/>
      <c r="V35" s="115"/>
      <c r="W35" s="115"/>
    </row>
    <row r="36" spans="4:23" ht="12.75" customHeight="1" x14ac:dyDescent="0.25">
      <c r="D36" s="301"/>
      <c r="E36" s="301"/>
      <c r="F36" s="301"/>
      <c r="G36" s="115"/>
      <c r="H36" s="115"/>
      <c r="I36" s="115"/>
      <c r="J36" s="115"/>
      <c r="K36" s="115"/>
      <c r="L36" s="115"/>
      <c r="M36" s="115"/>
      <c r="N36" s="115"/>
      <c r="O36" s="115"/>
      <c r="P36" s="115"/>
      <c r="Q36" s="115"/>
      <c r="R36" s="115"/>
      <c r="S36" s="115"/>
      <c r="T36" s="115"/>
      <c r="U36" s="115"/>
      <c r="V36" s="115"/>
      <c r="W36" s="115"/>
    </row>
    <row r="37" spans="4:23" ht="12.75" customHeight="1" x14ac:dyDescent="0.25">
      <c r="D37" s="452" t="s">
        <v>507</v>
      </c>
      <c r="E37" s="438"/>
      <c r="F37" s="438"/>
      <c r="G37" s="453"/>
      <c r="H37" s="453"/>
      <c r="I37" s="453"/>
      <c r="J37" s="453"/>
      <c r="K37" s="453"/>
      <c r="L37" s="453"/>
      <c r="M37" s="453"/>
      <c r="N37" s="453"/>
      <c r="O37" s="453"/>
      <c r="P37" s="115"/>
      <c r="Q37" s="115"/>
      <c r="R37" s="115"/>
      <c r="S37" s="115"/>
      <c r="T37" s="115"/>
      <c r="U37" s="115"/>
      <c r="V37" s="115"/>
      <c r="W37" s="115"/>
    </row>
    <row r="38" spans="4:23" ht="12.75" customHeight="1" x14ac:dyDescent="0.25">
      <c r="D38" s="438"/>
      <c r="E38" s="438"/>
      <c r="F38" s="438"/>
      <c r="G38" s="453"/>
      <c r="H38" s="453"/>
      <c r="I38" s="453"/>
      <c r="J38" s="453"/>
      <c r="K38" s="453"/>
      <c r="L38" s="453"/>
      <c r="M38" s="453"/>
      <c r="N38" s="453"/>
      <c r="O38" s="453"/>
      <c r="P38" s="115"/>
      <c r="Q38" s="115"/>
      <c r="R38" s="115"/>
      <c r="S38" s="115"/>
      <c r="T38" s="115"/>
      <c r="U38" s="115"/>
      <c r="V38" s="115"/>
      <c r="W38" s="115"/>
    </row>
    <row r="39" spans="4:23" ht="12.75" customHeight="1" x14ac:dyDescent="0.25">
      <c r="D39" s="1746" t="s">
        <v>508</v>
      </c>
      <c r="E39" s="1747"/>
      <c r="F39" s="1806"/>
      <c r="G39" s="1748"/>
      <c r="H39" s="1748"/>
      <c r="I39" s="1749"/>
      <c r="J39" s="1749">
        <v>2025</v>
      </c>
      <c r="K39" s="1749">
        <v>2026</v>
      </c>
      <c r="L39" s="1749">
        <v>2027</v>
      </c>
      <c r="M39" s="1749">
        <v>2028</v>
      </c>
      <c r="N39" s="1749">
        <v>2029</v>
      </c>
      <c r="O39" s="1749">
        <v>2030</v>
      </c>
      <c r="P39" s="115"/>
      <c r="Q39" s="233" t="s">
        <v>206</v>
      </c>
      <c r="R39" s="233" t="s">
        <v>335</v>
      </c>
      <c r="S39" s="233" t="s">
        <v>336</v>
      </c>
      <c r="T39" s="233" t="s">
        <v>337</v>
      </c>
      <c r="U39" s="233" t="s">
        <v>338</v>
      </c>
      <c r="V39" s="233"/>
      <c r="W39" s="115"/>
    </row>
    <row r="40" spans="4:23" ht="12.75" customHeight="1" x14ac:dyDescent="0.25">
      <c r="D40" s="454" t="str">
        <f>+G90</f>
        <v>Straatnaamgeving en huisnummering</v>
      </c>
      <c r="E40" s="455"/>
      <c r="F40" s="516"/>
      <c r="G40" s="453"/>
      <c r="H40" s="453"/>
      <c r="I40" s="518"/>
      <c r="J40" s="457">
        <v>1184</v>
      </c>
      <c r="K40" s="457">
        <f t="shared" ref="K40" si="0">+K93</f>
        <v>1215</v>
      </c>
      <c r="L40" s="457">
        <f t="shared" ref="L40:M40" si="1">+L93</f>
        <v>1241</v>
      </c>
      <c r="M40" s="457">
        <f t="shared" si="1"/>
        <v>1270</v>
      </c>
      <c r="N40" s="457">
        <f t="shared" ref="N40:O40" si="2">+N93</f>
        <v>1299</v>
      </c>
      <c r="O40" s="457">
        <f t="shared" si="2"/>
        <v>1329</v>
      </c>
      <c r="P40" s="114"/>
      <c r="Q40" s="233" t="s">
        <v>2794</v>
      </c>
      <c r="R40" s="233">
        <v>1184</v>
      </c>
      <c r="S40" s="233">
        <v>1211</v>
      </c>
      <c r="T40" s="233">
        <v>1239</v>
      </c>
      <c r="U40" s="233">
        <v>1267</v>
      </c>
      <c r="V40" s="233">
        <f t="shared" ref="V40:V48" si="3">+K40-S40</f>
        <v>4</v>
      </c>
      <c r="W40" s="115"/>
    </row>
    <row r="41" spans="4:23" ht="12.75" customHeight="1" x14ac:dyDescent="0.25">
      <c r="D41" s="454" t="str">
        <f>+G96</f>
        <v>Waarschuwingsborden en wegwijzers</v>
      </c>
      <c r="E41" s="455"/>
      <c r="F41" s="516"/>
      <c r="G41" s="453"/>
      <c r="H41" s="453"/>
      <c r="I41" s="518"/>
      <c r="J41" s="457">
        <v>11605</v>
      </c>
      <c r="K41" s="457">
        <f t="shared" ref="K41" si="4">+K99</f>
        <v>11907</v>
      </c>
      <c r="L41" s="457">
        <f t="shared" ref="L41:M41" si="5">+L99</f>
        <v>12157</v>
      </c>
      <c r="M41" s="457">
        <f t="shared" si="5"/>
        <v>12437</v>
      </c>
      <c r="N41" s="457">
        <f t="shared" ref="N41:O41" si="6">+N99</f>
        <v>12723</v>
      </c>
      <c r="O41" s="457">
        <f t="shared" si="6"/>
        <v>13016</v>
      </c>
      <c r="P41" s="114"/>
      <c r="Q41" s="233" t="s">
        <v>2795</v>
      </c>
      <c r="R41" s="233">
        <v>11605</v>
      </c>
      <c r="S41" s="233">
        <v>11872</v>
      </c>
      <c r="T41" s="233">
        <v>12145</v>
      </c>
      <c r="U41" s="233">
        <v>12424</v>
      </c>
      <c r="V41" s="233">
        <f t="shared" si="3"/>
        <v>35</v>
      </c>
      <c r="W41" s="1106">
        <f t="shared" ref="W41:W48" si="7">+L41-T41</f>
        <v>12</v>
      </c>
    </row>
    <row r="42" spans="4:23" ht="12.75" customHeight="1" x14ac:dyDescent="0.25">
      <c r="D42" s="454" t="str">
        <f>+G101</f>
        <v>Maatregelen t.b.v. veilig verkeer</v>
      </c>
      <c r="E42" s="455"/>
      <c r="F42" s="516"/>
      <c r="G42" s="453"/>
      <c r="H42" s="453"/>
      <c r="I42" s="518"/>
      <c r="J42" s="226">
        <v>3519</v>
      </c>
      <c r="K42" s="226">
        <f t="shared" ref="K42" si="8">+K104</f>
        <v>3610</v>
      </c>
      <c r="L42" s="226">
        <f t="shared" ref="L42:M42" si="9">+L104</f>
        <v>3686</v>
      </c>
      <c r="M42" s="226">
        <f t="shared" si="9"/>
        <v>3771</v>
      </c>
      <c r="N42" s="226">
        <f t="shared" ref="N42:O42" si="10">+N104</f>
        <v>3858</v>
      </c>
      <c r="O42" s="226">
        <f t="shared" si="10"/>
        <v>3947</v>
      </c>
      <c r="P42" s="114"/>
      <c r="Q42" s="233" t="s">
        <v>2796</v>
      </c>
      <c r="R42" s="233">
        <v>3519</v>
      </c>
      <c r="S42" s="233">
        <v>3600</v>
      </c>
      <c r="T42" s="233">
        <v>3683</v>
      </c>
      <c r="U42" s="233">
        <v>3768</v>
      </c>
      <c r="V42" s="233">
        <f t="shared" si="3"/>
        <v>10</v>
      </c>
      <c r="W42" s="1106">
        <f t="shared" si="7"/>
        <v>3</v>
      </c>
    </row>
    <row r="43" spans="4:23" ht="12.75" customHeight="1" x14ac:dyDescent="0.25">
      <c r="D43" s="454" t="str">
        <f>+G106</f>
        <v>Verkeersregelinstallaties</v>
      </c>
      <c r="E43" s="455"/>
      <c r="F43" s="516"/>
      <c r="G43" s="453"/>
      <c r="H43" s="453"/>
      <c r="I43" s="518"/>
      <c r="J43" s="457">
        <v>37777</v>
      </c>
      <c r="K43" s="457">
        <f t="shared" ref="K43" si="11">+K110</f>
        <v>38759</v>
      </c>
      <c r="L43" s="457">
        <f t="shared" ref="L43:M43" si="12">+L110</f>
        <v>39573</v>
      </c>
      <c r="M43" s="457">
        <f t="shared" si="12"/>
        <v>40483</v>
      </c>
      <c r="N43" s="457">
        <f t="shared" ref="N43:O43" si="13">+N110</f>
        <v>41413</v>
      </c>
      <c r="O43" s="457">
        <f t="shared" si="13"/>
        <v>42366</v>
      </c>
      <c r="P43" s="114"/>
      <c r="Q43" s="233" t="s">
        <v>2797</v>
      </c>
      <c r="R43" s="233">
        <v>37777</v>
      </c>
      <c r="S43" s="233">
        <v>38647</v>
      </c>
      <c r="T43" s="233">
        <v>39537</v>
      </c>
      <c r="U43" s="233">
        <v>40447</v>
      </c>
      <c r="V43" s="233">
        <f t="shared" si="3"/>
        <v>112</v>
      </c>
      <c r="W43" s="1106">
        <f t="shared" si="7"/>
        <v>36</v>
      </c>
    </row>
    <row r="44" spans="4:23" ht="12.75" customHeight="1" x14ac:dyDescent="0.25">
      <c r="D44" s="454" t="str">
        <f>+G112</f>
        <v>Verkeerstellingen</v>
      </c>
      <c r="E44" s="455"/>
      <c r="F44" s="516"/>
      <c r="G44" s="453"/>
      <c r="H44" s="453"/>
      <c r="I44" s="518"/>
      <c r="J44" s="226">
        <v>2719</v>
      </c>
      <c r="K44" s="226">
        <f t="shared" ref="K44" si="14">+K115</f>
        <v>2790</v>
      </c>
      <c r="L44" s="226">
        <f t="shared" ref="L44:M44" si="15">+L115</f>
        <v>2849</v>
      </c>
      <c r="M44" s="226">
        <f t="shared" si="15"/>
        <v>2915</v>
      </c>
      <c r="N44" s="226">
        <f t="shared" ref="N44:O44" si="16">+N115</f>
        <v>2982</v>
      </c>
      <c r="O44" s="226">
        <f t="shared" si="16"/>
        <v>3051</v>
      </c>
      <c r="P44" s="114"/>
      <c r="Q44" s="233" t="s">
        <v>2798</v>
      </c>
      <c r="R44" s="233">
        <v>2719</v>
      </c>
      <c r="S44" s="233">
        <v>2782</v>
      </c>
      <c r="T44" s="233">
        <v>2846</v>
      </c>
      <c r="U44" s="233">
        <v>2911</v>
      </c>
      <c r="V44" s="233">
        <f t="shared" si="3"/>
        <v>8</v>
      </c>
      <c r="W44" s="1106">
        <f t="shared" si="7"/>
        <v>3</v>
      </c>
    </row>
    <row r="45" spans="4:23" ht="12.75" customHeight="1" x14ac:dyDescent="0.25">
      <c r="D45" s="454" t="str">
        <f>+G117</f>
        <v>Bereikbaarheidsagenda</v>
      </c>
      <c r="E45" s="455"/>
      <c r="F45" s="516"/>
      <c r="G45" s="453"/>
      <c r="H45" s="453"/>
      <c r="I45" s="518"/>
      <c r="J45" s="226">
        <v>172000</v>
      </c>
      <c r="K45" s="226">
        <f t="shared" ref="K45" si="17">+K120</f>
        <v>218000</v>
      </c>
      <c r="L45" s="226">
        <f t="shared" ref="L45:M45" si="18">+L120</f>
        <v>172000</v>
      </c>
      <c r="M45" s="226">
        <f t="shared" si="18"/>
        <v>172000</v>
      </c>
      <c r="N45" s="226">
        <f t="shared" ref="N45:O45" si="19">+N120</f>
        <v>172000</v>
      </c>
      <c r="O45" s="226">
        <f t="shared" si="19"/>
        <v>172000</v>
      </c>
      <c r="P45" s="114"/>
      <c r="Q45" s="233" t="s">
        <v>2799</v>
      </c>
      <c r="R45" s="233">
        <v>202000</v>
      </c>
      <c r="S45" s="233">
        <v>218000</v>
      </c>
      <c r="T45" s="233">
        <v>172000</v>
      </c>
      <c r="U45" s="233">
        <v>172000</v>
      </c>
      <c r="V45" s="233">
        <f t="shared" si="3"/>
        <v>0</v>
      </c>
      <c r="W45" s="1106">
        <f t="shared" si="7"/>
        <v>0</v>
      </c>
    </row>
    <row r="46" spans="4:23" ht="12.75" customHeight="1" x14ac:dyDescent="0.25">
      <c r="D46" s="454" t="str">
        <f>+G122</f>
        <v>Overige verkeersmaatregelen</v>
      </c>
      <c r="E46" s="455"/>
      <c r="F46" s="516"/>
      <c r="G46" s="453"/>
      <c r="H46" s="453"/>
      <c r="I46" s="518"/>
      <c r="J46" s="226">
        <v>1153</v>
      </c>
      <c r="K46" s="226">
        <f t="shared" ref="K46" si="20">+K125</f>
        <v>1183</v>
      </c>
      <c r="L46" s="226">
        <f t="shared" ref="L46:M46" si="21">+L125</f>
        <v>1208</v>
      </c>
      <c r="M46" s="226">
        <f t="shared" si="21"/>
        <v>1236</v>
      </c>
      <c r="N46" s="226">
        <f t="shared" ref="N46:O46" si="22">+N125</f>
        <v>1264</v>
      </c>
      <c r="O46" s="226">
        <f t="shared" si="22"/>
        <v>1293</v>
      </c>
      <c r="P46" s="114"/>
      <c r="Q46" s="233" t="s">
        <v>2800</v>
      </c>
      <c r="R46" s="233">
        <v>1153</v>
      </c>
      <c r="S46" s="233">
        <v>1180</v>
      </c>
      <c r="T46" s="233">
        <v>1207</v>
      </c>
      <c r="U46" s="233">
        <v>1235</v>
      </c>
      <c r="V46" s="233">
        <f t="shared" si="3"/>
        <v>3</v>
      </c>
      <c r="W46" s="1106">
        <f t="shared" si="7"/>
        <v>1</v>
      </c>
    </row>
    <row r="47" spans="4:23" ht="12.75" customHeight="1" x14ac:dyDescent="0.25">
      <c r="D47" s="454" t="str">
        <f>+G127</f>
        <v>Mensgerichte verkeersmaatregelen</v>
      </c>
      <c r="E47" s="455"/>
      <c r="F47" s="516"/>
      <c r="G47" s="453"/>
      <c r="H47" s="453"/>
      <c r="I47" s="518"/>
      <c r="J47" s="226">
        <v>26533</v>
      </c>
      <c r="K47" s="226">
        <f t="shared" ref="K47" si="23">+K130</f>
        <v>27223</v>
      </c>
      <c r="L47" s="226">
        <f t="shared" ref="L47:M47" si="24">+L130</f>
        <v>27795</v>
      </c>
      <c r="M47" s="226">
        <f t="shared" si="24"/>
        <v>28434</v>
      </c>
      <c r="N47" s="226">
        <f t="shared" ref="N47:O47" si="25">+N130</f>
        <v>29088</v>
      </c>
      <c r="O47" s="226">
        <f t="shared" si="25"/>
        <v>29758</v>
      </c>
      <c r="P47" s="114"/>
      <c r="Q47" s="233" t="s">
        <v>2801</v>
      </c>
      <c r="R47" s="233">
        <v>26533</v>
      </c>
      <c r="S47" s="233">
        <v>27143</v>
      </c>
      <c r="T47" s="233">
        <v>27768</v>
      </c>
      <c r="U47" s="233">
        <v>28406</v>
      </c>
      <c r="V47" s="233">
        <f t="shared" si="3"/>
        <v>80</v>
      </c>
      <c r="W47" s="1106">
        <f t="shared" si="7"/>
        <v>27</v>
      </c>
    </row>
    <row r="48" spans="4:23" ht="12.75" customHeight="1" x14ac:dyDescent="0.25">
      <c r="D48" s="454" t="str">
        <f>+G132</f>
        <v>Infrastructurele verkeersmaatregelen</v>
      </c>
      <c r="E48" s="455"/>
      <c r="F48" s="516"/>
      <c r="G48" s="453"/>
      <c r="H48" s="453"/>
      <c r="I48" s="518"/>
      <c r="J48" s="225">
        <v>56176</v>
      </c>
      <c r="K48" s="225">
        <f t="shared" ref="K48" si="26">+K135</f>
        <v>57637</v>
      </c>
      <c r="L48" s="225">
        <f t="shared" ref="L48:M48" si="27">+L135</f>
        <v>58847</v>
      </c>
      <c r="M48" s="225">
        <f t="shared" si="27"/>
        <v>60200</v>
      </c>
      <c r="N48" s="225">
        <f t="shared" ref="N48:O48" si="28">+N135</f>
        <v>61585</v>
      </c>
      <c r="O48" s="225">
        <f t="shared" si="28"/>
        <v>63001</v>
      </c>
      <c r="P48" s="114"/>
      <c r="Q48" s="233" t="s">
        <v>2802</v>
      </c>
      <c r="R48" s="233">
        <v>56176</v>
      </c>
      <c r="S48" s="233">
        <v>57468</v>
      </c>
      <c r="T48" s="233">
        <v>58790</v>
      </c>
      <c r="U48" s="233">
        <v>60142</v>
      </c>
      <c r="V48" s="233">
        <f t="shared" si="3"/>
        <v>169</v>
      </c>
      <c r="W48" s="1106">
        <f t="shared" si="7"/>
        <v>57</v>
      </c>
    </row>
    <row r="49" spans="4:23" ht="12.75" customHeight="1" x14ac:dyDescent="0.25">
      <c r="D49" s="454" t="str">
        <f>+G137</f>
        <v>Onderhoud wegen</v>
      </c>
      <c r="E49" s="455"/>
      <c r="F49" s="516"/>
      <c r="G49" s="453"/>
      <c r="H49" s="453"/>
      <c r="I49" s="518"/>
      <c r="J49" s="225">
        <f>+J146</f>
        <v>593842</v>
      </c>
      <c r="K49" s="225">
        <f t="shared" ref="K49" si="29">+K146</f>
        <v>613380</v>
      </c>
      <c r="L49" s="225">
        <f t="shared" ref="L49:M49" si="30">+L146</f>
        <v>631256</v>
      </c>
      <c r="M49" s="225">
        <f t="shared" si="30"/>
        <v>642110</v>
      </c>
      <c r="N49" s="225">
        <f t="shared" ref="N49:O49" si="31">+N146</f>
        <v>653135</v>
      </c>
      <c r="O49" s="225">
        <f t="shared" si="31"/>
        <v>664433</v>
      </c>
      <c r="P49" s="114"/>
      <c r="Q49" s="233" t="s">
        <v>2803</v>
      </c>
      <c r="R49" s="233">
        <v>681645</v>
      </c>
      <c r="S49" s="233">
        <v>701880</v>
      </c>
      <c r="T49" s="233">
        <v>722621</v>
      </c>
      <c r="U49" s="233">
        <v>735574</v>
      </c>
      <c r="V49" s="233" t="e">
        <f>+K49+#REF!+K50-S49</f>
        <v>#REF!</v>
      </c>
      <c r="W49" s="1106" t="e">
        <f>+L49+#REF!+L50-T49</f>
        <v>#REF!</v>
      </c>
    </row>
    <row r="50" spans="4:23" ht="12.75" customHeight="1" x14ac:dyDescent="0.25">
      <c r="D50" s="454" t="str">
        <f>+G149</f>
        <v>Onderhoud wegen</v>
      </c>
      <c r="E50" s="455"/>
      <c r="F50" s="516"/>
      <c r="G50" s="453"/>
      <c r="H50" s="453"/>
      <c r="I50" s="518"/>
      <c r="J50" s="225">
        <v>82475</v>
      </c>
      <c r="K50" s="225">
        <f t="shared" ref="K50" si="32">+K153</f>
        <v>96406</v>
      </c>
      <c r="L50" s="225">
        <f t="shared" ref="L50:M50" si="33">+L153</f>
        <v>86396</v>
      </c>
      <c r="M50" s="225">
        <f t="shared" si="33"/>
        <v>88383</v>
      </c>
      <c r="N50" s="225">
        <f t="shared" ref="N50:O50" si="34">+N153</f>
        <v>90416</v>
      </c>
      <c r="O50" s="225">
        <f t="shared" si="34"/>
        <v>92496</v>
      </c>
      <c r="P50" s="114"/>
      <c r="Q50" s="115"/>
      <c r="R50" s="115"/>
      <c r="S50" s="115"/>
      <c r="T50" s="115"/>
      <c r="U50" s="115"/>
      <c r="V50" s="115"/>
      <c r="W50" s="1106"/>
    </row>
    <row r="51" spans="4:23" ht="12.75" customHeight="1" x14ac:dyDescent="0.25">
      <c r="D51" s="454" t="str">
        <f>+G160</f>
        <v>Bestrijding gladheid van wegen</v>
      </c>
      <c r="E51" s="455"/>
      <c r="F51" s="516"/>
      <c r="G51" s="453"/>
      <c r="H51" s="453"/>
      <c r="I51" s="518"/>
      <c r="J51" s="225">
        <v>34282</v>
      </c>
      <c r="K51" s="225">
        <f>+K167</f>
        <v>35222.5</v>
      </c>
      <c r="L51" s="225">
        <f>+L167</f>
        <v>36139</v>
      </c>
      <c r="M51" s="225">
        <f>+M167</f>
        <v>37246.58</v>
      </c>
      <c r="N51" s="225">
        <f>+N167</f>
        <v>38386.080000000002</v>
      </c>
      <c r="O51" s="225">
        <f>+O167</f>
        <v>39257</v>
      </c>
      <c r="P51" s="114"/>
      <c r="Q51" s="233" t="s">
        <v>2804</v>
      </c>
      <c r="R51" s="233">
        <v>34282</v>
      </c>
      <c r="S51" s="233">
        <v>35212</v>
      </c>
      <c r="T51" s="233">
        <v>36167</v>
      </c>
      <c r="U51" s="233">
        <v>37244</v>
      </c>
      <c r="V51" s="233">
        <f t="shared" ref="V51:W58" si="35">+K51-S51</f>
        <v>10.5</v>
      </c>
      <c r="W51" s="1106">
        <f t="shared" si="35"/>
        <v>-28</v>
      </c>
    </row>
    <row r="52" spans="4:23" ht="12.75" customHeight="1" x14ac:dyDescent="0.25">
      <c r="D52" s="454" t="str">
        <f>+G169</f>
        <v>Het maken van inritten</v>
      </c>
      <c r="E52" s="455"/>
      <c r="F52" s="516"/>
      <c r="G52" s="453"/>
      <c r="H52" s="453"/>
      <c r="I52" s="518"/>
      <c r="J52" s="225">
        <v>30202</v>
      </c>
      <c r="K52" s="225">
        <f t="shared" ref="K52" si="36">+K172</f>
        <v>30987</v>
      </c>
      <c r="L52" s="225">
        <f t="shared" ref="L52:M52" si="37">+L172</f>
        <v>31638</v>
      </c>
      <c r="M52" s="225">
        <f t="shared" si="37"/>
        <v>32366</v>
      </c>
      <c r="N52" s="225">
        <f t="shared" ref="N52:O52" si="38">+N172</f>
        <v>33110</v>
      </c>
      <c r="O52" s="225">
        <f t="shared" si="38"/>
        <v>33872</v>
      </c>
      <c r="P52" s="114"/>
      <c r="Q52" s="233" t="s">
        <v>2805</v>
      </c>
      <c r="R52" s="233">
        <v>30202</v>
      </c>
      <c r="S52" s="233">
        <v>30897</v>
      </c>
      <c r="T52" s="233">
        <v>31608</v>
      </c>
      <c r="U52" s="233">
        <v>32335</v>
      </c>
      <c r="V52" s="233">
        <f t="shared" si="35"/>
        <v>90</v>
      </c>
      <c r="W52" s="1106">
        <f t="shared" si="35"/>
        <v>30</v>
      </c>
    </row>
    <row r="53" spans="4:23" ht="12.75" customHeight="1" x14ac:dyDescent="0.25">
      <c r="D53" s="454" t="str">
        <f>+G155</f>
        <v>Onderhoud wegen, parkstrook A2</v>
      </c>
      <c r="E53" s="455"/>
      <c r="F53" s="516"/>
      <c r="G53" s="453"/>
      <c r="H53" s="453"/>
      <c r="I53" s="518"/>
      <c r="J53" s="225">
        <v>5328</v>
      </c>
      <c r="K53" s="225">
        <f>+K158</f>
        <v>5467</v>
      </c>
      <c r="L53" s="225">
        <f>+L158</f>
        <v>5582</v>
      </c>
      <c r="M53" s="225">
        <f>+M158</f>
        <v>5710</v>
      </c>
      <c r="N53" s="225">
        <f>+N158</f>
        <v>5841</v>
      </c>
      <c r="O53" s="225">
        <f>+O158</f>
        <v>5975</v>
      </c>
      <c r="P53" s="114"/>
      <c r="Q53" s="115"/>
      <c r="R53" s="115"/>
      <c r="S53" s="115"/>
      <c r="T53" s="115"/>
      <c r="U53" s="115"/>
      <c r="V53" s="115">
        <f t="shared" si="35"/>
        <v>5467</v>
      </c>
      <c r="W53" s="1106">
        <f t="shared" si="35"/>
        <v>5582</v>
      </c>
    </row>
    <row r="54" spans="4:23" ht="12.75" customHeight="1" x14ac:dyDescent="0.25">
      <c r="D54" s="454" t="str">
        <f>+G174</f>
        <v>Straatverlichting</v>
      </c>
      <c r="E54" s="455"/>
      <c r="F54" s="516"/>
      <c r="G54" s="453"/>
      <c r="H54" s="453"/>
      <c r="I54" s="518"/>
      <c r="J54" s="225">
        <v>253266</v>
      </c>
      <c r="K54" s="225">
        <f t="shared" ref="K54" si="39">+K179</f>
        <v>266225</v>
      </c>
      <c r="L54" s="225">
        <f t="shared" ref="L54:M54" si="40">+L179</f>
        <v>277480</v>
      </c>
      <c r="M54" s="225">
        <f t="shared" si="40"/>
        <v>290940</v>
      </c>
      <c r="N54" s="225">
        <f t="shared" ref="N54:O54" si="41">+N179</f>
        <v>303762</v>
      </c>
      <c r="O54" s="225">
        <f t="shared" si="41"/>
        <v>316411</v>
      </c>
      <c r="P54" s="114"/>
      <c r="Q54" s="233" t="s">
        <v>2806</v>
      </c>
      <c r="R54" s="233">
        <v>253266</v>
      </c>
      <c r="S54" s="233">
        <v>265303</v>
      </c>
      <c r="T54" s="233">
        <v>276749</v>
      </c>
      <c r="U54" s="233">
        <v>289747</v>
      </c>
      <c r="V54" s="233">
        <f t="shared" si="35"/>
        <v>922</v>
      </c>
      <c r="W54" s="1106">
        <f t="shared" si="35"/>
        <v>731</v>
      </c>
    </row>
    <row r="55" spans="4:23" ht="12.75" customHeight="1" x14ac:dyDescent="0.25">
      <c r="D55" s="454" t="str">
        <f>+G181</f>
        <v>Reiniging openbare ruimte</v>
      </c>
      <c r="E55" s="455"/>
      <c r="F55" s="516"/>
      <c r="G55" s="453"/>
      <c r="H55" s="453"/>
      <c r="I55" s="518"/>
      <c r="J55" s="225">
        <v>508424</v>
      </c>
      <c r="K55" s="225">
        <f t="shared" ref="K55" si="42">+K189</f>
        <v>595260</v>
      </c>
      <c r="L55" s="225">
        <f t="shared" ref="L55:M55" si="43">+L189</f>
        <v>636123.80000000005</v>
      </c>
      <c r="M55" s="225">
        <f t="shared" si="43"/>
        <v>676882.6</v>
      </c>
      <c r="N55" s="225">
        <f t="shared" ref="N55:O55" si="44">+N189</f>
        <v>718132.4</v>
      </c>
      <c r="O55" s="225">
        <f t="shared" si="44"/>
        <v>759887.8</v>
      </c>
      <c r="P55" s="114"/>
      <c r="Q55" s="233" t="s">
        <v>2807</v>
      </c>
      <c r="R55" s="233">
        <v>509625</v>
      </c>
      <c r="S55" s="233">
        <v>525728</v>
      </c>
      <c r="T55" s="233">
        <v>542382</v>
      </c>
      <c r="U55" s="233">
        <v>559611</v>
      </c>
      <c r="V55" s="233">
        <f t="shared" si="35"/>
        <v>69532</v>
      </c>
      <c r="W55" s="1106">
        <f t="shared" si="35"/>
        <v>93741.800000000047</v>
      </c>
    </row>
    <row r="56" spans="4:23" ht="12.75" customHeight="1" x14ac:dyDescent="0.25">
      <c r="D56" s="454" t="str">
        <f>+G191</f>
        <v>Verwijderen van grafitti</v>
      </c>
      <c r="E56" s="455"/>
      <c r="F56" s="516"/>
      <c r="G56" s="453"/>
      <c r="H56" s="453"/>
      <c r="I56" s="518"/>
      <c r="J56" s="225">
        <v>1201</v>
      </c>
      <c r="K56" s="225">
        <f t="shared" ref="K56" si="45">+K194</f>
        <v>1232</v>
      </c>
      <c r="L56" s="225">
        <f t="shared" ref="L56:M56" si="46">+L194</f>
        <v>1258</v>
      </c>
      <c r="M56" s="225">
        <f t="shared" si="46"/>
        <v>1287</v>
      </c>
      <c r="N56" s="225">
        <f t="shared" ref="N56:O56" si="47">+N194</f>
        <v>1317</v>
      </c>
      <c r="O56" s="225">
        <f t="shared" si="47"/>
        <v>1347</v>
      </c>
      <c r="P56" s="114"/>
      <c r="Q56" s="115"/>
      <c r="R56" s="115"/>
      <c r="S56" s="115"/>
      <c r="T56" s="115"/>
      <c r="U56" s="115"/>
      <c r="V56" s="115">
        <f t="shared" si="35"/>
        <v>1232</v>
      </c>
      <c r="W56" s="1106">
        <f t="shared" si="35"/>
        <v>1258</v>
      </c>
    </row>
    <row r="57" spans="4:23" ht="12.75" customHeight="1" x14ac:dyDescent="0.25">
      <c r="D57" s="454" t="str">
        <f>+G196</f>
        <v>Programma duurzame mobiliteit</v>
      </c>
      <c r="E57" s="455"/>
      <c r="F57" s="516"/>
      <c r="G57" s="453"/>
      <c r="H57" s="453"/>
      <c r="I57" s="518"/>
      <c r="J57" s="225">
        <v>0</v>
      </c>
      <c r="K57" s="225">
        <f t="shared" ref="K57" si="48">+K199</f>
        <v>28000</v>
      </c>
      <c r="L57" s="225">
        <f t="shared" ref="L57:M57" si="49">+L199</f>
        <v>0</v>
      </c>
      <c r="M57" s="225">
        <f t="shared" si="49"/>
        <v>0</v>
      </c>
      <c r="N57" s="225">
        <f t="shared" ref="N57:O57" si="50">+N199</f>
        <v>0</v>
      </c>
      <c r="O57" s="225">
        <f t="shared" si="50"/>
        <v>0</v>
      </c>
      <c r="P57" s="114"/>
      <c r="Q57" s="115"/>
      <c r="R57" s="115"/>
      <c r="S57" s="115"/>
      <c r="T57" s="115"/>
      <c r="U57" s="115"/>
      <c r="V57" s="115">
        <f t="shared" si="35"/>
        <v>28000</v>
      </c>
      <c r="W57" s="1106">
        <f t="shared" si="35"/>
        <v>0</v>
      </c>
    </row>
    <row r="58" spans="4:23" ht="12.75" customHeight="1" x14ac:dyDescent="0.25">
      <c r="D58" s="454" t="s">
        <v>2808</v>
      </c>
      <c r="E58" s="455"/>
      <c r="F58" s="516"/>
      <c r="G58" s="453"/>
      <c r="H58" s="453"/>
      <c r="I58" s="518"/>
      <c r="J58" s="225">
        <v>23984</v>
      </c>
      <c r="K58" s="225">
        <f t="shared" ref="K58" si="51">+K272</f>
        <v>72819</v>
      </c>
      <c r="L58" s="225">
        <f t="shared" ref="L58:M58" si="52">+L272</f>
        <v>72819</v>
      </c>
      <c r="M58" s="225">
        <f t="shared" si="52"/>
        <v>72819</v>
      </c>
      <c r="N58" s="225">
        <f t="shared" ref="N58:O58" si="53">+N272</f>
        <v>259615</v>
      </c>
      <c r="O58" s="225">
        <f t="shared" si="53"/>
        <v>0</v>
      </c>
      <c r="P58" s="114"/>
      <c r="Q58" s="233" t="s">
        <v>2809</v>
      </c>
      <c r="R58" s="233">
        <v>23984</v>
      </c>
      <c r="S58" s="233">
        <v>72819</v>
      </c>
      <c r="T58" s="233">
        <v>72819</v>
      </c>
      <c r="U58" s="233">
        <v>72819</v>
      </c>
      <c r="V58" s="233">
        <f t="shared" si="35"/>
        <v>0</v>
      </c>
      <c r="W58" s="1106">
        <f t="shared" si="35"/>
        <v>0</v>
      </c>
    </row>
    <row r="59" spans="4:23" ht="12.75" customHeight="1" x14ac:dyDescent="0.25">
      <c r="D59" s="454" t="str">
        <f>G274</f>
        <v>Schaalsprong mobiliteit</v>
      </c>
      <c r="E59" s="455"/>
      <c r="F59" s="516"/>
      <c r="G59" s="453"/>
      <c r="H59" s="453"/>
      <c r="I59" s="518"/>
      <c r="J59" s="225">
        <f>J276</f>
        <v>0</v>
      </c>
      <c r="K59" s="225">
        <f t="shared" ref="K59" si="54">K276</f>
        <v>230000</v>
      </c>
      <c r="L59" s="225">
        <f t="shared" ref="L59:N59" si="55">L276</f>
        <v>655000</v>
      </c>
      <c r="M59" s="225">
        <f t="shared" si="55"/>
        <v>655000</v>
      </c>
      <c r="N59" s="225">
        <f t="shared" si="55"/>
        <v>680000</v>
      </c>
      <c r="O59" s="225">
        <f t="shared" ref="O59" si="56">O276</f>
        <v>705000</v>
      </c>
      <c r="P59" s="114"/>
      <c r="Q59" s="233"/>
      <c r="R59" s="233"/>
      <c r="S59" s="233"/>
      <c r="T59" s="233"/>
      <c r="U59" s="233"/>
      <c r="V59" s="233"/>
      <c r="W59" s="1106"/>
    </row>
    <row r="60" spans="4:23" ht="12.75" customHeight="1" x14ac:dyDescent="0.25">
      <c r="D60" s="454" t="s">
        <v>2810</v>
      </c>
      <c r="E60" s="455"/>
      <c r="F60" s="516"/>
      <c r="G60" s="453"/>
      <c r="H60" s="453"/>
      <c r="I60" s="518"/>
      <c r="J60" s="225">
        <v>103761.65999999999</v>
      </c>
      <c r="K60" s="225">
        <f t="shared" ref="K60" si="57">+K267</f>
        <v>103994.55427204992</v>
      </c>
      <c r="L60" s="225">
        <f t="shared" ref="L60:M60" si="58">+L267</f>
        <v>109028.11898565243</v>
      </c>
      <c r="M60" s="225">
        <f t="shared" si="58"/>
        <v>110990.57293493504</v>
      </c>
      <c r="N60" s="225">
        <f t="shared" ref="N60:O60" si="59">+N267</f>
        <v>113009.53198168178</v>
      </c>
      <c r="O60" s="225">
        <f t="shared" si="59"/>
        <v>113009.53198168178</v>
      </c>
      <c r="P60" s="114"/>
      <c r="Q60" s="233" t="s">
        <v>2811</v>
      </c>
      <c r="R60" s="233">
        <v>103765</v>
      </c>
      <c r="S60" s="233">
        <v>102687</v>
      </c>
      <c r="T60" s="233">
        <v>107716</v>
      </c>
      <c r="U60" s="233">
        <v>109674</v>
      </c>
      <c r="V60" s="233">
        <f t="shared" ref="V60:W65" si="60">+K60-S60</f>
        <v>1307.5542720499216</v>
      </c>
      <c r="W60" s="1106">
        <f t="shared" si="60"/>
        <v>1312.1189856524288</v>
      </c>
    </row>
    <row r="61" spans="4:23" ht="12.75" customHeight="1" x14ac:dyDescent="0.25">
      <c r="D61" s="454"/>
      <c r="E61" s="455"/>
      <c r="F61" s="516"/>
      <c r="G61" s="453"/>
      <c r="H61" s="453"/>
      <c r="I61" s="518"/>
      <c r="J61" s="225"/>
      <c r="K61" s="225"/>
      <c r="L61" s="225"/>
      <c r="M61" s="225"/>
      <c r="N61" s="225"/>
      <c r="O61" s="225"/>
      <c r="P61" s="114"/>
      <c r="Q61" s="233" t="s">
        <v>2812</v>
      </c>
      <c r="R61" s="233">
        <v>75000</v>
      </c>
      <c r="S61" s="233">
        <v>0</v>
      </c>
      <c r="T61" s="233">
        <v>0</v>
      </c>
      <c r="U61" s="233">
        <v>0</v>
      </c>
      <c r="V61" s="233">
        <f t="shared" si="60"/>
        <v>0</v>
      </c>
      <c r="W61" s="1106">
        <f t="shared" si="60"/>
        <v>0</v>
      </c>
    </row>
    <row r="62" spans="4:23" ht="12.75" customHeight="1" x14ac:dyDescent="0.25">
      <c r="D62" s="454" t="str">
        <f>+G278</f>
        <v>Directe toerekening verkeer en vervoer</v>
      </c>
      <c r="E62" s="455"/>
      <c r="F62" s="516"/>
      <c r="G62" s="453"/>
      <c r="H62" s="453"/>
      <c r="I62" s="518"/>
      <c r="J62" s="225">
        <v>1658671.38</v>
      </c>
      <c r="K62" s="225">
        <f t="shared" ref="K62" si="61">+K292</f>
        <v>1696483.83</v>
      </c>
      <c r="L62" s="225">
        <f t="shared" ref="L62:M62" si="62">+L292</f>
        <v>1981680</v>
      </c>
      <c r="M62" s="225">
        <f t="shared" si="62"/>
        <v>2323246</v>
      </c>
      <c r="N62" s="225">
        <f t="shared" ref="N62:O62" si="63">+N292</f>
        <v>2671006</v>
      </c>
      <c r="O62" s="225">
        <f t="shared" si="63"/>
        <v>985348</v>
      </c>
      <c r="P62" s="114"/>
      <c r="Q62" s="233" t="s">
        <v>2813</v>
      </c>
      <c r="R62" s="233">
        <v>1658672</v>
      </c>
      <c r="S62" s="233">
        <v>1723886</v>
      </c>
      <c r="T62" s="233">
        <v>2039098</v>
      </c>
      <c r="U62" s="233">
        <v>2183131</v>
      </c>
      <c r="V62" s="233">
        <f t="shared" si="60"/>
        <v>-27402.169999999925</v>
      </c>
      <c r="W62" s="1106">
        <f t="shared" si="60"/>
        <v>-57418</v>
      </c>
    </row>
    <row r="63" spans="4:23" ht="12.75" customHeight="1" x14ac:dyDescent="0.25">
      <c r="D63" s="454" t="str">
        <f>G294</f>
        <v>Directe toerekening inritten</v>
      </c>
      <c r="E63" s="455"/>
      <c r="F63" s="516"/>
      <c r="G63" s="453"/>
      <c r="H63" s="453"/>
      <c r="I63" s="518"/>
      <c r="J63" s="225">
        <v>0</v>
      </c>
      <c r="K63" s="225">
        <f t="shared" ref="K63" si="64">+K298</f>
        <v>0</v>
      </c>
      <c r="L63" s="225">
        <f t="shared" ref="L63:M63" si="65">+L298</f>
        <v>0</v>
      </c>
      <c r="M63" s="225">
        <f t="shared" si="65"/>
        <v>0</v>
      </c>
      <c r="N63" s="225">
        <f t="shared" ref="N63:O63" si="66">+N298</f>
        <v>0</v>
      </c>
      <c r="O63" s="225">
        <f t="shared" si="66"/>
        <v>0</v>
      </c>
      <c r="P63" s="114"/>
      <c r="Q63" s="233" t="s">
        <v>2814</v>
      </c>
      <c r="R63" s="233">
        <v>0</v>
      </c>
      <c r="S63" s="233">
        <v>0</v>
      </c>
      <c r="T63" s="233">
        <v>0</v>
      </c>
      <c r="U63" s="233">
        <v>0</v>
      </c>
      <c r="V63" s="233">
        <f t="shared" si="60"/>
        <v>0</v>
      </c>
      <c r="W63" s="1106">
        <f t="shared" si="60"/>
        <v>0</v>
      </c>
    </row>
    <row r="64" spans="4:23" ht="12.75" customHeight="1" x14ac:dyDescent="0.25">
      <c r="D64" s="454" t="str">
        <f>+G300</f>
        <v>Directe toerekening straatreiniging</v>
      </c>
      <c r="E64" s="455"/>
      <c r="F64" s="516"/>
      <c r="G64" s="453"/>
      <c r="H64" s="453"/>
      <c r="I64" s="518"/>
      <c r="J64" s="225">
        <v>16851.22</v>
      </c>
      <c r="K64" s="225">
        <f>+K304</f>
        <v>14736</v>
      </c>
      <c r="L64" s="225">
        <f>+L304</f>
        <v>15355</v>
      </c>
      <c r="M64" s="225">
        <f>+M304</f>
        <v>15923</v>
      </c>
      <c r="N64" s="225">
        <f>+N304</f>
        <v>16512</v>
      </c>
      <c r="O64" s="225">
        <f>+O304</f>
        <v>17123</v>
      </c>
      <c r="P64" s="114"/>
      <c r="Q64" s="233" t="s">
        <v>2815</v>
      </c>
      <c r="R64" s="233">
        <v>16851</v>
      </c>
      <c r="S64" s="233">
        <v>17559</v>
      </c>
      <c r="T64" s="233">
        <v>18296</v>
      </c>
      <c r="U64" s="233">
        <v>19065</v>
      </c>
      <c r="V64" s="233">
        <f t="shared" si="60"/>
        <v>-2823</v>
      </c>
      <c r="W64" s="1106">
        <f t="shared" si="60"/>
        <v>-2941</v>
      </c>
    </row>
    <row r="65" spans="1:23" ht="12.75" customHeight="1" x14ac:dyDescent="0.25">
      <c r="A65" s="306"/>
      <c r="B65" s="115"/>
      <c r="C65" s="115"/>
      <c r="D65" s="454"/>
      <c r="E65" s="455"/>
      <c r="F65" s="516"/>
      <c r="G65" s="453"/>
      <c r="H65" s="453"/>
      <c r="I65" s="518"/>
      <c r="J65" s="225"/>
      <c r="K65" s="225"/>
      <c r="L65" s="225"/>
      <c r="M65" s="225"/>
      <c r="N65" s="225"/>
      <c r="O65" s="225"/>
      <c r="P65" s="115"/>
      <c r="Q65" s="115"/>
      <c r="R65" s="115"/>
      <c r="S65" s="115"/>
      <c r="T65" s="115"/>
      <c r="U65" s="115"/>
      <c r="V65" s="115">
        <f t="shared" si="60"/>
        <v>0</v>
      </c>
      <c r="W65" s="1106">
        <f t="shared" si="60"/>
        <v>0</v>
      </c>
    </row>
    <row r="66" spans="1:23" ht="12.75" customHeight="1" x14ac:dyDescent="0.25">
      <c r="A66" s="306"/>
      <c r="B66" s="115"/>
      <c r="C66" s="115"/>
      <c r="D66" s="454"/>
      <c r="E66" s="455"/>
      <c r="F66" s="516"/>
      <c r="G66" s="453"/>
      <c r="H66" s="453"/>
      <c r="I66" s="518"/>
      <c r="J66" s="227"/>
      <c r="K66" s="227"/>
      <c r="L66" s="227"/>
      <c r="M66" s="227"/>
      <c r="N66" s="227"/>
      <c r="O66" s="227"/>
      <c r="P66" s="114"/>
      <c r="Q66" s="115"/>
      <c r="R66" s="115"/>
      <c r="S66" s="115"/>
      <c r="T66" s="115"/>
      <c r="U66" s="115"/>
      <c r="V66" s="115"/>
      <c r="W66" s="115"/>
    </row>
    <row r="67" spans="1:23" ht="12.75" customHeight="1" x14ac:dyDescent="0.25">
      <c r="A67" s="306"/>
      <c r="B67" s="115"/>
      <c r="C67" s="115"/>
      <c r="D67" s="1751" t="s">
        <v>525</v>
      </c>
      <c r="E67" s="1752"/>
      <c r="F67" s="1771"/>
      <c r="G67" s="1754"/>
      <c r="H67" s="1754"/>
      <c r="I67" s="1757"/>
      <c r="J67" s="1871">
        <v>3624954.2600000002</v>
      </c>
      <c r="K67" s="1871">
        <f>SUM(K40:K66)</f>
        <v>4152536.8842720501</v>
      </c>
      <c r="L67" s="1871">
        <f>SUM(L40:L66)</f>
        <v>4859110.9189856518</v>
      </c>
      <c r="M67" s="1871">
        <f>SUM(M40:M66)</f>
        <v>5275649.7529349346</v>
      </c>
      <c r="N67" s="1871">
        <f>SUM(N40:N66)</f>
        <v>5910454.0119816819</v>
      </c>
      <c r="O67" s="1871">
        <f>SUM(O40:O66)</f>
        <v>4063920.3319816818</v>
      </c>
      <c r="P67" s="115"/>
      <c r="Q67" s="233"/>
      <c r="R67" s="233"/>
      <c r="S67" s="233"/>
      <c r="T67" s="233"/>
      <c r="U67" s="233"/>
      <c r="V67" s="233"/>
      <c r="W67" s="115"/>
    </row>
    <row r="68" spans="1:23" ht="12.75" customHeight="1" x14ac:dyDescent="0.25">
      <c r="A68" s="306"/>
      <c r="B68" s="115"/>
      <c r="C68" s="115"/>
      <c r="D68" s="438"/>
      <c r="E68" s="455"/>
      <c r="F68" s="516"/>
      <c r="G68" s="453"/>
      <c r="H68" s="453"/>
      <c r="I68" s="453"/>
      <c r="J68" s="453"/>
      <c r="K68" s="453"/>
      <c r="L68" s="453"/>
      <c r="M68" s="453"/>
      <c r="N68" s="453"/>
      <c r="O68" s="453"/>
      <c r="P68" s="115"/>
      <c r="Q68" s="233"/>
      <c r="R68" s="233"/>
      <c r="S68" s="233"/>
      <c r="T68" s="233"/>
      <c r="U68" s="233"/>
      <c r="V68" s="233"/>
      <c r="W68" s="115"/>
    </row>
    <row r="69" spans="1:23" ht="12.75" customHeight="1" x14ac:dyDescent="0.25">
      <c r="A69" s="306"/>
      <c r="B69" s="115"/>
      <c r="C69" s="115"/>
      <c r="D69" s="1746" t="s">
        <v>526</v>
      </c>
      <c r="E69" s="1747"/>
      <c r="F69" s="1806"/>
      <c r="G69" s="1748"/>
      <c r="H69" s="1748"/>
      <c r="I69" s="1749"/>
      <c r="J69" s="1749">
        <v>2025</v>
      </c>
      <c r="K69" s="1749">
        <v>2026</v>
      </c>
      <c r="L69" s="1749">
        <v>2027</v>
      </c>
      <c r="M69" s="1749">
        <v>2028</v>
      </c>
      <c r="N69" s="1749">
        <v>2029</v>
      </c>
      <c r="O69" s="1749">
        <v>2030</v>
      </c>
      <c r="P69" s="115"/>
      <c r="Q69" s="36"/>
      <c r="R69" s="36"/>
      <c r="S69" s="36"/>
      <c r="T69" s="36"/>
      <c r="U69" s="36"/>
      <c r="V69" s="36"/>
      <c r="W69" s="115"/>
    </row>
    <row r="70" spans="1:23" ht="12.75" customHeight="1" x14ac:dyDescent="0.25">
      <c r="A70" s="306"/>
      <c r="B70" s="115"/>
      <c r="C70" s="115"/>
      <c r="D70" s="1808" t="str">
        <f>+G201</f>
        <v>Waarschuwingsborden en wegwijzers</v>
      </c>
      <c r="E70" s="616"/>
      <c r="F70" s="1014"/>
      <c r="G70" s="618"/>
      <c r="H70" s="618"/>
      <c r="I70" s="518"/>
      <c r="J70" s="457">
        <v>-838</v>
      </c>
      <c r="K70" s="457">
        <v>-860</v>
      </c>
      <c r="L70" s="457">
        <f t="shared" ref="L70:M70" si="67">+L204</f>
        <v>-878</v>
      </c>
      <c r="M70" s="457">
        <f t="shared" si="67"/>
        <v>-898</v>
      </c>
      <c r="N70" s="457">
        <f t="shared" ref="N70:O70" si="68">+N204</f>
        <v>-919</v>
      </c>
      <c r="O70" s="457">
        <f t="shared" si="68"/>
        <v>-940</v>
      </c>
      <c r="P70" s="115"/>
      <c r="Q70" s="233"/>
      <c r="R70" s="233"/>
      <c r="S70" s="233"/>
      <c r="T70" s="233"/>
      <c r="U70" s="233"/>
      <c r="V70" s="233"/>
      <c r="W70" s="115"/>
    </row>
    <row r="71" spans="1:23" ht="12.75" customHeight="1" x14ac:dyDescent="0.25">
      <c r="A71" s="306"/>
      <c r="B71" s="115"/>
      <c r="C71" s="115"/>
      <c r="D71" s="454"/>
      <c r="E71" s="455"/>
      <c r="F71" s="516"/>
      <c r="G71" s="453"/>
      <c r="H71" s="453"/>
      <c r="I71" s="518"/>
      <c r="J71" s="457"/>
      <c r="K71" s="457"/>
      <c r="L71" s="457"/>
      <c r="M71" s="457"/>
      <c r="N71" s="457"/>
      <c r="O71" s="457"/>
      <c r="P71" s="115"/>
      <c r="Q71" s="233"/>
      <c r="R71" s="233"/>
      <c r="S71" s="233"/>
      <c r="T71" s="233"/>
      <c r="U71" s="233"/>
      <c r="V71" s="233"/>
      <c r="W71" s="115"/>
    </row>
    <row r="72" spans="1:23" ht="12.75" customHeight="1" x14ac:dyDescent="0.25">
      <c r="A72" s="306"/>
      <c r="B72" s="115"/>
      <c r="C72" s="115"/>
      <c r="D72" s="454" t="str">
        <f>+G206</f>
        <v>Bereikbaarheidsagenda</v>
      </c>
      <c r="E72" s="455"/>
      <c r="F72" s="516"/>
      <c r="G72" s="453"/>
      <c r="H72" s="453"/>
      <c r="I72" s="518"/>
      <c r="J72" s="457">
        <v>-66000</v>
      </c>
      <c r="K72" s="457">
        <f t="shared" ref="K72" si="69">+K209</f>
        <v>-66000</v>
      </c>
      <c r="L72" s="457">
        <f t="shared" ref="L72:M72" si="70">+L209</f>
        <v>-20000</v>
      </c>
      <c r="M72" s="457">
        <f t="shared" si="70"/>
        <v>-20000</v>
      </c>
      <c r="N72" s="457">
        <f t="shared" ref="N72:O72" si="71">+N209</f>
        <v>-20000</v>
      </c>
      <c r="O72" s="457">
        <f t="shared" si="71"/>
        <v>-20000</v>
      </c>
      <c r="P72" s="114"/>
      <c r="Q72" s="233"/>
      <c r="R72" s="233"/>
      <c r="S72" s="233"/>
      <c r="T72" s="233"/>
      <c r="U72" s="233"/>
      <c r="V72" s="233"/>
      <c r="W72" s="115"/>
    </row>
    <row r="73" spans="1:23" ht="12.75" customHeight="1" x14ac:dyDescent="0.25">
      <c r="A73" s="306"/>
      <c r="B73" s="115"/>
      <c r="C73" s="115"/>
      <c r="D73" s="454" t="str">
        <f>+G211</f>
        <v>Mensgerichte verkeerseducatie</v>
      </c>
      <c r="E73" s="455"/>
      <c r="F73" s="516"/>
      <c r="G73" s="453"/>
      <c r="H73" s="453"/>
      <c r="I73" s="518"/>
      <c r="J73" s="457">
        <v>-14855</v>
      </c>
      <c r="K73" s="457">
        <f t="shared" ref="K73" si="72">+K214</f>
        <v>-15241</v>
      </c>
      <c r="L73" s="457">
        <f t="shared" ref="L73:M73" si="73">+L214</f>
        <v>-15561</v>
      </c>
      <c r="M73" s="457">
        <f t="shared" si="73"/>
        <v>-15919</v>
      </c>
      <c r="N73" s="457">
        <f t="shared" ref="N73:O73" si="74">+N214</f>
        <v>-16285</v>
      </c>
      <c r="O73" s="457">
        <f t="shared" si="74"/>
        <v>-16660</v>
      </c>
      <c r="P73" s="114"/>
      <c r="Q73" s="233"/>
      <c r="R73" s="233"/>
      <c r="S73" s="233"/>
      <c r="T73" s="233"/>
      <c r="U73" s="233"/>
      <c r="V73" s="233"/>
      <c r="W73" s="115"/>
    </row>
    <row r="74" spans="1:23" ht="12.75" customHeight="1" x14ac:dyDescent="0.25">
      <c r="A74" s="306"/>
      <c r="B74" s="115"/>
      <c r="C74" s="115"/>
      <c r="D74" s="454" t="str">
        <f>+G216</f>
        <v>Wegen binnen de bebouwde kom</v>
      </c>
      <c r="E74" s="455"/>
      <c r="F74" s="516"/>
      <c r="G74" s="453"/>
      <c r="H74" s="453"/>
      <c r="I74" s="518"/>
      <c r="J74" s="457">
        <v>-8805</v>
      </c>
      <c r="K74" s="457">
        <f t="shared" ref="K74" si="75">+K220</f>
        <v>-9034</v>
      </c>
      <c r="L74" s="457">
        <f t="shared" ref="L74:M74" si="76">+L220</f>
        <v>-9223</v>
      </c>
      <c r="M74" s="457">
        <f t="shared" si="76"/>
        <v>-9435</v>
      </c>
      <c r="N74" s="457">
        <f t="shared" ref="N74:O74" si="77">+N220</f>
        <v>-9652</v>
      </c>
      <c r="O74" s="457">
        <f t="shared" si="77"/>
        <v>-9874</v>
      </c>
      <c r="P74" s="114"/>
      <c r="Q74" s="233"/>
      <c r="R74" s="233"/>
      <c r="S74" s="233"/>
      <c r="T74" s="233"/>
      <c r="U74" s="233"/>
      <c r="V74" s="233"/>
      <c r="W74" s="115"/>
    </row>
    <row r="75" spans="1:23" ht="12.75" customHeight="1" x14ac:dyDescent="0.25">
      <c r="A75" s="306"/>
      <c r="B75" s="115"/>
      <c r="C75" s="115"/>
      <c r="D75" s="454" t="str">
        <f>+G222</f>
        <v>Het maken van inritten</v>
      </c>
      <c r="E75" s="455"/>
      <c r="F75" s="516"/>
      <c r="G75" s="453"/>
      <c r="H75" s="453"/>
      <c r="I75" s="518"/>
      <c r="J75" s="457">
        <v>-30202</v>
      </c>
      <c r="K75" s="457">
        <f t="shared" ref="K75" si="78">+K225</f>
        <v>-30987</v>
      </c>
      <c r="L75" s="457">
        <f t="shared" ref="L75:M75" si="79">+L225</f>
        <v>-31638</v>
      </c>
      <c r="M75" s="457">
        <f t="shared" si="79"/>
        <v>-32366</v>
      </c>
      <c r="N75" s="457">
        <f t="shared" ref="N75:O75" si="80">+N225</f>
        <v>-33110</v>
      </c>
      <c r="O75" s="457">
        <f t="shared" si="80"/>
        <v>-33872</v>
      </c>
      <c r="P75" s="114"/>
      <c r="Q75" s="233"/>
      <c r="R75" s="233"/>
      <c r="S75" s="233"/>
      <c r="T75" s="233"/>
      <c r="U75" s="233"/>
      <c r="V75" s="233"/>
      <c r="W75" s="115"/>
    </row>
    <row r="76" spans="1:23" ht="12.75" customHeight="1" x14ac:dyDescent="0.25">
      <c r="A76" s="306"/>
      <c r="B76" s="115"/>
      <c r="C76" s="115"/>
      <c r="D76" s="454" t="str">
        <f>+G227</f>
        <v>Straatverlichting</v>
      </c>
      <c r="E76" s="455"/>
      <c r="F76" s="516"/>
      <c r="G76" s="453"/>
      <c r="H76" s="453"/>
      <c r="I76" s="518"/>
      <c r="J76" s="457">
        <v>-7883</v>
      </c>
      <c r="K76" s="457">
        <f t="shared" ref="K76" si="81">+K231</f>
        <v>-8088</v>
      </c>
      <c r="L76" s="457">
        <f t="shared" ref="L76:M76" si="82">+L231</f>
        <v>-8258</v>
      </c>
      <c r="M76" s="457">
        <f t="shared" si="82"/>
        <v>-8448</v>
      </c>
      <c r="N76" s="457">
        <f t="shared" ref="N76:O76" si="83">+N231</f>
        <v>-8642</v>
      </c>
      <c r="O76" s="457">
        <f t="shared" si="83"/>
        <v>-8841</v>
      </c>
      <c r="P76" s="114"/>
      <c r="Q76" s="233"/>
      <c r="R76" s="233"/>
      <c r="S76" s="233"/>
      <c r="T76" s="233"/>
      <c r="U76" s="233"/>
      <c r="V76" s="233"/>
      <c r="W76" s="115"/>
    </row>
    <row r="77" spans="1:23" ht="12.75" customHeight="1" x14ac:dyDescent="0.25">
      <c r="A77" s="306"/>
      <c r="B77" s="115"/>
      <c r="C77" s="115"/>
      <c r="D77" s="454" t="str">
        <f>+G233</f>
        <v>Reiniging openbare ruimte</v>
      </c>
      <c r="E77" s="455"/>
      <c r="F77" s="516"/>
      <c r="G77" s="453"/>
      <c r="H77" s="453"/>
      <c r="I77" s="518"/>
      <c r="J77" s="463">
        <v>-359960</v>
      </c>
      <c r="K77" s="463">
        <f t="shared" ref="K77" si="84">+K236</f>
        <v>-414368</v>
      </c>
      <c r="L77" s="463">
        <f t="shared" ref="L77:M77" si="85">+L236</f>
        <v>-442410</v>
      </c>
      <c r="M77" s="463">
        <f t="shared" si="85"/>
        <v>-469930</v>
      </c>
      <c r="N77" s="463">
        <f t="shared" ref="N77:O77" si="86">+N236</f>
        <v>-498072</v>
      </c>
      <c r="O77" s="463">
        <f t="shared" si="86"/>
        <v>-526614</v>
      </c>
      <c r="P77" s="114"/>
      <c r="Q77" s="233"/>
      <c r="R77" s="233"/>
      <c r="S77" s="233"/>
      <c r="T77" s="233"/>
      <c r="U77" s="233"/>
      <c r="V77" s="233"/>
      <c r="W77" s="115"/>
    </row>
    <row r="78" spans="1:23" ht="12.75" customHeight="1" x14ac:dyDescent="0.25">
      <c r="A78" s="306"/>
      <c r="B78" s="115"/>
      <c r="C78" s="115"/>
      <c r="D78" s="464"/>
      <c r="E78" s="465"/>
      <c r="F78" s="1015"/>
      <c r="G78" s="467"/>
      <c r="H78" s="467"/>
      <c r="I78" s="518"/>
      <c r="J78" s="463"/>
      <c r="K78" s="463"/>
      <c r="L78" s="463"/>
      <c r="M78" s="463"/>
      <c r="N78" s="463"/>
      <c r="O78" s="463"/>
      <c r="P78" s="115"/>
      <c r="Q78" s="233"/>
      <c r="R78" s="233"/>
      <c r="S78" s="233"/>
      <c r="T78" s="233"/>
      <c r="U78" s="233"/>
      <c r="V78" s="233"/>
      <c r="W78" s="115"/>
    </row>
    <row r="79" spans="1:23" ht="12.75" customHeight="1" x14ac:dyDescent="0.25">
      <c r="A79" s="306"/>
      <c r="B79" s="115"/>
      <c r="C79" s="115"/>
      <c r="D79" s="1751" t="s">
        <v>328</v>
      </c>
      <c r="E79" s="1752"/>
      <c r="F79" s="1771"/>
      <c r="G79" s="1754"/>
      <c r="H79" s="1754"/>
      <c r="I79" s="1757"/>
      <c r="J79" s="1871">
        <v>-488543</v>
      </c>
      <c r="K79" s="1871">
        <f>SUM(K70:K78)</f>
        <v>-544578</v>
      </c>
      <c r="L79" s="1871">
        <f>SUM(L70:L78)</f>
        <v>-527968</v>
      </c>
      <c r="M79" s="1871">
        <f>SUM(M70:M78)</f>
        <v>-556996</v>
      </c>
      <c r="N79" s="1871">
        <f>SUM(N70:N78)</f>
        <v>-586680</v>
      </c>
      <c r="O79" s="1871">
        <f>SUM(O70:O78)</f>
        <v>-616801</v>
      </c>
      <c r="P79" s="115"/>
      <c r="Q79" s="233"/>
      <c r="R79" s="233"/>
      <c r="S79" s="233"/>
      <c r="T79" s="233"/>
      <c r="U79" s="233"/>
      <c r="V79" s="233"/>
      <c r="W79" s="115"/>
    </row>
    <row r="80" spans="1:23" ht="12.75" customHeight="1" x14ac:dyDescent="0.25">
      <c r="A80" s="306"/>
      <c r="B80" s="115"/>
      <c r="C80" s="115"/>
      <c r="D80" s="438"/>
      <c r="E80" s="455"/>
      <c r="F80" s="516"/>
      <c r="G80" s="453"/>
      <c r="H80" s="453"/>
      <c r="I80" s="453"/>
      <c r="J80" s="469"/>
      <c r="K80" s="469"/>
      <c r="L80" s="469"/>
      <c r="M80" s="469"/>
      <c r="N80" s="469"/>
      <c r="O80" s="469"/>
      <c r="P80" s="115"/>
      <c r="Q80" s="233"/>
      <c r="R80" s="233"/>
      <c r="S80" s="233"/>
      <c r="T80" s="233"/>
      <c r="U80" s="233"/>
      <c r="V80" s="233"/>
      <c r="W80" s="115"/>
    </row>
    <row r="81" spans="1:23" ht="12.75" customHeight="1" x14ac:dyDescent="0.25">
      <c r="A81" s="306"/>
      <c r="B81" s="115"/>
      <c r="C81" s="115"/>
      <c r="D81" s="1751" t="s">
        <v>527</v>
      </c>
      <c r="E81" s="1756"/>
      <c r="F81" s="1756"/>
      <c r="G81" s="1754"/>
      <c r="H81" s="1754"/>
      <c r="I81" s="1754"/>
      <c r="J81" s="1758">
        <v>3136411.2600000002</v>
      </c>
      <c r="K81" s="1758">
        <f>K67+K79</f>
        <v>3607958.8842720501</v>
      </c>
      <c r="L81" s="1758">
        <f>L67+L79</f>
        <v>4331142.9189856518</v>
      </c>
      <c r="M81" s="1758">
        <f>M67+M79</f>
        <v>4718653.7529349346</v>
      </c>
      <c r="N81" s="1758">
        <f>N67+N79</f>
        <v>5323774.0119816819</v>
      </c>
      <c r="O81" s="1758">
        <f>O67+O79</f>
        <v>3447119.3319816818</v>
      </c>
      <c r="P81" s="115"/>
      <c r="Q81" s="115"/>
      <c r="R81" s="115"/>
      <c r="S81" s="115"/>
      <c r="T81" s="115"/>
      <c r="U81" s="115"/>
      <c r="V81" s="115"/>
      <c r="W81" s="115"/>
    </row>
    <row r="82" spans="1:23" ht="12.75" customHeight="1" x14ac:dyDescent="0.25">
      <c r="A82" s="306"/>
      <c r="B82" s="115"/>
      <c r="C82" s="115"/>
      <c r="D82" s="438"/>
      <c r="E82" s="455"/>
      <c r="F82" s="516"/>
      <c r="G82" s="453"/>
      <c r="H82" s="453"/>
      <c r="I82" s="453"/>
      <c r="J82" s="469"/>
      <c r="K82" s="469"/>
      <c r="L82" s="469"/>
      <c r="M82" s="469"/>
      <c r="N82" s="469"/>
      <c r="O82" s="469"/>
      <c r="P82" s="115"/>
      <c r="Q82" s="115"/>
      <c r="R82" s="115"/>
      <c r="S82" s="115"/>
      <c r="T82" s="115"/>
      <c r="U82" s="115"/>
      <c r="V82" s="115"/>
      <c r="W82" s="115"/>
    </row>
    <row r="83" spans="1:23" ht="12.75" customHeight="1" x14ac:dyDescent="0.25">
      <c r="A83" s="306"/>
      <c r="B83" s="115"/>
      <c r="C83" s="115"/>
      <c r="D83" s="453"/>
      <c r="E83" s="453"/>
      <c r="F83" s="438"/>
      <c r="G83" s="115"/>
      <c r="H83" s="453"/>
      <c r="I83" s="453"/>
      <c r="J83" s="469"/>
      <c r="K83" s="469"/>
      <c r="L83" s="469"/>
      <c r="M83" s="469"/>
      <c r="N83" s="469"/>
      <c r="O83" s="469"/>
      <c r="P83" s="115"/>
      <c r="Q83" s="115"/>
      <c r="R83" s="115"/>
      <c r="S83" s="115"/>
      <c r="T83" s="115"/>
      <c r="U83" s="115"/>
      <c r="V83" s="115"/>
      <c r="W83" s="115"/>
    </row>
    <row r="84" spans="1:23" ht="12.75" customHeight="1" x14ac:dyDescent="0.25">
      <c r="A84" s="306"/>
      <c r="B84" s="115"/>
      <c r="C84" s="115"/>
      <c r="D84" s="438"/>
      <c r="E84" s="438"/>
      <c r="F84" s="438"/>
      <c r="G84" s="453"/>
      <c r="H84" s="453"/>
      <c r="I84" s="453"/>
      <c r="J84" s="469"/>
      <c r="K84" s="469"/>
      <c r="L84" s="469"/>
      <c r="M84" s="469"/>
      <c r="N84" s="469"/>
      <c r="O84" s="469"/>
      <c r="P84" s="115"/>
      <c r="Q84" s="115"/>
      <c r="R84" s="115"/>
      <c r="S84" s="115"/>
      <c r="T84" s="115"/>
      <c r="U84" s="115"/>
      <c r="V84" s="115"/>
      <c r="W84" s="115"/>
    </row>
    <row r="85" spans="1:23" ht="12.75" customHeight="1" x14ac:dyDescent="0.25">
      <c r="A85" s="306"/>
      <c r="B85" s="115"/>
      <c r="C85" s="115"/>
      <c r="D85" s="438"/>
      <c r="E85" s="438"/>
      <c r="F85" s="438"/>
      <c r="G85" s="453"/>
      <c r="H85" s="453"/>
      <c r="I85" s="453"/>
      <c r="J85" s="114"/>
      <c r="K85" s="114"/>
      <c r="L85" s="114"/>
      <c r="M85" s="114"/>
      <c r="N85" s="114"/>
      <c r="O85" s="114"/>
      <c r="P85" s="115"/>
      <c r="Q85" s="115"/>
      <c r="R85" s="115"/>
      <c r="S85" s="115"/>
      <c r="T85" s="115"/>
      <c r="U85" s="115"/>
      <c r="V85" s="115"/>
      <c r="W85" s="115"/>
    </row>
    <row r="86" spans="1:23" ht="12.75" customHeight="1" x14ac:dyDescent="0.25">
      <c r="A86" s="306"/>
      <c r="B86" s="115"/>
      <c r="C86" s="115"/>
      <c r="D86" s="312" t="s">
        <v>528</v>
      </c>
      <c r="E86" s="312"/>
      <c r="F86" s="312"/>
      <c r="G86" s="115"/>
      <c r="H86" s="115"/>
      <c r="I86" s="115"/>
      <c r="J86" s="115"/>
      <c r="K86" s="115"/>
      <c r="L86" s="115"/>
      <c r="M86" s="115"/>
      <c r="N86" s="115"/>
      <c r="O86" s="115"/>
      <c r="P86" s="115"/>
      <c r="Q86" s="115"/>
      <c r="R86" s="115"/>
      <c r="S86" s="115"/>
      <c r="T86" s="115"/>
      <c r="U86" s="115"/>
      <c r="V86" s="115"/>
      <c r="W86" s="115"/>
    </row>
    <row r="87" spans="1:23" ht="12.75" customHeight="1" x14ac:dyDescent="0.25">
      <c r="A87" s="306"/>
      <c r="B87" s="115"/>
      <c r="C87" s="115"/>
      <c r="D87" s="301"/>
      <c r="E87" s="301"/>
      <c r="F87" s="301"/>
      <c r="G87" s="115"/>
      <c r="H87" s="115"/>
      <c r="I87" s="115"/>
      <c r="J87" s="114"/>
      <c r="K87" s="114"/>
      <c r="L87" s="114"/>
      <c r="M87" s="114"/>
      <c r="N87" s="114"/>
      <c r="O87" s="114"/>
      <c r="P87" s="115"/>
      <c r="Q87" s="115"/>
      <c r="R87" s="115"/>
      <c r="S87" s="115"/>
      <c r="T87" s="115"/>
      <c r="U87" s="115"/>
      <c r="V87" s="115"/>
      <c r="W87" s="115"/>
    </row>
    <row r="88" spans="1:23" ht="12.75" customHeight="1" x14ac:dyDescent="0.25">
      <c r="A88" s="470"/>
      <c r="B88" s="453"/>
      <c r="C88" s="453"/>
      <c r="D88" s="2523" t="s">
        <v>529</v>
      </c>
      <c r="E88" s="1875" t="s">
        <v>530</v>
      </c>
      <c r="F88" s="2523" t="s">
        <v>531</v>
      </c>
      <c r="G88" s="2526" t="s">
        <v>206</v>
      </c>
      <c r="H88" s="2525"/>
      <c r="I88" s="1773"/>
      <c r="J88" s="1763"/>
      <c r="K88" s="1763"/>
      <c r="L88" s="1763"/>
      <c r="M88" s="1763"/>
      <c r="N88" s="1763"/>
      <c r="O88" s="1763"/>
      <c r="P88" s="453"/>
      <c r="Q88" s="453"/>
      <c r="R88" s="453"/>
      <c r="S88" s="453"/>
      <c r="T88" s="453"/>
      <c r="U88" s="453"/>
      <c r="V88" s="166"/>
      <c r="W88" s="453"/>
    </row>
    <row r="89" spans="1:23" ht="12.75" customHeight="1" x14ac:dyDescent="0.25">
      <c r="A89" s="470"/>
      <c r="B89" s="453"/>
      <c r="C89" s="453"/>
      <c r="D89" s="2523"/>
      <c r="E89" s="1222" t="s">
        <v>532</v>
      </c>
      <c r="F89" s="2566"/>
      <c r="G89" s="2573"/>
      <c r="H89" s="2568"/>
      <c r="I89" s="521"/>
      <c r="J89" s="1764">
        <v>2025</v>
      </c>
      <c r="K89" s="1764">
        <v>2026</v>
      </c>
      <c r="L89" s="1764">
        <v>2027</v>
      </c>
      <c r="M89" s="1764">
        <v>2028</v>
      </c>
      <c r="N89" s="1764">
        <v>2029</v>
      </c>
      <c r="O89" s="1764">
        <v>2030</v>
      </c>
      <c r="P89" s="453"/>
      <c r="Q89" s="453"/>
      <c r="R89" s="453"/>
      <c r="S89" s="453"/>
      <c r="T89" s="453"/>
      <c r="U89" s="453"/>
      <c r="V89" s="166"/>
      <c r="W89" s="453"/>
    </row>
    <row r="90" spans="1:23" ht="12.75" customHeight="1" x14ac:dyDescent="0.25">
      <c r="A90" s="336"/>
      <c r="B90" s="115"/>
      <c r="C90" s="115"/>
      <c r="D90" s="333">
        <v>617001</v>
      </c>
      <c r="E90" s="331"/>
      <c r="F90" s="331"/>
      <c r="G90" s="381" t="s">
        <v>2816</v>
      </c>
      <c r="H90" s="115"/>
      <c r="I90" s="316"/>
      <c r="J90" s="335"/>
      <c r="K90" s="335"/>
      <c r="L90" s="335"/>
      <c r="M90" s="335"/>
      <c r="N90" s="335"/>
      <c r="O90" s="335"/>
      <c r="P90" s="115"/>
      <c r="Q90" s="115"/>
      <c r="R90" s="115"/>
      <c r="S90" s="115"/>
      <c r="T90" s="115"/>
      <c r="U90" s="115"/>
      <c r="V90" s="115"/>
      <c r="W90" s="115"/>
    </row>
    <row r="91" spans="1:23" ht="12.75" customHeight="1" x14ac:dyDescent="0.25">
      <c r="A91" s="306"/>
      <c r="B91" s="115"/>
      <c r="C91" s="115"/>
      <c r="D91" s="333"/>
      <c r="E91" s="331"/>
      <c r="F91" s="385"/>
      <c r="G91" s="383" t="s">
        <v>533</v>
      </c>
      <c r="H91" s="115"/>
      <c r="I91" s="316"/>
      <c r="J91" s="335"/>
      <c r="K91" s="335"/>
      <c r="L91" s="335"/>
      <c r="M91" s="335"/>
      <c r="N91" s="335"/>
      <c r="O91" s="335"/>
      <c r="P91" s="115"/>
      <c r="Q91" s="115"/>
      <c r="R91" s="115"/>
      <c r="S91" s="115"/>
      <c r="T91" s="115"/>
      <c r="U91" s="115"/>
      <c r="V91" s="115"/>
      <c r="W91" s="115"/>
    </row>
    <row r="92" spans="1:23" ht="12.75" customHeight="1" x14ac:dyDescent="0.25">
      <c r="A92" s="336">
        <f>+D90</f>
        <v>617001</v>
      </c>
      <c r="B92" s="115" t="str">
        <f>G90</f>
        <v>Straatnaamgeving en huisnummering</v>
      </c>
      <c r="C92" s="115"/>
      <c r="D92" s="337">
        <v>43812</v>
      </c>
      <c r="E92" s="337"/>
      <c r="F92" s="337"/>
      <c r="G92" s="319" t="s">
        <v>535</v>
      </c>
      <c r="H92" s="115"/>
      <c r="I92" s="318"/>
      <c r="J92" s="318">
        <v>1184</v>
      </c>
      <c r="K92" s="318">
        <v>1215</v>
      </c>
      <c r="L92" s="318">
        <f t="shared" ref="L92:M92" si="87">+L322</f>
        <v>1241</v>
      </c>
      <c r="M92" s="318">
        <f t="shared" si="87"/>
        <v>1270</v>
      </c>
      <c r="N92" s="318">
        <f t="shared" ref="N92:O92" si="88">+N322</f>
        <v>1299</v>
      </c>
      <c r="O92" s="318">
        <f t="shared" si="88"/>
        <v>1329</v>
      </c>
      <c r="P92" s="115"/>
      <c r="Q92" s="115"/>
      <c r="R92" s="115"/>
      <c r="S92" s="115"/>
      <c r="T92" s="115"/>
      <c r="U92" s="115"/>
      <c r="V92" s="115"/>
      <c r="W92" s="115"/>
    </row>
    <row r="93" spans="1:23" ht="12.75" customHeight="1" thickBot="1" x14ac:dyDescent="0.3">
      <c r="A93" s="336"/>
      <c r="B93" s="115"/>
      <c r="C93" s="115"/>
      <c r="D93" s="340"/>
      <c r="E93" s="340"/>
      <c r="F93" s="346"/>
      <c r="G93" s="115" t="s">
        <v>536</v>
      </c>
      <c r="H93" s="115"/>
      <c r="I93" s="318"/>
      <c r="J93" s="342">
        <v>1184</v>
      </c>
      <c r="K93" s="342">
        <v>1215</v>
      </c>
      <c r="L93" s="342">
        <f t="shared" ref="L93:M93" si="89">SUM(L92:L92)</f>
        <v>1241</v>
      </c>
      <c r="M93" s="342">
        <f t="shared" si="89"/>
        <v>1270</v>
      </c>
      <c r="N93" s="342">
        <f t="shared" ref="N93:O93" si="90">SUM(N92:N92)</f>
        <v>1299</v>
      </c>
      <c r="O93" s="342">
        <f t="shared" si="90"/>
        <v>1329</v>
      </c>
      <c r="P93" s="115"/>
      <c r="Q93" s="115"/>
      <c r="R93" s="115"/>
      <c r="S93" s="115"/>
      <c r="T93" s="115"/>
      <c r="U93" s="115"/>
      <c r="V93" s="115"/>
      <c r="W93" s="115"/>
    </row>
    <row r="94" spans="1:23" ht="12.75" customHeight="1" thickTop="1" x14ac:dyDescent="0.25">
      <c r="A94" s="306"/>
      <c r="B94" s="115"/>
      <c r="C94" s="115"/>
      <c r="D94" s="340"/>
      <c r="E94" s="340"/>
      <c r="F94" s="346"/>
      <c r="G94" s="319"/>
      <c r="H94" s="115"/>
      <c r="I94" s="318"/>
      <c r="J94" s="317"/>
      <c r="K94" s="317"/>
      <c r="L94" s="317"/>
      <c r="M94" s="317"/>
      <c r="N94" s="317"/>
      <c r="O94" s="317"/>
      <c r="P94" s="115"/>
      <c r="Q94" s="115"/>
      <c r="R94" s="115"/>
      <c r="S94" s="115"/>
      <c r="T94" s="115"/>
      <c r="U94" s="115"/>
      <c r="V94" s="115"/>
      <c r="W94" s="115"/>
    </row>
    <row r="95" spans="1:23" ht="12.75" customHeight="1" x14ac:dyDescent="0.25">
      <c r="A95" s="306"/>
      <c r="B95" s="115"/>
      <c r="C95" s="115"/>
      <c r="D95" s="340"/>
      <c r="E95" s="340"/>
      <c r="F95" s="346"/>
      <c r="G95" s="319"/>
      <c r="H95" s="115"/>
      <c r="I95" s="318"/>
      <c r="J95" s="317"/>
      <c r="K95" s="317"/>
      <c r="L95" s="317"/>
      <c r="M95" s="317"/>
      <c r="N95" s="317"/>
      <c r="O95" s="317"/>
      <c r="P95" s="115"/>
      <c r="Q95" s="115"/>
      <c r="R95" s="115"/>
      <c r="S95" s="115"/>
      <c r="T95" s="115"/>
      <c r="U95" s="115"/>
      <c r="V95" s="115"/>
      <c r="W95" s="115"/>
    </row>
    <row r="96" spans="1:23" ht="12.75" customHeight="1" x14ac:dyDescent="0.25">
      <c r="A96" s="336"/>
      <c r="B96" s="115"/>
      <c r="C96" s="115"/>
      <c r="D96" s="333">
        <v>617002</v>
      </c>
      <c r="E96" s="331"/>
      <c r="F96" s="331"/>
      <c r="G96" s="332" t="s">
        <v>2817</v>
      </c>
      <c r="H96" s="115"/>
      <c r="I96" s="316"/>
      <c r="J96" s="335"/>
      <c r="K96" s="335"/>
      <c r="L96" s="335"/>
      <c r="M96" s="335"/>
      <c r="N96" s="335"/>
      <c r="O96" s="335"/>
      <c r="P96" s="115"/>
      <c r="Q96" s="115"/>
      <c r="R96" s="115"/>
      <c r="S96" s="115"/>
      <c r="T96" s="115"/>
      <c r="U96" s="115"/>
      <c r="V96" s="115"/>
      <c r="W96" s="115"/>
    </row>
    <row r="97" spans="1:23" ht="12.75" customHeight="1" x14ac:dyDescent="0.25">
      <c r="A97" s="336"/>
      <c r="B97" s="115"/>
      <c r="C97" s="115"/>
      <c r="D97" s="333"/>
      <c r="E97" s="331"/>
      <c r="F97" s="331"/>
      <c r="G97" s="334" t="s">
        <v>533</v>
      </c>
      <c r="H97" s="115"/>
      <c r="I97" s="316"/>
      <c r="J97" s="316"/>
      <c r="K97" s="316"/>
      <c r="L97" s="316"/>
      <c r="M97" s="316"/>
      <c r="N97" s="316"/>
      <c r="O97" s="316"/>
      <c r="P97" s="115"/>
      <c r="Q97" s="115"/>
      <c r="R97" s="115"/>
      <c r="S97" s="115"/>
      <c r="T97" s="115"/>
      <c r="U97" s="115"/>
      <c r="V97" s="115"/>
      <c r="W97" s="115"/>
    </row>
    <row r="98" spans="1:23" ht="12.75" customHeight="1" x14ac:dyDescent="0.25">
      <c r="A98" s="336">
        <f>+D96</f>
        <v>617002</v>
      </c>
      <c r="B98" s="115" t="str">
        <f>G96</f>
        <v>Waarschuwingsborden en wegwijzers</v>
      </c>
      <c r="C98" s="115"/>
      <c r="D98" s="337">
        <v>43812</v>
      </c>
      <c r="E98" s="337"/>
      <c r="F98" s="337"/>
      <c r="G98" s="319" t="s">
        <v>535</v>
      </c>
      <c r="H98" s="115"/>
      <c r="I98" s="318"/>
      <c r="J98" s="317">
        <v>11605</v>
      </c>
      <c r="K98" s="317">
        <v>11907</v>
      </c>
      <c r="L98" s="317">
        <f>+L332</f>
        <v>12157</v>
      </c>
      <c r="M98" s="317">
        <f>+M332</f>
        <v>12437</v>
      </c>
      <c r="N98" s="317">
        <f>+N332</f>
        <v>12723</v>
      </c>
      <c r="O98" s="317">
        <f>+O332</f>
        <v>13016</v>
      </c>
      <c r="P98" s="115"/>
      <c r="Q98" s="115"/>
      <c r="R98" s="115"/>
      <c r="S98" s="115"/>
      <c r="T98" s="115"/>
      <c r="U98" s="115"/>
      <c r="V98" s="115"/>
      <c r="W98" s="115"/>
    </row>
    <row r="99" spans="1:23" ht="12.75" customHeight="1" thickBot="1" x14ac:dyDescent="0.3">
      <c r="A99" s="336"/>
      <c r="B99" s="115"/>
      <c r="C99" s="115"/>
      <c r="D99" s="340"/>
      <c r="E99" s="340"/>
      <c r="F99" s="340"/>
      <c r="G99" s="319" t="s">
        <v>536</v>
      </c>
      <c r="H99" s="115"/>
      <c r="I99" s="318"/>
      <c r="J99" s="342">
        <v>11605</v>
      </c>
      <c r="K99" s="342">
        <v>11907</v>
      </c>
      <c r="L99" s="342">
        <f>SUM(L98:L98)</f>
        <v>12157</v>
      </c>
      <c r="M99" s="342">
        <f>SUM(M98:M98)</f>
        <v>12437</v>
      </c>
      <c r="N99" s="342">
        <f>SUM(N98:N98)</f>
        <v>12723</v>
      </c>
      <c r="O99" s="342">
        <f>SUM(O98:O98)</f>
        <v>13016</v>
      </c>
      <c r="P99" s="115"/>
      <c r="Q99" s="115"/>
      <c r="R99" s="115"/>
      <c r="S99" s="115"/>
      <c r="T99" s="115"/>
      <c r="U99" s="115"/>
      <c r="V99" s="115"/>
      <c r="W99" s="115"/>
    </row>
    <row r="100" spans="1:23" ht="12.75" customHeight="1" thickTop="1" x14ac:dyDescent="0.25">
      <c r="A100" s="336"/>
      <c r="B100" s="115"/>
      <c r="C100" s="115"/>
      <c r="D100" s="340"/>
      <c r="E100" s="340"/>
      <c r="F100" s="340"/>
      <c r="G100" s="319"/>
      <c r="H100" s="115"/>
      <c r="I100" s="318"/>
      <c r="J100" s="318"/>
      <c r="K100" s="318"/>
      <c r="L100" s="318"/>
      <c r="M100" s="318"/>
      <c r="N100" s="318"/>
      <c r="O100" s="318"/>
      <c r="P100" s="115"/>
      <c r="Q100" s="115"/>
      <c r="R100" s="115"/>
      <c r="S100" s="115"/>
      <c r="T100" s="115"/>
      <c r="U100" s="115"/>
      <c r="V100" s="115"/>
      <c r="W100" s="115"/>
    </row>
    <row r="101" spans="1:23" ht="12.75" customHeight="1" x14ac:dyDescent="0.25">
      <c r="A101" s="336"/>
      <c r="B101" s="115"/>
      <c r="C101" s="115"/>
      <c r="D101" s="333">
        <v>617003</v>
      </c>
      <c r="E101" s="331"/>
      <c r="F101" s="331"/>
      <c r="G101" s="332" t="s">
        <v>2818</v>
      </c>
      <c r="H101" s="115"/>
      <c r="I101" s="318"/>
      <c r="J101" s="318"/>
      <c r="K101" s="318"/>
      <c r="L101" s="318"/>
      <c r="M101" s="318"/>
      <c r="N101" s="318"/>
      <c r="O101" s="318"/>
      <c r="P101" s="115"/>
      <c r="Q101" s="115"/>
      <c r="R101" s="115"/>
      <c r="S101" s="115"/>
      <c r="T101" s="115"/>
      <c r="U101" s="115"/>
      <c r="V101" s="115"/>
      <c r="W101" s="115"/>
    </row>
    <row r="102" spans="1:23" ht="12.75" customHeight="1" x14ac:dyDescent="0.25">
      <c r="A102" s="336"/>
      <c r="B102" s="115"/>
      <c r="C102" s="115"/>
      <c r="D102" s="340"/>
      <c r="E102" s="340"/>
      <c r="F102" s="340"/>
      <c r="G102" s="334" t="s">
        <v>533</v>
      </c>
      <c r="H102" s="115"/>
      <c r="I102" s="318"/>
      <c r="J102" s="318"/>
      <c r="K102" s="318"/>
      <c r="L102" s="318"/>
      <c r="M102" s="318"/>
      <c r="N102" s="318"/>
      <c r="O102" s="318"/>
      <c r="P102" s="115"/>
      <c r="Q102" s="115"/>
      <c r="R102" s="115"/>
      <c r="S102" s="115"/>
      <c r="T102" s="115"/>
      <c r="U102" s="115"/>
      <c r="V102" s="115"/>
      <c r="W102" s="115"/>
    </row>
    <row r="103" spans="1:23" ht="12.75" customHeight="1" x14ac:dyDescent="0.25">
      <c r="A103" s="336">
        <f>+D101</f>
        <v>617003</v>
      </c>
      <c r="B103" s="115" t="str">
        <f>G101</f>
        <v>Maatregelen t.b.v. veilig verkeer</v>
      </c>
      <c r="C103" s="115"/>
      <c r="D103" s="337">
        <v>43812</v>
      </c>
      <c r="E103" s="337"/>
      <c r="F103" s="337"/>
      <c r="G103" s="319" t="s">
        <v>535</v>
      </c>
      <c r="H103" s="115"/>
      <c r="I103" s="318"/>
      <c r="J103" s="317">
        <v>3519</v>
      </c>
      <c r="K103" s="317">
        <v>3610</v>
      </c>
      <c r="L103" s="317">
        <f>+L341</f>
        <v>3686</v>
      </c>
      <c r="M103" s="317">
        <f>+M341</f>
        <v>3771</v>
      </c>
      <c r="N103" s="317">
        <f>+N341</f>
        <v>3858</v>
      </c>
      <c r="O103" s="317">
        <f>+O341</f>
        <v>3947</v>
      </c>
      <c r="P103" s="115"/>
      <c r="Q103" s="115"/>
      <c r="R103" s="115"/>
      <c r="S103" s="115"/>
      <c r="T103" s="115"/>
      <c r="U103" s="115"/>
      <c r="V103" s="115"/>
      <c r="W103" s="115"/>
    </row>
    <row r="104" spans="1:23" ht="12.75" customHeight="1" thickBot="1" x14ac:dyDescent="0.3">
      <c r="A104" s="336"/>
      <c r="B104" s="115"/>
      <c r="C104" s="115"/>
      <c r="D104" s="340"/>
      <c r="E104" s="340"/>
      <c r="F104" s="340"/>
      <c r="G104" s="319" t="s">
        <v>536</v>
      </c>
      <c r="H104" s="115"/>
      <c r="I104" s="318"/>
      <c r="J104" s="342">
        <v>3519</v>
      </c>
      <c r="K104" s="342">
        <v>3610</v>
      </c>
      <c r="L104" s="342">
        <f t="shared" ref="L104:M104" si="91">SUM(L102:L103)</f>
        <v>3686</v>
      </c>
      <c r="M104" s="342">
        <f t="shared" si="91"/>
        <v>3771</v>
      </c>
      <c r="N104" s="342">
        <f t="shared" ref="N104:O104" si="92">SUM(N102:N103)</f>
        <v>3858</v>
      </c>
      <c r="O104" s="342">
        <f t="shared" si="92"/>
        <v>3947</v>
      </c>
      <c r="P104" s="115"/>
      <c r="Q104" s="115"/>
      <c r="R104" s="115"/>
      <c r="S104" s="115"/>
      <c r="T104" s="115"/>
      <c r="U104" s="115"/>
      <c r="V104" s="115"/>
      <c r="W104" s="115"/>
    </row>
    <row r="105" spans="1:23" ht="12.75" customHeight="1" thickTop="1" x14ac:dyDescent="0.25">
      <c r="A105" s="336"/>
      <c r="B105" s="115"/>
      <c r="C105" s="115"/>
      <c r="D105" s="340"/>
      <c r="E105" s="340"/>
      <c r="F105" s="340"/>
      <c r="G105" s="319"/>
      <c r="H105" s="115"/>
      <c r="I105" s="318"/>
      <c r="J105" s="344"/>
      <c r="K105" s="344"/>
      <c r="L105" s="344"/>
      <c r="M105" s="344"/>
      <c r="N105" s="344"/>
      <c r="O105" s="344"/>
      <c r="P105" s="115"/>
      <c r="Q105" s="115"/>
      <c r="R105" s="115"/>
      <c r="S105" s="115"/>
      <c r="T105" s="115"/>
      <c r="U105" s="115"/>
      <c r="V105" s="115"/>
      <c r="W105" s="115"/>
    </row>
    <row r="106" spans="1:23" ht="12.75" customHeight="1" x14ac:dyDescent="0.25">
      <c r="A106" s="336"/>
      <c r="B106" s="115"/>
      <c r="C106" s="115"/>
      <c r="D106" s="333">
        <v>617004</v>
      </c>
      <c r="E106" s="331"/>
      <c r="F106" s="331"/>
      <c r="G106" s="332" t="s">
        <v>2819</v>
      </c>
      <c r="H106" s="115"/>
      <c r="I106" s="318"/>
      <c r="J106" s="317"/>
      <c r="K106" s="317"/>
      <c r="L106" s="317"/>
      <c r="M106" s="317"/>
      <c r="N106" s="317"/>
      <c r="O106" s="317"/>
      <c r="P106" s="115"/>
      <c r="Q106" s="115"/>
      <c r="R106" s="115"/>
      <c r="S106" s="115"/>
      <c r="T106" s="115"/>
      <c r="U106" s="115"/>
      <c r="V106" s="115"/>
      <c r="W106" s="115"/>
    </row>
    <row r="107" spans="1:23" ht="12.75" customHeight="1" x14ac:dyDescent="0.25">
      <c r="A107" s="336"/>
      <c r="B107" s="115"/>
      <c r="C107" s="115"/>
      <c r="D107" s="340"/>
      <c r="E107" s="340"/>
      <c r="F107" s="340"/>
      <c r="G107" s="334" t="s">
        <v>533</v>
      </c>
      <c r="H107" s="115"/>
      <c r="I107" s="318"/>
      <c r="J107" s="317"/>
      <c r="K107" s="317"/>
      <c r="L107" s="317"/>
      <c r="M107" s="317"/>
      <c r="N107" s="317"/>
      <c r="O107" s="317"/>
      <c r="P107" s="115"/>
      <c r="Q107" s="115"/>
      <c r="R107" s="115"/>
      <c r="S107" s="115"/>
      <c r="T107" s="115"/>
      <c r="U107" s="115"/>
      <c r="V107" s="115"/>
      <c r="W107" s="115"/>
    </row>
    <row r="108" spans="1:23" ht="12.75" customHeight="1" x14ac:dyDescent="0.25">
      <c r="A108" s="336">
        <f>+D106</f>
        <v>617004</v>
      </c>
      <c r="B108" s="115" t="str">
        <f>G106</f>
        <v>Verkeersregelinstallaties</v>
      </c>
      <c r="C108" s="115"/>
      <c r="D108" s="337">
        <v>43802</v>
      </c>
      <c r="E108" s="337"/>
      <c r="F108" s="337"/>
      <c r="G108" s="319" t="s">
        <v>2820</v>
      </c>
      <c r="H108" s="115"/>
      <c r="I108" s="318"/>
      <c r="J108" s="317">
        <v>11329</v>
      </c>
      <c r="K108" s="317">
        <v>11624</v>
      </c>
      <c r="L108" s="317">
        <f>+L358</f>
        <v>11868</v>
      </c>
      <c r="M108" s="317">
        <f>+M358</f>
        <v>12141</v>
      </c>
      <c r="N108" s="317">
        <f>+N358</f>
        <v>12420</v>
      </c>
      <c r="O108" s="317">
        <f>+O358</f>
        <v>12706</v>
      </c>
      <c r="P108" s="115"/>
      <c r="Q108" s="115"/>
      <c r="R108" s="115"/>
      <c r="S108" s="115"/>
      <c r="T108" s="115"/>
      <c r="U108" s="115"/>
      <c r="V108" s="115"/>
      <c r="W108" s="115"/>
    </row>
    <row r="109" spans="1:23" ht="12.75" customHeight="1" x14ac:dyDescent="0.25">
      <c r="A109" s="336">
        <f>+D106</f>
        <v>617004</v>
      </c>
      <c r="B109" s="115" t="str">
        <f>G106</f>
        <v>Verkeersregelinstallaties</v>
      </c>
      <c r="C109" s="115"/>
      <c r="D109" s="337">
        <v>43812</v>
      </c>
      <c r="E109" s="337"/>
      <c r="F109" s="337"/>
      <c r="G109" s="319" t="s">
        <v>535</v>
      </c>
      <c r="H109" s="115"/>
      <c r="I109" s="318"/>
      <c r="J109" s="318">
        <v>26448</v>
      </c>
      <c r="K109" s="318">
        <v>27135</v>
      </c>
      <c r="L109" s="318">
        <f>+L362</f>
        <v>27705</v>
      </c>
      <c r="M109" s="318">
        <f>+M362</f>
        <v>28342</v>
      </c>
      <c r="N109" s="318">
        <f>+N362</f>
        <v>28993</v>
      </c>
      <c r="O109" s="318">
        <f>+O362</f>
        <v>29660</v>
      </c>
      <c r="P109" s="115"/>
      <c r="Q109" s="115"/>
      <c r="R109" s="115"/>
      <c r="S109" s="115"/>
      <c r="T109" s="115"/>
      <c r="U109" s="115"/>
      <c r="V109" s="115"/>
      <c r="W109" s="115"/>
    </row>
    <row r="110" spans="1:23" ht="12.75" customHeight="1" thickBot="1" x14ac:dyDescent="0.3">
      <c r="A110" s="336"/>
      <c r="B110" s="115"/>
      <c r="C110" s="115"/>
      <c r="D110" s="340"/>
      <c r="E110" s="340"/>
      <c r="F110" s="340"/>
      <c r="G110" s="319" t="s">
        <v>536</v>
      </c>
      <c r="H110" s="115"/>
      <c r="I110" s="318"/>
      <c r="J110" s="342">
        <v>37777</v>
      </c>
      <c r="K110" s="342">
        <v>38759</v>
      </c>
      <c r="L110" s="342">
        <f>SUM(L108:L109)</f>
        <v>39573</v>
      </c>
      <c r="M110" s="342">
        <f>SUM(M108:M109)</f>
        <v>40483</v>
      </c>
      <c r="N110" s="342">
        <f>SUM(N108:N109)</f>
        <v>41413</v>
      </c>
      <c r="O110" s="342">
        <f>SUM(O108:O109)</f>
        <v>42366</v>
      </c>
      <c r="P110" s="115"/>
      <c r="Q110" s="115"/>
      <c r="R110" s="115"/>
      <c r="S110" s="115"/>
      <c r="T110" s="115"/>
      <c r="U110" s="115"/>
      <c r="V110" s="115"/>
      <c r="W110" s="115"/>
    </row>
    <row r="111" spans="1:23" ht="12.75" customHeight="1" thickTop="1" x14ac:dyDescent="0.25">
      <c r="A111" s="336"/>
      <c r="B111" s="115"/>
      <c r="C111" s="115"/>
      <c r="D111" s="340"/>
      <c r="E111" s="340"/>
      <c r="F111" s="340"/>
      <c r="G111" s="319"/>
      <c r="H111" s="115"/>
      <c r="I111" s="318"/>
      <c r="J111" s="317"/>
      <c r="K111" s="317"/>
      <c r="L111" s="317"/>
      <c r="M111" s="317"/>
      <c r="N111" s="317"/>
      <c r="O111" s="317"/>
      <c r="P111" s="115"/>
      <c r="Q111" s="115"/>
      <c r="R111" s="115"/>
      <c r="S111" s="115"/>
      <c r="T111" s="115"/>
      <c r="U111" s="115"/>
      <c r="V111" s="115"/>
      <c r="W111" s="115"/>
    </row>
    <row r="112" spans="1:23" ht="12.75" customHeight="1" x14ac:dyDescent="0.25">
      <c r="A112" s="336"/>
      <c r="B112" s="115"/>
      <c r="C112" s="115"/>
      <c r="D112" s="333">
        <v>617005</v>
      </c>
      <c r="E112" s="331"/>
      <c r="F112" s="331"/>
      <c r="G112" s="332" t="s">
        <v>2821</v>
      </c>
      <c r="H112" s="115"/>
      <c r="I112" s="318"/>
      <c r="J112" s="317"/>
      <c r="K112" s="317"/>
      <c r="L112" s="317"/>
      <c r="M112" s="317"/>
      <c r="N112" s="317"/>
      <c r="O112" s="317"/>
      <c r="P112" s="115"/>
      <c r="Q112" s="115"/>
      <c r="R112" s="115"/>
      <c r="S112" s="115"/>
      <c r="T112" s="115"/>
      <c r="U112" s="115"/>
      <c r="V112" s="115"/>
      <c r="W112" s="115"/>
    </row>
    <row r="113" spans="1:22" ht="12.75" customHeight="1" x14ac:dyDescent="0.25">
      <c r="A113" s="336"/>
      <c r="B113" s="115"/>
      <c r="C113" s="115"/>
      <c r="D113" s="340"/>
      <c r="E113" s="340"/>
      <c r="F113" s="340"/>
      <c r="G113" s="334" t="s">
        <v>533</v>
      </c>
      <c r="H113" s="115"/>
      <c r="I113" s="318"/>
      <c r="J113" s="317"/>
      <c r="K113" s="317"/>
      <c r="L113" s="317"/>
      <c r="M113" s="317"/>
      <c r="N113" s="317"/>
      <c r="O113" s="317"/>
      <c r="P113" s="115"/>
      <c r="Q113" s="115"/>
      <c r="R113" s="115"/>
      <c r="S113" s="115"/>
      <c r="T113" s="115"/>
      <c r="U113" s="115"/>
      <c r="V113" s="115"/>
    </row>
    <row r="114" spans="1:22" ht="12.75" customHeight="1" x14ac:dyDescent="0.25">
      <c r="A114" s="336">
        <f>+D112</f>
        <v>617005</v>
      </c>
      <c r="B114" s="115" t="str">
        <f>G112</f>
        <v>Verkeerstellingen</v>
      </c>
      <c r="C114" s="115"/>
      <c r="D114" s="337">
        <v>43812</v>
      </c>
      <c r="E114" s="337"/>
      <c r="F114" s="337"/>
      <c r="G114" s="319" t="s">
        <v>535</v>
      </c>
      <c r="H114" s="115"/>
      <c r="I114" s="318"/>
      <c r="J114" s="1223">
        <v>2719</v>
      </c>
      <c r="K114" s="1223">
        <v>2790</v>
      </c>
      <c r="L114" s="1223">
        <f>ROUND(K114*T$2,0)</f>
        <v>2849</v>
      </c>
      <c r="M114" s="1223">
        <f>ROUND(L114*U$2,0)</f>
        <v>2915</v>
      </c>
      <c r="N114" s="1223">
        <f>ROUND(M114*V$2,0)</f>
        <v>2982</v>
      </c>
      <c r="O114" s="1223">
        <f>ROUND(N114*W$2,0)</f>
        <v>3051</v>
      </c>
      <c r="P114" s="115"/>
      <c r="Q114" s="115"/>
      <c r="R114" s="115"/>
      <c r="S114" s="115"/>
      <c r="T114" s="115"/>
      <c r="U114" s="115"/>
      <c r="V114" s="115"/>
    </row>
    <row r="115" spans="1:22" ht="12.75" customHeight="1" thickBot="1" x14ac:dyDescent="0.3">
      <c r="A115" s="336"/>
      <c r="B115" s="115"/>
      <c r="C115" s="115"/>
      <c r="D115" s="340"/>
      <c r="E115" s="340"/>
      <c r="F115" s="340"/>
      <c r="G115" s="319" t="s">
        <v>536</v>
      </c>
      <c r="H115" s="115"/>
      <c r="I115" s="318"/>
      <c r="J115" s="342">
        <v>2719</v>
      </c>
      <c r="K115" s="342">
        <v>2790</v>
      </c>
      <c r="L115" s="342">
        <f>SUM(L114:L114)</f>
        <v>2849</v>
      </c>
      <c r="M115" s="342">
        <f>SUM(M114:M114)</f>
        <v>2915</v>
      </c>
      <c r="N115" s="342">
        <f>SUM(N114:N114)</f>
        <v>2982</v>
      </c>
      <c r="O115" s="342">
        <f>SUM(O114:O114)</f>
        <v>3051</v>
      </c>
      <c r="P115" s="115"/>
      <c r="Q115" s="115"/>
      <c r="R115" s="115"/>
      <c r="S115" s="115"/>
      <c r="T115" s="115"/>
      <c r="U115" s="115"/>
      <c r="V115" s="115"/>
    </row>
    <row r="116" spans="1:22" ht="12.75" customHeight="1" thickTop="1" x14ac:dyDescent="0.25">
      <c r="A116" s="336"/>
      <c r="B116" s="115"/>
      <c r="C116" s="115"/>
      <c r="D116" s="340"/>
      <c r="E116" s="340"/>
      <c r="F116" s="340"/>
      <c r="G116" s="319"/>
      <c r="H116" s="115"/>
      <c r="I116" s="318"/>
      <c r="J116" s="318"/>
      <c r="K116" s="318"/>
      <c r="L116" s="318"/>
      <c r="M116" s="318"/>
      <c r="N116" s="318"/>
      <c r="O116" s="318"/>
      <c r="P116" s="115"/>
      <c r="Q116" s="115"/>
      <c r="R116" s="115"/>
      <c r="S116" s="115"/>
      <c r="T116" s="115"/>
      <c r="U116" s="115"/>
      <c r="V116" s="115"/>
    </row>
    <row r="117" spans="1:22" ht="12.75" customHeight="1" x14ac:dyDescent="0.25">
      <c r="A117" s="336"/>
      <c r="B117" s="115"/>
      <c r="C117" s="115"/>
      <c r="D117" s="333">
        <v>617007</v>
      </c>
      <c r="E117" s="331"/>
      <c r="F117" s="331"/>
      <c r="G117" s="332" t="s">
        <v>2822</v>
      </c>
      <c r="H117" s="115"/>
      <c r="I117" s="318"/>
      <c r="J117" s="317"/>
      <c r="K117" s="317"/>
      <c r="L117" s="317"/>
      <c r="M117" s="317"/>
      <c r="N117" s="317"/>
      <c r="O117" s="317"/>
      <c r="P117" s="115"/>
      <c r="Q117" s="115"/>
      <c r="R117" s="115"/>
      <c r="S117" s="115"/>
      <c r="T117" s="115"/>
      <c r="U117" s="115"/>
      <c r="V117" s="115"/>
    </row>
    <row r="118" spans="1:22" ht="12.75" customHeight="1" x14ac:dyDescent="0.25">
      <c r="A118" s="336"/>
      <c r="B118" s="115"/>
      <c r="C118" s="115"/>
      <c r="D118" s="340"/>
      <c r="E118" s="340"/>
      <c r="F118" s="340"/>
      <c r="G118" s="334" t="s">
        <v>533</v>
      </c>
      <c r="H118" s="115"/>
      <c r="I118" s="318"/>
      <c r="J118" s="317"/>
      <c r="K118" s="317"/>
      <c r="L118" s="317"/>
      <c r="M118" s="317"/>
      <c r="N118" s="317"/>
      <c r="O118" s="317"/>
      <c r="P118" s="115"/>
      <c r="Q118" s="115"/>
      <c r="R118" s="115"/>
      <c r="S118" s="115"/>
      <c r="T118" s="115"/>
      <c r="U118" s="115"/>
      <c r="V118" s="115"/>
    </row>
    <row r="119" spans="1:22" ht="12.75" customHeight="1" x14ac:dyDescent="0.25">
      <c r="A119" s="336">
        <f>+D117</f>
        <v>617007</v>
      </c>
      <c r="B119" s="115" t="str">
        <f>+G117</f>
        <v>Bereikbaarheidsagenda</v>
      </c>
      <c r="C119" s="115"/>
      <c r="D119" s="337">
        <v>43812</v>
      </c>
      <c r="E119" s="337"/>
      <c r="F119" s="337"/>
      <c r="G119" s="319" t="s">
        <v>535</v>
      </c>
      <c r="H119" s="115"/>
      <c r="I119" s="318"/>
      <c r="J119" s="317">
        <v>172000</v>
      </c>
      <c r="K119" s="317">
        <v>218000</v>
      </c>
      <c r="L119" s="317">
        <f>+L375</f>
        <v>172000</v>
      </c>
      <c r="M119" s="317">
        <f>+M375</f>
        <v>172000</v>
      </c>
      <c r="N119" s="317">
        <f>+N375</f>
        <v>172000</v>
      </c>
      <c r="O119" s="317">
        <f>+O375</f>
        <v>172000</v>
      </c>
      <c r="P119" s="115"/>
      <c r="Q119" s="115"/>
      <c r="R119" s="115"/>
      <c r="S119" s="115"/>
      <c r="T119" s="115"/>
      <c r="U119" s="115"/>
      <c r="V119" s="115"/>
    </row>
    <row r="120" spans="1:22" ht="12.75" customHeight="1" thickBot="1" x14ac:dyDescent="0.3">
      <c r="A120" s="336"/>
      <c r="B120" s="115"/>
      <c r="C120" s="115"/>
      <c r="D120" s="340"/>
      <c r="E120" s="340"/>
      <c r="F120" s="340"/>
      <c r="G120" s="319" t="s">
        <v>536</v>
      </c>
      <c r="H120" s="115"/>
      <c r="I120" s="318"/>
      <c r="J120" s="342">
        <v>172000</v>
      </c>
      <c r="K120" s="342">
        <v>218000</v>
      </c>
      <c r="L120" s="342">
        <f t="shared" ref="L120:M120" si="93">SUM(L118:L119)</f>
        <v>172000</v>
      </c>
      <c r="M120" s="342">
        <f t="shared" si="93"/>
        <v>172000</v>
      </c>
      <c r="N120" s="342">
        <f t="shared" ref="N120:O120" si="94">SUM(N118:N119)</f>
        <v>172000</v>
      </c>
      <c r="O120" s="342">
        <f t="shared" si="94"/>
        <v>172000</v>
      </c>
      <c r="P120" s="115"/>
      <c r="Q120" s="115"/>
      <c r="R120" s="115"/>
      <c r="S120" s="115"/>
      <c r="T120" s="115"/>
      <c r="U120" s="115"/>
      <c r="V120" s="115"/>
    </row>
    <row r="121" spans="1:22" ht="12.75" customHeight="1" thickTop="1" x14ac:dyDescent="0.25">
      <c r="A121" s="336"/>
      <c r="B121" s="115"/>
      <c r="C121" s="115"/>
      <c r="D121" s="340"/>
      <c r="E121" s="622"/>
      <c r="F121" s="340"/>
      <c r="G121" s="319"/>
      <c r="H121" s="115"/>
      <c r="I121" s="318"/>
      <c r="J121" s="317"/>
      <c r="K121" s="317"/>
      <c r="L121" s="317"/>
      <c r="M121" s="317"/>
      <c r="N121" s="317"/>
      <c r="O121" s="317"/>
      <c r="P121" s="115"/>
      <c r="Q121" s="115"/>
      <c r="R121" s="115"/>
      <c r="S121" s="115"/>
      <c r="T121" s="115"/>
      <c r="U121" s="115"/>
      <c r="V121" s="115"/>
    </row>
    <row r="122" spans="1:22" ht="12.75" customHeight="1" x14ac:dyDescent="0.25">
      <c r="A122" s="336"/>
      <c r="B122" s="115"/>
      <c r="C122" s="115"/>
      <c r="D122" s="333">
        <v>617008</v>
      </c>
      <c r="E122" s="1022"/>
      <c r="F122" s="331"/>
      <c r="G122" s="332" t="s">
        <v>2823</v>
      </c>
      <c r="H122" s="115"/>
      <c r="I122" s="316"/>
      <c r="J122" s="335"/>
      <c r="K122" s="335"/>
      <c r="L122" s="335"/>
      <c r="M122" s="335"/>
      <c r="N122" s="335"/>
      <c r="O122" s="335"/>
      <c r="P122" s="115"/>
      <c r="Q122" s="115"/>
      <c r="R122" s="115"/>
      <c r="S122" s="115"/>
      <c r="T122" s="115"/>
      <c r="U122" s="115"/>
      <c r="V122" s="115"/>
    </row>
    <row r="123" spans="1:22" ht="12.75" customHeight="1" x14ac:dyDescent="0.25">
      <c r="A123" s="336"/>
      <c r="B123" s="115"/>
      <c r="C123" s="115"/>
      <c r="D123" s="333"/>
      <c r="E123" s="1022"/>
      <c r="F123" s="331"/>
      <c r="G123" s="334" t="s">
        <v>533</v>
      </c>
      <c r="H123" s="115"/>
      <c r="I123" s="316"/>
      <c r="J123" s="335"/>
      <c r="K123" s="335"/>
      <c r="L123" s="335"/>
      <c r="M123" s="335"/>
      <c r="N123" s="335"/>
      <c r="O123" s="335"/>
      <c r="P123" s="115"/>
      <c r="Q123" s="115"/>
      <c r="R123" s="115"/>
      <c r="S123" s="115"/>
      <c r="T123" s="115"/>
      <c r="U123" s="115"/>
      <c r="V123" s="115"/>
    </row>
    <row r="124" spans="1:22" ht="12.75" customHeight="1" x14ac:dyDescent="0.25">
      <c r="A124" s="336">
        <f>+D122</f>
        <v>617008</v>
      </c>
      <c r="B124" s="115" t="str">
        <f>+G122</f>
        <v>Overige verkeersmaatregelen</v>
      </c>
      <c r="C124" s="115"/>
      <c r="D124" s="337">
        <v>43812</v>
      </c>
      <c r="E124" s="551"/>
      <c r="F124" s="337"/>
      <c r="G124" s="319" t="s">
        <v>535</v>
      </c>
      <c r="H124" s="115"/>
      <c r="I124" s="318"/>
      <c r="J124" s="318">
        <v>1153</v>
      </c>
      <c r="K124" s="318">
        <v>1183</v>
      </c>
      <c r="L124" s="318">
        <f>+L380</f>
        <v>1208</v>
      </c>
      <c r="M124" s="318">
        <f>+M380</f>
        <v>1236</v>
      </c>
      <c r="N124" s="318">
        <f>+N380</f>
        <v>1264</v>
      </c>
      <c r="O124" s="318">
        <f>+O380</f>
        <v>1293</v>
      </c>
      <c r="P124" s="115"/>
      <c r="Q124" s="115"/>
      <c r="R124" s="115"/>
      <c r="S124" s="115"/>
      <c r="T124" s="115"/>
      <c r="U124" s="115"/>
      <c r="V124" s="115"/>
    </row>
    <row r="125" spans="1:22" ht="12.75" customHeight="1" thickBot="1" x14ac:dyDescent="0.3">
      <c r="A125" s="336"/>
      <c r="B125" s="115"/>
      <c r="C125" s="115"/>
      <c r="D125" s="340"/>
      <c r="E125" s="622"/>
      <c r="F125" s="340"/>
      <c r="G125" s="319" t="s">
        <v>536</v>
      </c>
      <c r="H125" s="115"/>
      <c r="I125" s="318"/>
      <c r="J125" s="342">
        <v>1153</v>
      </c>
      <c r="K125" s="342">
        <v>1183</v>
      </c>
      <c r="L125" s="342">
        <f t="shared" ref="L125:M125" si="95">SUM(L123:L124)</f>
        <v>1208</v>
      </c>
      <c r="M125" s="342">
        <f t="shared" si="95"/>
        <v>1236</v>
      </c>
      <c r="N125" s="342">
        <f t="shared" ref="N125:O125" si="96">SUM(N123:N124)</f>
        <v>1264</v>
      </c>
      <c r="O125" s="342">
        <f t="shared" si="96"/>
        <v>1293</v>
      </c>
      <c r="P125" s="115"/>
      <c r="Q125" s="115"/>
      <c r="R125" s="115"/>
      <c r="S125" s="115"/>
      <c r="T125" s="115"/>
      <c r="U125" s="115"/>
      <c r="V125" s="115"/>
    </row>
    <row r="126" spans="1:22" ht="12.75" customHeight="1" thickTop="1" x14ac:dyDescent="0.25">
      <c r="A126" s="336"/>
      <c r="B126" s="115"/>
      <c r="C126" s="115"/>
      <c r="D126" s="340"/>
      <c r="E126" s="622"/>
      <c r="F126" s="340"/>
      <c r="G126" s="319"/>
      <c r="H126" s="115"/>
      <c r="I126" s="318"/>
      <c r="J126" s="344"/>
      <c r="K126" s="344"/>
      <c r="L126" s="344"/>
      <c r="M126" s="344"/>
      <c r="N126" s="344"/>
      <c r="O126" s="344"/>
      <c r="P126" s="115"/>
      <c r="Q126" s="115"/>
      <c r="R126" s="115"/>
      <c r="S126" s="115"/>
      <c r="T126" s="115"/>
      <c r="U126" s="115"/>
      <c r="V126" s="115"/>
    </row>
    <row r="127" spans="1:22" ht="12.75" customHeight="1" x14ac:dyDescent="0.25">
      <c r="A127" s="336"/>
      <c r="B127" s="115"/>
      <c r="C127" s="115"/>
      <c r="D127" s="333">
        <v>617009</v>
      </c>
      <c r="E127" s="1022"/>
      <c r="F127" s="331"/>
      <c r="G127" s="332" t="s">
        <v>2824</v>
      </c>
      <c r="H127" s="115"/>
      <c r="I127" s="318"/>
      <c r="J127" s="317"/>
      <c r="K127" s="317"/>
      <c r="L127" s="317"/>
      <c r="M127" s="317"/>
      <c r="N127" s="317"/>
      <c r="O127" s="317"/>
      <c r="P127" s="115"/>
      <c r="Q127" s="115"/>
      <c r="R127" s="115"/>
      <c r="S127" s="115"/>
      <c r="T127" s="115"/>
      <c r="U127" s="115"/>
      <c r="V127" s="115"/>
    </row>
    <row r="128" spans="1:22" ht="12.75" customHeight="1" x14ac:dyDescent="0.25">
      <c r="A128" s="336"/>
      <c r="B128" s="115"/>
      <c r="C128" s="115"/>
      <c r="D128" s="340"/>
      <c r="E128" s="622"/>
      <c r="F128" s="340"/>
      <c r="G128" s="334" t="s">
        <v>533</v>
      </c>
      <c r="H128" s="115"/>
      <c r="I128" s="318"/>
      <c r="J128" s="317"/>
      <c r="K128" s="317"/>
      <c r="L128" s="317"/>
      <c r="M128" s="317"/>
      <c r="N128" s="317"/>
      <c r="O128" s="317"/>
      <c r="P128" s="115"/>
      <c r="Q128" s="115"/>
      <c r="R128" s="115"/>
      <c r="S128" s="115"/>
      <c r="T128" s="115"/>
      <c r="U128" s="115"/>
      <c r="V128" s="115"/>
    </row>
    <row r="129" spans="1:22" ht="12.75" customHeight="1" x14ac:dyDescent="0.25">
      <c r="A129" s="336">
        <f>+D127</f>
        <v>617009</v>
      </c>
      <c r="B129" s="115" t="str">
        <f>+G127</f>
        <v>Mensgerichte verkeersmaatregelen</v>
      </c>
      <c r="C129" s="115"/>
      <c r="D129" s="337">
        <v>43812</v>
      </c>
      <c r="E129" s="551"/>
      <c r="F129" s="337"/>
      <c r="G129" s="319" t="s">
        <v>535</v>
      </c>
      <c r="H129" s="115"/>
      <c r="I129" s="318"/>
      <c r="J129" s="317">
        <v>26533</v>
      </c>
      <c r="K129" s="317">
        <v>27223</v>
      </c>
      <c r="L129" s="317">
        <f>+L394</f>
        <v>27795</v>
      </c>
      <c r="M129" s="317">
        <f>+M394</f>
        <v>28434</v>
      </c>
      <c r="N129" s="317">
        <f>+N394</f>
        <v>29088</v>
      </c>
      <c r="O129" s="317">
        <f>+O394</f>
        <v>29758</v>
      </c>
      <c r="P129" s="115"/>
      <c r="Q129" s="115"/>
      <c r="R129" s="115"/>
      <c r="S129" s="115"/>
      <c r="T129" s="115"/>
      <c r="U129" s="115"/>
      <c r="V129" s="115"/>
    </row>
    <row r="130" spans="1:22" ht="12.75" customHeight="1" thickBot="1" x14ac:dyDescent="0.3">
      <c r="A130" s="336"/>
      <c r="B130" s="115"/>
      <c r="C130" s="115"/>
      <c r="D130" s="340"/>
      <c r="E130" s="622"/>
      <c r="F130" s="340"/>
      <c r="G130" s="319" t="s">
        <v>536</v>
      </c>
      <c r="H130" s="115"/>
      <c r="I130" s="225"/>
      <c r="J130" s="234">
        <v>26533</v>
      </c>
      <c r="K130" s="234">
        <v>27223</v>
      </c>
      <c r="L130" s="234">
        <f>SUM(L129:L129)</f>
        <v>27795</v>
      </c>
      <c r="M130" s="234">
        <f>SUM(M129:M129)</f>
        <v>28434</v>
      </c>
      <c r="N130" s="234">
        <f>SUM(N129:N129)</f>
        <v>29088</v>
      </c>
      <c r="O130" s="234">
        <f>SUM(O129:O129)</f>
        <v>29758</v>
      </c>
      <c r="P130" s="115"/>
      <c r="Q130" s="115"/>
      <c r="R130" s="115"/>
      <c r="S130" s="115"/>
      <c r="T130" s="115"/>
      <c r="U130" s="115"/>
      <c r="V130" s="115"/>
    </row>
    <row r="131" spans="1:22" ht="12.75" customHeight="1" thickTop="1" x14ac:dyDescent="0.25">
      <c r="A131" s="336"/>
      <c r="B131" s="115"/>
      <c r="C131" s="115"/>
      <c r="D131" s="340"/>
      <c r="E131" s="622"/>
      <c r="F131" s="340"/>
      <c r="G131" s="319"/>
      <c r="H131" s="115"/>
      <c r="I131" s="318"/>
      <c r="J131" s="317"/>
      <c r="K131" s="317"/>
      <c r="L131" s="317"/>
      <c r="M131" s="317"/>
      <c r="N131" s="317"/>
      <c r="O131" s="317"/>
      <c r="P131" s="115"/>
      <c r="Q131" s="115"/>
      <c r="R131" s="115"/>
      <c r="S131" s="115"/>
      <c r="T131" s="115"/>
      <c r="U131" s="115"/>
      <c r="V131" s="115"/>
    </row>
    <row r="132" spans="1:22" ht="12.75" customHeight="1" x14ac:dyDescent="0.25">
      <c r="A132" s="336"/>
      <c r="B132" s="115"/>
      <c r="C132" s="115"/>
      <c r="D132" s="333">
        <v>617010</v>
      </c>
      <c r="E132" s="1022"/>
      <c r="F132" s="331"/>
      <c r="G132" s="332" t="s">
        <v>2825</v>
      </c>
      <c r="H132" s="355"/>
      <c r="I132" s="318"/>
      <c r="J132" s="317"/>
      <c r="K132" s="317"/>
      <c r="L132" s="317"/>
      <c r="M132" s="317"/>
      <c r="N132" s="317"/>
      <c r="O132" s="317"/>
      <c r="P132" s="115"/>
      <c r="Q132" s="115"/>
      <c r="R132" s="115"/>
      <c r="S132" s="115"/>
      <c r="T132" s="115"/>
      <c r="U132" s="115"/>
      <c r="V132" s="115"/>
    </row>
    <row r="133" spans="1:22" ht="12.75" customHeight="1" x14ac:dyDescent="0.25">
      <c r="A133" s="336"/>
      <c r="B133" s="115"/>
      <c r="C133" s="115"/>
      <c r="D133" s="352"/>
      <c r="E133" s="623"/>
      <c r="F133" s="352"/>
      <c r="G133" s="334" t="s">
        <v>533</v>
      </c>
      <c r="H133" s="355"/>
      <c r="I133" s="318"/>
      <c r="J133" s="317"/>
      <c r="K133" s="317"/>
      <c r="L133" s="317"/>
      <c r="M133" s="317"/>
      <c r="N133" s="317"/>
      <c r="O133" s="317"/>
      <c r="P133" s="115"/>
      <c r="Q133" s="115"/>
      <c r="R133" s="115"/>
      <c r="S133" s="115"/>
      <c r="T133" s="115"/>
      <c r="U133" s="115"/>
      <c r="V133" s="115"/>
    </row>
    <row r="134" spans="1:22" ht="12.75" customHeight="1" x14ac:dyDescent="0.25">
      <c r="A134" s="336">
        <f>+D132</f>
        <v>617010</v>
      </c>
      <c r="B134" s="115" t="str">
        <f>+G132</f>
        <v>Infrastructurele verkeersmaatregelen</v>
      </c>
      <c r="C134" s="115"/>
      <c r="D134" s="337">
        <v>43812</v>
      </c>
      <c r="E134" s="551"/>
      <c r="F134" s="337"/>
      <c r="G134" s="319" t="s">
        <v>535</v>
      </c>
      <c r="H134" s="115"/>
      <c r="I134" s="318"/>
      <c r="J134" s="317">
        <v>56176</v>
      </c>
      <c r="K134" s="317">
        <v>57637</v>
      </c>
      <c r="L134" s="317">
        <f>+L400</f>
        <v>58847</v>
      </c>
      <c r="M134" s="317">
        <f>+M400</f>
        <v>60200</v>
      </c>
      <c r="N134" s="317">
        <f>+N400</f>
        <v>61585</v>
      </c>
      <c r="O134" s="317">
        <f>+O400</f>
        <v>63001</v>
      </c>
      <c r="P134" s="115"/>
      <c r="Q134" s="115"/>
      <c r="R134" s="115"/>
      <c r="S134" s="115"/>
      <c r="T134" s="115"/>
      <c r="U134" s="115"/>
      <c r="V134" s="115"/>
    </row>
    <row r="135" spans="1:22" ht="12.75" customHeight="1" thickBot="1" x14ac:dyDescent="0.3">
      <c r="A135" s="336"/>
      <c r="B135" s="115"/>
      <c r="C135" s="115"/>
      <c r="D135" s="352"/>
      <c r="E135" s="623"/>
      <c r="F135" s="352"/>
      <c r="G135" s="1224" t="s">
        <v>536</v>
      </c>
      <c r="H135" s="355"/>
      <c r="I135" s="318"/>
      <c r="J135" s="342">
        <v>56176</v>
      </c>
      <c r="K135" s="342">
        <v>57637</v>
      </c>
      <c r="L135" s="342">
        <f t="shared" ref="L135:M135" si="97">SUM(L134:L134)</f>
        <v>58847</v>
      </c>
      <c r="M135" s="342">
        <f t="shared" si="97"/>
        <v>60200</v>
      </c>
      <c r="N135" s="342">
        <f t="shared" ref="N135:O135" si="98">SUM(N134:N134)</f>
        <v>61585</v>
      </c>
      <c r="O135" s="342">
        <f t="shared" si="98"/>
        <v>63001</v>
      </c>
      <c r="P135" s="115"/>
      <c r="Q135" s="115"/>
      <c r="R135" s="115"/>
      <c r="S135" s="115"/>
      <c r="T135" s="115"/>
      <c r="U135" s="115"/>
      <c r="V135" s="115"/>
    </row>
    <row r="136" spans="1:22" ht="12.75" customHeight="1" thickTop="1" x14ac:dyDescent="0.25">
      <c r="A136" s="336"/>
      <c r="B136" s="115"/>
      <c r="C136" s="115"/>
      <c r="D136" s="352"/>
      <c r="E136" s="623"/>
      <c r="F136" s="352"/>
      <c r="G136" s="1224"/>
      <c r="H136" s="355"/>
      <c r="I136" s="318"/>
      <c r="J136" s="318"/>
      <c r="K136" s="318"/>
      <c r="L136" s="318"/>
      <c r="M136" s="318"/>
      <c r="N136" s="318"/>
      <c r="O136" s="318"/>
      <c r="P136" s="115"/>
      <c r="Q136" s="115"/>
      <c r="R136" s="115"/>
      <c r="S136" s="115"/>
      <c r="T136" s="115"/>
      <c r="U136" s="115"/>
      <c r="V136" s="115"/>
    </row>
    <row r="137" spans="1:22" ht="12.75" customHeight="1" x14ac:dyDescent="0.25">
      <c r="A137" s="336"/>
      <c r="B137" s="115"/>
      <c r="C137" s="115"/>
      <c r="D137" s="333">
        <v>617011</v>
      </c>
      <c r="E137" s="330"/>
      <c r="F137" s="331"/>
      <c r="G137" s="332" t="s">
        <v>2826</v>
      </c>
      <c r="H137" s="115"/>
      <c r="I137" s="316"/>
      <c r="J137" s="335"/>
      <c r="K137" s="335"/>
      <c r="L137" s="335"/>
      <c r="M137" s="335"/>
      <c r="N137" s="335"/>
      <c r="O137" s="335"/>
      <c r="P137" s="115"/>
      <c r="Q137" s="115"/>
      <c r="R137" s="115"/>
      <c r="S137" s="115"/>
      <c r="T137" s="115"/>
      <c r="U137" s="115"/>
      <c r="V137" s="115"/>
    </row>
    <row r="138" spans="1:22" ht="12.75" customHeight="1" x14ac:dyDescent="0.25">
      <c r="A138" s="336"/>
      <c r="B138" s="115"/>
      <c r="C138" s="115"/>
      <c r="D138" s="333"/>
      <c r="E138" s="330"/>
      <c r="F138" s="331"/>
      <c r="G138" s="334" t="s">
        <v>533</v>
      </c>
      <c r="H138" s="115"/>
      <c r="I138" s="316"/>
      <c r="J138" s="335"/>
      <c r="K138" s="335"/>
      <c r="L138" s="335"/>
      <c r="M138" s="335"/>
      <c r="N138" s="335"/>
      <c r="O138" s="335"/>
      <c r="P138" s="115"/>
      <c r="Q138" s="115"/>
      <c r="R138" s="115"/>
      <c r="S138" s="115"/>
      <c r="T138" s="115"/>
      <c r="U138" s="115"/>
      <c r="V138" s="115"/>
    </row>
    <row r="139" spans="1:22" ht="12.75" customHeight="1" x14ac:dyDescent="0.25">
      <c r="A139" s="336">
        <f>+D137</f>
        <v>617011</v>
      </c>
      <c r="B139" s="115" t="str">
        <f>G137</f>
        <v>Onderhoud wegen</v>
      </c>
      <c r="C139" s="115"/>
      <c r="D139" s="337">
        <v>42100</v>
      </c>
      <c r="E139" s="343"/>
      <c r="F139" s="337"/>
      <c r="G139" s="319" t="s">
        <v>979</v>
      </c>
      <c r="H139" s="115"/>
      <c r="I139" s="318"/>
      <c r="J139" s="317">
        <v>18077</v>
      </c>
      <c r="K139" s="317">
        <v>18547</v>
      </c>
      <c r="L139" s="317">
        <f t="shared" ref="L139:O140" si="99">ROUND(K139*T$2,0)</f>
        <v>18936</v>
      </c>
      <c r="M139" s="317">
        <f t="shared" si="99"/>
        <v>19372</v>
      </c>
      <c r="N139" s="317">
        <f t="shared" si="99"/>
        <v>19818</v>
      </c>
      <c r="O139" s="317">
        <f t="shared" si="99"/>
        <v>20274</v>
      </c>
      <c r="P139" s="115"/>
      <c r="Q139" s="115"/>
      <c r="R139" s="115"/>
      <c r="S139" s="115"/>
      <c r="T139" s="115"/>
      <c r="U139" s="115"/>
      <c r="V139" s="115"/>
    </row>
    <row r="140" spans="1:22" ht="12.75" customHeight="1" x14ac:dyDescent="0.25">
      <c r="A140" s="336">
        <f>+D137</f>
        <v>617011</v>
      </c>
      <c r="B140" s="115" t="str">
        <f>+G137</f>
        <v>Onderhoud wegen</v>
      </c>
      <c r="C140" s="115"/>
      <c r="D140" s="337">
        <v>42100</v>
      </c>
      <c r="E140" s="343"/>
      <c r="F140" s="337"/>
      <c r="G140" s="319" t="s">
        <v>1840</v>
      </c>
      <c r="H140" s="115"/>
      <c r="I140" s="318"/>
      <c r="J140" s="317">
        <v>1904</v>
      </c>
      <c r="K140" s="317">
        <v>1954</v>
      </c>
      <c r="L140" s="317">
        <f t="shared" si="99"/>
        <v>1995</v>
      </c>
      <c r="M140" s="317">
        <f t="shared" si="99"/>
        <v>2041</v>
      </c>
      <c r="N140" s="317">
        <f t="shared" si="99"/>
        <v>2088</v>
      </c>
      <c r="O140" s="317">
        <f t="shared" si="99"/>
        <v>2136</v>
      </c>
      <c r="P140" s="115"/>
      <c r="Q140" s="115"/>
      <c r="R140" s="115"/>
      <c r="S140" s="115"/>
      <c r="T140" s="115"/>
      <c r="U140" s="115"/>
      <c r="V140" s="115"/>
    </row>
    <row r="141" spans="1:22" ht="12.75" customHeight="1" x14ac:dyDescent="0.25">
      <c r="A141" s="336">
        <v>617011</v>
      </c>
      <c r="B141" s="115" t="str">
        <f>+G137</f>
        <v>Onderhoud wegen</v>
      </c>
      <c r="C141" s="115"/>
      <c r="D141" s="337">
        <v>42100</v>
      </c>
      <c r="E141" s="343"/>
      <c r="F141" s="337"/>
      <c r="G141" s="319" t="s">
        <v>1840</v>
      </c>
      <c r="H141" s="115"/>
      <c r="I141" s="318"/>
      <c r="J141" s="317">
        <v>2176</v>
      </c>
      <c r="K141" s="317">
        <v>2233</v>
      </c>
      <c r="L141" s="317">
        <f>+L432</f>
        <v>2280</v>
      </c>
      <c r="M141" s="317">
        <f>+M432</f>
        <v>2332</v>
      </c>
      <c r="N141" s="317">
        <f>+N432</f>
        <v>2386</v>
      </c>
      <c r="O141" s="317">
        <f>+O432</f>
        <v>2441</v>
      </c>
      <c r="P141" s="115"/>
      <c r="Q141" s="115"/>
      <c r="R141" s="115"/>
      <c r="S141" s="115"/>
      <c r="T141" s="115"/>
      <c r="U141" s="115"/>
      <c r="V141" s="115"/>
    </row>
    <row r="142" spans="1:22" ht="12.75" customHeight="1" x14ac:dyDescent="0.25">
      <c r="A142" s="336">
        <v>617011</v>
      </c>
      <c r="B142" s="115" t="str">
        <f>+G137</f>
        <v>Onderhoud wegen</v>
      </c>
      <c r="C142" s="115"/>
      <c r="D142" s="337">
        <v>42100</v>
      </c>
      <c r="E142" s="343"/>
      <c r="F142" s="337"/>
      <c r="G142" s="319" t="s">
        <v>979</v>
      </c>
      <c r="H142" s="115"/>
      <c r="I142" s="318"/>
      <c r="J142" s="317">
        <v>12913</v>
      </c>
      <c r="K142" s="317">
        <v>13249</v>
      </c>
      <c r="L142" s="317">
        <f>ROUND(K142*T$2,0)</f>
        <v>13527</v>
      </c>
      <c r="M142" s="317">
        <f>ROUND(L142*U$2,0)</f>
        <v>13838</v>
      </c>
      <c r="N142" s="317">
        <f>ROUND(M142*V$2,0)</f>
        <v>14156</v>
      </c>
      <c r="O142" s="317">
        <f>ROUND(N142*W$2,0)</f>
        <v>14482</v>
      </c>
      <c r="P142" s="115"/>
      <c r="Q142" s="115"/>
      <c r="R142" s="115"/>
      <c r="S142" s="115"/>
      <c r="T142" s="115"/>
      <c r="U142" s="115"/>
      <c r="V142" s="115"/>
    </row>
    <row r="143" spans="1:22" ht="12.75" customHeight="1" x14ac:dyDescent="0.25">
      <c r="A143" s="336">
        <v>617011</v>
      </c>
      <c r="B143" s="115" t="str">
        <f>+G137</f>
        <v>Onderhoud wegen</v>
      </c>
      <c r="C143" s="115"/>
      <c r="D143" s="337">
        <v>43803</v>
      </c>
      <c r="E143" s="343"/>
      <c r="F143" s="337"/>
      <c r="G143" s="319" t="s">
        <v>1831</v>
      </c>
      <c r="H143" s="115"/>
      <c r="I143" s="318"/>
      <c r="J143" s="317">
        <v>1567</v>
      </c>
      <c r="K143" s="317">
        <v>1608</v>
      </c>
      <c r="L143" s="317">
        <f>+L428</f>
        <v>1642</v>
      </c>
      <c r="M143" s="317">
        <f>+M428</f>
        <v>1680</v>
      </c>
      <c r="N143" s="317">
        <f>+N428</f>
        <v>1719</v>
      </c>
      <c r="O143" s="317">
        <f>+O428</f>
        <v>1759</v>
      </c>
      <c r="P143" s="115"/>
      <c r="Q143" s="115"/>
      <c r="R143" s="115"/>
      <c r="S143" s="115"/>
      <c r="T143" s="115"/>
      <c r="U143" s="115"/>
      <c r="V143" s="115"/>
    </row>
    <row r="144" spans="1:22" ht="12.75" customHeight="1" x14ac:dyDescent="0.25">
      <c r="A144" s="336">
        <v>617011</v>
      </c>
      <c r="B144" s="115" t="str">
        <f>+G137</f>
        <v>Onderhoud wegen</v>
      </c>
      <c r="C144" s="115"/>
      <c r="D144" s="337">
        <v>43806</v>
      </c>
      <c r="E144" s="343"/>
      <c r="F144" s="337"/>
      <c r="G144" s="319" t="s">
        <v>546</v>
      </c>
      <c r="H144" s="115"/>
      <c r="I144" s="318"/>
      <c r="J144" s="317">
        <v>2337</v>
      </c>
      <c r="K144" s="317">
        <v>2398</v>
      </c>
      <c r="L144" s="317">
        <f>+L436</f>
        <v>2448</v>
      </c>
      <c r="M144" s="317">
        <f>+M436</f>
        <v>2504</v>
      </c>
      <c r="N144" s="317">
        <f>+N436</f>
        <v>2562</v>
      </c>
      <c r="O144" s="317">
        <f>+O436</f>
        <v>2621</v>
      </c>
      <c r="P144" s="115"/>
      <c r="Q144" s="115"/>
      <c r="R144" s="115"/>
      <c r="S144" s="115"/>
      <c r="T144" s="115"/>
      <c r="U144" s="115"/>
      <c r="V144" s="115"/>
    </row>
    <row r="145" spans="1:22" ht="12.75" customHeight="1" x14ac:dyDescent="0.25">
      <c r="A145" s="336">
        <f>+D137</f>
        <v>617011</v>
      </c>
      <c r="B145" s="115" t="str">
        <f>+G137</f>
        <v>Onderhoud wegen</v>
      </c>
      <c r="C145" s="115"/>
      <c r="D145" s="337">
        <v>43812</v>
      </c>
      <c r="E145" s="343"/>
      <c r="F145" s="337"/>
      <c r="G145" s="319" t="s">
        <v>2827</v>
      </c>
      <c r="H145" s="115"/>
      <c r="I145" s="318"/>
      <c r="J145" s="317">
        <f>+J423</f>
        <v>554868</v>
      </c>
      <c r="K145" s="317">
        <v>573391</v>
      </c>
      <c r="L145" s="317">
        <f>+L423</f>
        <v>590428</v>
      </c>
      <c r="M145" s="317">
        <f>+M423</f>
        <v>600343</v>
      </c>
      <c r="N145" s="317">
        <f>+N423</f>
        <v>610406</v>
      </c>
      <c r="O145" s="317">
        <f>+O423</f>
        <v>620720</v>
      </c>
      <c r="P145" s="115"/>
      <c r="Q145" s="115"/>
      <c r="R145" s="115"/>
      <c r="S145" s="115"/>
      <c r="T145" s="115"/>
      <c r="U145" s="115"/>
      <c r="V145" s="115"/>
    </row>
    <row r="146" spans="1:22" ht="12.75" customHeight="1" thickBot="1" x14ac:dyDescent="0.3">
      <c r="A146" s="336"/>
      <c r="B146" s="115"/>
      <c r="C146" s="115"/>
      <c r="D146" s="340"/>
      <c r="E146" s="341"/>
      <c r="F146" s="340"/>
      <c r="G146" s="319" t="s">
        <v>536</v>
      </c>
      <c r="H146" s="115"/>
      <c r="I146" s="318"/>
      <c r="J146" s="342">
        <f>SUM(J138:J145)</f>
        <v>593842</v>
      </c>
      <c r="K146" s="342">
        <v>613380</v>
      </c>
      <c r="L146" s="342">
        <f>SUM(L138:L145)</f>
        <v>631256</v>
      </c>
      <c r="M146" s="342">
        <f>SUM(M138:M145)</f>
        <v>642110</v>
      </c>
      <c r="N146" s="342">
        <f>SUM(N138:N145)</f>
        <v>653135</v>
      </c>
      <c r="O146" s="342">
        <f>SUM(O138:O145)</f>
        <v>664433</v>
      </c>
      <c r="P146" s="115"/>
      <c r="Q146" s="115"/>
      <c r="R146" s="115"/>
      <c r="S146" s="115"/>
      <c r="T146" s="115"/>
      <c r="U146" s="115"/>
      <c r="V146" s="115"/>
    </row>
    <row r="147" spans="1:22" ht="12.75" customHeight="1" thickTop="1" x14ac:dyDescent="0.25">
      <c r="A147" s="336"/>
      <c r="B147" s="115"/>
      <c r="C147" s="115"/>
      <c r="D147" s="340"/>
      <c r="E147" s="341"/>
      <c r="F147" s="340"/>
      <c r="G147" s="319"/>
      <c r="H147" s="115"/>
      <c r="I147" s="318"/>
      <c r="J147" s="344"/>
      <c r="K147" s="344"/>
      <c r="L147" s="344"/>
      <c r="M147" s="344"/>
      <c r="N147" s="344"/>
      <c r="O147" s="344"/>
      <c r="P147" s="115"/>
      <c r="Q147" s="115"/>
      <c r="R147" s="115"/>
      <c r="S147" s="115"/>
      <c r="T147" s="115"/>
      <c r="U147" s="115"/>
      <c r="V147" s="115"/>
    </row>
    <row r="148" spans="1:22" ht="12.75" customHeight="1" x14ac:dyDescent="0.25">
      <c r="A148" s="336"/>
      <c r="B148" s="115"/>
      <c r="C148" s="115"/>
      <c r="D148" s="340"/>
      <c r="E148" s="341"/>
      <c r="F148" s="340"/>
      <c r="G148" s="319"/>
      <c r="H148" s="115"/>
      <c r="I148" s="318"/>
      <c r="J148" s="317"/>
      <c r="K148" s="317"/>
      <c r="L148" s="317"/>
      <c r="M148" s="317"/>
      <c r="N148" s="317"/>
      <c r="O148" s="317"/>
      <c r="P148" s="115"/>
      <c r="Q148" s="115"/>
      <c r="R148" s="115"/>
      <c r="S148" s="115"/>
      <c r="T148" s="115"/>
      <c r="U148" s="115"/>
      <c r="V148" s="115"/>
    </row>
    <row r="149" spans="1:22" ht="12.75" customHeight="1" x14ac:dyDescent="0.25">
      <c r="A149" s="336"/>
      <c r="B149" s="115"/>
      <c r="C149" s="115"/>
      <c r="D149" s="333">
        <v>617011</v>
      </c>
      <c r="E149" s="330"/>
      <c r="F149" s="331"/>
      <c r="G149" s="332" t="s">
        <v>2826</v>
      </c>
      <c r="H149" s="115"/>
      <c r="I149" s="318"/>
      <c r="J149" s="317"/>
      <c r="K149" s="317"/>
      <c r="L149" s="317"/>
      <c r="M149" s="317"/>
      <c r="N149" s="317"/>
      <c r="O149" s="317"/>
      <c r="P149" s="115"/>
      <c r="Q149" s="115"/>
      <c r="R149" s="115"/>
      <c r="S149" s="115"/>
      <c r="T149" s="115"/>
      <c r="U149" s="115"/>
      <c r="V149" s="115"/>
    </row>
    <row r="150" spans="1:22" ht="12.75" customHeight="1" x14ac:dyDescent="0.25">
      <c r="A150" s="336"/>
      <c r="B150" s="115"/>
      <c r="C150" s="115"/>
      <c r="D150" s="340"/>
      <c r="E150" s="341"/>
      <c r="F150" s="340"/>
      <c r="G150" s="334" t="s">
        <v>533</v>
      </c>
      <c r="H150" s="115"/>
      <c r="I150" s="318"/>
      <c r="J150" s="317"/>
      <c r="K150" s="317"/>
      <c r="L150" s="317"/>
      <c r="M150" s="317"/>
      <c r="N150" s="317"/>
      <c r="O150" s="317"/>
      <c r="P150" s="115"/>
      <c r="Q150" s="115"/>
      <c r="R150" s="115"/>
      <c r="S150" s="115"/>
      <c r="T150" s="115"/>
      <c r="U150" s="115"/>
      <c r="V150" s="115"/>
    </row>
    <row r="151" spans="1:22" s="115" customFormat="1" ht="12.75" customHeight="1" x14ac:dyDescent="0.25">
      <c r="A151" s="336"/>
      <c r="D151" s="340">
        <v>43805</v>
      </c>
      <c r="E151" s="341"/>
      <c r="F151" s="340"/>
      <c r="G151" s="319" t="s">
        <v>730</v>
      </c>
      <c r="I151" s="318"/>
      <c r="J151" s="317">
        <v>0</v>
      </c>
      <c r="K151" s="317">
        <f>K407</f>
        <v>11787</v>
      </c>
      <c r="L151" s="317">
        <f t="shared" ref="L151:O151" si="100">L407</f>
        <v>0</v>
      </c>
      <c r="M151" s="317">
        <f t="shared" si="100"/>
        <v>0</v>
      </c>
      <c r="N151" s="317">
        <f t="shared" si="100"/>
        <v>0</v>
      </c>
      <c r="O151" s="317">
        <f t="shared" si="100"/>
        <v>0</v>
      </c>
    </row>
    <row r="152" spans="1:22" ht="12.75" customHeight="1" x14ac:dyDescent="0.25">
      <c r="A152" s="336">
        <f>+D149</f>
        <v>617011</v>
      </c>
      <c r="B152" s="115" t="str">
        <f>G149</f>
        <v>Onderhoud wegen</v>
      </c>
      <c r="C152" s="115"/>
      <c r="D152" s="337">
        <v>43812</v>
      </c>
      <c r="E152" s="343"/>
      <c r="F152" s="337"/>
      <c r="G152" s="319" t="s">
        <v>535</v>
      </c>
      <c r="H152" s="115"/>
      <c r="I152" s="318"/>
      <c r="J152" s="317">
        <v>82475</v>
      </c>
      <c r="K152" s="317">
        <v>84619</v>
      </c>
      <c r="L152" s="317">
        <f>+L442</f>
        <v>86396</v>
      </c>
      <c r="M152" s="317">
        <f>+M442</f>
        <v>88383</v>
      </c>
      <c r="N152" s="317">
        <f>+N442</f>
        <v>90416</v>
      </c>
      <c r="O152" s="317">
        <f>+O442</f>
        <v>92496</v>
      </c>
      <c r="P152" s="115"/>
      <c r="Q152" s="115"/>
      <c r="R152" s="115"/>
      <c r="S152" s="115"/>
      <c r="T152" s="115"/>
      <c r="U152" s="115"/>
      <c r="V152" s="115"/>
    </row>
    <row r="153" spans="1:22" ht="12.75" customHeight="1" thickBot="1" x14ac:dyDescent="0.3">
      <c r="A153" s="336"/>
      <c r="B153" s="115"/>
      <c r="C153" s="115"/>
      <c r="D153" s="340"/>
      <c r="E153" s="341"/>
      <c r="F153" s="340"/>
      <c r="G153" s="319" t="s">
        <v>536</v>
      </c>
      <c r="H153" s="115"/>
      <c r="I153" s="318"/>
      <c r="J153" s="342">
        <f>SUM(J151:J152)</f>
        <v>82475</v>
      </c>
      <c r="K153" s="342">
        <f t="shared" ref="K153:O153" si="101">SUM(K151:K152)</f>
        <v>96406</v>
      </c>
      <c r="L153" s="342">
        <f t="shared" si="101"/>
        <v>86396</v>
      </c>
      <c r="M153" s="342">
        <f t="shared" si="101"/>
        <v>88383</v>
      </c>
      <c r="N153" s="342">
        <f t="shared" si="101"/>
        <v>90416</v>
      </c>
      <c r="O153" s="342">
        <f t="shared" si="101"/>
        <v>92496</v>
      </c>
      <c r="P153" s="115"/>
      <c r="Q153" s="115"/>
      <c r="R153" s="115"/>
      <c r="S153" s="115"/>
      <c r="T153" s="115"/>
      <c r="U153" s="115"/>
      <c r="V153" s="115"/>
    </row>
    <row r="154" spans="1:22" ht="12.75" customHeight="1" thickTop="1" x14ac:dyDescent="0.25">
      <c r="A154" s="336"/>
      <c r="B154" s="115"/>
      <c r="C154" s="115"/>
      <c r="D154" s="340"/>
      <c r="E154" s="341"/>
      <c r="F154" s="340"/>
      <c r="G154" s="319"/>
      <c r="H154" s="115"/>
      <c r="I154" s="318"/>
      <c r="J154" s="317"/>
      <c r="K154" s="317"/>
      <c r="L154" s="317"/>
      <c r="M154" s="317"/>
      <c r="N154" s="317"/>
      <c r="O154" s="317"/>
      <c r="P154" s="115"/>
      <c r="Q154" s="115"/>
      <c r="R154" s="115"/>
      <c r="S154" s="115"/>
      <c r="T154" s="115"/>
      <c r="U154" s="115"/>
      <c r="V154" s="115"/>
    </row>
    <row r="155" spans="1:22" ht="12.75" customHeight="1" x14ac:dyDescent="0.25">
      <c r="A155" s="336"/>
      <c r="B155" s="115"/>
      <c r="C155" s="115"/>
      <c r="D155" s="333">
        <v>617011</v>
      </c>
      <c r="E155" s="330"/>
      <c r="F155" s="331"/>
      <c r="G155" s="332" t="s">
        <v>2828</v>
      </c>
      <c r="H155" s="355"/>
      <c r="I155" s="318"/>
      <c r="J155" s="317"/>
      <c r="K155" s="317"/>
      <c r="L155" s="317"/>
      <c r="M155" s="317"/>
      <c r="N155" s="317"/>
      <c r="O155" s="317"/>
      <c r="P155" s="115"/>
      <c r="Q155" s="115"/>
      <c r="R155" s="115"/>
      <c r="S155" s="115"/>
      <c r="T155" s="115"/>
      <c r="U155" s="115"/>
      <c r="V155" s="115"/>
    </row>
    <row r="156" spans="1:22" ht="12.75" customHeight="1" x14ac:dyDescent="0.25">
      <c r="A156" s="336"/>
      <c r="B156" s="115"/>
      <c r="C156" s="115"/>
      <c r="D156" s="352"/>
      <c r="E156" s="353"/>
      <c r="F156" s="352"/>
      <c r="G156" s="334" t="s">
        <v>533</v>
      </c>
      <c r="H156" s="355"/>
      <c r="I156" s="318"/>
      <c r="J156" s="317"/>
      <c r="K156" s="317"/>
      <c r="L156" s="317"/>
      <c r="M156" s="317"/>
      <c r="N156" s="317"/>
      <c r="O156" s="317"/>
      <c r="P156" s="115"/>
      <c r="Q156" s="115"/>
      <c r="R156" s="115"/>
      <c r="S156" s="115"/>
      <c r="T156" s="115"/>
      <c r="U156" s="115"/>
      <c r="V156" s="115"/>
    </row>
    <row r="157" spans="1:22" ht="12.75" customHeight="1" x14ac:dyDescent="0.25">
      <c r="A157" s="336">
        <f>+D155</f>
        <v>617011</v>
      </c>
      <c r="B157" s="115" t="str">
        <f>G155</f>
        <v>Onderhoud wegen, parkstrook A2</v>
      </c>
      <c r="C157" s="115"/>
      <c r="D157" s="337">
        <v>43812</v>
      </c>
      <c r="E157" s="343"/>
      <c r="F157" s="337"/>
      <c r="G157" s="319" t="s">
        <v>535</v>
      </c>
      <c r="H157" s="115"/>
      <c r="I157" s="318"/>
      <c r="J157" s="317">
        <v>5328</v>
      </c>
      <c r="K157" s="317">
        <v>5467</v>
      </c>
      <c r="L157" s="317">
        <f>L466</f>
        <v>5582</v>
      </c>
      <c r="M157" s="317">
        <f>M466</f>
        <v>5710</v>
      </c>
      <c r="N157" s="317">
        <f>N466</f>
        <v>5841</v>
      </c>
      <c r="O157" s="317">
        <f>O466</f>
        <v>5975</v>
      </c>
      <c r="P157" s="115"/>
      <c r="Q157" s="115"/>
      <c r="R157" s="115"/>
      <c r="S157" s="115"/>
      <c r="T157" s="115"/>
      <c r="U157" s="115"/>
      <c r="V157" s="115"/>
    </row>
    <row r="158" spans="1:22" ht="12.75" customHeight="1" thickBot="1" x14ac:dyDescent="0.3">
      <c r="A158" s="336"/>
      <c r="B158" s="115"/>
      <c r="C158" s="115"/>
      <c r="D158" s="352"/>
      <c r="E158" s="353"/>
      <c r="F158" s="352"/>
      <c r="G158" s="319" t="s">
        <v>536</v>
      </c>
      <c r="H158" s="355"/>
      <c r="I158" s="318"/>
      <c r="J158" s="342">
        <v>5328</v>
      </c>
      <c r="K158" s="342">
        <v>5467</v>
      </c>
      <c r="L158" s="342">
        <f>SUM(L157:L157)</f>
        <v>5582</v>
      </c>
      <c r="M158" s="342">
        <f>SUM(M157:M157)</f>
        <v>5710</v>
      </c>
      <c r="N158" s="342">
        <f>SUM(N157:N157)</f>
        <v>5841</v>
      </c>
      <c r="O158" s="342">
        <f>SUM(O157:O157)</f>
        <v>5975</v>
      </c>
      <c r="P158" s="115"/>
      <c r="Q158" s="115"/>
      <c r="R158" s="115"/>
      <c r="S158" s="115"/>
      <c r="T158" s="115"/>
      <c r="U158" s="115"/>
      <c r="V158" s="115"/>
    </row>
    <row r="159" spans="1:22" ht="12.75" customHeight="1" thickTop="1" x14ac:dyDescent="0.25">
      <c r="A159" s="336"/>
      <c r="B159" s="115"/>
      <c r="C159" s="115"/>
      <c r="D159" s="340"/>
      <c r="E159" s="341"/>
      <c r="F159" s="340"/>
      <c r="G159" s="319"/>
      <c r="H159" s="115"/>
      <c r="I159" s="318"/>
      <c r="J159" s="317"/>
      <c r="K159" s="317"/>
      <c r="L159" s="317"/>
      <c r="M159" s="317"/>
      <c r="N159" s="317"/>
      <c r="O159" s="317"/>
      <c r="P159" s="115"/>
      <c r="Q159" s="115"/>
      <c r="R159" s="115"/>
      <c r="S159" s="115"/>
      <c r="T159" s="115"/>
      <c r="U159" s="115"/>
      <c r="V159" s="115"/>
    </row>
    <row r="160" spans="1:22" ht="12.75" customHeight="1" x14ac:dyDescent="0.25">
      <c r="A160" s="336"/>
      <c r="B160" s="115"/>
      <c r="C160" s="115"/>
      <c r="D160" s="347">
        <v>617014</v>
      </c>
      <c r="E160" s="1218"/>
      <c r="F160" s="476"/>
      <c r="G160" s="381" t="s">
        <v>2829</v>
      </c>
      <c r="H160" s="115"/>
      <c r="I160" s="318"/>
      <c r="J160" s="318"/>
      <c r="K160" s="318"/>
      <c r="L160" s="318"/>
      <c r="M160" s="318"/>
      <c r="N160" s="318"/>
      <c r="O160" s="318"/>
      <c r="P160" s="115"/>
      <c r="Q160" s="115"/>
      <c r="R160" s="115"/>
      <c r="S160" s="115"/>
      <c r="T160" s="115"/>
      <c r="U160" s="115"/>
      <c r="V160" s="115"/>
    </row>
    <row r="161" spans="1:22" ht="12.75" customHeight="1" x14ac:dyDescent="0.25">
      <c r="A161" s="336"/>
      <c r="B161" s="115"/>
      <c r="C161" s="115"/>
      <c r="D161" s="340"/>
      <c r="E161" s="341"/>
      <c r="F161" s="340"/>
      <c r="G161" s="334" t="s">
        <v>533</v>
      </c>
      <c r="H161" s="115"/>
      <c r="I161" s="318"/>
      <c r="J161" s="318"/>
      <c r="K161" s="318"/>
      <c r="L161" s="318"/>
      <c r="M161" s="318"/>
      <c r="N161" s="318"/>
      <c r="O161" s="318"/>
      <c r="P161" s="115"/>
      <c r="Q161" s="115"/>
      <c r="R161" s="115"/>
      <c r="S161" s="115"/>
      <c r="T161" s="115"/>
      <c r="U161" s="115"/>
      <c r="V161" s="115"/>
    </row>
    <row r="162" spans="1:22" ht="12.75" customHeight="1" x14ac:dyDescent="0.25">
      <c r="A162" s="336">
        <v>617014</v>
      </c>
      <c r="B162" s="115" t="str">
        <f>G160</f>
        <v>Bestrijding gladheid van wegen</v>
      </c>
      <c r="C162" s="115"/>
      <c r="D162" s="337">
        <v>42100</v>
      </c>
      <c r="E162" s="343"/>
      <c r="F162" s="337"/>
      <c r="G162" s="319" t="s">
        <v>1840</v>
      </c>
      <c r="H162" s="115"/>
      <c r="I162" s="318"/>
      <c r="J162" s="318">
        <v>419</v>
      </c>
      <c r="K162" s="318">
        <v>419</v>
      </c>
      <c r="L162" s="318">
        <v>419</v>
      </c>
      <c r="M162" s="318">
        <v>420</v>
      </c>
      <c r="N162" s="318">
        <v>420</v>
      </c>
      <c r="O162" s="318">
        <v>420</v>
      </c>
      <c r="P162" s="115"/>
      <c r="Q162" s="115"/>
      <c r="R162" s="115"/>
      <c r="S162" s="115"/>
      <c r="T162" s="115"/>
      <c r="U162" s="115"/>
      <c r="V162" s="115"/>
    </row>
    <row r="163" spans="1:22" ht="12.75" customHeight="1" x14ac:dyDescent="0.25">
      <c r="A163" s="336">
        <v>617014</v>
      </c>
      <c r="B163" s="115" t="str">
        <f>G160</f>
        <v>Bestrijding gladheid van wegen</v>
      </c>
      <c r="C163" s="115"/>
      <c r="D163" s="337">
        <v>43803</v>
      </c>
      <c r="E163" s="343"/>
      <c r="F163" s="337"/>
      <c r="G163" s="319" t="s">
        <v>1831</v>
      </c>
      <c r="H163" s="115"/>
      <c r="I163" s="318"/>
      <c r="J163" s="318">
        <v>0</v>
      </c>
      <c r="K163" s="318">
        <v>0</v>
      </c>
      <c r="L163" s="318">
        <f>+L635</f>
        <v>0</v>
      </c>
      <c r="M163" s="318">
        <f>+M635</f>
        <v>0</v>
      </c>
      <c r="N163" s="318">
        <f>+N635</f>
        <v>0</v>
      </c>
      <c r="O163" s="318">
        <f>+O635</f>
        <v>0</v>
      </c>
      <c r="P163" s="115"/>
      <c r="Q163" s="115"/>
      <c r="R163" s="115"/>
      <c r="S163" s="115"/>
      <c r="T163" s="115"/>
      <c r="U163" s="115"/>
      <c r="V163" s="115"/>
    </row>
    <row r="164" spans="1:22" ht="12.75" customHeight="1" x14ac:dyDescent="0.25">
      <c r="A164" s="336">
        <v>617014</v>
      </c>
      <c r="B164" s="115" t="str">
        <f>G160</f>
        <v>Bestrijding gladheid van wegen</v>
      </c>
      <c r="C164" s="115"/>
      <c r="D164" s="337">
        <v>43806</v>
      </c>
      <c r="E164" s="343"/>
      <c r="F164" s="337"/>
      <c r="G164" s="319" t="s">
        <v>546</v>
      </c>
      <c r="H164" s="115"/>
      <c r="I164" s="318"/>
      <c r="J164" s="318">
        <v>809</v>
      </c>
      <c r="K164" s="318">
        <v>830</v>
      </c>
      <c r="L164" s="318">
        <f>+L447</f>
        <v>847</v>
      </c>
      <c r="M164" s="318">
        <f>+M447</f>
        <v>866</v>
      </c>
      <c r="N164" s="318">
        <f>+N447</f>
        <v>886</v>
      </c>
      <c r="O164" s="318">
        <f>+O447</f>
        <v>906</v>
      </c>
      <c r="P164" s="115"/>
      <c r="Q164" s="115"/>
      <c r="R164" s="115"/>
      <c r="S164" s="115"/>
      <c r="T164" s="115"/>
      <c r="U164" s="115"/>
      <c r="V164" s="115"/>
    </row>
    <row r="165" spans="1:22" ht="12.75" customHeight="1" x14ac:dyDescent="0.25">
      <c r="A165" s="336">
        <v>617014</v>
      </c>
      <c r="B165" s="115" t="str">
        <f>G160</f>
        <v>Bestrijding gladheid van wegen</v>
      </c>
      <c r="C165" s="115"/>
      <c r="D165" s="337">
        <v>43812</v>
      </c>
      <c r="E165" s="343"/>
      <c r="F165" s="337"/>
      <c r="G165" s="319" t="s">
        <v>535</v>
      </c>
      <c r="H165" s="115"/>
      <c r="I165" s="318"/>
      <c r="J165" s="318">
        <v>33054</v>
      </c>
      <c r="K165" s="318">
        <v>33973.5</v>
      </c>
      <c r="L165" s="318">
        <f>+L458</f>
        <v>34873</v>
      </c>
      <c r="M165" s="318">
        <f>+M458</f>
        <v>35960.58</v>
      </c>
      <c r="N165" s="318">
        <f>+N458</f>
        <v>37080.080000000002</v>
      </c>
      <c r="O165" s="318">
        <f>+O458</f>
        <v>37931</v>
      </c>
      <c r="P165" s="115"/>
      <c r="Q165" s="115"/>
      <c r="R165" s="115"/>
      <c r="S165" s="115"/>
      <c r="T165" s="115"/>
      <c r="U165" s="115"/>
      <c r="V165" s="115"/>
    </row>
    <row r="166" spans="1:22" ht="12.75" customHeight="1" x14ac:dyDescent="0.25">
      <c r="A166" s="336">
        <v>617014</v>
      </c>
      <c r="B166" s="115" t="str">
        <f>+G160</f>
        <v>Bestrijding gladheid van wegen</v>
      </c>
      <c r="C166" s="115"/>
      <c r="D166" s="337">
        <v>47300</v>
      </c>
      <c r="E166" s="343"/>
      <c r="F166" s="337"/>
      <c r="G166" s="319" t="s">
        <v>2830</v>
      </c>
      <c r="H166" s="115"/>
      <c r="I166" s="318"/>
      <c r="J166" s="317">
        <v>0</v>
      </c>
      <c r="K166" s="317">
        <v>0</v>
      </c>
      <c r="L166" s="317">
        <v>0</v>
      </c>
      <c r="M166" s="317">
        <v>0</v>
      </c>
      <c r="N166" s="317">
        <v>0</v>
      </c>
      <c r="O166" s="317">
        <v>0</v>
      </c>
      <c r="P166" s="115"/>
      <c r="Q166" s="115"/>
      <c r="R166" s="115"/>
      <c r="S166" s="115"/>
      <c r="T166" s="115"/>
      <c r="U166" s="115"/>
      <c r="V166" s="115"/>
    </row>
    <row r="167" spans="1:22" ht="12.75" customHeight="1" thickBot="1" x14ac:dyDescent="0.3">
      <c r="A167" s="336"/>
      <c r="B167" s="115"/>
      <c r="C167" s="115"/>
      <c r="D167" s="340"/>
      <c r="E167" s="341"/>
      <c r="F167" s="340"/>
      <c r="G167" s="319" t="s">
        <v>536</v>
      </c>
      <c r="H167" s="115"/>
      <c r="I167" s="318"/>
      <c r="J167" s="480">
        <v>34282</v>
      </c>
      <c r="K167" s="480">
        <v>35222.5</v>
      </c>
      <c r="L167" s="480">
        <f t="shared" ref="L167:M167" si="102">SUM(L162:L166)</f>
        <v>36139</v>
      </c>
      <c r="M167" s="480">
        <f t="shared" si="102"/>
        <v>37246.58</v>
      </c>
      <c r="N167" s="480">
        <f t="shared" ref="N167:O167" si="103">SUM(N162:N166)</f>
        <v>38386.080000000002</v>
      </c>
      <c r="O167" s="480">
        <f t="shared" si="103"/>
        <v>39257</v>
      </c>
      <c r="P167" s="115"/>
      <c r="Q167" s="115"/>
      <c r="R167" s="115"/>
      <c r="S167" s="115"/>
      <c r="T167" s="115"/>
      <c r="U167" s="115"/>
      <c r="V167" s="115"/>
    </row>
    <row r="168" spans="1:22" ht="12.75" customHeight="1" thickTop="1" x14ac:dyDescent="0.25">
      <c r="A168" s="336"/>
      <c r="B168" s="115"/>
      <c r="C168" s="115"/>
      <c r="D168" s="340"/>
      <c r="E168" s="341"/>
      <c r="F168" s="340"/>
      <c r="G168" s="319"/>
      <c r="H168" s="115"/>
      <c r="I168" s="318"/>
      <c r="J168" s="317"/>
      <c r="K168" s="317"/>
      <c r="L168" s="317"/>
      <c r="M168" s="317"/>
      <c r="N168" s="317"/>
      <c r="O168" s="317"/>
      <c r="P168" s="115"/>
      <c r="Q168" s="115"/>
      <c r="R168" s="115"/>
      <c r="S168" s="115"/>
      <c r="T168" s="115"/>
      <c r="U168" s="115"/>
      <c r="V168" s="115"/>
    </row>
    <row r="169" spans="1:22" ht="12.75" customHeight="1" x14ac:dyDescent="0.25">
      <c r="A169" s="336"/>
      <c r="B169" s="115"/>
      <c r="C169" s="115"/>
      <c r="D169" s="333">
        <v>617015</v>
      </c>
      <c r="E169" s="330"/>
      <c r="F169" s="331"/>
      <c r="G169" s="332" t="s">
        <v>2831</v>
      </c>
      <c r="H169" s="115"/>
      <c r="I169" s="318"/>
      <c r="J169" s="317"/>
      <c r="K169" s="317"/>
      <c r="L169" s="317"/>
      <c r="M169" s="317"/>
      <c r="N169" s="317"/>
      <c r="O169" s="317"/>
      <c r="P169" s="115"/>
      <c r="Q169" s="115"/>
      <c r="R169" s="115"/>
      <c r="S169" s="115"/>
      <c r="T169" s="115"/>
      <c r="U169" s="115"/>
      <c r="V169" s="115"/>
    </row>
    <row r="170" spans="1:22" ht="12.75" customHeight="1" x14ac:dyDescent="0.25">
      <c r="A170" s="336"/>
      <c r="B170" s="115"/>
      <c r="C170" s="115"/>
      <c r="D170" s="340"/>
      <c r="E170" s="341"/>
      <c r="F170" s="340"/>
      <c r="G170" s="334" t="s">
        <v>533</v>
      </c>
      <c r="H170" s="115"/>
      <c r="I170" s="318"/>
      <c r="J170" s="317"/>
      <c r="K170" s="317"/>
      <c r="L170" s="317"/>
      <c r="M170" s="317"/>
      <c r="N170" s="317"/>
      <c r="O170" s="317"/>
      <c r="P170" s="115"/>
      <c r="Q170" s="115"/>
      <c r="R170" s="115"/>
      <c r="S170" s="115"/>
      <c r="T170" s="115"/>
      <c r="U170" s="115"/>
      <c r="V170" s="115"/>
    </row>
    <row r="171" spans="1:22" ht="12.75" customHeight="1" x14ac:dyDescent="0.25">
      <c r="A171" s="336">
        <f>+D169</f>
        <v>617015</v>
      </c>
      <c r="B171" s="115" t="str">
        <f>G169</f>
        <v>Het maken van inritten</v>
      </c>
      <c r="C171" s="115"/>
      <c r="D171" s="337">
        <v>43200</v>
      </c>
      <c r="E171" s="343"/>
      <c r="F171" s="337"/>
      <c r="G171" s="319" t="s">
        <v>2832</v>
      </c>
      <c r="H171" s="115"/>
      <c r="I171" s="318"/>
      <c r="J171" s="317">
        <v>30202</v>
      </c>
      <c r="K171" s="317">
        <v>30987</v>
      </c>
      <c r="L171" s="317">
        <f>ROUND(K171*T$2,0)</f>
        <v>31638</v>
      </c>
      <c r="M171" s="317">
        <f>ROUND(L171*U$2,0)</f>
        <v>32366</v>
      </c>
      <c r="N171" s="317">
        <f>ROUND(M171*V$2,0)</f>
        <v>33110</v>
      </c>
      <c r="O171" s="317">
        <f>ROUND(N171*W$2,0)</f>
        <v>33872</v>
      </c>
      <c r="P171" s="115"/>
      <c r="Q171" s="115"/>
      <c r="R171" s="115"/>
      <c r="S171" s="115"/>
      <c r="T171" s="115"/>
      <c r="U171" s="115"/>
      <c r="V171" s="115"/>
    </row>
    <row r="172" spans="1:22" ht="12.75" customHeight="1" thickBot="1" x14ac:dyDescent="0.3">
      <c r="A172" s="336"/>
      <c r="B172" s="115"/>
      <c r="C172" s="115"/>
      <c r="D172" s="340"/>
      <c r="E172" s="341"/>
      <c r="F172" s="340"/>
      <c r="G172" s="319" t="s">
        <v>536</v>
      </c>
      <c r="H172" s="115"/>
      <c r="I172" s="318"/>
      <c r="J172" s="342">
        <v>30202</v>
      </c>
      <c r="K172" s="342">
        <v>30987</v>
      </c>
      <c r="L172" s="342">
        <f t="shared" ref="L172:M172" si="104">SUM(L170:L171)</f>
        <v>31638</v>
      </c>
      <c r="M172" s="342">
        <f t="shared" si="104"/>
        <v>32366</v>
      </c>
      <c r="N172" s="342">
        <f t="shared" ref="N172:O172" si="105">SUM(N170:N171)</f>
        <v>33110</v>
      </c>
      <c r="O172" s="342">
        <f t="shared" si="105"/>
        <v>33872</v>
      </c>
      <c r="P172" s="115"/>
      <c r="Q172" s="115"/>
      <c r="R172" s="115"/>
      <c r="S172" s="115"/>
      <c r="T172" s="115"/>
      <c r="U172" s="115"/>
      <c r="V172" s="115"/>
    </row>
    <row r="173" spans="1:22" ht="12.75" customHeight="1" thickTop="1" x14ac:dyDescent="0.25">
      <c r="A173" s="336"/>
      <c r="B173" s="115"/>
      <c r="C173" s="115"/>
      <c r="D173" s="340"/>
      <c r="E173" s="341"/>
      <c r="F173" s="340"/>
      <c r="G173" s="319"/>
      <c r="H173" s="115"/>
      <c r="I173" s="318"/>
      <c r="J173" s="317"/>
      <c r="K173" s="317"/>
      <c r="L173" s="317"/>
      <c r="M173" s="317"/>
      <c r="N173" s="317"/>
      <c r="O173" s="317"/>
      <c r="P173" s="115"/>
      <c r="Q173" s="115"/>
      <c r="R173" s="115"/>
      <c r="S173" s="115"/>
      <c r="T173" s="115"/>
      <c r="U173" s="115"/>
      <c r="V173" s="115"/>
    </row>
    <row r="174" spans="1:22" ht="12.75" customHeight="1" x14ac:dyDescent="0.25">
      <c r="A174" s="336"/>
      <c r="B174" s="115"/>
      <c r="C174" s="115"/>
      <c r="D174" s="333">
        <v>617016</v>
      </c>
      <c r="E174" s="330"/>
      <c r="F174" s="331"/>
      <c r="G174" s="381" t="s">
        <v>2833</v>
      </c>
      <c r="H174" s="115"/>
      <c r="I174" s="115"/>
      <c r="J174" s="335"/>
      <c r="K174" s="335"/>
      <c r="L174" s="335"/>
      <c r="M174" s="335"/>
      <c r="N174" s="335"/>
      <c r="O174" s="335"/>
      <c r="P174" s="115"/>
      <c r="Q174" s="115"/>
      <c r="R174" s="115"/>
      <c r="S174" s="115"/>
      <c r="T174" s="115"/>
      <c r="U174" s="115"/>
      <c r="V174" s="115"/>
    </row>
    <row r="175" spans="1:22" ht="12.75" customHeight="1" x14ac:dyDescent="0.25">
      <c r="A175" s="336"/>
      <c r="B175" s="115"/>
      <c r="C175" s="115"/>
      <c r="D175" s="333"/>
      <c r="E175" s="330"/>
      <c r="F175" s="331"/>
      <c r="G175" s="383" t="s">
        <v>533</v>
      </c>
      <c r="H175" s="115"/>
      <c r="I175" s="115"/>
      <c r="J175" s="335"/>
      <c r="K175" s="335"/>
      <c r="L175" s="335"/>
      <c r="M175" s="335"/>
      <c r="N175" s="335"/>
      <c r="O175" s="335"/>
      <c r="P175" s="115"/>
      <c r="Q175" s="115"/>
      <c r="R175" s="115"/>
      <c r="S175" s="115"/>
      <c r="T175" s="115"/>
      <c r="U175" s="115"/>
      <c r="V175" s="115"/>
    </row>
    <row r="176" spans="1:22" ht="12.75" customHeight="1" x14ac:dyDescent="0.25">
      <c r="A176" s="336">
        <v>617016</v>
      </c>
      <c r="B176" s="115" t="str">
        <f>G174</f>
        <v>Straatverlichting</v>
      </c>
      <c r="C176" s="115"/>
      <c r="D176" s="337">
        <v>43802</v>
      </c>
      <c r="E176" s="343"/>
      <c r="F176" s="337"/>
      <c r="G176" s="115" t="s">
        <v>2834</v>
      </c>
      <c r="H176" s="115"/>
      <c r="I176" s="115"/>
      <c r="J176" s="317">
        <v>172279</v>
      </c>
      <c r="K176" s="317">
        <v>183132</v>
      </c>
      <c r="L176" s="317">
        <f>L562</f>
        <v>192644</v>
      </c>
      <c r="M176" s="317">
        <f>M562</f>
        <v>204153</v>
      </c>
      <c r="N176" s="317">
        <f>N562</f>
        <v>214979</v>
      </c>
      <c r="O176" s="317">
        <f>O562</f>
        <v>225585</v>
      </c>
      <c r="P176" s="115"/>
      <c r="Q176" s="115"/>
      <c r="R176" s="115"/>
      <c r="S176" s="115"/>
      <c r="T176" s="115"/>
      <c r="U176" s="115"/>
      <c r="V176" s="115"/>
    </row>
    <row r="177" spans="1:22" ht="12.75" customHeight="1" x14ac:dyDescent="0.25">
      <c r="A177" s="336">
        <v>617016</v>
      </c>
      <c r="B177" s="115" t="str">
        <f>G174</f>
        <v>Straatverlichting</v>
      </c>
      <c r="C177" s="115"/>
      <c r="D177" s="337">
        <v>43812</v>
      </c>
      <c r="E177" s="343"/>
      <c r="F177" s="337"/>
      <c r="G177" s="319" t="s">
        <v>535</v>
      </c>
      <c r="H177" s="115"/>
      <c r="I177" s="115"/>
      <c r="J177" s="317">
        <v>80987</v>
      </c>
      <c r="K177" s="317">
        <v>83093</v>
      </c>
      <c r="L177" s="317">
        <f>L581</f>
        <v>84836</v>
      </c>
      <c r="M177" s="317">
        <f>M581</f>
        <v>86787</v>
      </c>
      <c r="N177" s="317">
        <f>N581</f>
        <v>88783</v>
      </c>
      <c r="O177" s="317">
        <f>O581</f>
        <v>90826</v>
      </c>
      <c r="P177" s="115"/>
      <c r="Q177" s="115"/>
      <c r="R177" s="115"/>
      <c r="S177" s="115"/>
      <c r="T177" s="115"/>
      <c r="U177" s="115"/>
      <c r="V177" s="115"/>
    </row>
    <row r="178" spans="1:22" ht="12.75" customHeight="1" x14ac:dyDescent="0.25">
      <c r="A178" s="336">
        <v>617016</v>
      </c>
      <c r="B178" s="115" t="str">
        <f>G174</f>
        <v>Straatverlichting</v>
      </c>
      <c r="C178" s="115"/>
      <c r="D178" s="337">
        <v>47300</v>
      </c>
      <c r="E178" s="343"/>
      <c r="F178" s="337"/>
      <c r="G178" s="115" t="s">
        <v>1012</v>
      </c>
      <c r="H178" s="115"/>
      <c r="I178" s="115"/>
      <c r="J178" s="317">
        <v>0</v>
      </c>
      <c r="K178" s="317">
        <v>0</v>
      </c>
      <c r="L178" s="317">
        <v>0</v>
      </c>
      <c r="M178" s="317">
        <v>0</v>
      </c>
      <c r="N178" s="317">
        <v>0</v>
      </c>
      <c r="O178" s="317">
        <v>0</v>
      </c>
      <c r="P178" s="115"/>
      <c r="Q178" s="115"/>
      <c r="R178" s="115"/>
      <c r="S178" s="115"/>
      <c r="T178" s="115"/>
      <c r="U178" s="115"/>
      <c r="V178" s="115"/>
    </row>
    <row r="179" spans="1:22" ht="12.75" customHeight="1" thickBot="1" x14ac:dyDescent="0.3">
      <c r="A179" s="336"/>
      <c r="B179" s="115"/>
      <c r="C179" s="115"/>
      <c r="D179" s="340"/>
      <c r="E179" s="341"/>
      <c r="F179" s="340"/>
      <c r="G179" s="115" t="s">
        <v>536</v>
      </c>
      <c r="H179" s="115"/>
      <c r="I179" s="115"/>
      <c r="J179" s="342">
        <v>253266</v>
      </c>
      <c r="K179" s="342">
        <v>266225</v>
      </c>
      <c r="L179" s="342">
        <f t="shared" ref="L179:M179" si="106">SUM(L176:L178)</f>
        <v>277480</v>
      </c>
      <c r="M179" s="342">
        <f t="shared" si="106"/>
        <v>290940</v>
      </c>
      <c r="N179" s="342">
        <f t="shared" ref="N179:O179" si="107">SUM(N176:N178)</f>
        <v>303762</v>
      </c>
      <c r="O179" s="342">
        <f t="shared" si="107"/>
        <v>316411</v>
      </c>
      <c r="P179" s="115"/>
      <c r="Q179" s="115"/>
      <c r="R179" s="115"/>
      <c r="S179" s="115"/>
      <c r="T179" s="115"/>
      <c r="U179" s="115"/>
      <c r="V179" s="115"/>
    </row>
    <row r="180" spans="1:22" ht="12.75" customHeight="1" thickTop="1" x14ac:dyDescent="0.25">
      <c r="A180" s="336"/>
      <c r="B180" s="115"/>
      <c r="C180" s="115"/>
      <c r="D180" s="340"/>
      <c r="E180" s="341"/>
      <c r="F180" s="340"/>
      <c r="G180" s="115"/>
      <c r="H180" s="115"/>
      <c r="I180" s="115"/>
      <c r="J180" s="344"/>
      <c r="K180" s="344"/>
      <c r="L180" s="344"/>
      <c r="M180" s="344"/>
      <c r="N180" s="344"/>
      <c r="O180" s="344"/>
      <c r="P180" s="115"/>
      <c r="Q180" s="115"/>
      <c r="R180" s="115"/>
      <c r="S180" s="115"/>
      <c r="T180" s="115"/>
      <c r="U180" s="115"/>
      <c r="V180" s="115"/>
    </row>
    <row r="181" spans="1:22" ht="12.75" customHeight="1" x14ac:dyDescent="0.25">
      <c r="A181" s="336"/>
      <c r="B181" s="115"/>
      <c r="C181" s="115"/>
      <c r="D181" s="333">
        <v>617017</v>
      </c>
      <c r="E181" s="330"/>
      <c r="F181" s="331"/>
      <c r="G181" s="332" t="s">
        <v>2835</v>
      </c>
      <c r="H181" s="115"/>
      <c r="I181" s="318"/>
      <c r="J181" s="317"/>
      <c r="K181" s="317"/>
      <c r="L181" s="317"/>
      <c r="M181" s="317"/>
      <c r="N181" s="317"/>
      <c r="O181" s="317"/>
      <c r="P181" s="115"/>
      <c r="Q181" s="115"/>
      <c r="R181" s="115"/>
      <c r="S181" s="115"/>
      <c r="T181" s="115"/>
      <c r="U181" s="115"/>
      <c r="V181" s="115"/>
    </row>
    <row r="182" spans="1:22" ht="12.75" customHeight="1" x14ac:dyDescent="0.25">
      <c r="A182" s="336"/>
      <c r="B182" s="115"/>
      <c r="C182" s="115"/>
      <c r="D182" s="333"/>
      <c r="E182" s="330"/>
      <c r="F182" s="331"/>
      <c r="G182" s="334" t="s">
        <v>533</v>
      </c>
      <c r="H182" s="115"/>
      <c r="I182" s="318"/>
      <c r="J182" s="317"/>
      <c r="K182" s="317"/>
      <c r="L182" s="317"/>
      <c r="M182" s="317"/>
      <c r="N182" s="317"/>
      <c r="O182" s="317"/>
      <c r="P182" s="115"/>
      <c r="Q182" s="115"/>
      <c r="R182" s="494"/>
      <c r="S182" s="494"/>
      <c r="T182" s="494"/>
      <c r="U182" s="494"/>
      <c r="V182" s="494"/>
    </row>
    <row r="183" spans="1:22" ht="12.75" customHeight="1" x14ac:dyDescent="0.25">
      <c r="A183" s="336">
        <v>617017</v>
      </c>
      <c r="B183" s="115" t="str">
        <f>+G181</f>
        <v>Reiniging openbare ruimte</v>
      </c>
      <c r="C183" s="115"/>
      <c r="D183" s="337">
        <v>43511</v>
      </c>
      <c r="E183" s="343"/>
      <c r="F183" s="337"/>
      <c r="G183" s="319" t="s">
        <v>2836</v>
      </c>
      <c r="H183" s="115"/>
      <c r="I183" s="318"/>
      <c r="J183" s="317">
        <v>230501</v>
      </c>
      <c r="K183" s="317">
        <v>235111</v>
      </c>
      <c r="L183" s="317">
        <f>ROUND(K183*T$3,0)</f>
        <v>244986</v>
      </c>
      <c r="M183" s="317">
        <f>ROUND(L183*U$3,0)</f>
        <v>254050</v>
      </c>
      <c r="N183" s="317">
        <f>ROUND(M183*V$3,0)</f>
        <v>263450</v>
      </c>
      <c r="O183" s="317">
        <f>ROUND(N183*W$3,0)</f>
        <v>273198</v>
      </c>
      <c r="P183" s="115"/>
      <c r="Q183" s="115"/>
      <c r="R183" s="494"/>
      <c r="S183" s="494"/>
      <c r="T183" s="494"/>
      <c r="U183" s="494"/>
      <c r="V183" s="494"/>
    </row>
    <row r="184" spans="1:22" ht="12.75" customHeight="1" x14ac:dyDescent="0.25">
      <c r="A184" s="336">
        <v>617017</v>
      </c>
      <c r="B184" s="115" t="str">
        <f>G181</f>
        <v>Reiniging openbare ruimte</v>
      </c>
      <c r="C184" s="115"/>
      <c r="D184" s="337">
        <v>43803</v>
      </c>
      <c r="E184" s="343"/>
      <c r="F184" s="337"/>
      <c r="G184" s="319" t="s">
        <v>1831</v>
      </c>
      <c r="H184" s="115"/>
      <c r="I184" s="318"/>
      <c r="J184" s="317">
        <v>8080</v>
      </c>
      <c r="K184" s="317">
        <v>8290</v>
      </c>
      <c r="L184" s="317">
        <f>+L590</f>
        <v>8464</v>
      </c>
      <c r="M184" s="317">
        <f>+M590</f>
        <v>8659</v>
      </c>
      <c r="N184" s="317">
        <f>+N590</f>
        <v>8858</v>
      </c>
      <c r="O184" s="317">
        <f>+O590</f>
        <v>9062</v>
      </c>
      <c r="P184" s="115"/>
      <c r="Q184" s="115"/>
      <c r="R184" s="494"/>
      <c r="S184" s="494"/>
      <c r="T184" s="494"/>
      <c r="U184" s="494"/>
      <c r="V184" s="494"/>
    </row>
    <row r="185" spans="1:22" ht="12.75" customHeight="1" x14ac:dyDescent="0.25">
      <c r="A185" s="336">
        <v>617017</v>
      </c>
      <c r="B185" s="115" t="str">
        <f>G181</f>
        <v>Reiniging openbare ruimte</v>
      </c>
      <c r="C185" s="115"/>
      <c r="D185" s="337">
        <v>43806</v>
      </c>
      <c r="E185" s="343"/>
      <c r="F185" s="337"/>
      <c r="G185" s="319" t="s">
        <v>1882</v>
      </c>
      <c r="H185" s="115"/>
      <c r="I185" s="318"/>
      <c r="J185" s="317">
        <v>2338</v>
      </c>
      <c r="K185" s="317">
        <v>2399</v>
      </c>
      <c r="L185" s="317">
        <f>ROUND(K185*T$2,0)</f>
        <v>2449</v>
      </c>
      <c r="M185" s="317">
        <f>ROUND(L185*U$2,0)</f>
        <v>2505</v>
      </c>
      <c r="N185" s="317">
        <f>ROUND(M185*V$2,0)</f>
        <v>2563</v>
      </c>
      <c r="O185" s="317">
        <f>ROUND(N185*W$2,0)</f>
        <v>2622</v>
      </c>
      <c r="P185" s="115"/>
      <c r="Q185" s="115"/>
      <c r="R185" s="494"/>
      <c r="S185" s="494"/>
      <c r="T185" s="494"/>
      <c r="U185" s="494"/>
      <c r="V185" s="494"/>
    </row>
    <row r="186" spans="1:22" ht="12.75" customHeight="1" x14ac:dyDescent="0.25">
      <c r="A186" s="336">
        <v>617017</v>
      </c>
      <c r="B186" s="115" t="str">
        <f>G181</f>
        <v>Reiniging openbare ruimte</v>
      </c>
      <c r="C186" s="115"/>
      <c r="D186" s="337">
        <v>43812</v>
      </c>
      <c r="E186" s="343"/>
      <c r="F186" s="337"/>
      <c r="G186" s="319" t="s">
        <v>535</v>
      </c>
      <c r="H186" s="115"/>
      <c r="I186" s="318"/>
      <c r="J186" s="317">
        <v>201468</v>
      </c>
      <c r="K186" s="317">
        <v>281706</v>
      </c>
      <c r="L186" s="317">
        <f>+L610</f>
        <v>311047</v>
      </c>
      <c r="M186" s="317">
        <f>+M610</f>
        <v>340901</v>
      </c>
      <c r="N186" s="317">
        <f>+N610</f>
        <v>370867</v>
      </c>
      <c r="O186" s="317">
        <f>+O610</f>
        <v>400947</v>
      </c>
      <c r="P186" s="115"/>
      <c r="Q186" s="115"/>
      <c r="R186" s="383"/>
      <c r="S186" s="383"/>
      <c r="T186" s="383"/>
      <c r="U186" s="383"/>
      <c r="V186" s="383"/>
    </row>
    <row r="187" spans="1:22" ht="12.75" customHeight="1" x14ac:dyDescent="0.25">
      <c r="A187" s="336">
        <v>617017</v>
      </c>
      <c r="B187" s="115" t="str">
        <f>G181</f>
        <v>Reiniging openbare ruimte</v>
      </c>
      <c r="C187" s="115"/>
      <c r="D187" s="337">
        <v>43814</v>
      </c>
      <c r="E187" s="343"/>
      <c r="F187" s="337"/>
      <c r="G187" s="319" t="s">
        <v>535</v>
      </c>
      <c r="H187" s="115"/>
      <c r="I187" s="318"/>
      <c r="J187" s="317">
        <v>66037</v>
      </c>
      <c r="K187" s="317">
        <v>67754</v>
      </c>
      <c r="L187" s="317">
        <f>+L627</f>
        <v>69177.8</v>
      </c>
      <c r="M187" s="317">
        <f>+M627</f>
        <v>70767.600000000006</v>
      </c>
      <c r="N187" s="317">
        <f>+N627</f>
        <v>72394.399999999994</v>
      </c>
      <c r="O187" s="317">
        <f>+O627</f>
        <v>74058.8</v>
      </c>
      <c r="P187" s="115"/>
      <c r="Q187" s="115"/>
      <c r="R187" s="494"/>
      <c r="S187" s="494"/>
      <c r="T187" s="494"/>
      <c r="U187" s="494"/>
      <c r="V187" s="494"/>
    </row>
    <row r="188" spans="1:22" ht="12.75" customHeight="1" x14ac:dyDescent="0.25">
      <c r="A188" s="336">
        <v>617017</v>
      </c>
      <c r="B188" s="115" t="str">
        <f>G181</f>
        <v>Reiniging openbare ruimte</v>
      </c>
      <c r="C188" s="115"/>
      <c r="D188" s="337">
        <v>47300</v>
      </c>
      <c r="E188" s="343"/>
      <c r="F188" s="337"/>
      <c r="G188" s="319" t="s">
        <v>1033</v>
      </c>
      <c r="H188" s="115"/>
      <c r="I188" s="318"/>
      <c r="J188" s="318">
        <v>0</v>
      </c>
      <c r="K188" s="318">
        <v>0</v>
      </c>
      <c r="L188" s="318">
        <v>0</v>
      </c>
      <c r="M188" s="318">
        <v>0</v>
      </c>
      <c r="N188" s="318">
        <v>0</v>
      </c>
      <c r="O188" s="318">
        <v>0</v>
      </c>
      <c r="P188" s="115"/>
      <c r="Q188" s="115"/>
      <c r="R188" s="494"/>
      <c r="S188" s="494"/>
      <c r="T188" s="494"/>
      <c r="U188" s="494"/>
      <c r="V188" s="494"/>
    </row>
    <row r="189" spans="1:22" ht="12.75" customHeight="1" thickBot="1" x14ac:dyDescent="0.3">
      <c r="A189" s="336"/>
      <c r="B189" s="115"/>
      <c r="C189" s="115"/>
      <c r="D189" s="337"/>
      <c r="E189" s="341"/>
      <c r="F189" s="340"/>
      <c r="G189" s="319" t="s">
        <v>536</v>
      </c>
      <c r="H189" s="115"/>
      <c r="I189" s="318"/>
      <c r="J189" s="480">
        <v>508424</v>
      </c>
      <c r="K189" s="480">
        <v>595260</v>
      </c>
      <c r="L189" s="480">
        <f t="shared" ref="L189:M189" si="108">SUM(L183:L188)</f>
        <v>636123.80000000005</v>
      </c>
      <c r="M189" s="480">
        <f t="shared" si="108"/>
        <v>676882.6</v>
      </c>
      <c r="N189" s="480">
        <f t="shared" ref="N189:O189" si="109">SUM(N183:N188)</f>
        <v>718132.4</v>
      </c>
      <c r="O189" s="480">
        <f t="shared" si="109"/>
        <v>759887.8</v>
      </c>
      <c r="P189" s="115"/>
      <c r="Q189" s="115"/>
      <c r="R189" s="494"/>
      <c r="S189" s="494"/>
      <c r="T189" s="494"/>
      <c r="U189" s="494"/>
      <c r="V189" s="494"/>
    </row>
    <row r="190" spans="1:22" ht="12.75" customHeight="1" thickTop="1" x14ac:dyDescent="0.25">
      <c r="A190" s="336"/>
      <c r="B190" s="115"/>
      <c r="C190" s="115"/>
      <c r="D190" s="340"/>
      <c r="E190" s="341"/>
      <c r="F190" s="340"/>
      <c r="G190" s="319"/>
      <c r="H190" s="115"/>
      <c r="I190" s="318"/>
      <c r="J190" s="318"/>
      <c r="K190" s="318"/>
      <c r="L190" s="318"/>
      <c r="M190" s="318"/>
      <c r="N190" s="318"/>
      <c r="O190" s="318"/>
      <c r="P190" s="115"/>
      <c r="Q190" s="115"/>
      <c r="R190" s="494"/>
      <c r="S190" s="494"/>
      <c r="T190" s="494"/>
      <c r="U190" s="494"/>
      <c r="V190" s="494"/>
    </row>
    <row r="191" spans="1:22" ht="12.75" customHeight="1" x14ac:dyDescent="0.25">
      <c r="A191" s="336"/>
      <c r="B191" s="115"/>
      <c r="C191" s="115"/>
      <c r="D191" s="333">
        <v>617017</v>
      </c>
      <c r="E191" s="330"/>
      <c r="F191" s="331"/>
      <c r="G191" s="332" t="s">
        <v>2837</v>
      </c>
      <c r="H191" s="115"/>
      <c r="I191" s="318"/>
      <c r="J191" s="317"/>
      <c r="K191" s="317"/>
      <c r="L191" s="317"/>
      <c r="M191" s="317"/>
      <c r="N191" s="317"/>
      <c r="O191" s="317"/>
      <c r="P191" s="115"/>
      <c r="Q191" s="115"/>
      <c r="R191" s="114"/>
      <c r="S191" s="114"/>
      <c r="T191" s="114"/>
      <c r="U191" s="114"/>
      <c r="V191" s="114"/>
    </row>
    <row r="192" spans="1:22" ht="12.75" customHeight="1" x14ac:dyDescent="0.25">
      <c r="A192" s="336"/>
      <c r="B192" s="115"/>
      <c r="C192" s="115"/>
      <c r="D192" s="340"/>
      <c r="E192" s="341"/>
      <c r="F192" s="340"/>
      <c r="G192" s="334" t="s">
        <v>533</v>
      </c>
      <c r="H192" s="115"/>
      <c r="I192" s="318"/>
      <c r="J192" s="317"/>
      <c r="K192" s="317"/>
      <c r="L192" s="317"/>
      <c r="M192" s="317"/>
      <c r="N192" s="317"/>
      <c r="O192" s="317"/>
      <c r="P192" s="115"/>
      <c r="Q192" s="115"/>
      <c r="R192" s="114"/>
      <c r="S192" s="114"/>
      <c r="T192" s="114"/>
      <c r="U192" s="114"/>
      <c r="V192" s="114"/>
    </row>
    <row r="193" spans="1:22" ht="12.75" customHeight="1" x14ac:dyDescent="0.25">
      <c r="A193" s="336">
        <f>+D191</f>
        <v>617017</v>
      </c>
      <c r="B193" s="115" t="str">
        <f>G191</f>
        <v>Verwijderen van grafitti</v>
      </c>
      <c r="C193" s="115"/>
      <c r="D193" s="337">
        <v>43812</v>
      </c>
      <c r="E193" s="343"/>
      <c r="F193" s="337"/>
      <c r="G193" s="319" t="s">
        <v>535</v>
      </c>
      <c r="H193" s="115"/>
      <c r="I193" s="318"/>
      <c r="J193" s="317">
        <v>1201</v>
      </c>
      <c r="K193" s="317">
        <v>1232</v>
      </c>
      <c r="L193" s="317">
        <f>ROUND(K193*T$2,0)</f>
        <v>1258</v>
      </c>
      <c r="M193" s="317">
        <f>ROUND(L193*U$2,0)</f>
        <v>1287</v>
      </c>
      <c r="N193" s="317">
        <f>ROUND(M193*V$2,0)</f>
        <v>1317</v>
      </c>
      <c r="O193" s="317">
        <f>ROUND(N193*W$2,0)</f>
        <v>1347</v>
      </c>
      <c r="P193" s="115"/>
      <c r="Q193" s="115"/>
      <c r="R193" s="114"/>
      <c r="S193" s="114"/>
      <c r="T193" s="114"/>
      <c r="U193" s="114"/>
      <c r="V193" s="114"/>
    </row>
    <row r="194" spans="1:22" ht="12.75" customHeight="1" thickBot="1" x14ac:dyDescent="0.3">
      <c r="A194" s="336"/>
      <c r="B194" s="115"/>
      <c r="C194" s="115"/>
      <c r="D194" s="340"/>
      <c r="E194" s="341"/>
      <c r="F194" s="340"/>
      <c r="G194" s="319" t="s">
        <v>536</v>
      </c>
      <c r="H194" s="115"/>
      <c r="I194" s="318"/>
      <c r="J194" s="342">
        <v>1201</v>
      </c>
      <c r="K194" s="342">
        <v>1232</v>
      </c>
      <c r="L194" s="342">
        <f t="shared" ref="L194:M194" si="110">SUM(L192:L193)</f>
        <v>1258</v>
      </c>
      <c r="M194" s="342">
        <f t="shared" si="110"/>
        <v>1287</v>
      </c>
      <c r="N194" s="342">
        <f t="shared" ref="N194:O194" si="111">SUM(N192:N193)</f>
        <v>1317</v>
      </c>
      <c r="O194" s="342">
        <f t="shared" si="111"/>
        <v>1347</v>
      </c>
      <c r="P194" s="115"/>
      <c r="Q194" s="115"/>
      <c r="R194" s="494"/>
      <c r="S194" s="494"/>
      <c r="T194" s="494"/>
      <c r="U194" s="494"/>
      <c r="V194" s="494"/>
    </row>
    <row r="195" spans="1:22" ht="12.75" customHeight="1" thickTop="1" x14ac:dyDescent="0.25">
      <c r="A195" s="336"/>
      <c r="B195" s="115"/>
      <c r="C195" s="115"/>
      <c r="D195" s="340"/>
      <c r="E195" s="341"/>
      <c r="F195" s="340"/>
      <c r="G195" s="319"/>
      <c r="H195" s="115"/>
      <c r="I195" s="318"/>
      <c r="J195" s="317"/>
      <c r="K195" s="317"/>
      <c r="L195" s="317"/>
      <c r="M195" s="317"/>
      <c r="N195" s="317"/>
      <c r="O195" s="317"/>
      <c r="P195" s="115"/>
      <c r="Q195" s="115"/>
      <c r="R195" s="494"/>
      <c r="S195" s="494"/>
      <c r="T195" s="494"/>
      <c r="U195" s="494"/>
      <c r="V195" s="494"/>
    </row>
    <row r="196" spans="1:22" ht="12.75" customHeight="1" x14ac:dyDescent="0.25">
      <c r="A196" s="336"/>
      <c r="B196" s="115"/>
      <c r="C196" s="115"/>
      <c r="D196" s="333">
        <v>617020</v>
      </c>
      <c r="E196" s="330"/>
      <c r="F196" s="331"/>
      <c r="G196" s="332" t="str">
        <f>E631</f>
        <v>Programma duurzame mobiliteit</v>
      </c>
      <c r="H196" s="115"/>
      <c r="I196" s="318"/>
      <c r="J196" s="317"/>
      <c r="K196" s="317"/>
      <c r="L196" s="317"/>
      <c r="M196" s="317"/>
      <c r="N196" s="317"/>
      <c r="O196" s="317"/>
      <c r="P196" s="115"/>
      <c r="Q196" s="115"/>
      <c r="R196" s="114"/>
      <c r="S196" s="114"/>
      <c r="T196" s="114"/>
      <c r="U196" s="114"/>
      <c r="V196" s="114"/>
    </row>
    <row r="197" spans="1:22" ht="12.75" customHeight="1" x14ac:dyDescent="0.25">
      <c r="A197" s="336"/>
      <c r="B197" s="115"/>
      <c r="C197" s="115"/>
      <c r="D197" s="340"/>
      <c r="E197" s="341"/>
      <c r="F197" s="340"/>
      <c r="G197" s="334" t="s">
        <v>533</v>
      </c>
      <c r="H197" s="115"/>
      <c r="I197" s="318"/>
      <c r="J197" s="317"/>
      <c r="K197" s="317"/>
      <c r="L197" s="317"/>
      <c r="M197" s="317"/>
      <c r="N197" s="317"/>
      <c r="O197" s="317"/>
      <c r="P197" s="115"/>
      <c r="Q197" s="115"/>
      <c r="R197" s="114"/>
      <c r="S197" s="114"/>
      <c r="T197" s="114"/>
      <c r="U197" s="114"/>
      <c r="V197" s="114"/>
    </row>
    <row r="198" spans="1:22" ht="12.75" customHeight="1" x14ac:dyDescent="0.25">
      <c r="A198" s="336">
        <f>+D196</f>
        <v>617020</v>
      </c>
      <c r="B198" s="115" t="str">
        <f>G196</f>
        <v>Programma duurzame mobiliteit</v>
      </c>
      <c r="C198" s="115"/>
      <c r="D198" s="337">
        <v>43812</v>
      </c>
      <c r="E198" s="343"/>
      <c r="F198" s="337"/>
      <c r="G198" s="319" t="s">
        <v>535</v>
      </c>
      <c r="H198" s="115"/>
      <c r="I198" s="318"/>
      <c r="J198" s="317">
        <v>0</v>
      </c>
      <c r="K198" s="317">
        <f>K635</f>
        <v>28000</v>
      </c>
      <c r="L198" s="317">
        <f>L635</f>
        <v>0</v>
      </c>
      <c r="M198" s="317">
        <f>M635</f>
        <v>0</v>
      </c>
      <c r="N198" s="317">
        <f t="shared" ref="N198:O198" si="112">N635</f>
        <v>0</v>
      </c>
      <c r="O198" s="317">
        <f t="shared" si="112"/>
        <v>0</v>
      </c>
      <c r="P198" s="115"/>
      <c r="Q198" s="115"/>
      <c r="R198" s="114"/>
      <c r="S198" s="114"/>
      <c r="T198" s="114"/>
      <c r="U198" s="114"/>
      <c r="V198" s="114"/>
    </row>
    <row r="199" spans="1:22" ht="12.75" customHeight="1" thickBot="1" x14ac:dyDescent="0.3">
      <c r="A199" s="336"/>
      <c r="B199" s="115"/>
      <c r="C199" s="115"/>
      <c r="D199" s="340"/>
      <c r="E199" s="341"/>
      <c r="F199" s="340"/>
      <c r="G199" s="319" t="s">
        <v>536</v>
      </c>
      <c r="H199" s="115"/>
      <c r="I199" s="318"/>
      <c r="J199" s="342">
        <v>0</v>
      </c>
      <c r="K199" s="342">
        <f t="shared" ref="K199:M199" si="113">SUM(K197:K198)</f>
        <v>28000</v>
      </c>
      <c r="L199" s="342">
        <f t="shared" si="113"/>
        <v>0</v>
      </c>
      <c r="M199" s="342">
        <f t="shared" si="113"/>
        <v>0</v>
      </c>
      <c r="N199" s="342">
        <f t="shared" ref="N199:O199" si="114">SUM(N197:N198)</f>
        <v>0</v>
      </c>
      <c r="O199" s="342">
        <f t="shared" si="114"/>
        <v>0</v>
      </c>
      <c r="P199" s="115"/>
      <c r="Q199" s="115"/>
      <c r="R199" s="494"/>
      <c r="S199" s="494"/>
      <c r="T199" s="494"/>
      <c r="U199" s="494"/>
      <c r="V199" s="494"/>
    </row>
    <row r="200" spans="1:22" ht="12.75" customHeight="1" thickTop="1" x14ac:dyDescent="0.25">
      <c r="A200" s="336"/>
      <c r="B200" s="115"/>
      <c r="C200" s="115"/>
      <c r="D200" s="340"/>
      <c r="E200" s="341"/>
      <c r="F200" s="340"/>
      <c r="G200" s="319"/>
      <c r="H200" s="115"/>
      <c r="I200" s="318"/>
      <c r="J200" s="317"/>
      <c r="K200" s="317"/>
      <c r="L200" s="317"/>
      <c r="M200" s="317"/>
      <c r="N200" s="317"/>
      <c r="O200" s="317"/>
      <c r="P200" s="115"/>
      <c r="Q200" s="115"/>
      <c r="R200" s="494"/>
      <c r="S200" s="494"/>
      <c r="T200" s="494"/>
      <c r="U200" s="494"/>
      <c r="V200" s="494"/>
    </row>
    <row r="201" spans="1:22" ht="12.75" customHeight="1" x14ac:dyDescent="0.25">
      <c r="A201" s="336"/>
      <c r="B201" s="115"/>
      <c r="C201" s="115"/>
      <c r="D201" s="333">
        <v>617002</v>
      </c>
      <c r="E201" s="331"/>
      <c r="F201" s="331"/>
      <c r="G201" s="332" t="s">
        <v>2817</v>
      </c>
      <c r="H201" s="115"/>
      <c r="I201" s="318"/>
      <c r="J201" s="318"/>
      <c r="K201" s="318"/>
      <c r="L201" s="318"/>
      <c r="M201" s="318"/>
      <c r="N201" s="318"/>
      <c r="O201" s="318"/>
      <c r="P201" s="115"/>
      <c r="Q201" s="115"/>
      <c r="R201" s="115"/>
      <c r="S201" s="115"/>
      <c r="T201" s="115"/>
      <c r="U201" s="115"/>
      <c r="V201" s="115"/>
    </row>
    <row r="202" spans="1:22" ht="12.75" customHeight="1" x14ac:dyDescent="0.25">
      <c r="A202" s="336"/>
      <c r="B202" s="115"/>
      <c r="C202" s="115"/>
      <c r="D202" s="340"/>
      <c r="E202" s="340"/>
      <c r="F202" s="340"/>
      <c r="G202" s="334" t="s">
        <v>554</v>
      </c>
      <c r="H202" s="115"/>
      <c r="I202" s="318"/>
      <c r="J202" s="318"/>
      <c r="K202" s="318"/>
      <c r="L202" s="318"/>
      <c r="M202" s="318"/>
      <c r="N202" s="318"/>
      <c r="O202" s="318"/>
      <c r="P202" s="115"/>
      <c r="Q202" s="115"/>
      <c r="R202" s="115"/>
      <c r="S202" s="115"/>
      <c r="T202" s="115"/>
      <c r="U202" s="115"/>
      <c r="V202" s="115"/>
    </row>
    <row r="203" spans="1:22" ht="12.75" customHeight="1" x14ac:dyDescent="0.25">
      <c r="A203" s="336">
        <f>+D201</f>
        <v>617002</v>
      </c>
      <c r="B203" s="115" t="str">
        <f>G201</f>
        <v>Waarschuwingsborden en wegwijzers</v>
      </c>
      <c r="C203" s="115"/>
      <c r="D203" s="337">
        <v>84380</v>
      </c>
      <c r="E203" s="337"/>
      <c r="F203" s="337"/>
      <c r="G203" s="319" t="s">
        <v>1899</v>
      </c>
      <c r="H203" s="115"/>
      <c r="I203" s="318"/>
      <c r="J203" s="1225">
        <v>-838</v>
      </c>
      <c r="K203" s="1225">
        <v>-860</v>
      </c>
      <c r="L203" s="1225">
        <f>ROUND(K203*T$2,0)</f>
        <v>-878</v>
      </c>
      <c r="M203" s="1225">
        <f>ROUND(L203*U$2,0)</f>
        <v>-898</v>
      </c>
      <c r="N203" s="1225">
        <f>ROUND(M203*V$2,0)</f>
        <v>-919</v>
      </c>
      <c r="O203" s="1225">
        <f>ROUND(N203*W$2,0)</f>
        <v>-940</v>
      </c>
      <c r="P203" s="115"/>
      <c r="Q203" s="115"/>
      <c r="R203" s="115"/>
      <c r="S203" s="115"/>
      <c r="T203" s="115"/>
      <c r="U203" s="115"/>
      <c r="V203" s="115"/>
    </row>
    <row r="204" spans="1:22" ht="12.75" customHeight="1" thickBot="1" x14ac:dyDescent="0.3">
      <c r="A204" s="336"/>
      <c r="B204" s="115"/>
      <c r="C204" s="115"/>
      <c r="D204" s="340"/>
      <c r="E204" s="340"/>
      <c r="F204" s="340"/>
      <c r="G204" s="319" t="s">
        <v>536</v>
      </c>
      <c r="H204" s="115"/>
      <c r="I204" s="318"/>
      <c r="J204" s="342">
        <v>-838</v>
      </c>
      <c r="K204" s="342">
        <v>-860</v>
      </c>
      <c r="L204" s="342">
        <f>SUM(L202:L203)</f>
        <v>-878</v>
      </c>
      <c r="M204" s="342">
        <f>SUM(M202:M203)</f>
        <v>-898</v>
      </c>
      <c r="N204" s="342">
        <f>SUM(N202:N203)</f>
        <v>-919</v>
      </c>
      <c r="O204" s="342">
        <f>SUM(O202:O203)</f>
        <v>-940</v>
      </c>
      <c r="P204" s="115"/>
      <c r="Q204" s="115"/>
      <c r="R204" s="115"/>
      <c r="S204" s="115"/>
      <c r="T204" s="115"/>
      <c r="U204" s="115"/>
      <c r="V204" s="115"/>
    </row>
    <row r="205" spans="1:22" ht="12.75" customHeight="1" thickTop="1" x14ac:dyDescent="0.25">
      <c r="A205" s="336"/>
      <c r="B205" s="115"/>
      <c r="C205" s="115"/>
      <c r="D205" s="340"/>
      <c r="E205" s="340"/>
      <c r="F205" s="340"/>
      <c r="G205" s="319"/>
      <c r="H205" s="115"/>
      <c r="I205" s="318"/>
      <c r="J205" s="344"/>
      <c r="K205" s="344"/>
      <c r="L205" s="344"/>
      <c r="M205" s="344"/>
      <c r="N205" s="344"/>
      <c r="O205" s="344"/>
      <c r="P205" s="115"/>
      <c r="Q205" s="115"/>
      <c r="R205" s="115"/>
      <c r="S205" s="115"/>
      <c r="T205" s="115"/>
      <c r="U205" s="115"/>
      <c r="V205" s="115"/>
    </row>
    <row r="206" spans="1:22" ht="12.75" customHeight="1" x14ac:dyDescent="0.25">
      <c r="A206" s="336"/>
      <c r="B206" s="115"/>
      <c r="C206" s="115"/>
      <c r="D206" s="1226">
        <v>617007</v>
      </c>
      <c r="E206" s="331"/>
      <c r="F206" s="476"/>
      <c r="G206" s="332" t="s">
        <v>2822</v>
      </c>
      <c r="H206" s="381"/>
      <c r="I206" s="318"/>
      <c r="J206" s="317"/>
      <c r="K206" s="317"/>
      <c r="L206" s="317"/>
      <c r="M206" s="317"/>
      <c r="N206" s="317"/>
      <c r="O206" s="317"/>
      <c r="P206" s="115"/>
      <c r="Q206" s="115"/>
      <c r="R206" s="115"/>
      <c r="S206" s="115"/>
      <c r="T206" s="115"/>
      <c r="U206" s="115"/>
      <c r="V206" s="115"/>
    </row>
    <row r="207" spans="1:22" ht="12.75" customHeight="1" x14ac:dyDescent="0.25">
      <c r="A207" s="336"/>
      <c r="B207" s="115"/>
      <c r="C207" s="115"/>
      <c r="D207" s="340"/>
      <c r="E207" s="340"/>
      <c r="F207" s="340"/>
      <c r="G207" s="334" t="s">
        <v>554</v>
      </c>
      <c r="H207" s="115"/>
      <c r="I207" s="318"/>
      <c r="J207" s="317"/>
      <c r="K207" s="317"/>
      <c r="L207" s="317"/>
      <c r="M207" s="317"/>
      <c r="N207" s="317"/>
      <c r="O207" s="317"/>
      <c r="P207" s="115"/>
      <c r="Q207" s="115"/>
      <c r="R207" s="115"/>
      <c r="S207" s="115"/>
      <c r="T207" s="115"/>
      <c r="U207" s="115"/>
      <c r="V207" s="115"/>
    </row>
    <row r="208" spans="1:22" ht="12.75" customHeight="1" x14ac:dyDescent="0.25">
      <c r="A208" s="336">
        <f>+D206</f>
        <v>617007</v>
      </c>
      <c r="B208" s="115" t="str">
        <f>G206</f>
        <v>Bereikbaarheidsagenda</v>
      </c>
      <c r="C208" s="115"/>
      <c r="D208" s="340">
        <v>84340</v>
      </c>
      <c r="E208" s="340"/>
      <c r="F208" s="340"/>
      <c r="G208" s="319" t="s">
        <v>2838</v>
      </c>
      <c r="H208" s="115"/>
      <c r="I208" s="318"/>
      <c r="J208" s="317">
        <v>-66000</v>
      </c>
      <c r="K208" s="317">
        <v>-66000</v>
      </c>
      <c r="L208" s="317">
        <f>+L707</f>
        <v>-20000</v>
      </c>
      <c r="M208" s="317">
        <f t="shared" ref="M208:N208" si="115">+M707</f>
        <v>-20000</v>
      </c>
      <c r="N208" s="317">
        <f t="shared" si="115"/>
        <v>-20000</v>
      </c>
      <c r="O208" s="317">
        <f t="shared" ref="O208" si="116">+O707</f>
        <v>-20000</v>
      </c>
      <c r="P208" s="115"/>
      <c r="Q208" s="115"/>
      <c r="R208" s="115"/>
      <c r="S208" s="115"/>
      <c r="T208" s="115"/>
      <c r="U208" s="115"/>
      <c r="V208" s="115"/>
    </row>
    <row r="209" spans="1:26" ht="12.75" customHeight="1" thickBot="1" x14ac:dyDescent="0.3">
      <c r="A209" s="336"/>
      <c r="B209" s="115"/>
      <c r="C209" s="115"/>
      <c r="D209" s="340"/>
      <c r="E209" s="340"/>
      <c r="F209" s="340"/>
      <c r="G209" s="319" t="s">
        <v>536</v>
      </c>
      <c r="H209" s="115"/>
      <c r="I209" s="318"/>
      <c r="J209" s="342">
        <v>-66000</v>
      </c>
      <c r="K209" s="342">
        <v>-66000</v>
      </c>
      <c r="L209" s="342">
        <f>SUM(L207:L208)</f>
        <v>-20000</v>
      </c>
      <c r="M209" s="342">
        <f>SUM(M207:M208)</f>
        <v>-20000</v>
      </c>
      <c r="N209" s="342">
        <f>SUM(N207:N208)</f>
        <v>-20000</v>
      </c>
      <c r="O209" s="342">
        <f>SUM(O207:O208)</f>
        <v>-20000</v>
      </c>
      <c r="P209" s="115"/>
      <c r="Q209" s="115"/>
      <c r="R209" s="115"/>
      <c r="S209" s="115"/>
      <c r="T209" s="115"/>
      <c r="U209" s="115"/>
      <c r="V209" s="115"/>
    </row>
    <row r="210" spans="1:26" ht="12.75" customHeight="1" thickTop="1" x14ac:dyDescent="0.25">
      <c r="A210" s="336"/>
      <c r="B210" s="115"/>
      <c r="C210" s="115"/>
      <c r="D210" s="352"/>
      <c r="E210" s="623"/>
      <c r="F210" s="352"/>
      <c r="G210" s="354"/>
      <c r="H210" s="355"/>
      <c r="I210" s="318"/>
      <c r="J210" s="317"/>
      <c r="K210" s="317"/>
      <c r="L210" s="317"/>
      <c r="M210" s="317"/>
      <c r="N210" s="317"/>
      <c r="O210" s="317"/>
      <c r="P210" s="115"/>
      <c r="Q210" s="115"/>
      <c r="R210" s="115"/>
      <c r="S210" s="115"/>
      <c r="T210" s="115"/>
      <c r="U210" s="115"/>
      <c r="V210" s="115"/>
      <c r="W210" s="115"/>
      <c r="X210" s="115"/>
      <c r="Y210" s="115"/>
      <c r="Z210" s="115"/>
    </row>
    <row r="211" spans="1:26" ht="12.75" customHeight="1" x14ac:dyDescent="0.25">
      <c r="A211" s="336"/>
      <c r="B211" s="115"/>
      <c r="C211" s="115"/>
      <c r="D211" s="1227">
        <v>617009</v>
      </c>
      <c r="E211" s="1022"/>
      <c r="F211" s="1228"/>
      <c r="G211" s="332" t="s">
        <v>2839</v>
      </c>
      <c r="H211" s="355"/>
      <c r="I211" s="318"/>
      <c r="J211" s="317"/>
      <c r="K211" s="317"/>
      <c r="L211" s="317"/>
      <c r="M211" s="317"/>
      <c r="N211" s="317"/>
      <c r="O211" s="317"/>
      <c r="P211" s="115"/>
      <c r="Q211" s="115"/>
      <c r="R211" s="115"/>
      <c r="S211" s="115"/>
      <c r="T211" s="115"/>
      <c r="U211" s="115"/>
      <c r="V211" s="115"/>
      <c r="W211" s="115"/>
      <c r="X211" s="115"/>
      <c r="Y211" s="115"/>
      <c r="Z211" s="115"/>
    </row>
    <row r="212" spans="1:26" ht="12.75" customHeight="1" x14ac:dyDescent="0.25">
      <c r="A212" s="336"/>
      <c r="B212" s="115"/>
      <c r="C212" s="115"/>
      <c r="D212" s="352"/>
      <c r="E212" s="623"/>
      <c r="F212" s="352"/>
      <c r="G212" s="1229" t="s">
        <v>554</v>
      </c>
      <c r="H212" s="355"/>
      <c r="I212" s="318"/>
      <c r="J212" s="317"/>
      <c r="K212" s="317"/>
      <c r="L212" s="317"/>
      <c r="M212" s="317"/>
      <c r="N212" s="317"/>
      <c r="O212" s="317"/>
      <c r="P212" s="115"/>
      <c r="Q212" s="115"/>
      <c r="R212" s="115"/>
      <c r="S212" s="115"/>
      <c r="T212" s="115"/>
      <c r="U212" s="115"/>
      <c r="V212" s="115"/>
      <c r="W212" s="115"/>
      <c r="X212" s="115"/>
      <c r="Y212" s="115"/>
      <c r="Z212" s="115"/>
    </row>
    <row r="213" spans="1:26" ht="12.75" customHeight="1" x14ac:dyDescent="0.25">
      <c r="A213" s="336">
        <f>+D211</f>
        <v>617009</v>
      </c>
      <c r="B213" s="115" t="str">
        <f>G211</f>
        <v>Mensgerichte verkeerseducatie</v>
      </c>
      <c r="C213" s="115"/>
      <c r="D213" s="352">
        <v>84330</v>
      </c>
      <c r="E213" s="623"/>
      <c r="F213" s="352"/>
      <c r="G213" s="319" t="s">
        <v>556</v>
      </c>
      <c r="H213" s="355"/>
      <c r="I213" s="318"/>
      <c r="J213" s="317">
        <v>-14855</v>
      </c>
      <c r="K213" s="317">
        <v>-15241</v>
      </c>
      <c r="L213" s="317">
        <f>+L713</f>
        <v>-15561</v>
      </c>
      <c r="M213" s="317">
        <f>+M713</f>
        <v>-15919</v>
      </c>
      <c r="N213" s="317">
        <f>+N713</f>
        <v>-16285</v>
      </c>
      <c r="O213" s="317">
        <f>+O713</f>
        <v>-16660</v>
      </c>
      <c r="P213" s="115"/>
      <c r="Q213" s="115"/>
      <c r="R213" s="115"/>
      <c r="S213" s="115"/>
      <c r="T213" s="115"/>
      <c r="U213" s="115"/>
      <c r="V213" s="115"/>
      <c r="W213" s="115"/>
      <c r="X213" s="115"/>
      <c r="Y213" s="115"/>
      <c r="Z213" s="115"/>
    </row>
    <row r="214" spans="1:26" ht="12.75" customHeight="1" thickBot="1" x14ac:dyDescent="0.3">
      <c r="A214" s="336"/>
      <c r="B214" s="115"/>
      <c r="C214" s="115"/>
      <c r="D214" s="352"/>
      <c r="E214" s="623"/>
      <c r="F214" s="352"/>
      <c r="G214" s="319" t="s">
        <v>536</v>
      </c>
      <c r="H214" s="115"/>
      <c r="I214" s="318"/>
      <c r="J214" s="342">
        <v>-14855</v>
      </c>
      <c r="K214" s="342">
        <v>-15241</v>
      </c>
      <c r="L214" s="342">
        <f>SUM(L212:L213)</f>
        <v>-15561</v>
      </c>
      <c r="M214" s="342">
        <f>SUM(M212:M213)</f>
        <v>-15919</v>
      </c>
      <c r="N214" s="342">
        <f>SUM(N212:N213)</f>
        <v>-16285</v>
      </c>
      <c r="O214" s="342">
        <f>SUM(O212:O213)</f>
        <v>-16660</v>
      </c>
      <c r="P214" s="115"/>
      <c r="Q214" s="115"/>
      <c r="R214" s="115"/>
      <c r="S214" s="115"/>
      <c r="T214" s="115"/>
      <c r="U214" s="115"/>
      <c r="V214" s="115"/>
      <c r="W214" s="115"/>
      <c r="X214" s="115"/>
      <c r="Y214" s="115"/>
      <c r="Z214" s="115"/>
    </row>
    <row r="215" spans="1:26" ht="12.75" customHeight="1" thickTop="1" x14ac:dyDescent="0.25">
      <c r="A215" s="336"/>
      <c r="B215" s="115"/>
      <c r="C215" s="115"/>
      <c r="D215" s="340"/>
      <c r="E215" s="340"/>
      <c r="F215" s="340"/>
      <c r="G215" s="319"/>
      <c r="H215" s="115"/>
      <c r="I215" s="318"/>
      <c r="J215" s="1876"/>
      <c r="K215" s="1876"/>
      <c r="L215" s="1876"/>
      <c r="M215" s="1876"/>
      <c r="N215" s="1876"/>
      <c r="O215" s="1876"/>
      <c r="P215" s="115"/>
      <c r="Q215" s="115"/>
      <c r="R215" s="115"/>
      <c r="S215" s="115"/>
      <c r="T215" s="115"/>
      <c r="U215" s="115"/>
      <c r="V215" s="115"/>
      <c r="W215" s="115"/>
      <c r="X215" s="115"/>
      <c r="Y215" s="115"/>
      <c r="Z215" s="115"/>
    </row>
    <row r="216" spans="1:26" ht="12.75" customHeight="1" x14ac:dyDescent="0.25">
      <c r="A216" s="336"/>
      <c r="B216" s="115"/>
      <c r="C216" s="115"/>
      <c r="D216" s="333">
        <v>617011</v>
      </c>
      <c r="E216" s="330"/>
      <c r="F216" s="331"/>
      <c r="G216" s="332" t="s">
        <v>2840</v>
      </c>
      <c r="H216" s="115"/>
      <c r="I216" s="318"/>
      <c r="J216" s="317"/>
      <c r="K216" s="317"/>
      <c r="L216" s="317"/>
      <c r="M216" s="317"/>
      <c r="N216" s="317"/>
      <c r="O216" s="317"/>
      <c r="P216" s="115"/>
      <c r="Q216" s="115"/>
      <c r="R216" s="115"/>
      <c r="S216" s="115"/>
      <c r="T216" s="115"/>
      <c r="U216" s="115"/>
      <c r="V216" s="115"/>
      <c r="W216" s="115"/>
      <c r="X216" s="115"/>
      <c r="Y216" s="115"/>
      <c r="Z216" s="115"/>
    </row>
    <row r="217" spans="1:26" ht="12.75" customHeight="1" x14ac:dyDescent="0.25">
      <c r="A217" s="336"/>
      <c r="B217" s="115"/>
      <c r="C217" s="115"/>
      <c r="D217" s="340"/>
      <c r="E217" s="341"/>
      <c r="F217" s="340"/>
      <c r="G217" s="334" t="s">
        <v>554</v>
      </c>
      <c r="H217" s="115"/>
      <c r="I217" s="318"/>
      <c r="J217" s="317"/>
      <c r="K217" s="317"/>
      <c r="L217" s="317"/>
      <c r="M217" s="317"/>
      <c r="N217" s="317"/>
      <c r="O217" s="317"/>
      <c r="P217" s="115"/>
      <c r="Q217" s="115"/>
      <c r="R217" s="115"/>
      <c r="S217" s="115"/>
      <c r="T217" s="115"/>
      <c r="U217" s="115"/>
      <c r="V217" s="115"/>
      <c r="W217" s="115"/>
      <c r="X217" s="115"/>
      <c r="Y217" s="115"/>
      <c r="Z217" s="115"/>
    </row>
    <row r="218" spans="1:26" ht="12.75" customHeight="1" x14ac:dyDescent="0.25">
      <c r="A218" s="336">
        <f>+D216</f>
        <v>617011</v>
      </c>
      <c r="B218" s="115" t="str">
        <f>G216</f>
        <v>Wegen binnen de bebouwde kom</v>
      </c>
      <c r="C218" s="115"/>
      <c r="D218" s="337">
        <v>83800</v>
      </c>
      <c r="E218" s="343"/>
      <c r="F218" s="337"/>
      <c r="G218" s="319" t="s">
        <v>535</v>
      </c>
      <c r="H218" s="115"/>
      <c r="I218" s="318"/>
      <c r="J218" s="317">
        <v>-2936</v>
      </c>
      <c r="K218" s="317">
        <v>-3012</v>
      </c>
      <c r="L218" s="317">
        <f t="shared" ref="L218:O219" si="117">ROUND(K218*T$2,0)</f>
        <v>-3075</v>
      </c>
      <c r="M218" s="317">
        <f t="shared" si="117"/>
        <v>-3146</v>
      </c>
      <c r="N218" s="317">
        <f t="shared" si="117"/>
        <v>-3218</v>
      </c>
      <c r="O218" s="317">
        <f t="shared" si="117"/>
        <v>-3292</v>
      </c>
      <c r="P218" s="115"/>
      <c r="Q218" s="115"/>
      <c r="R218" s="115"/>
      <c r="S218" s="115"/>
      <c r="T218" s="115"/>
      <c r="U218" s="115"/>
      <c r="V218" s="115"/>
      <c r="W218" s="115"/>
      <c r="X218" s="115"/>
      <c r="Y218" s="115"/>
      <c r="Z218" s="115"/>
    </row>
    <row r="219" spans="1:26" ht="12.75" customHeight="1" x14ac:dyDescent="0.25">
      <c r="A219" s="336">
        <f>+D216</f>
        <v>617011</v>
      </c>
      <c r="B219" s="115" t="str">
        <f>G216</f>
        <v>Wegen binnen de bebouwde kom</v>
      </c>
      <c r="C219" s="115"/>
      <c r="D219" s="337">
        <v>84390</v>
      </c>
      <c r="E219" s="343"/>
      <c r="F219" s="337"/>
      <c r="G219" s="319" t="s">
        <v>2167</v>
      </c>
      <c r="H219" s="115"/>
      <c r="I219" s="318"/>
      <c r="J219" s="317">
        <v>-5869</v>
      </c>
      <c r="K219" s="317">
        <v>-6022</v>
      </c>
      <c r="L219" s="317">
        <f t="shared" si="117"/>
        <v>-6148</v>
      </c>
      <c r="M219" s="317">
        <f t="shared" si="117"/>
        <v>-6289</v>
      </c>
      <c r="N219" s="317">
        <f t="shared" si="117"/>
        <v>-6434</v>
      </c>
      <c r="O219" s="317">
        <f t="shared" si="117"/>
        <v>-6582</v>
      </c>
      <c r="P219" s="115"/>
      <c r="Q219" s="115"/>
      <c r="R219" s="115"/>
      <c r="S219" s="115"/>
      <c r="T219" s="115"/>
      <c r="U219" s="115"/>
      <c r="V219" s="115"/>
      <c r="W219" s="115"/>
      <c r="X219" s="115"/>
      <c r="Y219" s="115"/>
      <c r="Z219" s="115"/>
    </row>
    <row r="220" spans="1:26" ht="12.75" customHeight="1" thickBot="1" x14ac:dyDescent="0.3">
      <c r="A220" s="336"/>
      <c r="B220" s="115"/>
      <c r="C220" s="115"/>
      <c r="D220" s="340"/>
      <c r="E220" s="341"/>
      <c r="F220" s="340"/>
      <c r="G220" s="319" t="s">
        <v>536</v>
      </c>
      <c r="H220" s="115"/>
      <c r="I220" s="318"/>
      <c r="J220" s="342">
        <v>-8805</v>
      </c>
      <c r="K220" s="342">
        <v>-9034</v>
      </c>
      <c r="L220" s="342">
        <f>SUM(L217:L219)</f>
        <v>-9223</v>
      </c>
      <c r="M220" s="342">
        <f>SUM(M217:M219)</f>
        <v>-9435</v>
      </c>
      <c r="N220" s="342">
        <f>SUM(N217:N219)</f>
        <v>-9652</v>
      </c>
      <c r="O220" s="342">
        <f>SUM(O217:O219)</f>
        <v>-9874</v>
      </c>
      <c r="P220" s="115"/>
      <c r="Q220" s="115"/>
      <c r="R220" s="115"/>
      <c r="S220" s="115"/>
      <c r="T220" s="115"/>
      <c r="U220" s="115"/>
      <c r="V220" s="115"/>
      <c r="W220" s="115"/>
      <c r="X220" s="115"/>
      <c r="Y220" s="115"/>
      <c r="Z220" s="115"/>
    </row>
    <row r="221" spans="1:26" ht="12.75" customHeight="1" thickTop="1" x14ac:dyDescent="0.25">
      <c r="A221" s="336"/>
      <c r="B221" s="115"/>
      <c r="C221" s="115"/>
      <c r="D221" s="352"/>
      <c r="E221" s="353"/>
      <c r="F221" s="352"/>
      <c r="G221" s="319"/>
      <c r="H221" s="355"/>
      <c r="I221" s="318"/>
      <c r="J221" s="317"/>
      <c r="K221" s="317"/>
      <c r="L221" s="317"/>
      <c r="M221" s="317"/>
      <c r="N221" s="317"/>
      <c r="O221" s="317"/>
      <c r="P221" s="115"/>
      <c r="Q221" s="115"/>
      <c r="R221" s="115"/>
      <c r="S221" s="115"/>
      <c r="T221" s="115"/>
      <c r="U221" s="115"/>
      <c r="V221" s="115"/>
      <c r="W221" s="115"/>
      <c r="X221" s="115"/>
      <c r="Y221" s="115"/>
      <c r="Z221" s="115"/>
    </row>
    <row r="222" spans="1:26" ht="12.75" customHeight="1" x14ac:dyDescent="0.25">
      <c r="A222" s="336"/>
      <c r="B222" s="115"/>
      <c r="C222" s="115"/>
      <c r="D222" s="333">
        <v>617015</v>
      </c>
      <c r="E222" s="330"/>
      <c r="F222" s="331"/>
      <c r="G222" s="332" t="s">
        <v>2831</v>
      </c>
      <c r="H222" s="115"/>
      <c r="I222" s="318"/>
      <c r="J222" s="317"/>
      <c r="K222" s="317"/>
      <c r="L222" s="317"/>
      <c r="M222" s="317"/>
      <c r="N222" s="317"/>
      <c r="O222" s="317"/>
      <c r="P222" s="115"/>
      <c r="Q222" s="115"/>
      <c r="R222" s="115"/>
      <c r="S222" s="115"/>
      <c r="T222" s="115"/>
      <c r="U222" s="115"/>
      <c r="V222" s="115"/>
      <c r="W222" s="115"/>
      <c r="X222" s="115"/>
      <c r="Y222" s="115"/>
      <c r="Z222" s="115"/>
    </row>
    <row r="223" spans="1:26" ht="12.75" customHeight="1" x14ac:dyDescent="0.25">
      <c r="A223" s="336"/>
      <c r="B223" s="115"/>
      <c r="C223" s="115"/>
      <c r="D223" s="340"/>
      <c r="E223" s="341"/>
      <c r="F223" s="340"/>
      <c r="G223" s="334" t="s">
        <v>554</v>
      </c>
      <c r="H223" s="115"/>
      <c r="I223" s="318"/>
      <c r="J223" s="317"/>
      <c r="K223" s="317"/>
      <c r="L223" s="317"/>
      <c r="M223" s="317"/>
      <c r="N223" s="317"/>
      <c r="O223" s="317"/>
      <c r="P223" s="115"/>
      <c r="Q223" s="115"/>
      <c r="R223" s="115"/>
      <c r="S223" s="115"/>
      <c r="T223" s="115"/>
      <c r="U223" s="115"/>
      <c r="V223" s="115"/>
      <c r="W223" s="115"/>
      <c r="X223" s="115"/>
      <c r="Y223" s="115"/>
      <c r="Z223" s="115"/>
    </row>
    <row r="224" spans="1:26" ht="12.75" customHeight="1" x14ac:dyDescent="0.25">
      <c r="A224" s="336">
        <f>+D222</f>
        <v>617015</v>
      </c>
      <c r="B224" s="115" t="str">
        <f>G222</f>
        <v>Het maken van inritten</v>
      </c>
      <c r="C224" s="115"/>
      <c r="D224" s="337">
        <v>84380</v>
      </c>
      <c r="E224" s="343"/>
      <c r="F224" s="337"/>
      <c r="G224" s="319" t="s">
        <v>2173</v>
      </c>
      <c r="H224" s="115"/>
      <c r="I224" s="318"/>
      <c r="J224" s="318">
        <v>-30202</v>
      </c>
      <c r="K224" s="318">
        <v>-30987</v>
      </c>
      <c r="L224" s="318">
        <f>-L172</f>
        <v>-31638</v>
      </c>
      <c r="M224" s="318">
        <f>-M172</f>
        <v>-32366</v>
      </c>
      <c r="N224" s="318">
        <f>-N172</f>
        <v>-33110</v>
      </c>
      <c r="O224" s="318">
        <f>-O172</f>
        <v>-33872</v>
      </c>
      <c r="P224" s="115"/>
      <c r="Q224" s="115"/>
      <c r="R224" s="115"/>
      <c r="S224" s="115"/>
      <c r="T224" s="115"/>
      <c r="U224" s="115"/>
      <c r="V224" s="115"/>
      <c r="W224" s="115"/>
      <c r="X224" s="115"/>
      <c r="Y224" s="115"/>
      <c r="Z224" s="115"/>
    </row>
    <row r="225" spans="1:26" ht="12.75" customHeight="1" thickBot="1" x14ac:dyDescent="0.3">
      <c r="A225" s="336"/>
      <c r="B225" s="115"/>
      <c r="C225" s="115"/>
      <c r="D225" s="340"/>
      <c r="E225" s="341"/>
      <c r="F225" s="340"/>
      <c r="G225" s="319" t="s">
        <v>536</v>
      </c>
      <c r="H225" s="115"/>
      <c r="I225" s="318"/>
      <c r="J225" s="342">
        <v>-30202</v>
      </c>
      <c r="K225" s="342">
        <v>-30987</v>
      </c>
      <c r="L225" s="342">
        <f>SUM(L224)</f>
        <v>-31638</v>
      </c>
      <c r="M225" s="342">
        <f>SUM(M224)</f>
        <v>-32366</v>
      </c>
      <c r="N225" s="342">
        <f>SUM(N224)</f>
        <v>-33110</v>
      </c>
      <c r="O225" s="342">
        <f>SUM(O224)</f>
        <v>-33872</v>
      </c>
      <c r="P225" s="115"/>
      <c r="Q225" s="115"/>
      <c r="R225" s="115"/>
      <c r="S225" s="115"/>
      <c r="T225" s="115"/>
      <c r="U225" s="115"/>
      <c r="V225" s="115"/>
      <c r="W225" s="115"/>
      <c r="X225" s="115"/>
      <c r="Y225" s="115"/>
      <c r="Z225" s="115"/>
    </row>
    <row r="226" spans="1:26" ht="12.75" customHeight="1" thickTop="1" x14ac:dyDescent="0.25">
      <c r="A226" s="336"/>
      <c r="B226" s="115"/>
      <c r="C226" s="115"/>
      <c r="D226" s="352"/>
      <c r="E226" s="353"/>
      <c r="F226" s="352"/>
      <c r="G226" s="319"/>
      <c r="H226" s="355"/>
      <c r="I226" s="318"/>
      <c r="J226" s="317"/>
      <c r="K226" s="317"/>
      <c r="L226" s="317"/>
      <c r="M226" s="317"/>
      <c r="N226" s="317"/>
      <c r="O226" s="317"/>
      <c r="P226" s="115"/>
      <c r="Q226" s="115"/>
      <c r="R226" s="115"/>
      <c r="S226" s="115"/>
      <c r="T226" s="115"/>
      <c r="U226" s="115"/>
      <c r="V226" s="115"/>
      <c r="W226" s="115"/>
      <c r="X226" s="115"/>
      <c r="Y226" s="115"/>
      <c r="Z226" s="115"/>
    </row>
    <row r="227" spans="1:26" ht="12.75" customHeight="1" x14ac:dyDescent="0.25">
      <c r="A227" s="336"/>
      <c r="B227" s="115"/>
      <c r="C227" s="115"/>
      <c r="D227" s="333">
        <v>617016</v>
      </c>
      <c r="E227" s="330"/>
      <c r="F227" s="331"/>
      <c r="G227" s="332" t="s">
        <v>2833</v>
      </c>
      <c r="H227" s="115"/>
      <c r="I227" s="316"/>
      <c r="J227" s="317"/>
      <c r="K227" s="317"/>
      <c r="L227" s="317"/>
      <c r="M227" s="317"/>
      <c r="N227" s="317"/>
      <c r="O227" s="317"/>
      <c r="P227" s="115"/>
      <c r="Q227" s="115"/>
      <c r="R227" s="115"/>
      <c r="S227" s="115"/>
      <c r="T227" s="115"/>
      <c r="U227" s="115"/>
      <c r="V227" s="115"/>
      <c r="W227" s="115"/>
      <c r="X227" s="115"/>
      <c r="Y227" s="115"/>
      <c r="Z227" s="115"/>
    </row>
    <row r="228" spans="1:26" ht="12.75" customHeight="1" x14ac:dyDescent="0.25">
      <c r="A228" s="336"/>
      <c r="B228" s="115"/>
      <c r="C228" s="115"/>
      <c r="D228" s="340"/>
      <c r="E228" s="341"/>
      <c r="F228" s="340"/>
      <c r="G228" s="334" t="s">
        <v>554</v>
      </c>
      <c r="H228" s="115"/>
      <c r="I228" s="316"/>
      <c r="J228" s="317"/>
      <c r="K228" s="317"/>
      <c r="L228" s="317"/>
      <c r="M228" s="317"/>
      <c r="N228" s="317"/>
      <c r="O228" s="317"/>
      <c r="P228" s="115"/>
      <c r="Q228" s="115"/>
      <c r="R228" s="115"/>
      <c r="S228" s="115"/>
      <c r="T228" s="115"/>
      <c r="U228" s="115"/>
      <c r="V228" s="115"/>
      <c r="W228" s="115"/>
      <c r="X228" s="115"/>
      <c r="Y228" s="115"/>
      <c r="Z228" s="115"/>
    </row>
    <row r="229" spans="1:26" ht="12.75" customHeight="1" x14ac:dyDescent="0.25">
      <c r="A229" s="336">
        <f>+D227</f>
        <v>617016</v>
      </c>
      <c r="B229" s="115" t="str">
        <f>G227</f>
        <v>Straatverlichting</v>
      </c>
      <c r="C229" s="115"/>
      <c r="D229" s="337">
        <v>83800</v>
      </c>
      <c r="E229" s="343"/>
      <c r="F229" s="337"/>
      <c r="G229" s="319" t="s">
        <v>535</v>
      </c>
      <c r="H229" s="115"/>
      <c r="I229" s="316"/>
      <c r="J229" s="317">
        <v>-3322</v>
      </c>
      <c r="K229" s="317">
        <v>-3408</v>
      </c>
      <c r="L229" s="317">
        <f t="shared" ref="L229:O230" si="118">ROUND(K229*T$2,0)</f>
        <v>-3480</v>
      </c>
      <c r="M229" s="317">
        <f t="shared" si="118"/>
        <v>-3560</v>
      </c>
      <c r="N229" s="317">
        <f t="shared" si="118"/>
        <v>-3642</v>
      </c>
      <c r="O229" s="317">
        <f t="shared" si="118"/>
        <v>-3726</v>
      </c>
      <c r="P229" s="115"/>
      <c r="Q229" s="115"/>
      <c r="R229" s="115"/>
      <c r="S229" s="115"/>
      <c r="T229" s="115"/>
      <c r="U229" s="115"/>
      <c r="V229" s="115"/>
      <c r="W229" s="115"/>
      <c r="X229" s="115"/>
      <c r="Y229" s="115"/>
      <c r="Z229" s="115"/>
    </row>
    <row r="230" spans="1:26" ht="12.75" customHeight="1" x14ac:dyDescent="0.25">
      <c r="A230" s="336">
        <f>+D227</f>
        <v>617016</v>
      </c>
      <c r="B230" s="115" t="str">
        <f>G227</f>
        <v>Straatverlichting</v>
      </c>
      <c r="C230" s="115"/>
      <c r="D230" s="337">
        <v>84380</v>
      </c>
      <c r="E230" s="343"/>
      <c r="F230" s="337"/>
      <c r="G230" s="319" t="s">
        <v>2173</v>
      </c>
      <c r="H230" s="115"/>
      <c r="I230" s="316"/>
      <c r="J230" s="317">
        <v>-4561</v>
      </c>
      <c r="K230" s="317">
        <v>-4680</v>
      </c>
      <c r="L230" s="317">
        <f t="shared" si="118"/>
        <v>-4778</v>
      </c>
      <c r="M230" s="317">
        <f t="shared" si="118"/>
        <v>-4888</v>
      </c>
      <c r="N230" s="317">
        <f t="shared" si="118"/>
        <v>-5000</v>
      </c>
      <c r="O230" s="317">
        <f t="shared" si="118"/>
        <v>-5115</v>
      </c>
      <c r="P230" s="115"/>
      <c r="Q230" s="115"/>
      <c r="R230" s="115"/>
      <c r="S230" s="115"/>
      <c r="T230" s="115"/>
      <c r="U230" s="115"/>
      <c r="V230" s="115"/>
      <c r="W230" s="115"/>
      <c r="X230" s="115"/>
      <c r="Y230" s="115"/>
      <c r="Z230" s="115"/>
    </row>
    <row r="231" spans="1:26" ht="12.75" customHeight="1" thickBot="1" x14ac:dyDescent="0.3">
      <c r="A231" s="336"/>
      <c r="B231" s="115"/>
      <c r="C231" s="115"/>
      <c r="D231" s="340"/>
      <c r="E231" s="341"/>
      <c r="F231" s="340"/>
      <c r="G231" s="319" t="s">
        <v>536</v>
      </c>
      <c r="H231" s="115"/>
      <c r="I231" s="316"/>
      <c r="J231" s="342">
        <v>-7883</v>
      </c>
      <c r="K231" s="342">
        <v>-8088</v>
      </c>
      <c r="L231" s="342">
        <f>SUM(L228:L230)</f>
        <v>-8258</v>
      </c>
      <c r="M231" s="342">
        <f>SUM(M228:M230)</f>
        <v>-8448</v>
      </c>
      <c r="N231" s="342">
        <f>SUM(N228:N230)</f>
        <v>-8642</v>
      </c>
      <c r="O231" s="342">
        <f>SUM(O228:O230)</f>
        <v>-8841</v>
      </c>
      <c r="P231" s="115"/>
      <c r="Q231" s="115"/>
      <c r="R231" s="115"/>
      <c r="S231" s="115"/>
      <c r="T231" s="115"/>
      <c r="U231" s="115"/>
      <c r="V231" s="115"/>
      <c r="W231" s="115"/>
      <c r="X231" s="115"/>
      <c r="Y231" s="115"/>
      <c r="Z231" s="115"/>
    </row>
    <row r="232" spans="1:26" ht="12.75" customHeight="1" thickTop="1" x14ac:dyDescent="0.25">
      <c r="A232" s="336"/>
      <c r="B232" s="115"/>
      <c r="C232" s="115"/>
      <c r="D232" s="340"/>
      <c r="E232" s="341"/>
      <c r="F232" s="340"/>
      <c r="G232" s="319"/>
      <c r="H232" s="115"/>
      <c r="I232" s="316"/>
      <c r="J232" s="317"/>
      <c r="K232" s="317"/>
      <c r="L232" s="317"/>
      <c r="M232" s="317"/>
      <c r="N232" s="317"/>
      <c r="O232" s="317"/>
      <c r="P232" s="115"/>
      <c r="Q232" s="115"/>
      <c r="R232" s="115"/>
      <c r="S232" s="115"/>
      <c r="T232" s="115"/>
      <c r="U232" s="115"/>
      <c r="V232" s="115"/>
      <c r="W232" s="115"/>
      <c r="X232" s="115"/>
      <c r="Y232" s="115"/>
      <c r="Z232" s="115"/>
    </row>
    <row r="233" spans="1:26" ht="12.75" customHeight="1" x14ac:dyDescent="0.25">
      <c r="A233" s="336"/>
      <c r="B233" s="115"/>
      <c r="C233" s="115"/>
      <c r="D233" s="347">
        <v>617017</v>
      </c>
      <c r="E233" s="1218"/>
      <c r="F233" s="476"/>
      <c r="G233" s="332" t="s">
        <v>2835</v>
      </c>
      <c r="H233" s="115"/>
      <c r="I233" s="318"/>
      <c r="J233" s="317"/>
      <c r="K233" s="317"/>
      <c r="L233" s="317"/>
      <c r="M233" s="317"/>
      <c r="N233" s="317"/>
      <c r="O233" s="317"/>
      <c r="P233" s="115"/>
      <c r="Q233" s="115"/>
      <c r="R233" s="494"/>
      <c r="S233" s="494"/>
      <c r="T233" s="494"/>
      <c r="U233" s="494"/>
      <c r="V233" s="494"/>
      <c r="W233" s="115"/>
      <c r="X233" s="115"/>
      <c r="Y233" s="115"/>
      <c r="Z233" s="494"/>
    </row>
    <row r="234" spans="1:26" ht="12.75" customHeight="1" x14ac:dyDescent="0.25">
      <c r="A234" s="336"/>
      <c r="B234" s="115"/>
      <c r="C234" s="115"/>
      <c r="D234" s="340"/>
      <c r="E234" s="341"/>
      <c r="F234" s="340"/>
      <c r="G234" s="334" t="s">
        <v>554</v>
      </c>
      <c r="H234" s="115"/>
      <c r="I234" s="318"/>
      <c r="J234" s="317"/>
      <c r="K234" s="317"/>
      <c r="L234" s="317"/>
      <c r="M234" s="317"/>
      <c r="N234" s="317"/>
      <c r="O234" s="317"/>
      <c r="P234" s="115"/>
      <c r="Q234" s="115"/>
      <c r="R234" s="494"/>
      <c r="S234" s="494"/>
      <c r="T234" s="494"/>
      <c r="U234" s="494"/>
      <c r="V234" s="494"/>
      <c r="W234" s="115"/>
      <c r="X234" s="115"/>
      <c r="Y234" s="115"/>
      <c r="Z234" s="494"/>
    </row>
    <row r="235" spans="1:26" ht="12.75" customHeight="1" x14ac:dyDescent="0.25">
      <c r="A235" s="336">
        <f>+D233</f>
        <v>617017</v>
      </c>
      <c r="B235" s="115" t="str">
        <f>G233</f>
        <v>Reiniging openbare ruimte</v>
      </c>
      <c r="C235" s="115"/>
      <c r="D235" s="340">
        <v>83800</v>
      </c>
      <c r="E235" s="341"/>
      <c r="F235" s="340"/>
      <c r="G235" s="319" t="s">
        <v>535</v>
      </c>
      <c r="H235" s="115"/>
      <c r="I235" s="318"/>
      <c r="J235" s="683">
        <v>-359960</v>
      </c>
      <c r="K235" s="683">
        <v>-414368</v>
      </c>
      <c r="L235" s="683">
        <f>L738+L744</f>
        <v>-442410</v>
      </c>
      <c r="M235" s="683">
        <f>M738+M744</f>
        <v>-469930</v>
      </c>
      <c r="N235" s="683">
        <f>N738+N744</f>
        <v>-498072</v>
      </c>
      <c r="O235" s="683">
        <f>O738+O744</f>
        <v>-526614</v>
      </c>
      <c r="P235" s="359"/>
      <c r="Q235" s="115"/>
      <c r="R235" s="494"/>
      <c r="S235" s="494"/>
      <c r="T235" s="494"/>
      <c r="U235" s="494"/>
      <c r="V235" s="494"/>
      <c r="W235" s="115"/>
      <c r="X235" s="115"/>
      <c r="Y235" s="115"/>
      <c r="Z235" s="494"/>
    </row>
    <row r="236" spans="1:26" ht="12.75" customHeight="1" thickBot="1" x14ac:dyDescent="0.3">
      <c r="A236" s="336"/>
      <c r="B236" s="115"/>
      <c r="C236" s="115"/>
      <c r="D236" s="340"/>
      <c r="E236" s="341"/>
      <c r="F236" s="340"/>
      <c r="G236" s="319"/>
      <c r="H236" s="115"/>
      <c r="I236" s="318"/>
      <c r="J236" s="684">
        <v>-359960</v>
      </c>
      <c r="K236" s="684">
        <v>-414368</v>
      </c>
      <c r="L236" s="684">
        <f>SUM(L235)</f>
        <v>-442410</v>
      </c>
      <c r="M236" s="684">
        <f>SUM(M235)</f>
        <v>-469930</v>
      </c>
      <c r="N236" s="684">
        <f>SUM(N235)</f>
        <v>-498072</v>
      </c>
      <c r="O236" s="684">
        <f>SUM(O235)</f>
        <v>-526614</v>
      </c>
      <c r="P236" s="359"/>
      <c r="Q236" s="115"/>
      <c r="R236" s="494"/>
      <c r="S236" s="494"/>
      <c r="T236" s="494"/>
      <c r="U236" s="494"/>
      <c r="V236" s="494"/>
      <c r="W236" s="115"/>
      <c r="X236" s="115"/>
      <c r="Y236" s="115"/>
      <c r="Z236" s="494"/>
    </row>
    <row r="237" spans="1:26" ht="12.75" customHeight="1" thickTop="1" x14ac:dyDescent="0.25">
      <c r="A237" s="336"/>
      <c r="B237" s="115"/>
      <c r="C237" s="115"/>
      <c r="D237" s="340"/>
      <c r="E237" s="341"/>
      <c r="F237" s="340"/>
      <c r="G237" s="319"/>
      <c r="H237" s="115"/>
      <c r="I237" s="316"/>
      <c r="J237" s="317"/>
      <c r="K237" s="317"/>
      <c r="L237" s="317"/>
      <c r="M237" s="317"/>
      <c r="N237" s="317"/>
      <c r="O237" s="317"/>
      <c r="P237" s="115"/>
      <c r="Q237" s="115"/>
      <c r="R237" s="115">
        <v>2025</v>
      </c>
      <c r="S237" s="115">
        <v>2026</v>
      </c>
      <c r="T237" s="115">
        <v>2027</v>
      </c>
      <c r="U237" s="115">
        <v>2028</v>
      </c>
      <c r="V237" s="115">
        <v>2029</v>
      </c>
      <c r="W237" s="358">
        <v>2030</v>
      </c>
      <c r="X237" s="115"/>
      <c r="Y237" s="115"/>
      <c r="Z237" s="115"/>
    </row>
    <row r="238" spans="1:26" ht="12.75" customHeight="1" x14ac:dyDescent="0.25">
      <c r="A238" s="336"/>
      <c r="B238" s="115"/>
      <c r="C238" s="115"/>
      <c r="D238" s="347">
        <v>617018</v>
      </c>
      <c r="E238" s="1221"/>
      <c r="F238" s="340"/>
      <c r="G238" s="332" t="s">
        <v>2841</v>
      </c>
      <c r="H238" s="115"/>
      <c r="I238" s="316"/>
      <c r="J238" s="317"/>
      <c r="K238" s="317"/>
      <c r="L238" s="317"/>
      <c r="M238" s="317"/>
      <c r="N238" s="317"/>
      <c r="O238" s="317"/>
      <c r="P238" s="115"/>
      <c r="Q238" s="115"/>
      <c r="R238" s="115"/>
      <c r="S238" s="115"/>
      <c r="T238" s="115"/>
      <c r="U238" s="115"/>
      <c r="V238" s="115"/>
      <c r="W238" s="358"/>
      <c r="X238" s="115"/>
      <c r="Y238" s="115"/>
      <c r="Z238" s="115"/>
    </row>
    <row r="239" spans="1:26" ht="12.75" customHeight="1" x14ac:dyDescent="0.25">
      <c r="A239" s="336"/>
      <c r="B239" s="115"/>
      <c r="C239" s="115"/>
      <c r="D239" s="347"/>
      <c r="E239" s="1221"/>
      <c r="F239" s="340"/>
      <c r="G239" s="332" t="s">
        <v>2842</v>
      </c>
      <c r="H239" s="115"/>
      <c r="I239" s="316"/>
      <c r="J239" s="317"/>
      <c r="K239" s="317"/>
      <c r="L239" s="317"/>
      <c r="M239" s="317"/>
      <c r="N239" s="317"/>
      <c r="O239" s="317"/>
      <c r="P239" s="115"/>
      <c r="Q239" s="115"/>
      <c r="R239" s="115"/>
      <c r="S239" s="115"/>
      <c r="T239" s="115"/>
      <c r="U239" s="115"/>
      <c r="V239" s="115"/>
      <c r="W239" s="358"/>
      <c r="X239" s="115"/>
      <c r="Y239" s="115"/>
      <c r="Z239" s="115"/>
    </row>
    <row r="240" spans="1:26" ht="12.75" customHeight="1" x14ac:dyDescent="0.25">
      <c r="A240" s="336">
        <f>+D238</f>
        <v>617018</v>
      </c>
      <c r="B240" s="115" t="str">
        <f>+G238</f>
        <v>Doorbelasting Overhead</v>
      </c>
      <c r="C240" s="115"/>
      <c r="D240" s="340">
        <v>42100</v>
      </c>
      <c r="E240" s="1221"/>
      <c r="F240" s="340"/>
      <c r="G240" s="319" t="s">
        <v>978</v>
      </c>
      <c r="H240" s="115"/>
      <c r="I240" s="316"/>
      <c r="J240" s="317">
        <v>3165.4</v>
      </c>
      <c r="K240" s="317">
        <v>3253.94</v>
      </c>
      <c r="L240" s="317">
        <f t="shared" ref="L240:O254" si="119">-T240</f>
        <v>3345.14</v>
      </c>
      <c r="M240" s="317">
        <f t="shared" si="119"/>
        <v>3438.62</v>
      </c>
      <c r="N240" s="317">
        <f t="shared" si="119"/>
        <v>3534.76</v>
      </c>
      <c r="O240" s="317">
        <f t="shared" si="119"/>
        <v>3534.76</v>
      </c>
      <c r="P240" s="115"/>
      <c r="Q240" s="233"/>
      <c r="R240" s="233">
        <v>-3165.4</v>
      </c>
      <c r="S240" s="233">
        <v>-3253.94</v>
      </c>
      <c r="T240" s="233">
        <v>-3345.14</v>
      </c>
      <c r="U240" s="233">
        <v>-3438.62</v>
      </c>
      <c r="V240" s="233">
        <v>-3534.76</v>
      </c>
      <c r="W240" s="2094">
        <v>-3534.76</v>
      </c>
      <c r="X240" s="115"/>
      <c r="Y240" s="114"/>
      <c r="Z240" s="115"/>
    </row>
    <row r="241" spans="1:26" ht="12.75" customHeight="1" x14ac:dyDescent="0.25">
      <c r="A241" s="336">
        <v>617018</v>
      </c>
      <c r="B241" s="115" t="s">
        <v>2841</v>
      </c>
      <c r="C241" s="115"/>
      <c r="D241" s="340">
        <v>42100</v>
      </c>
      <c r="E241" s="1221"/>
      <c r="F241" s="340"/>
      <c r="G241" s="319" t="s">
        <v>979</v>
      </c>
      <c r="H241" s="115"/>
      <c r="I241" s="316"/>
      <c r="J241" s="317">
        <v>540.36</v>
      </c>
      <c r="K241" s="317">
        <v>555.56000000000006</v>
      </c>
      <c r="L241" s="317">
        <f t="shared" si="119"/>
        <v>571.14</v>
      </c>
      <c r="M241" s="317">
        <f t="shared" si="119"/>
        <v>587.1</v>
      </c>
      <c r="N241" s="317">
        <f t="shared" si="119"/>
        <v>603.44000000000005</v>
      </c>
      <c r="O241" s="317">
        <f t="shared" si="119"/>
        <v>603.44000000000005</v>
      </c>
      <c r="P241" s="115"/>
      <c r="Q241" s="233"/>
      <c r="R241" s="233">
        <v>-540.36</v>
      </c>
      <c r="S241" s="233">
        <v>-555.56000000000006</v>
      </c>
      <c r="T241" s="233">
        <v>-571.14</v>
      </c>
      <c r="U241" s="233">
        <v>-587.1</v>
      </c>
      <c r="V241" s="233">
        <v>-603.44000000000005</v>
      </c>
      <c r="W241" s="2094">
        <v>-603.44000000000005</v>
      </c>
      <c r="X241" s="115"/>
      <c r="Y241" s="114"/>
      <c r="Z241" s="115"/>
    </row>
    <row r="242" spans="1:26" ht="12.75" customHeight="1" x14ac:dyDescent="0.25">
      <c r="A242" s="336">
        <v>617018</v>
      </c>
      <c r="B242" s="115" t="s">
        <v>2841</v>
      </c>
      <c r="C242" s="115"/>
      <c r="D242" s="340">
        <v>42100</v>
      </c>
      <c r="E242" s="1221"/>
      <c r="F242" s="340"/>
      <c r="G242" s="319" t="s">
        <v>1578</v>
      </c>
      <c r="H242" s="115"/>
      <c r="I242" s="316"/>
      <c r="J242" s="317">
        <v>72.2</v>
      </c>
      <c r="K242" s="317">
        <v>74.099999999999994</v>
      </c>
      <c r="L242" s="317">
        <f t="shared" si="119"/>
        <v>76</v>
      </c>
      <c r="M242" s="317">
        <f t="shared" si="119"/>
        <v>78.28</v>
      </c>
      <c r="N242" s="317">
        <f t="shared" si="119"/>
        <v>80.56</v>
      </c>
      <c r="O242" s="317">
        <f t="shared" si="119"/>
        <v>80.56</v>
      </c>
      <c r="P242" s="115"/>
      <c r="Q242" s="233"/>
      <c r="R242" s="233">
        <v>-72.2</v>
      </c>
      <c r="S242" s="233">
        <v>-74.099999999999994</v>
      </c>
      <c r="T242" s="233">
        <v>-76</v>
      </c>
      <c r="U242" s="233">
        <v>-78.28</v>
      </c>
      <c r="V242" s="233">
        <v>-80.56</v>
      </c>
      <c r="W242" s="2094">
        <v>-80.56</v>
      </c>
      <c r="X242" s="115"/>
      <c r="Y242" s="114"/>
      <c r="Z242" s="115"/>
    </row>
    <row r="243" spans="1:26" ht="12.75" customHeight="1" x14ac:dyDescent="0.25">
      <c r="A243" s="336">
        <v>617018</v>
      </c>
      <c r="B243" s="115" t="s">
        <v>2841</v>
      </c>
      <c r="C243" s="115"/>
      <c r="D243" s="340">
        <v>43511</v>
      </c>
      <c r="E243" s="1221"/>
      <c r="F243" s="340"/>
      <c r="G243" s="319" t="s">
        <v>560</v>
      </c>
      <c r="H243" s="115"/>
      <c r="I243" s="316"/>
      <c r="J243" s="317">
        <v>7630.78</v>
      </c>
      <c r="K243" s="317">
        <v>7830.28</v>
      </c>
      <c r="L243" s="317">
        <f t="shared" si="119"/>
        <v>8001.28</v>
      </c>
      <c r="M243" s="317">
        <f t="shared" si="119"/>
        <v>8176.08</v>
      </c>
      <c r="N243" s="317">
        <f t="shared" si="119"/>
        <v>8355.2993999999999</v>
      </c>
      <c r="O243" s="317">
        <f t="shared" si="119"/>
        <v>8355.2993999999999</v>
      </c>
      <c r="P243" s="115"/>
      <c r="Q243" s="233"/>
      <c r="R243" s="233">
        <v>-7630.78</v>
      </c>
      <c r="S243" s="233">
        <v>-7830.28</v>
      </c>
      <c r="T243" s="233">
        <v>-8001.28</v>
      </c>
      <c r="U243" s="233">
        <v>-8176.08</v>
      </c>
      <c r="V243" s="233">
        <v>-8355.2993999999999</v>
      </c>
      <c r="W243" s="2094">
        <v>-8355.2993999999999</v>
      </c>
      <c r="X243" s="115"/>
      <c r="Y243" s="114"/>
      <c r="Z243" s="115"/>
    </row>
    <row r="244" spans="1:26" ht="12.75" customHeight="1" x14ac:dyDescent="0.25">
      <c r="A244" s="336">
        <v>617018</v>
      </c>
      <c r="B244" s="115" t="s">
        <v>2841</v>
      </c>
      <c r="C244" s="115"/>
      <c r="D244" s="340">
        <v>43801</v>
      </c>
      <c r="E244" s="1221"/>
      <c r="F244" s="340"/>
      <c r="G244" s="319" t="s">
        <v>996</v>
      </c>
      <c r="H244" s="115"/>
      <c r="I244" s="316"/>
      <c r="J244" s="317">
        <v>2744.7400000000002</v>
      </c>
      <c r="K244" s="317">
        <v>2821.5</v>
      </c>
      <c r="L244" s="317">
        <f t="shared" si="119"/>
        <v>2900.54</v>
      </c>
      <c r="M244" s="317">
        <f t="shared" si="119"/>
        <v>2981.86</v>
      </c>
      <c r="N244" s="317">
        <f t="shared" si="119"/>
        <v>3065.46</v>
      </c>
      <c r="O244" s="317">
        <f t="shared" si="119"/>
        <v>3065.46</v>
      </c>
      <c r="P244" s="115"/>
      <c r="Q244" s="233"/>
      <c r="R244" s="233">
        <v>-2744.7400000000002</v>
      </c>
      <c r="S244" s="233">
        <v>-2821.5</v>
      </c>
      <c r="T244" s="233">
        <v>-2900.54</v>
      </c>
      <c r="U244" s="233">
        <v>-2981.86</v>
      </c>
      <c r="V244" s="233">
        <v>-3065.46</v>
      </c>
      <c r="W244" s="2094">
        <v>-3065.46</v>
      </c>
      <c r="X244" s="115"/>
      <c r="Y244" s="114"/>
      <c r="Z244" s="115"/>
    </row>
    <row r="245" spans="1:26" ht="12.75" customHeight="1" x14ac:dyDescent="0.25">
      <c r="A245" s="336">
        <v>617018</v>
      </c>
      <c r="B245" s="115" t="s">
        <v>2841</v>
      </c>
      <c r="C245" s="115"/>
      <c r="D245" s="340">
        <v>43802</v>
      </c>
      <c r="E245" s="1221"/>
      <c r="F245" s="340"/>
      <c r="G245" s="319" t="s">
        <v>991</v>
      </c>
      <c r="H245" s="115"/>
      <c r="I245" s="316"/>
      <c r="J245" s="317">
        <v>254.6</v>
      </c>
      <c r="K245" s="317">
        <v>261.82</v>
      </c>
      <c r="L245" s="317">
        <f t="shared" si="119"/>
        <v>269.04000000000002</v>
      </c>
      <c r="M245" s="317">
        <f t="shared" si="119"/>
        <v>276.64</v>
      </c>
      <c r="N245" s="317">
        <f t="shared" si="119"/>
        <v>284.24</v>
      </c>
      <c r="O245" s="317">
        <f t="shared" si="119"/>
        <v>284.24</v>
      </c>
      <c r="P245" s="115"/>
      <c r="Q245" s="233"/>
      <c r="R245" s="233">
        <v>-254.6</v>
      </c>
      <c r="S245" s="233">
        <v>-261.82</v>
      </c>
      <c r="T245" s="233">
        <v>-269.04000000000002</v>
      </c>
      <c r="U245" s="233">
        <v>-276.64</v>
      </c>
      <c r="V245" s="233">
        <v>-284.24</v>
      </c>
      <c r="W245" s="2094">
        <v>-284.24</v>
      </c>
      <c r="X245" s="115"/>
      <c r="Y245" s="114"/>
      <c r="Z245" s="115"/>
    </row>
    <row r="246" spans="1:26" ht="12.75" customHeight="1" x14ac:dyDescent="0.25">
      <c r="A246" s="336">
        <v>617018</v>
      </c>
      <c r="B246" s="115" t="s">
        <v>2841</v>
      </c>
      <c r="C246" s="115"/>
      <c r="D246" s="340">
        <v>43803</v>
      </c>
      <c r="E246" s="1221"/>
      <c r="F246" s="340"/>
      <c r="G246" s="319" t="s">
        <v>1831</v>
      </c>
      <c r="H246" s="115"/>
      <c r="I246" s="316"/>
      <c r="J246" s="317">
        <v>141.36000000000001</v>
      </c>
      <c r="K246" s="317">
        <v>145.16</v>
      </c>
      <c r="L246" s="317">
        <f t="shared" si="119"/>
        <v>149.34</v>
      </c>
      <c r="M246" s="317">
        <f t="shared" si="119"/>
        <v>153.52000000000001</v>
      </c>
      <c r="N246" s="317">
        <f t="shared" si="119"/>
        <v>157.69999999999999</v>
      </c>
      <c r="O246" s="317">
        <f t="shared" si="119"/>
        <v>157.69999999999999</v>
      </c>
      <c r="P246" s="115"/>
      <c r="Q246" s="233"/>
      <c r="R246" s="233">
        <v>-141.36000000000001</v>
      </c>
      <c r="S246" s="233">
        <v>-145.16</v>
      </c>
      <c r="T246" s="233">
        <v>-149.34</v>
      </c>
      <c r="U246" s="233">
        <v>-153.52000000000001</v>
      </c>
      <c r="V246" s="233">
        <v>-157.69999999999999</v>
      </c>
      <c r="W246" s="2094">
        <v>-157.69999999999999</v>
      </c>
      <c r="X246" s="115"/>
      <c r="Y246" s="114"/>
      <c r="Z246" s="115"/>
    </row>
    <row r="247" spans="1:26" ht="12.75" customHeight="1" x14ac:dyDescent="0.25">
      <c r="A247" s="336">
        <v>617018</v>
      </c>
      <c r="B247" s="115" t="s">
        <v>2841</v>
      </c>
      <c r="C247" s="115"/>
      <c r="D247" s="340">
        <v>43806</v>
      </c>
      <c r="E247" s="1221"/>
      <c r="F247" s="340"/>
      <c r="G247" s="319" t="s">
        <v>1832</v>
      </c>
      <c r="H247" s="115"/>
      <c r="I247" s="316"/>
      <c r="J247" s="317">
        <v>207.48</v>
      </c>
      <c r="K247" s="317">
        <v>213.18</v>
      </c>
      <c r="L247" s="317">
        <f t="shared" si="119"/>
        <v>219.26</v>
      </c>
      <c r="M247" s="317">
        <f t="shared" si="119"/>
        <v>225.34</v>
      </c>
      <c r="N247" s="317">
        <f t="shared" si="119"/>
        <v>231.8</v>
      </c>
      <c r="O247" s="317">
        <f t="shared" si="119"/>
        <v>231.8</v>
      </c>
      <c r="P247" s="115"/>
      <c r="Q247" s="233"/>
      <c r="R247" s="233">
        <v>-207.48</v>
      </c>
      <c r="S247" s="233">
        <v>-213.18</v>
      </c>
      <c r="T247" s="233">
        <v>-219.26</v>
      </c>
      <c r="U247" s="233">
        <v>-225.34</v>
      </c>
      <c r="V247" s="233">
        <v>-231.8</v>
      </c>
      <c r="W247" s="2094">
        <v>-231.8</v>
      </c>
      <c r="X247" s="115"/>
      <c r="Y247" s="114"/>
      <c r="Z247" s="115"/>
    </row>
    <row r="248" spans="1:26" ht="12.75" customHeight="1" x14ac:dyDescent="0.25">
      <c r="A248" s="336">
        <v>617018</v>
      </c>
      <c r="B248" s="115" t="s">
        <v>2841</v>
      </c>
      <c r="C248" s="115"/>
      <c r="D248" s="340">
        <v>43806</v>
      </c>
      <c r="E248" s="1221"/>
      <c r="F248" s="340"/>
      <c r="G248" s="319" t="s">
        <v>1833</v>
      </c>
      <c r="H248" s="115"/>
      <c r="I248" s="316"/>
      <c r="J248" s="317">
        <v>153.52000000000001</v>
      </c>
      <c r="K248" s="317">
        <v>157.69999999999999</v>
      </c>
      <c r="L248" s="317">
        <f t="shared" si="119"/>
        <v>162.26</v>
      </c>
      <c r="M248" s="317">
        <f t="shared" si="119"/>
        <v>166.82</v>
      </c>
      <c r="N248" s="317">
        <f t="shared" si="119"/>
        <v>171.38</v>
      </c>
      <c r="O248" s="317">
        <f t="shared" si="119"/>
        <v>171.38</v>
      </c>
      <c r="P248" s="115"/>
      <c r="Q248" s="233"/>
      <c r="R248" s="233">
        <v>-153.52000000000001</v>
      </c>
      <c r="S248" s="233">
        <v>-157.69999999999999</v>
      </c>
      <c r="T248" s="233">
        <v>-162.26</v>
      </c>
      <c r="U248" s="233">
        <v>-166.82</v>
      </c>
      <c r="V248" s="233">
        <v>-171.38</v>
      </c>
      <c r="W248" s="2094">
        <v>-171.38</v>
      </c>
      <c r="X248" s="115"/>
      <c r="Y248" s="114"/>
      <c r="Z248" s="115"/>
    </row>
    <row r="249" spans="1:26" ht="12.75" customHeight="1" x14ac:dyDescent="0.25">
      <c r="A249" s="336">
        <v>617018</v>
      </c>
      <c r="B249" s="115" t="s">
        <v>2841</v>
      </c>
      <c r="C249" s="115"/>
      <c r="D249" s="340">
        <v>43806</v>
      </c>
      <c r="E249" s="1221"/>
      <c r="F249" s="340"/>
      <c r="G249" s="319" t="s">
        <v>980</v>
      </c>
      <c r="H249" s="115"/>
      <c r="I249" s="316"/>
      <c r="J249" s="317">
        <v>1377.88</v>
      </c>
      <c r="K249" s="317">
        <v>1416.64</v>
      </c>
      <c r="L249" s="317">
        <f t="shared" si="119"/>
        <v>1456.16</v>
      </c>
      <c r="M249" s="317">
        <f t="shared" si="119"/>
        <v>1496.82</v>
      </c>
      <c r="N249" s="317">
        <f t="shared" si="119"/>
        <v>1538.6200000000001</v>
      </c>
      <c r="O249" s="317">
        <f t="shared" si="119"/>
        <v>1538.6200000000001</v>
      </c>
      <c r="P249" s="115"/>
      <c r="Q249" s="233"/>
      <c r="R249" s="233">
        <v>-1377.88</v>
      </c>
      <c r="S249" s="233">
        <v>-1416.64</v>
      </c>
      <c r="T249" s="233">
        <v>-1456.16</v>
      </c>
      <c r="U249" s="233">
        <v>-1496.82</v>
      </c>
      <c r="V249" s="233">
        <v>-1538.6200000000001</v>
      </c>
      <c r="W249" s="2094">
        <v>-1538.6200000000001</v>
      </c>
      <c r="X249" s="115"/>
      <c r="Y249" s="114"/>
      <c r="Z249" s="115"/>
    </row>
    <row r="250" spans="1:26" ht="12.75" customHeight="1" x14ac:dyDescent="0.25">
      <c r="A250" s="336">
        <v>617018</v>
      </c>
      <c r="B250" s="115" t="s">
        <v>2841</v>
      </c>
      <c r="C250" s="115"/>
      <c r="D250" s="340">
        <v>43812</v>
      </c>
      <c r="E250" s="1221"/>
      <c r="F250" s="340"/>
      <c r="G250" s="319" t="s">
        <v>535</v>
      </c>
      <c r="H250" s="115"/>
      <c r="I250" s="316"/>
      <c r="J250" s="317">
        <v>5558.26</v>
      </c>
      <c r="K250" s="317">
        <v>5702.66</v>
      </c>
      <c r="L250" s="317">
        <f t="shared" si="119"/>
        <v>5828.06</v>
      </c>
      <c r="M250" s="317">
        <f t="shared" si="119"/>
        <v>5956.12</v>
      </c>
      <c r="N250" s="317">
        <f t="shared" si="119"/>
        <v>6087.22</v>
      </c>
      <c r="O250" s="317">
        <f t="shared" si="119"/>
        <v>6087.22</v>
      </c>
      <c r="P250" s="115"/>
      <c r="Q250" s="233"/>
      <c r="R250" s="233">
        <v>-5558.26</v>
      </c>
      <c r="S250" s="233">
        <v>-5702.66</v>
      </c>
      <c r="T250" s="233">
        <v>-5828.06</v>
      </c>
      <c r="U250" s="233">
        <v>-5956.12</v>
      </c>
      <c r="V250" s="233">
        <v>-6087.22</v>
      </c>
      <c r="W250" s="2094">
        <v>-6087.22</v>
      </c>
      <c r="X250" s="115"/>
      <c r="Y250" s="114"/>
      <c r="Z250" s="115"/>
    </row>
    <row r="251" spans="1:26" ht="12.75" customHeight="1" x14ac:dyDescent="0.25">
      <c r="A251" s="336">
        <v>617018</v>
      </c>
      <c r="B251" s="115" t="s">
        <v>2841</v>
      </c>
      <c r="C251" s="115"/>
      <c r="D251" s="340">
        <v>43814</v>
      </c>
      <c r="E251" s="1221"/>
      <c r="F251" s="340"/>
      <c r="G251" s="319" t="s">
        <v>1834</v>
      </c>
      <c r="H251" s="115"/>
      <c r="I251" s="316"/>
      <c r="J251" s="317">
        <v>0</v>
      </c>
      <c r="K251" s="317">
        <v>0</v>
      </c>
      <c r="L251" s="317">
        <f t="shared" si="119"/>
        <v>0</v>
      </c>
      <c r="M251" s="317">
        <f t="shared" si="119"/>
        <v>0</v>
      </c>
      <c r="N251" s="317">
        <f t="shared" si="119"/>
        <v>0</v>
      </c>
      <c r="O251" s="317">
        <f t="shared" si="119"/>
        <v>0</v>
      </c>
      <c r="P251" s="115"/>
      <c r="Q251" s="233"/>
      <c r="R251" s="233">
        <v>0</v>
      </c>
      <c r="S251" s="233">
        <v>0</v>
      </c>
      <c r="T251" s="233">
        <v>0</v>
      </c>
      <c r="U251" s="233">
        <v>0</v>
      </c>
      <c r="V251" s="233">
        <v>0</v>
      </c>
      <c r="W251" s="2094">
        <v>0</v>
      </c>
      <c r="X251" s="115"/>
      <c r="Y251" s="114"/>
      <c r="Z251" s="115"/>
    </row>
    <row r="252" spans="1:26" ht="12.75" customHeight="1" x14ac:dyDescent="0.25">
      <c r="A252" s="336">
        <v>617018</v>
      </c>
      <c r="B252" s="115" t="s">
        <v>2841</v>
      </c>
      <c r="C252" s="115"/>
      <c r="D252" s="340">
        <v>43817</v>
      </c>
      <c r="E252" s="1221"/>
      <c r="F252" s="340"/>
      <c r="G252" s="319" t="s">
        <v>1835</v>
      </c>
      <c r="H252" s="115"/>
      <c r="I252" s="316"/>
      <c r="J252" s="317">
        <v>9639.84</v>
      </c>
      <c r="K252" s="317">
        <v>9890.64</v>
      </c>
      <c r="L252" s="317">
        <f t="shared" si="119"/>
        <v>10108.380000000001</v>
      </c>
      <c r="M252" s="317">
        <f t="shared" si="119"/>
        <v>10330.68</v>
      </c>
      <c r="N252" s="317">
        <f t="shared" si="119"/>
        <v>10557.92</v>
      </c>
      <c r="O252" s="317">
        <f t="shared" si="119"/>
        <v>10557.92</v>
      </c>
      <c r="P252" s="115"/>
      <c r="Q252" s="233"/>
      <c r="R252" s="233">
        <v>-9639.84</v>
      </c>
      <c r="S252" s="233">
        <v>-9890.64</v>
      </c>
      <c r="T252" s="233">
        <v>-10108.380000000001</v>
      </c>
      <c r="U252" s="233">
        <v>-10330.68</v>
      </c>
      <c r="V252" s="233">
        <v>-10557.92</v>
      </c>
      <c r="W252" s="2094">
        <v>-10557.92</v>
      </c>
      <c r="X252" s="115"/>
      <c r="Y252" s="114"/>
      <c r="Z252" s="115"/>
    </row>
    <row r="253" spans="1:26" ht="12.75" customHeight="1" x14ac:dyDescent="0.25">
      <c r="A253" s="336">
        <v>617018</v>
      </c>
      <c r="B253" s="115" t="s">
        <v>2841</v>
      </c>
      <c r="C253" s="115"/>
      <c r="D253" s="340">
        <v>47201</v>
      </c>
      <c r="E253" s="1221"/>
      <c r="F253" s="340"/>
      <c r="G253" s="319" t="s">
        <v>1843</v>
      </c>
      <c r="H253" s="115"/>
      <c r="I253" s="316"/>
      <c r="J253" s="317">
        <v>6506.36</v>
      </c>
      <c r="K253" s="317">
        <v>7971.6942720499201</v>
      </c>
      <c r="L253" s="317">
        <f t="shared" si="119"/>
        <v>8370.2789856524159</v>
      </c>
      <c r="M253" s="317">
        <f t="shared" si="119"/>
        <v>8788.7929349350379</v>
      </c>
      <c r="N253" s="317">
        <f t="shared" si="119"/>
        <v>9228.2325816817902</v>
      </c>
      <c r="O253" s="317">
        <f t="shared" si="119"/>
        <v>9228.2325816817902</v>
      </c>
      <c r="P253" s="115"/>
      <c r="Q253" s="233"/>
      <c r="R253" s="233">
        <v>-6506.36</v>
      </c>
      <c r="S253" s="233">
        <v>-7971.6942720499201</v>
      </c>
      <c r="T253" s="233">
        <v>-8370.2789856524159</v>
      </c>
      <c r="U253" s="233">
        <v>-8788.7929349350379</v>
      </c>
      <c r="V253" s="233">
        <v>-9228.2325816817902</v>
      </c>
      <c r="W253" s="2094">
        <v>-9228.2325816817902</v>
      </c>
      <c r="X253" s="115"/>
      <c r="Y253" s="114"/>
      <c r="Z253" s="115"/>
    </row>
    <row r="254" spans="1:26" ht="12.75" customHeight="1" x14ac:dyDescent="0.25">
      <c r="A254" s="336">
        <v>617018</v>
      </c>
      <c r="B254" s="115" t="s">
        <v>2841</v>
      </c>
      <c r="C254" s="115"/>
      <c r="D254" s="340">
        <v>47300</v>
      </c>
      <c r="E254" s="1221"/>
      <c r="F254" s="340"/>
      <c r="G254" s="319" t="s">
        <v>1033</v>
      </c>
      <c r="H254" s="115"/>
      <c r="I254" s="316"/>
      <c r="J254" s="317">
        <v>11992.42</v>
      </c>
      <c r="K254" s="317">
        <v>11992.42</v>
      </c>
      <c r="L254" s="317">
        <f t="shared" si="119"/>
        <v>11992.42</v>
      </c>
      <c r="M254" s="317">
        <f t="shared" si="119"/>
        <v>11992.42</v>
      </c>
      <c r="N254" s="317">
        <f t="shared" si="119"/>
        <v>11992.42</v>
      </c>
      <c r="O254" s="317">
        <f t="shared" si="119"/>
        <v>11992.42</v>
      </c>
      <c r="P254" s="115"/>
      <c r="Q254" s="233"/>
      <c r="R254" s="233">
        <v>-11992.42</v>
      </c>
      <c r="S254" s="233">
        <v>-11992.42</v>
      </c>
      <c r="T254" s="233">
        <v>-11992.42</v>
      </c>
      <c r="U254" s="233">
        <v>-11992.42</v>
      </c>
      <c r="V254" s="233">
        <v>-11992.42</v>
      </c>
      <c r="W254" s="2094">
        <v>-11992.42</v>
      </c>
      <c r="X254" s="115"/>
      <c r="Y254" s="114"/>
      <c r="Z254" s="115"/>
    </row>
    <row r="255" spans="1:26" ht="12.75" customHeight="1" x14ac:dyDescent="0.25">
      <c r="A255" s="336"/>
      <c r="B255" s="115"/>
      <c r="C255" s="115"/>
      <c r="D255" s="340"/>
      <c r="E255" s="1221"/>
      <c r="F255" s="340"/>
      <c r="G255" s="319"/>
      <c r="H255" s="115"/>
      <c r="I255" s="316"/>
      <c r="J255" s="317"/>
      <c r="K255" s="317"/>
      <c r="L255" s="317"/>
      <c r="M255" s="317"/>
      <c r="N255" s="317"/>
      <c r="O255" s="317"/>
      <c r="P255" s="115"/>
      <c r="Q255" s="233"/>
      <c r="R255" s="233"/>
      <c r="S255" s="233"/>
      <c r="T255" s="233"/>
      <c r="U255" s="233"/>
      <c r="V255" s="233"/>
      <c r="W255" s="2094"/>
      <c r="X255" s="115"/>
      <c r="Y255" s="114"/>
      <c r="Z255" s="115"/>
    </row>
    <row r="256" spans="1:26" ht="12.75" customHeight="1" x14ac:dyDescent="0.25">
      <c r="A256" s="336"/>
      <c r="B256" s="115"/>
      <c r="C256" s="115"/>
      <c r="D256" s="347"/>
      <c r="E256" s="1221"/>
      <c r="F256" s="340"/>
      <c r="G256" s="332" t="s">
        <v>1837</v>
      </c>
      <c r="H256" s="115"/>
      <c r="I256" s="316"/>
      <c r="J256" s="317"/>
      <c r="K256" s="317"/>
      <c r="L256" s="317"/>
      <c r="M256" s="317"/>
      <c r="N256" s="317"/>
      <c r="O256" s="317"/>
      <c r="P256" s="115"/>
      <c r="Q256" s="233"/>
      <c r="R256" s="233"/>
      <c r="S256" s="233"/>
      <c r="T256" s="233"/>
      <c r="U256" s="233"/>
      <c r="V256" s="233"/>
      <c r="W256" s="2094"/>
      <c r="X256" s="115"/>
      <c r="Y256" s="115"/>
      <c r="Z256" s="115"/>
    </row>
    <row r="257" spans="1:26" ht="12.75" customHeight="1" x14ac:dyDescent="0.25">
      <c r="A257" s="336">
        <v>617018</v>
      </c>
      <c r="B257" s="115" t="s">
        <v>2841</v>
      </c>
      <c r="C257" s="115"/>
      <c r="D257" s="340">
        <v>43803</v>
      </c>
      <c r="E257" s="1221"/>
      <c r="F257" s="340"/>
      <c r="G257" s="319" t="s">
        <v>1831</v>
      </c>
      <c r="H257" s="115"/>
      <c r="I257" s="316"/>
      <c r="J257" s="317">
        <v>51.3</v>
      </c>
      <c r="K257" s="317">
        <v>52.82</v>
      </c>
      <c r="L257" s="317">
        <f t="shared" ref="L257:O259" si="120">-T257</f>
        <v>54.34</v>
      </c>
      <c r="M257" s="317">
        <f t="shared" si="120"/>
        <v>55.86</v>
      </c>
      <c r="N257" s="317">
        <f t="shared" si="120"/>
        <v>57.38</v>
      </c>
      <c r="O257" s="317">
        <f t="shared" si="120"/>
        <v>57.38</v>
      </c>
      <c r="P257" s="115"/>
      <c r="Q257" s="233"/>
      <c r="R257" s="233">
        <v>-51.3</v>
      </c>
      <c r="S257" s="233">
        <v>-52.82</v>
      </c>
      <c r="T257" s="233">
        <v>-54.34</v>
      </c>
      <c r="U257" s="233">
        <v>-55.86</v>
      </c>
      <c r="V257" s="233">
        <v>-57.38</v>
      </c>
      <c r="W257" s="2094">
        <v>-57.38</v>
      </c>
      <c r="X257" s="115"/>
      <c r="Y257" s="115"/>
      <c r="Z257" s="115"/>
    </row>
    <row r="258" spans="1:26" ht="12.75" customHeight="1" x14ac:dyDescent="0.25">
      <c r="A258" s="336">
        <v>617018</v>
      </c>
      <c r="B258" s="115" t="s">
        <v>2841</v>
      </c>
      <c r="C258" s="115"/>
      <c r="D258" s="340">
        <v>43812</v>
      </c>
      <c r="E258" s="1221"/>
      <c r="F258" s="340"/>
      <c r="G258" s="319" t="s">
        <v>535</v>
      </c>
      <c r="H258" s="115"/>
      <c r="I258" s="316"/>
      <c r="J258" s="317">
        <v>7190.74</v>
      </c>
      <c r="K258" s="317">
        <v>7377.7</v>
      </c>
      <c r="L258" s="317">
        <f t="shared" si="120"/>
        <v>7539.96</v>
      </c>
      <c r="M258" s="317">
        <f t="shared" si="120"/>
        <v>7705.64</v>
      </c>
      <c r="N258" s="317">
        <f t="shared" si="120"/>
        <v>7875.12</v>
      </c>
      <c r="O258" s="317">
        <f t="shared" si="120"/>
        <v>7875.12</v>
      </c>
      <c r="P258" s="115"/>
      <c r="Q258" s="233"/>
      <c r="R258" s="233">
        <v>-7190.74</v>
      </c>
      <c r="S258" s="233">
        <v>-7377.7</v>
      </c>
      <c r="T258" s="233">
        <v>-7539.96</v>
      </c>
      <c r="U258" s="233">
        <v>-7705.64</v>
      </c>
      <c r="V258" s="233">
        <v>-7875.12</v>
      </c>
      <c r="W258" s="2094">
        <v>-7875.12</v>
      </c>
      <c r="X258" s="115"/>
      <c r="Y258" s="115"/>
      <c r="Z258" s="115"/>
    </row>
    <row r="259" spans="1:26" ht="12.75" customHeight="1" x14ac:dyDescent="0.25">
      <c r="A259" s="336">
        <v>617018</v>
      </c>
      <c r="B259" s="115" t="s">
        <v>2841</v>
      </c>
      <c r="C259" s="115"/>
      <c r="D259" s="340">
        <v>43818</v>
      </c>
      <c r="E259" s="1221"/>
      <c r="F259" s="340"/>
      <c r="G259" s="319" t="s">
        <v>1838</v>
      </c>
      <c r="H259" s="115"/>
      <c r="I259" s="316"/>
      <c r="J259" s="317">
        <v>3150.2</v>
      </c>
      <c r="K259" s="317">
        <v>3231.9</v>
      </c>
      <c r="L259" s="317">
        <f t="shared" si="120"/>
        <v>3302.96</v>
      </c>
      <c r="M259" s="317">
        <f t="shared" si="120"/>
        <v>3375.92</v>
      </c>
      <c r="N259" s="317">
        <f t="shared" si="120"/>
        <v>3450.4</v>
      </c>
      <c r="O259" s="317">
        <f t="shared" si="120"/>
        <v>3450.4</v>
      </c>
      <c r="P259" s="115"/>
      <c r="Q259" s="233"/>
      <c r="R259" s="233">
        <v>-3150.2</v>
      </c>
      <c r="S259" s="233">
        <v>-3231.9</v>
      </c>
      <c r="T259" s="233">
        <v>-3302.96</v>
      </c>
      <c r="U259" s="233">
        <v>-3375.92</v>
      </c>
      <c r="V259" s="233">
        <v>-3450.4</v>
      </c>
      <c r="W259" s="2094">
        <v>-3450.4</v>
      </c>
      <c r="X259" s="115"/>
      <c r="Y259" s="115"/>
      <c r="Z259" s="115"/>
    </row>
    <row r="260" spans="1:26" ht="12.75" customHeight="1" x14ac:dyDescent="0.25">
      <c r="A260" s="336"/>
      <c r="B260" s="115"/>
      <c r="C260" s="115"/>
      <c r="D260" s="340"/>
      <c r="E260" s="1221"/>
      <c r="F260" s="340"/>
      <c r="G260" s="319"/>
      <c r="H260" s="115"/>
      <c r="I260" s="316"/>
      <c r="J260" s="317"/>
      <c r="K260" s="317"/>
      <c r="L260" s="317"/>
      <c r="M260" s="317"/>
      <c r="N260" s="317"/>
      <c r="O260" s="317"/>
      <c r="P260" s="115"/>
      <c r="Q260" s="233"/>
      <c r="R260" s="233"/>
      <c r="S260" s="233"/>
      <c r="T260" s="233"/>
      <c r="U260" s="233"/>
      <c r="V260" s="233"/>
      <c r="W260" s="2094"/>
      <c r="X260" s="115"/>
      <c r="Y260" s="115"/>
      <c r="Z260" s="115"/>
    </row>
    <row r="261" spans="1:26" ht="12.75" customHeight="1" x14ac:dyDescent="0.25">
      <c r="A261" s="336"/>
      <c r="B261" s="115"/>
      <c r="C261" s="115"/>
      <c r="D261" s="340"/>
      <c r="E261" s="1221"/>
      <c r="F261" s="340"/>
      <c r="G261" s="332" t="s">
        <v>2843</v>
      </c>
      <c r="H261" s="115"/>
      <c r="I261" s="316"/>
      <c r="J261" s="317"/>
      <c r="K261" s="317"/>
      <c r="L261" s="317"/>
      <c r="M261" s="317"/>
      <c r="N261" s="317"/>
      <c r="O261" s="317"/>
      <c r="P261" s="115"/>
      <c r="Q261" s="233"/>
      <c r="R261" s="233"/>
      <c r="S261" s="233"/>
      <c r="T261" s="233"/>
      <c r="U261" s="233"/>
      <c r="V261" s="233"/>
      <c r="W261" s="2094"/>
      <c r="X261" s="115"/>
      <c r="Y261" s="115"/>
      <c r="Z261" s="115"/>
    </row>
    <row r="262" spans="1:26" ht="12.75" customHeight="1" x14ac:dyDescent="0.25">
      <c r="A262" s="336">
        <v>617018</v>
      </c>
      <c r="B262" s="115" t="s">
        <v>2841</v>
      </c>
      <c r="C262" s="115"/>
      <c r="D262" s="340">
        <v>42100</v>
      </c>
      <c r="E262" s="1221"/>
      <c r="F262" s="340"/>
      <c r="G262" s="319" t="s">
        <v>1840</v>
      </c>
      <c r="H262" s="115"/>
      <c r="I262" s="316"/>
      <c r="J262" s="317">
        <v>5133.8</v>
      </c>
      <c r="K262" s="317">
        <v>5267.18</v>
      </c>
      <c r="L262" s="317">
        <f t="shared" ref="L262:O265" si="121">-T262</f>
        <v>5383.08</v>
      </c>
      <c r="M262" s="317">
        <f t="shared" si="121"/>
        <v>5501.64</v>
      </c>
      <c r="N262" s="317">
        <f t="shared" si="121"/>
        <v>5622.4800000000005</v>
      </c>
      <c r="O262" s="317">
        <f t="shared" si="121"/>
        <v>5622.4800000000005</v>
      </c>
      <c r="P262" s="115"/>
      <c r="Q262" s="233"/>
      <c r="R262" s="233">
        <v>-5133.8</v>
      </c>
      <c r="S262" s="233">
        <v>-5267.18</v>
      </c>
      <c r="T262" s="233">
        <v>-5383.08</v>
      </c>
      <c r="U262" s="233">
        <v>-5501.64</v>
      </c>
      <c r="V262" s="233">
        <v>-5622.4800000000005</v>
      </c>
      <c r="W262" s="2094">
        <v>-5622.4800000000005</v>
      </c>
      <c r="X262" s="115"/>
      <c r="Y262" s="115"/>
      <c r="Z262" s="115"/>
    </row>
    <row r="263" spans="1:26" ht="12.75" customHeight="1" x14ac:dyDescent="0.25">
      <c r="A263" s="336">
        <v>617018</v>
      </c>
      <c r="B263" s="115" t="s">
        <v>2841</v>
      </c>
      <c r="C263" s="115"/>
      <c r="D263" s="340">
        <v>43803</v>
      </c>
      <c r="E263" s="1221"/>
      <c r="F263" s="340"/>
      <c r="G263" s="319" t="s">
        <v>1831</v>
      </c>
      <c r="H263" s="115"/>
      <c r="I263" s="316"/>
      <c r="J263" s="317">
        <v>6074.68</v>
      </c>
      <c r="K263" s="317">
        <v>6232.76</v>
      </c>
      <c r="L263" s="317">
        <f t="shared" si="121"/>
        <v>6369.9400000000005</v>
      </c>
      <c r="M263" s="317">
        <f t="shared" si="121"/>
        <v>6509.78</v>
      </c>
      <c r="N263" s="317">
        <f t="shared" si="121"/>
        <v>6653.42</v>
      </c>
      <c r="O263" s="317">
        <f t="shared" si="121"/>
        <v>6653.42</v>
      </c>
      <c r="P263" s="115"/>
      <c r="Q263" s="233"/>
      <c r="R263" s="233">
        <v>-6074.68</v>
      </c>
      <c r="S263" s="233">
        <v>-6232.76</v>
      </c>
      <c r="T263" s="233">
        <v>-6369.9400000000005</v>
      </c>
      <c r="U263" s="233">
        <v>-6509.78</v>
      </c>
      <c r="V263" s="233">
        <v>-6653.42</v>
      </c>
      <c r="W263" s="2094">
        <v>-6653.42</v>
      </c>
      <c r="X263" s="115"/>
      <c r="Y263" s="115"/>
      <c r="Z263" s="115"/>
    </row>
    <row r="264" spans="1:26" ht="12.75" customHeight="1" x14ac:dyDescent="0.25">
      <c r="A264" s="336">
        <v>617018</v>
      </c>
      <c r="B264" s="115" t="s">
        <v>2841</v>
      </c>
      <c r="C264" s="115"/>
      <c r="D264" s="340">
        <v>43806</v>
      </c>
      <c r="E264" s="1221"/>
      <c r="F264" s="340"/>
      <c r="G264" s="319" t="s">
        <v>546</v>
      </c>
      <c r="H264" s="115"/>
      <c r="I264" s="316"/>
      <c r="J264" s="317">
        <v>8839.56</v>
      </c>
      <c r="K264" s="317">
        <v>9069.4600000000009</v>
      </c>
      <c r="L264" s="317">
        <f t="shared" si="121"/>
        <v>9268.9600000000009</v>
      </c>
      <c r="M264" s="317">
        <f t="shared" si="121"/>
        <v>9473.02</v>
      </c>
      <c r="N264" s="317">
        <f t="shared" si="121"/>
        <v>9681.26</v>
      </c>
      <c r="O264" s="317">
        <f t="shared" si="121"/>
        <v>9681.26</v>
      </c>
      <c r="P264" s="115"/>
      <c r="Q264" s="233"/>
      <c r="R264" s="233">
        <v>-8839.56</v>
      </c>
      <c r="S264" s="233">
        <v>-9069.4600000000009</v>
      </c>
      <c r="T264" s="233">
        <v>-9268.9600000000009</v>
      </c>
      <c r="U264" s="233">
        <v>-9473.02</v>
      </c>
      <c r="V264" s="233">
        <v>-9681.26</v>
      </c>
      <c r="W264" s="2094">
        <v>-9681.26</v>
      </c>
      <c r="X264" s="115"/>
      <c r="Y264" s="115"/>
      <c r="Z264" s="115"/>
    </row>
    <row r="265" spans="1:26" ht="12.75" customHeight="1" x14ac:dyDescent="0.25">
      <c r="A265" s="336">
        <v>617018</v>
      </c>
      <c r="B265" s="115" t="s">
        <v>2841</v>
      </c>
      <c r="C265" s="115"/>
      <c r="D265" s="340">
        <v>43812</v>
      </c>
      <c r="E265" s="1221"/>
      <c r="F265" s="340"/>
      <c r="G265" s="319" t="s">
        <v>535</v>
      </c>
      <c r="H265" s="115"/>
      <c r="I265" s="316"/>
      <c r="J265" s="317">
        <v>2588.1799999999998</v>
      </c>
      <c r="K265" s="317">
        <v>2655.44</v>
      </c>
      <c r="L265" s="317">
        <f t="shared" si="121"/>
        <v>2713.58</v>
      </c>
      <c r="M265" s="317">
        <f t="shared" si="121"/>
        <v>2773.62</v>
      </c>
      <c r="N265" s="317">
        <f t="shared" si="121"/>
        <v>2834.42</v>
      </c>
      <c r="O265" s="317">
        <f t="shared" si="121"/>
        <v>2834.42</v>
      </c>
      <c r="P265" s="115"/>
      <c r="Q265" s="233"/>
      <c r="R265" s="233">
        <v>-2588.1799999999998</v>
      </c>
      <c r="S265" s="233">
        <v>-2655.44</v>
      </c>
      <c r="T265" s="233">
        <v>-2713.58</v>
      </c>
      <c r="U265" s="233">
        <v>-2773.62</v>
      </c>
      <c r="V265" s="233">
        <v>-2834.42</v>
      </c>
      <c r="W265" s="2094">
        <v>-2834.42</v>
      </c>
      <c r="X265" s="115"/>
      <c r="Y265" s="115"/>
      <c r="Z265" s="115"/>
    </row>
    <row r="266" spans="1:26" ht="12.75" customHeight="1" x14ac:dyDescent="0.25">
      <c r="A266" s="336">
        <v>617018</v>
      </c>
      <c r="B266" s="115" t="s">
        <v>2841</v>
      </c>
      <c r="C266" s="115"/>
      <c r="D266" s="340">
        <v>47300</v>
      </c>
      <c r="E266" s="1221"/>
      <c r="F266" s="340"/>
      <c r="G266" s="319" t="s">
        <v>1033</v>
      </c>
      <c r="H266" s="115"/>
      <c r="I266" s="316"/>
      <c r="J266" s="317">
        <v>20748</v>
      </c>
      <c r="K266" s="317">
        <v>17820</v>
      </c>
      <c r="L266" s="317">
        <v>20946</v>
      </c>
      <c r="M266" s="317">
        <v>20946</v>
      </c>
      <c r="N266" s="317">
        <v>20946</v>
      </c>
      <c r="O266" s="317">
        <v>20946</v>
      </c>
      <c r="P266" s="115"/>
      <c r="Q266" s="233"/>
      <c r="R266" s="233">
        <v>-20747.62</v>
      </c>
      <c r="S266" s="233">
        <v>-17820.099999999999</v>
      </c>
      <c r="T266" s="233">
        <v>-20945.98</v>
      </c>
      <c r="U266" s="233">
        <v>-20945.98</v>
      </c>
      <c r="V266" s="233">
        <v>-20945.98</v>
      </c>
      <c r="W266" s="2094">
        <v>-20945.98</v>
      </c>
      <c r="X266" s="115"/>
      <c r="Y266" s="115"/>
      <c r="Z266" s="115"/>
    </row>
    <row r="267" spans="1:26" ht="12.75" customHeight="1" thickBot="1" x14ac:dyDescent="0.3">
      <c r="A267" s="336"/>
      <c r="B267" s="115"/>
      <c r="C267" s="115"/>
      <c r="D267" s="340"/>
      <c r="E267" s="1221"/>
      <c r="F267" s="340"/>
      <c r="G267" s="319" t="s">
        <v>536</v>
      </c>
      <c r="H267" s="115"/>
      <c r="I267" s="316"/>
      <c r="J267" s="342">
        <v>103761.65999999999</v>
      </c>
      <c r="K267" s="342">
        <v>103994.55427204992</v>
      </c>
      <c r="L267" s="342">
        <f t="shared" ref="L267:M267" si="122">SUM(L240:L266)</f>
        <v>109028.11898565243</v>
      </c>
      <c r="M267" s="342">
        <f t="shared" si="122"/>
        <v>110990.57293493504</v>
      </c>
      <c r="N267" s="342">
        <f t="shared" ref="N267:O267" si="123">SUM(N240:N266)</f>
        <v>113009.53198168178</v>
      </c>
      <c r="O267" s="342">
        <f t="shared" si="123"/>
        <v>113009.53198168178</v>
      </c>
      <c r="P267" s="115"/>
      <c r="Q267" s="115"/>
      <c r="R267" s="115"/>
      <c r="S267" s="115"/>
      <c r="T267" s="115"/>
      <c r="U267" s="115"/>
      <c r="V267" s="115"/>
      <c r="W267" s="358"/>
      <c r="X267" s="115"/>
      <c r="Y267" s="115"/>
      <c r="Z267" s="115"/>
    </row>
    <row r="268" spans="1:26" ht="12.75" customHeight="1" thickTop="1" x14ac:dyDescent="0.25">
      <c r="A268" s="336"/>
      <c r="B268" s="115"/>
      <c r="C268" s="115"/>
      <c r="D268" s="340"/>
      <c r="E268" s="1221"/>
      <c r="F268" s="340"/>
      <c r="G268" s="319"/>
      <c r="H268" s="115"/>
      <c r="I268" s="316"/>
      <c r="J268" s="317"/>
      <c r="K268" s="317"/>
      <c r="L268" s="317"/>
      <c r="M268" s="317"/>
      <c r="N268" s="317"/>
      <c r="O268" s="317"/>
      <c r="P268" s="115"/>
      <c r="Q268" s="115"/>
      <c r="R268" s="115"/>
      <c r="S268" s="115"/>
      <c r="T268" s="115"/>
      <c r="U268" s="115"/>
      <c r="V268" s="115"/>
      <c r="W268" s="115"/>
      <c r="X268" s="115"/>
      <c r="Y268" s="115"/>
      <c r="Z268" s="115"/>
    </row>
    <row r="269" spans="1:26" ht="12.75" customHeight="1" x14ac:dyDescent="0.25">
      <c r="A269" s="336"/>
      <c r="B269" s="115"/>
      <c r="C269" s="115"/>
      <c r="D269" s="340"/>
      <c r="E269" s="1221"/>
      <c r="F269" s="340"/>
      <c r="G269" s="319"/>
      <c r="H269" s="115"/>
      <c r="I269" s="316"/>
      <c r="J269" s="317"/>
      <c r="K269" s="317"/>
      <c r="L269" s="317"/>
      <c r="M269" s="317"/>
      <c r="N269" s="317"/>
      <c r="O269" s="317"/>
      <c r="P269" s="115"/>
      <c r="Q269" s="115"/>
      <c r="R269" s="115"/>
      <c r="S269" s="115"/>
      <c r="T269" s="115"/>
      <c r="U269" s="115"/>
      <c r="V269" s="115"/>
      <c r="W269" s="115"/>
      <c r="X269" s="115"/>
      <c r="Y269" s="115"/>
      <c r="Z269" s="115"/>
    </row>
    <row r="270" spans="1:26" ht="12.75" customHeight="1" x14ac:dyDescent="0.25">
      <c r="A270" s="336"/>
      <c r="B270" s="115"/>
      <c r="C270" s="115"/>
      <c r="D270" s="445">
        <v>617021</v>
      </c>
      <c r="E270" s="1221"/>
      <c r="F270" s="340"/>
      <c r="G270" s="347" t="s">
        <v>2808</v>
      </c>
      <c r="H270" s="115"/>
      <c r="I270" s="316"/>
      <c r="J270" s="317"/>
      <c r="K270" s="317"/>
      <c r="L270" s="317"/>
      <c r="M270" s="317"/>
      <c r="N270" s="317"/>
      <c r="O270" s="317"/>
      <c r="P270" s="115"/>
      <c r="Q270" s="115"/>
      <c r="R270" s="115"/>
      <c r="S270" s="115"/>
      <c r="T270" s="115"/>
      <c r="U270" s="115"/>
      <c r="V270" s="115"/>
      <c r="W270" s="115"/>
      <c r="X270" s="115"/>
      <c r="Y270" s="115"/>
      <c r="Z270" s="115"/>
    </row>
    <row r="271" spans="1:26" ht="12.75" customHeight="1" x14ac:dyDescent="0.25">
      <c r="A271" s="336">
        <v>617021</v>
      </c>
      <c r="B271" s="301" t="str">
        <f>+G270</f>
        <v>Bijdrage Brainport "Knoop XL"</v>
      </c>
      <c r="C271" s="115"/>
      <c r="D271" s="340">
        <v>43812</v>
      </c>
      <c r="E271" s="1221"/>
      <c r="F271" s="340"/>
      <c r="G271" s="319" t="s">
        <v>718</v>
      </c>
      <c r="H271" s="115"/>
      <c r="I271" s="316"/>
      <c r="J271" s="317">
        <v>23984</v>
      </c>
      <c r="K271" s="317">
        <v>72819</v>
      </c>
      <c r="L271" s="317">
        <f>+L641</f>
        <v>72819</v>
      </c>
      <c r="M271" s="317">
        <f>+M641</f>
        <v>72819</v>
      </c>
      <c r="N271" s="317">
        <f t="shared" ref="N271:O271" si="124">+N641</f>
        <v>259615</v>
      </c>
      <c r="O271" s="317">
        <f t="shared" si="124"/>
        <v>0</v>
      </c>
      <c r="P271" s="115"/>
      <c r="Q271" s="115"/>
      <c r="R271" s="115"/>
      <c r="S271" s="115"/>
      <c r="T271" s="115"/>
      <c r="U271" s="115"/>
      <c r="V271" s="115"/>
      <c r="W271" s="115"/>
      <c r="X271" s="115"/>
      <c r="Y271" s="115"/>
      <c r="Z271" s="115"/>
    </row>
    <row r="272" spans="1:26" ht="12.75" customHeight="1" thickBot="1" x14ac:dyDescent="0.3">
      <c r="A272" s="336"/>
      <c r="B272" s="115"/>
      <c r="C272" s="115"/>
      <c r="D272" s="340"/>
      <c r="E272" s="1221"/>
      <c r="F272" s="340"/>
      <c r="G272" s="319"/>
      <c r="H272" s="115"/>
      <c r="I272" s="316"/>
      <c r="J272" s="342">
        <v>23984</v>
      </c>
      <c r="K272" s="342">
        <v>72819</v>
      </c>
      <c r="L272" s="342">
        <f t="shared" ref="L272:M272" si="125">+L271</f>
        <v>72819</v>
      </c>
      <c r="M272" s="342">
        <f t="shared" si="125"/>
        <v>72819</v>
      </c>
      <c r="N272" s="342">
        <f t="shared" ref="N272:O272" si="126">+N271</f>
        <v>259615</v>
      </c>
      <c r="O272" s="342">
        <f t="shared" si="126"/>
        <v>0</v>
      </c>
      <c r="P272" s="115"/>
      <c r="Q272" s="115"/>
      <c r="R272" s="115"/>
      <c r="S272" s="115"/>
      <c r="T272" s="115"/>
      <c r="U272" s="115"/>
      <c r="V272" s="115"/>
      <c r="W272" s="115"/>
      <c r="X272" s="115"/>
      <c r="Y272" s="115"/>
      <c r="Z272" s="115"/>
    </row>
    <row r="273" spans="1:26" ht="12.75" customHeight="1" thickTop="1" x14ac:dyDescent="0.25">
      <c r="A273" s="336"/>
      <c r="B273" s="115"/>
      <c r="C273" s="115"/>
      <c r="D273" s="340"/>
      <c r="E273" s="1221"/>
      <c r="F273" s="340"/>
      <c r="G273" s="319"/>
      <c r="H273" s="115"/>
      <c r="I273" s="316"/>
      <c r="J273" s="317"/>
      <c r="K273" s="317"/>
      <c r="L273" s="317"/>
      <c r="M273" s="317"/>
      <c r="N273" s="317"/>
      <c r="O273" s="317"/>
      <c r="P273" s="115"/>
      <c r="Q273" s="115"/>
      <c r="R273" s="115"/>
      <c r="S273" s="115"/>
      <c r="T273" s="115"/>
      <c r="U273" s="115"/>
      <c r="V273" s="115"/>
      <c r="W273" s="115"/>
      <c r="X273" s="115"/>
      <c r="Y273" s="115"/>
      <c r="Z273" s="115"/>
    </row>
    <row r="274" spans="1:26" ht="12.75" customHeight="1" x14ac:dyDescent="0.25">
      <c r="A274" s="336"/>
      <c r="B274" s="115"/>
      <c r="C274" s="115"/>
      <c r="D274" s="347">
        <v>617023</v>
      </c>
      <c r="E274" s="1221"/>
      <c r="F274" s="340"/>
      <c r="G274" s="332" t="s">
        <v>2844</v>
      </c>
      <c r="H274" s="115"/>
      <c r="I274" s="316"/>
      <c r="J274" s="317"/>
      <c r="K274" s="317"/>
      <c r="L274" s="317"/>
      <c r="M274" s="317"/>
      <c r="N274" s="317"/>
      <c r="O274" s="317"/>
      <c r="P274" s="115"/>
      <c r="Q274" s="115"/>
      <c r="R274" s="115"/>
      <c r="S274" s="115"/>
      <c r="T274" s="115"/>
      <c r="U274" s="115"/>
      <c r="V274" s="115"/>
      <c r="W274" s="115"/>
      <c r="X274" s="115"/>
      <c r="Y274" s="115"/>
      <c r="Z274" s="115"/>
    </row>
    <row r="275" spans="1:26" ht="12.75" customHeight="1" x14ac:dyDescent="0.25">
      <c r="A275" s="336">
        <v>617023</v>
      </c>
      <c r="B275" s="115" t="s">
        <v>2845</v>
      </c>
      <c r="C275" s="115"/>
      <c r="D275" s="340">
        <v>43812</v>
      </c>
      <c r="E275" s="1221"/>
      <c r="F275" s="340"/>
      <c r="G275" s="319" t="s">
        <v>718</v>
      </c>
      <c r="H275" s="115"/>
      <c r="I275" s="316"/>
      <c r="J275" s="317">
        <v>0</v>
      </c>
      <c r="K275" s="317">
        <v>230000</v>
      </c>
      <c r="L275" s="317">
        <f t="shared" ref="L275:N275" si="127">L651</f>
        <v>655000</v>
      </c>
      <c r="M275" s="317">
        <f t="shared" si="127"/>
        <v>655000</v>
      </c>
      <c r="N275" s="317">
        <f t="shared" si="127"/>
        <v>680000</v>
      </c>
      <c r="O275" s="317">
        <f t="shared" ref="O275" si="128">O651</f>
        <v>705000</v>
      </c>
      <c r="P275" s="115"/>
      <c r="Q275" s="115"/>
      <c r="R275" s="115"/>
      <c r="S275" s="115"/>
      <c r="T275" s="115"/>
      <c r="U275" s="115"/>
      <c r="V275" s="115"/>
      <c r="W275" s="115"/>
      <c r="X275" s="115"/>
      <c r="Y275" s="115"/>
      <c r="Z275" s="115"/>
    </row>
    <row r="276" spans="1:26" ht="12.75" customHeight="1" thickBot="1" x14ac:dyDescent="0.3">
      <c r="A276" s="336"/>
      <c r="B276" s="115"/>
      <c r="C276" s="115"/>
      <c r="D276" s="340"/>
      <c r="E276" s="1221"/>
      <c r="F276" s="340"/>
      <c r="G276" s="319" t="s">
        <v>536</v>
      </c>
      <c r="H276" s="115"/>
      <c r="I276" s="316"/>
      <c r="J276" s="342">
        <f>SUM(J274:J275)</f>
        <v>0</v>
      </c>
      <c r="K276" s="342">
        <v>230000</v>
      </c>
      <c r="L276" s="342">
        <f t="shared" ref="L276:N276" si="129">+L275</f>
        <v>655000</v>
      </c>
      <c r="M276" s="342">
        <f t="shared" si="129"/>
        <v>655000</v>
      </c>
      <c r="N276" s="342">
        <f t="shared" si="129"/>
        <v>680000</v>
      </c>
      <c r="O276" s="342">
        <f t="shared" ref="O276" si="130">+O275</f>
        <v>705000</v>
      </c>
      <c r="P276" s="115"/>
      <c r="Q276" s="115"/>
      <c r="R276" s="115"/>
      <c r="S276" s="115"/>
      <c r="T276" s="115"/>
      <c r="U276" s="115"/>
      <c r="V276" s="115"/>
      <c r="W276" s="115"/>
      <c r="X276" s="115"/>
      <c r="Y276" s="115"/>
      <c r="Z276" s="115"/>
    </row>
    <row r="277" spans="1:26" ht="12.75" customHeight="1" thickTop="1" x14ac:dyDescent="0.25">
      <c r="A277" s="336"/>
      <c r="B277" s="115"/>
      <c r="C277" s="115"/>
      <c r="D277" s="340"/>
      <c r="E277" s="1221"/>
      <c r="F277" s="340"/>
      <c r="G277" s="319"/>
      <c r="H277" s="115"/>
      <c r="I277" s="316"/>
      <c r="J277" s="317"/>
      <c r="K277" s="317"/>
      <c r="L277" s="317"/>
      <c r="M277" s="317"/>
      <c r="N277" s="317"/>
      <c r="O277" s="317"/>
      <c r="P277" s="115"/>
      <c r="Q277" s="115"/>
      <c r="R277" s="115"/>
      <c r="S277" s="115"/>
      <c r="T277" s="115"/>
      <c r="U277" s="115"/>
      <c r="V277" s="115"/>
      <c r="W277" s="115"/>
      <c r="X277" s="115"/>
      <c r="Y277" s="115"/>
      <c r="Z277" s="115"/>
    </row>
    <row r="278" spans="1:26" ht="12.75" customHeight="1" x14ac:dyDescent="0.25">
      <c r="A278" s="336"/>
      <c r="B278" s="115"/>
      <c r="C278" s="115"/>
      <c r="D278" s="347">
        <v>617901</v>
      </c>
      <c r="E278" s="1022"/>
      <c r="F278" s="476"/>
      <c r="G278" s="332" t="s">
        <v>2846</v>
      </c>
      <c r="H278" s="115"/>
      <c r="I278" s="318"/>
      <c r="J278" s="317"/>
      <c r="K278" s="317"/>
      <c r="L278" s="317"/>
      <c r="M278" s="317"/>
      <c r="N278" s="317"/>
      <c r="O278" s="317"/>
      <c r="P278" s="115"/>
      <c r="Q278" s="115"/>
      <c r="R278" s="115"/>
      <c r="S278" s="115"/>
      <c r="T278" s="115"/>
      <c r="U278" s="115"/>
      <c r="V278" s="115"/>
      <c r="W278" s="115"/>
      <c r="X278" s="115"/>
      <c r="Y278" s="115"/>
      <c r="Z278" s="115"/>
    </row>
    <row r="279" spans="1:26" ht="12.75" customHeight="1" x14ac:dyDescent="0.25">
      <c r="A279" s="336"/>
      <c r="B279" s="115"/>
      <c r="C279" s="115"/>
      <c r="D279" s="352"/>
      <c r="E279" s="623"/>
      <c r="F279" s="352"/>
      <c r="G279" s="334" t="s">
        <v>533</v>
      </c>
      <c r="H279" s="355"/>
      <c r="I279" s="318"/>
      <c r="J279" s="317"/>
      <c r="K279" s="317"/>
      <c r="L279" s="317"/>
      <c r="M279" s="317"/>
      <c r="N279" s="317"/>
      <c r="O279" s="317"/>
      <c r="P279" s="115"/>
      <c r="Q279" s="115"/>
      <c r="R279" s="115"/>
      <c r="S279" s="115"/>
      <c r="T279" s="115"/>
      <c r="U279" s="115"/>
      <c r="V279" s="115"/>
      <c r="W279" s="115"/>
      <c r="X279" s="115"/>
      <c r="Y279" s="115"/>
      <c r="Z279" s="115"/>
    </row>
    <row r="280" spans="1:26" ht="12.75" customHeight="1" x14ac:dyDescent="0.25">
      <c r="A280" s="336">
        <v>617901</v>
      </c>
      <c r="B280" s="115" t="s">
        <v>2846</v>
      </c>
      <c r="C280" s="115"/>
      <c r="D280" s="337">
        <v>41100</v>
      </c>
      <c r="E280" s="343"/>
      <c r="F280" s="337"/>
      <c r="G280" s="319" t="s">
        <v>2847</v>
      </c>
      <c r="H280" s="115"/>
      <c r="I280" s="318"/>
      <c r="J280" s="317">
        <v>445649.86</v>
      </c>
      <c r="K280" s="317">
        <v>419182</v>
      </c>
      <c r="L280" s="317">
        <f>ROUND(K280*T$3,0)</f>
        <v>436788</v>
      </c>
      <c r="M280" s="317">
        <f>ROUND(L280*U$3,0)</f>
        <v>452949</v>
      </c>
      <c r="N280" s="317">
        <f>ROUND(M280*V$3,0)</f>
        <v>469708</v>
      </c>
      <c r="O280" s="317">
        <f>ROUND(N280*W$3,0)</f>
        <v>487087</v>
      </c>
      <c r="P280" s="115" t="s">
        <v>2848</v>
      </c>
      <c r="Q280" s="115"/>
      <c r="R280" s="115"/>
      <c r="S280" s="115"/>
      <c r="T280" s="115"/>
      <c r="U280" s="115"/>
      <c r="V280" s="115"/>
      <c r="W280" s="115"/>
      <c r="X280" s="115"/>
      <c r="Y280" s="115"/>
      <c r="Z280" s="115"/>
    </row>
    <row r="281" spans="1:26" ht="12.75" customHeight="1" x14ac:dyDescent="0.25">
      <c r="A281" s="336">
        <v>617901</v>
      </c>
      <c r="B281" s="115" t="s">
        <v>2846</v>
      </c>
      <c r="C281" s="115"/>
      <c r="D281" s="337">
        <v>41100</v>
      </c>
      <c r="E281" s="343"/>
      <c r="F281" s="337"/>
      <c r="G281" s="115" t="s">
        <v>2849</v>
      </c>
      <c r="H281" s="115"/>
      <c r="I281" s="318"/>
      <c r="J281" s="317">
        <v>0</v>
      </c>
      <c r="K281" s="317">
        <v>0</v>
      </c>
      <c r="L281" s="317">
        <v>0</v>
      </c>
      <c r="M281" s="317">
        <v>0</v>
      </c>
      <c r="N281" s="317">
        <v>0</v>
      </c>
      <c r="O281" s="317">
        <v>0</v>
      </c>
      <c r="P281" s="115"/>
      <c r="Q281" s="115"/>
      <c r="R281" s="115"/>
      <c r="S281" s="115"/>
      <c r="T281" s="115"/>
      <c r="U281" s="115"/>
      <c r="V281" s="115"/>
      <c r="W281" s="115"/>
      <c r="X281" s="115"/>
      <c r="Y281" s="115"/>
      <c r="Z281" s="115"/>
    </row>
    <row r="282" spans="1:26" ht="12.75" customHeight="1" x14ac:dyDescent="0.25">
      <c r="A282" s="336">
        <v>617901</v>
      </c>
      <c r="B282" s="115" t="s">
        <v>2846</v>
      </c>
      <c r="C282" s="115"/>
      <c r="D282" s="337">
        <v>41100</v>
      </c>
      <c r="E282" s="343"/>
      <c r="F282" s="337"/>
      <c r="G282" s="115" t="s">
        <v>2850</v>
      </c>
      <c r="H282" s="115"/>
      <c r="I282" s="318"/>
      <c r="J282" s="317">
        <v>-20234</v>
      </c>
      <c r="K282" s="317">
        <v>-20234</v>
      </c>
      <c r="L282" s="317">
        <v>-20234</v>
      </c>
      <c r="M282" s="317">
        <v>-20234</v>
      </c>
      <c r="N282" s="317">
        <v>-20234</v>
      </c>
      <c r="O282" s="317">
        <v>-20234</v>
      </c>
      <c r="P282" s="115"/>
      <c r="Q282" s="115"/>
      <c r="R282" s="115"/>
      <c r="S282" s="115"/>
      <c r="T282" s="115"/>
      <c r="U282" s="115"/>
      <c r="V282" s="115"/>
      <c r="W282" s="115"/>
      <c r="X282" s="115"/>
      <c r="Y282" s="115"/>
      <c r="Z282" s="115"/>
    </row>
    <row r="283" spans="1:26" ht="12.75" customHeight="1" x14ac:dyDescent="0.25">
      <c r="A283" s="336">
        <v>617901</v>
      </c>
      <c r="B283" s="115" t="s">
        <v>2846</v>
      </c>
      <c r="C283" s="115"/>
      <c r="D283" s="337">
        <v>41100</v>
      </c>
      <c r="E283" s="343"/>
      <c r="F283" s="337"/>
      <c r="G283" s="319" t="s">
        <v>2851</v>
      </c>
      <c r="H283" s="115"/>
      <c r="I283" s="318"/>
      <c r="J283" s="317">
        <v>0</v>
      </c>
      <c r="K283" s="317">
        <v>0</v>
      </c>
      <c r="L283" s="317">
        <f t="shared" ref="L283:O285" si="131">ROUND(K283*T$3,0)</f>
        <v>0</v>
      </c>
      <c r="M283" s="317">
        <f t="shared" si="131"/>
        <v>0</v>
      </c>
      <c r="N283" s="317">
        <f t="shared" si="131"/>
        <v>0</v>
      </c>
      <c r="O283" s="317">
        <f t="shared" si="131"/>
        <v>0</v>
      </c>
      <c r="P283" s="115"/>
      <c r="Q283" s="115"/>
      <c r="R283" s="115"/>
      <c r="S283" s="115"/>
      <c r="T283" s="115"/>
      <c r="U283" s="115"/>
      <c r="V283" s="115"/>
      <c r="W283" s="115"/>
      <c r="X283" s="115"/>
      <c r="Y283" s="115"/>
      <c r="Z283" s="115"/>
    </row>
    <row r="284" spans="1:26" ht="12.75" customHeight="1" x14ac:dyDescent="0.25">
      <c r="A284" s="336">
        <v>617901</v>
      </c>
      <c r="B284" s="115" t="s">
        <v>2846</v>
      </c>
      <c r="C284" s="115"/>
      <c r="D284" s="337">
        <v>41100</v>
      </c>
      <c r="E284" s="1230"/>
      <c r="F284" s="337"/>
      <c r="G284" s="319" t="s">
        <v>2852</v>
      </c>
      <c r="H284" s="115"/>
      <c r="I284" s="318"/>
      <c r="J284" s="317">
        <v>0</v>
      </c>
      <c r="K284" s="317">
        <v>0</v>
      </c>
      <c r="L284" s="317">
        <f t="shared" si="131"/>
        <v>0</v>
      </c>
      <c r="M284" s="317">
        <f t="shared" si="131"/>
        <v>0</v>
      </c>
      <c r="N284" s="317">
        <f t="shared" si="131"/>
        <v>0</v>
      </c>
      <c r="O284" s="317">
        <f t="shared" si="131"/>
        <v>0</v>
      </c>
      <c r="P284" s="115"/>
      <c r="Q284" s="115"/>
      <c r="R284" s="115"/>
      <c r="S284" s="115"/>
      <c r="T284" s="115"/>
      <c r="U284" s="115"/>
      <c r="V284" s="115"/>
      <c r="W284" s="115"/>
      <c r="X284" s="115"/>
      <c r="Y284" s="115"/>
      <c r="Z284" s="115"/>
    </row>
    <row r="285" spans="1:26" ht="12.75" customHeight="1" x14ac:dyDescent="0.25">
      <c r="A285" s="336">
        <v>617901</v>
      </c>
      <c r="B285" s="115" t="s">
        <v>2846</v>
      </c>
      <c r="C285" s="115"/>
      <c r="D285" s="337">
        <v>41100</v>
      </c>
      <c r="E285" s="1230"/>
      <c r="F285" s="337"/>
      <c r="G285" s="319" t="s">
        <v>2853</v>
      </c>
      <c r="H285" s="115"/>
      <c r="I285" s="318"/>
      <c r="J285" s="317">
        <v>0</v>
      </c>
      <c r="K285" s="317">
        <v>0</v>
      </c>
      <c r="L285" s="317">
        <f t="shared" si="131"/>
        <v>0</v>
      </c>
      <c r="M285" s="317">
        <f t="shared" si="131"/>
        <v>0</v>
      </c>
      <c r="N285" s="317">
        <f t="shared" si="131"/>
        <v>0</v>
      </c>
      <c r="O285" s="317">
        <f t="shared" si="131"/>
        <v>0</v>
      </c>
      <c r="P285" s="115"/>
      <c r="Q285" s="115"/>
      <c r="R285" s="115"/>
      <c r="S285" s="115"/>
      <c r="T285" s="115"/>
      <c r="U285" s="115"/>
      <c r="V285" s="115"/>
      <c r="W285" s="115"/>
      <c r="X285" s="115"/>
      <c r="Y285" s="115"/>
      <c r="Z285" s="115"/>
    </row>
    <row r="286" spans="1:26" ht="12.75" customHeight="1" x14ac:dyDescent="0.25">
      <c r="A286" s="336">
        <v>617901</v>
      </c>
      <c r="B286" s="115" t="s">
        <v>2846</v>
      </c>
      <c r="C286" s="115"/>
      <c r="D286" s="340">
        <v>41100</v>
      </c>
      <c r="E286" s="1221"/>
      <c r="F286" s="340"/>
      <c r="G286" s="319" t="s">
        <v>1145</v>
      </c>
      <c r="H286" s="115"/>
      <c r="I286" s="316"/>
      <c r="J286" s="317">
        <v>0</v>
      </c>
      <c r="K286" s="317">
        <v>0</v>
      </c>
      <c r="L286" s="317">
        <v>0</v>
      </c>
      <c r="M286" s="317">
        <f t="shared" ref="M286:O287" si="132">ROUND(L286*U$3,0)</f>
        <v>0</v>
      </c>
      <c r="N286" s="317">
        <f t="shared" si="132"/>
        <v>0</v>
      </c>
      <c r="O286" s="317">
        <f t="shared" si="132"/>
        <v>0</v>
      </c>
      <c r="P286" s="115"/>
      <c r="Q286" s="115">
        <v>-16853.04</v>
      </c>
      <c r="R286" s="115">
        <v>-2756.9</v>
      </c>
      <c r="S286" s="115">
        <v>-2869.76</v>
      </c>
      <c r="T286" s="115">
        <v>-2987.56</v>
      </c>
      <c r="U286" s="115">
        <v>-3109.92</v>
      </c>
      <c r="V286" s="115"/>
      <c r="W286" s="115"/>
      <c r="X286" s="115"/>
      <c r="Y286" s="115"/>
      <c r="Z286" s="115"/>
    </row>
    <row r="287" spans="1:26" ht="12.75" customHeight="1" x14ac:dyDescent="0.25">
      <c r="A287" s="336">
        <v>617901</v>
      </c>
      <c r="B287" s="115" t="s">
        <v>2846</v>
      </c>
      <c r="C287" s="115"/>
      <c r="D287" s="340">
        <v>41100</v>
      </c>
      <c r="E287" s="1221"/>
      <c r="F287" s="340"/>
      <c r="G287" s="319" t="s">
        <v>2854</v>
      </c>
      <c r="H287" s="115"/>
      <c r="I287" s="316"/>
      <c r="J287" s="317">
        <v>0</v>
      </c>
      <c r="K287" s="317">
        <v>0</v>
      </c>
      <c r="L287" s="317">
        <v>0</v>
      </c>
      <c r="M287" s="317">
        <f t="shared" si="132"/>
        <v>0</v>
      </c>
      <c r="N287" s="317">
        <f t="shared" si="132"/>
        <v>0</v>
      </c>
      <c r="O287" s="317">
        <f t="shared" si="132"/>
        <v>0</v>
      </c>
      <c r="P287" s="115"/>
      <c r="Q287" s="115"/>
      <c r="R287" s="115"/>
      <c r="S287" s="115"/>
      <c r="T287" s="115"/>
      <c r="U287" s="115"/>
      <c r="V287" s="115"/>
      <c r="W287" s="115"/>
      <c r="X287" s="115"/>
      <c r="Y287" s="115"/>
      <c r="Z287" s="115"/>
    </row>
    <row r="288" spans="1:26" ht="12.75" customHeight="1" x14ac:dyDescent="0.25">
      <c r="A288" s="336">
        <v>617901</v>
      </c>
      <c r="B288" s="115" t="s">
        <v>2846</v>
      </c>
      <c r="C288" s="115"/>
      <c r="D288" s="340">
        <v>41100</v>
      </c>
      <c r="E288" s="1221"/>
      <c r="F288" s="340"/>
      <c r="G288" s="319" t="s">
        <v>700</v>
      </c>
      <c r="H288" s="115"/>
      <c r="I288" s="316"/>
      <c r="J288" s="317">
        <v>439104.52</v>
      </c>
      <c r="K288" s="317">
        <v>484305.83</v>
      </c>
      <c r="L288" s="317">
        <f>L681</f>
        <v>492019</v>
      </c>
      <c r="M288" s="317">
        <f>M681</f>
        <v>500644</v>
      </c>
      <c r="N288" s="317">
        <f>N681</f>
        <v>509468</v>
      </c>
      <c r="O288" s="317">
        <f>O681</f>
        <v>518495</v>
      </c>
      <c r="P288" s="115"/>
      <c r="Q288" s="115"/>
      <c r="R288" s="115"/>
      <c r="S288" s="115"/>
      <c r="T288" s="115"/>
      <c r="U288" s="115"/>
      <c r="V288" s="115"/>
      <c r="W288" s="115"/>
      <c r="X288" s="115"/>
      <c r="Y288" s="115"/>
      <c r="Z288" s="115"/>
    </row>
    <row r="289" spans="1:26" ht="12.75" customHeight="1" x14ac:dyDescent="0.25">
      <c r="A289" s="336">
        <v>617901</v>
      </c>
      <c r="B289" s="115" t="s">
        <v>2846</v>
      </c>
      <c r="C289" s="115"/>
      <c r="D289" s="337">
        <v>47300</v>
      </c>
      <c r="E289" s="551"/>
      <c r="F289" s="337"/>
      <c r="G289" s="319" t="s">
        <v>1033</v>
      </c>
      <c r="H289" s="115"/>
      <c r="I289" s="318"/>
      <c r="J289" s="317">
        <v>794151</v>
      </c>
      <c r="K289" s="317">
        <v>813230</v>
      </c>
      <c r="L289" s="317">
        <f>L691</f>
        <v>1073107</v>
      </c>
      <c r="M289" s="317">
        <f>M691</f>
        <v>1389887</v>
      </c>
      <c r="N289" s="317">
        <f t="shared" ref="N289:O289" si="133">N691</f>
        <v>1712064</v>
      </c>
      <c r="O289" s="317">
        <f t="shared" si="133"/>
        <v>0</v>
      </c>
      <c r="P289" s="115"/>
      <c r="Q289" s="115"/>
      <c r="R289" s="115"/>
      <c r="S289" s="115"/>
      <c r="T289" s="115"/>
      <c r="U289" s="115"/>
      <c r="V289" s="115"/>
      <c r="W289" s="115"/>
      <c r="X289" s="115"/>
      <c r="Y289" s="115"/>
      <c r="Z289" s="115"/>
    </row>
    <row r="290" spans="1:26" ht="12.75" customHeight="1" x14ac:dyDescent="0.25">
      <c r="A290" s="336">
        <v>617901</v>
      </c>
      <c r="B290" s="115" t="s">
        <v>2846</v>
      </c>
      <c r="C290" s="115"/>
      <c r="D290" s="337">
        <v>47300</v>
      </c>
      <c r="E290" s="551"/>
      <c r="F290" s="337"/>
      <c r="G290" s="319" t="s">
        <v>2855</v>
      </c>
      <c r="H290" s="115"/>
      <c r="I290" s="318"/>
      <c r="J290" s="317">
        <v>0</v>
      </c>
      <c r="K290" s="317">
        <v>0</v>
      </c>
      <c r="L290" s="317">
        <v>0</v>
      </c>
      <c r="M290" s="317">
        <v>0</v>
      </c>
      <c r="N290" s="317">
        <v>0</v>
      </c>
      <c r="O290" s="317">
        <v>0</v>
      </c>
      <c r="P290" s="115"/>
      <c r="Q290" s="115">
        <v>-28663.559999999998</v>
      </c>
      <c r="R290" s="115">
        <v>-21599.58</v>
      </c>
      <c r="S290" s="115">
        <v>-26587.08</v>
      </c>
      <c r="T290" s="115">
        <v>-26588.98</v>
      </c>
      <c r="U290" s="115">
        <v>-25513.200000000001</v>
      </c>
      <c r="V290" s="115"/>
      <c r="W290" s="115"/>
      <c r="X290" s="115"/>
      <c r="Y290" s="115"/>
      <c r="Z290" s="115"/>
    </row>
    <row r="291" spans="1:26" ht="12.75" customHeight="1" x14ac:dyDescent="0.25">
      <c r="A291" s="336">
        <v>617901</v>
      </c>
      <c r="B291" s="115" t="s">
        <v>2846</v>
      </c>
      <c r="C291" s="115"/>
      <c r="D291" s="340">
        <v>47300</v>
      </c>
      <c r="E291" s="1221"/>
      <c r="F291" s="340"/>
      <c r="G291" s="319"/>
      <c r="H291" s="115"/>
      <c r="I291" s="316"/>
      <c r="J291" s="317">
        <v>0</v>
      </c>
      <c r="K291" s="317">
        <v>0</v>
      </c>
      <c r="L291" s="317">
        <v>0</v>
      </c>
      <c r="M291" s="317">
        <v>0</v>
      </c>
      <c r="N291" s="317">
        <v>0</v>
      </c>
      <c r="O291" s="317">
        <v>0</v>
      </c>
      <c r="P291" s="115"/>
      <c r="Q291" s="115"/>
      <c r="R291" s="115"/>
      <c r="S291" s="115"/>
      <c r="T291" s="115"/>
      <c r="U291" s="115"/>
      <c r="V291" s="115"/>
      <c r="W291" s="115"/>
      <c r="X291" s="115"/>
      <c r="Y291" s="115"/>
      <c r="Z291" s="115"/>
    </row>
    <row r="292" spans="1:26" ht="12.75" customHeight="1" thickBot="1" x14ac:dyDescent="0.3">
      <c r="A292" s="336"/>
      <c r="B292" s="115"/>
      <c r="C292" s="115"/>
      <c r="D292" s="352"/>
      <c r="E292" s="353"/>
      <c r="F292" s="352"/>
      <c r="G292" s="319" t="s">
        <v>536</v>
      </c>
      <c r="H292" s="355"/>
      <c r="I292" s="318"/>
      <c r="J292" s="342">
        <v>1658671.38</v>
      </c>
      <c r="K292" s="342">
        <v>1696483.83</v>
      </c>
      <c r="L292" s="342">
        <f>SUM(L280:L291)</f>
        <v>1981680</v>
      </c>
      <c r="M292" s="342">
        <f>SUM(M280:M291)</f>
        <v>2323246</v>
      </c>
      <c r="N292" s="342">
        <f>SUM(N280:N291)</f>
        <v>2671006</v>
      </c>
      <c r="O292" s="342">
        <f>SUM(O280:O291)</f>
        <v>985348</v>
      </c>
      <c r="P292" s="115"/>
      <c r="Q292" s="115"/>
      <c r="R292" s="115"/>
      <c r="S292" s="115"/>
      <c r="T292" s="115"/>
      <c r="U292" s="115"/>
      <c r="V292" s="115"/>
      <c r="W292" s="115"/>
      <c r="X292" s="115"/>
      <c r="Y292" s="115"/>
      <c r="Z292" s="115"/>
    </row>
    <row r="293" spans="1:26" ht="12.75" customHeight="1" thickTop="1" x14ac:dyDescent="0.25">
      <c r="A293" s="336"/>
      <c r="B293" s="115"/>
      <c r="C293" s="115"/>
      <c r="D293" s="352"/>
      <c r="E293" s="353"/>
      <c r="F293" s="352"/>
      <c r="G293" s="319"/>
      <c r="H293" s="355"/>
      <c r="I293" s="318"/>
      <c r="J293" s="317"/>
      <c r="K293" s="317"/>
      <c r="L293" s="317"/>
      <c r="M293" s="317"/>
      <c r="N293" s="317"/>
      <c r="O293" s="317"/>
      <c r="P293" s="115"/>
      <c r="Q293" s="115"/>
      <c r="R293" s="115"/>
      <c r="S293" s="115"/>
      <c r="T293" s="115"/>
      <c r="U293" s="115"/>
      <c r="V293" s="115"/>
      <c r="W293" s="115"/>
      <c r="X293" s="115"/>
      <c r="Y293" s="115"/>
      <c r="Z293" s="115"/>
    </row>
    <row r="294" spans="1:26" ht="12.75" customHeight="1" x14ac:dyDescent="0.25">
      <c r="A294" s="336"/>
      <c r="B294" s="115"/>
      <c r="C294" s="115"/>
      <c r="D294" s="1227">
        <v>617902</v>
      </c>
      <c r="E294" s="1231"/>
      <c r="F294" s="352"/>
      <c r="G294" s="332" t="s">
        <v>2856</v>
      </c>
      <c r="H294" s="355"/>
      <c r="I294" s="318"/>
      <c r="J294" s="317"/>
      <c r="K294" s="317"/>
      <c r="L294" s="317"/>
      <c r="M294" s="317"/>
      <c r="N294" s="317"/>
      <c r="O294" s="317"/>
      <c r="P294" s="115"/>
      <c r="Q294" s="115"/>
      <c r="R294" s="115"/>
      <c r="S294" s="115"/>
      <c r="T294" s="115"/>
      <c r="U294" s="115"/>
      <c r="V294" s="115"/>
      <c r="W294" s="115"/>
      <c r="X294" s="115"/>
      <c r="Y294" s="115"/>
      <c r="Z294" s="115"/>
    </row>
    <row r="295" spans="1:26" ht="12.75" customHeight="1" x14ac:dyDescent="0.25">
      <c r="A295" s="336"/>
      <c r="B295" s="115"/>
      <c r="C295" s="115"/>
      <c r="D295" s="352"/>
      <c r="E295" s="623"/>
      <c r="F295" s="352"/>
      <c r="G295" s="334" t="s">
        <v>533</v>
      </c>
      <c r="H295" s="355"/>
      <c r="I295" s="318"/>
      <c r="J295" s="317"/>
      <c r="K295" s="317"/>
      <c r="L295" s="317"/>
      <c r="M295" s="317"/>
      <c r="N295" s="317"/>
      <c r="O295" s="317"/>
      <c r="P295" s="115"/>
      <c r="Q295" s="115"/>
      <c r="R295" s="115"/>
      <c r="S295" s="115"/>
      <c r="T295" s="115"/>
      <c r="U295" s="115"/>
      <c r="V295" s="115"/>
      <c r="W295" s="115"/>
      <c r="X295" s="115"/>
      <c r="Y295" s="115"/>
      <c r="Z295" s="115"/>
    </row>
    <row r="296" spans="1:26" ht="12.75" customHeight="1" x14ac:dyDescent="0.25">
      <c r="A296" s="336">
        <v>617902</v>
      </c>
      <c r="B296" s="115" t="s">
        <v>2856</v>
      </c>
      <c r="C296" s="115"/>
      <c r="D296" s="337">
        <v>41100</v>
      </c>
      <c r="E296" s="551"/>
      <c r="F296" s="352"/>
      <c r="G296" s="319" t="s">
        <v>700</v>
      </c>
      <c r="H296" s="355"/>
      <c r="I296" s="318"/>
      <c r="J296" s="317">
        <v>0</v>
      </c>
      <c r="K296" s="317">
        <v>0</v>
      </c>
      <c r="L296" s="317">
        <f t="shared" ref="L296:O297" si="134">ROUND(K296*T$3,0)</f>
        <v>0</v>
      </c>
      <c r="M296" s="317">
        <f t="shared" si="134"/>
        <v>0</v>
      </c>
      <c r="N296" s="317">
        <f t="shared" si="134"/>
        <v>0</v>
      </c>
      <c r="O296" s="317">
        <f t="shared" si="134"/>
        <v>0</v>
      </c>
      <c r="P296" s="115"/>
      <c r="Q296" s="115"/>
      <c r="R296" s="115"/>
      <c r="S296" s="115"/>
      <c r="T296" s="115"/>
      <c r="U296" s="115"/>
      <c r="V296" s="115"/>
      <c r="W296" s="115"/>
      <c r="X296" s="115"/>
      <c r="Y296" s="115"/>
      <c r="Z296" s="115"/>
    </row>
    <row r="297" spans="1:26" ht="12.75" customHeight="1" x14ac:dyDescent="0.25">
      <c r="A297" s="336">
        <v>617902</v>
      </c>
      <c r="B297" s="115" t="s">
        <v>2856</v>
      </c>
      <c r="C297" s="115"/>
      <c r="D297" s="337">
        <v>41100</v>
      </c>
      <c r="E297" s="551"/>
      <c r="F297" s="352"/>
      <c r="G297" s="319" t="s">
        <v>2852</v>
      </c>
      <c r="H297" s="355"/>
      <c r="I297" s="318"/>
      <c r="J297" s="317">
        <v>0</v>
      </c>
      <c r="K297" s="317">
        <v>0</v>
      </c>
      <c r="L297" s="317">
        <f t="shared" si="134"/>
        <v>0</v>
      </c>
      <c r="M297" s="317">
        <f t="shared" si="134"/>
        <v>0</v>
      </c>
      <c r="N297" s="317">
        <f t="shared" si="134"/>
        <v>0</v>
      </c>
      <c r="O297" s="317">
        <f t="shared" si="134"/>
        <v>0</v>
      </c>
      <c r="P297" s="115"/>
      <c r="Q297" s="115"/>
      <c r="R297" s="115"/>
      <c r="S297" s="115"/>
      <c r="T297" s="115"/>
      <c r="U297" s="115"/>
      <c r="V297" s="115"/>
      <c r="W297" s="115"/>
      <c r="X297" s="115"/>
      <c r="Y297" s="115"/>
      <c r="Z297" s="115"/>
    </row>
    <row r="298" spans="1:26" ht="12.75" customHeight="1" thickBot="1" x14ac:dyDescent="0.3">
      <c r="A298" s="336"/>
      <c r="B298" s="115"/>
      <c r="C298" s="115"/>
      <c r="D298" s="352"/>
      <c r="E298" s="353"/>
      <c r="F298" s="352"/>
      <c r="G298" s="319" t="s">
        <v>536</v>
      </c>
      <c r="H298" s="355"/>
      <c r="I298" s="318"/>
      <c r="J298" s="342">
        <v>0</v>
      </c>
      <c r="K298" s="342">
        <v>0</v>
      </c>
      <c r="L298" s="342">
        <f>SUM(L296:L297)</f>
        <v>0</v>
      </c>
      <c r="M298" s="342">
        <f>SUM(M296:M297)</f>
        <v>0</v>
      </c>
      <c r="N298" s="342">
        <f>SUM(N296:N297)</f>
        <v>0</v>
      </c>
      <c r="O298" s="342">
        <f>SUM(O296:O297)</f>
        <v>0</v>
      </c>
      <c r="P298" s="115"/>
      <c r="Q298" s="115"/>
      <c r="R298" s="115"/>
      <c r="S298" s="115"/>
      <c r="T298" s="115"/>
      <c r="U298" s="115"/>
      <c r="V298" s="115"/>
      <c r="W298" s="115"/>
      <c r="X298" s="115"/>
      <c r="Y298" s="115"/>
      <c r="Z298" s="115"/>
    </row>
    <row r="299" spans="1:26" ht="12.75" customHeight="1" thickTop="1" x14ac:dyDescent="0.25">
      <c r="A299" s="336"/>
      <c r="B299" s="115"/>
      <c r="C299" s="115"/>
      <c r="D299" s="352"/>
      <c r="E299" s="353"/>
      <c r="F299" s="352"/>
      <c r="G299" s="319"/>
      <c r="H299" s="355"/>
      <c r="I299" s="318"/>
      <c r="J299" s="317"/>
      <c r="K299" s="317"/>
      <c r="L299" s="317"/>
      <c r="M299" s="317"/>
      <c r="N299" s="317"/>
      <c r="O299" s="317"/>
      <c r="P299" s="115"/>
      <c r="Q299" s="115"/>
      <c r="R299" s="115"/>
      <c r="S299" s="115"/>
      <c r="T299" s="115"/>
      <c r="U299" s="115"/>
      <c r="V299" s="115"/>
      <c r="W299" s="115"/>
      <c r="X299" s="115"/>
      <c r="Y299" s="115"/>
      <c r="Z299" s="115"/>
    </row>
    <row r="300" spans="1:26" ht="12.75" customHeight="1" x14ac:dyDescent="0.25">
      <c r="A300" s="336"/>
      <c r="B300" s="115"/>
      <c r="C300" s="115"/>
      <c r="D300" s="347">
        <v>617903</v>
      </c>
      <c r="E300" s="1218"/>
      <c r="F300" s="476"/>
      <c r="G300" s="332" t="s">
        <v>2857</v>
      </c>
      <c r="H300" s="115"/>
      <c r="I300" s="318"/>
      <c r="J300" s="317"/>
      <c r="K300" s="317"/>
      <c r="L300" s="317"/>
      <c r="M300" s="317"/>
      <c r="N300" s="317"/>
      <c r="O300" s="317"/>
      <c r="P300" s="115"/>
      <c r="Q300" s="115"/>
      <c r="R300" s="115"/>
      <c r="S300" s="115"/>
      <c r="T300" s="115"/>
      <c r="U300" s="115"/>
      <c r="V300" s="115"/>
      <c r="W300" s="115"/>
      <c r="X300" s="115"/>
      <c r="Y300" s="115"/>
      <c r="Z300" s="115"/>
    </row>
    <row r="301" spans="1:26" ht="12.75" customHeight="1" x14ac:dyDescent="0.25">
      <c r="A301" s="336"/>
      <c r="B301" s="115"/>
      <c r="C301" s="115"/>
      <c r="D301" s="340"/>
      <c r="E301" s="341"/>
      <c r="F301" s="340"/>
      <c r="G301" s="334" t="s">
        <v>533</v>
      </c>
      <c r="H301" s="115"/>
      <c r="I301" s="318"/>
      <c r="J301" s="317"/>
      <c r="K301" s="317"/>
      <c r="L301" s="317"/>
      <c r="M301" s="317"/>
      <c r="N301" s="317"/>
      <c r="O301" s="317"/>
      <c r="P301" s="115"/>
      <c r="Q301" s="115"/>
      <c r="R301" s="115"/>
      <c r="S301" s="115"/>
      <c r="T301" s="115"/>
      <c r="U301" s="115"/>
      <c r="V301" s="115"/>
      <c r="W301" s="115"/>
      <c r="X301" s="115"/>
      <c r="Y301" s="115"/>
      <c r="Z301" s="115"/>
    </row>
    <row r="302" spans="1:26" ht="12.75" customHeight="1" x14ac:dyDescent="0.25">
      <c r="A302" s="336">
        <f>D300</f>
        <v>617903</v>
      </c>
      <c r="B302" s="115" t="str">
        <f>G300</f>
        <v>Directe toerekening straatreiniging</v>
      </c>
      <c r="C302" s="115"/>
      <c r="D302" s="340">
        <v>41100</v>
      </c>
      <c r="E302" s="341"/>
      <c r="F302" s="340"/>
      <c r="G302" s="319" t="s">
        <v>700</v>
      </c>
      <c r="H302" s="115"/>
      <c r="I302" s="318"/>
      <c r="J302" s="317">
        <v>16851.22</v>
      </c>
      <c r="K302" s="317">
        <v>14736</v>
      </c>
      <c r="L302" s="317">
        <f>ROUND(K302*T3,0)</f>
        <v>15355</v>
      </c>
      <c r="M302" s="317">
        <f>ROUND(L302*U3,0)</f>
        <v>15923</v>
      </c>
      <c r="N302" s="317">
        <f>ROUND(M302*V3,0)</f>
        <v>16512</v>
      </c>
      <c r="O302" s="317">
        <f>ROUND(N302*W3,0)</f>
        <v>17123</v>
      </c>
      <c r="P302" s="115" t="s">
        <v>2858</v>
      </c>
      <c r="Q302" s="115"/>
      <c r="R302" s="494"/>
      <c r="S302" s="494"/>
      <c r="T302" s="494"/>
      <c r="U302" s="494"/>
      <c r="V302" s="494"/>
      <c r="W302" s="115"/>
      <c r="X302" s="115"/>
      <c r="Y302" s="115"/>
      <c r="Z302" s="494"/>
    </row>
    <row r="303" spans="1:26" ht="12.75" customHeight="1" x14ac:dyDescent="0.25">
      <c r="A303" s="336">
        <f>D300</f>
        <v>617903</v>
      </c>
      <c r="B303" s="115" t="str">
        <f>G300</f>
        <v>Directe toerekening straatreiniging</v>
      </c>
      <c r="C303" s="115"/>
      <c r="D303" s="337">
        <v>47300</v>
      </c>
      <c r="E303" s="551"/>
      <c r="F303" s="337"/>
      <c r="G303" s="319" t="s">
        <v>1033</v>
      </c>
      <c r="H303" s="115"/>
      <c r="I303" s="318"/>
      <c r="J303" s="317">
        <v>0</v>
      </c>
      <c r="K303" s="317">
        <v>0</v>
      </c>
      <c r="L303" s="317">
        <v>0</v>
      </c>
      <c r="M303" s="317">
        <v>0</v>
      </c>
      <c r="N303" s="317">
        <v>0</v>
      </c>
      <c r="O303" s="317">
        <v>0</v>
      </c>
      <c r="P303" s="115"/>
      <c r="Q303" s="115"/>
      <c r="R303" s="494"/>
      <c r="S303" s="494"/>
      <c r="T303" s="494"/>
      <c r="U303" s="494"/>
      <c r="V303" s="494"/>
      <c r="W303" s="115"/>
      <c r="X303" s="115"/>
      <c r="Y303" s="115"/>
      <c r="Z303" s="494"/>
    </row>
    <row r="304" spans="1:26" ht="12.75" customHeight="1" x14ac:dyDescent="0.25">
      <c r="A304" s="336"/>
      <c r="B304" s="115"/>
      <c r="C304" s="115"/>
      <c r="D304" s="167"/>
      <c r="E304" s="388"/>
      <c r="F304" s="167"/>
      <c r="G304" s="168" t="s">
        <v>536</v>
      </c>
      <c r="H304" s="149"/>
      <c r="I304" s="156"/>
      <c r="J304" s="1877">
        <v>16851.22</v>
      </c>
      <c r="K304" s="1877">
        <v>14736</v>
      </c>
      <c r="L304" s="1877">
        <f>SUM(L302:L303)</f>
        <v>15355</v>
      </c>
      <c r="M304" s="1877">
        <f>SUM(M302:M303)</f>
        <v>15923</v>
      </c>
      <c r="N304" s="1877">
        <f>SUM(N302:N303)</f>
        <v>16512</v>
      </c>
      <c r="O304" s="1877">
        <f>SUM(O302:O303)</f>
        <v>17123</v>
      </c>
      <c r="P304" s="115"/>
      <c r="Q304" s="115"/>
      <c r="R304" s="115"/>
      <c r="S304" s="115"/>
      <c r="T304" s="115"/>
      <c r="U304" s="115"/>
      <c r="V304" s="115"/>
      <c r="W304" s="115"/>
      <c r="X304" s="115"/>
      <c r="Y304" s="115"/>
      <c r="Z304" s="494"/>
    </row>
    <row r="305" spans="1:26" ht="12.75" customHeight="1" x14ac:dyDescent="0.25">
      <c r="A305" s="336"/>
      <c r="B305" s="115"/>
      <c r="C305" s="115"/>
      <c r="D305" s="384"/>
      <c r="E305" s="391"/>
      <c r="F305" s="384"/>
      <c r="G305" s="115"/>
      <c r="H305" s="115"/>
      <c r="I305" s="114"/>
      <c r="J305" s="114"/>
      <c r="K305" s="114"/>
      <c r="L305" s="114"/>
      <c r="M305" s="114"/>
      <c r="N305" s="114"/>
      <c r="O305" s="114"/>
      <c r="P305" s="115"/>
      <c r="Q305" s="115"/>
      <c r="R305" s="115"/>
      <c r="S305" s="115"/>
      <c r="T305" s="115"/>
      <c r="U305" s="115"/>
      <c r="V305" s="115"/>
      <c r="W305" s="115"/>
      <c r="X305" s="115"/>
      <c r="Y305" s="115"/>
      <c r="Z305" s="494"/>
    </row>
    <row r="306" spans="1:26" ht="12.75" customHeight="1" x14ac:dyDescent="0.25">
      <c r="A306" s="336"/>
      <c r="B306" s="115"/>
      <c r="C306" s="115"/>
      <c r="D306" s="384"/>
      <c r="E306" s="384"/>
      <c r="F306" s="384"/>
      <c r="G306" s="115"/>
      <c r="H306" s="115"/>
      <c r="I306" s="114"/>
      <c r="J306" s="114"/>
      <c r="K306" s="114"/>
      <c r="L306" s="114"/>
      <c r="M306" s="114"/>
      <c r="N306" s="114"/>
      <c r="O306" s="114"/>
      <c r="P306" s="115"/>
      <c r="Q306" s="115"/>
      <c r="R306" s="115"/>
      <c r="S306" s="115"/>
      <c r="T306" s="115"/>
      <c r="U306" s="115"/>
      <c r="V306" s="115"/>
      <c r="W306" s="115"/>
      <c r="X306" s="115"/>
      <c r="Y306" s="115"/>
      <c r="Z306" s="115"/>
    </row>
    <row r="307" spans="1:26" ht="12.75" customHeight="1" x14ac:dyDescent="0.25">
      <c r="A307" s="306"/>
      <c r="B307" s="115"/>
      <c r="C307" s="115"/>
      <c r="D307" s="301"/>
      <c r="E307" s="301"/>
      <c r="F307" s="301"/>
      <c r="G307" s="115"/>
      <c r="H307" s="115"/>
      <c r="I307" s="115"/>
      <c r="J307" s="115"/>
      <c r="K307" s="115"/>
      <c r="L307" s="115"/>
      <c r="M307" s="115"/>
      <c r="N307" s="115"/>
      <c r="O307" s="115"/>
      <c r="P307" s="115"/>
      <c r="Q307" s="115"/>
      <c r="R307" s="115"/>
      <c r="S307" s="115"/>
      <c r="T307" s="115"/>
      <c r="U307" s="115"/>
      <c r="V307" s="115"/>
      <c r="W307" s="115"/>
      <c r="X307" s="115"/>
      <c r="Y307" s="115"/>
      <c r="Z307" s="115"/>
    </row>
    <row r="308" spans="1:26" ht="12.75" customHeight="1" x14ac:dyDescent="0.25">
      <c r="A308" s="306"/>
      <c r="B308" s="115"/>
      <c r="C308" s="115"/>
      <c r="D308" s="301"/>
      <c r="E308" s="301"/>
      <c r="F308" s="301"/>
      <c r="G308" s="115"/>
      <c r="H308" s="115"/>
      <c r="I308" s="115"/>
      <c r="J308" s="115"/>
      <c r="K308" s="115"/>
      <c r="L308" s="115"/>
      <c r="M308" s="115"/>
      <c r="N308" s="115"/>
      <c r="O308" s="115"/>
      <c r="P308" s="115"/>
      <c r="Q308" s="115"/>
      <c r="R308" s="115"/>
      <c r="S308" s="115"/>
      <c r="T308" s="115"/>
      <c r="U308" s="115"/>
      <c r="V308" s="115"/>
      <c r="W308" s="115"/>
      <c r="X308" s="115"/>
      <c r="Y308" s="115"/>
      <c r="Z308" s="115"/>
    </row>
    <row r="309" spans="1:26" ht="12.75" customHeight="1" x14ac:dyDescent="0.25">
      <c r="A309" s="306"/>
      <c r="B309" s="115"/>
      <c r="C309" s="115"/>
      <c r="D309" s="301"/>
      <c r="E309" s="301"/>
      <c r="F309" s="301"/>
      <c r="G309" s="115"/>
      <c r="H309" s="115"/>
      <c r="I309" s="115"/>
      <c r="J309" s="115"/>
      <c r="K309" s="115"/>
      <c r="L309" s="115"/>
      <c r="M309" s="115"/>
      <c r="N309" s="115"/>
      <c r="O309" s="115"/>
      <c r="P309" s="115"/>
      <c r="Q309" s="115"/>
      <c r="R309" s="115"/>
      <c r="S309" s="115"/>
      <c r="T309" s="115"/>
      <c r="U309" s="115"/>
      <c r="V309" s="115"/>
      <c r="W309" s="115"/>
      <c r="X309" s="115"/>
      <c r="Y309" s="115"/>
      <c r="Z309" s="115"/>
    </row>
    <row r="310" spans="1:26" ht="12.75" customHeight="1" x14ac:dyDescent="0.25">
      <c r="A310" s="306"/>
      <c r="B310" s="115"/>
      <c r="C310" s="115"/>
      <c r="D310" s="301"/>
      <c r="E310" s="301"/>
      <c r="F310" s="301"/>
      <c r="G310" s="115"/>
      <c r="H310" s="115"/>
      <c r="I310" s="115"/>
      <c r="J310" s="115"/>
      <c r="K310" s="115"/>
      <c r="L310" s="115"/>
      <c r="M310" s="115"/>
      <c r="N310" s="115"/>
      <c r="O310" s="115"/>
      <c r="P310" s="115"/>
      <c r="Q310" s="115"/>
      <c r="R310" s="115"/>
      <c r="S310" s="115"/>
      <c r="T310" s="115"/>
      <c r="U310" s="115"/>
      <c r="V310" s="115"/>
      <c r="W310" s="115"/>
      <c r="X310" s="115"/>
      <c r="Y310" s="115"/>
      <c r="Z310" s="115"/>
    </row>
    <row r="311" spans="1:26" ht="12.75" customHeight="1" x14ac:dyDescent="0.25">
      <c r="A311" s="306"/>
      <c r="B311" s="115"/>
      <c r="C311" s="115"/>
      <c r="D311" s="301"/>
      <c r="E311" s="301"/>
      <c r="F311" s="301"/>
      <c r="G311" s="115"/>
      <c r="H311" s="115"/>
      <c r="I311" s="115"/>
      <c r="J311" s="115"/>
      <c r="K311" s="115"/>
      <c r="L311" s="115"/>
      <c r="M311" s="115"/>
      <c r="N311" s="115"/>
      <c r="O311" s="115"/>
      <c r="P311" s="115"/>
      <c r="Q311" s="115"/>
      <c r="R311" s="115"/>
      <c r="S311" s="115"/>
      <c r="T311" s="115"/>
      <c r="U311" s="115"/>
      <c r="V311" s="115"/>
      <c r="W311" s="115"/>
      <c r="X311" s="115"/>
      <c r="Y311" s="115"/>
      <c r="Z311" s="115"/>
    </row>
    <row r="312" spans="1:26" ht="12.75" customHeight="1" x14ac:dyDescent="0.25">
      <c r="A312" s="306"/>
      <c r="B312" s="115"/>
      <c r="C312" s="115"/>
      <c r="D312" s="301"/>
      <c r="E312" s="301"/>
      <c r="F312" s="301"/>
      <c r="G312" s="115"/>
      <c r="H312" s="115"/>
      <c r="I312" s="115"/>
      <c r="J312" s="115"/>
      <c r="K312" s="115"/>
      <c r="L312" s="115"/>
      <c r="M312" s="115"/>
      <c r="N312" s="115"/>
      <c r="O312" s="115"/>
      <c r="P312" s="115"/>
      <c r="Q312" s="115"/>
      <c r="R312" s="115"/>
      <c r="S312" s="115"/>
      <c r="T312" s="115"/>
      <c r="U312" s="115"/>
      <c r="V312" s="115"/>
      <c r="W312" s="115"/>
      <c r="X312" s="115"/>
      <c r="Y312" s="115"/>
      <c r="Z312" s="115"/>
    </row>
    <row r="313" spans="1:26" ht="12.75" customHeight="1" x14ac:dyDescent="0.25">
      <c r="A313" s="306"/>
      <c r="B313" s="115"/>
      <c r="C313" s="115"/>
      <c r="D313" s="428" t="s">
        <v>561</v>
      </c>
      <c r="E313" s="312"/>
      <c r="F313" s="312"/>
      <c r="G313" s="115"/>
      <c r="H313" s="115"/>
      <c r="I313" s="115"/>
      <c r="J313" s="115"/>
      <c r="K313" s="115"/>
      <c r="L313" s="115"/>
      <c r="M313" s="115"/>
      <c r="N313" s="115"/>
      <c r="O313" s="115"/>
      <c r="P313" s="115"/>
      <c r="Q313" s="115"/>
      <c r="R313" s="115"/>
      <c r="S313" s="115"/>
      <c r="T313" s="115"/>
      <c r="U313" s="115"/>
      <c r="V313" s="115"/>
      <c r="W313" s="115"/>
      <c r="X313" s="115"/>
      <c r="Y313" s="115"/>
      <c r="Z313" s="115"/>
    </row>
    <row r="314" spans="1:26" ht="12.75" customHeight="1" x14ac:dyDescent="0.25">
      <c r="A314" s="306"/>
      <c r="B314" s="115"/>
      <c r="C314" s="115"/>
      <c r="D314" s="301"/>
      <c r="E314" s="301"/>
      <c r="F314" s="301"/>
      <c r="G314" s="115"/>
      <c r="H314" s="115"/>
      <c r="I314" s="115"/>
      <c r="J314" s="115"/>
      <c r="K314" s="115"/>
      <c r="L314" s="115"/>
      <c r="M314" s="115"/>
      <c r="N314" s="115"/>
      <c r="O314" s="115"/>
      <c r="P314" s="115"/>
      <c r="Q314" s="115"/>
      <c r="R314" s="115"/>
      <c r="S314" s="115"/>
      <c r="T314" s="115"/>
      <c r="U314" s="115"/>
      <c r="V314" s="115"/>
      <c r="W314" s="115"/>
      <c r="X314" s="115"/>
      <c r="Y314" s="115"/>
      <c r="Z314" s="115"/>
    </row>
    <row r="315" spans="1:26" ht="12.75" customHeight="1" x14ac:dyDescent="0.25">
      <c r="A315" s="306"/>
      <c r="B315" s="115"/>
      <c r="C315" s="115"/>
      <c r="D315" s="393">
        <v>617001</v>
      </c>
      <c r="E315" s="381" t="s">
        <v>2816</v>
      </c>
      <c r="F315" s="115"/>
      <c r="G315" s="115"/>
      <c r="H315" s="115"/>
      <c r="I315" s="115"/>
      <c r="J315" s="501">
        <v>2025</v>
      </c>
      <c r="K315" s="501">
        <v>2026</v>
      </c>
      <c r="L315" s="501">
        <v>2027</v>
      </c>
      <c r="M315" s="501">
        <v>2028</v>
      </c>
      <c r="N315" s="501">
        <v>2029</v>
      </c>
      <c r="O315" s="501">
        <v>2030</v>
      </c>
      <c r="P315" s="115"/>
      <c r="Q315" s="115"/>
      <c r="R315" s="115"/>
      <c r="S315" s="115"/>
      <c r="T315" s="115"/>
      <c r="U315" s="115"/>
      <c r="V315" s="115"/>
      <c r="W315" s="115"/>
      <c r="X315" s="115"/>
      <c r="Y315" s="115"/>
      <c r="Z315" s="115"/>
    </row>
    <row r="316" spans="1:26" ht="12.75" customHeight="1" x14ac:dyDescent="0.25">
      <c r="A316" s="306"/>
      <c r="B316" s="115"/>
      <c r="C316" s="115"/>
      <c r="D316" s="301"/>
      <c r="E316" s="2510" t="s">
        <v>2859</v>
      </c>
      <c r="F316" s="2510"/>
      <c r="G316" s="2510"/>
      <c r="H316" s="2510"/>
      <c r="I316" s="2510"/>
      <c r="J316" s="399"/>
      <c r="K316" s="399"/>
      <c r="L316" s="399"/>
      <c r="M316" s="399"/>
      <c r="N316" s="399"/>
      <c r="O316" s="399"/>
      <c r="P316" s="115"/>
      <c r="Q316" s="115"/>
      <c r="R316" s="115"/>
      <c r="S316" s="115"/>
      <c r="T316" s="115"/>
      <c r="U316" s="115"/>
      <c r="V316" s="115"/>
      <c r="W316" s="115"/>
      <c r="X316" s="115"/>
      <c r="Y316" s="115"/>
      <c r="Z316" s="115"/>
    </row>
    <row r="317" spans="1:26" ht="12.75" customHeight="1" x14ac:dyDescent="0.25">
      <c r="A317" s="306"/>
      <c r="B317" s="115"/>
      <c r="C317" s="115"/>
      <c r="D317" s="301"/>
      <c r="E317" s="2510"/>
      <c r="F317" s="2510"/>
      <c r="G317" s="2510"/>
      <c r="H317" s="2510"/>
      <c r="I317" s="2510"/>
      <c r="J317" s="399"/>
      <c r="K317" s="399"/>
      <c r="L317" s="399"/>
      <c r="M317" s="399"/>
      <c r="N317" s="399"/>
      <c r="O317" s="399"/>
      <c r="P317" s="115"/>
      <c r="Q317" s="115"/>
      <c r="R317" s="115"/>
      <c r="S317" s="115"/>
      <c r="T317" s="115"/>
      <c r="U317" s="115"/>
      <c r="V317" s="115"/>
      <c r="W317" s="115"/>
      <c r="X317" s="115"/>
      <c r="Y317" s="115"/>
      <c r="Z317" s="115"/>
    </row>
    <row r="318" spans="1:26" ht="12.75" customHeight="1" x14ac:dyDescent="0.25">
      <c r="A318" s="306"/>
      <c r="B318" s="115"/>
      <c r="C318" s="115"/>
      <c r="D318" s="301"/>
      <c r="E318" s="2510"/>
      <c r="F318" s="2510"/>
      <c r="G318" s="2510"/>
      <c r="H318" s="2510"/>
      <c r="I318" s="2510"/>
      <c r="J318" s="399"/>
      <c r="K318" s="399"/>
      <c r="L318" s="399"/>
      <c r="M318" s="399"/>
      <c r="N318" s="399"/>
      <c r="O318" s="399"/>
      <c r="P318" s="115"/>
      <c r="Q318" s="115"/>
      <c r="R318" s="115"/>
      <c r="S318" s="115"/>
      <c r="T318" s="115"/>
      <c r="U318" s="115"/>
      <c r="V318" s="115"/>
      <c r="W318" s="115"/>
      <c r="X318" s="115"/>
      <c r="Y318" s="115"/>
      <c r="Z318" s="115"/>
    </row>
    <row r="319" spans="1:26" ht="12.75" customHeight="1" x14ac:dyDescent="0.25">
      <c r="A319" s="306"/>
      <c r="B319" s="115"/>
      <c r="C319" s="115"/>
      <c r="D319" s="384"/>
      <c r="E319" s="115"/>
      <c r="F319" s="115"/>
      <c r="G319" s="115"/>
      <c r="H319" s="115"/>
      <c r="I319" s="115"/>
      <c r="J319" s="531"/>
      <c r="K319" s="531"/>
      <c r="L319" s="531"/>
      <c r="M319" s="531"/>
      <c r="N319" s="531"/>
      <c r="O319" s="531"/>
      <c r="P319" s="115"/>
      <c r="Q319" s="115"/>
      <c r="R319" s="115"/>
      <c r="S319" s="115"/>
      <c r="T319" s="115"/>
      <c r="U319" s="115"/>
      <c r="V319" s="115"/>
      <c r="W319" s="115"/>
      <c r="X319" s="115"/>
      <c r="Y319" s="115"/>
      <c r="Z319" s="115"/>
    </row>
    <row r="320" spans="1:26" ht="12.75" customHeight="1" x14ac:dyDescent="0.25">
      <c r="A320" s="306"/>
      <c r="B320" s="115"/>
      <c r="C320" s="115"/>
      <c r="D320" s="143">
        <v>43812</v>
      </c>
      <c r="E320" s="308" t="s">
        <v>2860</v>
      </c>
      <c r="F320" s="115"/>
      <c r="G320" s="115"/>
      <c r="H320" s="115"/>
      <c r="I320" s="115"/>
      <c r="J320" s="114">
        <v>1184</v>
      </c>
      <c r="K320" s="114">
        <v>1215</v>
      </c>
      <c r="L320" s="114">
        <f>ROUND(K320*T$2,0)</f>
        <v>1241</v>
      </c>
      <c r="M320" s="114">
        <f>ROUND(L320*U$2,0)</f>
        <v>1270</v>
      </c>
      <c r="N320" s="114">
        <f>ROUND(M320*V$2,0)</f>
        <v>1299</v>
      </c>
      <c r="O320" s="114">
        <f>ROUND(N320*W$2,0)</f>
        <v>1329</v>
      </c>
      <c r="P320" s="115"/>
      <c r="Q320" s="115"/>
      <c r="R320" s="115"/>
      <c r="S320" s="115"/>
      <c r="T320" s="115"/>
      <c r="U320" s="115"/>
      <c r="V320" s="115"/>
      <c r="W320" s="115"/>
      <c r="X320" s="115"/>
      <c r="Y320" s="115"/>
      <c r="Z320" s="115"/>
    </row>
    <row r="321" spans="1:26" ht="12.75" customHeight="1" x14ac:dyDescent="0.25">
      <c r="A321" s="306"/>
      <c r="B321" s="115"/>
      <c r="C321" s="115"/>
      <c r="D321" s="384"/>
      <c r="E321" s="308" t="s">
        <v>2861</v>
      </c>
      <c r="F321" s="115"/>
      <c r="G321" s="115"/>
      <c r="H321" s="115"/>
      <c r="I321" s="115"/>
      <c r="J321" s="114"/>
      <c r="K321" s="114"/>
      <c r="L321" s="114"/>
      <c r="M321" s="114"/>
      <c r="N321" s="114"/>
      <c r="O321" s="114"/>
      <c r="P321" s="115"/>
      <c r="Q321" s="115"/>
      <c r="R321" s="115"/>
      <c r="S321" s="115"/>
      <c r="T321" s="115"/>
      <c r="U321" s="115"/>
      <c r="V321" s="115"/>
      <c r="W321" s="115"/>
      <c r="X321" s="115"/>
      <c r="Y321" s="115"/>
      <c r="Z321" s="115"/>
    </row>
    <row r="322" spans="1:26" ht="12.75" customHeight="1" thickBot="1" x14ac:dyDescent="0.3">
      <c r="A322" s="306"/>
      <c r="B322" s="115"/>
      <c r="C322" s="115"/>
      <c r="D322" s="384"/>
      <c r="E322" s="115" t="str">
        <f>"Totaal "&amp;D320</f>
        <v>Totaal 43812</v>
      </c>
      <c r="F322" s="115"/>
      <c r="G322" s="115"/>
      <c r="H322" s="115"/>
      <c r="I322" s="115"/>
      <c r="J322" s="1744">
        <v>1184</v>
      </c>
      <c r="K322" s="1744">
        <v>1215</v>
      </c>
      <c r="L322" s="1744">
        <f>SUM(L320:L321)</f>
        <v>1241</v>
      </c>
      <c r="M322" s="1744">
        <f>SUM(M320:M321)</f>
        <v>1270</v>
      </c>
      <c r="N322" s="1744">
        <f>SUM(N320:N321)</f>
        <v>1299</v>
      </c>
      <c r="O322" s="1744">
        <f>SUM(O320:O321)</f>
        <v>1329</v>
      </c>
      <c r="P322" s="115"/>
      <c r="Q322" s="115"/>
      <c r="R322" s="115"/>
      <c r="S322" s="115"/>
      <c r="T322" s="115"/>
      <c r="U322" s="115"/>
      <c r="V322" s="115"/>
      <c r="W322" s="115"/>
      <c r="X322" s="115"/>
      <c r="Y322" s="115"/>
      <c r="Z322" s="115"/>
    </row>
    <row r="323" spans="1:26" ht="12.75" customHeight="1" thickTop="1" x14ac:dyDescent="0.25">
      <c r="A323" s="306"/>
      <c r="B323" s="115"/>
      <c r="C323" s="115"/>
      <c r="D323" s="301"/>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spans="1:26" ht="12.75" customHeight="1" x14ac:dyDescent="0.25">
      <c r="A324" s="306"/>
      <c r="B324" s="115"/>
      <c r="C324" s="115"/>
      <c r="D324" s="301"/>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spans="1:26" ht="12.75" customHeight="1" x14ac:dyDescent="0.25">
      <c r="A325" s="306"/>
      <c r="B325" s="115"/>
      <c r="C325" s="115"/>
      <c r="D325" s="393">
        <v>617002</v>
      </c>
      <c r="E325" s="381" t="s">
        <v>2817</v>
      </c>
      <c r="F325" s="115"/>
      <c r="G325" s="114"/>
      <c r="H325" s="114"/>
      <c r="I325" s="114"/>
      <c r="J325" s="501">
        <v>2025</v>
      </c>
      <c r="K325" s="501">
        <v>2026</v>
      </c>
      <c r="L325" s="501">
        <v>2027</v>
      </c>
      <c r="M325" s="501">
        <v>2028</v>
      </c>
      <c r="N325" s="501">
        <v>2029</v>
      </c>
      <c r="O325" s="501">
        <v>2030</v>
      </c>
      <c r="P325" s="115"/>
      <c r="Q325" s="115"/>
      <c r="R325" s="115"/>
      <c r="S325" s="115"/>
      <c r="T325" s="115"/>
      <c r="U325" s="115"/>
      <c r="V325" s="115"/>
      <c r="W325" s="115"/>
      <c r="X325" s="115"/>
      <c r="Y325" s="115"/>
      <c r="Z325" s="115"/>
    </row>
    <row r="326" spans="1:26" ht="12.75" customHeight="1" x14ac:dyDescent="0.25">
      <c r="A326" s="306"/>
      <c r="B326" s="115"/>
      <c r="C326" s="115"/>
      <c r="D326" s="393"/>
      <c r="E326" s="381"/>
      <c r="F326" s="115"/>
      <c r="G326" s="114"/>
      <c r="H326" s="114"/>
      <c r="I326" s="114"/>
      <c r="J326" s="609"/>
      <c r="K326" s="609"/>
      <c r="L326" s="609"/>
      <c r="M326" s="609"/>
      <c r="N326" s="609"/>
      <c r="O326" s="609"/>
      <c r="P326" s="115"/>
      <c r="Q326" s="115"/>
      <c r="R326" s="115"/>
      <c r="S326" s="115"/>
      <c r="T326" s="115"/>
      <c r="U326" s="115"/>
      <c r="V326" s="115"/>
      <c r="W326" s="115"/>
      <c r="X326" s="115"/>
      <c r="Y326" s="115"/>
      <c r="Z326" s="115"/>
    </row>
    <row r="327" spans="1:26" ht="12.75" customHeight="1" x14ac:dyDescent="0.25">
      <c r="A327" s="306"/>
      <c r="B327" s="115"/>
      <c r="C327" s="115"/>
      <c r="D327" s="143">
        <v>43812</v>
      </c>
      <c r="E327" s="115" t="s">
        <v>2862</v>
      </c>
      <c r="F327" s="115"/>
      <c r="G327" s="114"/>
      <c r="H327" s="114"/>
      <c r="I327" s="114"/>
      <c r="J327" s="114">
        <v>11605</v>
      </c>
      <c r="K327" s="114">
        <v>11907</v>
      </c>
      <c r="L327" s="114">
        <f>ROUND(K327*T$2,0)</f>
        <v>12157</v>
      </c>
      <c r="M327" s="114">
        <f>ROUND(L327*U$2,0)</f>
        <v>12437</v>
      </c>
      <c r="N327" s="114">
        <f>ROUND(M327*V$2,0)</f>
        <v>12723</v>
      </c>
      <c r="O327" s="114">
        <f>ROUND(N327*W$2,0)</f>
        <v>13016</v>
      </c>
      <c r="P327" s="115"/>
      <c r="Q327" s="115"/>
      <c r="R327" s="115"/>
      <c r="S327" s="115"/>
      <c r="T327" s="115"/>
      <c r="U327" s="115"/>
      <c r="V327" s="115"/>
      <c r="W327" s="115"/>
      <c r="X327" s="115"/>
      <c r="Y327" s="115"/>
      <c r="Z327" s="115"/>
    </row>
    <row r="328" spans="1:26" ht="12.75" customHeight="1" x14ac:dyDescent="0.25">
      <c r="A328" s="306"/>
      <c r="B328" s="115"/>
      <c r="C328" s="115"/>
      <c r="D328" s="143"/>
      <c r="E328" s="308" t="s">
        <v>2863</v>
      </c>
      <c r="F328" s="115"/>
      <c r="G328" s="114"/>
      <c r="H328" s="114"/>
      <c r="I328" s="114"/>
      <c r="J328" s="114"/>
      <c r="K328" s="114"/>
      <c r="L328" s="114"/>
      <c r="M328" s="114"/>
      <c r="N328" s="114"/>
      <c r="O328" s="114"/>
      <c r="P328" s="115"/>
      <c r="Q328" s="115"/>
      <c r="R328" s="115"/>
      <c r="S328" s="115"/>
      <c r="T328" s="115"/>
      <c r="U328" s="115"/>
      <c r="V328" s="115"/>
      <c r="W328" s="115"/>
      <c r="X328" s="115"/>
      <c r="Y328" s="115"/>
      <c r="Z328" s="115"/>
    </row>
    <row r="329" spans="1:26" ht="12.75" customHeight="1" x14ac:dyDescent="0.25">
      <c r="A329" s="306"/>
      <c r="B329" s="115"/>
      <c r="C329" s="115"/>
      <c r="D329" s="384"/>
      <c r="E329" s="308" t="s">
        <v>2864</v>
      </c>
      <c r="F329" s="115"/>
      <c r="G329" s="114"/>
      <c r="H329" s="114"/>
      <c r="I329" s="114"/>
      <c r="J329" s="114"/>
      <c r="K329" s="114"/>
      <c r="L329" s="114"/>
      <c r="M329" s="114"/>
      <c r="N329" s="114"/>
      <c r="O329" s="114"/>
      <c r="P329" s="115"/>
      <c r="Q329" s="115"/>
      <c r="R329" s="115"/>
      <c r="S329" s="115"/>
      <c r="T329" s="115"/>
      <c r="U329" s="115"/>
      <c r="V329" s="115"/>
      <c r="W329" s="115"/>
      <c r="X329" s="115"/>
      <c r="Y329" s="115"/>
      <c r="Z329" s="115"/>
    </row>
    <row r="330" spans="1:26" ht="12.75" customHeight="1" x14ac:dyDescent="0.25">
      <c r="A330" s="306"/>
      <c r="B330" s="115"/>
      <c r="C330" s="115"/>
      <c r="D330" s="301"/>
      <c r="E330" s="115" t="s">
        <v>2865</v>
      </c>
      <c r="F330" s="115"/>
      <c r="G330" s="114"/>
      <c r="H330" s="114"/>
      <c r="I330" s="114"/>
      <c r="J330" s="114"/>
      <c r="K330" s="114"/>
      <c r="L330" s="114"/>
      <c r="M330" s="114"/>
      <c r="N330" s="114"/>
      <c r="O330" s="114"/>
      <c r="P330" s="115"/>
      <c r="Q330" s="115"/>
      <c r="R330" s="115"/>
      <c r="S330" s="115"/>
      <c r="T330" s="115"/>
      <c r="U330" s="115"/>
      <c r="V330" s="115"/>
      <c r="W330" s="115"/>
      <c r="X330" s="115"/>
      <c r="Y330" s="115"/>
      <c r="Z330" s="115"/>
    </row>
    <row r="331" spans="1:26" ht="12.75" customHeight="1" x14ac:dyDescent="0.25">
      <c r="A331" s="306"/>
      <c r="B331" s="115"/>
      <c r="C331" s="115"/>
      <c r="D331" s="301"/>
      <c r="E331" s="301"/>
      <c r="F331" s="301"/>
      <c r="G331" s="114"/>
      <c r="H331" s="114"/>
      <c r="I331" s="114"/>
      <c r="J331" s="114"/>
      <c r="K331" s="114"/>
      <c r="L331" s="114"/>
      <c r="M331" s="114"/>
      <c r="N331" s="114"/>
      <c r="O331" s="114"/>
      <c r="P331" s="115"/>
      <c r="Q331" s="115"/>
      <c r="R331" s="115"/>
      <c r="S331" s="115"/>
      <c r="T331" s="115"/>
      <c r="U331" s="115"/>
      <c r="V331" s="115"/>
      <c r="W331" s="115"/>
      <c r="X331" s="115"/>
      <c r="Y331" s="115"/>
      <c r="Z331" s="115"/>
    </row>
    <row r="332" spans="1:26" ht="12.75" customHeight="1" thickBot="1" x14ac:dyDescent="0.3">
      <c r="A332" s="306"/>
      <c r="B332" s="115"/>
      <c r="C332" s="115"/>
      <c r="D332" s="301"/>
      <c r="E332" s="115" t="str">
        <f>"Totaal "&amp;D328</f>
        <v xml:space="preserve">Totaal </v>
      </c>
      <c r="F332" s="115"/>
      <c r="G332" s="114"/>
      <c r="H332" s="114"/>
      <c r="I332" s="114"/>
      <c r="J332" s="1744">
        <v>11605</v>
      </c>
      <c r="K332" s="1744">
        <v>11907</v>
      </c>
      <c r="L332" s="1744">
        <f t="shared" ref="L332:M332" si="135">SUM(L327:L331)</f>
        <v>12157</v>
      </c>
      <c r="M332" s="1744">
        <f t="shared" si="135"/>
        <v>12437</v>
      </c>
      <c r="N332" s="1744">
        <f t="shared" ref="N332:O332" si="136">SUM(N327:N331)</f>
        <v>12723</v>
      </c>
      <c r="O332" s="1744">
        <f t="shared" si="136"/>
        <v>13016</v>
      </c>
      <c r="P332" s="115"/>
      <c r="Q332" s="115"/>
      <c r="R332" s="115"/>
      <c r="S332" s="115"/>
      <c r="T332" s="115"/>
      <c r="U332" s="115"/>
      <c r="V332" s="115"/>
      <c r="W332" s="115"/>
      <c r="X332" s="115"/>
      <c r="Y332" s="115"/>
      <c r="Z332" s="115"/>
    </row>
    <row r="333" spans="1:26" ht="12.75" customHeight="1" thickTop="1" x14ac:dyDescent="0.25">
      <c r="A333" s="306"/>
      <c r="B333" s="115"/>
      <c r="C333" s="115"/>
      <c r="D333" s="301"/>
      <c r="E333" s="115"/>
      <c r="F333" s="115"/>
      <c r="G333" s="114"/>
      <c r="H333" s="114"/>
      <c r="I333" s="114"/>
      <c r="J333" s="114"/>
      <c r="K333" s="114"/>
      <c r="L333" s="114"/>
      <c r="M333" s="114"/>
      <c r="N333" s="114"/>
      <c r="O333" s="114"/>
      <c r="P333" s="115"/>
      <c r="Q333" s="115"/>
      <c r="R333" s="115"/>
      <c r="S333" s="115"/>
      <c r="T333" s="115"/>
      <c r="U333" s="115"/>
      <c r="V333" s="115"/>
      <c r="W333" s="115"/>
      <c r="X333" s="115"/>
      <c r="Y333" s="115"/>
      <c r="Z333" s="115"/>
    </row>
    <row r="334" spans="1:26" ht="12.75" customHeight="1" x14ac:dyDescent="0.25">
      <c r="A334" s="306"/>
      <c r="B334" s="115"/>
      <c r="C334" s="115"/>
      <c r="D334" s="301"/>
      <c r="E334" s="115"/>
      <c r="F334" s="115"/>
      <c r="G334" s="114"/>
      <c r="H334" s="114"/>
      <c r="I334" s="114"/>
      <c r="J334" s="114"/>
      <c r="K334" s="114"/>
      <c r="L334" s="114"/>
      <c r="M334" s="114"/>
      <c r="N334" s="114"/>
      <c r="O334" s="114"/>
      <c r="P334" s="115"/>
      <c r="Q334" s="115"/>
      <c r="R334" s="115"/>
      <c r="S334" s="115"/>
      <c r="T334" s="115"/>
      <c r="U334" s="115"/>
      <c r="V334" s="115"/>
      <c r="W334" s="115"/>
      <c r="X334" s="115"/>
      <c r="Y334" s="115"/>
      <c r="Z334" s="115"/>
    </row>
    <row r="335" spans="1:26" ht="12.75" customHeight="1" x14ac:dyDescent="0.25">
      <c r="A335" s="306"/>
      <c r="B335" s="115"/>
      <c r="C335" s="115"/>
      <c r="D335" s="393">
        <v>617003</v>
      </c>
      <c r="E335" s="381" t="s">
        <v>2818</v>
      </c>
      <c r="F335" s="115"/>
      <c r="G335" s="114"/>
      <c r="H335" s="114"/>
      <c r="I335" s="114"/>
      <c r="J335" s="501">
        <v>2025</v>
      </c>
      <c r="K335" s="501">
        <v>2026</v>
      </c>
      <c r="L335" s="501">
        <v>2027</v>
      </c>
      <c r="M335" s="501">
        <v>2028</v>
      </c>
      <c r="N335" s="501">
        <v>2029</v>
      </c>
      <c r="O335" s="501">
        <v>2030</v>
      </c>
      <c r="P335" s="115"/>
      <c r="Q335" s="115"/>
      <c r="R335" s="115"/>
      <c r="S335" s="115"/>
      <c r="T335" s="115"/>
      <c r="U335" s="115"/>
      <c r="V335" s="115"/>
      <c r="W335" s="115"/>
      <c r="X335" s="115"/>
      <c r="Y335" s="115"/>
      <c r="Z335" s="115"/>
    </row>
    <row r="336" spans="1:26" ht="12.75" customHeight="1" x14ac:dyDescent="0.25">
      <c r="A336" s="306"/>
      <c r="B336" s="115"/>
      <c r="C336" s="115"/>
      <c r="D336" s="115"/>
      <c r="E336" s="115"/>
      <c r="F336" s="115"/>
      <c r="G336" s="114"/>
      <c r="H336" s="114"/>
      <c r="I336" s="114"/>
      <c r="J336" s="114"/>
      <c r="K336" s="114"/>
      <c r="L336" s="114"/>
      <c r="M336" s="114"/>
      <c r="N336" s="114"/>
      <c r="O336" s="114"/>
      <c r="P336" s="115"/>
      <c r="Q336" s="115"/>
      <c r="R336" s="115"/>
      <c r="S336" s="115"/>
      <c r="T336" s="115"/>
      <c r="U336" s="115"/>
      <c r="V336" s="115"/>
      <c r="W336" s="115"/>
      <c r="X336" s="115"/>
      <c r="Y336" s="115"/>
      <c r="Z336" s="115"/>
    </row>
    <row r="337" spans="1:26" ht="12.75" customHeight="1" x14ac:dyDescent="0.25">
      <c r="A337" s="306"/>
      <c r="B337" s="115"/>
      <c r="C337" s="115"/>
      <c r="D337" s="143">
        <v>43812</v>
      </c>
      <c r="E337" s="115" t="s">
        <v>2866</v>
      </c>
      <c r="F337" s="115"/>
      <c r="G337" s="114"/>
      <c r="H337" s="114"/>
      <c r="I337" s="114"/>
      <c r="J337" s="114">
        <v>3519</v>
      </c>
      <c r="K337" s="114">
        <v>3610</v>
      </c>
      <c r="L337" s="114">
        <f>ROUND(K337*T$2,0)</f>
        <v>3686</v>
      </c>
      <c r="M337" s="114">
        <f>ROUND(L337*U$2,0)</f>
        <v>3771</v>
      </c>
      <c r="N337" s="114">
        <f>ROUND(M337*V$2,0)</f>
        <v>3858</v>
      </c>
      <c r="O337" s="114">
        <f>ROUND(N337*W$2,0)</f>
        <v>3947</v>
      </c>
      <c r="P337" s="115"/>
      <c r="Q337" s="115"/>
      <c r="R337" s="115"/>
      <c r="S337" s="115"/>
      <c r="T337" s="115"/>
      <c r="U337" s="115"/>
      <c r="V337" s="115"/>
      <c r="W337" s="115"/>
      <c r="X337" s="115"/>
      <c r="Y337" s="115"/>
      <c r="Z337" s="115"/>
    </row>
    <row r="338" spans="1:26" ht="12.75" customHeight="1" x14ac:dyDescent="0.25">
      <c r="D338" s="115"/>
      <c r="E338" s="308" t="s">
        <v>2867</v>
      </c>
      <c r="F338" s="115"/>
      <c r="G338" s="114"/>
      <c r="H338" s="114"/>
      <c r="I338" s="114"/>
      <c r="J338" s="114"/>
      <c r="K338" s="114"/>
      <c r="L338" s="114"/>
      <c r="M338" s="114"/>
      <c r="N338" s="114"/>
      <c r="O338" s="114"/>
      <c r="P338" s="115"/>
      <c r="Q338" s="115"/>
      <c r="R338" s="115"/>
      <c r="S338" s="115"/>
      <c r="T338" s="115"/>
      <c r="U338" s="115"/>
      <c r="V338" s="115"/>
    </row>
    <row r="339" spans="1:26" ht="12.75" customHeight="1" x14ac:dyDescent="0.25">
      <c r="D339" s="301"/>
      <c r="E339" s="308" t="s">
        <v>2868</v>
      </c>
      <c r="F339" s="115"/>
      <c r="G339" s="114"/>
      <c r="H339" s="114"/>
      <c r="I339" s="114"/>
      <c r="J339" s="114"/>
      <c r="K339" s="114"/>
      <c r="L339" s="114"/>
      <c r="M339" s="114"/>
      <c r="N339" s="114"/>
      <c r="O339" s="114"/>
      <c r="P339" s="115"/>
      <c r="Q339" s="115"/>
      <c r="R339" s="115"/>
      <c r="S339" s="115"/>
      <c r="T339" s="115"/>
      <c r="U339" s="115"/>
      <c r="V339" s="115"/>
    </row>
    <row r="340" spans="1:26" ht="12.75" customHeight="1" x14ac:dyDescent="0.25">
      <c r="D340" s="301"/>
      <c r="E340" s="308" t="s">
        <v>2865</v>
      </c>
      <c r="F340" s="115"/>
      <c r="G340" s="114"/>
      <c r="H340" s="114"/>
      <c r="I340" s="114"/>
      <c r="J340" s="114"/>
      <c r="K340" s="114"/>
      <c r="L340" s="114"/>
      <c r="M340" s="114"/>
      <c r="N340" s="114"/>
      <c r="O340" s="114"/>
      <c r="P340" s="115"/>
      <c r="Q340" s="115"/>
      <c r="R340" s="115"/>
      <c r="S340" s="115"/>
      <c r="T340" s="115"/>
      <c r="U340" s="115"/>
      <c r="V340" s="115"/>
    </row>
    <row r="341" spans="1:26" ht="12.75" customHeight="1" thickBot="1" x14ac:dyDescent="0.3">
      <c r="D341" s="301"/>
      <c r="E341" s="115" t="str">
        <f>"Totaal "&amp;D337</f>
        <v>Totaal 43812</v>
      </c>
      <c r="F341" s="115"/>
      <c r="G341" s="114"/>
      <c r="H341" s="114"/>
      <c r="I341" s="114"/>
      <c r="J341" s="1744">
        <v>3519</v>
      </c>
      <c r="K341" s="1744">
        <v>3610</v>
      </c>
      <c r="L341" s="1744">
        <f>+L337</f>
        <v>3686</v>
      </c>
      <c r="M341" s="1744">
        <f>+M337</f>
        <v>3771</v>
      </c>
      <c r="N341" s="1744">
        <f>+N337</f>
        <v>3858</v>
      </c>
      <c r="O341" s="1744">
        <f>+O337</f>
        <v>3947</v>
      </c>
      <c r="P341" s="115"/>
      <c r="Q341" s="115"/>
      <c r="R341" s="115"/>
      <c r="S341" s="115"/>
      <c r="T341" s="115"/>
      <c r="U341" s="115"/>
      <c r="V341" s="115"/>
    </row>
    <row r="342" spans="1:26" ht="12.75" customHeight="1" thickTop="1" x14ac:dyDescent="0.25">
      <c r="D342" s="301"/>
      <c r="E342" s="115"/>
      <c r="F342" s="115"/>
      <c r="G342" s="114"/>
      <c r="H342" s="114"/>
      <c r="I342" s="114"/>
      <c r="J342" s="114"/>
      <c r="K342" s="114"/>
      <c r="L342" s="114"/>
      <c r="M342" s="114"/>
      <c r="N342" s="114"/>
      <c r="O342" s="114"/>
      <c r="P342" s="115"/>
      <c r="Q342" s="115"/>
      <c r="R342" s="115"/>
      <c r="S342" s="115"/>
      <c r="T342" s="115"/>
      <c r="U342" s="115"/>
      <c r="V342" s="115"/>
    </row>
    <row r="343" spans="1:26" ht="12.75" customHeight="1" x14ac:dyDescent="0.25">
      <c r="D343" s="301"/>
      <c r="E343" s="115"/>
      <c r="F343" s="115"/>
      <c r="G343" s="114"/>
      <c r="H343" s="114"/>
      <c r="I343" s="114"/>
      <c r="J343" s="114"/>
      <c r="K343" s="114"/>
      <c r="L343" s="114"/>
      <c r="M343" s="114"/>
      <c r="N343" s="114"/>
      <c r="O343" s="114"/>
      <c r="P343" s="115"/>
      <c r="Q343" s="115"/>
      <c r="R343" s="115"/>
      <c r="S343" s="115"/>
      <c r="T343" s="115"/>
      <c r="U343" s="115"/>
      <c r="V343" s="115"/>
    </row>
    <row r="344" spans="1:26" ht="12.75" customHeight="1" x14ac:dyDescent="0.25">
      <c r="D344" s="393">
        <v>617004</v>
      </c>
      <c r="E344" s="381" t="s">
        <v>2869</v>
      </c>
      <c r="F344" s="115"/>
      <c r="G344" s="114"/>
      <c r="H344" s="114"/>
      <c r="I344" s="114"/>
      <c r="J344" s="114"/>
      <c r="K344" s="114"/>
      <c r="L344" s="114"/>
      <c r="M344" s="114"/>
      <c r="N344" s="114"/>
      <c r="O344" s="114"/>
      <c r="P344" s="115"/>
      <c r="Q344" s="115"/>
      <c r="R344" s="115"/>
      <c r="S344" s="115"/>
      <c r="T344" s="115"/>
      <c r="U344" s="115"/>
      <c r="V344" s="115"/>
    </row>
    <row r="345" spans="1:26" ht="12.75" customHeight="1" x14ac:dyDescent="0.25">
      <c r="D345" s="301"/>
      <c r="E345" s="423" t="s">
        <v>2869</v>
      </c>
      <c r="F345" s="115"/>
      <c r="G345" s="423" t="s">
        <v>2870</v>
      </c>
      <c r="H345" s="423"/>
      <c r="I345" s="423"/>
      <c r="J345" s="114"/>
      <c r="K345" s="114"/>
      <c r="L345" s="114"/>
      <c r="M345" s="114"/>
      <c r="N345" s="114"/>
      <c r="O345" s="114"/>
      <c r="P345" s="115"/>
      <c r="Q345" s="115"/>
      <c r="R345" s="115"/>
      <c r="S345" s="115"/>
      <c r="T345" s="115"/>
      <c r="U345" s="115"/>
      <c r="V345" s="115"/>
    </row>
    <row r="346" spans="1:26" ht="12.75" customHeight="1" x14ac:dyDescent="0.25">
      <c r="D346" s="301"/>
      <c r="E346" s="308" t="s">
        <v>2871</v>
      </c>
      <c r="F346" s="115"/>
      <c r="G346" s="115" t="s">
        <v>2872</v>
      </c>
      <c r="H346" s="115"/>
      <c r="I346" s="115"/>
      <c r="J346" s="114"/>
      <c r="K346" s="114"/>
      <c r="L346" s="114"/>
      <c r="M346" s="114"/>
      <c r="N346" s="114"/>
      <c r="O346" s="114"/>
      <c r="P346" s="115"/>
      <c r="Q346" s="115"/>
      <c r="R346" s="115"/>
      <c r="S346" s="115"/>
      <c r="T346" s="115"/>
      <c r="U346" s="115"/>
      <c r="V346" s="115"/>
    </row>
    <row r="347" spans="1:26" ht="12.75" customHeight="1" x14ac:dyDescent="0.25">
      <c r="D347" s="301"/>
      <c r="E347" s="308" t="s">
        <v>2873</v>
      </c>
      <c r="F347" s="115"/>
      <c r="G347" s="115" t="s">
        <v>2874</v>
      </c>
      <c r="H347" s="115"/>
      <c r="I347" s="115"/>
      <c r="J347" s="114"/>
      <c r="K347" s="114"/>
      <c r="L347" s="114"/>
      <c r="M347" s="114"/>
      <c r="N347" s="114"/>
      <c r="O347" s="114"/>
      <c r="P347" s="115"/>
      <c r="Q347" s="115"/>
      <c r="R347" s="115"/>
      <c r="S347" s="115"/>
      <c r="T347" s="115"/>
      <c r="U347" s="115"/>
      <c r="V347" s="115"/>
    </row>
    <row r="348" spans="1:26" ht="12.75" customHeight="1" x14ac:dyDescent="0.25">
      <c r="D348" s="301"/>
      <c r="E348" s="308" t="s">
        <v>2875</v>
      </c>
      <c r="F348" s="115"/>
      <c r="G348" s="114"/>
      <c r="H348" s="114"/>
      <c r="I348" s="114"/>
      <c r="J348" s="114"/>
      <c r="K348" s="114"/>
      <c r="L348" s="114"/>
      <c r="M348" s="114"/>
      <c r="N348" s="114"/>
      <c r="O348" s="114"/>
      <c r="P348" s="115"/>
      <c r="Q348" s="115"/>
      <c r="R348" s="115"/>
      <c r="S348" s="115"/>
      <c r="T348" s="115"/>
      <c r="U348" s="115"/>
      <c r="V348" s="115"/>
    </row>
    <row r="349" spans="1:26" ht="12.75" customHeight="1" x14ac:dyDescent="0.25">
      <c r="D349" s="301"/>
      <c r="E349" s="308" t="s">
        <v>2876</v>
      </c>
      <c r="F349" s="115"/>
      <c r="G349" s="114"/>
      <c r="H349" s="114"/>
      <c r="I349" s="114"/>
      <c r="J349" s="114"/>
      <c r="K349" s="114"/>
      <c r="L349" s="114"/>
      <c r="M349" s="114"/>
      <c r="N349" s="114"/>
      <c r="O349" s="114"/>
      <c r="P349" s="115"/>
      <c r="Q349" s="115"/>
      <c r="R349" s="115"/>
      <c r="S349" s="115"/>
      <c r="T349" s="115"/>
      <c r="U349" s="115"/>
      <c r="V349" s="115"/>
    </row>
    <row r="350" spans="1:26" ht="12.75" customHeight="1" x14ac:dyDescent="0.25">
      <c r="D350" s="301"/>
      <c r="E350" s="308" t="s">
        <v>2877</v>
      </c>
      <c r="F350" s="115"/>
      <c r="G350" s="114"/>
      <c r="H350" s="114"/>
      <c r="I350" s="114"/>
      <c r="J350" s="114"/>
      <c r="K350" s="114"/>
      <c r="L350" s="114"/>
      <c r="M350" s="114"/>
      <c r="N350" s="114"/>
      <c r="O350" s="114"/>
      <c r="P350" s="115"/>
      <c r="Q350" s="115"/>
      <c r="R350" s="115"/>
      <c r="S350" s="115"/>
      <c r="T350" s="115"/>
      <c r="U350" s="115"/>
      <c r="V350" s="115"/>
    </row>
    <row r="351" spans="1:26" ht="12.75" customHeight="1" x14ac:dyDescent="0.25">
      <c r="D351" s="301"/>
      <c r="E351" s="308" t="s">
        <v>2878</v>
      </c>
      <c r="F351" s="115"/>
      <c r="G351" s="114"/>
      <c r="H351" s="114"/>
      <c r="I351" s="114"/>
      <c r="J351" s="114"/>
      <c r="K351" s="114"/>
      <c r="L351" s="114"/>
      <c r="M351" s="114"/>
      <c r="N351" s="114"/>
      <c r="O351" s="114"/>
      <c r="P351" s="115"/>
      <c r="Q351" s="115"/>
      <c r="R351" s="115"/>
      <c r="S351" s="115"/>
      <c r="T351" s="115"/>
      <c r="U351" s="115"/>
      <c r="V351" s="115"/>
    </row>
    <row r="352" spans="1:26" ht="12.75" customHeight="1" x14ac:dyDescent="0.25">
      <c r="D352" s="301"/>
      <c r="E352" s="308" t="s">
        <v>2879</v>
      </c>
      <c r="F352" s="115"/>
      <c r="G352" s="114"/>
      <c r="H352" s="114"/>
      <c r="I352" s="114"/>
      <c r="J352" s="114"/>
      <c r="K352" s="114"/>
      <c r="L352" s="114"/>
      <c r="M352" s="114"/>
      <c r="N352" s="114"/>
      <c r="O352" s="114"/>
      <c r="P352" s="115"/>
      <c r="Q352" s="115"/>
      <c r="R352" s="115"/>
      <c r="S352" s="115"/>
      <c r="T352" s="115"/>
      <c r="U352" s="115"/>
      <c r="V352" s="115"/>
    </row>
    <row r="353" spans="4:22" ht="12.75" customHeight="1" x14ac:dyDescent="0.25">
      <c r="D353" s="301"/>
      <c r="E353" s="308" t="s">
        <v>2880</v>
      </c>
      <c r="F353" s="115"/>
      <c r="G353" s="114"/>
      <c r="H353" s="114"/>
      <c r="I353" s="114"/>
      <c r="J353" s="114"/>
      <c r="K353" s="114"/>
      <c r="L353" s="114"/>
      <c r="M353" s="114"/>
      <c r="N353" s="114"/>
      <c r="O353" s="114"/>
      <c r="P353" s="115"/>
      <c r="Q353" s="115"/>
      <c r="R353" s="115"/>
      <c r="S353" s="115"/>
      <c r="T353" s="115"/>
      <c r="U353" s="115"/>
      <c r="V353" s="115"/>
    </row>
    <row r="354" spans="4:22" ht="12.75" customHeight="1" x14ac:dyDescent="0.25">
      <c r="D354" s="301"/>
      <c r="E354" s="308" t="s">
        <v>2881</v>
      </c>
      <c r="F354" s="115"/>
      <c r="G354" s="114"/>
      <c r="H354" s="114"/>
      <c r="I354" s="114"/>
      <c r="J354" s="114"/>
      <c r="K354" s="114"/>
      <c r="L354" s="114"/>
      <c r="M354" s="114"/>
      <c r="N354" s="114"/>
      <c r="O354" s="114"/>
      <c r="P354" s="115"/>
      <c r="Q354" s="115"/>
      <c r="R354" s="115"/>
      <c r="S354" s="115"/>
      <c r="T354" s="115"/>
      <c r="U354" s="115"/>
      <c r="V354" s="115"/>
    </row>
    <row r="355" spans="4:22" ht="12.75" customHeight="1" x14ac:dyDescent="0.25">
      <c r="D355" s="301"/>
      <c r="E355" s="308" t="s">
        <v>2882</v>
      </c>
      <c r="F355" s="115"/>
      <c r="G355" s="114"/>
      <c r="H355" s="114"/>
      <c r="I355" s="114"/>
      <c r="J355" s="114"/>
      <c r="K355" s="114"/>
      <c r="L355" s="114"/>
      <c r="M355" s="114"/>
      <c r="N355" s="114"/>
      <c r="O355" s="114"/>
      <c r="P355" s="115"/>
      <c r="Q355" s="115"/>
      <c r="R355" s="115"/>
      <c r="S355" s="115"/>
      <c r="T355" s="115"/>
      <c r="U355" s="115"/>
      <c r="V355" s="115"/>
    </row>
    <row r="356" spans="4:22" ht="12.75" customHeight="1" x14ac:dyDescent="0.25">
      <c r="D356" s="301"/>
      <c r="E356" s="115"/>
      <c r="F356" s="115"/>
      <c r="G356" s="114"/>
      <c r="H356" s="114"/>
      <c r="I356" s="114"/>
      <c r="J356" s="609"/>
      <c r="K356" s="609"/>
      <c r="L356" s="609"/>
      <c r="M356" s="609"/>
      <c r="N356" s="609"/>
      <c r="O356" s="609"/>
      <c r="P356" s="115"/>
      <c r="Q356" s="115"/>
      <c r="R356" s="115"/>
      <c r="S356" s="115"/>
      <c r="T356" s="115"/>
      <c r="U356" s="115"/>
      <c r="V356" s="115"/>
    </row>
    <row r="357" spans="4:22" ht="12.75" customHeight="1" x14ac:dyDescent="0.25">
      <c r="D357" s="143">
        <v>43802</v>
      </c>
      <c r="E357" s="115" t="s">
        <v>2820</v>
      </c>
      <c r="F357" s="115"/>
      <c r="G357" s="114"/>
      <c r="H357" s="114"/>
      <c r="I357" s="114"/>
      <c r="J357" s="114">
        <v>11329</v>
      </c>
      <c r="K357" s="114">
        <v>11624</v>
      </c>
      <c r="L357" s="114">
        <f>ROUND(K357*T$2,0)</f>
        <v>11868</v>
      </c>
      <c r="M357" s="114">
        <f>ROUND(L357*U$2,0)</f>
        <v>12141</v>
      </c>
      <c r="N357" s="114">
        <f>ROUND(M357*V$2,0)</f>
        <v>12420</v>
      </c>
      <c r="O357" s="114">
        <f>ROUND(N357*W$2,0)</f>
        <v>12706</v>
      </c>
      <c r="P357" s="115"/>
      <c r="Q357" s="115"/>
      <c r="R357" s="115"/>
      <c r="S357" s="115"/>
      <c r="T357" s="115"/>
      <c r="U357" s="115"/>
      <c r="V357" s="115"/>
    </row>
    <row r="358" spans="4:22" ht="12.75" customHeight="1" thickBot="1" x14ac:dyDescent="0.3">
      <c r="D358" s="143"/>
      <c r="E358" s="633"/>
      <c r="F358" s="306"/>
      <c r="G358" s="114"/>
      <c r="H358" s="114"/>
      <c r="I358" s="114"/>
      <c r="J358" s="1744">
        <v>11329</v>
      </c>
      <c r="K358" s="1744">
        <v>11624</v>
      </c>
      <c r="L358" s="1744">
        <f>SUM(L357:L357)</f>
        <v>11868</v>
      </c>
      <c r="M358" s="1744">
        <f>SUM(M357:M357)</f>
        <v>12141</v>
      </c>
      <c r="N358" s="1744">
        <f>SUM(N357:N357)</f>
        <v>12420</v>
      </c>
      <c r="O358" s="1744">
        <f>SUM(O357:O357)</f>
        <v>12706</v>
      </c>
      <c r="P358" s="115"/>
      <c r="Q358" s="115"/>
      <c r="R358" s="115"/>
      <c r="S358" s="115"/>
      <c r="T358" s="115"/>
      <c r="U358" s="115"/>
      <c r="V358" s="115"/>
    </row>
    <row r="359" spans="4:22" ht="12.75" customHeight="1" thickTop="1" x14ac:dyDescent="0.25">
      <c r="D359" s="143"/>
      <c r="E359" s="115"/>
      <c r="F359" s="115"/>
      <c r="G359" s="114"/>
      <c r="H359" s="114"/>
      <c r="I359" s="114"/>
      <c r="J359" s="114"/>
      <c r="K359" s="114"/>
      <c r="L359" s="114"/>
      <c r="M359" s="114"/>
      <c r="N359" s="114"/>
      <c r="O359" s="114"/>
      <c r="P359" s="115"/>
      <c r="Q359" s="115"/>
      <c r="R359" s="115"/>
      <c r="S359" s="115"/>
      <c r="T359" s="115"/>
      <c r="U359" s="115"/>
      <c r="V359" s="115"/>
    </row>
    <row r="360" spans="4:22" ht="12.75" customHeight="1" x14ac:dyDescent="0.25">
      <c r="D360" s="143">
        <v>43812</v>
      </c>
      <c r="E360" s="308" t="s">
        <v>2883</v>
      </c>
      <c r="F360" s="115"/>
      <c r="G360" s="114"/>
      <c r="H360" s="114"/>
      <c r="I360" s="114"/>
      <c r="J360" s="114">
        <v>9595</v>
      </c>
      <c r="K360" s="114">
        <v>9844</v>
      </c>
      <c r="L360" s="114">
        <f t="shared" ref="L360:O361" si="137">ROUND(K360*T$2,0)</f>
        <v>10051</v>
      </c>
      <c r="M360" s="114">
        <f t="shared" si="137"/>
        <v>10282</v>
      </c>
      <c r="N360" s="114">
        <f t="shared" si="137"/>
        <v>10518</v>
      </c>
      <c r="O360" s="114">
        <f t="shared" si="137"/>
        <v>10760</v>
      </c>
      <c r="P360" s="115"/>
      <c r="Q360" s="115"/>
      <c r="R360" s="115"/>
      <c r="S360" s="115"/>
      <c r="T360" s="115"/>
      <c r="U360" s="115"/>
      <c r="V360" s="115"/>
    </row>
    <row r="361" spans="4:22" ht="12.75" customHeight="1" x14ac:dyDescent="0.25">
      <c r="D361" s="143"/>
      <c r="E361" s="308" t="s">
        <v>2884</v>
      </c>
      <c r="F361" s="115"/>
      <c r="G361" s="114"/>
      <c r="H361" s="114"/>
      <c r="I361" s="114"/>
      <c r="J361" s="114">
        <v>16853</v>
      </c>
      <c r="K361" s="114">
        <v>17291</v>
      </c>
      <c r="L361" s="114">
        <f t="shared" si="137"/>
        <v>17654</v>
      </c>
      <c r="M361" s="114">
        <f t="shared" si="137"/>
        <v>18060</v>
      </c>
      <c r="N361" s="114">
        <f t="shared" si="137"/>
        <v>18475</v>
      </c>
      <c r="O361" s="114">
        <f t="shared" si="137"/>
        <v>18900</v>
      </c>
      <c r="P361" s="115"/>
      <c r="Q361" s="115"/>
      <c r="R361" s="115"/>
      <c r="S361" s="115"/>
      <c r="T361" s="115"/>
      <c r="U361" s="115"/>
      <c r="V361" s="115"/>
    </row>
    <row r="362" spans="4:22" ht="12.75" customHeight="1" thickBot="1" x14ac:dyDescent="0.3">
      <c r="D362" s="143"/>
      <c r="E362" s="633"/>
      <c r="F362" s="306"/>
      <c r="G362" s="114"/>
      <c r="H362" s="114"/>
      <c r="I362" s="114"/>
      <c r="J362" s="1744">
        <v>26448</v>
      </c>
      <c r="K362" s="1744">
        <v>27135</v>
      </c>
      <c r="L362" s="1744">
        <f>SUM(L360:L361)</f>
        <v>27705</v>
      </c>
      <c r="M362" s="1744">
        <f>SUM(M360:M361)</f>
        <v>28342</v>
      </c>
      <c r="N362" s="1744">
        <f>SUM(N360:N361)</f>
        <v>28993</v>
      </c>
      <c r="O362" s="1744">
        <f>SUM(O360:O361)</f>
        <v>29660</v>
      </c>
      <c r="P362" s="115"/>
      <c r="Q362" s="115"/>
      <c r="R362" s="115"/>
      <c r="S362" s="115"/>
      <c r="T362" s="115"/>
      <c r="U362" s="115"/>
      <c r="V362" s="115"/>
    </row>
    <row r="363" spans="4:22" ht="12.75" customHeight="1" thickTop="1" x14ac:dyDescent="0.25">
      <c r="D363" s="143"/>
      <c r="E363" s="633"/>
      <c r="F363" s="306"/>
      <c r="G363" s="114"/>
      <c r="H363" s="114"/>
      <c r="I363" s="114"/>
      <c r="J363" s="114"/>
      <c r="K363" s="114"/>
      <c r="L363" s="114"/>
      <c r="M363" s="114"/>
      <c r="N363" s="114"/>
      <c r="O363" s="114"/>
      <c r="P363" s="115"/>
      <c r="Q363" s="115"/>
      <c r="R363" s="115"/>
      <c r="S363" s="115"/>
      <c r="T363" s="115"/>
      <c r="U363" s="115"/>
      <c r="V363" s="115"/>
    </row>
    <row r="364" spans="4:22" ht="12.75" customHeight="1" x14ac:dyDescent="0.25">
      <c r="D364" s="393">
        <v>617005</v>
      </c>
      <c r="E364" s="381" t="s">
        <v>2821</v>
      </c>
      <c r="F364" s="115"/>
      <c r="G364" s="114"/>
      <c r="H364" s="114"/>
      <c r="I364" s="114"/>
      <c r="J364" s="114"/>
      <c r="K364" s="114"/>
      <c r="L364" s="114"/>
      <c r="M364" s="114"/>
      <c r="N364" s="114"/>
      <c r="O364" s="114"/>
      <c r="P364" s="115"/>
      <c r="Q364" s="115"/>
      <c r="R364" s="115"/>
      <c r="S364" s="115"/>
      <c r="T364" s="115"/>
      <c r="U364" s="115"/>
      <c r="V364" s="115"/>
    </row>
    <row r="365" spans="4:22" ht="12.75" customHeight="1" x14ac:dyDescent="0.25">
      <c r="D365" s="143">
        <v>43812</v>
      </c>
      <c r="E365" s="115" t="s">
        <v>2885</v>
      </c>
      <c r="F365" s="115"/>
      <c r="G365" s="114"/>
      <c r="H365" s="114"/>
      <c r="I365" s="114"/>
      <c r="J365" s="114"/>
      <c r="K365" s="114"/>
      <c r="L365" s="114"/>
      <c r="M365" s="114"/>
      <c r="N365" s="114"/>
      <c r="O365" s="114"/>
      <c r="P365" s="115"/>
      <c r="Q365" s="115"/>
      <c r="R365" s="115"/>
      <c r="S365" s="115"/>
      <c r="T365" s="115"/>
      <c r="U365" s="115"/>
      <c r="V365" s="115"/>
    </row>
    <row r="366" spans="4:22" ht="12.75" customHeight="1" x14ac:dyDescent="0.25">
      <c r="D366" s="143"/>
      <c r="E366" s="115"/>
      <c r="F366" s="115"/>
      <c r="G366" s="114"/>
      <c r="H366" s="114"/>
      <c r="I366" s="114"/>
      <c r="J366" s="114"/>
      <c r="K366" s="114"/>
      <c r="L366" s="114"/>
      <c r="M366" s="114"/>
      <c r="N366" s="114"/>
      <c r="O366" s="114"/>
      <c r="P366" s="115"/>
      <c r="Q366" s="115"/>
      <c r="R366" s="115"/>
      <c r="S366" s="115"/>
      <c r="T366" s="115"/>
      <c r="U366" s="115"/>
      <c r="V366" s="115"/>
    </row>
    <row r="367" spans="4:22" ht="12.75" customHeight="1" x14ac:dyDescent="0.25">
      <c r="D367" s="143"/>
      <c r="E367" s="115"/>
      <c r="F367" s="115"/>
      <c r="G367" s="114"/>
      <c r="H367" s="114"/>
      <c r="I367" s="114"/>
      <c r="J367" s="114"/>
      <c r="K367" s="114"/>
      <c r="L367" s="114"/>
      <c r="M367" s="114"/>
      <c r="N367" s="114"/>
      <c r="O367" s="114"/>
      <c r="P367" s="115"/>
      <c r="Q367" s="115"/>
      <c r="R367" s="115"/>
      <c r="S367" s="115"/>
      <c r="T367" s="115"/>
      <c r="U367" s="115"/>
      <c r="V367" s="115"/>
    </row>
    <row r="368" spans="4:22" ht="12.75" customHeight="1" x14ac:dyDescent="0.25">
      <c r="D368" s="393">
        <v>617007</v>
      </c>
      <c r="E368" s="381" t="s">
        <v>2822</v>
      </c>
      <c r="F368" s="115"/>
      <c r="G368" s="114"/>
      <c r="H368" s="114"/>
      <c r="I368" s="114"/>
      <c r="J368" s="407">
        <v>2025</v>
      </c>
      <c r="K368" s="501">
        <v>2026</v>
      </c>
      <c r="L368" s="407">
        <v>2027</v>
      </c>
      <c r="M368" s="501">
        <v>2028</v>
      </c>
      <c r="N368" s="407">
        <v>2029</v>
      </c>
      <c r="O368" s="407">
        <v>2030</v>
      </c>
      <c r="P368" s="115"/>
      <c r="Q368" s="115"/>
      <c r="R368" s="115"/>
      <c r="S368" s="115"/>
      <c r="T368" s="115"/>
      <c r="U368" s="115"/>
      <c r="V368" s="115"/>
    </row>
    <row r="369" spans="1:22" ht="12.75" customHeight="1" x14ac:dyDescent="0.25">
      <c r="D369" s="115"/>
      <c r="E369" s="383"/>
      <c r="F369" s="115"/>
      <c r="G369" s="114"/>
      <c r="H369" s="114"/>
      <c r="I369" s="114"/>
      <c r="J369" s="114"/>
      <c r="K369" s="114"/>
      <c r="L369" s="114"/>
      <c r="M369" s="114"/>
      <c r="N369" s="114"/>
      <c r="O369" s="114"/>
      <c r="P369" s="115"/>
      <c r="Q369" s="115"/>
      <c r="R369" s="115"/>
      <c r="S369" s="115"/>
      <c r="T369" s="115"/>
      <c r="U369" s="115"/>
      <c r="V369" s="115"/>
    </row>
    <row r="370" spans="1:22" ht="12.75" customHeight="1" x14ac:dyDescent="0.25">
      <c r="A370" s="306"/>
      <c r="B370" s="115"/>
      <c r="C370" s="115"/>
      <c r="D370" s="143">
        <v>43812</v>
      </c>
      <c r="E370" s="308" t="s">
        <v>2886</v>
      </c>
      <c r="F370" s="115"/>
      <c r="G370" s="114"/>
      <c r="H370" s="114"/>
      <c r="I370" s="114"/>
      <c r="J370" s="114">
        <v>15000</v>
      </c>
      <c r="K370" s="114">
        <v>15000</v>
      </c>
      <c r="L370" s="114">
        <v>15000</v>
      </c>
      <c r="M370" s="114">
        <v>15000</v>
      </c>
      <c r="N370" s="114">
        <v>15000</v>
      </c>
      <c r="O370" s="114">
        <v>15000</v>
      </c>
      <c r="P370" s="115"/>
      <c r="Q370" s="115"/>
      <c r="R370" s="115"/>
      <c r="S370" s="115"/>
      <c r="T370" s="115"/>
      <c r="U370" s="115"/>
      <c r="V370" s="115"/>
    </row>
    <row r="371" spans="1:22" ht="12.75" customHeight="1" x14ac:dyDescent="0.25">
      <c r="A371" s="306"/>
      <c r="B371" s="115"/>
      <c r="C371" s="115"/>
      <c r="D371" s="143"/>
      <c r="E371" s="308" t="s">
        <v>2887</v>
      </c>
      <c r="F371" s="115"/>
      <c r="G371" s="114"/>
      <c r="H371" s="114"/>
      <c r="I371" s="114"/>
      <c r="J371" s="114"/>
      <c r="K371" s="114"/>
      <c r="L371" s="114"/>
      <c r="M371" s="114"/>
      <c r="N371" s="114"/>
      <c r="O371" s="114"/>
      <c r="P371" s="115"/>
      <c r="Q371" s="115"/>
      <c r="R371" s="115"/>
      <c r="S371" s="115"/>
      <c r="T371" s="115"/>
      <c r="U371" s="115"/>
      <c r="V371" s="115"/>
    </row>
    <row r="372" spans="1:22" ht="12.75" customHeight="1" x14ac:dyDescent="0.25">
      <c r="A372" s="306"/>
      <c r="B372" s="115"/>
      <c r="C372" s="115"/>
      <c r="D372" s="143"/>
      <c r="E372" s="115" t="s">
        <v>2888</v>
      </c>
      <c r="F372" s="115"/>
      <c r="G372" s="114"/>
      <c r="H372" s="114"/>
      <c r="I372" s="114"/>
      <c r="J372" s="114">
        <v>25000</v>
      </c>
      <c r="K372" s="114">
        <v>25000</v>
      </c>
      <c r="L372" s="114">
        <v>25000</v>
      </c>
      <c r="M372" s="114">
        <v>25000</v>
      </c>
      <c r="N372" s="114">
        <v>25000</v>
      </c>
      <c r="O372" s="114">
        <v>25000</v>
      </c>
      <c r="P372" s="115"/>
      <c r="Q372" s="115"/>
      <c r="R372" s="115"/>
      <c r="S372" s="115"/>
      <c r="T372" s="115"/>
      <c r="U372" s="115"/>
      <c r="V372" s="115"/>
    </row>
    <row r="373" spans="1:22" ht="12.75" customHeight="1" x14ac:dyDescent="0.25">
      <c r="A373" s="306"/>
      <c r="B373" s="115"/>
      <c r="C373" s="115"/>
      <c r="D373" s="143"/>
      <c r="E373" s="308" t="s">
        <v>2889</v>
      </c>
      <c r="F373" s="115"/>
      <c r="G373" s="114"/>
      <c r="H373" s="114"/>
      <c r="I373" s="114"/>
      <c r="J373" s="114">
        <v>132000</v>
      </c>
      <c r="K373" s="114">
        <v>132000</v>
      </c>
      <c r="L373" s="114">
        <v>132000</v>
      </c>
      <c r="M373" s="114">
        <v>132000</v>
      </c>
      <c r="N373" s="114">
        <v>132000</v>
      </c>
      <c r="O373" s="114">
        <v>132000</v>
      </c>
      <c r="P373" s="115"/>
      <c r="Q373" s="115"/>
      <c r="R373" s="115"/>
      <c r="S373" s="115"/>
      <c r="T373" s="115"/>
      <c r="U373" s="115"/>
      <c r="V373" s="115"/>
    </row>
    <row r="374" spans="1:22" ht="12.75" customHeight="1" x14ac:dyDescent="0.25">
      <c r="A374" s="306"/>
      <c r="B374" s="115"/>
      <c r="C374" s="115"/>
      <c r="D374" s="143"/>
      <c r="E374" s="308" t="s">
        <v>2890</v>
      </c>
      <c r="F374" s="115"/>
      <c r="G374" s="114"/>
      <c r="H374" s="114"/>
      <c r="I374" s="114"/>
      <c r="J374" s="114"/>
      <c r="K374" s="114">
        <v>46000</v>
      </c>
      <c r="L374" s="114">
        <v>0</v>
      </c>
      <c r="M374" s="114">
        <v>0</v>
      </c>
      <c r="N374" s="114">
        <v>0</v>
      </c>
      <c r="O374" s="114">
        <v>0</v>
      </c>
      <c r="P374" s="115"/>
      <c r="Q374" s="115"/>
      <c r="R374" s="115"/>
      <c r="S374" s="115"/>
      <c r="T374" s="115"/>
      <c r="U374" s="115"/>
      <c r="V374" s="115"/>
    </row>
    <row r="375" spans="1:22" ht="12.75" customHeight="1" thickBot="1" x14ac:dyDescent="0.3">
      <c r="A375" s="306"/>
      <c r="B375" s="115"/>
      <c r="C375" s="115"/>
      <c r="D375" s="143"/>
      <c r="E375" s="115" t="s">
        <v>619</v>
      </c>
      <c r="F375" s="115"/>
      <c r="G375" s="114"/>
      <c r="H375" s="114"/>
      <c r="I375" s="114"/>
      <c r="J375" s="1744">
        <v>172000</v>
      </c>
      <c r="K375" s="1744">
        <v>218000</v>
      </c>
      <c r="L375" s="1744">
        <f>SUM(L370:L374)</f>
        <v>172000</v>
      </c>
      <c r="M375" s="1744">
        <f>SUM(M370:M374)</f>
        <v>172000</v>
      </c>
      <c r="N375" s="1744">
        <f>SUM(N370:N374)</f>
        <v>172000</v>
      </c>
      <c r="O375" s="1744">
        <f>SUM(O370:O374)</f>
        <v>172000</v>
      </c>
      <c r="P375" s="115"/>
      <c r="Q375" s="115"/>
      <c r="R375" s="115"/>
      <c r="S375" s="115"/>
      <c r="T375" s="115"/>
      <c r="U375" s="115"/>
      <c r="V375" s="115"/>
    </row>
    <row r="376" spans="1:22" ht="12.75" customHeight="1" thickTop="1" x14ac:dyDescent="0.25">
      <c r="A376" s="306"/>
      <c r="B376" s="115"/>
      <c r="C376" s="115"/>
      <c r="D376" s="143"/>
      <c r="E376" s="115"/>
      <c r="F376" s="115"/>
      <c r="G376" s="114"/>
      <c r="H376" s="114"/>
      <c r="I376" s="114"/>
      <c r="J376" s="114"/>
      <c r="K376" s="114"/>
      <c r="L376" s="114"/>
      <c r="M376" s="114"/>
      <c r="N376" s="114"/>
      <c r="O376" s="114"/>
      <c r="P376" s="115"/>
      <c r="Q376" s="115"/>
      <c r="R376" s="115"/>
      <c r="S376" s="115"/>
      <c r="T376" s="115"/>
      <c r="U376" s="115"/>
      <c r="V376" s="115"/>
    </row>
    <row r="377" spans="1:22" ht="12.75" customHeight="1" x14ac:dyDescent="0.25">
      <c r="A377" s="306"/>
      <c r="B377" s="115"/>
      <c r="C377" s="115"/>
      <c r="D377" s="384"/>
      <c r="E377" s="115"/>
      <c r="F377" s="115"/>
      <c r="G377" s="115"/>
      <c r="H377" s="115"/>
      <c r="I377" s="115"/>
      <c r="J377" s="115"/>
      <c r="K377" s="115"/>
      <c r="L377" s="115"/>
      <c r="M377" s="115"/>
      <c r="N377" s="115"/>
      <c r="O377" s="115"/>
      <c r="P377" s="115"/>
      <c r="Q377" s="115"/>
      <c r="R377" s="115"/>
      <c r="S377" s="115"/>
      <c r="T377" s="115"/>
      <c r="U377" s="115"/>
      <c r="V377" s="115"/>
    </row>
    <row r="378" spans="1:22" ht="12.75" customHeight="1" x14ac:dyDescent="0.25">
      <c r="A378" s="306"/>
      <c r="B378" s="115"/>
      <c r="C378" s="115"/>
      <c r="D378" s="393">
        <v>617008</v>
      </c>
      <c r="E378" s="381" t="s">
        <v>2823</v>
      </c>
      <c r="F378" s="115"/>
      <c r="G378" s="609"/>
      <c r="H378" s="609"/>
      <c r="I378" s="609"/>
      <c r="J378" s="115"/>
      <c r="K378" s="115"/>
      <c r="L378" s="115"/>
      <c r="M378" s="115"/>
      <c r="N378" s="115"/>
      <c r="O378" s="115"/>
      <c r="P378" s="115"/>
      <c r="Q378" s="115"/>
      <c r="R378" s="115"/>
      <c r="S378" s="115"/>
      <c r="T378" s="115"/>
      <c r="U378" s="115"/>
      <c r="V378" s="115"/>
    </row>
    <row r="379" spans="1:22" ht="12.75" customHeight="1" x14ac:dyDescent="0.25">
      <c r="A379" s="306"/>
      <c r="B379" s="115"/>
      <c r="C379" s="115"/>
      <c r="D379" s="143">
        <v>43812</v>
      </c>
      <c r="E379" s="308" t="s">
        <v>2891</v>
      </c>
      <c r="F379" s="115"/>
      <c r="G379" s="609"/>
      <c r="H379" s="609"/>
      <c r="I379" s="609"/>
      <c r="J379" s="114">
        <v>1153</v>
      </c>
      <c r="K379" s="114">
        <v>1183</v>
      </c>
      <c r="L379" s="114">
        <f>ROUND(K379*T$2,0)</f>
        <v>1208</v>
      </c>
      <c r="M379" s="114">
        <f>ROUND(L379*U$2,0)</f>
        <v>1236</v>
      </c>
      <c r="N379" s="114">
        <f>ROUND(M379*V$2,0)</f>
        <v>1264</v>
      </c>
      <c r="O379" s="114">
        <f>ROUND(N379*W$2,0)</f>
        <v>1293</v>
      </c>
      <c r="P379" s="115"/>
      <c r="Q379" s="115"/>
      <c r="R379" s="115"/>
      <c r="S379" s="115"/>
      <c r="T379" s="115"/>
      <c r="U379" s="115"/>
      <c r="V379" s="115"/>
    </row>
    <row r="380" spans="1:22" ht="12.75" customHeight="1" thickBot="1" x14ac:dyDescent="0.3">
      <c r="A380" s="306"/>
      <c r="B380" s="115"/>
      <c r="C380" s="115"/>
      <c r="D380" s="384"/>
      <c r="E380" s="1089" t="str">
        <f>"Totaal "&amp;D379</f>
        <v>Totaal 43812</v>
      </c>
      <c r="F380" s="115"/>
      <c r="G380" s="609"/>
      <c r="H380" s="609"/>
      <c r="I380" s="609"/>
      <c r="J380" s="1744">
        <v>1153</v>
      </c>
      <c r="K380" s="1744">
        <v>1183</v>
      </c>
      <c r="L380" s="1744">
        <f>SUM(L379:L379)</f>
        <v>1208</v>
      </c>
      <c r="M380" s="1744">
        <f>SUM(M379:M379)</f>
        <v>1236</v>
      </c>
      <c r="N380" s="1744">
        <f>SUM(N379:N379)</f>
        <v>1264</v>
      </c>
      <c r="O380" s="1744">
        <f>SUM(O379:O379)</f>
        <v>1293</v>
      </c>
      <c r="P380" s="115"/>
      <c r="Q380" s="115"/>
      <c r="R380" s="115"/>
      <c r="S380" s="115"/>
      <c r="T380" s="115"/>
      <c r="U380" s="115"/>
      <c r="V380" s="115"/>
    </row>
    <row r="381" spans="1:22" ht="12.75" customHeight="1" thickTop="1" x14ac:dyDescent="0.25">
      <c r="A381" s="306"/>
      <c r="B381" s="115"/>
      <c r="C381" s="115"/>
      <c r="D381" s="384"/>
      <c r="E381" s="1089"/>
      <c r="F381" s="115"/>
      <c r="G381" s="609"/>
      <c r="H381" s="609"/>
      <c r="I381" s="609"/>
      <c r="J381" s="114"/>
      <c r="K381" s="114"/>
      <c r="L381" s="114"/>
      <c r="M381" s="114"/>
      <c r="N381" s="114"/>
      <c r="O381" s="114"/>
      <c r="P381" s="115"/>
      <c r="Q381" s="115"/>
      <c r="R381" s="115"/>
      <c r="S381" s="115"/>
      <c r="T381" s="115"/>
      <c r="U381" s="115"/>
      <c r="V381" s="115"/>
    </row>
    <row r="382" spans="1:22" ht="12.75" customHeight="1" x14ac:dyDescent="0.25">
      <c r="A382" s="306"/>
      <c r="B382" s="115"/>
      <c r="C382" s="115"/>
      <c r="D382" s="384"/>
      <c r="E382" s="308"/>
      <c r="F382" s="115"/>
      <c r="G382" s="609"/>
      <c r="H382" s="609"/>
      <c r="I382" s="609"/>
      <c r="J382" s="115"/>
      <c r="K382" s="115"/>
      <c r="L382" s="115"/>
      <c r="M382" s="115"/>
      <c r="N382" s="115"/>
      <c r="O382" s="115"/>
      <c r="P382" s="115"/>
      <c r="Q382" s="115"/>
      <c r="R382" s="115"/>
      <c r="S382" s="115"/>
      <c r="T382" s="115"/>
      <c r="U382" s="115"/>
      <c r="V382" s="115"/>
    </row>
    <row r="383" spans="1:22" ht="12.75" customHeight="1" x14ac:dyDescent="0.25">
      <c r="A383" s="306"/>
      <c r="B383" s="115"/>
      <c r="C383" s="115"/>
      <c r="D383" s="393">
        <v>617009</v>
      </c>
      <c r="E383" s="381" t="s">
        <v>2824</v>
      </c>
      <c r="F383" s="115"/>
      <c r="G383" s="609"/>
      <c r="H383" s="609"/>
      <c r="I383" s="609"/>
      <c r="J383" s="407">
        <v>2025</v>
      </c>
      <c r="K383" s="501">
        <v>2026</v>
      </c>
      <c r="L383" s="501">
        <v>2027</v>
      </c>
      <c r="M383" s="501">
        <v>2028</v>
      </c>
      <c r="N383" s="501">
        <v>2029</v>
      </c>
      <c r="O383" s="501">
        <v>2030</v>
      </c>
      <c r="P383" s="115"/>
      <c r="Q383" s="115"/>
      <c r="R383" s="115"/>
      <c r="S383" s="115"/>
      <c r="T383" s="115"/>
      <c r="U383" s="115"/>
      <c r="V383" s="115"/>
    </row>
    <row r="384" spans="1:22" ht="12.75" customHeight="1" x14ac:dyDescent="0.25">
      <c r="A384" s="306"/>
      <c r="B384" s="115"/>
      <c r="C384" s="115"/>
      <c r="D384" s="143">
        <v>43812</v>
      </c>
      <c r="E384" s="2510" t="s">
        <v>2892</v>
      </c>
      <c r="F384" s="2510"/>
      <c r="G384" s="2510"/>
      <c r="H384" s="2510"/>
      <c r="I384" s="2510"/>
      <c r="J384" s="115"/>
      <c r="K384" s="115"/>
      <c r="L384" s="115"/>
      <c r="M384" s="115"/>
      <c r="N384" s="115"/>
      <c r="O384" s="115"/>
      <c r="P384" s="115"/>
      <c r="Q384" s="115"/>
      <c r="R384" s="115"/>
      <c r="S384" s="115"/>
      <c r="T384" s="115"/>
      <c r="U384" s="115"/>
      <c r="V384" s="115"/>
    </row>
    <row r="385" spans="1:22" ht="12.75" customHeight="1" x14ac:dyDescent="0.25">
      <c r="A385" s="306"/>
      <c r="B385" s="115"/>
      <c r="C385" s="115"/>
      <c r="D385" s="301"/>
      <c r="E385" s="2510"/>
      <c r="F385" s="2510"/>
      <c r="G385" s="2510"/>
      <c r="H385" s="2510"/>
      <c r="I385" s="2510"/>
      <c r="J385" s="115"/>
      <c r="K385" s="115"/>
      <c r="L385" s="115"/>
      <c r="M385" s="115"/>
      <c r="N385" s="115"/>
      <c r="O385" s="115"/>
      <c r="P385" s="115"/>
      <c r="Q385" s="115"/>
      <c r="R385" s="115"/>
      <c r="S385" s="115"/>
      <c r="T385" s="115"/>
      <c r="U385" s="115"/>
      <c r="V385" s="115"/>
    </row>
    <row r="386" spans="1:22" ht="12.75" customHeight="1" x14ac:dyDescent="0.25">
      <c r="A386" s="306"/>
      <c r="B386" s="115"/>
      <c r="C386" s="115"/>
      <c r="D386" s="301"/>
      <c r="E386" s="2510"/>
      <c r="F386" s="2510"/>
      <c r="G386" s="2510"/>
      <c r="H386" s="2510"/>
      <c r="I386" s="2510"/>
      <c r="J386" s="115"/>
      <c r="K386" s="115"/>
      <c r="L386" s="115"/>
      <c r="M386" s="115"/>
      <c r="N386" s="115"/>
      <c r="O386" s="115"/>
      <c r="P386" s="115"/>
      <c r="Q386" s="115"/>
      <c r="R386" s="115"/>
      <c r="S386" s="115"/>
      <c r="T386" s="115"/>
      <c r="U386" s="115"/>
      <c r="V386" s="115"/>
    </row>
    <row r="387" spans="1:22" ht="12.75" customHeight="1" x14ac:dyDescent="0.25">
      <c r="A387" s="306"/>
      <c r="B387" s="115"/>
      <c r="C387" s="115"/>
      <c r="D387" s="301"/>
      <c r="E387" s="2510"/>
      <c r="F387" s="2510"/>
      <c r="G387" s="2510"/>
      <c r="H387" s="2510"/>
      <c r="I387" s="2510"/>
      <c r="J387" s="115"/>
      <c r="K387" s="115"/>
      <c r="L387" s="115"/>
      <c r="M387" s="115"/>
      <c r="N387" s="115"/>
      <c r="O387" s="115"/>
      <c r="P387" s="115"/>
      <c r="Q387" s="115"/>
      <c r="R387" s="115"/>
      <c r="S387" s="115"/>
      <c r="T387" s="115"/>
      <c r="U387" s="115"/>
      <c r="V387" s="115"/>
    </row>
    <row r="388" spans="1:22" ht="12.75" customHeight="1" x14ac:dyDescent="0.25">
      <c r="A388" s="306"/>
      <c r="B388" s="115"/>
      <c r="C388" s="115"/>
      <c r="D388" s="301"/>
      <c r="E388" s="2510"/>
      <c r="F388" s="2510"/>
      <c r="G388" s="2510"/>
      <c r="H388" s="2510"/>
      <c r="I388" s="2510"/>
      <c r="J388" s="115"/>
      <c r="K388" s="115"/>
      <c r="L388" s="115"/>
      <c r="M388" s="115"/>
      <c r="N388" s="115"/>
      <c r="O388" s="115"/>
      <c r="P388" s="115"/>
      <c r="Q388" s="115"/>
      <c r="R388" s="115"/>
      <c r="S388" s="115"/>
      <c r="T388" s="115"/>
      <c r="U388" s="115"/>
      <c r="V388" s="115"/>
    </row>
    <row r="389" spans="1:22" ht="12.75" customHeight="1" x14ac:dyDescent="0.25">
      <c r="A389" s="306"/>
      <c r="B389" s="115"/>
      <c r="C389" s="115"/>
      <c r="D389" s="301"/>
      <c r="E389" s="115" t="s">
        <v>2893</v>
      </c>
      <c r="F389" s="115"/>
      <c r="G389" s="114"/>
      <c r="H389" s="115"/>
      <c r="I389" s="115"/>
      <c r="J389" s="115"/>
      <c r="K389" s="115"/>
      <c r="L389" s="115"/>
      <c r="M389" s="115"/>
      <c r="N389" s="115"/>
      <c r="O389" s="115"/>
      <c r="P389" s="115"/>
      <c r="Q389" s="115"/>
      <c r="R389" s="115"/>
      <c r="S389" s="115"/>
      <c r="T389" s="115"/>
      <c r="U389" s="115"/>
      <c r="V389" s="115"/>
    </row>
    <row r="390" spans="1:22" ht="12.75" customHeight="1" x14ac:dyDescent="0.25">
      <c r="A390" s="306"/>
      <c r="B390" s="115"/>
      <c r="C390" s="115"/>
      <c r="D390" s="301"/>
      <c r="E390" s="115" t="s">
        <v>2894</v>
      </c>
      <c r="F390" s="115"/>
      <c r="G390" s="114"/>
      <c r="H390" s="115"/>
      <c r="I390" s="115"/>
      <c r="J390" s="115"/>
      <c r="K390" s="115"/>
      <c r="L390" s="115"/>
      <c r="M390" s="115"/>
      <c r="N390" s="115"/>
      <c r="O390" s="115"/>
      <c r="P390" s="115"/>
      <c r="Q390" s="115"/>
      <c r="R390" s="115"/>
      <c r="S390" s="115"/>
      <c r="T390" s="115"/>
      <c r="U390" s="115"/>
      <c r="V390" s="115"/>
    </row>
    <row r="391" spans="1:22" ht="12.75" customHeight="1" x14ac:dyDescent="0.25">
      <c r="A391" s="306"/>
      <c r="B391" s="115"/>
      <c r="C391" s="115"/>
      <c r="D391" s="301"/>
      <c r="E391" s="115" t="s">
        <v>2895</v>
      </c>
      <c r="F391" s="115"/>
      <c r="G391" s="114"/>
      <c r="H391" s="114"/>
      <c r="I391" s="114"/>
      <c r="J391" s="114">
        <v>18665</v>
      </c>
      <c r="K391" s="114">
        <v>19150</v>
      </c>
      <c r="L391" s="114">
        <f t="shared" ref="L391:O393" si="138">ROUND(K391*T$2,0)</f>
        <v>19552</v>
      </c>
      <c r="M391" s="114">
        <f t="shared" si="138"/>
        <v>20002</v>
      </c>
      <c r="N391" s="114">
        <f t="shared" si="138"/>
        <v>20462</v>
      </c>
      <c r="O391" s="114">
        <f t="shared" si="138"/>
        <v>20933</v>
      </c>
      <c r="P391" s="115"/>
      <c r="Q391" s="115"/>
      <c r="R391" s="115"/>
      <c r="S391" s="115"/>
      <c r="T391" s="115"/>
      <c r="U391" s="115"/>
      <c r="V391" s="115"/>
    </row>
    <row r="392" spans="1:22" ht="12.75" customHeight="1" x14ac:dyDescent="0.25">
      <c r="A392" s="306"/>
      <c r="B392" s="115"/>
      <c r="C392" s="115"/>
      <c r="D392" s="301"/>
      <c r="E392" s="115" t="s">
        <v>2896</v>
      </c>
      <c r="F392" s="115"/>
      <c r="G392" s="114"/>
      <c r="H392" s="114"/>
      <c r="I392" s="114"/>
      <c r="J392" s="114">
        <v>2916</v>
      </c>
      <c r="K392" s="114">
        <v>2992</v>
      </c>
      <c r="L392" s="114">
        <f t="shared" si="138"/>
        <v>3055</v>
      </c>
      <c r="M392" s="114">
        <f t="shared" si="138"/>
        <v>3125</v>
      </c>
      <c r="N392" s="114">
        <f t="shared" si="138"/>
        <v>3197</v>
      </c>
      <c r="O392" s="114">
        <f t="shared" si="138"/>
        <v>3271</v>
      </c>
      <c r="P392" s="115"/>
      <c r="Q392" s="115"/>
      <c r="R392" s="115"/>
      <c r="S392" s="115"/>
      <c r="T392" s="115"/>
      <c r="U392" s="115"/>
      <c r="V392" s="115"/>
    </row>
    <row r="393" spans="1:22" ht="12.75" customHeight="1" x14ac:dyDescent="0.25">
      <c r="A393" s="306"/>
      <c r="B393" s="115"/>
      <c r="C393" s="115"/>
      <c r="D393" s="301"/>
      <c r="E393" s="308" t="s">
        <v>2897</v>
      </c>
      <c r="F393" s="115"/>
      <c r="G393" s="114"/>
      <c r="H393" s="114"/>
      <c r="I393" s="114"/>
      <c r="J393" s="114">
        <v>4952</v>
      </c>
      <c r="K393" s="114">
        <v>5081</v>
      </c>
      <c r="L393" s="114">
        <f t="shared" si="138"/>
        <v>5188</v>
      </c>
      <c r="M393" s="114">
        <f t="shared" si="138"/>
        <v>5307</v>
      </c>
      <c r="N393" s="114">
        <f t="shared" si="138"/>
        <v>5429</v>
      </c>
      <c r="O393" s="114">
        <f t="shared" si="138"/>
        <v>5554</v>
      </c>
      <c r="P393" s="115"/>
      <c r="Q393" s="115"/>
      <c r="R393" s="115"/>
      <c r="S393" s="115"/>
      <c r="T393" s="115"/>
      <c r="U393" s="115"/>
      <c r="V393" s="115"/>
    </row>
    <row r="394" spans="1:22" ht="12.75" customHeight="1" thickBot="1" x14ac:dyDescent="0.3">
      <c r="A394" s="306"/>
      <c r="B394" s="115"/>
      <c r="C394" s="115"/>
      <c r="D394" s="301"/>
      <c r="E394" s="1089" t="str">
        <f>"Totaal "&amp;D384</f>
        <v>Totaal 43812</v>
      </c>
      <c r="F394" s="115"/>
      <c r="G394" s="114"/>
      <c r="H394" s="114"/>
      <c r="I394" s="114"/>
      <c r="J394" s="1744">
        <v>26533</v>
      </c>
      <c r="K394" s="1744">
        <v>27223</v>
      </c>
      <c r="L394" s="1744">
        <f>SUM(L391:L393)</f>
        <v>27795</v>
      </c>
      <c r="M394" s="1744">
        <f>SUM(M391:M393)</f>
        <v>28434</v>
      </c>
      <c r="N394" s="1744">
        <f>SUM(N391:N393)</f>
        <v>29088</v>
      </c>
      <c r="O394" s="1744">
        <f>SUM(O391:O393)</f>
        <v>29758</v>
      </c>
      <c r="P394" s="114"/>
      <c r="Q394" s="114"/>
      <c r="R394" s="115"/>
      <c r="S394" s="115"/>
      <c r="T394" s="115"/>
      <c r="U394" s="115"/>
      <c r="V394" s="115"/>
    </row>
    <row r="395" spans="1:22" ht="12.75" customHeight="1" thickTop="1" x14ac:dyDescent="0.25">
      <c r="A395" s="306"/>
      <c r="B395" s="115"/>
      <c r="C395" s="115"/>
      <c r="D395" s="301"/>
      <c r="E395" s="308"/>
      <c r="F395" s="115"/>
      <c r="G395" s="114"/>
      <c r="H395" s="114"/>
      <c r="I395" s="114"/>
      <c r="J395" s="114"/>
      <c r="K395" s="114"/>
      <c r="L395" s="114"/>
      <c r="M395" s="114"/>
      <c r="N395" s="114"/>
      <c r="O395" s="114"/>
      <c r="P395" s="114"/>
      <c r="Q395" s="114"/>
      <c r="R395" s="115"/>
      <c r="S395" s="115"/>
      <c r="T395" s="115"/>
      <c r="U395" s="115"/>
      <c r="V395" s="115"/>
    </row>
    <row r="396" spans="1:22" ht="12.75" customHeight="1" x14ac:dyDescent="0.25">
      <c r="A396" s="306"/>
      <c r="B396" s="115"/>
      <c r="C396" s="115"/>
      <c r="D396" s="301"/>
      <c r="E396" s="308"/>
      <c r="F396" s="115"/>
      <c r="G396" s="114"/>
      <c r="H396" s="114"/>
      <c r="I396" s="114"/>
      <c r="J396" s="114"/>
      <c r="K396" s="114"/>
      <c r="L396" s="114"/>
      <c r="M396" s="114"/>
      <c r="N396" s="114"/>
      <c r="O396" s="114"/>
      <c r="P396" s="114"/>
      <c r="Q396" s="114"/>
      <c r="R396" s="115"/>
      <c r="S396" s="115"/>
      <c r="T396" s="115"/>
      <c r="U396" s="115"/>
      <c r="V396" s="115"/>
    </row>
    <row r="397" spans="1:22" ht="12.75" customHeight="1" x14ac:dyDescent="0.25">
      <c r="A397" s="306"/>
      <c r="B397" s="115"/>
      <c r="C397" s="115"/>
      <c r="D397" s="393">
        <v>617010</v>
      </c>
      <c r="E397" s="381" t="s">
        <v>2825</v>
      </c>
      <c r="F397" s="115"/>
      <c r="G397" s="115"/>
      <c r="H397" s="115"/>
      <c r="I397" s="115"/>
      <c r="J397" s="115"/>
      <c r="K397" s="115"/>
      <c r="L397" s="115"/>
      <c r="M397" s="115"/>
      <c r="N397" s="115"/>
      <c r="O397" s="115"/>
      <c r="P397" s="115"/>
      <c r="Q397" s="115"/>
      <c r="R397" s="115"/>
      <c r="S397" s="115"/>
      <c r="T397" s="115"/>
      <c r="U397" s="115"/>
      <c r="V397" s="115"/>
    </row>
    <row r="398" spans="1:22" ht="12.75" customHeight="1" x14ac:dyDescent="0.25">
      <c r="A398" s="306"/>
      <c r="B398" s="115"/>
      <c r="C398" s="115"/>
      <c r="D398" s="143">
        <v>43812</v>
      </c>
      <c r="E398" s="115" t="s">
        <v>2898</v>
      </c>
      <c r="F398" s="115"/>
      <c r="G398" s="115"/>
      <c r="H398" s="115"/>
      <c r="I398" s="115"/>
      <c r="J398" s="115"/>
      <c r="K398" s="115"/>
      <c r="L398" s="115"/>
      <c r="M398" s="115"/>
      <c r="N398" s="115"/>
      <c r="O398" s="115"/>
      <c r="P398" s="115"/>
      <c r="Q398" s="115"/>
      <c r="R398" s="115"/>
      <c r="S398" s="115"/>
      <c r="T398" s="115"/>
      <c r="U398" s="115"/>
      <c r="V398" s="115"/>
    </row>
    <row r="399" spans="1:22" ht="12.75" customHeight="1" x14ac:dyDescent="0.25">
      <c r="A399" s="306"/>
      <c r="B399" s="115"/>
      <c r="C399" s="115"/>
      <c r="D399" s="143"/>
      <c r="E399" s="308" t="s">
        <v>2899</v>
      </c>
      <c r="F399" s="115"/>
      <c r="G399" s="115"/>
      <c r="H399" s="115"/>
      <c r="I399" s="115"/>
      <c r="J399" s="114">
        <v>56176</v>
      </c>
      <c r="K399" s="114">
        <v>57637</v>
      </c>
      <c r="L399" s="114">
        <f>ROUND(K399*T$2,0)</f>
        <v>58847</v>
      </c>
      <c r="M399" s="114">
        <f>ROUND(L399*U$2,0)</f>
        <v>60200</v>
      </c>
      <c r="N399" s="114">
        <f>ROUND(M399*V$2,0)</f>
        <v>61585</v>
      </c>
      <c r="O399" s="114">
        <f>ROUND(N399*W$2,0)</f>
        <v>63001</v>
      </c>
      <c r="P399" s="115"/>
      <c r="Q399" s="115"/>
      <c r="R399" s="115"/>
      <c r="S399" s="115"/>
      <c r="T399" s="115"/>
      <c r="U399" s="115"/>
      <c r="V399" s="115"/>
    </row>
    <row r="400" spans="1:22" ht="12.75" customHeight="1" thickBot="1" x14ac:dyDescent="0.3">
      <c r="A400" s="306"/>
      <c r="B400" s="115"/>
      <c r="C400" s="115"/>
      <c r="D400" s="143"/>
      <c r="E400" s="381" t="s">
        <v>619</v>
      </c>
      <c r="F400" s="115"/>
      <c r="G400" s="115"/>
      <c r="H400" s="115"/>
      <c r="I400" s="115"/>
      <c r="J400" s="1744">
        <v>56176</v>
      </c>
      <c r="K400" s="1744">
        <v>57637</v>
      </c>
      <c r="L400" s="1744">
        <f>SUM(L399:L399)</f>
        <v>58847</v>
      </c>
      <c r="M400" s="1744">
        <f>SUM(M399:M399)</f>
        <v>60200</v>
      </c>
      <c r="N400" s="1744">
        <f>SUM(N399:N399)</f>
        <v>61585</v>
      </c>
      <c r="O400" s="1744">
        <f>SUM(O399:O399)</f>
        <v>63001</v>
      </c>
      <c r="P400" s="115"/>
      <c r="Q400" s="115"/>
      <c r="R400" s="115"/>
      <c r="S400" s="115"/>
      <c r="T400" s="115"/>
      <c r="U400" s="115"/>
      <c r="V400" s="115"/>
    </row>
    <row r="401" spans="1:22" ht="12.75" customHeight="1" thickTop="1" x14ac:dyDescent="0.25">
      <c r="A401" s="306"/>
      <c r="B401" s="115"/>
      <c r="C401" s="115"/>
      <c r="D401" s="143"/>
      <c r="E401" s="308"/>
      <c r="F401" s="115"/>
      <c r="G401" s="115"/>
      <c r="H401" s="115"/>
      <c r="I401" s="115"/>
      <c r="J401" s="114"/>
      <c r="K401" s="114"/>
      <c r="L401" s="114"/>
      <c r="M401" s="114"/>
      <c r="N401" s="114"/>
      <c r="O401" s="114"/>
      <c r="P401" s="115"/>
      <c r="Q401" s="115"/>
      <c r="R401" s="115"/>
      <c r="S401" s="115"/>
      <c r="T401" s="115"/>
      <c r="U401" s="115"/>
      <c r="V401" s="115"/>
    </row>
    <row r="402" spans="1:22" ht="12.75" customHeight="1" x14ac:dyDescent="0.25">
      <c r="A402" s="306"/>
      <c r="B402" s="115"/>
      <c r="C402" s="115"/>
      <c r="D402" s="301"/>
      <c r="E402" s="301"/>
      <c r="F402" s="301"/>
      <c r="G402" s="115"/>
      <c r="H402" s="115"/>
      <c r="I402" s="115"/>
      <c r="J402" s="115"/>
      <c r="K402" s="115"/>
      <c r="L402" s="115"/>
      <c r="M402" s="115"/>
      <c r="N402" s="115"/>
      <c r="O402" s="115"/>
      <c r="P402" s="115"/>
      <c r="Q402" s="115"/>
      <c r="R402" s="115"/>
      <c r="S402" s="115"/>
      <c r="T402" s="115"/>
      <c r="U402" s="115"/>
      <c r="V402" s="115"/>
    </row>
    <row r="403" spans="1:22" ht="12.75" customHeight="1" x14ac:dyDescent="0.25">
      <c r="A403" s="306"/>
      <c r="B403" s="115"/>
      <c r="C403" s="115"/>
      <c r="D403" s="301"/>
      <c r="E403" s="301"/>
      <c r="F403" s="301"/>
      <c r="G403" s="115"/>
      <c r="H403" s="115"/>
      <c r="I403" s="115"/>
      <c r="J403" s="115"/>
      <c r="K403" s="115"/>
      <c r="L403" s="115"/>
      <c r="M403" s="115"/>
      <c r="N403" s="115"/>
      <c r="O403" s="115"/>
      <c r="P403" s="115"/>
      <c r="Q403" s="115"/>
      <c r="R403" s="115"/>
      <c r="S403" s="115"/>
      <c r="T403" s="115"/>
      <c r="U403" s="115"/>
      <c r="V403" s="115"/>
    </row>
    <row r="404" spans="1:22" ht="12.75" customHeight="1" x14ac:dyDescent="0.25">
      <c r="A404" s="336"/>
      <c r="B404" s="115"/>
      <c r="C404" s="115"/>
      <c r="D404" s="393">
        <v>617011</v>
      </c>
      <c r="E404" s="381" t="s">
        <v>2826</v>
      </c>
      <c r="F404" s="115"/>
      <c r="G404" s="114"/>
      <c r="H404" s="114"/>
      <c r="I404" s="114"/>
      <c r="J404" s="407">
        <v>2025</v>
      </c>
      <c r="K404" s="407">
        <v>2026</v>
      </c>
      <c r="L404" s="407">
        <v>2027</v>
      </c>
      <c r="M404" s="407">
        <v>2028</v>
      </c>
      <c r="N404" s="407">
        <v>2029</v>
      </c>
      <c r="O404" s="407">
        <v>2030</v>
      </c>
      <c r="P404" s="115"/>
      <c r="Q404" s="115"/>
      <c r="R404" s="115"/>
      <c r="S404" s="115"/>
      <c r="T404" s="115"/>
      <c r="U404" s="115"/>
      <c r="V404" s="115"/>
    </row>
    <row r="405" spans="1:22" ht="12.75" customHeight="1" x14ac:dyDescent="0.25">
      <c r="A405" s="336"/>
      <c r="B405" s="115"/>
      <c r="C405" s="115"/>
      <c r="D405" s="393"/>
      <c r="E405" s="381"/>
      <c r="F405" s="115"/>
      <c r="G405" s="114"/>
      <c r="H405" s="114"/>
      <c r="I405" s="114"/>
      <c r="J405" s="396"/>
      <c r="K405" s="396"/>
      <c r="L405" s="396"/>
      <c r="M405" s="396"/>
      <c r="N405" s="396"/>
      <c r="O405" s="396"/>
      <c r="P405" s="115"/>
      <c r="Q405" s="115"/>
      <c r="R405" s="115"/>
      <c r="S405" s="115"/>
      <c r="T405" s="115"/>
      <c r="U405" s="115"/>
      <c r="V405" s="115"/>
    </row>
    <row r="406" spans="1:22" ht="12.75" customHeight="1" x14ac:dyDescent="0.25">
      <c r="A406" s="336"/>
      <c r="B406" s="115"/>
      <c r="C406" s="115"/>
      <c r="D406" s="1723">
        <v>43805</v>
      </c>
      <c r="E406" s="1720" t="s">
        <v>5326</v>
      </c>
      <c r="F406" s="1720"/>
      <c r="G406" s="2177"/>
      <c r="H406" s="2177"/>
      <c r="I406" s="2177"/>
      <c r="J406" s="2177"/>
      <c r="K406" s="2177">
        <v>11787</v>
      </c>
      <c r="L406" s="2177"/>
      <c r="M406" s="2177"/>
      <c r="N406" s="2177"/>
      <c r="O406" s="2177"/>
      <c r="P406" s="115"/>
      <c r="Q406" s="115"/>
      <c r="R406" s="115"/>
      <c r="S406" s="115"/>
      <c r="T406" s="115"/>
      <c r="U406" s="115"/>
      <c r="V406" s="115"/>
    </row>
    <row r="407" spans="1:22" ht="12.75" customHeight="1" thickBot="1" x14ac:dyDescent="0.3">
      <c r="A407" s="336"/>
      <c r="B407" s="115"/>
      <c r="C407" s="115"/>
      <c r="D407" s="336"/>
      <c r="E407" s="115" t="s">
        <v>5327</v>
      </c>
      <c r="F407" s="115"/>
      <c r="G407" s="114"/>
      <c r="H407" s="114"/>
      <c r="I407" s="114"/>
      <c r="J407" s="1971">
        <f>SUM(J405:J406)</f>
        <v>0</v>
      </c>
      <c r="K407" s="1971">
        <f t="shared" ref="K407:O407" si="139">SUM(K405:K406)</f>
        <v>11787</v>
      </c>
      <c r="L407" s="1971">
        <f t="shared" si="139"/>
        <v>0</v>
      </c>
      <c r="M407" s="1971">
        <f t="shared" si="139"/>
        <v>0</v>
      </c>
      <c r="N407" s="1971">
        <f t="shared" si="139"/>
        <v>0</v>
      </c>
      <c r="O407" s="1971">
        <f t="shared" si="139"/>
        <v>0</v>
      </c>
      <c r="P407" s="115"/>
      <c r="Q407" s="115"/>
      <c r="R407" s="115"/>
      <c r="S407" s="115"/>
      <c r="T407" s="115"/>
      <c r="U407" s="115"/>
      <c r="V407" s="115"/>
    </row>
    <row r="408" spans="1:22" ht="12.75" customHeight="1" thickTop="1" x14ac:dyDescent="0.25">
      <c r="A408" s="336"/>
      <c r="B408" s="115"/>
      <c r="C408" s="115"/>
      <c r="D408" s="336"/>
      <c r="E408" s="115"/>
      <c r="F408" s="115"/>
      <c r="G408" s="114"/>
      <c r="H408" s="114"/>
      <c r="I408" s="114"/>
      <c r="J408" s="397"/>
      <c r="K408" s="397"/>
      <c r="L408" s="397"/>
      <c r="M408" s="397"/>
      <c r="N408" s="397"/>
      <c r="O408" s="397"/>
      <c r="P408" s="115"/>
      <c r="Q408" s="115"/>
      <c r="R408" s="115"/>
      <c r="S408" s="115"/>
      <c r="T408" s="115"/>
      <c r="U408" s="115"/>
      <c r="V408" s="115"/>
    </row>
    <row r="409" spans="1:22" ht="12.75" customHeight="1" x14ac:dyDescent="0.25">
      <c r="A409" s="336"/>
      <c r="B409" s="115"/>
      <c r="C409" s="115"/>
      <c r="D409" s="143">
        <v>43812</v>
      </c>
      <c r="E409" s="308" t="s">
        <v>2900</v>
      </c>
      <c r="F409" s="115"/>
      <c r="G409" s="114"/>
      <c r="H409" s="114"/>
      <c r="I409" s="114"/>
      <c r="J409" s="114">
        <v>266268</v>
      </c>
      <c r="K409" s="114">
        <v>273191</v>
      </c>
      <c r="L409" s="114">
        <f>ROUND(K409*T$2,0)</f>
        <v>278928</v>
      </c>
      <c r="M409" s="114">
        <f>ROUND(L409*U$2,0)</f>
        <v>285343</v>
      </c>
      <c r="N409" s="114">
        <f>ROUND(M409*V$2,0)</f>
        <v>291906</v>
      </c>
      <c r="O409" s="114">
        <f>ROUND(N409*W$2,0)</f>
        <v>298620</v>
      </c>
      <c r="P409" s="115"/>
      <c r="Q409" s="115"/>
      <c r="R409" s="115"/>
      <c r="S409" s="115"/>
      <c r="T409" s="115"/>
      <c r="U409" s="115"/>
      <c r="V409" s="115"/>
    </row>
    <row r="410" spans="1:22" ht="12.75" customHeight="1" x14ac:dyDescent="0.25">
      <c r="A410" s="336"/>
      <c r="B410" s="115"/>
      <c r="C410" s="115"/>
      <c r="D410" s="301"/>
      <c r="E410" s="308" t="s">
        <v>2901</v>
      </c>
      <c r="F410" s="115"/>
      <c r="G410" s="114"/>
      <c r="H410" s="114"/>
      <c r="I410" s="114"/>
      <c r="J410" s="114"/>
      <c r="K410" s="114"/>
      <c r="L410" s="114"/>
      <c r="M410" s="114"/>
      <c r="N410" s="114"/>
      <c r="O410" s="114"/>
      <c r="P410" s="115"/>
      <c r="Q410" s="115"/>
      <c r="R410" s="115"/>
      <c r="S410" s="115"/>
      <c r="T410" s="115"/>
      <c r="U410" s="115"/>
      <c r="V410" s="115"/>
    </row>
    <row r="411" spans="1:22" ht="12.75" customHeight="1" x14ac:dyDescent="0.25">
      <c r="A411" s="336"/>
      <c r="B411" s="115"/>
      <c r="C411" s="115"/>
      <c r="D411" s="143"/>
      <c r="E411" s="308" t="s">
        <v>2902</v>
      </c>
      <c r="F411" s="115"/>
      <c r="G411" s="114"/>
      <c r="H411" s="114"/>
      <c r="I411" s="114"/>
      <c r="J411" s="114"/>
      <c r="K411" s="114"/>
      <c r="L411" s="114"/>
      <c r="M411" s="114"/>
      <c r="N411" s="114"/>
      <c r="O411" s="114"/>
      <c r="P411" s="308"/>
      <c r="Q411" s="115"/>
      <c r="R411" s="115"/>
      <c r="S411" s="115"/>
      <c r="T411" s="115"/>
      <c r="U411" s="115"/>
      <c r="V411" s="115"/>
    </row>
    <row r="412" spans="1:22" ht="12.75" customHeight="1" x14ac:dyDescent="0.25">
      <c r="A412" s="336"/>
      <c r="B412" s="115"/>
      <c r="C412" s="115"/>
      <c r="D412" s="384"/>
      <c r="E412" s="308" t="s">
        <v>2903</v>
      </c>
      <c r="F412" s="115"/>
      <c r="G412" s="114"/>
      <c r="H412" s="114"/>
      <c r="I412" s="114"/>
      <c r="J412" s="114"/>
      <c r="K412" s="114"/>
      <c r="L412" s="114"/>
      <c r="M412" s="114"/>
      <c r="N412" s="114"/>
      <c r="O412" s="114"/>
      <c r="P412" s="308"/>
      <c r="Q412" s="115"/>
      <c r="R412" s="115"/>
      <c r="S412" s="115"/>
      <c r="T412" s="115"/>
      <c r="U412" s="115"/>
      <c r="V412" s="115"/>
    </row>
    <row r="413" spans="1:22" ht="12.75" customHeight="1" x14ac:dyDescent="0.25">
      <c r="A413" s="336"/>
      <c r="B413" s="115"/>
      <c r="C413" s="115"/>
      <c r="D413" s="301"/>
      <c r="E413" s="308" t="s">
        <v>2904</v>
      </c>
      <c r="F413" s="115"/>
      <c r="G413" s="114"/>
      <c r="H413" s="114"/>
      <c r="I413" s="114"/>
      <c r="J413" s="114"/>
      <c r="K413" s="114"/>
      <c r="L413" s="114"/>
      <c r="M413" s="114"/>
      <c r="N413" s="114"/>
      <c r="O413" s="114"/>
      <c r="P413" s="115"/>
      <c r="Q413" s="115"/>
      <c r="R413" s="115"/>
      <c r="S413" s="115"/>
      <c r="T413" s="115"/>
      <c r="U413" s="115"/>
      <c r="V413" s="115"/>
    </row>
    <row r="414" spans="1:22" ht="12.75" customHeight="1" x14ac:dyDescent="0.25">
      <c r="A414" s="336"/>
      <c r="B414" s="115"/>
      <c r="C414" s="115"/>
      <c r="D414" s="301"/>
      <c r="E414" s="308" t="s">
        <v>2905</v>
      </c>
      <c r="F414" s="115"/>
      <c r="G414" s="114"/>
      <c r="H414" s="114"/>
      <c r="I414" s="114"/>
      <c r="J414" s="114"/>
      <c r="K414" s="114"/>
      <c r="L414" s="114"/>
      <c r="M414" s="114"/>
      <c r="N414" s="114"/>
      <c r="O414" s="114"/>
      <c r="P414" s="115"/>
      <c r="Q414" s="115"/>
      <c r="R414" s="115"/>
      <c r="S414" s="115"/>
      <c r="T414" s="115"/>
      <c r="U414" s="115"/>
      <c r="V414" s="115"/>
    </row>
    <row r="415" spans="1:22" ht="12.75" customHeight="1" x14ac:dyDescent="0.25">
      <c r="A415" s="336"/>
      <c r="B415" s="115"/>
      <c r="C415" s="115"/>
      <c r="D415" s="301"/>
      <c r="E415" s="308" t="s">
        <v>2906</v>
      </c>
      <c r="F415" s="115"/>
      <c r="G415" s="114"/>
      <c r="H415" s="114"/>
      <c r="I415" s="114"/>
      <c r="J415" s="114"/>
      <c r="K415" s="114"/>
      <c r="L415" s="114"/>
      <c r="M415" s="114"/>
      <c r="N415" s="114"/>
      <c r="O415" s="114"/>
      <c r="P415" s="115"/>
      <c r="Q415" s="115"/>
      <c r="R415" s="115"/>
      <c r="S415" s="115"/>
      <c r="T415" s="115"/>
      <c r="U415" s="115"/>
      <c r="V415" s="115"/>
    </row>
    <row r="416" spans="1:22" ht="12.75" customHeight="1" x14ac:dyDescent="0.25">
      <c r="A416" s="336"/>
      <c r="B416" s="115"/>
      <c r="C416" s="115"/>
      <c r="D416" s="301"/>
      <c r="E416" s="530" t="s">
        <v>2907</v>
      </c>
      <c r="F416" s="115"/>
      <c r="G416" s="114"/>
      <c r="H416" s="114"/>
      <c r="I416" s="114"/>
      <c r="J416" s="114"/>
      <c r="K416" s="114"/>
      <c r="L416" s="114"/>
      <c r="M416" s="114"/>
      <c r="N416" s="114"/>
      <c r="O416" s="114"/>
      <c r="P416" s="115"/>
      <c r="Q416" s="115"/>
      <c r="R416" s="115"/>
      <c r="S416" s="115"/>
      <c r="T416" s="115"/>
      <c r="U416" s="115"/>
      <c r="V416" s="115"/>
    </row>
    <row r="417" spans="1:22" ht="12.75" customHeight="1" x14ac:dyDescent="0.25">
      <c r="A417" s="336"/>
      <c r="B417" s="115"/>
      <c r="C417" s="115"/>
      <c r="D417" s="301"/>
      <c r="E417" s="530" t="s">
        <v>2908</v>
      </c>
      <c r="F417" s="115"/>
      <c r="G417" s="114"/>
      <c r="H417" s="114"/>
      <c r="I417" s="114"/>
      <c r="J417" s="114"/>
      <c r="K417" s="114"/>
      <c r="L417" s="114"/>
      <c r="M417" s="114"/>
      <c r="N417" s="114"/>
      <c r="O417" s="114"/>
      <c r="P417" s="115"/>
      <c r="Q417" s="115"/>
      <c r="R417" s="115"/>
      <c r="S417" s="115"/>
      <c r="T417" s="115"/>
      <c r="U417" s="115"/>
      <c r="V417" s="115"/>
    </row>
    <row r="418" spans="1:22" ht="12.75" customHeight="1" x14ac:dyDescent="0.25">
      <c r="A418" s="336"/>
      <c r="B418" s="115"/>
      <c r="C418" s="115"/>
      <c r="D418" s="301"/>
      <c r="E418" s="1232" t="s">
        <v>1711</v>
      </c>
      <c r="F418" s="115"/>
      <c r="G418" s="114"/>
      <c r="H418" s="114"/>
      <c r="I418" s="114"/>
      <c r="J418" s="114"/>
      <c r="K418" s="114"/>
      <c r="L418" s="114"/>
      <c r="M418" s="114"/>
      <c r="N418" s="114"/>
      <c r="O418" s="114"/>
      <c r="P418" s="115"/>
      <c r="Q418" s="115"/>
      <c r="R418" s="115"/>
      <c r="S418" s="115"/>
      <c r="T418" s="115"/>
      <c r="U418" s="115"/>
      <c r="V418" s="115"/>
    </row>
    <row r="419" spans="1:22" ht="12.75" customHeight="1" x14ac:dyDescent="0.25">
      <c r="A419" s="336"/>
      <c r="B419" s="115"/>
      <c r="C419" s="115"/>
      <c r="D419" s="301"/>
      <c r="E419" s="530" t="s">
        <v>2909</v>
      </c>
      <c r="F419" s="115"/>
      <c r="G419" s="114"/>
      <c r="H419" s="114"/>
      <c r="I419" s="114"/>
      <c r="J419" s="114">
        <v>76800</v>
      </c>
      <c r="K419" s="114">
        <v>78600</v>
      </c>
      <c r="L419" s="114">
        <v>80500</v>
      </c>
      <c r="M419" s="114">
        <v>80500</v>
      </c>
      <c r="N419" s="114">
        <v>80500</v>
      </c>
      <c r="O419" s="114">
        <v>80500</v>
      </c>
      <c r="P419" s="115"/>
      <c r="Q419" s="115"/>
      <c r="R419" s="115"/>
      <c r="S419" s="115"/>
      <c r="T419" s="115"/>
      <c r="U419" s="115"/>
      <c r="V419" s="115"/>
    </row>
    <row r="420" spans="1:22" ht="12.75" customHeight="1" x14ac:dyDescent="0.25">
      <c r="A420" s="336"/>
      <c r="B420" s="115"/>
      <c r="C420" s="115"/>
      <c r="D420" s="301"/>
      <c r="E420" s="1233" t="s">
        <v>2910</v>
      </c>
      <c r="F420" s="115"/>
      <c r="G420" s="114"/>
      <c r="H420" s="114"/>
      <c r="I420" s="115"/>
      <c r="J420" s="1234">
        <v>76800</v>
      </c>
      <c r="K420" s="1234">
        <v>78600</v>
      </c>
      <c r="L420" s="1234">
        <v>80500</v>
      </c>
      <c r="M420" s="1234">
        <v>80500</v>
      </c>
      <c r="N420" s="1234">
        <v>80500</v>
      </c>
      <c r="O420" s="1234">
        <v>80500</v>
      </c>
      <c r="P420" s="115"/>
      <c r="Q420" s="115"/>
      <c r="R420" s="115"/>
      <c r="S420" s="115"/>
      <c r="T420" s="115"/>
      <c r="U420" s="115"/>
      <c r="V420" s="115"/>
    </row>
    <row r="421" spans="1:22" ht="12.75" customHeight="1" x14ac:dyDescent="0.25">
      <c r="A421" s="336"/>
      <c r="B421" s="115"/>
      <c r="C421" s="115"/>
      <c r="D421" s="301"/>
      <c r="E421" s="1233" t="s">
        <v>2911</v>
      </c>
      <c r="F421" s="115"/>
      <c r="G421" s="114"/>
      <c r="H421" s="114"/>
      <c r="I421" s="115"/>
      <c r="J421" s="1234">
        <v>20000</v>
      </c>
      <c r="K421" s="1234">
        <v>25000</v>
      </c>
      <c r="L421" s="1234">
        <v>30000</v>
      </c>
      <c r="M421" s="114">
        <f t="shared" ref="M421:O422" si="140">ROUND(L421*U$2,-2)</f>
        <v>30700</v>
      </c>
      <c r="N421" s="114">
        <f t="shared" si="140"/>
        <v>31400</v>
      </c>
      <c r="O421" s="114">
        <f t="shared" si="140"/>
        <v>32100</v>
      </c>
      <c r="P421" s="115"/>
      <c r="Q421" s="115"/>
      <c r="R421" s="115"/>
      <c r="S421" s="115"/>
      <c r="T421" s="115"/>
      <c r="U421" s="115"/>
      <c r="V421" s="115"/>
    </row>
    <row r="422" spans="1:22" ht="12.75" customHeight="1" x14ac:dyDescent="0.25">
      <c r="A422" s="336"/>
      <c r="B422" s="115"/>
      <c r="C422" s="115"/>
      <c r="D422" s="301"/>
      <c r="E422" s="1233" t="s">
        <v>2912</v>
      </c>
      <c r="F422" s="115"/>
      <c r="G422" s="114"/>
      <c r="H422" s="114"/>
      <c r="I422" s="115"/>
      <c r="J422" s="1234">
        <v>115000</v>
      </c>
      <c r="K422" s="114">
        <v>118000</v>
      </c>
      <c r="L422" s="114">
        <f>ROUND(K422*T$2,-2)</f>
        <v>120500</v>
      </c>
      <c r="M422" s="114">
        <f t="shared" si="140"/>
        <v>123300</v>
      </c>
      <c r="N422" s="114">
        <f t="shared" si="140"/>
        <v>126100</v>
      </c>
      <c r="O422" s="114">
        <f t="shared" si="140"/>
        <v>129000</v>
      </c>
      <c r="P422" s="115"/>
      <c r="Q422" s="115"/>
      <c r="R422" s="115"/>
      <c r="S422" s="115"/>
      <c r="T422" s="115"/>
      <c r="U422" s="115"/>
      <c r="V422" s="115"/>
    </row>
    <row r="423" spans="1:22" ht="12.75" customHeight="1" thickBot="1" x14ac:dyDescent="0.3">
      <c r="A423" s="336"/>
      <c r="B423" s="115"/>
      <c r="C423" s="115"/>
      <c r="D423" s="301"/>
      <c r="E423" s="115" t="str">
        <f>"Totaal "&amp;D409</f>
        <v>Totaal 43812</v>
      </c>
      <c r="F423" s="115"/>
      <c r="G423" s="114"/>
      <c r="H423" s="114"/>
      <c r="I423" s="114"/>
      <c r="J423" s="1744">
        <f>SUM(J409:J422)</f>
        <v>554868</v>
      </c>
      <c r="K423" s="1744">
        <v>573391</v>
      </c>
      <c r="L423" s="1744">
        <f>SUM(L409:L422)</f>
        <v>590428</v>
      </c>
      <c r="M423" s="1744">
        <f>SUM(M409:M422)</f>
        <v>600343</v>
      </c>
      <c r="N423" s="1744">
        <f>SUM(N409:N422)</f>
        <v>610406</v>
      </c>
      <c r="O423" s="1744">
        <f>SUM(O409:O422)</f>
        <v>620720</v>
      </c>
      <c r="P423" s="115"/>
      <c r="Q423" s="634"/>
      <c r="R423" s="634"/>
      <c r="S423" s="115">
        <v>483439</v>
      </c>
      <c r="T423" s="115"/>
      <c r="U423" s="115"/>
      <c r="V423" s="115"/>
    </row>
    <row r="424" spans="1:22" ht="12.75" customHeight="1" thickTop="1" x14ac:dyDescent="0.25">
      <c r="A424" s="336"/>
      <c r="B424" s="115"/>
      <c r="C424" s="115"/>
      <c r="D424" s="301"/>
      <c r="E424" s="115"/>
      <c r="F424" s="115"/>
      <c r="G424" s="114"/>
      <c r="H424" s="114"/>
      <c r="I424" s="114"/>
      <c r="J424" s="114"/>
      <c r="K424" s="114"/>
      <c r="L424" s="114"/>
      <c r="M424" s="114"/>
      <c r="N424" s="114"/>
      <c r="O424" s="114"/>
      <c r="P424" s="115"/>
      <c r="Q424" s="634"/>
      <c r="R424" s="634"/>
      <c r="S424" s="115"/>
      <c r="T424" s="115"/>
      <c r="U424" s="115"/>
      <c r="V424" s="115"/>
    </row>
    <row r="425" spans="1:22" ht="12.75" customHeight="1" x14ac:dyDescent="0.25">
      <c r="A425" s="336"/>
      <c r="B425" s="115"/>
      <c r="C425" s="115"/>
      <c r="D425" s="143"/>
      <c r="E425" s="394"/>
      <c r="F425" s="115"/>
      <c r="G425" s="114"/>
      <c r="H425" s="114"/>
      <c r="I425" s="114"/>
      <c r="J425" s="396"/>
      <c r="K425" s="396"/>
      <c r="L425" s="396"/>
      <c r="M425" s="396"/>
      <c r="N425" s="396"/>
      <c r="O425" s="396"/>
      <c r="P425" s="115"/>
      <c r="Q425" s="634"/>
      <c r="R425" s="115"/>
      <c r="S425" s="115"/>
      <c r="T425" s="115"/>
      <c r="U425" s="115"/>
      <c r="V425" s="115"/>
    </row>
    <row r="426" spans="1:22" ht="12.75" customHeight="1" x14ac:dyDescent="0.25">
      <c r="A426" s="336"/>
      <c r="B426" s="115"/>
      <c r="C426" s="115"/>
      <c r="D426" s="143">
        <v>43803</v>
      </c>
      <c r="E426" s="115" t="s">
        <v>1831</v>
      </c>
      <c r="F426" s="115"/>
      <c r="G426" s="114"/>
      <c r="H426" s="114"/>
      <c r="I426" s="114"/>
      <c r="J426" s="114">
        <v>1567</v>
      </c>
      <c r="K426" s="114">
        <v>1608</v>
      </c>
      <c r="L426" s="114">
        <f>ROUND(K426*T$2,0)</f>
        <v>1642</v>
      </c>
      <c r="M426" s="114">
        <f>ROUND(L426*U$2,0)</f>
        <v>1680</v>
      </c>
      <c r="N426" s="114">
        <f>ROUND(M426*V$2,0)</f>
        <v>1719</v>
      </c>
      <c r="O426" s="114">
        <f>ROUND(N426*W$2,0)</f>
        <v>1759</v>
      </c>
      <c r="P426" s="115"/>
      <c r="Q426" s="115"/>
      <c r="R426" s="115"/>
      <c r="S426" s="115"/>
      <c r="T426" s="115"/>
      <c r="U426" s="115"/>
      <c r="V426" s="115"/>
    </row>
    <row r="427" spans="1:22" ht="12.75" customHeight="1" x14ac:dyDescent="0.25">
      <c r="A427" s="336"/>
      <c r="B427" s="115"/>
      <c r="C427" s="115"/>
      <c r="D427" s="143"/>
      <c r="E427" s="115"/>
      <c r="F427" s="115"/>
      <c r="G427" s="114"/>
      <c r="H427" s="114"/>
      <c r="I427" s="114"/>
      <c r="J427" s="114"/>
      <c r="K427" s="114"/>
      <c r="L427" s="114"/>
      <c r="M427" s="114"/>
      <c r="N427" s="114"/>
      <c r="O427" s="114"/>
      <c r="P427" s="115"/>
      <c r="Q427" s="114"/>
      <c r="R427" s="115"/>
      <c r="S427" s="115"/>
      <c r="T427" s="115"/>
      <c r="U427" s="115"/>
      <c r="V427" s="115"/>
    </row>
    <row r="428" spans="1:22" ht="12.75" customHeight="1" thickBot="1" x14ac:dyDescent="0.3">
      <c r="A428" s="336"/>
      <c r="B428" s="115"/>
      <c r="C428" s="115"/>
      <c r="D428" s="143"/>
      <c r="E428" s="115" t="str">
        <f>"Totaal "&amp;D426</f>
        <v>Totaal 43803</v>
      </c>
      <c r="F428" s="115"/>
      <c r="G428" s="114"/>
      <c r="H428" s="114"/>
      <c r="I428" s="114"/>
      <c r="J428" s="1744">
        <v>1567</v>
      </c>
      <c r="K428" s="1744">
        <v>1608</v>
      </c>
      <c r="L428" s="1744">
        <f t="shared" ref="L428:M428" si="141">SUM(L426)</f>
        <v>1642</v>
      </c>
      <c r="M428" s="1744">
        <f t="shared" si="141"/>
        <v>1680</v>
      </c>
      <c r="N428" s="1744">
        <f t="shared" ref="N428:O428" si="142">SUM(N426)</f>
        <v>1719</v>
      </c>
      <c r="O428" s="1744">
        <f t="shared" si="142"/>
        <v>1759</v>
      </c>
      <c r="P428" s="115"/>
      <c r="Q428" s="115"/>
      <c r="R428" s="115"/>
      <c r="S428" s="115"/>
      <c r="T428" s="115"/>
      <c r="U428" s="115"/>
      <c r="V428" s="115"/>
    </row>
    <row r="429" spans="1:22" ht="12.75" customHeight="1" thickTop="1" x14ac:dyDescent="0.25">
      <c r="A429" s="336"/>
      <c r="B429" s="115"/>
      <c r="C429" s="115"/>
      <c r="D429" s="143"/>
      <c r="E429" s="115"/>
      <c r="F429" s="115"/>
      <c r="G429" s="114"/>
      <c r="H429" s="114"/>
      <c r="I429" s="114"/>
      <c r="J429" s="114"/>
      <c r="K429" s="114"/>
      <c r="L429" s="114"/>
      <c r="M429" s="114"/>
      <c r="N429" s="114"/>
      <c r="O429" s="114"/>
      <c r="P429" s="115"/>
      <c r="Q429" s="115"/>
      <c r="R429" s="115"/>
      <c r="S429" s="115"/>
      <c r="T429" s="115"/>
      <c r="U429" s="115"/>
      <c r="V429" s="115"/>
    </row>
    <row r="430" spans="1:22" ht="12.75" customHeight="1" x14ac:dyDescent="0.25">
      <c r="A430" s="336"/>
      <c r="B430" s="115"/>
      <c r="C430" s="115"/>
      <c r="D430" s="143">
        <v>42100</v>
      </c>
      <c r="E430" s="115" t="s">
        <v>2913</v>
      </c>
      <c r="F430" s="115"/>
      <c r="G430" s="114"/>
      <c r="H430" s="114"/>
      <c r="I430" s="114"/>
      <c r="J430" s="114">
        <v>2176</v>
      </c>
      <c r="K430" s="114">
        <v>2233</v>
      </c>
      <c r="L430" s="114">
        <f>ROUND(K430*T$2,0)</f>
        <v>2280</v>
      </c>
      <c r="M430" s="114">
        <f>ROUND(L430*U$2,0)</f>
        <v>2332</v>
      </c>
      <c r="N430" s="114">
        <f>ROUND(M430*V$2,0)</f>
        <v>2386</v>
      </c>
      <c r="O430" s="114">
        <f>ROUND(N430*W$2,0)</f>
        <v>2441</v>
      </c>
      <c r="P430" s="115"/>
      <c r="Q430" s="115"/>
      <c r="R430" s="115"/>
      <c r="S430" s="115"/>
      <c r="T430" s="115"/>
      <c r="U430" s="115"/>
      <c r="V430" s="115"/>
    </row>
    <row r="431" spans="1:22" ht="12.75" customHeight="1" x14ac:dyDescent="0.25">
      <c r="A431" s="336"/>
      <c r="B431" s="115"/>
      <c r="C431" s="115"/>
      <c r="D431" s="143"/>
      <c r="E431" s="115"/>
      <c r="F431" s="115"/>
      <c r="G431" s="114"/>
      <c r="H431" s="114"/>
      <c r="I431" s="114"/>
      <c r="J431" s="114"/>
      <c r="K431" s="114"/>
      <c r="L431" s="114"/>
      <c r="M431" s="114"/>
      <c r="N431" s="114"/>
      <c r="O431" s="114"/>
      <c r="P431" s="115"/>
      <c r="Q431" s="115"/>
      <c r="R431" s="115"/>
      <c r="S431" s="115"/>
      <c r="T431" s="115"/>
      <c r="U431" s="115"/>
      <c r="V431" s="115"/>
    </row>
    <row r="432" spans="1:22" ht="12.75" customHeight="1" thickBot="1" x14ac:dyDescent="0.3">
      <c r="A432" s="336"/>
      <c r="B432" s="115"/>
      <c r="C432" s="115"/>
      <c r="D432" s="143"/>
      <c r="E432" s="115" t="str">
        <f>"Totaal "&amp;D430</f>
        <v>Totaal 42100</v>
      </c>
      <c r="F432" s="115"/>
      <c r="G432" s="114"/>
      <c r="H432" s="114"/>
      <c r="I432" s="114"/>
      <c r="J432" s="1744">
        <v>2176</v>
      </c>
      <c r="K432" s="1744">
        <v>2233</v>
      </c>
      <c r="L432" s="1744">
        <f t="shared" ref="L432:M432" si="143">SUM(L430)</f>
        <v>2280</v>
      </c>
      <c r="M432" s="1744">
        <f t="shared" si="143"/>
        <v>2332</v>
      </c>
      <c r="N432" s="1744">
        <f t="shared" ref="N432:O432" si="144">SUM(N430)</f>
        <v>2386</v>
      </c>
      <c r="O432" s="1744">
        <f t="shared" si="144"/>
        <v>2441</v>
      </c>
      <c r="P432" s="115"/>
      <c r="Q432" s="115"/>
      <c r="R432" s="115"/>
      <c r="S432" s="115"/>
      <c r="T432" s="115"/>
      <c r="U432" s="115"/>
      <c r="V432" s="115"/>
    </row>
    <row r="433" spans="1:22" ht="12.75" customHeight="1" thickTop="1" x14ac:dyDescent="0.25">
      <c r="A433" s="336"/>
      <c r="B433" s="115"/>
      <c r="C433" s="115"/>
      <c r="D433" s="143"/>
      <c r="E433" s="115"/>
      <c r="F433" s="115"/>
      <c r="G433" s="114"/>
      <c r="H433" s="114"/>
      <c r="I433" s="114"/>
      <c r="J433" s="114"/>
      <c r="K433" s="114"/>
      <c r="L433" s="114"/>
      <c r="M433" s="114"/>
      <c r="N433" s="114"/>
      <c r="O433" s="114"/>
      <c r="P433" s="115"/>
      <c r="Q433" s="115"/>
      <c r="R433" s="115"/>
      <c r="S433" s="115"/>
      <c r="T433" s="115"/>
      <c r="U433" s="115"/>
      <c r="V433" s="115"/>
    </row>
    <row r="434" spans="1:22" ht="12.75" customHeight="1" x14ac:dyDescent="0.25">
      <c r="A434" s="336"/>
      <c r="B434" s="115"/>
      <c r="C434" s="115"/>
      <c r="D434" s="143">
        <v>43806</v>
      </c>
      <c r="E434" s="115" t="s">
        <v>546</v>
      </c>
      <c r="F434" s="115"/>
      <c r="G434" s="114"/>
      <c r="H434" s="114"/>
      <c r="I434" s="114"/>
      <c r="J434" s="114">
        <v>2337</v>
      </c>
      <c r="K434" s="114">
        <v>2398</v>
      </c>
      <c r="L434" s="114">
        <f>ROUND(K434*T$2,0)</f>
        <v>2448</v>
      </c>
      <c r="M434" s="114">
        <f>ROUND(L434*U$2,0)</f>
        <v>2504</v>
      </c>
      <c r="N434" s="114">
        <f>ROUND(M434*V$2,0)</f>
        <v>2562</v>
      </c>
      <c r="O434" s="114">
        <f>ROUND(N434*W$2,0)</f>
        <v>2621</v>
      </c>
      <c r="P434" s="115"/>
      <c r="Q434" s="115"/>
      <c r="R434" s="115"/>
      <c r="S434" s="115"/>
      <c r="T434" s="115"/>
      <c r="U434" s="115"/>
      <c r="V434" s="115"/>
    </row>
    <row r="435" spans="1:22" ht="12.75" customHeight="1" x14ac:dyDescent="0.25">
      <c r="A435" s="336"/>
      <c r="B435" s="115"/>
      <c r="C435" s="115"/>
      <c r="D435" s="143"/>
      <c r="E435" s="115"/>
      <c r="F435" s="115"/>
      <c r="G435" s="114"/>
      <c r="H435" s="114"/>
      <c r="I435" s="114"/>
      <c r="J435" s="114"/>
      <c r="K435" s="114"/>
      <c r="L435" s="114"/>
      <c r="M435" s="114"/>
      <c r="N435" s="114"/>
      <c r="O435" s="114"/>
      <c r="P435" s="115"/>
      <c r="Q435" s="115"/>
      <c r="R435" s="115"/>
      <c r="S435" s="115"/>
      <c r="T435" s="115"/>
      <c r="U435" s="115"/>
      <c r="V435" s="115"/>
    </row>
    <row r="436" spans="1:22" ht="12.75" customHeight="1" thickBot="1" x14ac:dyDescent="0.3">
      <c r="A436" s="336"/>
      <c r="B436" s="115"/>
      <c r="C436" s="115"/>
      <c r="D436" s="143"/>
      <c r="E436" s="115" t="str">
        <f>"Totaal "&amp;D434</f>
        <v>Totaal 43806</v>
      </c>
      <c r="F436" s="115"/>
      <c r="G436" s="114"/>
      <c r="H436" s="114"/>
      <c r="I436" s="114"/>
      <c r="J436" s="1744">
        <v>2337</v>
      </c>
      <c r="K436" s="1744">
        <v>2398</v>
      </c>
      <c r="L436" s="1744">
        <f t="shared" ref="L436:M436" si="145">SUM(L434)</f>
        <v>2448</v>
      </c>
      <c r="M436" s="1744">
        <f t="shared" si="145"/>
        <v>2504</v>
      </c>
      <c r="N436" s="1744">
        <f t="shared" ref="N436:O436" si="146">SUM(N434)</f>
        <v>2562</v>
      </c>
      <c r="O436" s="1744">
        <f t="shared" si="146"/>
        <v>2621</v>
      </c>
      <c r="P436" s="115"/>
      <c r="Q436" s="115"/>
      <c r="R436" s="115"/>
      <c r="S436" s="115"/>
      <c r="T436" s="115"/>
      <c r="U436" s="115"/>
      <c r="V436" s="115"/>
    </row>
    <row r="437" spans="1:22" ht="12.75" customHeight="1" thickTop="1" x14ac:dyDescent="0.25">
      <c r="A437" s="336"/>
      <c r="B437" s="115"/>
      <c r="C437" s="115"/>
      <c r="D437" s="143"/>
      <c r="E437" s="115"/>
      <c r="F437" s="115"/>
      <c r="G437" s="114"/>
      <c r="H437" s="114"/>
      <c r="I437" s="114"/>
      <c r="J437" s="114"/>
      <c r="K437" s="114"/>
      <c r="L437" s="114"/>
      <c r="M437" s="114"/>
      <c r="N437" s="114"/>
      <c r="O437" s="114"/>
      <c r="P437" s="115"/>
      <c r="Q437" s="115"/>
      <c r="R437" s="115"/>
      <c r="S437" s="115"/>
      <c r="T437" s="115"/>
      <c r="U437" s="115"/>
      <c r="V437" s="115"/>
    </row>
    <row r="438" spans="1:22" ht="12.75" customHeight="1" x14ac:dyDescent="0.25">
      <c r="A438" s="336"/>
      <c r="B438" s="115"/>
      <c r="C438" s="115"/>
      <c r="D438" s="301"/>
      <c r="E438" s="115"/>
      <c r="F438" s="115"/>
      <c r="G438" s="114"/>
      <c r="H438" s="114"/>
      <c r="I438" s="114"/>
      <c r="J438" s="114"/>
      <c r="K438" s="114"/>
      <c r="L438" s="114"/>
      <c r="M438" s="114"/>
      <c r="N438" s="114"/>
      <c r="O438" s="114"/>
      <c r="P438" s="115"/>
      <c r="Q438" s="115"/>
      <c r="R438" s="115"/>
      <c r="S438" s="115"/>
      <c r="T438" s="115"/>
      <c r="U438" s="115"/>
      <c r="V438" s="115"/>
    </row>
    <row r="439" spans="1:22" ht="12.75" customHeight="1" x14ac:dyDescent="0.25">
      <c r="A439" s="336"/>
      <c r="B439" s="115"/>
      <c r="C439" s="115"/>
      <c r="D439" s="143"/>
      <c r="E439" s="482"/>
      <c r="F439" s="115"/>
      <c r="G439" s="114"/>
      <c r="H439" s="114"/>
      <c r="I439" s="114"/>
      <c r="J439" s="114"/>
      <c r="K439" s="114"/>
      <c r="L439" s="114"/>
      <c r="M439" s="114"/>
      <c r="N439" s="114"/>
      <c r="O439" s="114"/>
      <c r="P439" s="115"/>
      <c r="Q439" s="115"/>
      <c r="R439" s="115"/>
      <c r="S439" s="115"/>
      <c r="T439" s="115"/>
      <c r="U439" s="115"/>
      <c r="V439" s="115"/>
    </row>
    <row r="440" spans="1:22" ht="12.75" customHeight="1" x14ac:dyDescent="0.25">
      <c r="A440" s="336"/>
      <c r="B440" s="115"/>
      <c r="C440" s="115"/>
      <c r="D440" s="393">
        <v>617011</v>
      </c>
      <c r="E440" s="381" t="s">
        <v>2914</v>
      </c>
      <c r="F440" s="115"/>
      <c r="G440" s="114"/>
      <c r="H440" s="114"/>
      <c r="I440" s="114"/>
      <c r="J440" s="407">
        <v>2025</v>
      </c>
      <c r="K440" s="407">
        <v>2026</v>
      </c>
      <c r="L440" s="407">
        <v>2027</v>
      </c>
      <c r="M440" s="407">
        <v>2028</v>
      </c>
      <c r="N440" s="407">
        <v>2029</v>
      </c>
      <c r="O440" s="407">
        <v>2030</v>
      </c>
      <c r="P440" s="115"/>
      <c r="Q440" s="115"/>
      <c r="R440" s="115"/>
      <c r="S440" s="115"/>
      <c r="T440" s="115"/>
      <c r="U440" s="115"/>
      <c r="V440" s="115"/>
    </row>
    <row r="441" spans="1:22" ht="12.75" customHeight="1" x14ac:dyDescent="0.25">
      <c r="A441" s="336"/>
      <c r="B441" s="115"/>
      <c r="C441" s="115"/>
      <c r="D441" s="393"/>
      <c r="E441" s="381"/>
      <c r="F441" s="115"/>
      <c r="G441" s="114"/>
      <c r="H441" s="114"/>
      <c r="I441" s="114"/>
      <c r="J441" s="486"/>
      <c r="K441" s="486"/>
      <c r="L441" s="486"/>
      <c r="M441" s="486"/>
      <c r="N441" s="486"/>
      <c r="O441" s="486"/>
      <c r="P441" s="115"/>
      <c r="Q441" s="115"/>
      <c r="R441" s="115"/>
      <c r="S441" s="115"/>
      <c r="T441" s="115"/>
      <c r="U441" s="115"/>
      <c r="V441" s="115"/>
    </row>
    <row r="442" spans="1:22" ht="12.75" customHeight="1" x14ac:dyDescent="0.25">
      <c r="A442" s="336"/>
      <c r="B442" s="115"/>
      <c r="C442" s="115"/>
      <c r="D442" s="143">
        <v>43812</v>
      </c>
      <c r="E442" s="115" t="s">
        <v>2915</v>
      </c>
      <c r="F442" s="115"/>
      <c r="G442" s="114"/>
      <c r="H442" s="114"/>
      <c r="I442" s="114"/>
      <c r="J442" s="114">
        <v>82475</v>
      </c>
      <c r="K442" s="114">
        <v>84619</v>
      </c>
      <c r="L442" s="114">
        <f>ROUND(K442*T$2,0)</f>
        <v>86396</v>
      </c>
      <c r="M442" s="114">
        <f>ROUND(L442*U$2,0)</f>
        <v>88383</v>
      </c>
      <c r="N442" s="114">
        <f>ROUND(M442*V$2,0)</f>
        <v>90416</v>
      </c>
      <c r="O442" s="114">
        <f>ROUND(N442*W$2,0)</f>
        <v>92496</v>
      </c>
      <c r="P442" s="115"/>
      <c r="Q442" s="115"/>
      <c r="R442" s="115"/>
      <c r="S442" s="115"/>
      <c r="T442" s="115"/>
      <c r="U442" s="115"/>
      <c r="V442" s="115"/>
    </row>
    <row r="443" spans="1:22" ht="12.75" customHeight="1" thickBot="1" x14ac:dyDescent="0.3">
      <c r="A443" s="336"/>
      <c r="B443" s="115"/>
      <c r="C443" s="115"/>
      <c r="D443" s="143"/>
      <c r="E443" s="115" t="str">
        <f>"Totaal "&amp;D442</f>
        <v>Totaal 43812</v>
      </c>
      <c r="F443" s="115"/>
      <c r="G443" s="114"/>
      <c r="H443" s="114"/>
      <c r="I443" s="114"/>
      <c r="J443" s="1744">
        <f>+J442</f>
        <v>82475</v>
      </c>
      <c r="K443" s="1744">
        <v>84619</v>
      </c>
      <c r="L443" s="1744">
        <f>+L442</f>
        <v>86396</v>
      </c>
      <c r="M443" s="1744">
        <f>+M442</f>
        <v>88383</v>
      </c>
      <c r="N443" s="1744">
        <f>+N442</f>
        <v>90416</v>
      </c>
      <c r="O443" s="1744">
        <f>+O442</f>
        <v>92496</v>
      </c>
      <c r="P443" s="115"/>
      <c r="Q443" s="115"/>
      <c r="R443" s="115"/>
      <c r="S443" s="115"/>
      <c r="T443" s="115"/>
      <c r="U443" s="115"/>
      <c r="V443" s="115"/>
    </row>
    <row r="444" spans="1:22" ht="12.75" customHeight="1" thickTop="1" x14ac:dyDescent="0.25">
      <c r="A444" s="336"/>
      <c r="B444" s="115"/>
      <c r="C444" s="115"/>
      <c r="D444" s="143"/>
      <c r="E444" s="115"/>
      <c r="F444" s="115"/>
      <c r="G444" s="114"/>
      <c r="H444" s="114"/>
      <c r="I444" s="114"/>
      <c r="J444" s="114"/>
      <c r="K444" s="114"/>
      <c r="L444" s="114"/>
      <c r="M444" s="114"/>
      <c r="N444" s="114"/>
      <c r="O444" s="114"/>
      <c r="P444" s="115"/>
      <c r="Q444" s="115"/>
      <c r="R444" s="115"/>
      <c r="S444" s="115"/>
      <c r="T444" s="115"/>
      <c r="U444" s="115"/>
      <c r="V444" s="115"/>
    </row>
    <row r="445" spans="1:22" ht="12.75" customHeight="1" x14ac:dyDescent="0.25">
      <c r="A445" s="336"/>
      <c r="B445" s="115"/>
      <c r="C445" s="115"/>
      <c r="D445" s="143">
        <v>43806</v>
      </c>
      <c r="E445" s="115" t="s">
        <v>546</v>
      </c>
      <c r="F445" s="115"/>
      <c r="G445" s="114"/>
      <c r="H445" s="114"/>
      <c r="I445" s="114"/>
      <c r="J445" s="114">
        <v>809</v>
      </c>
      <c r="K445" s="114">
        <v>830</v>
      </c>
      <c r="L445" s="114">
        <f>ROUND(K445*T$2,0)</f>
        <v>847</v>
      </c>
      <c r="M445" s="114">
        <f>ROUND(L445*U$2,0)</f>
        <v>866</v>
      </c>
      <c r="N445" s="114">
        <f>ROUND(M445*V$2,0)</f>
        <v>886</v>
      </c>
      <c r="O445" s="114">
        <f>ROUND(N445*W$2,0)</f>
        <v>906</v>
      </c>
      <c r="P445" s="115"/>
      <c r="Q445" s="115"/>
      <c r="R445" s="115"/>
      <c r="S445" s="115"/>
      <c r="T445" s="115"/>
      <c r="U445" s="115"/>
      <c r="V445" s="115"/>
    </row>
    <row r="446" spans="1:22" ht="12.75" customHeight="1" x14ac:dyDescent="0.25">
      <c r="A446" s="336"/>
      <c r="B446" s="115"/>
      <c r="C446" s="115"/>
      <c r="D446" s="143"/>
      <c r="E446" s="115"/>
      <c r="F446" s="115"/>
      <c r="G446" s="114"/>
      <c r="H446" s="114"/>
      <c r="I446" s="114"/>
      <c r="J446" s="114"/>
      <c r="K446" s="114"/>
      <c r="L446" s="114"/>
      <c r="M446" s="114"/>
      <c r="N446" s="114"/>
      <c r="O446" s="114"/>
      <c r="P446" s="115"/>
      <c r="Q446" s="115"/>
      <c r="R446" s="115"/>
      <c r="S446" s="115"/>
      <c r="T446" s="115"/>
      <c r="U446" s="115"/>
      <c r="V446" s="115"/>
    </row>
    <row r="447" spans="1:22" ht="12.75" customHeight="1" thickBot="1" x14ac:dyDescent="0.3">
      <c r="A447" s="336"/>
      <c r="B447" s="115"/>
      <c r="C447" s="115"/>
      <c r="D447" s="143"/>
      <c r="E447" s="115" t="str">
        <f>"Totaal "&amp;D445</f>
        <v>Totaal 43806</v>
      </c>
      <c r="F447" s="115"/>
      <c r="G447" s="114"/>
      <c r="H447" s="114"/>
      <c r="I447" s="114"/>
      <c r="J447" s="1744">
        <v>809</v>
      </c>
      <c r="K447" s="1744">
        <v>830</v>
      </c>
      <c r="L447" s="1744">
        <f t="shared" ref="L447:M447" si="147">SUM(L445)</f>
        <v>847</v>
      </c>
      <c r="M447" s="1744">
        <f t="shared" si="147"/>
        <v>866</v>
      </c>
      <c r="N447" s="1744">
        <f t="shared" ref="N447:O447" si="148">SUM(N445)</f>
        <v>886</v>
      </c>
      <c r="O447" s="1744">
        <f t="shared" si="148"/>
        <v>906</v>
      </c>
      <c r="P447" s="115"/>
      <c r="Q447" s="115"/>
      <c r="R447" s="115"/>
      <c r="S447" s="115"/>
      <c r="T447" s="115"/>
      <c r="U447" s="115"/>
      <c r="V447" s="115"/>
    </row>
    <row r="448" spans="1:22" ht="12.75" customHeight="1" thickTop="1" x14ac:dyDescent="0.25">
      <c r="A448" s="336"/>
      <c r="B448" s="115"/>
      <c r="C448" s="115"/>
      <c r="D448" s="143"/>
      <c r="E448" s="115"/>
      <c r="F448" s="115"/>
      <c r="G448" s="114"/>
      <c r="H448" s="114"/>
      <c r="I448" s="114"/>
      <c r="J448" s="114"/>
      <c r="K448" s="114"/>
      <c r="L448" s="114"/>
      <c r="M448" s="114"/>
      <c r="N448" s="114"/>
      <c r="O448" s="114"/>
      <c r="P448" s="115"/>
      <c r="Q448" s="115"/>
      <c r="R448" s="115"/>
      <c r="S448" s="115"/>
      <c r="T448" s="115"/>
      <c r="U448" s="115"/>
      <c r="V448" s="115"/>
    </row>
    <row r="449" spans="1:22" ht="12.75" customHeight="1" x14ac:dyDescent="0.25">
      <c r="A449" s="336"/>
      <c r="B449" s="115"/>
      <c r="C449" s="115"/>
      <c r="D449" s="143"/>
      <c r="E449" s="115"/>
      <c r="F449" s="115"/>
      <c r="G449" s="114"/>
      <c r="H449" s="114"/>
      <c r="I449" s="114"/>
      <c r="J449" s="114"/>
      <c r="K449" s="114"/>
      <c r="L449" s="114"/>
      <c r="M449" s="114"/>
      <c r="N449" s="114"/>
      <c r="O449" s="114"/>
      <c r="P449" s="115"/>
      <c r="Q449" s="115"/>
      <c r="R449" s="115"/>
      <c r="S449" s="115"/>
      <c r="T449" s="115"/>
      <c r="U449" s="115"/>
      <c r="V449" s="115"/>
    </row>
    <row r="450" spans="1:22" ht="12.75" customHeight="1" x14ac:dyDescent="0.25">
      <c r="A450" s="336"/>
      <c r="B450" s="115"/>
      <c r="C450" s="115"/>
      <c r="D450" s="143">
        <v>43812</v>
      </c>
      <c r="E450" s="115" t="s">
        <v>565</v>
      </c>
      <c r="F450" s="115"/>
      <c r="G450" s="114"/>
      <c r="H450" s="114"/>
      <c r="I450" s="114"/>
      <c r="J450" s="114">
        <v>2905</v>
      </c>
      <c r="K450" s="114">
        <v>2981</v>
      </c>
      <c r="L450" s="114">
        <f>ROUND(K450*T$2,0)</f>
        <v>3044</v>
      </c>
      <c r="M450" s="114">
        <f>ROUND(L450*U$2,0)</f>
        <v>3114</v>
      </c>
      <c r="N450" s="114">
        <f>ROUND(M450*V$2,0)</f>
        <v>3186</v>
      </c>
      <c r="O450" s="114">
        <f>ROUND(N450*W$2,0)</f>
        <v>3259</v>
      </c>
      <c r="P450" s="115"/>
      <c r="Q450" s="115"/>
      <c r="R450" s="115"/>
      <c r="S450" s="115"/>
      <c r="T450" s="115"/>
      <c r="U450" s="115"/>
      <c r="V450" s="115"/>
    </row>
    <row r="451" spans="1:22" ht="12.75" customHeight="1" x14ac:dyDescent="0.25">
      <c r="A451" s="336"/>
      <c r="B451" s="115"/>
      <c r="C451" s="115"/>
      <c r="D451" s="143"/>
      <c r="E451" s="115" t="s">
        <v>2916</v>
      </c>
      <c r="F451" s="115"/>
      <c r="G451" s="396"/>
      <c r="H451" s="396"/>
      <c r="I451" s="396"/>
      <c r="J451" s="396"/>
      <c r="K451" s="396"/>
      <c r="L451" s="396"/>
      <c r="M451" s="396"/>
      <c r="N451" s="396"/>
      <c r="O451" s="396"/>
      <c r="P451" s="115"/>
      <c r="Q451" s="115"/>
      <c r="R451" s="115"/>
      <c r="S451" s="115"/>
      <c r="T451" s="115"/>
      <c r="U451" s="115"/>
      <c r="V451" s="115"/>
    </row>
    <row r="452" spans="1:22" ht="12.75" customHeight="1" x14ac:dyDescent="0.25">
      <c r="A452" s="336"/>
      <c r="B452" s="115"/>
      <c r="C452" s="115"/>
      <c r="D452" s="115"/>
      <c r="E452" s="115">
        <v>350</v>
      </c>
      <c r="F452" s="115" t="s">
        <v>2917</v>
      </c>
      <c r="G452" s="636">
        <v>86.14</v>
      </c>
      <c r="H452" s="636"/>
      <c r="I452" s="636"/>
      <c r="J452" s="114">
        <v>30149</v>
      </c>
      <c r="K452" s="114"/>
      <c r="L452" s="114"/>
      <c r="M452" s="114"/>
      <c r="N452" s="114"/>
      <c r="O452" s="114"/>
      <c r="P452" s="115"/>
      <c r="Q452" s="115"/>
      <c r="R452" s="115"/>
      <c r="S452" s="115"/>
      <c r="T452" s="115"/>
      <c r="U452" s="115"/>
      <c r="V452" s="115"/>
    </row>
    <row r="453" spans="1:22" ht="12.75" customHeight="1" x14ac:dyDescent="0.25">
      <c r="A453" s="336"/>
      <c r="B453" s="115"/>
      <c r="C453" s="115"/>
      <c r="D453" s="115"/>
      <c r="E453" s="115">
        <v>350</v>
      </c>
      <c r="F453" s="115" t="s">
        <v>2917</v>
      </c>
      <c r="G453" s="636">
        <f>ROUND(G452*R$2,2)</f>
        <v>88.55</v>
      </c>
      <c r="H453" s="636"/>
      <c r="I453" s="636"/>
      <c r="J453" s="114"/>
      <c r="K453" s="114">
        <v>30992.5</v>
      </c>
      <c r="L453" s="114"/>
      <c r="M453" s="114"/>
      <c r="N453" s="114"/>
      <c r="O453" s="114"/>
      <c r="P453" s="115"/>
      <c r="Q453" s="115"/>
      <c r="R453" s="115"/>
      <c r="S453" s="115"/>
      <c r="T453" s="115"/>
      <c r="U453" s="115"/>
      <c r="V453" s="115"/>
    </row>
    <row r="454" spans="1:22" ht="12.75" customHeight="1" x14ac:dyDescent="0.25">
      <c r="A454" s="336"/>
      <c r="B454" s="115"/>
      <c r="C454" s="115"/>
      <c r="D454" s="115"/>
      <c r="E454" s="115">
        <v>350</v>
      </c>
      <c r="F454" s="115" t="s">
        <v>2917</v>
      </c>
      <c r="G454" s="2028">
        <f>ROUND(G453*T$2,2)+0.53</f>
        <v>90.94</v>
      </c>
      <c r="H454" s="636"/>
      <c r="I454" s="636"/>
      <c r="J454" s="114"/>
      <c r="K454" s="114"/>
      <c r="L454" s="114">
        <f>E454*G454</f>
        <v>31829</v>
      </c>
      <c r="M454" s="114"/>
      <c r="N454" s="114"/>
      <c r="O454" s="114"/>
      <c r="P454" s="115"/>
      <c r="Q454" s="115"/>
      <c r="R454" s="115"/>
      <c r="S454" s="115"/>
      <c r="T454" s="115"/>
      <c r="U454" s="115"/>
      <c r="V454" s="115"/>
    </row>
    <row r="455" spans="1:22" ht="12.75" customHeight="1" x14ac:dyDescent="0.25">
      <c r="A455" s="336"/>
      <c r="B455" s="115"/>
      <c r="C455" s="115"/>
      <c r="D455" s="115"/>
      <c r="E455" s="115">
        <v>351</v>
      </c>
      <c r="F455" s="115" t="s">
        <v>2917</v>
      </c>
      <c r="G455" s="2028">
        <f>ROUND(G454*U$2,2)+0.55</f>
        <v>93.58</v>
      </c>
      <c r="H455" s="636"/>
      <c r="I455" s="636"/>
      <c r="J455" s="114"/>
      <c r="K455" s="114"/>
      <c r="L455" s="114"/>
      <c r="M455" s="114">
        <f>+E455*G455</f>
        <v>32846.58</v>
      </c>
      <c r="N455" s="398"/>
      <c r="O455" s="398"/>
      <c r="P455" s="115"/>
      <c r="Q455" s="115"/>
      <c r="R455" s="115"/>
      <c r="S455" s="115"/>
      <c r="T455" s="115"/>
      <c r="U455" s="115"/>
      <c r="V455" s="115"/>
    </row>
    <row r="456" spans="1:22" ht="12.75" customHeight="1" x14ac:dyDescent="0.25">
      <c r="A456" s="336"/>
      <c r="B456" s="115"/>
      <c r="C456" s="115"/>
      <c r="D456" s="115"/>
      <c r="E456" s="115">
        <v>352</v>
      </c>
      <c r="F456" s="115" t="s">
        <v>2917</v>
      </c>
      <c r="G456" s="2028">
        <f>ROUND(G455*V$2,2)+0.56</f>
        <v>96.29</v>
      </c>
      <c r="H456" s="636"/>
      <c r="I456" s="636"/>
      <c r="J456" s="114"/>
      <c r="K456" s="114"/>
      <c r="L456" s="114"/>
      <c r="M456" s="114"/>
      <c r="N456" s="114">
        <f>+E456*G456</f>
        <v>33894.080000000002</v>
      </c>
      <c r="O456" s="114"/>
      <c r="P456" s="115"/>
      <c r="Q456" s="115"/>
      <c r="R456" s="115"/>
      <c r="S456" s="115"/>
      <c r="T456" s="115"/>
      <c r="U456" s="115"/>
      <c r="V456" s="115"/>
    </row>
    <row r="457" spans="1:22" ht="12.75" customHeight="1" x14ac:dyDescent="0.25">
      <c r="A457" s="336"/>
      <c r="B457" s="115"/>
      <c r="C457" s="115"/>
      <c r="D457" s="115"/>
      <c r="E457" s="358">
        <v>352</v>
      </c>
      <c r="F457" s="358" t="s">
        <v>2917</v>
      </c>
      <c r="G457" s="2028">
        <f>ROUND(G456*W$2,2)</f>
        <v>98.5</v>
      </c>
      <c r="H457" s="636"/>
      <c r="I457" s="636"/>
      <c r="J457" s="114"/>
      <c r="K457" s="114"/>
      <c r="L457" s="114"/>
      <c r="M457" s="114"/>
      <c r="N457" s="114"/>
      <c r="O457" s="114">
        <f>+E457*G457</f>
        <v>34672</v>
      </c>
      <c r="P457" s="115"/>
      <c r="Q457" s="115"/>
      <c r="R457" s="115"/>
      <c r="S457" s="115"/>
      <c r="T457" s="115"/>
      <c r="U457" s="115"/>
      <c r="V457" s="115"/>
    </row>
    <row r="458" spans="1:22" ht="12.75" customHeight="1" thickBot="1" x14ac:dyDescent="0.3">
      <c r="A458" s="336"/>
      <c r="B458" s="115"/>
      <c r="C458" s="115"/>
      <c r="D458" s="143"/>
      <c r="E458" s="115" t="str">
        <f>"Totaal "&amp;D451</f>
        <v xml:space="preserve">Totaal </v>
      </c>
      <c r="F458" s="115"/>
      <c r="G458" s="114"/>
      <c r="H458" s="114"/>
      <c r="I458" s="114"/>
      <c r="J458" s="1744">
        <v>33054</v>
      </c>
      <c r="K458" s="1744">
        <v>33973.5</v>
      </c>
      <c r="L458" s="1744">
        <f>SUM(L450:L455)</f>
        <v>34873</v>
      </c>
      <c r="M458" s="1744">
        <f>SUM(M450:M455)</f>
        <v>35960.58</v>
      </c>
      <c r="N458" s="1744">
        <f>SUM(N450:N456)</f>
        <v>37080.080000000002</v>
      </c>
      <c r="O458" s="1744">
        <f>SUM(O450:O457)</f>
        <v>37931</v>
      </c>
      <c r="P458" s="115"/>
      <c r="Q458" s="115"/>
      <c r="R458" s="115"/>
      <c r="S458" s="115"/>
      <c r="T458" s="115"/>
      <c r="U458" s="115"/>
      <c r="V458" s="115"/>
    </row>
    <row r="459" spans="1:22" ht="12.75" customHeight="1" thickTop="1" x14ac:dyDescent="0.25">
      <c r="A459" s="306"/>
      <c r="B459" s="115"/>
      <c r="C459" s="115"/>
      <c r="D459" s="396"/>
      <c r="E459" s="115"/>
      <c r="F459" s="115"/>
      <c r="G459" s="115"/>
      <c r="H459" s="115"/>
      <c r="I459" s="115"/>
      <c r="J459" s="383"/>
      <c r="K459" s="383"/>
      <c r="L459" s="383"/>
      <c r="M459" s="383"/>
      <c r="N459" s="383"/>
      <c r="O459" s="383"/>
      <c r="P459" s="115"/>
      <c r="Q459" s="115"/>
      <c r="R459" s="115"/>
      <c r="S459" s="115"/>
      <c r="T459" s="115"/>
      <c r="U459" s="115"/>
      <c r="V459" s="115"/>
    </row>
    <row r="460" spans="1:22" ht="12.75" customHeight="1" x14ac:dyDescent="0.25">
      <c r="A460" s="306"/>
      <c r="B460" s="115"/>
      <c r="C460" s="115"/>
      <c r="D460" s="396"/>
      <c r="E460" s="115"/>
      <c r="F460" s="115"/>
      <c r="G460" s="115"/>
      <c r="H460" s="115"/>
      <c r="I460" s="115"/>
      <c r="J460" s="383"/>
      <c r="K460" s="383"/>
      <c r="L460" s="383"/>
      <c r="M460" s="383"/>
      <c r="N460" s="383"/>
      <c r="O460" s="383"/>
      <c r="P460" s="115"/>
      <c r="Q460" s="115"/>
      <c r="R460" s="115"/>
      <c r="S460" s="115"/>
      <c r="T460" s="115"/>
      <c r="U460" s="115"/>
      <c r="V460" s="115"/>
    </row>
    <row r="461" spans="1:22" ht="12.75" customHeight="1" x14ac:dyDescent="0.25">
      <c r="A461" s="336"/>
      <c r="B461" s="115"/>
      <c r="C461" s="115"/>
      <c r="D461" s="393">
        <v>617011</v>
      </c>
      <c r="E461" s="381" t="s">
        <v>2918</v>
      </c>
      <c r="F461" s="115"/>
      <c r="G461" s="115"/>
      <c r="H461" s="115"/>
      <c r="I461" s="115"/>
      <c r="J461" s="407">
        <v>2025</v>
      </c>
      <c r="K461" s="407">
        <v>2026</v>
      </c>
      <c r="L461" s="407">
        <v>2027</v>
      </c>
      <c r="M461" s="407">
        <v>2028</v>
      </c>
      <c r="N461" s="407">
        <v>2029</v>
      </c>
      <c r="O461" s="407">
        <v>2030</v>
      </c>
      <c r="P461" s="115"/>
      <c r="Q461" s="115"/>
      <c r="R461" s="115"/>
      <c r="S461" s="115"/>
      <c r="T461" s="115"/>
      <c r="U461" s="115"/>
      <c r="V461" s="115"/>
    </row>
    <row r="462" spans="1:22" ht="12.75" customHeight="1" x14ac:dyDescent="0.25">
      <c r="A462" s="336"/>
      <c r="B462" s="115"/>
      <c r="C462" s="115"/>
      <c r="D462" s="143">
        <v>47300</v>
      </c>
      <c r="E462" s="308" t="s">
        <v>2919</v>
      </c>
      <c r="F462" s="115"/>
      <c r="G462" s="115"/>
      <c r="H462" s="115"/>
      <c r="I462" s="115"/>
      <c r="J462" s="114"/>
      <c r="K462" s="114"/>
      <c r="L462" s="114"/>
      <c r="M462" s="114"/>
      <c r="N462" s="114"/>
      <c r="O462" s="114"/>
      <c r="P462" s="115"/>
      <c r="Q462" s="115"/>
      <c r="R462" s="115"/>
      <c r="S462" s="115"/>
      <c r="T462" s="115"/>
      <c r="U462" s="115"/>
      <c r="V462" s="115"/>
    </row>
    <row r="463" spans="1:22" ht="12.75" customHeight="1" x14ac:dyDescent="0.25">
      <c r="A463" s="336"/>
      <c r="B463" s="115"/>
      <c r="C463" s="115"/>
      <c r="D463" s="143"/>
      <c r="E463" s="115" t="str">
        <f>"Totaal "&amp;D462</f>
        <v>Totaal 47300</v>
      </c>
      <c r="F463" s="115"/>
      <c r="G463" s="115"/>
      <c r="H463" s="115"/>
      <c r="I463" s="115"/>
      <c r="J463" s="114"/>
      <c r="K463" s="114"/>
      <c r="L463" s="114"/>
      <c r="M463" s="114"/>
      <c r="N463" s="114"/>
      <c r="O463" s="114"/>
      <c r="P463" s="115"/>
      <c r="Q463" s="115"/>
      <c r="R463" s="115"/>
      <c r="S463" s="115"/>
      <c r="T463" s="115"/>
      <c r="U463" s="115"/>
      <c r="V463" s="115"/>
    </row>
    <row r="464" spans="1:22" ht="12.75" customHeight="1" x14ac:dyDescent="0.25">
      <c r="A464" s="336"/>
      <c r="B464" s="115"/>
      <c r="C464" s="115"/>
      <c r="D464" s="393"/>
      <c r="E464" s="381"/>
      <c r="F464" s="115"/>
      <c r="G464" s="115"/>
      <c r="H464" s="115"/>
      <c r="I464" s="115"/>
      <c r="J464" s="396"/>
      <c r="K464" s="396"/>
      <c r="L464" s="396"/>
      <c r="M464" s="396"/>
      <c r="N464" s="396"/>
      <c r="O464" s="396"/>
      <c r="P464" s="115"/>
      <c r="Q464" s="115"/>
      <c r="R464" s="115"/>
      <c r="S464" s="115"/>
      <c r="T464" s="115"/>
      <c r="U464" s="115"/>
      <c r="V464" s="115"/>
    </row>
    <row r="465" spans="1:26" ht="12.75" customHeight="1" x14ac:dyDescent="0.25">
      <c r="A465" s="336"/>
      <c r="B465" s="115"/>
      <c r="C465" s="115"/>
      <c r="D465" s="143">
        <v>43812</v>
      </c>
      <c r="E465" s="308" t="s">
        <v>2920</v>
      </c>
      <c r="F465" s="115"/>
      <c r="G465" s="115"/>
      <c r="H465" s="115"/>
      <c r="I465" s="115"/>
      <c r="J465" s="114">
        <v>5328</v>
      </c>
      <c r="K465" s="114">
        <v>5467</v>
      </c>
      <c r="L465" s="114">
        <f>ROUND(K465*T$2,0)</f>
        <v>5582</v>
      </c>
      <c r="M465" s="114">
        <f>ROUND(L465*U$2,0)</f>
        <v>5710</v>
      </c>
      <c r="N465" s="114">
        <f>ROUND(M465*V$2,0)</f>
        <v>5841</v>
      </c>
      <c r="O465" s="114">
        <f>ROUND(N465*W$2,0)</f>
        <v>5975</v>
      </c>
      <c r="P465" s="115"/>
      <c r="Q465" s="115"/>
      <c r="R465" s="115"/>
      <c r="S465" s="115"/>
      <c r="T465" s="115"/>
      <c r="U465" s="115"/>
      <c r="V465" s="115"/>
    </row>
    <row r="466" spans="1:26" ht="12.75" customHeight="1" thickBot="1" x14ac:dyDescent="0.3">
      <c r="A466" s="336"/>
      <c r="B466" s="115"/>
      <c r="C466" s="115"/>
      <c r="D466" s="143"/>
      <c r="E466" s="115" t="str">
        <f>"Totaal "&amp;D465</f>
        <v>Totaal 43812</v>
      </c>
      <c r="F466" s="115"/>
      <c r="G466" s="115"/>
      <c r="H466" s="115"/>
      <c r="I466" s="115"/>
      <c r="J466" s="1744">
        <v>5328</v>
      </c>
      <c r="K466" s="1744">
        <v>5467</v>
      </c>
      <c r="L466" s="1744">
        <f>SUM(L465:L465)</f>
        <v>5582</v>
      </c>
      <c r="M466" s="1744">
        <f>SUM(M465:M465)</f>
        <v>5710</v>
      </c>
      <c r="N466" s="1744">
        <f>SUM(N465:N465)</f>
        <v>5841</v>
      </c>
      <c r="O466" s="1744">
        <f>SUM(O465:O465)</f>
        <v>5975</v>
      </c>
      <c r="P466" s="115"/>
      <c r="Q466" s="115"/>
      <c r="R466" s="115"/>
      <c r="S466" s="115"/>
      <c r="T466" s="115"/>
      <c r="U466" s="115"/>
      <c r="V466" s="115"/>
    </row>
    <row r="467" spans="1:26" ht="12.75" customHeight="1" thickTop="1" x14ac:dyDescent="0.25">
      <c r="A467" s="306"/>
      <c r="B467" s="115"/>
      <c r="C467" s="115"/>
      <c r="D467" s="301"/>
      <c r="E467" s="115"/>
      <c r="F467" s="115"/>
      <c r="G467" s="115"/>
      <c r="H467" s="115"/>
      <c r="I467" s="115"/>
      <c r="J467" s="115"/>
      <c r="K467" s="115"/>
      <c r="L467" s="115"/>
      <c r="M467" s="115"/>
      <c r="N467" s="115"/>
      <c r="O467" s="115"/>
      <c r="P467" s="115"/>
      <c r="Q467" s="115"/>
      <c r="R467" s="115"/>
      <c r="S467" s="115"/>
      <c r="T467" s="115"/>
      <c r="U467" s="115"/>
      <c r="V467" s="115"/>
    </row>
    <row r="468" spans="1:26" ht="12.75" customHeight="1" x14ac:dyDescent="0.25">
      <c r="A468" s="306"/>
      <c r="B468" s="115"/>
      <c r="C468" s="115"/>
      <c r="D468" s="301"/>
      <c r="E468" s="115"/>
      <c r="F468" s="115"/>
      <c r="G468" s="115"/>
      <c r="H468" s="115"/>
      <c r="I468" s="115"/>
      <c r="J468" s="115"/>
      <c r="K468" s="115"/>
      <c r="L468" s="115"/>
      <c r="M468" s="115"/>
      <c r="N468" s="115"/>
      <c r="O468" s="115"/>
      <c r="P468" s="115"/>
      <c r="Q468" s="115"/>
      <c r="R468" s="115"/>
      <c r="S468" s="115"/>
      <c r="T468" s="115"/>
      <c r="U468" s="115"/>
      <c r="V468" s="115"/>
    </row>
    <row r="469" spans="1:26" ht="12.75" customHeight="1" x14ac:dyDescent="0.25">
      <c r="A469" s="306"/>
      <c r="B469" s="115"/>
      <c r="C469" s="115"/>
      <c r="D469" s="393">
        <v>617016</v>
      </c>
      <c r="E469" s="381" t="s">
        <v>2833</v>
      </c>
      <c r="F469" s="115"/>
      <c r="G469" s="531"/>
      <c r="H469" s="531"/>
      <c r="I469" s="531"/>
      <c r="J469" s="407">
        <v>2025</v>
      </c>
      <c r="K469" s="407">
        <v>2026</v>
      </c>
      <c r="L469" s="407">
        <v>2027</v>
      </c>
      <c r="M469" s="407">
        <v>2028</v>
      </c>
      <c r="N469" s="407">
        <v>2029</v>
      </c>
      <c r="O469" s="407">
        <v>2030</v>
      </c>
      <c r="P469" s="115"/>
      <c r="Q469" s="115"/>
      <c r="R469" s="115"/>
      <c r="S469" s="115"/>
      <c r="T469" s="115"/>
      <c r="U469" s="115"/>
      <c r="V469" s="115"/>
    </row>
    <row r="470" spans="1:26" ht="12.75" customHeight="1" x14ac:dyDescent="0.25">
      <c r="A470" s="306"/>
      <c r="B470" s="115"/>
      <c r="C470" s="393"/>
      <c r="D470" s="301"/>
      <c r="E470" s="381"/>
      <c r="F470" s="115"/>
      <c r="G470" s="531"/>
      <c r="H470" s="531"/>
      <c r="I470" s="531"/>
      <c r="J470" s="486"/>
      <c r="K470" s="486"/>
      <c r="L470" s="486"/>
      <c r="M470" s="486"/>
      <c r="N470" s="486"/>
      <c r="O470" s="486"/>
      <c r="P470" s="115"/>
      <c r="Q470" s="115"/>
      <c r="R470" s="115"/>
      <c r="S470" s="115"/>
      <c r="T470" s="115"/>
      <c r="U470" s="115"/>
      <c r="V470" s="115"/>
      <c r="W470" s="115"/>
      <c r="X470" s="115"/>
      <c r="Y470" s="115"/>
      <c r="Z470" s="115"/>
    </row>
    <row r="471" spans="1:26" ht="12.75" customHeight="1" x14ac:dyDescent="0.25">
      <c r="A471" s="306"/>
      <c r="B471" s="115"/>
      <c r="C471" s="115"/>
      <c r="D471" s="143">
        <v>43802</v>
      </c>
      <c r="E471" s="115" t="s">
        <v>2921</v>
      </c>
      <c r="F471" s="115"/>
      <c r="G471" s="115"/>
      <c r="H471" s="115"/>
      <c r="I471" s="115"/>
      <c r="J471" s="531"/>
      <c r="K471" s="531"/>
      <c r="L471" s="531"/>
      <c r="M471" s="531"/>
      <c r="N471" s="531"/>
      <c r="O471" s="531"/>
      <c r="P471" s="115"/>
      <c r="Q471" s="115"/>
      <c r="R471" s="115"/>
      <c r="S471" s="115"/>
      <c r="T471" s="115"/>
      <c r="U471" s="115"/>
      <c r="V471" s="115"/>
      <c r="W471" s="115"/>
      <c r="X471" s="115"/>
      <c r="Y471" s="115"/>
      <c r="Z471" s="115"/>
    </row>
    <row r="472" spans="1:26" ht="12.75" customHeight="1" x14ac:dyDescent="0.25">
      <c r="A472" s="306"/>
      <c r="B472" s="115"/>
      <c r="C472" s="115"/>
      <c r="D472" s="143"/>
      <c r="E472" s="115"/>
      <c r="F472" s="115"/>
      <c r="G472" s="115"/>
      <c r="H472" s="115"/>
      <c r="I472" s="115"/>
      <c r="J472" s="486"/>
      <c r="K472" s="486"/>
      <c r="L472" s="486"/>
      <c r="M472" s="486"/>
      <c r="N472" s="486"/>
      <c r="O472" s="486"/>
      <c r="P472" s="115"/>
      <c r="Q472" s="115"/>
      <c r="R472" s="115"/>
      <c r="S472" s="115"/>
      <c r="T472" s="115"/>
      <c r="U472" s="115"/>
      <c r="V472" s="115"/>
      <c r="W472" s="115"/>
      <c r="X472" s="115"/>
      <c r="Y472" s="115"/>
      <c r="Z472" s="115"/>
    </row>
    <row r="473" spans="1:26" ht="12.75" customHeight="1" x14ac:dyDescent="0.25">
      <c r="A473" s="306"/>
      <c r="B473" s="115"/>
      <c r="C473" s="115"/>
      <c r="D473" s="381" t="s">
        <v>2922</v>
      </c>
      <c r="E473" s="301"/>
      <c r="F473" s="115"/>
      <c r="G473" s="115"/>
      <c r="H473" s="115"/>
      <c r="I473" s="115"/>
      <c r="J473" s="301"/>
      <c r="K473" s="301"/>
      <c r="L473" s="301"/>
      <c r="M473" s="301"/>
      <c r="N473" s="301"/>
      <c r="O473" s="301"/>
      <c r="P473" s="115"/>
      <c r="Q473" s="115"/>
      <c r="R473" s="115"/>
      <c r="S473" s="115"/>
      <c r="T473" s="115"/>
      <c r="U473" s="115"/>
      <c r="V473" s="115"/>
      <c r="W473" s="115"/>
      <c r="X473" s="115"/>
      <c r="Y473" s="115"/>
      <c r="Z473" s="115"/>
    </row>
    <row r="474" spans="1:26" ht="12.75" customHeight="1" x14ac:dyDescent="0.25">
      <c r="A474" s="306"/>
      <c r="B474" s="115"/>
      <c r="C474" s="115"/>
      <c r="D474" s="993">
        <v>336000</v>
      </c>
      <c r="E474" s="115" t="s">
        <v>2923</v>
      </c>
      <c r="F474" s="115"/>
      <c r="G474" s="115"/>
      <c r="H474" s="1235">
        <v>5.2040000000000003E-2</v>
      </c>
      <c r="I474" s="115"/>
      <c r="J474" s="114">
        <v>17485.440000000002</v>
      </c>
      <c r="K474" s="114"/>
      <c r="L474" s="114"/>
      <c r="M474" s="114"/>
      <c r="N474" s="114"/>
      <c r="O474" s="114"/>
      <c r="P474" s="115"/>
      <c r="Q474" s="115"/>
      <c r="R474" s="115"/>
      <c r="S474" s="115"/>
      <c r="T474" s="115"/>
      <c r="U474" s="115"/>
      <c r="V474" s="115"/>
      <c r="W474" s="115"/>
      <c r="X474" s="115"/>
      <c r="Y474" s="115"/>
      <c r="Z474" s="115"/>
    </row>
    <row r="475" spans="1:26" ht="12.75" customHeight="1" x14ac:dyDescent="0.25">
      <c r="A475" s="306"/>
      <c r="B475" s="115"/>
      <c r="C475" s="115"/>
      <c r="D475" s="993">
        <v>1564000</v>
      </c>
      <c r="E475" s="115" t="s">
        <v>2924</v>
      </c>
      <c r="F475" s="115"/>
      <c r="G475" s="115"/>
      <c r="H475" s="1235">
        <v>3.8559999999999997E-2</v>
      </c>
      <c r="I475" s="115"/>
      <c r="J475" s="114">
        <v>60307.839999999997</v>
      </c>
      <c r="K475" s="114"/>
      <c r="L475" s="114"/>
      <c r="M475" s="114"/>
      <c r="N475" s="114"/>
      <c r="O475" s="114"/>
      <c r="P475" s="115"/>
      <c r="Q475" s="115"/>
      <c r="R475" s="115"/>
      <c r="S475" s="115"/>
      <c r="T475" s="115"/>
      <c r="U475" s="115"/>
      <c r="V475" s="115"/>
      <c r="W475" s="115"/>
      <c r="X475" s="115"/>
      <c r="Y475" s="115"/>
      <c r="Z475" s="115"/>
    </row>
    <row r="476" spans="1:26" ht="12.75" customHeight="1" x14ac:dyDescent="0.25">
      <c r="A476" s="306"/>
      <c r="B476" s="115"/>
      <c r="C476" s="115"/>
      <c r="D476" s="301">
        <f>ROUND(1.02*D474,-3)+8000</f>
        <v>351000</v>
      </c>
      <c r="E476" s="115" t="s">
        <v>2923</v>
      </c>
      <c r="F476" s="115"/>
      <c r="G476" s="115"/>
      <c r="H476" s="1235">
        <f t="shared" ref="H476:H477" si="149">ROUND(H474*S$2,5)</f>
        <v>5.339E-2</v>
      </c>
      <c r="I476" s="115"/>
      <c r="J476" s="114"/>
      <c r="K476" s="114">
        <v>18739.89</v>
      </c>
      <c r="L476" s="114"/>
      <c r="M476" s="114"/>
      <c r="N476" s="114"/>
      <c r="O476" s="114"/>
      <c r="P476" s="115"/>
      <c r="Q476" s="115"/>
      <c r="R476" s="115"/>
      <c r="S476" s="115"/>
      <c r="T476" s="115"/>
      <c r="U476" s="115"/>
      <c r="V476" s="115"/>
      <c r="W476" s="115"/>
      <c r="X476" s="115"/>
      <c r="Y476" s="115"/>
      <c r="Z476" s="115"/>
    </row>
    <row r="477" spans="1:26" ht="12.75" customHeight="1" x14ac:dyDescent="0.25">
      <c r="A477" s="306"/>
      <c r="B477" s="115"/>
      <c r="C477" s="115"/>
      <c r="D477" s="301">
        <f>ROUND(1.02*D475,-3)+42000</f>
        <v>1637000</v>
      </c>
      <c r="E477" s="115" t="s">
        <v>2924</v>
      </c>
      <c r="F477" s="115"/>
      <c r="G477" s="115"/>
      <c r="H477" s="1235">
        <f t="shared" si="149"/>
        <v>3.9559999999999998E-2</v>
      </c>
      <c r="I477" s="115"/>
      <c r="J477" s="114"/>
      <c r="K477" s="114">
        <v>64759.719999999994</v>
      </c>
      <c r="L477" s="114"/>
      <c r="M477" s="114"/>
      <c r="N477" s="114"/>
      <c r="O477" s="114"/>
      <c r="P477" s="115"/>
      <c r="Q477" s="115"/>
      <c r="R477" s="115"/>
      <c r="S477" s="115"/>
      <c r="T477" s="115"/>
      <c r="U477" s="115"/>
      <c r="V477" s="115"/>
      <c r="W477" s="115"/>
      <c r="X477" s="115"/>
      <c r="Y477" s="115"/>
      <c r="Z477" s="115"/>
    </row>
    <row r="478" spans="1:26" ht="12.75" customHeight="1" x14ac:dyDescent="0.25">
      <c r="A478" s="306"/>
      <c r="B478" s="115"/>
      <c r="C478" s="115"/>
      <c r="D478" s="301">
        <f>ROUND(1.02*D476,-3)+8000</f>
        <v>366000</v>
      </c>
      <c r="E478" s="115" t="s">
        <v>2923</v>
      </c>
      <c r="F478" s="115"/>
      <c r="G478" s="115"/>
      <c r="H478" s="1235">
        <f>ROUND(H476*T$2,5)</f>
        <v>5.4510000000000003E-2</v>
      </c>
      <c r="I478" s="115"/>
      <c r="J478" s="114"/>
      <c r="K478" s="114"/>
      <c r="L478" s="114">
        <f>D478*H478</f>
        <v>19950.66</v>
      </c>
      <c r="M478" s="114"/>
      <c r="N478" s="114"/>
      <c r="O478" s="114"/>
      <c r="P478" s="115"/>
      <c r="Q478" s="115"/>
      <c r="R478" s="115"/>
      <c r="S478" s="115"/>
      <c r="T478" s="115"/>
      <c r="U478" s="115"/>
      <c r="V478" s="115"/>
      <c r="W478" s="115"/>
      <c r="X478" s="115"/>
      <c r="Y478" s="115"/>
      <c r="Z478" s="115"/>
    </row>
    <row r="479" spans="1:26" ht="12.75" customHeight="1" x14ac:dyDescent="0.25">
      <c r="A479" s="306"/>
      <c r="B479" s="115"/>
      <c r="C479" s="115"/>
      <c r="D479" s="301">
        <f>ROUND(1.02*D477,-3)+42000</f>
        <v>1712000</v>
      </c>
      <c r="E479" s="115" t="s">
        <v>2924</v>
      </c>
      <c r="F479" s="115"/>
      <c r="G479" s="115"/>
      <c r="H479" s="1235">
        <f>ROUND(H477*T$2,5)</f>
        <v>4.0390000000000002E-2</v>
      </c>
      <c r="I479" s="115"/>
      <c r="J479" s="114"/>
      <c r="K479" s="114"/>
      <c r="L479" s="114">
        <f>D479*H479</f>
        <v>69147.680000000008</v>
      </c>
      <c r="M479" s="114"/>
      <c r="N479" s="114"/>
      <c r="O479" s="114"/>
      <c r="P479" s="115"/>
      <c r="Q479" s="115"/>
      <c r="R479" s="115"/>
      <c r="S479" s="115"/>
      <c r="T479" s="115"/>
      <c r="U479" s="115"/>
      <c r="V479" s="115"/>
      <c r="W479" s="115"/>
      <c r="X479" s="115"/>
      <c r="Y479" s="115"/>
      <c r="Z479" s="115"/>
    </row>
    <row r="480" spans="1:26" ht="12.75" customHeight="1" x14ac:dyDescent="0.25">
      <c r="A480" s="306"/>
      <c r="B480" s="115"/>
      <c r="C480" s="115"/>
      <c r="D480" s="301">
        <f>ROUND(1.02*D478,-3)+8000</f>
        <v>381000</v>
      </c>
      <c r="E480" s="115" t="s">
        <v>2923</v>
      </c>
      <c r="F480" s="115"/>
      <c r="G480" s="115"/>
      <c r="H480" s="1235">
        <f>ROUND(H478*U$2,5)</f>
        <v>5.5759999999999997E-2</v>
      </c>
      <c r="I480" s="115"/>
      <c r="J480" s="114"/>
      <c r="K480" s="114"/>
      <c r="L480" s="114"/>
      <c r="M480" s="114">
        <f>+D480*H480</f>
        <v>21244.559999999998</v>
      </c>
      <c r="N480" s="398"/>
      <c r="O480" s="398"/>
      <c r="P480" s="115"/>
      <c r="Q480" s="115"/>
      <c r="R480" s="115"/>
      <c r="S480" s="115"/>
      <c r="T480" s="115"/>
      <c r="U480" s="115"/>
      <c r="V480" s="115"/>
      <c r="W480" s="115"/>
      <c r="X480" s="115"/>
      <c r="Y480" s="115"/>
      <c r="Z480" s="115"/>
    </row>
    <row r="481" spans="1:26" ht="12.75" customHeight="1" x14ac:dyDescent="0.25">
      <c r="A481" s="306"/>
      <c r="B481" s="115"/>
      <c r="C481" s="115"/>
      <c r="D481" s="301">
        <f>ROUND(1.02*D479,-3)+42000</f>
        <v>1788000</v>
      </c>
      <c r="E481" s="115" t="s">
        <v>2924</v>
      </c>
      <c r="F481" s="115"/>
      <c r="G481" s="115"/>
      <c r="H481" s="1235">
        <f>ROUND(H479*U$2,5)</f>
        <v>4.1320000000000003E-2</v>
      </c>
      <c r="I481" s="115"/>
      <c r="J481" s="114"/>
      <c r="K481" s="114"/>
      <c r="L481" s="114"/>
      <c r="M481" s="114">
        <f>+D481*H481</f>
        <v>73880.160000000003</v>
      </c>
      <c r="N481" s="398"/>
      <c r="O481" s="398"/>
      <c r="P481" s="115"/>
      <c r="Q481" s="115"/>
      <c r="R481" s="115"/>
      <c r="S481" s="115"/>
      <c r="T481" s="115"/>
      <c r="U481" s="115"/>
      <c r="V481" s="115"/>
      <c r="W481" s="115"/>
      <c r="X481" s="115"/>
      <c r="Y481" s="115"/>
      <c r="Z481" s="115"/>
    </row>
    <row r="482" spans="1:26" ht="12.75" customHeight="1" x14ac:dyDescent="0.25">
      <c r="A482" s="306"/>
      <c r="B482" s="115"/>
      <c r="C482" s="115"/>
      <c r="D482" s="301">
        <f>ROUND(1.02*D480,-3)+8000</f>
        <v>397000</v>
      </c>
      <c r="E482" s="115" t="s">
        <v>2923</v>
      </c>
      <c r="F482" s="115"/>
      <c r="G482" s="115"/>
      <c r="H482" s="1235">
        <f>ROUND(H480*V$2,5)</f>
        <v>5.704E-2</v>
      </c>
      <c r="I482" s="115"/>
      <c r="J482" s="114"/>
      <c r="K482" s="114"/>
      <c r="L482" s="114"/>
      <c r="M482" s="114"/>
      <c r="N482" s="114">
        <f>+D482*H482</f>
        <v>22644.880000000001</v>
      </c>
      <c r="O482" s="114"/>
      <c r="P482" s="115"/>
      <c r="Q482" s="115"/>
      <c r="R482" s="115"/>
      <c r="S482" s="115"/>
      <c r="T482" s="115"/>
      <c r="U482" s="115"/>
      <c r="V482" s="115"/>
      <c r="W482" s="115"/>
      <c r="X482" s="115"/>
      <c r="Y482" s="115"/>
      <c r="Z482" s="115"/>
    </row>
    <row r="483" spans="1:26" ht="12.75" customHeight="1" x14ac:dyDescent="0.25">
      <c r="A483" s="306"/>
      <c r="B483" s="115"/>
      <c r="C483" s="115"/>
      <c r="D483" s="301">
        <f>ROUND(1.02*D481,-3)+42000</f>
        <v>1866000</v>
      </c>
      <c r="E483" s="115" t="s">
        <v>2924</v>
      </c>
      <c r="F483" s="115"/>
      <c r="G483" s="115"/>
      <c r="H483" s="1235">
        <f>ROUND(H481*V$2,5)</f>
        <v>4.2270000000000002E-2</v>
      </c>
      <c r="I483" s="115"/>
      <c r="J483" s="114"/>
      <c r="K483" s="114"/>
      <c r="L483" s="114"/>
      <c r="M483" s="114"/>
      <c r="N483" s="114">
        <f>+D483*H483</f>
        <v>78875.820000000007</v>
      </c>
      <c r="O483" s="114"/>
      <c r="P483" s="115"/>
      <c r="Q483" s="115"/>
      <c r="R483" s="115"/>
      <c r="S483" s="115"/>
      <c r="T483" s="115"/>
      <c r="U483" s="115"/>
      <c r="V483" s="115"/>
      <c r="W483" s="115"/>
      <c r="X483" s="115"/>
      <c r="Y483" s="115"/>
      <c r="Z483" s="115"/>
    </row>
    <row r="484" spans="1:26" ht="12.75" customHeight="1" x14ac:dyDescent="0.25">
      <c r="A484" s="306"/>
      <c r="B484" s="115"/>
      <c r="C484" s="115"/>
      <c r="D484" s="2055">
        <f>ROUND(1.02*D482,-3)+8000</f>
        <v>413000</v>
      </c>
      <c r="E484" s="358" t="s">
        <v>2923</v>
      </c>
      <c r="F484" s="358"/>
      <c r="G484" s="358"/>
      <c r="H484" s="2056">
        <f>ROUND(H482*W$2,5)</f>
        <v>5.8349999999999999E-2</v>
      </c>
      <c r="I484" s="115"/>
      <c r="J484" s="114"/>
      <c r="K484" s="114"/>
      <c r="L484" s="114"/>
      <c r="M484" s="114"/>
      <c r="N484" s="114"/>
      <c r="O484" s="114">
        <f>+D484*H484</f>
        <v>24098.55</v>
      </c>
      <c r="P484" s="115"/>
      <c r="Q484" s="115"/>
      <c r="R484" s="115"/>
      <c r="S484" s="115"/>
      <c r="T484" s="115"/>
      <c r="U484" s="115"/>
      <c r="V484" s="115"/>
      <c r="W484" s="115"/>
      <c r="X484" s="115"/>
      <c r="Y484" s="115"/>
      <c r="Z484" s="115"/>
    </row>
    <row r="485" spans="1:26" ht="12.75" customHeight="1" x14ac:dyDescent="0.25">
      <c r="A485" s="306"/>
      <c r="B485" s="115"/>
      <c r="C485" s="115"/>
      <c r="D485" s="2055">
        <f>ROUND(1.02*D483,-3)+42000</f>
        <v>1945000</v>
      </c>
      <c r="E485" s="358" t="s">
        <v>2924</v>
      </c>
      <c r="F485" s="358"/>
      <c r="G485" s="358"/>
      <c r="H485" s="2056">
        <f>ROUND(H483*W$2,5)</f>
        <v>4.3240000000000001E-2</v>
      </c>
      <c r="I485" s="115"/>
      <c r="J485" s="114"/>
      <c r="K485" s="114"/>
      <c r="L485" s="114"/>
      <c r="M485" s="114"/>
      <c r="N485" s="114"/>
      <c r="O485" s="114">
        <f>+D485*H485</f>
        <v>84101.8</v>
      </c>
      <c r="P485" s="115"/>
      <c r="Q485" s="115"/>
      <c r="R485" s="115"/>
      <c r="S485" s="115"/>
      <c r="T485" s="115"/>
      <c r="U485" s="115"/>
      <c r="V485" s="115"/>
      <c r="W485" s="115"/>
      <c r="X485" s="115"/>
      <c r="Y485" s="115"/>
      <c r="Z485" s="115"/>
    </row>
    <row r="486" spans="1:26" ht="12.75" customHeight="1" x14ac:dyDescent="0.25">
      <c r="A486" s="306"/>
      <c r="B486" s="115"/>
      <c r="C486" s="115"/>
      <c r="D486" s="115"/>
      <c r="E486" s="308"/>
      <c r="F486" s="115"/>
      <c r="G486" s="115"/>
      <c r="H486" s="2056"/>
      <c r="I486" s="115"/>
      <c r="J486" s="114"/>
      <c r="K486" s="114"/>
      <c r="L486" s="114"/>
      <c r="M486" s="114"/>
      <c r="N486" s="114"/>
      <c r="O486" s="114"/>
      <c r="P486" s="115"/>
      <c r="Q486" s="115"/>
      <c r="R486" s="115"/>
      <c r="S486" s="115"/>
      <c r="T486" s="115"/>
      <c r="U486" s="115"/>
      <c r="V486" s="115"/>
      <c r="W486" s="115"/>
      <c r="X486" s="115"/>
      <c r="Y486" s="115"/>
      <c r="Z486" s="115"/>
    </row>
    <row r="487" spans="1:26" ht="12.75" customHeight="1" x14ac:dyDescent="0.25">
      <c r="A487" s="306"/>
      <c r="B487" s="115"/>
      <c r="C487" s="115"/>
      <c r="D487" s="381" t="s">
        <v>2925</v>
      </c>
      <c r="E487" s="115"/>
      <c r="F487" s="115"/>
      <c r="G487" s="115"/>
      <c r="H487" s="396"/>
      <c r="I487" s="115"/>
      <c r="J487" s="396"/>
      <c r="K487" s="396"/>
      <c r="L487" s="396"/>
      <c r="M487" s="396"/>
      <c r="N487" s="396"/>
      <c r="O487" s="396"/>
      <c r="P487" s="115"/>
      <c r="Q487" s="115"/>
      <c r="R487" s="115"/>
      <c r="S487" s="115"/>
      <c r="T487" s="115"/>
      <c r="U487" s="115"/>
      <c r="V487" s="115"/>
      <c r="W487" s="115"/>
      <c r="X487" s="115"/>
      <c r="Y487" s="115"/>
      <c r="Z487" s="115"/>
    </row>
    <row r="488" spans="1:26" ht="12.75" customHeight="1" x14ac:dyDescent="0.25">
      <c r="A488" s="306"/>
      <c r="B488" s="115"/>
      <c r="C488" s="115"/>
      <c r="D488" s="115">
        <v>10000</v>
      </c>
      <c r="E488" s="434" t="s">
        <v>2926</v>
      </c>
      <c r="F488" s="115"/>
      <c r="G488" s="115"/>
      <c r="H488" s="1236">
        <v>0.1013</v>
      </c>
      <c r="I488" s="115"/>
      <c r="J488" s="114">
        <v>1137</v>
      </c>
      <c r="K488" s="114">
        <v>1167</v>
      </c>
      <c r="L488" s="114">
        <f t="shared" ref="L488:O489" si="150">ROUND(K488*T$2,)</f>
        <v>1192</v>
      </c>
      <c r="M488" s="114">
        <f t="shared" si="150"/>
        <v>1219</v>
      </c>
      <c r="N488" s="114">
        <f t="shared" si="150"/>
        <v>1247</v>
      </c>
      <c r="O488" s="114">
        <f t="shared" si="150"/>
        <v>1276</v>
      </c>
      <c r="P488" s="115"/>
      <c r="Q488" s="115"/>
      <c r="R488" s="115"/>
      <c r="S488" s="115"/>
      <c r="T488" s="115"/>
      <c r="U488" s="115"/>
      <c r="V488" s="115"/>
      <c r="W488" s="115"/>
      <c r="X488" s="115"/>
      <c r="Y488" s="115"/>
      <c r="Z488" s="115"/>
    </row>
    <row r="489" spans="1:26" ht="12.75" customHeight="1" x14ac:dyDescent="0.25">
      <c r="A489" s="306"/>
      <c r="B489" s="115"/>
      <c r="C489" s="115"/>
      <c r="D489" s="115">
        <v>40000</v>
      </c>
      <c r="E489" s="434" t="s">
        <v>2927</v>
      </c>
      <c r="F489" s="115"/>
      <c r="G489" s="115"/>
      <c r="H489" s="1236">
        <v>4.9009999999999998E-2</v>
      </c>
      <c r="I489" s="115"/>
      <c r="J489" s="114">
        <v>2235</v>
      </c>
      <c r="K489" s="114">
        <v>2293</v>
      </c>
      <c r="L489" s="114">
        <f t="shared" si="150"/>
        <v>2341</v>
      </c>
      <c r="M489" s="114">
        <f t="shared" si="150"/>
        <v>2395</v>
      </c>
      <c r="N489" s="114">
        <f t="shared" si="150"/>
        <v>2450</v>
      </c>
      <c r="O489" s="114">
        <f t="shared" si="150"/>
        <v>2506</v>
      </c>
      <c r="P489" s="115"/>
      <c r="Q489" s="115"/>
      <c r="R489" s="115"/>
      <c r="S489" s="115"/>
      <c r="T489" s="115"/>
      <c r="U489" s="115"/>
      <c r="V489" s="115"/>
      <c r="W489" s="115"/>
      <c r="X489" s="115"/>
      <c r="Y489" s="115"/>
      <c r="Z489" s="115"/>
    </row>
    <row r="490" spans="1:26" ht="12.75" customHeight="1" x14ac:dyDescent="0.25">
      <c r="A490" s="306"/>
      <c r="B490" s="115"/>
      <c r="C490" s="115"/>
      <c r="D490" s="301"/>
      <c r="E490" s="434"/>
      <c r="F490" s="115"/>
      <c r="G490" s="115"/>
      <c r="H490" s="1236"/>
      <c r="I490" s="115"/>
      <c r="J490" s="114"/>
      <c r="K490" s="114"/>
      <c r="L490" s="114"/>
      <c r="M490" s="114"/>
      <c r="N490" s="114"/>
      <c r="O490" s="114"/>
      <c r="P490" s="115"/>
      <c r="Q490" s="115"/>
      <c r="R490" s="115"/>
      <c r="S490" s="115"/>
      <c r="T490" s="115"/>
      <c r="U490" s="115"/>
      <c r="V490" s="115"/>
      <c r="W490" s="115"/>
      <c r="X490" s="115"/>
      <c r="Y490" s="115"/>
      <c r="Z490" s="115"/>
    </row>
    <row r="491" spans="1:26" ht="12.75" customHeight="1" x14ac:dyDescent="0.25">
      <c r="A491" s="306"/>
      <c r="B491" s="115"/>
      <c r="C491" s="115"/>
      <c r="D491" s="301">
        <v>1778000</v>
      </c>
      <c r="E491" s="434" t="s">
        <v>2928</v>
      </c>
      <c r="F491" s="115"/>
      <c r="G491" s="115"/>
      <c r="H491" s="1236">
        <v>1.521E-2</v>
      </c>
      <c r="I491" s="115"/>
      <c r="J491" s="114">
        <v>27043.38</v>
      </c>
      <c r="K491" s="114"/>
      <c r="L491" s="114"/>
      <c r="M491" s="114"/>
      <c r="N491" s="114"/>
      <c r="O491" s="114"/>
      <c r="P491" s="115"/>
      <c r="Q491" s="115"/>
      <c r="R491" s="115"/>
      <c r="S491" s="115"/>
      <c r="T491" s="115"/>
      <c r="U491" s="115"/>
      <c r="V491" s="115"/>
      <c r="W491" s="115"/>
      <c r="X491" s="115"/>
      <c r="Y491" s="115"/>
      <c r="Z491" s="115"/>
    </row>
    <row r="492" spans="1:26" ht="12.75" customHeight="1" x14ac:dyDescent="0.25">
      <c r="A492" s="306"/>
      <c r="B492" s="115"/>
      <c r="C492" s="115"/>
      <c r="D492" s="301">
        <f>+D474+D475-50000</f>
        <v>1850000</v>
      </c>
      <c r="E492" s="434" t="s">
        <v>2928</v>
      </c>
      <c r="F492" s="115"/>
      <c r="G492" s="115"/>
      <c r="H492" s="1236">
        <f>ROUND(H491*S$2,5)</f>
        <v>1.5610000000000001E-2</v>
      </c>
      <c r="I492" s="115"/>
      <c r="J492" s="114"/>
      <c r="K492" s="114">
        <v>28878.5</v>
      </c>
      <c r="L492" s="114"/>
      <c r="M492" s="114"/>
      <c r="N492" s="114"/>
      <c r="O492" s="114"/>
      <c r="P492" s="115"/>
      <c r="Q492" s="115"/>
      <c r="R492" s="115"/>
      <c r="S492" s="115"/>
      <c r="T492" s="115"/>
      <c r="U492" s="115"/>
      <c r="V492" s="115"/>
      <c r="W492" s="115"/>
      <c r="X492" s="115"/>
      <c r="Y492" s="115"/>
      <c r="Z492" s="115"/>
    </row>
    <row r="493" spans="1:26" ht="12.75" customHeight="1" x14ac:dyDescent="0.25">
      <c r="A493" s="306"/>
      <c r="B493" s="115"/>
      <c r="C493" s="115"/>
      <c r="D493" s="301">
        <f>+D475+D476-50000</f>
        <v>1865000</v>
      </c>
      <c r="E493" s="434" t="s">
        <v>2928</v>
      </c>
      <c r="F493" s="115"/>
      <c r="G493" s="115"/>
      <c r="H493" s="1236">
        <f>ROUND(H492*T$2,5)</f>
        <v>1.5939999999999999E-2</v>
      </c>
      <c r="I493" s="115"/>
      <c r="J493" s="114"/>
      <c r="K493" s="114"/>
      <c r="L493" s="114">
        <f>D493*H493</f>
        <v>29728.1</v>
      </c>
      <c r="M493" s="114"/>
      <c r="N493" s="114"/>
      <c r="O493" s="114"/>
      <c r="P493" s="115"/>
      <c r="Q493" s="115"/>
      <c r="R493" s="115"/>
      <c r="S493" s="115"/>
      <c r="T493" s="115"/>
      <c r="U493" s="115"/>
      <c r="V493" s="115"/>
      <c r="W493" s="115"/>
      <c r="X493" s="115"/>
      <c r="Y493" s="115"/>
      <c r="Z493" s="115"/>
    </row>
    <row r="494" spans="1:26" ht="12.75" customHeight="1" x14ac:dyDescent="0.25">
      <c r="A494" s="306"/>
      <c r="B494" s="115"/>
      <c r="C494" s="115"/>
      <c r="D494" s="301">
        <f>+D476+D477-50000</f>
        <v>1938000</v>
      </c>
      <c r="E494" s="434" t="s">
        <v>2928</v>
      </c>
      <c r="F494" s="115"/>
      <c r="G494" s="115"/>
      <c r="H494" s="1236">
        <f>ROUND(H493*U$2,5)</f>
        <v>1.6310000000000002E-2</v>
      </c>
      <c r="I494" s="115"/>
      <c r="J494" s="114"/>
      <c r="K494" s="114"/>
      <c r="L494" s="114"/>
      <c r="M494" s="114">
        <f>+D494*H494</f>
        <v>31608.780000000002</v>
      </c>
      <c r="N494" s="398"/>
      <c r="O494" s="398"/>
      <c r="P494" s="115"/>
      <c r="Q494" s="115"/>
      <c r="R494" s="115"/>
      <c r="S494" s="115"/>
      <c r="T494" s="115"/>
      <c r="U494" s="115"/>
      <c r="V494" s="115"/>
      <c r="W494" s="115"/>
      <c r="X494" s="115"/>
      <c r="Y494" s="115"/>
      <c r="Z494" s="115"/>
    </row>
    <row r="495" spans="1:26" ht="12.75" customHeight="1" x14ac:dyDescent="0.25">
      <c r="A495" s="306"/>
      <c r="B495" s="115"/>
      <c r="C495" s="115"/>
      <c r="D495" s="301">
        <f>+D477+D478-50000</f>
        <v>1953000</v>
      </c>
      <c r="E495" s="434" t="s">
        <v>2928</v>
      </c>
      <c r="F495" s="115"/>
      <c r="G495" s="115"/>
      <c r="H495" s="1236">
        <f>ROUND(H494*V$2,5)</f>
        <v>1.669E-2</v>
      </c>
      <c r="I495" s="115"/>
      <c r="J495" s="114"/>
      <c r="K495" s="114"/>
      <c r="L495" s="114"/>
      <c r="M495" s="114"/>
      <c r="N495" s="114">
        <f>+D495*H495</f>
        <v>32595.57</v>
      </c>
      <c r="O495" s="114"/>
      <c r="P495" s="115"/>
      <c r="Q495" s="115"/>
      <c r="R495" s="115"/>
      <c r="S495" s="115"/>
      <c r="T495" s="115"/>
      <c r="U495" s="115"/>
      <c r="V495" s="115"/>
      <c r="W495" s="115"/>
      <c r="X495" s="115"/>
      <c r="Y495" s="115"/>
      <c r="Z495" s="115"/>
    </row>
    <row r="496" spans="1:26" ht="12.75" customHeight="1" x14ac:dyDescent="0.25">
      <c r="A496" s="306"/>
      <c r="B496" s="115"/>
      <c r="C496" s="115"/>
      <c r="D496" s="2055">
        <f>+D478+D479-50000</f>
        <v>2028000</v>
      </c>
      <c r="E496" s="2057" t="s">
        <v>2928</v>
      </c>
      <c r="F496" s="358"/>
      <c r="G496" s="358"/>
      <c r="H496" s="2058">
        <f>ROUND(H495*W$2,5)</f>
        <v>1.7069999999999998E-2</v>
      </c>
      <c r="I496" s="115"/>
      <c r="J496" s="114"/>
      <c r="K496" s="114"/>
      <c r="L496" s="114"/>
      <c r="M496" s="114"/>
      <c r="N496" s="114"/>
      <c r="O496" s="114">
        <f>+D496*H496</f>
        <v>34617.96</v>
      </c>
      <c r="P496" s="115"/>
      <c r="Q496" s="115"/>
      <c r="R496" s="115"/>
      <c r="S496" s="115"/>
      <c r="T496" s="115"/>
      <c r="U496" s="115"/>
      <c r="V496" s="115"/>
      <c r="W496" s="115"/>
      <c r="X496" s="115"/>
      <c r="Y496" s="115"/>
      <c r="Z496" s="115"/>
    </row>
    <row r="497" spans="1:26" ht="12.75" customHeight="1" x14ac:dyDescent="0.25">
      <c r="A497" s="306"/>
      <c r="B497" s="115"/>
      <c r="C497" s="115"/>
      <c r="D497" s="301"/>
      <c r="E497" s="434"/>
      <c r="F497" s="115"/>
      <c r="G497" s="115"/>
      <c r="H497" s="1236"/>
      <c r="I497" s="115"/>
      <c r="J497" s="114"/>
      <c r="K497" s="114"/>
      <c r="L497" s="114"/>
      <c r="M497" s="114"/>
      <c r="N497" s="398"/>
      <c r="O497" s="398"/>
      <c r="P497" s="115"/>
      <c r="Q497" s="115"/>
      <c r="R497" s="115"/>
      <c r="S497" s="115"/>
      <c r="T497" s="115"/>
      <c r="U497" s="115"/>
      <c r="V497" s="115"/>
      <c r="W497" s="115"/>
      <c r="X497" s="115"/>
      <c r="Y497" s="115"/>
      <c r="Z497" s="115"/>
    </row>
    <row r="498" spans="1:26" ht="12.75" customHeight="1" x14ac:dyDescent="0.25">
      <c r="A498" s="306"/>
      <c r="B498" s="115"/>
      <c r="C498" s="115"/>
      <c r="D498" s="114"/>
      <c r="E498" s="115"/>
      <c r="F498" s="115"/>
      <c r="G498" s="115"/>
      <c r="H498" s="486"/>
      <c r="I498" s="115"/>
      <c r="J498" s="114"/>
      <c r="K498" s="114"/>
      <c r="L498" s="114"/>
      <c r="M498" s="114"/>
      <c r="N498" s="114"/>
      <c r="O498" s="114"/>
      <c r="P498" s="115"/>
      <c r="Q498" s="115"/>
      <c r="R498" s="115"/>
      <c r="S498" s="115"/>
      <c r="T498" s="115"/>
      <c r="U498" s="115"/>
      <c r="V498" s="115"/>
      <c r="W498" s="115"/>
      <c r="X498" s="115"/>
      <c r="Y498" s="115"/>
      <c r="Z498" s="115"/>
    </row>
    <row r="499" spans="1:26" ht="12.75" customHeight="1" x14ac:dyDescent="0.25">
      <c r="A499" s="306"/>
      <c r="B499" s="115"/>
      <c r="C499" s="115"/>
      <c r="D499" s="397" t="s">
        <v>2929</v>
      </c>
      <c r="E499" s="115"/>
      <c r="F499" s="115"/>
      <c r="G499" s="115"/>
      <c r="H499" s="486"/>
      <c r="I499" s="115"/>
      <c r="J499" s="114"/>
      <c r="K499" s="114"/>
      <c r="L499" s="114"/>
      <c r="M499" s="114"/>
      <c r="N499" s="114"/>
      <c r="O499" s="114"/>
      <c r="P499" s="115"/>
      <c r="Q499" s="115"/>
      <c r="R499" s="115"/>
      <c r="S499" s="115"/>
      <c r="T499" s="115"/>
      <c r="U499" s="115"/>
      <c r="V499" s="115"/>
      <c r="W499" s="115"/>
      <c r="X499" s="115"/>
      <c r="Y499" s="115"/>
      <c r="Z499" s="115"/>
    </row>
    <row r="500" spans="1:26" ht="12.75" customHeight="1" x14ac:dyDescent="0.25">
      <c r="A500" s="306"/>
      <c r="B500" s="115"/>
      <c r="C500" s="115"/>
      <c r="D500" s="398" t="s">
        <v>2930</v>
      </c>
      <c r="E500" s="115"/>
      <c r="F500" s="115"/>
      <c r="G500" s="115"/>
      <c r="H500" s="486"/>
      <c r="I500" s="115"/>
      <c r="J500" s="114">
        <v>53400</v>
      </c>
      <c r="K500" s="114">
        <v>54800</v>
      </c>
      <c r="L500" s="114">
        <f>ROUND(K500*T$2,-2)</f>
        <v>56000</v>
      </c>
      <c r="M500" s="114">
        <f>ROUND(L500*U$2,-2)</f>
        <v>57300</v>
      </c>
      <c r="N500" s="114">
        <f>ROUND(M500*V$2,-2)</f>
        <v>58600</v>
      </c>
      <c r="O500" s="114">
        <f>ROUND(N500*W$2,-2)</f>
        <v>59900</v>
      </c>
      <c r="P500" s="115"/>
      <c r="Q500" s="115"/>
      <c r="R500" s="115"/>
      <c r="S500" s="115"/>
      <c r="T500" s="115"/>
      <c r="U500" s="115"/>
      <c r="V500" s="115"/>
      <c r="W500" s="115"/>
      <c r="X500" s="115"/>
      <c r="Y500" s="115"/>
      <c r="Z500" s="115"/>
    </row>
    <row r="501" spans="1:26" ht="12.75" customHeight="1" x14ac:dyDescent="0.25">
      <c r="A501" s="306"/>
      <c r="B501" s="115"/>
      <c r="C501" s="115"/>
      <c r="D501" s="114"/>
      <c r="E501" s="115"/>
      <c r="F501" s="115"/>
      <c r="G501" s="115"/>
      <c r="H501" s="486"/>
      <c r="I501" s="115"/>
      <c r="J501" s="114"/>
      <c r="K501" s="114"/>
      <c r="L501" s="114"/>
      <c r="M501" s="114"/>
      <c r="N501" s="114"/>
      <c r="O501" s="114"/>
      <c r="P501" s="115"/>
      <c r="Q501" s="115"/>
      <c r="R501" s="115"/>
      <c r="S501" s="115"/>
      <c r="T501" s="115"/>
      <c r="U501" s="115"/>
      <c r="V501" s="115"/>
      <c r="W501" s="115"/>
      <c r="X501" s="115"/>
      <c r="Y501" s="115"/>
      <c r="Z501" s="115"/>
    </row>
    <row r="502" spans="1:26" ht="12.75" customHeight="1" x14ac:dyDescent="0.25">
      <c r="A502" s="306"/>
      <c r="B502" s="115"/>
      <c r="C502" s="115"/>
      <c r="D502" s="410" t="s">
        <v>2931</v>
      </c>
      <c r="E502" s="115"/>
      <c r="F502" s="115"/>
      <c r="G502" s="115"/>
      <c r="H502" s="486"/>
      <c r="I502" s="115"/>
      <c r="J502" s="114"/>
      <c r="K502" s="114"/>
      <c r="L502" s="114"/>
      <c r="M502" s="114"/>
      <c r="N502" s="114"/>
      <c r="O502" s="114"/>
      <c r="P502" s="115"/>
      <c r="Q502" s="115"/>
      <c r="R502" s="115"/>
      <c r="S502" s="115"/>
      <c r="T502" s="115"/>
      <c r="U502" s="115"/>
      <c r="V502" s="115"/>
      <c r="W502" s="115"/>
      <c r="X502" s="115"/>
      <c r="Y502" s="115"/>
      <c r="Z502" s="115"/>
    </row>
    <row r="503" spans="1:26" ht="12.75" customHeight="1" x14ac:dyDescent="0.25">
      <c r="A503" s="306"/>
      <c r="B503" s="115"/>
      <c r="C503" s="115"/>
      <c r="D503" s="115">
        <v>10000</v>
      </c>
      <c r="E503" s="434" t="s">
        <v>2926</v>
      </c>
      <c r="F503" s="115"/>
      <c r="G503" s="115"/>
      <c r="H503" s="1236">
        <v>7.4000000000000003E-3</v>
      </c>
      <c r="I503" s="115"/>
      <c r="J503" s="114">
        <v>83</v>
      </c>
      <c r="K503" s="114">
        <v>85</v>
      </c>
      <c r="L503" s="114">
        <f t="shared" ref="L503:O504" si="151">ROUND(K503*T$2,)</f>
        <v>87</v>
      </c>
      <c r="M503" s="114">
        <f t="shared" si="151"/>
        <v>89</v>
      </c>
      <c r="N503" s="114">
        <f t="shared" si="151"/>
        <v>91</v>
      </c>
      <c r="O503" s="114">
        <f t="shared" si="151"/>
        <v>93</v>
      </c>
      <c r="P503" s="115"/>
      <c r="Q503" s="115"/>
      <c r="R503" s="115"/>
      <c r="S503" s="115"/>
      <c r="T503" s="115"/>
      <c r="U503" s="115"/>
      <c r="V503" s="115"/>
      <c r="W503" s="115"/>
      <c r="X503" s="115"/>
      <c r="Y503" s="115"/>
      <c r="Z503" s="115"/>
    </row>
    <row r="504" spans="1:26" ht="12.75" customHeight="1" x14ac:dyDescent="0.25">
      <c r="A504" s="306"/>
      <c r="B504" s="115"/>
      <c r="C504" s="115"/>
      <c r="D504" s="115">
        <v>40000</v>
      </c>
      <c r="E504" s="434" t="s">
        <v>2927</v>
      </c>
      <c r="F504" s="115"/>
      <c r="G504" s="115"/>
      <c r="H504" s="1236">
        <v>1.23E-2</v>
      </c>
      <c r="I504" s="115"/>
      <c r="J504" s="114">
        <v>552</v>
      </c>
      <c r="K504" s="114">
        <v>566</v>
      </c>
      <c r="L504" s="114">
        <f t="shared" si="151"/>
        <v>578</v>
      </c>
      <c r="M504" s="114">
        <f t="shared" si="151"/>
        <v>591</v>
      </c>
      <c r="N504" s="114">
        <f t="shared" si="151"/>
        <v>605</v>
      </c>
      <c r="O504" s="114">
        <f t="shared" si="151"/>
        <v>619</v>
      </c>
      <c r="P504" s="115"/>
      <c r="Q504" s="115"/>
      <c r="R504" s="115"/>
      <c r="S504" s="115"/>
      <c r="T504" s="115"/>
      <c r="U504" s="115"/>
      <c r="V504" s="115"/>
      <c r="W504" s="115"/>
      <c r="X504" s="115"/>
      <c r="Y504" s="115"/>
      <c r="Z504" s="115"/>
    </row>
    <row r="505" spans="1:26" ht="12.75" customHeight="1" x14ac:dyDescent="0.25">
      <c r="D505" s="301"/>
      <c r="E505" s="434"/>
      <c r="F505" s="115"/>
      <c r="G505" s="115"/>
      <c r="H505" s="1236"/>
      <c r="I505" s="115"/>
      <c r="J505" s="114"/>
      <c r="K505" s="114"/>
      <c r="L505" s="114"/>
      <c r="M505" s="114"/>
      <c r="N505" s="114"/>
      <c r="O505" s="114"/>
      <c r="P505" s="115"/>
      <c r="Q505" s="115"/>
      <c r="R505" s="115"/>
      <c r="S505" s="115"/>
      <c r="T505" s="115"/>
      <c r="U505" s="115"/>
      <c r="V505" s="115"/>
    </row>
    <row r="506" spans="1:26" ht="12.75" customHeight="1" x14ac:dyDescent="0.25">
      <c r="D506" s="301">
        <f t="shared" ref="D506:D511" si="152">+D491</f>
        <v>1778000</v>
      </c>
      <c r="E506" s="434" t="s">
        <v>2928</v>
      </c>
      <c r="F506" s="115"/>
      <c r="G506" s="115"/>
      <c r="H506" s="1236">
        <v>3.8400000000000001E-3</v>
      </c>
      <c r="I506" s="115"/>
      <c r="J506" s="114">
        <v>6827.52</v>
      </c>
      <c r="K506" s="114"/>
      <c r="L506" s="114"/>
      <c r="M506" s="114"/>
      <c r="N506" s="114"/>
      <c r="O506" s="114"/>
      <c r="P506" s="115"/>
      <c r="Q506" s="115"/>
      <c r="R506" s="115"/>
      <c r="S506" s="115"/>
      <c r="T506" s="115"/>
      <c r="U506" s="115"/>
      <c r="V506" s="115"/>
    </row>
    <row r="507" spans="1:26" ht="12.75" customHeight="1" x14ac:dyDescent="0.25">
      <c r="D507" s="301">
        <f t="shared" si="152"/>
        <v>1850000</v>
      </c>
      <c r="E507" s="434" t="s">
        <v>2928</v>
      </c>
      <c r="F507" s="115"/>
      <c r="G507" s="115"/>
      <c r="H507" s="1236">
        <f>ROUND(H506*T$2,5)</f>
        <v>3.9199999999999999E-3</v>
      </c>
      <c r="I507" s="115"/>
      <c r="J507" s="114"/>
      <c r="K507" s="114">
        <v>7252</v>
      </c>
      <c r="L507" s="114"/>
      <c r="M507" s="114"/>
      <c r="N507" s="114"/>
      <c r="O507" s="114"/>
      <c r="P507" s="115"/>
      <c r="Q507" s="115"/>
      <c r="R507" s="115"/>
      <c r="S507" s="115"/>
      <c r="T507" s="115"/>
      <c r="U507" s="115"/>
      <c r="V507" s="115"/>
    </row>
    <row r="508" spans="1:26" ht="12.75" customHeight="1" x14ac:dyDescent="0.25">
      <c r="D508" s="301">
        <f t="shared" si="152"/>
        <v>1865000</v>
      </c>
      <c r="E508" s="434" t="s">
        <v>2928</v>
      </c>
      <c r="F508" s="115"/>
      <c r="G508" s="115"/>
      <c r="H508" s="1236">
        <f>ROUND(H507*U$2,5)</f>
        <v>4.0099999999999997E-3</v>
      </c>
      <c r="I508" s="115"/>
      <c r="J508" s="114"/>
      <c r="K508" s="114"/>
      <c r="L508" s="114">
        <f>D508*H508</f>
        <v>7478.65</v>
      </c>
      <c r="M508" s="114"/>
      <c r="N508" s="114"/>
      <c r="O508" s="114"/>
      <c r="P508" s="115"/>
      <c r="Q508" s="115"/>
      <c r="R508" s="115"/>
      <c r="S508" s="115"/>
      <c r="T508" s="115"/>
      <c r="U508" s="115"/>
      <c r="V508" s="115"/>
    </row>
    <row r="509" spans="1:26" ht="12.75" customHeight="1" x14ac:dyDescent="0.25">
      <c r="D509" s="301">
        <f t="shared" si="152"/>
        <v>1938000</v>
      </c>
      <c r="E509" s="434" t="s">
        <v>2928</v>
      </c>
      <c r="F509" s="115"/>
      <c r="G509" s="115"/>
      <c r="H509" s="1236">
        <f>ROUND(H508*V$2,5)</f>
        <v>4.1000000000000003E-3</v>
      </c>
      <c r="I509" s="115"/>
      <c r="J509" s="114"/>
      <c r="K509" s="114"/>
      <c r="L509" s="114"/>
      <c r="M509" s="114">
        <f>+D509*H509</f>
        <v>7945.8000000000011</v>
      </c>
      <c r="N509" s="398"/>
      <c r="O509" s="398"/>
      <c r="P509" s="115"/>
      <c r="Q509" s="115"/>
      <c r="R509" s="115"/>
      <c r="S509" s="115"/>
      <c r="T509" s="115"/>
      <c r="U509" s="115"/>
      <c r="V509" s="115"/>
    </row>
    <row r="510" spans="1:26" ht="12.75" customHeight="1" x14ac:dyDescent="0.25">
      <c r="D510" s="301">
        <f t="shared" si="152"/>
        <v>1953000</v>
      </c>
      <c r="E510" s="434" t="s">
        <v>2928</v>
      </c>
      <c r="F510" s="115"/>
      <c r="G510" s="115"/>
      <c r="H510" s="1236">
        <f>ROUND(H509*V$2,5)</f>
        <v>4.1900000000000001E-3</v>
      </c>
      <c r="I510" s="115"/>
      <c r="J510" s="114"/>
      <c r="K510" s="114"/>
      <c r="L510" s="114"/>
      <c r="M510" s="114"/>
      <c r="N510" s="114">
        <f>+D510*H510</f>
        <v>8183.0700000000006</v>
      </c>
      <c r="O510" s="114"/>
      <c r="P510" s="115"/>
      <c r="Q510" s="115"/>
      <c r="R510" s="115"/>
      <c r="S510" s="115"/>
      <c r="T510" s="115"/>
      <c r="U510" s="115"/>
      <c r="V510" s="115"/>
    </row>
    <row r="511" spans="1:26" ht="12.75" customHeight="1" x14ac:dyDescent="0.25">
      <c r="D511" s="2055">
        <f t="shared" si="152"/>
        <v>2028000</v>
      </c>
      <c r="E511" s="2057" t="s">
        <v>2928</v>
      </c>
      <c r="F511" s="358"/>
      <c r="G511" s="358"/>
      <c r="H511" s="2058">
        <f>ROUND(H510*W$2,5)</f>
        <v>4.2900000000000004E-3</v>
      </c>
      <c r="I511" s="115"/>
      <c r="J511" s="114"/>
      <c r="K511" s="114"/>
      <c r="L511" s="114"/>
      <c r="M511" s="114"/>
      <c r="N511" s="114"/>
      <c r="O511" s="114">
        <f>+D511*H511</f>
        <v>8700.1200000000008</v>
      </c>
      <c r="P511" s="115"/>
      <c r="Q511" s="115"/>
      <c r="R511" s="115"/>
      <c r="S511" s="115"/>
      <c r="T511" s="115"/>
      <c r="U511" s="115"/>
      <c r="V511" s="115"/>
    </row>
    <row r="512" spans="1:26" ht="12.75" customHeight="1" x14ac:dyDescent="0.25">
      <c r="D512" s="411"/>
      <c r="E512" s="544" t="s">
        <v>5301</v>
      </c>
      <c r="F512" s="115"/>
      <c r="G512" s="115"/>
      <c r="H512" s="115"/>
      <c r="I512" s="115"/>
      <c r="J512" s="114"/>
      <c r="K512" s="114"/>
      <c r="L512" s="544">
        <v>354</v>
      </c>
      <c r="M512" s="544">
        <v>758</v>
      </c>
      <c r="N512" s="544">
        <v>1199</v>
      </c>
      <c r="O512" s="114"/>
      <c r="P512" s="115"/>
      <c r="Q512" s="115"/>
      <c r="R512" s="115"/>
      <c r="S512" s="115"/>
      <c r="T512" s="115"/>
      <c r="U512" s="115"/>
      <c r="V512" s="115"/>
    </row>
    <row r="513" spans="4:22" ht="12.75" customHeight="1" thickBot="1" x14ac:dyDescent="0.3">
      <c r="D513" s="301"/>
      <c r="E513" s="115" t="s">
        <v>2932</v>
      </c>
      <c r="F513" s="115"/>
      <c r="G513" s="115"/>
      <c r="H513" s="115"/>
      <c r="I513" s="115"/>
      <c r="J513" s="1744">
        <v>169071.18</v>
      </c>
      <c r="K513" s="1744">
        <v>178541.11</v>
      </c>
      <c r="L513" s="1744">
        <f>SUM(L474:L512)</f>
        <v>186857.09</v>
      </c>
      <c r="M513" s="1744">
        <f>SUM(M474:M512)</f>
        <v>197031.3</v>
      </c>
      <c r="N513" s="1744">
        <f>SUM(N474:N512)</f>
        <v>206491.34000000003</v>
      </c>
      <c r="O513" s="1744">
        <f>SUM(O474:O512)</f>
        <v>215912.43</v>
      </c>
      <c r="P513" s="115"/>
      <c r="Q513" s="115"/>
      <c r="R513" s="115"/>
      <c r="S513" s="115"/>
      <c r="T513" s="115"/>
      <c r="U513" s="115"/>
      <c r="V513" s="115"/>
    </row>
    <row r="514" spans="4:22" ht="12.75" customHeight="1" thickTop="1" x14ac:dyDescent="0.25">
      <c r="D514" s="301"/>
      <c r="E514" s="115"/>
      <c r="F514" s="115"/>
      <c r="G514" s="115"/>
      <c r="H514" s="115"/>
      <c r="I514" s="115"/>
      <c r="J514" s="114"/>
      <c r="K514" s="114"/>
      <c r="L514" s="114"/>
      <c r="M514" s="114"/>
      <c r="N514" s="114"/>
      <c r="O514" s="114"/>
      <c r="P514" s="114"/>
      <c r="Q514" s="114"/>
      <c r="R514" s="115"/>
      <c r="S514" s="115"/>
      <c r="T514" s="115"/>
      <c r="U514" s="115"/>
      <c r="V514" s="115"/>
    </row>
    <row r="515" spans="4:22" ht="12.75" customHeight="1" x14ac:dyDescent="0.25">
      <c r="D515" s="143">
        <v>43802</v>
      </c>
      <c r="E515" s="115" t="s">
        <v>2933</v>
      </c>
      <c r="F515" s="115"/>
      <c r="G515" s="115"/>
      <c r="H515" s="115"/>
      <c r="I515" s="115"/>
      <c r="J515" s="396"/>
      <c r="K515" s="396"/>
      <c r="L515" s="396"/>
      <c r="M515" s="396"/>
      <c r="N515" s="396"/>
      <c r="O515" s="396"/>
      <c r="P515" s="114"/>
      <c r="Q515" s="114"/>
      <c r="R515" s="115"/>
      <c r="S515" s="115"/>
      <c r="T515" s="115"/>
      <c r="U515" s="115"/>
      <c r="V515" s="115"/>
    </row>
    <row r="516" spans="4:22" ht="12.75" customHeight="1" x14ac:dyDescent="0.25">
      <c r="D516" s="143"/>
      <c r="E516" s="115"/>
      <c r="F516" s="115"/>
      <c r="G516" s="115"/>
      <c r="H516" s="115"/>
      <c r="I516" s="115"/>
      <c r="J516" s="396"/>
      <c r="K516" s="396"/>
      <c r="L516" s="396"/>
      <c r="M516" s="396"/>
      <c r="N516" s="396"/>
      <c r="O516" s="396"/>
      <c r="P516" s="115"/>
      <c r="Q516" s="115"/>
      <c r="R516" s="115"/>
      <c r="S516" s="115"/>
      <c r="T516" s="115"/>
      <c r="U516" s="115"/>
      <c r="V516" s="115"/>
    </row>
    <row r="517" spans="4:22" ht="12.75" customHeight="1" x14ac:dyDescent="0.25">
      <c r="D517" s="143"/>
      <c r="E517" s="381" t="s">
        <v>2934</v>
      </c>
      <c r="F517" s="115"/>
      <c r="G517" s="115"/>
      <c r="H517" s="115"/>
      <c r="I517" s="115"/>
      <c r="J517" s="1190"/>
      <c r="K517" s="1190"/>
      <c r="L517" s="1190"/>
      <c r="M517" s="1190"/>
      <c r="N517" s="1190"/>
      <c r="O517" s="1190"/>
      <c r="P517" s="115"/>
      <c r="Q517" s="115"/>
      <c r="R517" s="115"/>
      <c r="S517" s="115"/>
      <c r="T517" s="115"/>
      <c r="U517" s="115"/>
      <c r="V517" s="115"/>
    </row>
    <row r="518" spans="4:22" ht="12.75" customHeight="1" x14ac:dyDescent="0.25">
      <c r="D518" s="381" t="s">
        <v>2935</v>
      </c>
      <c r="E518" s="308"/>
      <c r="F518" s="308"/>
      <c r="G518" s="115"/>
      <c r="H518" s="308"/>
      <c r="I518" s="308"/>
      <c r="J518" s="114"/>
      <c r="K518" s="114"/>
      <c r="L518" s="114"/>
      <c r="M518" s="114"/>
      <c r="N518" s="114"/>
      <c r="O518" s="114"/>
      <c r="P518" s="115"/>
      <c r="Q518" s="115"/>
      <c r="R518" s="115"/>
      <c r="S518" s="115"/>
      <c r="T518" s="115"/>
      <c r="U518" s="115"/>
      <c r="V518" s="115"/>
    </row>
    <row r="519" spans="4:22" ht="12.75" customHeight="1" x14ac:dyDescent="0.25">
      <c r="D519" s="301">
        <v>6600</v>
      </c>
      <c r="E519" s="115" t="s">
        <v>2936</v>
      </c>
      <c r="F519" s="115"/>
      <c r="G519" s="1236">
        <v>0.15304000000000001</v>
      </c>
      <c r="H519" s="1236"/>
      <c r="I519" s="1236"/>
      <c r="J519" s="398">
        <v>12120.768</v>
      </c>
      <c r="K519" s="398"/>
      <c r="L519" s="398"/>
      <c r="M519" s="398"/>
      <c r="N519" s="398"/>
      <c r="O519" s="398"/>
      <c r="P519" s="115"/>
      <c r="Q519" s="115"/>
      <c r="R519" s="115"/>
      <c r="S519" s="115"/>
      <c r="T519" s="115"/>
      <c r="U519" s="115"/>
      <c r="V519" s="115"/>
    </row>
    <row r="520" spans="4:22" ht="12.75" customHeight="1" x14ac:dyDescent="0.25">
      <c r="D520" s="301">
        <v>6600</v>
      </c>
      <c r="E520" s="115" t="s">
        <v>2936</v>
      </c>
      <c r="F520" s="115"/>
      <c r="G520" s="1236">
        <f>ROUND(G519*S$2,5)</f>
        <v>0.15701999999999999</v>
      </c>
      <c r="H520" s="1236"/>
      <c r="I520" s="1236"/>
      <c r="J520" s="398"/>
      <c r="K520" s="398">
        <v>12435.983999999999</v>
      </c>
      <c r="L520" s="398"/>
      <c r="M520" s="398"/>
      <c r="N520" s="398"/>
      <c r="O520" s="398"/>
      <c r="P520" s="115"/>
      <c r="Q520" s="115"/>
      <c r="R520" s="115"/>
      <c r="S520" s="115"/>
      <c r="T520" s="115"/>
      <c r="U520" s="115"/>
      <c r="V520" s="115"/>
    </row>
    <row r="521" spans="4:22" ht="12.75" customHeight="1" x14ac:dyDescent="0.25">
      <c r="D521" s="301">
        <v>6600</v>
      </c>
      <c r="E521" s="115" t="s">
        <v>2936</v>
      </c>
      <c r="F521" s="115"/>
      <c r="G521" s="1236">
        <f>ROUND(G520*T$2,5)</f>
        <v>0.16031999999999999</v>
      </c>
      <c r="H521" s="1236"/>
      <c r="I521" s="1236"/>
      <c r="J521" s="398"/>
      <c r="K521" s="398"/>
      <c r="L521" s="398">
        <f>+D521*G521*12</f>
        <v>12697.343999999997</v>
      </c>
      <c r="M521" s="398"/>
      <c r="N521" s="398"/>
      <c r="O521" s="398"/>
      <c r="P521" s="115"/>
      <c r="Q521" s="115"/>
      <c r="R521" s="115"/>
      <c r="S521" s="115"/>
      <c r="T521" s="115"/>
      <c r="U521" s="115"/>
      <c r="V521" s="115"/>
    </row>
    <row r="522" spans="4:22" ht="12.75" customHeight="1" x14ac:dyDescent="0.25">
      <c r="D522" s="301">
        <v>6600</v>
      </c>
      <c r="E522" s="115" t="s">
        <v>2936</v>
      </c>
      <c r="F522" s="115"/>
      <c r="G522" s="1236">
        <f>ROUND(G521*U$2,5)</f>
        <v>0.16400999999999999</v>
      </c>
      <c r="H522" s="1236"/>
      <c r="I522" s="1236"/>
      <c r="J522" s="398"/>
      <c r="K522" s="398"/>
      <c r="L522" s="398"/>
      <c r="M522" s="398">
        <f>+D522*G522*12</f>
        <v>12989.591999999999</v>
      </c>
      <c r="N522" s="398"/>
      <c r="O522" s="398"/>
      <c r="P522" s="115"/>
      <c r="Q522" s="115"/>
      <c r="R522" s="115"/>
      <c r="S522" s="115"/>
      <c r="T522" s="115"/>
      <c r="U522" s="115"/>
      <c r="V522" s="115"/>
    </row>
    <row r="523" spans="4:22" ht="12.75" customHeight="1" x14ac:dyDescent="0.25">
      <c r="D523" s="301">
        <v>6600</v>
      </c>
      <c r="E523" s="115" t="s">
        <v>2936</v>
      </c>
      <c r="F523" s="115"/>
      <c r="G523" s="1236">
        <f>ROUND(G522*V$2,5)</f>
        <v>0.16778000000000001</v>
      </c>
      <c r="H523" s="1236"/>
      <c r="I523" s="1236"/>
      <c r="J523" s="398"/>
      <c r="K523" s="398"/>
      <c r="L523" s="398"/>
      <c r="M523" s="114"/>
      <c r="N523" s="114">
        <f>+D523*G523*12</f>
        <v>13288.176000000003</v>
      </c>
      <c r="O523" s="114"/>
      <c r="P523" s="115"/>
      <c r="Q523" s="115"/>
      <c r="R523" s="115"/>
      <c r="S523" s="115"/>
      <c r="T523" s="115"/>
      <c r="U523" s="115"/>
      <c r="V523" s="115"/>
    </row>
    <row r="524" spans="4:22" ht="12.75" customHeight="1" x14ac:dyDescent="0.25">
      <c r="D524" s="2055">
        <v>6600</v>
      </c>
      <c r="E524" s="358" t="s">
        <v>2936</v>
      </c>
      <c r="F524" s="358"/>
      <c r="G524" s="2058">
        <f>ROUND(G523*W$2,5)</f>
        <v>0.17163999999999999</v>
      </c>
      <c r="H524" s="1236"/>
      <c r="I524" s="1236"/>
      <c r="J524" s="398"/>
      <c r="K524" s="398"/>
      <c r="L524" s="398"/>
      <c r="M524" s="114"/>
      <c r="N524" s="114"/>
      <c r="O524" s="114">
        <f>+D524*G524*12</f>
        <v>13593.887999999999</v>
      </c>
      <c r="P524" s="115"/>
      <c r="Q524" s="115"/>
      <c r="R524" s="115"/>
      <c r="S524" s="115"/>
      <c r="T524" s="115"/>
      <c r="U524" s="115"/>
      <c r="V524" s="115"/>
    </row>
    <row r="525" spans="4:22" ht="12.75" customHeight="1" x14ac:dyDescent="0.25">
      <c r="D525" s="115"/>
      <c r="E525" s="308"/>
      <c r="F525" s="115"/>
      <c r="G525" s="114"/>
      <c r="H525" s="114"/>
      <c r="I525" s="114"/>
      <c r="J525" s="114"/>
      <c r="K525" s="114"/>
      <c r="L525" s="114"/>
      <c r="M525" s="114"/>
      <c r="N525" s="114"/>
      <c r="O525" s="114"/>
      <c r="P525" s="115"/>
      <c r="Q525" s="115"/>
      <c r="R525" s="115"/>
      <c r="S525" s="115"/>
      <c r="T525" s="115"/>
      <c r="U525" s="115"/>
      <c r="V525" s="115"/>
    </row>
    <row r="526" spans="4:22" ht="12.75" customHeight="1" x14ac:dyDescent="0.25">
      <c r="D526" s="381" t="s">
        <v>2937</v>
      </c>
      <c r="E526" s="308"/>
      <c r="F526" s="115"/>
      <c r="G526" s="396"/>
      <c r="H526" s="396"/>
      <c r="I526" s="396"/>
      <c r="J526" s="396"/>
      <c r="K526" s="396"/>
      <c r="L526" s="396"/>
      <c r="M526" s="396"/>
      <c r="N526" s="396"/>
      <c r="O526" s="396"/>
      <c r="P526" s="115"/>
      <c r="Q526" s="115"/>
      <c r="R526" s="115"/>
      <c r="S526" s="115"/>
      <c r="T526" s="115"/>
      <c r="U526" s="115"/>
      <c r="V526" s="115"/>
    </row>
    <row r="527" spans="4:22" ht="12.75" customHeight="1" x14ac:dyDescent="0.25">
      <c r="D527" s="301">
        <v>6600</v>
      </c>
      <c r="E527" s="115" t="s">
        <v>2936</v>
      </c>
      <c r="F527" s="115"/>
      <c r="G527" s="1236">
        <v>2.743E-2</v>
      </c>
      <c r="H527" s="1236"/>
      <c r="I527" s="1236"/>
      <c r="J527" s="398">
        <v>2172.4560000000001</v>
      </c>
      <c r="K527" s="398"/>
      <c r="L527" s="398"/>
      <c r="M527" s="398"/>
      <c r="N527" s="398"/>
      <c r="O527" s="398"/>
      <c r="P527" s="115"/>
      <c r="Q527" s="115"/>
      <c r="R527" s="115"/>
      <c r="S527" s="115"/>
      <c r="T527" s="115"/>
      <c r="U527" s="115"/>
      <c r="V527" s="115"/>
    </row>
    <row r="528" spans="4:22" ht="12.75" customHeight="1" x14ac:dyDescent="0.25">
      <c r="D528" s="301">
        <v>6600</v>
      </c>
      <c r="E528" s="115" t="s">
        <v>2936</v>
      </c>
      <c r="F528" s="115"/>
      <c r="G528" s="1236">
        <f>ROUND(G527*S$2,5)</f>
        <v>2.8139999999999998E-2</v>
      </c>
      <c r="H528" s="1236"/>
      <c r="I528" s="1236"/>
      <c r="J528" s="398"/>
      <c r="K528" s="398">
        <v>2228.6880000000001</v>
      </c>
      <c r="L528" s="398"/>
      <c r="M528" s="398"/>
      <c r="N528" s="398"/>
      <c r="O528" s="398"/>
      <c r="P528" s="115"/>
      <c r="Q528" s="115"/>
      <c r="R528" s="115"/>
      <c r="S528" s="115"/>
      <c r="T528" s="115"/>
      <c r="U528" s="115"/>
      <c r="V528" s="115"/>
    </row>
    <row r="529" spans="4:22" ht="12.75" customHeight="1" x14ac:dyDescent="0.25">
      <c r="D529" s="301">
        <v>6600</v>
      </c>
      <c r="E529" s="115" t="s">
        <v>2936</v>
      </c>
      <c r="F529" s="115"/>
      <c r="G529" s="1236">
        <f>ROUND(G528*T$2,5)</f>
        <v>2.8729999999999999E-2</v>
      </c>
      <c r="H529" s="1236"/>
      <c r="I529" s="1236"/>
      <c r="J529" s="398"/>
      <c r="K529" s="398"/>
      <c r="L529" s="398">
        <f>+D529*G529*12</f>
        <v>2275.4160000000002</v>
      </c>
      <c r="M529" s="398"/>
      <c r="N529" s="398"/>
      <c r="O529" s="398"/>
      <c r="P529" s="115"/>
      <c r="Q529" s="115"/>
      <c r="R529" s="115"/>
      <c r="S529" s="115"/>
      <c r="T529" s="115"/>
      <c r="U529" s="115"/>
      <c r="V529" s="115"/>
    </row>
    <row r="530" spans="4:22" ht="12.75" customHeight="1" x14ac:dyDescent="0.25">
      <c r="D530" s="301">
        <v>6600</v>
      </c>
      <c r="E530" s="115" t="s">
        <v>2936</v>
      </c>
      <c r="F530" s="115"/>
      <c r="G530" s="1236">
        <f>ROUND(G529*U$2,5)</f>
        <v>2.9389999999999999E-2</v>
      </c>
      <c r="H530" s="1236"/>
      <c r="I530" s="1236"/>
      <c r="J530" s="398"/>
      <c r="K530" s="398"/>
      <c r="L530" s="398"/>
      <c r="M530" s="398">
        <f>+D530*G530*12</f>
        <v>2327.6880000000001</v>
      </c>
      <c r="N530" s="398"/>
      <c r="O530" s="398"/>
      <c r="P530" s="115"/>
      <c r="Q530" s="115"/>
      <c r="R530" s="115"/>
      <c r="S530" s="115"/>
      <c r="T530" s="115"/>
      <c r="U530" s="115"/>
      <c r="V530" s="115"/>
    </row>
    <row r="531" spans="4:22" ht="12.75" customHeight="1" x14ac:dyDescent="0.25">
      <c r="D531" s="301">
        <v>6600</v>
      </c>
      <c r="E531" s="115" t="s">
        <v>2936</v>
      </c>
      <c r="F531" s="115"/>
      <c r="G531" s="1236">
        <f>ROUND(G530*V$2,5)</f>
        <v>3.007E-2</v>
      </c>
      <c r="H531" s="1236"/>
      <c r="I531" s="1236"/>
      <c r="J531" s="398"/>
      <c r="K531" s="398"/>
      <c r="L531" s="398"/>
      <c r="M531" s="114"/>
      <c r="N531" s="114">
        <f>+D531*G531*12</f>
        <v>2381.5439999999999</v>
      </c>
      <c r="O531" s="114"/>
      <c r="P531" s="115"/>
      <c r="Q531" s="115"/>
      <c r="R531" s="115"/>
      <c r="S531" s="115"/>
      <c r="T531" s="115"/>
      <c r="U531" s="115"/>
      <c r="V531" s="115"/>
    </row>
    <row r="532" spans="4:22" ht="12.75" customHeight="1" x14ac:dyDescent="0.25">
      <c r="D532" s="2055">
        <v>6600</v>
      </c>
      <c r="E532" s="358" t="s">
        <v>2936</v>
      </c>
      <c r="F532" s="358"/>
      <c r="G532" s="2058">
        <f>ROUND(G531*W$2,5)</f>
        <v>3.0759999999999999E-2</v>
      </c>
      <c r="H532" s="1236"/>
      <c r="I532" s="1236"/>
      <c r="J532" s="398"/>
      <c r="K532" s="398"/>
      <c r="L532" s="398"/>
      <c r="M532" s="114"/>
      <c r="N532" s="114"/>
      <c r="O532" s="114">
        <f>+D532*G532*12</f>
        <v>2436.192</v>
      </c>
      <c r="P532" s="115"/>
      <c r="Q532" s="115"/>
      <c r="R532" s="115"/>
      <c r="S532" s="115"/>
      <c r="T532" s="115"/>
      <c r="U532" s="115"/>
      <c r="V532" s="115"/>
    </row>
    <row r="533" spans="4:22" ht="12.75" customHeight="1" x14ac:dyDescent="0.25">
      <c r="D533" s="114"/>
      <c r="E533" s="308"/>
      <c r="F533" s="115"/>
      <c r="G533" s="114"/>
      <c r="H533" s="114"/>
      <c r="I533" s="114"/>
      <c r="J533" s="114"/>
      <c r="K533" s="114"/>
      <c r="L533" s="114"/>
      <c r="M533" s="114"/>
      <c r="N533" s="114"/>
      <c r="O533" s="114"/>
      <c r="P533" s="115"/>
      <c r="Q533" s="115"/>
      <c r="R533" s="115"/>
      <c r="S533" s="115"/>
      <c r="T533" s="115"/>
      <c r="U533" s="115"/>
      <c r="V533" s="115"/>
    </row>
    <row r="534" spans="4:22" ht="12.75" customHeight="1" x14ac:dyDescent="0.25">
      <c r="D534" s="381" t="s">
        <v>2938</v>
      </c>
      <c r="E534" s="115"/>
      <c r="F534" s="115"/>
      <c r="G534" s="115"/>
      <c r="H534" s="115"/>
      <c r="I534" s="115"/>
      <c r="J534" s="531"/>
      <c r="K534" s="531"/>
      <c r="L534" s="531"/>
      <c r="M534" s="531"/>
      <c r="N534" s="531"/>
      <c r="O534" s="531"/>
      <c r="P534" s="115"/>
      <c r="Q534" s="115"/>
      <c r="R534" s="115"/>
      <c r="S534" s="115"/>
      <c r="T534" s="115"/>
      <c r="U534" s="115"/>
      <c r="V534" s="115"/>
    </row>
    <row r="535" spans="4:22" ht="12.75" customHeight="1" x14ac:dyDescent="0.25">
      <c r="D535" s="301">
        <v>6600</v>
      </c>
      <c r="E535" s="115" t="s">
        <v>2936</v>
      </c>
      <c r="F535" s="115"/>
      <c r="G535" s="1236">
        <v>5.7689999999999998E-2</v>
      </c>
      <c r="H535" s="1236"/>
      <c r="I535" s="1236"/>
      <c r="J535" s="398">
        <v>4569.0479999999998</v>
      </c>
      <c r="K535" s="398"/>
      <c r="L535" s="398"/>
      <c r="M535" s="398"/>
      <c r="N535" s="398"/>
      <c r="O535" s="398"/>
      <c r="P535" s="115"/>
      <c r="Q535" s="115"/>
      <c r="R535" s="115"/>
      <c r="S535" s="115"/>
      <c r="T535" s="115"/>
      <c r="U535" s="115"/>
      <c r="V535" s="115"/>
    </row>
    <row r="536" spans="4:22" ht="12.75" customHeight="1" x14ac:dyDescent="0.25">
      <c r="D536" s="301">
        <v>6600</v>
      </c>
      <c r="E536" s="115" t="s">
        <v>2936</v>
      </c>
      <c r="F536" s="115"/>
      <c r="G536" s="1236">
        <f>ROUND(G535*S$2,5)</f>
        <v>5.919E-2</v>
      </c>
      <c r="H536" s="1236"/>
      <c r="I536" s="1236"/>
      <c r="J536" s="398"/>
      <c r="K536" s="398">
        <v>4687.848</v>
      </c>
      <c r="L536" s="398"/>
      <c r="M536" s="398"/>
      <c r="N536" s="398"/>
      <c r="O536" s="398"/>
      <c r="P536" s="115"/>
      <c r="Q536" s="115"/>
      <c r="R536" s="115"/>
      <c r="S536" s="115"/>
      <c r="T536" s="115"/>
      <c r="U536" s="115"/>
      <c r="V536" s="115"/>
    </row>
    <row r="537" spans="4:22" ht="12.75" customHeight="1" x14ac:dyDescent="0.25">
      <c r="D537" s="301">
        <v>6600</v>
      </c>
      <c r="E537" s="115" t="s">
        <v>2936</v>
      </c>
      <c r="F537" s="115"/>
      <c r="G537" s="1236">
        <f>ROUND(G536*T$2,5)</f>
        <v>6.0429999999999998E-2</v>
      </c>
      <c r="H537" s="1236"/>
      <c r="I537" s="1236"/>
      <c r="J537" s="398"/>
      <c r="K537" s="398"/>
      <c r="L537" s="398">
        <f>+D537*G537*12</f>
        <v>4786.0559999999996</v>
      </c>
      <c r="M537" s="398"/>
      <c r="N537" s="398"/>
      <c r="O537" s="398"/>
      <c r="P537" s="115"/>
      <c r="Q537" s="115"/>
      <c r="R537" s="115"/>
      <c r="S537" s="115"/>
      <c r="T537" s="115"/>
      <c r="U537" s="115"/>
      <c r="V537" s="115"/>
    </row>
    <row r="538" spans="4:22" ht="12.75" customHeight="1" x14ac:dyDescent="0.25">
      <c r="D538" s="301">
        <v>6600</v>
      </c>
      <c r="E538" s="115" t="s">
        <v>2936</v>
      </c>
      <c r="F538" s="115"/>
      <c r="G538" s="1236">
        <f>ROUND(G537*U$2,5)</f>
        <v>6.182E-2</v>
      </c>
      <c r="H538" s="1236"/>
      <c r="I538" s="1236"/>
      <c r="J538" s="398"/>
      <c r="K538" s="398"/>
      <c r="L538" s="398"/>
      <c r="M538" s="398">
        <f>+D538*G538*12</f>
        <v>4896.1440000000002</v>
      </c>
      <c r="N538" s="398"/>
      <c r="O538" s="398"/>
      <c r="P538" s="115"/>
      <c r="Q538" s="115"/>
      <c r="R538" s="115"/>
      <c r="S538" s="115"/>
      <c r="T538" s="115"/>
      <c r="U538" s="115"/>
      <c r="V538" s="115"/>
    </row>
    <row r="539" spans="4:22" ht="12.75" customHeight="1" x14ac:dyDescent="0.25">
      <c r="D539" s="301">
        <v>6600</v>
      </c>
      <c r="E539" s="115" t="s">
        <v>2936</v>
      </c>
      <c r="F539" s="115"/>
      <c r="G539" s="1236">
        <f>ROUND(G538*V$2,5)</f>
        <v>6.3240000000000005E-2</v>
      </c>
      <c r="H539" s="1236"/>
      <c r="I539" s="1236"/>
      <c r="J539" s="398"/>
      <c r="K539" s="398"/>
      <c r="L539" s="398"/>
      <c r="M539" s="114"/>
      <c r="N539" s="114">
        <f>+D539*G539*12</f>
        <v>5008.6080000000002</v>
      </c>
      <c r="O539" s="114"/>
      <c r="P539" s="115"/>
      <c r="Q539" s="115"/>
      <c r="R539" s="115"/>
      <c r="S539" s="115"/>
      <c r="T539" s="115"/>
      <c r="U539" s="115"/>
      <c r="V539" s="115"/>
    </row>
    <row r="540" spans="4:22" ht="12.75" customHeight="1" x14ac:dyDescent="0.25">
      <c r="D540" s="2055">
        <v>6600</v>
      </c>
      <c r="E540" s="358" t="s">
        <v>2936</v>
      </c>
      <c r="F540" s="358"/>
      <c r="G540" s="2058">
        <f>ROUND(G539*W$2,5)</f>
        <v>6.4689999999999998E-2</v>
      </c>
      <c r="H540" s="1236"/>
      <c r="I540" s="1236"/>
      <c r="J540" s="398"/>
      <c r="K540" s="398"/>
      <c r="L540" s="398"/>
      <c r="M540" s="114"/>
      <c r="N540" s="114"/>
      <c r="O540" s="114">
        <f>+D540*G540*12</f>
        <v>5123.4480000000003</v>
      </c>
      <c r="P540" s="115"/>
      <c r="Q540" s="115"/>
      <c r="R540" s="115"/>
      <c r="S540" s="115"/>
      <c r="T540" s="115"/>
      <c r="U540" s="115"/>
      <c r="V540" s="115"/>
    </row>
    <row r="541" spans="4:22" ht="12.75" customHeight="1" x14ac:dyDescent="0.25">
      <c r="D541" s="115"/>
      <c r="E541" s="308"/>
      <c r="F541" s="115"/>
      <c r="G541" s="398"/>
      <c r="H541" s="398"/>
      <c r="I541" s="398"/>
      <c r="J541" s="398"/>
      <c r="K541" s="398"/>
      <c r="L541" s="398"/>
      <c r="M541" s="398"/>
      <c r="N541" s="398"/>
      <c r="O541" s="398"/>
      <c r="P541" s="115"/>
      <c r="Q541" s="115"/>
      <c r="R541" s="115"/>
      <c r="S541" s="115"/>
      <c r="T541" s="115"/>
      <c r="U541" s="115"/>
      <c r="V541" s="115"/>
    </row>
    <row r="542" spans="4:22" ht="12.75" customHeight="1" x14ac:dyDescent="0.25">
      <c r="D542" s="381" t="s">
        <v>2939</v>
      </c>
      <c r="E542" s="115"/>
      <c r="F542" s="115"/>
      <c r="G542" s="115"/>
      <c r="H542" s="115"/>
      <c r="I542" s="115"/>
      <c r="J542" s="115"/>
      <c r="K542" s="115"/>
      <c r="L542" s="115"/>
      <c r="M542" s="115"/>
      <c r="N542" s="115"/>
      <c r="O542" s="115"/>
      <c r="P542" s="115"/>
      <c r="Q542" s="115"/>
      <c r="R542" s="115"/>
      <c r="S542" s="115"/>
      <c r="T542" s="115"/>
      <c r="U542" s="115"/>
      <c r="V542" s="115"/>
    </row>
    <row r="543" spans="4:22" ht="12.75" customHeight="1" x14ac:dyDescent="0.25">
      <c r="D543" s="301">
        <v>6600</v>
      </c>
      <c r="E543" s="115" t="s">
        <v>2936</v>
      </c>
      <c r="F543" s="115"/>
      <c r="G543" s="1236">
        <v>0.38663999999999998</v>
      </c>
      <c r="H543" s="398"/>
      <c r="I543" s="398"/>
      <c r="J543" s="398">
        <v>30621.887999999999</v>
      </c>
      <c r="K543" s="398"/>
      <c r="L543" s="398"/>
      <c r="M543" s="398"/>
      <c r="N543" s="398"/>
      <c r="O543" s="398"/>
      <c r="P543" s="115"/>
      <c r="Q543" s="115"/>
      <c r="R543" s="115"/>
      <c r="S543" s="115"/>
      <c r="T543" s="115"/>
      <c r="U543" s="115"/>
      <c r="V543" s="115"/>
    </row>
    <row r="544" spans="4:22" ht="12.75" customHeight="1" x14ac:dyDescent="0.25">
      <c r="D544" s="301">
        <v>6600</v>
      </c>
      <c r="E544" s="115" t="s">
        <v>2936</v>
      </c>
      <c r="F544" s="308"/>
      <c r="G544" s="1236">
        <f>ROUND(G543*S$2,5)</f>
        <v>0.39668999999999999</v>
      </c>
      <c r="H544" s="398"/>
      <c r="I544" s="398"/>
      <c r="J544" s="398"/>
      <c r="K544" s="398">
        <v>31417.847999999998</v>
      </c>
      <c r="L544" s="398"/>
      <c r="M544" s="398"/>
      <c r="N544" s="398"/>
      <c r="O544" s="398"/>
      <c r="P544" s="115"/>
      <c r="Q544" s="115"/>
      <c r="R544" s="115"/>
      <c r="S544" s="115"/>
      <c r="T544" s="115"/>
      <c r="U544" s="115"/>
      <c r="V544" s="115"/>
    </row>
    <row r="545" spans="4:22" ht="12.75" customHeight="1" x14ac:dyDescent="0.25">
      <c r="D545" s="301">
        <v>6600</v>
      </c>
      <c r="E545" s="115" t="s">
        <v>2936</v>
      </c>
      <c r="F545" s="308"/>
      <c r="G545" s="1236">
        <f>ROUND(G544*T$2,5)</f>
        <v>0.40501999999999999</v>
      </c>
      <c r="H545" s="398"/>
      <c r="I545" s="398"/>
      <c r="J545" s="398"/>
      <c r="K545" s="398"/>
      <c r="L545" s="398">
        <f>+D545*G545*12</f>
        <v>32077.584000000003</v>
      </c>
      <c r="M545" s="398"/>
      <c r="N545" s="398"/>
      <c r="O545" s="398"/>
      <c r="P545" s="115"/>
      <c r="Q545" s="115"/>
      <c r="R545" s="115"/>
      <c r="S545" s="115"/>
      <c r="T545" s="115"/>
      <c r="U545" s="115"/>
      <c r="V545" s="115"/>
    </row>
    <row r="546" spans="4:22" ht="12.75" customHeight="1" x14ac:dyDescent="0.25">
      <c r="D546" s="301">
        <v>6600</v>
      </c>
      <c r="E546" s="115" t="s">
        <v>2936</v>
      </c>
      <c r="F546" s="308"/>
      <c r="G546" s="1236">
        <f>ROUND(G545*U$2,5)</f>
        <v>0.41433999999999999</v>
      </c>
      <c r="H546" s="398"/>
      <c r="I546" s="398"/>
      <c r="J546" s="398"/>
      <c r="K546" s="398"/>
      <c r="L546" s="398"/>
      <c r="M546" s="398">
        <f>+D546*G546*12</f>
        <v>32815.727999999996</v>
      </c>
      <c r="N546" s="398"/>
      <c r="O546" s="398"/>
      <c r="P546" s="115"/>
      <c r="Q546" s="115"/>
      <c r="R546" s="115"/>
      <c r="S546" s="115"/>
      <c r="T546" s="115"/>
      <c r="U546" s="115"/>
      <c r="V546" s="115"/>
    </row>
    <row r="547" spans="4:22" ht="12.75" customHeight="1" x14ac:dyDescent="0.25">
      <c r="D547" s="301">
        <v>6600</v>
      </c>
      <c r="E547" s="115" t="s">
        <v>2936</v>
      </c>
      <c r="F547" s="308"/>
      <c r="G547" s="1236">
        <f>ROUND(G546*V$2,5)</f>
        <v>0.42387000000000002</v>
      </c>
      <c r="H547" s="398"/>
      <c r="I547" s="398"/>
      <c r="J547" s="398"/>
      <c r="K547" s="398"/>
      <c r="L547" s="398"/>
      <c r="M547" s="114"/>
      <c r="N547" s="114">
        <f>+D547*G547*12</f>
        <v>33570.504000000001</v>
      </c>
      <c r="O547" s="114"/>
      <c r="P547" s="115"/>
      <c r="Q547" s="115"/>
      <c r="R547" s="115"/>
      <c r="S547" s="115"/>
      <c r="T547" s="115"/>
      <c r="U547" s="115"/>
      <c r="V547" s="115"/>
    </row>
    <row r="548" spans="4:22" ht="12.75" customHeight="1" x14ac:dyDescent="0.25">
      <c r="D548" s="2055">
        <v>6600</v>
      </c>
      <c r="E548" s="358" t="s">
        <v>2936</v>
      </c>
      <c r="F548" s="2059"/>
      <c r="G548" s="2058">
        <f>ROUND(G547*W$2,5)</f>
        <v>0.43362000000000001</v>
      </c>
      <c r="H548" s="398"/>
      <c r="I548" s="398"/>
      <c r="J548" s="398"/>
      <c r="K548" s="398"/>
      <c r="L548" s="398"/>
      <c r="M548" s="114"/>
      <c r="N548" s="114"/>
      <c r="O548" s="114">
        <f>+D548*G548*12</f>
        <v>34342.703999999998</v>
      </c>
      <c r="P548" s="115"/>
      <c r="Q548" s="115"/>
      <c r="R548" s="115"/>
      <c r="S548" s="115"/>
      <c r="T548" s="115"/>
      <c r="U548" s="115"/>
      <c r="V548" s="115"/>
    </row>
    <row r="549" spans="4:22" ht="12.75" customHeight="1" x14ac:dyDescent="0.25">
      <c r="D549" s="301"/>
      <c r="E549" s="115"/>
      <c r="F549" s="308"/>
      <c r="G549" s="398"/>
      <c r="H549" s="398"/>
      <c r="I549" s="398"/>
      <c r="J549" s="398"/>
      <c r="K549" s="398"/>
      <c r="L549" s="398"/>
      <c r="M549" s="398"/>
      <c r="N549" s="114"/>
      <c r="O549" s="114"/>
      <c r="P549" s="115"/>
      <c r="Q549" s="115"/>
      <c r="R549" s="115"/>
      <c r="S549" s="115"/>
      <c r="T549" s="115"/>
      <c r="U549" s="115"/>
      <c r="V549" s="115"/>
    </row>
    <row r="550" spans="4:22" ht="12.75" customHeight="1" x14ac:dyDescent="0.25">
      <c r="D550" s="381" t="s">
        <v>2940</v>
      </c>
      <c r="E550" s="115"/>
      <c r="F550" s="115"/>
      <c r="G550" s="115"/>
      <c r="H550" s="115"/>
      <c r="I550" s="115"/>
      <c r="J550" s="1190"/>
      <c r="K550" s="1190"/>
      <c r="L550" s="1190"/>
      <c r="M550" s="1190"/>
      <c r="N550" s="1190"/>
      <c r="O550" s="1190"/>
      <c r="P550" s="115"/>
      <c r="Q550" s="115"/>
      <c r="R550" s="115"/>
      <c r="S550" s="115"/>
      <c r="T550" s="115"/>
      <c r="U550" s="115"/>
      <c r="V550" s="115"/>
    </row>
    <row r="551" spans="4:22" ht="12.75" customHeight="1" x14ac:dyDescent="0.25">
      <c r="D551" s="301">
        <v>113</v>
      </c>
      <c r="E551" s="115" t="s">
        <v>2941</v>
      </c>
      <c r="F551" s="115"/>
      <c r="G551" s="1236">
        <v>2.7460260000000001</v>
      </c>
      <c r="H551" s="1236"/>
      <c r="I551" s="1236"/>
      <c r="J551" s="398">
        <v>3723.6112560000001</v>
      </c>
      <c r="K551" s="398"/>
      <c r="L551" s="398"/>
      <c r="M551" s="398"/>
      <c r="N551" s="398"/>
      <c r="O551" s="398"/>
      <c r="P551" s="115"/>
      <c r="Q551" s="115"/>
      <c r="R551" s="115"/>
      <c r="S551" s="115"/>
      <c r="T551" s="115"/>
      <c r="U551" s="115"/>
      <c r="V551" s="115"/>
    </row>
    <row r="552" spans="4:22" ht="12.75" customHeight="1" x14ac:dyDescent="0.25">
      <c r="D552" s="301">
        <v>113</v>
      </c>
      <c r="E552" s="115" t="s">
        <v>2941</v>
      </c>
      <c r="F552" s="115"/>
      <c r="G552" s="1236">
        <f>ROUND(G551*S$2,6)</f>
        <v>2.8174229999999998</v>
      </c>
      <c r="H552" s="1236"/>
      <c r="I552" s="1236"/>
      <c r="J552" s="398"/>
      <c r="K552" s="398">
        <v>3820.4255879999996</v>
      </c>
      <c r="L552" s="398"/>
      <c r="M552" s="398"/>
      <c r="N552" s="398"/>
      <c r="O552" s="398"/>
      <c r="P552" s="115"/>
      <c r="Q552" s="115"/>
      <c r="R552" s="115"/>
      <c r="S552" s="115"/>
      <c r="T552" s="115"/>
      <c r="U552" s="115"/>
      <c r="V552" s="115"/>
    </row>
    <row r="553" spans="4:22" ht="12.75" customHeight="1" x14ac:dyDescent="0.25">
      <c r="D553" s="301">
        <v>113</v>
      </c>
      <c r="E553" s="115" t="s">
        <v>2941</v>
      </c>
      <c r="F553" s="115"/>
      <c r="G553" s="1236">
        <f>ROUND(G552*T$2,6)</f>
        <v>2.8765890000000001</v>
      </c>
      <c r="H553" s="1236"/>
      <c r="I553" s="1236"/>
      <c r="J553" s="398"/>
      <c r="K553" s="398"/>
      <c r="L553" s="398">
        <f>D553*G553*12</f>
        <v>3900.6546840000001</v>
      </c>
      <c r="M553" s="398"/>
      <c r="N553" s="398"/>
      <c r="O553" s="398"/>
      <c r="P553" s="115"/>
      <c r="Q553" s="115"/>
      <c r="R553" s="115"/>
      <c r="S553" s="115"/>
      <c r="T553" s="115"/>
      <c r="U553" s="115"/>
      <c r="V553" s="115"/>
    </row>
    <row r="554" spans="4:22" ht="12.75" customHeight="1" x14ac:dyDescent="0.25">
      <c r="D554" s="301">
        <v>113</v>
      </c>
      <c r="E554" s="115" t="s">
        <v>2941</v>
      </c>
      <c r="F554" s="115"/>
      <c r="G554" s="1236">
        <f>ROUND(G553*U$2,6)</f>
        <v>2.9427509999999999</v>
      </c>
      <c r="H554" s="1236"/>
      <c r="I554" s="1236"/>
      <c r="J554" s="398"/>
      <c r="K554" s="398"/>
      <c r="L554" s="398"/>
      <c r="M554" s="398">
        <f>+D554*G554*12</f>
        <v>3990.3703560000004</v>
      </c>
      <c r="N554" s="114"/>
      <c r="O554" s="114"/>
      <c r="P554" s="115"/>
      <c r="Q554" s="115"/>
      <c r="R554" s="115"/>
      <c r="S554" s="115"/>
      <c r="T554" s="115"/>
      <c r="U554" s="115"/>
      <c r="V554" s="115"/>
    </row>
    <row r="555" spans="4:22" ht="12.75" customHeight="1" x14ac:dyDescent="0.25">
      <c r="D555" s="301">
        <v>113</v>
      </c>
      <c r="E555" s="115" t="s">
        <v>2941</v>
      </c>
      <c r="F555" s="115"/>
      <c r="G555" s="1236">
        <f>ROUND(G554*V$2,6)</f>
        <v>3.0104340000000001</v>
      </c>
      <c r="H555" s="1236"/>
      <c r="I555" s="1236"/>
      <c r="J555" s="398"/>
      <c r="K555" s="398"/>
      <c r="L555" s="398"/>
      <c r="M555" s="398"/>
      <c r="N555" s="114">
        <f>+D555*G555*12</f>
        <v>4082.1485039999998</v>
      </c>
      <c r="O555" s="114"/>
      <c r="P555" s="115"/>
      <c r="Q555" s="115"/>
      <c r="R555" s="115"/>
      <c r="S555" s="115"/>
      <c r="T555" s="115"/>
      <c r="U555" s="115"/>
      <c r="V555" s="115"/>
    </row>
    <row r="556" spans="4:22" ht="12.75" customHeight="1" x14ac:dyDescent="0.25">
      <c r="D556" s="2055">
        <v>113</v>
      </c>
      <c r="E556" s="358" t="s">
        <v>2941</v>
      </c>
      <c r="F556" s="358"/>
      <c r="G556" s="2058">
        <f>ROUND(G555*W$2,6)</f>
        <v>3.0796739999999998</v>
      </c>
      <c r="H556" s="1236"/>
      <c r="I556" s="1236"/>
      <c r="J556" s="398"/>
      <c r="K556" s="398"/>
      <c r="L556" s="398"/>
      <c r="M556" s="398"/>
      <c r="N556" s="114"/>
      <c r="O556" s="114">
        <f>+D556*G556*12</f>
        <v>4176.0379439999997</v>
      </c>
      <c r="P556" s="115"/>
      <c r="Q556" s="115"/>
      <c r="R556" s="115"/>
      <c r="S556" s="115"/>
      <c r="T556" s="115"/>
      <c r="U556" s="115"/>
      <c r="V556" s="115"/>
    </row>
    <row r="557" spans="4:22" ht="12.75" customHeight="1" x14ac:dyDescent="0.25">
      <c r="D557" s="411"/>
      <c r="E557" s="2150" t="s">
        <v>5301</v>
      </c>
      <c r="F557" s="115"/>
      <c r="G557" s="115"/>
      <c r="H557" s="115"/>
      <c r="I557" s="115"/>
      <c r="J557" s="114"/>
      <c r="K557" s="114"/>
      <c r="L557" s="544">
        <v>50</v>
      </c>
      <c r="M557" s="544">
        <v>102</v>
      </c>
      <c r="N557" s="544">
        <v>157</v>
      </c>
      <c r="O557" s="114"/>
      <c r="P557" s="115"/>
      <c r="Q557" s="115"/>
      <c r="R557" s="115"/>
      <c r="S557" s="115"/>
      <c r="T557" s="115"/>
      <c r="U557" s="115"/>
      <c r="V557" s="115"/>
    </row>
    <row r="558" spans="4:22" ht="12.75" customHeight="1" thickBot="1" x14ac:dyDescent="0.3">
      <c r="D558" s="301"/>
      <c r="E558" s="115" t="s">
        <v>2942</v>
      </c>
      <c r="F558" s="114"/>
      <c r="G558" s="114"/>
      <c r="H558" s="114"/>
      <c r="I558" s="114"/>
      <c r="J558" s="1744">
        <v>53207.771256000007</v>
      </c>
      <c r="K558" s="1744">
        <v>54590.793587999993</v>
      </c>
      <c r="L558" s="1744">
        <f>SUM(L518:L557)</f>
        <v>55787.054684000002</v>
      </c>
      <c r="M558" s="1744">
        <f>SUM(M518:M557)</f>
        <v>57121.522355999994</v>
      </c>
      <c r="N558" s="1744">
        <f>SUM(N518:N557)</f>
        <v>58487.980503999999</v>
      </c>
      <c r="O558" s="1744">
        <f>SUM(O518:O557)</f>
        <v>59672.269944</v>
      </c>
      <c r="P558" s="115"/>
      <c r="Q558" s="115"/>
      <c r="R558" s="115"/>
      <c r="S558" s="115"/>
      <c r="T558" s="115"/>
      <c r="U558" s="115"/>
      <c r="V558" s="115"/>
    </row>
    <row r="559" spans="4:22" ht="12.75" customHeight="1" thickTop="1" x14ac:dyDescent="0.25">
      <c r="D559" s="301"/>
      <c r="E559" s="115"/>
      <c r="F559" s="114"/>
      <c r="G559" s="114"/>
      <c r="H559" s="114"/>
      <c r="I559" s="114"/>
      <c r="J559" s="114"/>
      <c r="K559" s="114"/>
      <c r="L559" s="114"/>
      <c r="M559" s="114"/>
      <c r="N559" s="114"/>
      <c r="O559" s="114"/>
      <c r="P559" s="115"/>
      <c r="Q559" s="115"/>
      <c r="R559" s="115"/>
      <c r="S559" s="115"/>
      <c r="T559" s="115"/>
      <c r="U559" s="115"/>
      <c r="V559" s="115"/>
    </row>
    <row r="560" spans="4:22" ht="12.75" customHeight="1" x14ac:dyDescent="0.25">
      <c r="D560" s="301"/>
      <c r="E560" s="115" t="s">
        <v>2943</v>
      </c>
      <c r="F560" s="114"/>
      <c r="G560" s="114"/>
      <c r="H560" s="114"/>
      <c r="I560" s="114"/>
      <c r="J560" s="114">
        <v>-50000</v>
      </c>
      <c r="K560" s="114">
        <v>-50000</v>
      </c>
      <c r="L560" s="114">
        <v>-50000</v>
      </c>
      <c r="M560" s="114">
        <v>-50000</v>
      </c>
      <c r="N560" s="114">
        <v>-50000</v>
      </c>
      <c r="O560" s="114">
        <v>-50000</v>
      </c>
      <c r="P560" s="114"/>
      <c r="Q560" s="115"/>
      <c r="R560" s="115"/>
      <c r="S560" s="115"/>
      <c r="T560" s="115"/>
      <c r="U560" s="115"/>
      <c r="V560" s="115"/>
    </row>
    <row r="561" spans="4:22" ht="12.75" customHeight="1" x14ac:dyDescent="0.25">
      <c r="D561" s="301"/>
      <c r="E561" s="115"/>
      <c r="F561" s="114"/>
      <c r="G561" s="114"/>
      <c r="H561" s="114"/>
      <c r="I561" s="114"/>
      <c r="J561" s="114"/>
      <c r="K561" s="114"/>
      <c r="L561" s="114"/>
      <c r="M561" s="114"/>
      <c r="N561" s="114"/>
      <c r="O561" s="114"/>
      <c r="P561" s="115"/>
      <c r="Q561" s="115"/>
      <c r="R561" s="115"/>
      <c r="S561" s="115"/>
      <c r="T561" s="115"/>
      <c r="U561" s="115"/>
      <c r="V561" s="115"/>
    </row>
    <row r="562" spans="4:22" ht="12.75" customHeight="1" thickBot="1" x14ac:dyDescent="0.3">
      <c r="D562" s="301"/>
      <c r="E562" s="115" t="s">
        <v>2944</v>
      </c>
      <c r="F562" s="114"/>
      <c r="G562" s="114"/>
      <c r="H562" s="114"/>
      <c r="I562" s="114"/>
      <c r="J562" s="1744">
        <v>172279</v>
      </c>
      <c r="K562" s="1744">
        <v>183132</v>
      </c>
      <c r="L562" s="1744">
        <f>ROUND(L513+L558+L560,0)</f>
        <v>192644</v>
      </c>
      <c r="M562" s="1744">
        <f>ROUND(M513+M558+M560,0)</f>
        <v>204153</v>
      </c>
      <c r="N562" s="1744">
        <f>ROUND(N513+N558+N560,0)</f>
        <v>214979</v>
      </c>
      <c r="O562" s="1744">
        <f>ROUND(O513+O558+O560,0)</f>
        <v>225585</v>
      </c>
      <c r="P562" s="115"/>
      <c r="Q562" s="115"/>
      <c r="R562" s="115"/>
      <c r="S562" s="115"/>
      <c r="T562" s="115"/>
      <c r="U562" s="115"/>
      <c r="V562" s="115"/>
    </row>
    <row r="563" spans="4:22" ht="12.75" customHeight="1" thickTop="1" x14ac:dyDescent="0.25">
      <c r="D563" s="301"/>
      <c r="E563" s="115"/>
      <c r="F563" s="114"/>
      <c r="G563" s="114"/>
      <c r="H563" s="114"/>
      <c r="I563" s="114"/>
      <c r="J563" s="114"/>
      <c r="K563" s="114"/>
      <c r="L563" s="114"/>
      <c r="M563" s="114"/>
      <c r="N563" s="114"/>
      <c r="O563" s="114"/>
      <c r="P563" s="115"/>
      <c r="Q563" s="115"/>
      <c r="R563" s="308"/>
      <c r="S563" s="115"/>
      <c r="T563" s="115"/>
      <c r="U563" s="115"/>
      <c r="V563" s="115"/>
    </row>
    <row r="564" spans="4:22" ht="12.75" customHeight="1" x14ac:dyDescent="0.25">
      <c r="D564" s="301"/>
      <c r="E564" s="115"/>
      <c r="F564" s="115"/>
      <c r="G564" s="115"/>
      <c r="H564" s="115"/>
      <c r="I564" s="115"/>
      <c r="J564" s="407">
        <v>2025</v>
      </c>
      <c r="K564" s="407">
        <v>2026</v>
      </c>
      <c r="L564" s="407">
        <v>2027</v>
      </c>
      <c r="M564" s="407">
        <v>2028</v>
      </c>
      <c r="N564" s="407">
        <v>2029</v>
      </c>
      <c r="O564" s="407">
        <v>2030</v>
      </c>
      <c r="P564" s="115"/>
      <c r="Q564" s="115"/>
      <c r="R564" s="308"/>
      <c r="S564" s="115"/>
      <c r="T564" s="115"/>
      <c r="U564" s="115"/>
      <c r="V564" s="115"/>
    </row>
    <row r="565" spans="4:22" ht="12.75" customHeight="1" x14ac:dyDescent="0.25">
      <c r="D565" s="143">
        <v>43812</v>
      </c>
      <c r="E565" s="115" t="s">
        <v>2945</v>
      </c>
      <c r="F565" s="115"/>
      <c r="G565" s="115"/>
      <c r="H565" s="115"/>
      <c r="I565" s="115"/>
      <c r="J565" s="396"/>
      <c r="K565" s="396"/>
      <c r="L565" s="396"/>
      <c r="M565" s="396"/>
      <c r="N565" s="396"/>
      <c r="O565" s="396"/>
      <c r="P565" s="115"/>
      <c r="Q565" s="115"/>
      <c r="R565" s="308"/>
      <c r="S565" s="115"/>
      <c r="T565" s="115"/>
      <c r="U565" s="115"/>
      <c r="V565" s="115"/>
    </row>
    <row r="566" spans="4:22" ht="12.75" customHeight="1" x14ac:dyDescent="0.25">
      <c r="D566" s="301"/>
      <c r="E566" s="115" t="s">
        <v>2946</v>
      </c>
      <c r="F566" s="115"/>
      <c r="G566" s="115"/>
      <c r="H566" s="115"/>
      <c r="I566" s="115"/>
      <c r="J566" s="114">
        <v>32093</v>
      </c>
      <c r="K566" s="114">
        <v>32927</v>
      </c>
      <c r="L566" s="114">
        <f t="shared" ref="L566:O567" si="153">ROUND(K566*T$2,0)</f>
        <v>33618</v>
      </c>
      <c r="M566" s="114">
        <f t="shared" si="153"/>
        <v>34391</v>
      </c>
      <c r="N566" s="114">
        <f t="shared" si="153"/>
        <v>35182</v>
      </c>
      <c r="O566" s="114">
        <f t="shared" si="153"/>
        <v>35991</v>
      </c>
      <c r="P566" s="115"/>
      <c r="Q566" s="115"/>
      <c r="R566" s="308"/>
      <c r="S566" s="115"/>
      <c r="T566" s="115"/>
      <c r="U566" s="115"/>
      <c r="V566" s="115"/>
    </row>
    <row r="567" spans="4:22" ht="12.75" customHeight="1" x14ac:dyDescent="0.25">
      <c r="D567" s="143" t="s">
        <v>2947</v>
      </c>
      <c r="E567" s="115" t="s">
        <v>2948</v>
      </c>
      <c r="F567" s="115"/>
      <c r="G567" s="115"/>
      <c r="H567" s="115"/>
      <c r="I567" s="115"/>
      <c r="J567" s="114">
        <v>14522</v>
      </c>
      <c r="K567" s="114">
        <v>14900</v>
      </c>
      <c r="L567" s="114">
        <f t="shared" si="153"/>
        <v>15213</v>
      </c>
      <c r="M567" s="114">
        <f t="shared" si="153"/>
        <v>15563</v>
      </c>
      <c r="N567" s="114">
        <f t="shared" si="153"/>
        <v>15921</v>
      </c>
      <c r="O567" s="114">
        <f t="shared" si="153"/>
        <v>16287</v>
      </c>
      <c r="P567" s="115"/>
      <c r="Q567" s="115"/>
      <c r="R567" s="308"/>
      <c r="S567" s="115"/>
      <c r="T567" s="115"/>
      <c r="U567" s="115"/>
      <c r="V567" s="115"/>
    </row>
    <row r="568" spans="4:22" ht="12.75" customHeight="1" x14ac:dyDescent="0.25">
      <c r="D568" s="301"/>
      <c r="E568" s="115" t="s">
        <v>2949</v>
      </c>
      <c r="F568" s="115"/>
      <c r="G568" s="115"/>
      <c r="H568" s="115"/>
      <c r="I568" s="115"/>
      <c r="J568" s="114"/>
      <c r="K568" s="114"/>
      <c r="L568" s="114"/>
      <c r="M568" s="114"/>
      <c r="N568" s="114"/>
      <c r="O568" s="114"/>
      <c r="P568" s="115"/>
      <c r="Q568" s="115"/>
      <c r="R568" s="308"/>
      <c r="S568" s="115"/>
      <c r="T568" s="115"/>
      <c r="U568" s="115"/>
      <c r="V568" s="115"/>
    </row>
    <row r="569" spans="4:22" ht="12.75" customHeight="1" x14ac:dyDescent="0.25">
      <c r="D569" s="301"/>
      <c r="E569" s="115" t="s">
        <v>2950</v>
      </c>
      <c r="F569" s="115"/>
      <c r="G569" s="115"/>
      <c r="H569" s="115"/>
      <c r="I569" s="115"/>
      <c r="J569" s="114"/>
      <c r="K569" s="114"/>
      <c r="L569" s="114"/>
      <c r="M569" s="114"/>
      <c r="N569" s="114"/>
      <c r="O569" s="114"/>
      <c r="P569" s="115"/>
      <c r="Q569" s="115"/>
      <c r="R569" s="308"/>
      <c r="S569" s="115"/>
      <c r="T569" s="115"/>
      <c r="U569" s="115"/>
      <c r="V569" s="115"/>
    </row>
    <row r="570" spans="4:22" ht="12.75" customHeight="1" x14ac:dyDescent="0.25">
      <c r="D570" s="143" t="s">
        <v>2951</v>
      </c>
      <c r="E570" s="115" t="s">
        <v>2952</v>
      </c>
      <c r="F570" s="115"/>
      <c r="G570" s="115"/>
      <c r="H570" s="115"/>
      <c r="I570" s="115"/>
      <c r="J570" s="114">
        <v>11007</v>
      </c>
      <c r="K570" s="114">
        <v>11293</v>
      </c>
      <c r="L570" s="114">
        <f>ROUND(K570*T$2,0)</f>
        <v>11530</v>
      </c>
      <c r="M570" s="114">
        <f>ROUND(L570*U$2,0)</f>
        <v>11795</v>
      </c>
      <c r="N570" s="114">
        <f>ROUND(M570*V$2,0)</f>
        <v>12066</v>
      </c>
      <c r="O570" s="114">
        <f>ROUND(N570*W$2,0)</f>
        <v>12344</v>
      </c>
      <c r="P570" s="115"/>
      <c r="Q570" s="115"/>
      <c r="R570" s="308"/>
      <c r="S570" s="115"/>
      <c r="T570" s="115"/>
      <c r="U570" s="115"/>
      <c r="V570" s="115"/>
    </row>
    <row r="571" spans="4:22" ht="12.75" customHeight="1" x14ac:dyDescent="0.25">
      <c r="D571" s="143"/>
      <c r="E571" s="115" t="s">
        <v>2953</v>
      </c>
      <c r="F571" s="115"/>
      <c r="G571" s="115"/>
      <c r="H571" s="115"/>
      <c r="I571" s="115"/>
      <c r="J571" s="114"/>
      <c r="K571" s="114"/>
      <c r="L571" s="114"/>
      <c r="M571" s="114"/>
      <c r="N571" s="114"/>
      <c r="O571" s="114"/>
      <c r="P571" s="115"/>
      <c r="Q571" s="115"/>
      <c r="R571" s="308"/>
      <c r="S571" s="115"/>
      <c r="T571" s="115"/>
      <c r="U571" s="115"/>
      <c r="V571" s="115"/>
    </row>
    <row r="572" spans="4:22" ht="12.75" customHeight="1" x14ac:dyDescent="0.25">
      <c r="D572" s="143"/>
      <c r="E572" s="115" t="s">
        <v>2954</v>
      </c>
      <c r="F572" s="115"/>
      <c r="G572" s="115"/>
      <c r="H572" s="115"/>
      <c r="I572" s="115"/>
      <c r="J572" s="114"/>
      <c r="K572" s="114"/>
      <c r="L572" s="114"/>
      <c r="M572" s="114"/>
      <c r="N572" s="114"/>
      <c r="O572" s="114"/>
      <c r="P572" s="115"/>
      <c r="Q572" s="115"/>
      <c r="R572" s="308"/>
      <c r="S572" s="115"/>
      <c r="T572" s="115"/>
      <c r="U572" s="115"/>
      <c r="V572" s="115"/>
    </row>
    <row r="573" spans="4:22" ht="12.75" customHeight="1" x14ac:dyDescent="0.25">
      <c r="D573" s="143" t="s">
        <v>2955</v>
      </c>
      <c r="E573" s="115" t="s">
        <v>2956</v>
      </c>
      <c r="F573" s="115"/>
      <c r="G573" s="115"/>
      <c r="H573" s="115"/>
      <c r="I573" s="115"/>
      <c r="J573" s="114">
        <v>945</v>
      </c>
      <c r="K573" s="114">
        <v>970</v>
      </c>
      <c r="L573" s="114">
        <f>ROUND(K573*T$2,0)</f>
        <v>990</v>
      </c>
      <c r="M573" s="114">
        <f>ROUND(L573*U$2,0)</f>
        <v>1013</v>
      </c>
      <c r="N573" s="114">
        <f>ROUND(M573*V$2,0)</f>
        <v>1036</v>
      </c>
      <c r="O573" s="114">
        <f>ROUND(N573*W$2,0)</f>
        <v>1060</v>
      </c>
      <c r="P573" s="115"/>
      <c r="Q573" s="115"/>
      <c r="R573" s="115"/>
      <c r="S573" s="115"/>
      <c r="T573" s="115"/>
      <c r="U573" s="115"/>
      <c r="V573" s="115"/>
    </row>
    <row r="574" spans="4:22" ht="12.75" customHeight="1" x14ac:dyDescent="0.25">
      <c r="D574" s="301"/>
      <c r="E574" s="115" t="s">
        <v>2957</v>
      </c>
      <c r="F574" s="115"/>
      <c r="G574" s="115"/>
      <c r="H574" s="115"/>
      <c r="I574" s="115"/>
      <c r="J574" s="114"/>
      <c r="K574" s="114"/>
      <c r="L574" s="114"/>
      <c r="M574" s="114"/>
      <c r="N574" s="114"/>
      <c r="O574" s="114"/>
      <c r="P574" s="115"/>
      <c r="Q574" s="115"/>
      <c r="R574" s="115"/>
      <c r="S574" s="115"/>
      <c r="T574" s="115"/>
      <c r="U574" s="115"/>
      <c r="V574" s="115"/>
    </row>
    <row r="575" spans="4:22" ht="12.75" customHeight="1" x14ac:dyDescent="0.25">
      <c r="D575" s="301"/>
      <c r="E575" s="115"/>
      <c r="F575" s="115"/>
      <c r="G575" s="115"/>
      <c r="H575" s="115"/>
      <c r="I575" s="115"/>
      <c r="J575" s="114"/>
      <c r="K575" s="114"/>
      <c r="L575" s="114"/>
      <c r="M575" s="114"/>
      <c r="N575" s="114"/>
      <c r="O575" s="114"/>
      <c r="P575" s="115"/>
      <c r="Q575" s="115"/>
      <c r="R575" s="115"/>
      <c r="S575" s="115"/>
      <c r="T575" s="115"/>
      <c r="U575" s="115"/>
      <c r="V575" s="115"/>
    </row>
    <row r="576" spans="4:22" ht="12.75" customHeight="1" x14ac:dyDescent="0.25">
      <c r="D576" s="301"/>
      <c r="E576" s="115" t="s">
        <v>2958</v>
      </c>
      <c r="F576" s="115"/>
      <c r="G576" s="115"/>
      <c r="H576" s="115"/>
      <c r="I576" s="115"/>
      <c r="J576" s="114">
        <v>6966</v>
      </c>
      <c r="K576" s="114">
        <v>7147</v>
      </c>
      <c r="L576" s="114">
        <f t="shared" ref="L576:O579" si="154">ROUND(K576*T$2,0)</f>
        <v>7297</v>
      </c>
      <c r="M576" s="114">
        <f t="shared" si="154"/>
        <v>7465</v>
      </c>
      <c r="N576" s="114">
        <f t="shared" si="154"/>
        <v>7637</v>
      </c>
      <c r="O576" s="114">
        <f t="shared" si="154"/>
        <v>7813</v>
      </c>
      <c r="P576" s="115"/>
      <c r="Q576" s="115"/>
      <c r="R576" s="115"/>
      <c r="S576" s="115"/>
      <c r="T576" s="115"/>
      <c r="U576" s="115"/>
      <c r="V576" s="115"/>
    </row>
    <row r="577" spans="1:22" ht="12.75" customHeight="1" x14ac:dyDescent="0.25">
      <c r="D577" s="301"/>
      <c r="E577" s="115" t="s">
        <v>2959</v>
      </c>
      <c r="F577" s="115"/>
      <c r="G577" s="115"/>
      <c r="H577" s="115"/>
      <c r="I577" s="115"/>
      <c r="J577" s="114">
        <v>7531</v>
      </c>
      <c r="K577" s="114">
        <v>7727</v>
      </c>
      <c r="L577" s="114">
        <f t="shared" si="154"/>
        <v>7889</v>
      </c>
      <c r="M577" s="114">
        <f t="shared" si="154"/>
        <v>8070</v>
      </c>
      <c r="N577" s="114">
        <f t="shared" si="154"/>
        <v>8256</v>
      </c>
      <c r="O577" s="114">
        <f t="shared" si="154"/>
        <v>8446</v>
      </c>
      <c r="P577" s="115"/>
      <c r="Q577" s="115"/>
      <c r="R577" s="115"/>
      <c r="S577" s="115"/>
      <c r="T577" s="115"/>
      <c r="U577" s="115"/>
      <c r="V577" s="115"/>
    </row>
    <row r="578" spans="1:22" ht="12.75" customHeight="1" x14ac:dyDescent="0.25">
      <c r="D578" s="301"/>
      <c r="E578" s="115" t="s">
        <v>2960</v>
      </c>
      <c r="F578" s="115"/>
      <c r="G578" s="115"/>
      <c r="H578" s="115"/>
      <c r="I578" s="115"/>
      <c r="J578" s="114">
        <v>4519</v>
      </c>
      <c r="K578" s="114">
        <v>4636</v>
      </c>
      <c r="L578" s="114">
        <f t="shared" si="154"/>
        <v>4733</v>
      </c>
      <c r="M578" s="114">
        <f t="shared" si="154"/>
        <v>4842</v>
      </c>
      <c r="N578" s="114">
        <f t="shared" si="154"/>
        <v>4953</v>
      </c>
      <c r="O578" s="114">
        <f t="shared" si="154"/>
        <v>5067</v>
      </c>
      <c r="P578" s="115"/>
      <c r="Q578" s="115"/>
      <c r="R578" s="115"/>
      <c r="S578" s="115"/>
      <c r="T578" s="115"/>
      <c r="U578" s="115"/>
      <c r="V578" s="115"/>
    </row>
    <row r="579" spans="1:22" ht="12.75" customHeight="1" x14ac:dyDescent="0.25">
      <c r="D579" s="301"/>
      <c r="E579" s="115" t="s">
        <v>2961</v>
      </c>
      <c r="F579" s="115"/>
      <c r="G579" s="115"/>
      <c r="H579" s="115"/>
      <c r="I579" s="115"/>
      <c r="J579" s="114">
        <v>3404</v>
      </c>
      <c r="K579" s="114">
        <v>3493</v>
      </c>
      <c r="L579" s="114">
        <f t="shared" si="154"/>
        <v>3566</v>
      </c>
      <c r="M579" s="114">
        <f t="shared" si="154"/>
        <v>3648</v>
      </c>
      <c r="N579" s="114">
        <f t="shared" si="154"/>
        <v>3732</v>
      </c>
      <c r="O579" s="114">
        <f t="shared" si="154"/>
        <v>3818</v>
      </c>
      <c r="P579" s="115"/>
      <c r="Q579" s="115"/>
      <c r="R579" s="115"/>
      <c r="S579" s="115"/>
      <c r="T579" s="115"/>
      <c r="U579" s="115"/>
      <c r="V579" s="115"/>
    </row>
    <row r="580" spans="1:22" ht="12.75" customHeight="1" x14ac:dyDescent="0.25">
      <c r="D580" s="301"/>
      <c r="E580" s="115"/>
      <c r="F580" s="115"/>
      <c r="G580" s="115"/>
      <c r="H580" s="115"/>
      <c r="I580" s="115"/>
      <c r="J580" s="114"/>
      <c r="K580" s="114"/>
      <c r="L580" s="114"/>
      <c r="M580" s="114"/>
      <c r="N580" s="114"/>
      <c r="O580" s="114"/>
      <c r="P580" s="114"/>
      <c r="Q580" s="114"/>
      <c r="R580" s="114"/>
      <c r="S580" s="114"/>
      <c r="T580" s="115"/>
      <c r="U580" s="115"/>
      <c r="V580" s="115"/>
    </row>
    <row r="581" spans="1:22" ht="12.75" customHeight="1" thickBot="1" x14ac:dyDescent="0.3">
      <c r="D581" s="301"/>
      <c r="E581" s="115" t="str">
        <f>"Totaal "&amp;D565</f>
        <v>Totaal 43812</v>
      </c>
      <c r="F581" s="115"/>
      <c r="G581" s="115"/>
      <c r="H581" s="115"/>
      <c r="I581" s="115"/>
      <c r="J581" s="1744">
        <v>80987</v>
      </c>
      <c r="K581" s="1744">
        <v>83093</v>
      </c>
      <c r="L581" s="1744">
        <f>SUM(L566:L580)</f>
        <v>84836</v>
      </c>
      <c r="M581" s="1744">
        <f>SUM(M566:M580)</f>
        <v>86787</v>
      </c>
      <c r="N581" s="1744">
        <f>SUM(N566:N580)</f>
        <v>88783</v>
      </c>
      <c r="O581" s="1744">
        <f>SUM(O566:O580)</f>
        <v>90826</v>
      </c>
      <c r="P581" s="115"/>
      <c r="Q581" s="115"/>
      <c r="R581" s="115"/>
      <c r="S581" s="115"/>
      <c r="T581" s="115"/>
      <c r="U581" s="115"/>
      <c r="V581" s="115"/>
    </row>
    <row r="582" spans="1:22" ht="12.75" customHeight="1" thickTop="1" x14ac:dyDescent="0.25">
      <c r="D582" s="143"/>
      <c r="E582" s="633"/>
      <c r="F582" s="115"/>
      <c r="G582" s="115"/>
      <c r="H582" s="115"/>
      <c r="I582" s="115"/>
      <c r="J582" s="115"/>
      <c r="K582" s="115"/>
      <c r="L582" s="115"/>
      <c r="M582" s="115"/>
      <c r="N582" s="115"/>
      <c r="O582" s="115"/>
      <c r="P582" s="115"/>
      <c r="Q582" s="115"/>
      <c r="R582" s="115"/>
      <c r="S582" s="115"/>
      <c r="T582" s="115"/>
      <c r="U582" s="115"/>
      <c r="V582" s="115"/>
    </row>
    <row r="583" spans="1:22" ht="12.75" customHeight="1" x14ac:dyDescent="0.25">
      <c r="D583" s="301"/>
      <c r="E583" s="301"/>
      <c r="F583" s="301"/>
      <c r="G583" s="115"/>
      <c r="H583" s="115"/>
      <c r="I583" s="115"/>
      <c r="J583" s="115"/>
      <c r="K583" s="115"/>
      <c r="L583" s="115"/>
      <c r="M583" s="115"/>
      <c r="N583" s="115"/>
      <c r="O583" s="115"/>
      <c r="P583" s="115"/>
      <c r="Q583" s="115"/>
      <c r="R583" s="115"/>
      <c r="S583" s="115"/>
      <c r="T583" s="115"/>
      <c r="U583" s="115"/>
      <c r="V583" s="115"/>
    </row>
    <row r="584" spans="1:22" ht="12.75" customHeight="1" x14ac:dyDescent="0.25">
      <c r="D584" s="393">
        <v>617017</v>
      </c>
      <c r="E584" s="381" t="s">
        <v>2835</v>
      </c>
      <c r="F584" s="115"/>
      <c r="G584" s="486"/>
      <c r="H584" s="486"/>
      <c r="I584" s="486"/>
      <c r="J584" s="407">
        <v>2025</v>
      </c>
      <c r="K584" s="407">
        <v>2026</v>
      </c>
      <c r="L584" s="407">
        <v>2027</v>
      </c>
      <c r="M584" s="407">
        <v>2028</v>
      </c>
      <c r="N584" s="407">
        <v>2029</v>
      </c>
      <c r="O584" s="407">
        <v>2030</v>
      </c>
      <c r="P584" s="115"/>
      <c r="Q584" s="115"/>
      <c r="R584" s="115"/>
      <c r="S584" s="115"/>
      <c r="T584" s="115"/>
      <c r="U584" s="115"/>
      <c r="V584" s="115"/>
    </row>
    <row r="585" spans="1:22" ht="12.75" customHeight="1" x14ac:dyDescent="0.25">
      <c r="D585" s="393"/>
      <c r="E585" s="381"/>
      <c r="F585" s="115"/>
      <c r="G585" s="114"/>
      <c r="H585" s="114"/>
      <c r="I585" s="114"/>
      <c r="J585" s="114"/>
      <c r="K585" s="114"/>
      <c r="L585" s="114"/>
      <c r="M585" s="114"/>
      <c r="N585" s="114"/>
      <c r="O585" s="114"/>
      <c r="P585" s="115"/>
      <c r="Q585" s="115"/>
      <c r="R585" s="115"/>
      <c r="S585" s="115"/>
      <c r="T585" s="115"/>
      <c r="U585" s="115"/>
      <c r="V585" s="115"/>
    </row>
    <row r="586" spans="1:22" ht="12.75" customHeight="1" x14ac:dyDescent="0.25">
      <c r="D586" s="384">
        <v>43511</v>
      </c>
      <c r="E586" s="115" t="s">
        <v>2962</v>
      </c>
      <c r="F586" s="115"/>
      <c r="G586" s="114"/>
      <c r="H586" s="115"/>
      <c r="I586" s="114"/>
      <c r="J586" s="114"/>
      <c r="K586" s="114"/>
      <c r="L586" s="114"/>
      <c r="M586" s="114"/>
      <c r="N586" s="114"/>
      <c r="O586" s="114"/>
      <c r="P586" s="115"/>
      <c r="Q586" s="115"/>
      <c r="R586" s="115"/>
      <c r="S586" s="115"/>
      <c r="T586" s="115"/>
      <c r="U586" s="115"/>
      <c r="V586" s="115"/>
    </row>
    <row r="587" spans="1:22" ht="12.75" customHeight="1" x14ac:dyDescent="0.25">
      <c r="D587" s="384"/>
      <c r="E587" s="115"/>
      <c r="F587" s="115"/>
      <c r="G587" s="114"/>
      <c r="H587" s="114"/>
      <c r="I587" s="114"/>
      <c r="J587" s="114"/>
      <c r="K587" s="114"/>
      <c r="L587" s="114"/>
      <c r="M587" s="114"/>
      <c r="N587" s="114"/>
      <c r="O587" s="114"/>
      <c r="P587" s="381"/>
      <c r="Q587" s="115"/>
      <c r="R587" s="115"/>
      <c r="S587" s="115"/>
      <c r="T587" s="115"/>
      <c r="U587" s="115"/>
      <c r="V587" s="115"/>
    </row>
    <row r="588" spans="1:22" ht="12.75" customHeight="1" x14ac:dyDescent="0.25">
      <c r="D588" s="384">
        <v>43803</v>
      </c>
      <c r="E588" s="115" t="s">
        <v>2963</v>
      </c>
      <c r="F588" s="115"/>
      <c r="G588" s="114"/>
      <c r="H588" s="114"/>
      <c r="I588" s="114"/>
      <c r="J588" s="114">
        <v>8080</v>
      </c>
      <c r="K588" s="114">
        <v>8290</v>
      </c>
      <c r="L588" s="114">
        <f>ROUND(K588*T$2,0)</f>
        <v>8464</v>
      </c>
      <c r="M588" s="114">
        <f>ROUND(L588*U$2,0)</f>
        <v>8659</v>
      </c>
      <c r="N588" s="114">
        <f>ROUND(M588*V$2,0)</f>
        <v>8858</v>
      </c>
      <c r="O588" s="114">
        <f>ROUND(N588*W$2,0)</f>
        <v>9062</v>
      </c>
      <c r="P588" s="115"/>
      <c r="Q588" s="115"/>
      <c r="R588" s="115"/>
      <c r="S588" s="115"/>
      <c r="T588" s="115"/>
      <c r="U588" s="115"/>
      <c r="V588" s="115"/>
    </row>
    <row r="589" spans="1:22" ht="12.75" customHeight="1" x14ac:dyDescent="0.25">
      <c r="D589" s="384"/>
      <c r="E589" s="115"/>
      <c r="F589" s="115"/>
      <c r="G589" s="114"/>
      <c r="H589" s="114"/>
      <c r="I589" s="114"/>
      <c r="J589" s="114"/>
      <c r="K589" s="114"/>
      <c r="L589" s="114"/>
      <c r="M589" s="114"/>
      <c r="N589" s="114"/>
      <c r="O589" s="114"/>
      <c r="P589" s="115"/>
      <c r="Q589" s="115"/>
      <c r="R589" s="115"/>
      <c r="S589" s="115"/>
      <c r="T589" s="115"/>
      <c r="U589" s="115"/>
      <c r="V589" s="115"/>
    </row>
    <row r="590" spans="1:22" ht="12.75" customHeight="1" thickBot="1" x14ac:dyDescent="0.3">
      <c r="D590" s="384"/>
      <c r="E590" s="115" t="str">
        <f>"Totaal "&amp;D588</f>
        <v>Totaal 43803</v>
      </c>
      <c r="F590" s="115"/>
      <c r="G590" s="114"/>
      <c r="H590" s="114"/>
      <c r="I590" s="114"/>
      <c r="J590" s="1744">
        <v>8080</v>
      </c>
      <c r="K590" s="1744">
        <v>8290</v>
      </c>
      <c r="L590" s="1744">
        <f t="shared" ref="L590:M590" si="155">SUM(L588)</f>
        <v>8464</v>
      </c>
      <c r="M590" s="1744">
        <f t="shared" si="155"/>
        <v>8659</v>
      </c>
      <c r="N590" s="1744">
        <f t="shared" ref="N590:O590" si="156">SUM(N588)</f>
        <v>8858</v>
      </c>
      <c r="O590" s="1744">
        <f t="shared" si="156"/>
        <v>9062</v>
      </c>
      <c r="P590" s="115"/>
      <c r="Q590" s="115"/>
      <c r="R590" s="115"/>
      <c r="S590" s="115"/>
      <c r="T590" s="115"/>
      <c r="U590" s="115"/>
      <c r="V590" s="115"/>
    </row>
    <row r="591" spans="1:22" ht="12.75" customHeight="1" thickTop="1" x14ac:dyDescent="0.25">
      <c r="A591" s="306"/>
      <c r="B591" s="115"/>
      <c r="C591" s="115"/>
      <c r="D591" s="384"/>
      <c r="E591" s="115"/>
      <c r="F591" s="115"/>
      <c r="G591" s="114"/>
      <c r="H591" s="114"/>
      <c r="I591" s="114"/>
      <c r="J591" s="114"/>
      <c r="K591" s="114"/>
      <c r="L591" s="114"/>
      <c r="M591" s="114"/>
      <c r="N591" s="114"/>
      <c r="O591" s="114"/>
      <c r="P591" s="115"/>
      <c r="Q591" s="115"/>
      <c r="R591" s="115"/>
      <c r="S591" s="115"/>
      <c r="T591" s="115"/>
      <c r="U591" s="115"/>
      <c r="V591" s="115"/>
    </row>
    <row r="592" spans="1:22" ht="12.75" customHeight="1" x14ac:dyDescent="0.25">
      <c r="A592" s="306"/>
      <c r="B592" s="115"/>
      <c r="C592" s="115"/>
      <c r="D592" s="384">
        <v>43812</v>
      </c>
      <c r="E592" s="115" t="s">
        <v>565</v>
      </c>
      <c r="F592" s="115"/>
      <c r="G592" s="114"/>
      <c r="H592" s="114"/>
      <c r="I592" s="114"/>
      <c r="J592" s="114"/>
      <c r="K592" s="114"/>
      <c r="L592" s="114"/>
      <c r="M592" s="114"/>
      <c r="N592" s="114"/>
      <c r="O592" s="114"/>
      <c r="P592" s="115"/>
      <c r="Q592" s="115"/>
      <c r="R592" s="115"/>
      <c r="S592" s="115">
        <v>171</v>
      </c>
      <c r="T592" s="115">
        <v>192</v>
      </c>
      <c r="U592" s="115"/>
      <c r="V592" s="115"/>
    </row>
    <row r="593" spans="1:22" ht="12.75" customHeight="1" x14ac:dyDescent="0.25">
      <c r="A593" s="306"/>
      <c r="B593" s="115"/>
      <c r="C593" s="115"/>
      <c r="D593" s="384"/>
      <c r="E593" s="1039" t="s">
        <v>1293</v>
      </c>
      <c r="F593" s="115"/>
      <c r="G593" s="114"/>
      <c r="H593" s="114"/>
      <c r="I593" s="114"/>
      <c r="J593" s="114"/>
      <c r="K593" s="114"/>
      <c r="L593" s="114"/>
      <c r="M593" s="114"/>
      <c r="N593" s="114"/>
      <c r="O593" s="114"/>
      <c r="P593" s="115"/>
      <c r="Q593" s="115"/>
      <c r="R593" s="115"/>
      <c r="S593" s="115">
        <f>+S592/50</f>
        <v>3.42</v>
      </c>
      <c r="T593" s="115">
        <f>+T592/50</f>
        <v>3.84</v>
      </c>
      <c r="U593" s="115"/>
      <c r="V593" s="115"/>
    </row>
    <row r="594" spans="1:22" ht="12.75" customHeight="1" x14ac:dyDescent="0.25">
      <c r="A594" s="306"/>
      <c r="B594" s="115"/>
      <c r="C594" s="115"/>
      <c r="D594" s="384"/>
      <c r="E594" s="114"/>
      <c r="F594" s="115"/>
      <c r="G594" s="114"/>
      <c r="H594" s="114"/>
      <c r="I594" s="114"/>
      <c r="J594" s="114"/>
      <c r="K594" s="114"/>
      <c r="L594" s="114"/>
      <c r="M594" s="114"/>
      <c r="N594" s="114"/>
      <c r="O594" s="114"/>
      <c r="P594" s="115"/>
      <c r="Q594" s="115"/>
      <c r="R594" s="115"/>
      <c r="S594" s="115">
        <f>+S593/4</f>
        <v>0.85499999999999998</v>
      </c>
      <c r="T594" s="115">
        <f>+T593/4</f>
        <v>0.96</v>
      </c>
      <c r="U594" s="115"/>
      <c r="V594" s="115"/>
    </row>
    <row r="595" spans="1:22" ht="12.75" customHeight="1" x14ac:dyDescent="0.25">
      <c r="A595" s="306"/>
      <c r="B595" s="115"/>
      <c r="C595" s="115"/>
      <c r="D595" s="384"/>
      <c r="E595" s="114" t="s">
        <v>2964</v>
      </c>
      <c r="F595" s="115"/>
      <c r="G595" s="114"/>
      <c r="H595" s="114"/>
      <c r="I595" s="114"/>
      <c r="J595" s="114">
        <v>6741</v>
      </c>
      <c r="K595" s="114">
        <v>6916</v>
      </c>
      <c r="L595" s="114">
        <f t="shared" ref="L595:O597" si="157">ROUND(K595*T$2,0)</f>
        <v>7061</v>
      </c>
      <c r="M595" s="114">
        <f t="shared" si="157"/>
        <v>7223</v>
      </c>
      <c r="N595" s="114">
        <f t="shared" si="157"/>
        <v>7389</v>
      </c>
      <c r="O595" s="114">
        <f t="shared" si="157"/>
        <v>7559</v>
      </c>
      <c r="P595" s="115"/>
      <c r="Q595" s="115"/>
      <c r="R595" s="115"/>
      <c r="S595" s="115">
        <f>+S594*4</f>
        <v>3.42</v>
      </c>
      <c r="T595" s="115">
        <f>+T594*4</f>
        <v>3.84</v>
      </c>
      <c r="U595" s="115"/>
      <c r="V595" s="115"/>
    </row>
    <row r="596" spans="1:22" ht="12.75" customHeight="1" x14ac:dyDescent="0.25">
      <c r="A596" s="306"/>
      <c r="B596" s="115"/>
      <c r="C596" s="115"/>
      <c r="D596" s="384"/>
      <c r="E596" s="115" t="s">
        <v>2965</v>
      </c>
      <c r="F596" s="115"/>
      <c r="G596" s="114"/>
      <c r="H596" s="114"/>
      <c r="I596" s="114"/>
      <c r="J596" s="114">
        <v>7957</v>
      </c>
      <c r="K596" s="114">
        <v>8164</v>
      </c>
      <c r="L596" s="114">
        <f t="shared" si="157"/>
        <v>8335</v>
      </c>
      <c r="M596" s="114">
        <f t="shared" si="157"/>
        <v>8527</v>
      </c>
      <c r="N596" s="114">
        <f t="shared" si="157"/>
        <v>8723</v>
      </c>
      <c r="O596" s="114">
        <f t="shared" si="157"/>
        <v>8924</v>
      </c>
      <c r="P596" s="115"/>
      <c r="Q596" s="115"/>
      <c r="R596" s="115"/>
      <c r="S596" s="115"/>
      <c r="T596" s="115"/>
      <c r="U596" s="115"/>
      <c r="V596" s="115"/>
    </row>
    <row r="597" spans="1:22" ht="12.75" customHeight="1" x14ac:dyDescent="0.25">
      <c r="A597" s="306"/>
      <c r="B597" s="115"/>
      <c r="C597" s="115"/>
      <c r="D597" s="143" t="s">
        <v>2947</v>
      </c>
      <c r="E597" s="115" t="s">
        <v>2948</v>
      </c>
      <c r="F597" s="308"/>
      <c r="G597" s="114"/>
      <c r="H597" s="114"/>
      <c r="I597" s="114"/>
      <c r="J597" s="114">
        <v>36007</v>
      </c>
      <c r="K597" s="114">
        <v>36943</v>
      </c>
      <c r="L597" s="114">
        <f t="shared" si="157"/>
        <v>37719</v>
      </c>
      <c r="M597" s="114">
        <f t="shared" si="157"/>
        <v>38587</v>
      </c>
      <c r="N597" s="114">
        <f t="shared" si="157"/>
        <v>39475</v>
      </c>
      <c r="O597" s="114">
        <f t="shared" si="157"/>
        <v>40383</v>
      </c>
      <c r="P597" s="115"/>
      <c r="Q597" s="115"/>
      <c r="R597" s="115"/>
      <c r="S597" s="115"/>
      <c r="T597" s="115"/>
      <c r="U597" s="115"/>
      <c r="V597" s="115"/>
    </row>
    <row r="598" spans="1:22" ht="12.75" customHeight="1" x14ac:dyDescent="0.25">
      <c r="A598" s="306"/>
      <c r="B598" s="115"/>
      <c r="C598" s="115"/>
      <c r="D598" s="301"/>
      <c r="E598" s="115" t="s">
        <v>2949</v>
      </c>
      <c r="F598" s="308"/>
      <c r="G598" s="114"/>
      <c r="H598" s="114"/>
      <c r="I598" s="114"/>
      <c r="J598" s="114"/>
      <c r="K598" s="114"/>
      <c r="L598" s="114"/>
      <c r="M598" s="114"/>
      <c r="N598" s="114"/>
      <c r="O598" s="114"/>
      <c r="P598" s="115"/>
      <c r="Q598" s="115"/>
      <c r="R598" s="115"/>
      <c r="S598" s="115"/>
      <c r="T598" s="115"/>
      <c r="U598" s="115"/>
      <c r="V598" s="115"/>
    </row>
    <row r="599" spans="1:22" ht="12.75" customHeight="1" x14ac:dyDescent="0.25">
      <c r="A599" s="306"/>
      <c r="B599" s="115"/>
      <c r="C599" s="115"/>
      <c r="D599" s="301"/>
      <c r="E599" s="115" t="s">
        <v>2950</v>
      </c>
      <c r="F599" s="308"/>
      <c r="G599" s="114"/>
      <c r="H599" s="114"/>
      <c r="I599" s="114"/>
      <c r="J599" s="114"/>
      <c r="K599" s="114"/>
      <c r="L599" s="114"/>
      <c r="M599" s="114"/>
      <c r="N599" s="114"/>
      <c r="O599" s="114"/>
      <c r="P599" s="115"/>
      <c r="Q599" s="115"/>
      <c r="R599" s="115"/>
      <c r="S599" s="115"/>
      <c r="T599" s="115"/>
      <c r="U599" s="115"/>
      <c r="V599" s="115"/>
    </row>
    <row r="600" spans="1:22" ht="12.75" customHeight="1" x14ac:dyDescent="0.25">
      <c r="A600" s="306"/>
      <c r="B600" s="115"/>
      <c r="C600" s="115"/>
      <c r="D600" s="143" t="s">
        <v>2951</v>
      </c>
      <c r="E600" s="115" t="s">
        <v>2952</v>
      </c>
      <c r="F600" s="308"/>
      <c r="G600" s="114"/>
      <c r="H600" s="114"/>
      <c r="I600" s="114"/>
      <c r="J600" s="114">
        <v>123030</v>
      </c>
      <c r="K600" s="114">
        <v>126229</v>
      </c>
      <c r="L600" s="114">
        <f>ROUND(K600*T$2,0)</f>
        <v>128880</v>
      </c>
      <c r="M600" s="114">
        <f>ROUND(L600*U$2,0)</f>
        <v>131844</v>
      </c>
      <c r="N600" s="114">
        <f>ROUND(M600*V$2,0)</f>
        <v>134876</v>
      </c>
      <c r="O600" s="114">
        <f>ROUND(N600*W$2,0)</f>
        <v>137978</v>
      </c>
      <c r="P600" s="115"/>
      <c r="Q600" s="115"/>
      <c r="R600" s="115">
        <v>1135000</v>
      </c>
      <c r="S600" s="115">
        <f>+R600/6</f>
        <v>189166.66666666666</v>
      </c>
      <c r="T600" s="115"/>
      <c r="U600" s="115"/>
      <c r="V600" s="115"/>
    </row>
    <row r="601" spans="1:22" ht="12.75" customHeight="1" x14ac:dyDescent="0.25">
      <c r="A601" s="306"/>
      <c r="B601" s="115"/>
      <c r="C601" s="115"/>
      <c r="D601" s="143"/>
      <c r="E601" s="115" t="s">
        <v>2953</v>
      </c>
      <c r="F601" s="308"/>
      <c r="G601" s="114"/>
      <c r="H601" s="114"/>
      <c r="I601" s="114"/>
      <c r="J601" s="114"/>
      <c r="K601" s="114"/>
      <c r="L601" s="114"/>
      <c r="M601" s="114"/>
      <c r="N601" s="114"/>
      <c r="O601" s="114"/>
      <c r="P601" s="115"/>
      <c r="Q601" s="115"/>
      <c r="R601" s="115"/>
      <c r="S601" s="115">
        <v>80000</v>
      </c>
      <c r="T601" s="115"/>
      <c r="U601" s="115"/>
      <c r="V601" s="115"/>
    </row>
    <row r="602" spans="1:22" ht="12.75" customHeight="1" x14ac:dyDescent="0.25">
      <c r="A602" s="306"/>
      <c r="B602" s="115"/>
      <c r="C602" s="115"/>
      <c r="D602" s="143"/>
      <c r="E602" s="115" t="s">
        <v>2954</v>
      </c>
      <c r="F602" s="308"/>
      <c r="G602" s="114"/>
      <c r="H602" s="114"/>
      <c r="I602" s="114"/>
      <c r="J602" s="114"/>
      <c r="K602" s="114"/>
      <c r="L602" s="114"/>
      <c r="M602" s="114"/>
      <c r="N602" s="114"/>
      <c r="O602" s="114"/>
      <c r="P602" s="115"/>
      <c r="Q602" s="115"/>
      <c r="R602" s="115">
        <v>40000</v>
      </c>
      <c r="S602" s="115">
        <v>55000</v>
      </c>
      <c r="T602" s="115"/>
      <c r="U602" s="115"/>
      <c r="V602" s="115"/>
    </row>
    <row r="603" spans="1:22" ht="12.75" customHeight="1" x14ac:dyDescent="0.25">
      <c r="A603" s="306"/>
      <c r="B603" s="115"/>
      <c r="C603" s="115"/>
      <c r="D603" s="143" t="s">
        <v>2955</v>
      </c>
      <c r="E603" s="115" t="s">
        <v>2956</v>
      </c>
      <c r="F603" s="308"/>
      <c r="G603" s="114"/>
      <c r="H603" s="114"/>
      <c r="I603" s="114"/>
      <c r="J603" s="114">
        <v>7733</v>
      </c>
      <c r="K603" s="114">
        <v>7934</v>
      </c>
      <c r="L603" s="114">
        <f>ROUND(K603*T$2,0)</f>
        <v>8101</v>
      </c>
      <c r="M603" s="114">
        <f>ROUND(L603*U$2,0)</f>
        <v>8287</v>
      </c>
      <c r="N603" s="114">
        <f>ROUND(M603*V$2,0)</f>
        <v>8478</v>
      </c>
      <c r="O603" s="114">
        <f>ROUND(N603*W$2,0)</f>
        <v>8673</v>
      </c>
      <c r="P603" s="115"/>
      <c r="Q603" s="115"/>
      <c r="R603" s="115">
        <v>39000</v>
      </c>
      <c r="S603" s="115">
        <f>+S601+S602</f>
        <v>135000</v>
      </c>
      <c r="T603" s="115"/>
      <c r="U603" s="115"/>
      <c r="V603" s="115"/>
    </row>
    <row r="604" spans="1:22" ht="12.75" customHeight="1" x14ac:dyDescent="0.25">
      <c r="A604" s="306"/>
      <c r="B604" s="115"/>
      <c r="C604" s="115"/>
      <c r="D604" s="143"/>
      <c r="E604" s="115" t="s">
        <v>2957</v>
      </c>
      <c r="F604" s="308"/>
      <c r="G604" s="114"/>
      <c r="H604" s="114"/>
      <c r="I604" s="114"/>
      <c r="J604" s="114"/>
      <c r="K604" s="114"/>
      <c r="L604" s="114"/>
      <c r="M604" s="114"/>
      <c r="N604" s="114"/>
      <c r="O604" s="114"/>
      <c r="P604" s="115"/>
      <c r="Q604" s="115"/>
      <c r="R604" s="115"/>
      <c r="S604" s="115"/>
      <c r="T604" s="115"/>
      <c r="U604" s="115"/>
      <c r="V604" s="115"/>
    </row>
    <row r="605" spans="1:22" ht="12.75" customHeight="1" x14ac:dyDescent="0.25">
      <c r="A605" s="306"/>
      <c r="B605" s="115"/>
      <c r="C605" s="115"/>
      <c r="D605" s="143" t="s">
        <v>2966</v>
      </c>
      <c r="E605" s="115" t="s">
        <v>2967</v>
      </c>
      <c r="F605" s="308"/>
      <c r="G605" s="114"/>
      <c r="H605" s="114"/>
      <c r="I605" s="114"/>
      <c r="J605" s="114">
        <v>20000</v>
      </c>
      <c r="K605" s="114">
        <v>20520</v>
      </c>
      <c r="L605" s="114">
        <f>ROUND(K605*T$2,0)</f>
        <v>20951</v>
      </c>
      <c r="M605" s="114">
        <f>ROUND(L605*U$2,0)</f>
        <v>21433</v>
      </c>
      <c r="N605" s="114">
        <f>ROUND(M605*V$2,0)</f>
        <v>21926</v>
      </c>
      <c r="O605" s="114">
        <f>ROUND(N605*W$2,0)</f>
        <v>22430</v>
      </c>
      <c r="P605" s="115"/>
      <c r="Q605" s="115"/>
      <c r="R605" s="115"/>
      <c r="S605" s="115"/>
      <c r="T605" s="115"/>
      <c r="U605" s="115"/>
      <c r="V605" s="115"/>
    </row>
    <row r="606" spans="1:22" ht="12.75" customHeight="1" x14ac:dyDescent="0.25">
      <c r="A606" s="306"/>
      <c r="B606" s="115"/>
      <c r="C606" s="115"/>
      <c r="D606" s="143"/>
      <c r="E606" s="115" t="s">
        <v>2968</v>
      </c>
      <c r="F606" s="308"/>
      <c r="G606" s="114"/>
      <c r="H606" s="114"/>
      <c r="I606" s="114"/>
      <c r="J606" s="114"/>
      <c r="K606" s="114">
        <v>75000</v>
      </c>
      <c r="L606" s="114">
        <v>100000</v>
      </c>
      <c r="M606" s="114">
        <v>125000</v>
      </c>
      <c r="N606" s="114">
        <v>150000</v>
      </c>
      <c r="O606" s="544">
        <v>175000</v>
      </c>
      <c r="P606" s="115"/>
      <c r="Q606" s="115"/>
      <c r="R606" s="115"/>
      <c r="S606" s="115"/>
      <c r="T606" s="115"/>
      <c r="U606" s="115"/>
      <c r="V606" s="115"/>
    </row>
    <row r="607" spans="1:22" ht="12.75" customHeight="1" x14ac:dyDescent="0.25">
      <c r="A607" s="306"/>
      <c r="B607" s="115"/>
      <c r="C607" s="115"/>
      <c r="D607" s="143"/>
      <c r="E607" s="308" t="s">
        <v>2969</v>
      </c>
      <c r="F607" s="308"/>
      <c r="G607" s="114"/>
      <c r="H607" s="114"/>
      <c r="I607" s="114"/>
      <c r="J607" s="114"/>
      <c r="K607" s="114"/>
      <c r="L607" s="114"/>
      <c r="M607" s="114"/>
      <c r="N607" s="114"/>
      <c r="O607" s="114"/>
      <c r="P607" s="115"/>
      <c r="Q607" s="115"/>
      <c r="R607" s="115"/>
      <c r="S607" s="115"/>
      <c r="T607" s="115"/>
      <c r="U607" s="115"/>
      <c r="V607" s="115"/>
    </row>
    <row r="608" spans="1:22" ht="12.75" customHeight="1" x14ac:dyDescent="0.25">
      <c r="A608" s="306"/>
      <c r="B608" s="115"/>
      <c r="C608" s="115"/>
      <c r="D608" s="143"/>
      <c r="E608" s="115"/>
      <c r="F608" s="308"/>
      <c r="G608" s="114"/>
      <c r="H608" s="114"/>
      <c r="I608" s="114"/>
      <c r="J608" s="114"/>
      <c r="K608" s="114"/>
      <c r="L608" s="114"/>
      <c r="M608" s="114"/>
      <c r="N608" s="114"/>
      <c r="O608" s="114"/>
      <c r="P608" s="115"/>
      <c r="Q608" s="115"/>
      <c r="R608" s="115"/>
      <c r="S608" s="115"/>
      <c r="T608" s="115"/>
      <c r="U608" s="115"/>
      <c r="V608" s="115"/>
    </row>
    <row r="609" spans="1:22" ht="12.75" customHeight="1" x14ac:dyDescent="0.25">
      <c r="A609" s="306"/>
      <c r="B609" s="115"/>
      <c r="C609" s="115"/>
      <c r="D609" s="143"/>
      <c r="E609" s="115"/>
      <c r="F609" s="308"/>
      <c r="G609" s="114"/>
      <c r="H609" s="114"/>
      <c r="I609" s="114"/>
      <c r="J609" s="114"/>
      <c r="K609" s="114"/>
      <c r="L609" s="114"/>
      <c r="M609" s="114"/>
      <c r="N609" s="114"/>
      <c r="O609" s="114"/>
      <c r="P609" s="115"/>
      <c r="Q609" s="115"/>
      <c r="R609" s="115"/>
      <c r="S609" s="115"/>
      <c r="T609" s="115"/>
      <c r="U609" s="115"/>
      <c r="V609" s="115"/>
    </row>
    <row r="610" spans="1:22" ht="12.75" customHeight="1" thickBot="1" x14ac:dyDescent="0.3">
      <c r="A610" s="306"/>
      <c r="B610" s="115"/>
      <c r="C610" s="115"/>
      <c r="D610" s="384"/>
      <c r="E610" s="115" t="str">
        <f>"Totaal "&amp;D596</f>
        <v xml:space="preserve">Totaal </v>
      </c>
      <c r="F610" s="115"/>
      <c r="G610" s="114"/>
      <c r="H610" s="114"/>
      <c r="I610" s="114"/>
      <c r="J610" s="1744">
        <v>201468</v>
      </c>
      <c r="K610" s="1744">
        <v>281706</v>
      </c>
      <c r="L610" s="1744">
        <f>SUM(L593:L609)</f>
        <v>311047</v>
      </c>
      <c r="M610" s="1744">
        <f>SUM(M593:M609)</f>
        <v>340901</v>
      </c>
      <c r="N610" s="1744">
        <f>SUM(N593:N609)</f>
        <v>370867</v>
      </c>
      <c r="O610" s="1744">
        <f>SUM(O593:O609)</f>
        <v>400947</v>
      </c>
      <c r="P610" s="115"/>
      <c r="Q610" s="115"/>
      <c r="R610" s="115">
        <f>+R602+R603</f>
        <v>79000</v>
      </c>
      <c r="S610" s="115"/>
      <c r="T610" s="115"/>
      <c r="U610" s="115"/>
      <c r="V610" s="115"/>
    </row>
    <row r="611" spans="1:22" ht="12.75" customHeight="1" thickTop="1" x14ac:dyDescent="0.25">
      <c r="A611" s="306"/>
      <c r="B611" s="115"/>
      <c r="C611" s="115"/>
      <c r="D611" s="384"/>
      <c r="E611" s="115"/>
      <c r="F611" s="115"/>
      <c r="G611" s="114"/>
      <c r="H611" s="114"/>
      <c r="I611" s="114"/>
      <c r="J611" s="114"/>
      <c r="K611" s="114"/>
      <c r="L611" s="114"/>
      <c r="M611" s="114"/>
      <c r="N611" s="114"/>
      <c r="O611" s="114"/>
      <c r="P611" s="115"/>
      <c r="Q611" s="115"/>
      <c r="R611" s="115"/>
      <c r="S611" s="115"/>
      <c r="T611" s="115"/>
      <c r="U611" s="115"/>
      <c r="V611" s="115"/>
    </row>
    <row r="612" spans="1:22" ht="12.75" customHeight="1" x14ac:dyDescent="0.25">
      <c r="A612" s="306"/>
      <c r="B612" s="115"/>
      <c r="C612" s="115"/>
      <c r="D612" s="384"/>
      <c r="E612" s="115"/>
      <c r="F612" s="115"/>
      <c r="G612" s="114"/>
      <c r="H612" s="114"/>
      <c r="I612" s="114"/>
      <c r="J612" s="114"/>
      <c r="K612" s="114"/>
      <c r="L612" s="114"/>
      <c r="M612" s="114"/>
      <c r="N612" s="114"/>
      <c r="O612" s="114"/>
      <c r="P612" s="115"/>
      <c r="Q612" s="115"/>
      <c r="R612" s="115"/>
      <c r="S612" s="115"/>
      <c r="T612" s="115"/>
      <c r="U612" s="115"/>
      <c r="V612" s="115"/>
    </row>
    <row r="613" spans="1:22" ht="12.75" customHeight="1" x14ac:dyDescent="0.25">
      <c r="A613" s="306"/>
      <c r="B613" s="115"/>
      <c r="C613" s="115"/>
      <c r="D613" s="384">
        <v>43814</v>
      </c>
      <c r="E613" s="115" t="s">
        <v>2970</v>
      </c>
      <c r="F613" s="115"/>
      <c r="G613" s="486"/>
      <c r="H613" s="486"/>
      <c r="I613" s="486"/>
      <c r="J613" s="486"/>
      <c r="K613" s="486"/>
      <c r="L613" s="486"/>
      <c r="M613" s="486"/>
      <c r="N613" s="486"/>
      <c r="O613" s="486"/>
      <c r="P613" s="115"/>
      <c r="Q613" s="115"/>
      <c r="R613" s="115"/>
      <c r="S613" s="115"/>
      <c r="T613" s="115"/>
      <c r="U613" s="115"/>
      <c r="V613" s="115"/>
    </row>
    <row r="614" spans="1:22" ht="12.75" customHeight="1" x14ac:dyDescent="0.25">
      <c r="A614" s="306"/>
      <c r="B614" s="115"/>
      <c r="C614" s="115"/>
      <c r="D614" s="308"/>
      <c r="E614" s="115">
        <v>400</v>
      </c>
      <c r="F614" s="115" t="s">
        <v>2971</v>
      </c>
      <c r="G614" s="115"/>
      <c r="H614" s="1038">
        <v>123.82</v>
      </c>
      <c r="I614" s="1038"/>
      <c r="J614" s="114">
        <v>49528</v>
      </c>
      <c r="K614" s="114"/>
      <c r="L614" s="114"/>
      <c r="M614" s="114"/>
      <c r="N614" s="114"/>
      <c r="O614" s="114"/>
      <c r="P614" s="115"/>
      <c r="Q614" s="115"/>
      <c r="R614" s="115"/>
      <c r="S614" s="115"/>
      <c r="T614" s="115"/>
      <c r="U614" s="115"/>
      <c r="V614" s="115"/>
    </row>
    <row r="615" spans="1:22" ht="12.75" customHeight="1" x14ac:dyDescent="0.25">
      <c r="A615" s="306"/>
      <c r="B615" s="115"/>
      <c r="C615" s="115"/>
      <c r="D615" s="308"/>
      <c r="E615" s="115">
        <v>60</v>
      </c>
      <c r="F615" s="115" t="s">
        <v>2972</v>
      </c>
      <c r="G615" s="115"/>
      <c r="H615" s="1038">
        <v>275.14999999999998</v>
      </c>
      <c r="I615" s="1038"/>
      <c r="J615" s="114">
        <v>16509</v>
      </c>
      <c r="K615" s="114"/>
      <c r="L615" s="114"/>
      <c r="M615" s="114"/>
      <c r="N615" s="114"/>
      <c r="O615" s="114"/>
      <c r="P615" s="115"/>
      <c r="Q615" s="115"/>
      <c r="R615" s="115"/>
      <c r="S615" s="115"/>
      <c r="T615" s="115"/>
      <c r="U615" s="115"/>
      <c r="V615" s="115"/>
    </row>
    <row r="616" spans="1:22" ht="12.75" customHeight="1" x14ac:dyDescent="0.25">
      <c r="A616" s="306"/>
      <c r="B616" s="115"/>
      <c r="C616" s="115"/>
      <c r="D616" s="308"/>
      <c r="E616" s="115">
        <v>400</v>
      </c>
      <c r="F616" s="115" t="s">
        <v>2971</v>
      </c>
      <c r="G616" s="115"/>
      <c r="H616" s="1038">
        <f t="shared" ref="H616:H617" si="158">ROUND(H614*S$2,2)</f>
        <v>127.04</v>
      </c>
      <c r="I616" s="1038"/>
      <c r="J616" s="114"/>
      <c r="K616" s="114">
        <v>50816</v>
      </c>
      <c r="L616" s="114"/>
      <c r="M616" s="114"/>
      <c r="N616" s="114"/>
      <c r="O616" s="114"/>
      <c r="P616" s="115"/>
      <c r="Q616" s="115"/>
      <c r="R616" s="115"/>
      <c r="S616" s="115"/>
      <c r="T616" s="115"/>
      <c r="U616" s="115"/>
      <c r="V616" s="115"/>
    </row>
    <row r="617" spans="1:22" ht="12.75" customHeight="1" x14ac:dyDescent="0.25">
      <c r="A617" s="306"/>
      <c r="B617" s="115"/>
      <c r="C617" s="115"/>
      <c r="D617" s="308"/>
      <c r="E617" s="115">
        <v>60</v>
      </c>
      <c r="F617" s="115" t="s">
        <v>2972</v>
      </c>
      <c r="G617" s="115"/>
      <c r="H617" s="1038">
        <f t="shared" si="158"/>
        <v>282.3</v>
      </c>
      <c r="I617" s="1038"/>
      <c r="J617" s="114"/>
      <c r="K617" s="114">
        <v>16938</v>
      </c>
      <c r="L617" s="114"/>
      <c r="M617" s="114"/>
      <c r="N617" s="114"/>
      <c r="O617" s="114"/>
      <c r="P617" s="115"/>
      <c r="Q617" s="115"/>
      <c r="R617" s="115"/>
      <c r="S617" s="115"/>
      <c r="T617" s="115"/>
      <c r="U617" s="115"/>
      <c r="V617" s="115"/>
    </row>
    <row r="618" spans="1:22" ht="12.75" customHeight="1" x14ac:dyDescent="0.25">
      <c r="A618" s="306"/>
      <c r="B618" s="115"/>
      <c r="C618" s="115"/>
      <c r="D618" s="308"/>
      <c r="E618" s="115">
        <v>400</v>
      </c>
      <c r="F618" s="115" t="s">
        <v>2971</v>
      </c>
      <c r="G618" s="115"/>
      <c r="H618" s="1038">
        <f>ROUND(H616*T$2,2)</f>
        <v>129.71</v>
      </c>
      <c r="I618" s="1038"/>
      <c r="J618" s="114"/>
      <c r="K618" s="114"/>
      <c r="L618" s="114">
        <f>E618*H618</f>
        <v>51884</v>
      </c>
      <c r="M618" s="114"/>
      <c r="N618" s="114"/>
      <c r="O618" s="114"/>
      <c r="P618" s="115"/>
      <c r="Q618" s="115"/>
      <c r="R618" s="115"/>
      <c r="S618" s="115"/>
      <c r="T618" s="115"/>
      <c r="U618" s="115"/>
      <c r="V618" s="115"/>
    </row>
    <row r="619" spans="1:22" ht="12.75" customHeight="1" x14ac:dyDescent="0.25">
      <c r="A619" s="306"/>
      <c r="B619" s="115"/>
      <c r="C619" s="115"/>
      <c r="D619" s="308"/>
      <c r="E619" s="115">
        <v>60</v>
      </c>
      <c r="F619" s="115" t="s">
        <v>2972</v>
      </c>
      <c r="G619" s="115"/>
      <c r="H619" s="1038">
        <f>ROUND(H617*T$2,2)</f>
        <v>288.23</v>
      </c>
      <c r="I619" s="1038"/>
      <c r="J619" s="114"/>
      <c r="K619" s="114"/>
      <c r="L619" s="114">
        <f>E619*H619</f>
        <v>17293.800000000003</v>
      </c>
      <c r="M619" s="114"/>
      <c r="N619" s="114"/>
      <c r="O619" s="114"/>
      <c r="P619" s="115"/>
      <c r="Q619" s="115"/>
      <c r="R619" s="115"/>
      <c r="S619" s="115"/>
      <c r="T619" s="115"/>
      <c r="U619" s="115"/>
      <c r="V619" s="115"/>
    </row>
    <row r="620" spans="1:22" ht="12.75" customHeight="1" x14ac:dyDescent="0.25">
      <c r="A620" s="306"/>
      <c r="B620" s="115"/>
      <c r="C620" s="115"/>
      <c r="D620" s="308"/>
      <c r="E620" s="115">
        <v>400</v>
      </c>
      <c r="F620" s="115" t="s">
        <v>2971</v>
      </c>
      <c r="G620" s="115"/>
      <c r="H620" s="1038">
        <f>ROUND(H618*U$2,2)</f>
        <v>132.69</v>
      </c>
      <c r="I620" s="1038"/>
      <c r="J620" s="114"/>
      <c r="K620" s="114"/>
      <c r="L620" s="114"/>
      <c r="M620" s="114">
        <f>+E620*H620</f>
        <v>53076</v>
      </c>
      <c r="N620" s="114"/>
      <c r="O620" s="114"/>
      <c r="P620" s="115"/>
      <c r="Q620" s="115"/>
      <c r="R620" s="115"/>
      <c r="S620" s="115"/>
      <c r="T620" s="115"/>
      <c r="U620" s="115"/>
      <c r="V620" s="115"/>
    </row>
    <row r="621" spans="1:22" ht="12.75" customHeight="1" x14ac:dyDescent="0.25">
      <c r="A621" s="306"/>
      <c r="B621" s="115"/>
      <c r="C621" s="115"/>
      <c r="D621" s="308"/>
      <c r="E621" s="115">
        <v>60</v>
      </c>
      <c r="F621" s="115" t="s">
        <v>2972</v>
      </c>
      <c r="G621" s="115"/>
      <c r="H621" s="1038">
        <f>ROUND(H619*U$2,2)</f>
        <v>294.86</v>
      </c>
      <c r="I621" s="1038"/>
      <c r="J621" s="114"/>
      <c r="K621" s="114"/>
      <c r="L621" s="114"/>
      <c r="M621" s="114">
        <f>+E621*H621</f>
        <v>17691.600000000002</v>
      </c>
      <c r="N621" s="114"/>
      <c r="O621" s="114"/>
      <c r="P621" s="115"/>
      <c r="Q621" s="115"/>
      <c r="R621" s="115"/>
      <c r="S621" s="115"/>
      <c r="T621" s="115"/>
      <c r="U621" s="115"/>
      <c r="V621" s="115"/>
    </row>
    <row r="622" spans="1:22" ht="12.75" customHeight="1" x14ac:dyDescent="0.25">
      <c r="A622" s="306"/>
      <c r="B622" s="115"/>
      <c r="C622" s="115"/>
      <c r="D622" s="308"/>
      <c r="E622" s="115">
        <v>400</v>
      </c>
      <c r="F622" s="115" t="s">
        <v>2971</v>
      </c>
      <c r="G622" s="115"/>
      <c r="H622" s="1038">
        <f>ROUND(H620*V$2,2)</f>
        <v>135.74</v>
      </c>
      <c r="I622" s="1038"/>
      <c r="J622" s="114"/>
      <c r="K622" s="114"/>
      <c r="L622" s="114"/>
      <c r="M622" s="114"/>
      <c r="N622" s="114">
        <f>+E622*H622</f>
        <v>54296</v>
      </c>
      <c r="O622" s="114"/>
      <c r="P622" s="115"/>
      <c r="Q622" s="115"/>
      <c r="R622" s="115"/>
      <c r="S622" s="115"/>
      <c r="T622" s="115"/>
      <c r="U622" s="115"/>
      <c r="V622" s="115"/>
    </row>
    <row r="623" spans="1:22" ht="12.75" customHeight="1" x14ac:dyDescent="0.25">
      <c r="A623" s="306"/>
      <c r="B623" s="115"/>
      <c r="C623" s="115"/>
      <c r="D623" s="308"/>
      <c r="E623" s="115">
        <v>60</v>
      </c>
      <c r="F623" s="115" t="s">
        <v>2972</v>
      </c>
      <c r="G623" s="115"/>
      <c r="H623" s="1038">
        <f>ROUND(H621*V$2,2)</f>
        <v>301.64</v>
      </c>
      <c r="I623" s="1038"/>
      <c r="J623" s="114"/>
      <c r="K623" s="114"/>
      <c r="L623" s="114"/>
      <c r="M623" s="114"/>
      <c r="N623" s="114">
        <f>+E623*H623</f>
        <v>18098.399999999998</v>
      </c>
      <c r="O623" s="114"/>
      <c r="P623" s="115"/>
      <c r="Q623" s="115"/>
      <c r="R623" s="115"/>
      <c r="S623" s="115"/>
      <c r="T623" s="115"/>
      <c r="U623" s="115"/>
      <c r="V623" s="115"/>
    </row>
    <row r="624" spans="1:22" ht="12.75" customHeight="1" x14ac:dyDescent="0.25">
      <c r="A624" s="306"/>
      <c r="B624" s="115"/>
      <c r="C624" s="115"/>
      <c r="D624" s="308"/>
      <c r="E624" s="358">
        <v>400</v>
      </c>
      <c r="F624" s="358" t="s">
        <v>2971</v>
      </c>
      <c r="G624" s="358"/>
      <c r="H624" s="2062">
        <f>ROUND(H622*W$2,2)</f>
        <v>138.86000000000001</v>
      </c>
      <c r="I624" s="1038"/>
      <c r="J624" s="114"/>
      <c r="K624" s="114"/>
      <c r="L624" s="114"/>
      <c r="M624" s="114"/>
      <c r="N624" s="114"/>
      <c r="O624" s="114">
        <f>+E624*H624</f>
        <v>55544.000000000007</v>
      </c>
      <c r="P624" s="115"/>
      <c r="Q624" s="115"/>
      <c r="R624" s="115"/>
      <c r="S624" s="115"/>
      <c r="T624" s="115"/>
      <c r="U624" s="115"/>
      <c r="V624" s="115"/>
    </row>
    <row r="625" spans="1:22" ht="12.75" customHeight="1" x14ac:dyDescent="0.25">
      <c r="A625" s="306"/>
      <c r="B625" s="115"/>
      <c r="C625" s="115"/>
      <c r="D625" s="308"/>
      <c r="E625" s="358">
        <v>60</v>
      </c>
      <c r="F625" s="358" t="s">
        <v>2972</v>
      </c>
      <c r="G625" s="358"/>
      <c r="H625" s="2062">
        <f>ROUND(H623*W$2,2)</f>
        <v>308.58</v>
      </c>
      <c r="I625" s="1038"/>
      <c r="J625" s="114"/>
      <c r="K625" s="114"/>
      <c r="L625" s="114"/>
      <c r="M625" s="114"/>
      <c r="N625" s="114"/>
      <c r="O625" s="114">
        <f>+E625*H625</f>
        <v>18514.8</v>
      </c>
      <c r="P625" s="115"/>
      <c r="Q625" s="115"/>
      <c r="R625" s="115"/>
      <c r="S625" s="115"/>
      <c r="T625" s="115"/>
      <c r="U625" s="115"/>
      <c r="V625" s="115"/>
    </row>
    <row r="626" spans="1:22" ht="12.75" customHeight="1" x14ac:dyDescent="0.25">
      <c r="A626" s="306"/>
      <c r="B626" s="115"/>
      <c r="C626" s="115"/>
      <c r="D626" s="308"/>
      <c r="E626" s="115"/>
      <c r="F626" s="115"/>
      <c r="G626" s="115"/>
      <c r="H626" s="1038"/>
      <c r="I626" s="1038"/>
      <c r="J626" s="114"/>
      <c r="K626" s="114"/>
      <c r="L626" s="114"/>
      <c r="M626" s="114"/>
      <c r="N626" s="114"/>
      <c r="O626" s="114"/>
      <c r="P626" s="115"/>
      <c r="Q626" s="115"/>
      <c r="R626" s="115"/>
      <c r="S626" s="115"/>
      <c r="T626" s="115"/>
      <c r="U626" s="115"/>
      <c r="V626" s="115"/>
    </row>
    <row r="627" spans="1:22" ht="12.75" customHeight="1" thickBot="1" x14ac:dyDescent="0.3">
      <c r="A627" s="306"/>
      <c r="B627" s="115"/>
      <c r="C627" s="115"/>
      <c r="D627" s="384"/>
      <c r="E627" s="115" t="str">
        <f>"Totaal "&amp;D613</f>
        <v>Totaal 43814</v>
      </c>
      <c r="F627" s="115"/>
      <c r="G627" s="114"/>
      <c r="H627" s="114"/>
      <c r="I627" s="114"/>
      <c r="J627" s="1744">
        <v>66037</v>
      </c>
      <c r="K627" s="1744">
        <v>67754</v>
      </c>
      <c r="L627" s="1744">
        <f>SUM(L614:L626)</f>
        <v>69177.8</v>
      </c>
      <c r="M627" s="1744">
        <f>SUM(M614:M626)</f>
        <v>70767.600000000006</v>
      </c>
      <c r="N627" s="1744">
        <f>SUM(N614:N626)</f>
        <v>72394.399999999994</v>
      </c>
      <c r="O627" s="1744">
        <f>SUM(O614:O626)</f>
        <v>74058.8</v>
      </c>
      <c r="P627" s="115"/>
      <c r="Q627" s="115"/>
      <c r="R627" s="115"/>
      <c r="S627" s="115"/>
      <c r="T627" s="115"/>
      <c r="U627" s="115"/>
      <c r="V627" s="115"/>
    </row>
    <row r="628" spans="1:22" ht="12.75" customHeight="1" thickTop="1" x14ac:dyDescent="0.25">
      <c r="A628" s="306"/>
      <c r="B628" s="115"/>
      <c r="C628" s="115"/>
      <c r="D628" s="384"/>
      <c r="E628" s="308"/>
      <c r="F628" s="115"/>
      <c r="G628" s="114"/>
      <c r="H628" s="114"/>
      <c r="I628" s="114"/>
      <c r="J628" s="114"/>
      <c r="K628" s="114"/>
      <c r="L628" s="114"/>
      <c r="M628" s="114"/>
      <c r="N628" s="114"/>
      <c r="O628" s="114"/>
      <c r="P628" s="115"/>
      <c r="Q628" s="115"/>
      <c r="R628" s="115"/>
      <c r="S628" s="115"/>
      <c r="T628" s="115"/>
      <c r="U628" s="115"/>
      <c r="V628" s="115"/>
    </row>
    <row r="629" spans="1:22" ht="12.75" customHeight="1" x14ac:dyDescent="0.25">
      <c r="A629" s="306"/>
      <c r="B629" s="115"/>
      <c r="C629" s="115"/>
      <c r="D629" s="384"/>
      <c r="E629" s="308"/>
      <c r="F629" s="115"/>
      <c r="G629" s="114"/>
      <c r="H629" s="114"/>
      <c r="I629" s="114"/>
      <c r="J629" s="114"/>
      <c r="K629" s="114"/>
      <c r="L629" s="114"/>
      <c r="M629" s="114"/>
      <c r="N629" s="114"/>
      <c r="O629" s="114"/>
      <c r="P629" s="115"/>
      <c r="Q629" s="115"/>
      <c r="R629" s="115"/>
      <c r="S629" s="115"/>
      <c r="T629" s="115"/>
      <c r="U629" s="115"/>
      <c r="V629" s="115"/>
    </row>
    <row r="630" spans="1:22" ht="12.75" customHeight="1" x14ac:dyDescent="0.25">
      <c r="A630" s="336"/>
      <c r="B630" s="115"/>
      <c r="C630" s="115"/>
      <c r="D630" s="301"/>
      <c r="E630" s="1237"/>
      <c r="F630" s="115"/>
      <c r="G630" s="114"/>
      <c r="H630" s="114"/>
      <c r="I630" s="115"/>
      <c r="J630" s="1234"/>
      <c r="K630" s="1234"/>
      <c r="L630" s="1234"/>
      <c r="M630" s="1234"/>
      <c r="N630" s="1234"/>
      <c r="O630" s="1234"/>
      <c r="P630" s="114"/>
      <c r="Q630" s="115"/>
      <c r="R630" s="115"/>
      <c r="S630" s="115"/>
      <c r="T630" s="115"/>
      <c r="U630" s="115"/>
      <c r="V630" s="115"/>
    </row>
    <row r="631" spans="1:22" ht="12.75" customHeight="1" x14ac:dyDescent="0.25">
      <c r="A631" s="336"/>
      <c r="B631" s="115"/>
      <c r="C631" s="115"/>
      <c r="D631" s="393">
        <v>617020</v>
      </c>
      <c r="E631" s="381" t="s">
        <v>2973</v>
      </c>
      <c r="F631" s="115"/>
      <c r="G631" s="486"/>
      <c r="H631" s="486"/>
      <c r="I631" s="486"/>
      <c r="J631" s="407">
        <v>2025</v>
      </c>
      <c r="K631" s="407">
        <v>2026</v>
      </c>
      <c r="L631" s="407">
        <v>2027</v>
      </c>
      <c r="M631" s="407">
        <v>2028</v>
      </c>
      <c r="N631" s="407">
        <v>2029</v>
      </c>
      <c r="O631" s="407">
        <v>2030</v>
      </c>
      <c r="P631" s="115"/>
      <c r="Q631" s="115"/>
      <c r="R631" s="115"/>
      <c r="S631" s="115"/>
      <c r="T631" s="115"/>
      <c r="U631" s="115"/>
      <c r="V631" s="115"/>
    </row>
    <row r="632" spans="1:22" ht="12.75" customHeight="1" x14ac:dyDescent="0.25">
      <c r="A632" s="336"/>
      <c r="B632" s="115"/>
      <c r="C632" s="115"/>
      <c r="D632" s="393"/>
      <c r="E632" s="381"/>
      <c r="F632" s="115"/>
      <c r="G632" s="396"/>
      <c r="H632" s="396"/>
      <c r="I632" s="396"/>
      <c r="J632" s="396"/>
      <c r="K632" s="396"/>
      <c r="L632" s="396"/>
      <c r="M632" s="396"/>
      <c r="N632" s="396"/>
      <c r="O632" s="396"/>
      <c r="P632" s="115"/>
      <c r="Q632" s="115"/>
      <c r="R632" s="115"/>
      <c r="S632" s="115"/>
      <c r="T632" s="115"/>
      <c r="U632" s="115"/>
      <c r="V632" s="115"/>
    </row>
    <row r="633" spans="1:22" ht="12.75" customHeight="1" x14ac:dyDescent="0.25">
      <c r="A633" s="336"/>
      <c r="B633" s="115"/>
      <c r="C633" s="115"/>
      <c r="E633" s="396"/>
      <c r="F633" s="301"/>
      <c r="G633" s="115"/>
      <c r="H633" s="115"/>
      <c r="I633" s="115"/>
      <c r="J633" s="115"/>
      <c r="K633" s="115"/>
      <c r="L633" s="115"/>
      <c r="M633" s="115"/>
      <c r="N633" s="115"/>
      <c r="O633" s="115"/>
      <c r="P633" s="115"/>
      <c r="Q633" s="115"/>
      <c r="R633" s="115"/>
      <c r="S633" s="115"/>
      <c r="T633" s="115"/>
      <c r="U633" s="115"/>
      <c r="V633" s="115"/>
    </row>
    <row r="634" spans="1:22" ht="12.75" customHeight="1" x14ac:dyDescent="0.25">
      <c r="A634" s="336"/>
      <c r="B634" s="115"/>
      <c r="C634" s="115"/>
      <c r="D634" s="1723">
        <v>43812</v>
      </c>
      <c r="E634" s="1720" t="s">
        <v>5392</v>
      </c>
      <c r="F634" s="1720"/>
      <c r="G634" s="2177"/>
      <c r="H634" s="2177"/>
      <c r="I634" s="2177"/>
      <c r="J634" s="2177">
        <v>0</v>
      </c>
      <c r="K634" s="2177">
        <v>28000</v>
      </c>
      <c r="L634" s="2177">
        <v>0</v>
      </c>
      <c r="M634" s="2177">
        <f>ROUND(L634*U$2,0)</f>
        <v>0</v>
      </c>
      <c r="N634" s="2177">
        <f>ROUND(M634*V$2,0)</f>
        <v>0</v>
      </c>
      <c r="O634" s="2177">
        <f>ROUND(N634*W$2,0)</f>
        <v>0</v>
      </c>
      <c r="P634" s="115"/>
      <c r="Q634" s="115"/>
      <c r="R634" s="115"/>
      <c r="S634" s="115"/>
      <c r="T634" s="115"/>
      <c r="U634" s="115"/>
      <c r="V634" s="115"/>
    </row>
    <row r="635" spans="1:22" ht="12.75" customHeight="1" thickBot="1" x14ac:dyDescent="0.3">
      <c r="A635" s="336"/>
      <c r="B635" s="115"/>
      <c r="C635" s="115"/>
      <c r="D635" s="143"/>
      <c r="E635" s="115" t="str">
        <f>"Totaal "&amp;D634</f>
        <v>Totaal 43812</v>
      </c>
      <c r="F635" s="115"/>
      <c r="G635" s="114"/>
      <c r="H635" s="114"/>
      <c r="I635" s="114"/>
      <c r="J635" s="1744">
        <v>0</v>
      </c>
      <c r="K635" s="1744">
        <f>SUM(K634)</f>
        <v>28000</v>
      </c>
      <c r="L635" s="1744">
        <f>SUM(L634)</f>
        <v>0</v>
      </c>
      <c r="M635" s="1744">
        <f>SUM(M634)</f>
        <v>0</v>
      </c>
      <c r="N635" s="1744">
        <f>SUM(N634)</f>
        <v>0</v>
      </c>
      <c r="O635" s="1744">
        <f>SUM(O634)</f>
        <v>0</v>
      </c>
      <c r="P635" s="115"/>
      <c r="Q635" s="115"/>
      <c r="R635" s="115"/>
      <c r="S635" s="115"/>
      <c r="T635" s="115"/>
      <c r="U635" s="115"/>
      <c r="V635" s="115"/>
    </row>
    <row r="636" spans="1:22" ht="12.75" customHeight="1" thickTop="1" x14ac:dyDescent="0.25">
      <c r="A636" s="336"/>
      <c r="B636" s="115"/>
      <c r="C636" s="115"/>
      <c r="D636" s="301"/>
      <c r="E636" s="1237"/>
      <c r="F636" s="115"/>
      <c r="G636" s="114"/>
      <c r="H636" s="114"/>
      <c r="I636" s="115"/>
      <c r="J636" s="1234"/>
      <c r="K636" s="1234"/>
      <c r="L636" s="1234"/>
      <c r="M636" s="1234"/>
      <c r="N636" s="1234"/>
      <c r="O636" s="1234"/>
      <c r="P636" s="114"/>
      <c r="Q636" s="115"/>
      <c r="R636" s="115"/>
      <c r="S636" s="115"/>
      <c r="T636" s="115"/>
      <c r="U636" s="115"/>
      <c r="V636" s="115"/>
    </row>
    <row r="637" spans="1:22" ht="12.75" customHeight="1" x14ac:dyDescent="0.25">
      <c r="A637" s="336"/>
      <c r="B637" s="115"/>
      <c r="C637" s="115"/>
      <c r="D637" s="301"/>
      <c r="E637" s="1237"/>
      <c r="F637" s="115"/>
      <c r="G637" s="114"/>
      <c r="H637" s="114"/>
      <c r="I637" s="115"/>
      <c r="J637" s="1234"/>
      <c r="K637" s="1234"/>
      <c r="L637" s="1234"/>
      <c r="M637" s="1234"/>
      <c r="N637" s="1234"/>
      <c r="O637" s="1234"/>
      <c r="P637" s="114"/>
      <c r="Q637" s="115"/>
      <c r="R637" s="115"/>
      <c r="S637" s="115"/>
      <c r="T637" s="115"/>
      <c r="U637" s="115"/>
      <c r="V637" s="115"/>
    </row>
    <row r="638" spans="1:22" ht="12.75" customHeight="1" x14ac:dyDescent="0.25">
      <c r="A638" s="336"/>
      <c r="B638" s="115"/>
      <c r="C638" s="115"/>
      <c r="D638" s="393">
        <v>617021</v>
      </c>
      <c r="E638" s="381" t="s">
        <v>2808</v>
      </c>
      <c r="F638" s="115"/>
      <c r="G638" s="486"/>
      <c r="H638" s="486"/>
      <c r="I638" s="486"/>
      <c r="J638" s="486"/>
      <c r="K638" s="486"/>
      <c r="L638" s="486"/>
      <c r="M638" s="486"/>
      <c r="N638" s="486"/>
      <c r="O638" s="486"/>
      <c r="P638" s="115"/>
      <c r="Q638" s="115"/>
      <c r="R638" s="115"/>
      <c r="S638" s="115"/>
      <c r="T638" s="115"/>
      <c r="U638" s="115"/>
      <c r="V638" s="115"/>
    </row>
    <row r="639" spans="1:22" ht="12.75" customHeight="1" x14ac:dyDescent="0.25">
      <c r="A639" s="336"/>
      <c r="B639" s="115"/>
      <c r="C639" s="115"/>
      <c r="D639" s="393"/>
      <c r="E639" s="381"/>
      <c r="F639" s="115"/>
      <c r="G639" s="396"/>
      <c r="H639" s="396"/>
      <c r="I639" s="396"/>
      <c r="J639" s="396"/>
      <c r="K639" s="396"/>
      <c r="L639" s="396"/>
      <c r="M639" s="396"/>
      <c r="N639" s="396"/>
      <c r="O639" s="396"/>
      <c r="P639" s="115"/>
      <c r="Q639" s="115"/>
      <c r="R639" s="115"/>
      <c r="S639" s="115"/>
      <c r="T639" s="115"/>
      <c r="U639" s="115"/>
      <c r="V639" s="115"/>
    </row>
    <row r="640" spans="1:22" ht="12.75" customHeight="1" x14ac:dyDescent="0.25">
      <c r="A640" s="336"/>
      <c r="B640" s="115"/>
      <c r="C640" s="115"/>
      <c r="D640" s="143">
        <v>43812</v>
      </c>
      <c r="E640" s="396" t="s">
        <v>1711</v>
      </c>
      <c r="F640" s="301"/>
      <c r="G640" s="115"/>
      <c r="H640" s="115"/>
      <c r="I640" s="115"/>
      <c r="J640" s="115"/>
      <c r="K640" s="115"/>
      <c r="L640" s="115"/>
      <c r="M640" s="115"/>
      <c r="N640" s="115"/>
      <c r="O640" s="115"/>
      <c r="P640" s="115"/>
      <c r="Q640" s="115"/>
      <c r="R640" s="115"/>
      <c r="S640" s="115"/>
      <c r="T640" s="115"/>
      <c r="U640" s="115"/>
      <c r="V640" s="115"/>
    </row>
    <row r="641" spans="1:22" ht="12.75" customHeight="1" x14ac:dyDescent="0.25">
      <c r="A641" s="336"/>
      <c r="B641" s="115"/>
      <c r="C641" s="115"/>
      <c r="D641" s="143"/>
      <c r="E641" s="115" t="s">
        <v>2974</v>
      </c>
      <c r="F641" s="115"/>
      <c r="G641" s="114"/>
      <c r="H641" s="114"/>
      <c r="I641" s="114"/>
      <c r="J641" s="114">
        <v>23984</v>
      </c>
      <c r="K641" s="114">
        <v>72819</v>
      </c>
      <c r="L641" s="114">
        <v>72819</v>
      </c>
      <c r="M641" s="114">
        <v>72819</v>
      </c>
      <c r="N641" s="114">
        <v>259615</v>
      </c>
      <c r="O641" s="544">
        <v>0</v>
      </c>
      <c r="P641" s="115"/>
      <c r="Q641" s="115"/>
      <c r="R641" s="115"/>
      <c r="S641" s="115"/>
      <c r="T641" s="115"/>
      <c r="U641" s="115"/>
      <c r="V641" s="115"/>
    </row>
    <row r="642" spans="1:22" ht="12.75" customHeight="1" thickBot="1" x14ac:dyDescent="0.3">
      <c r="A642" s="336"/>
      <c r="B642" s="115"/>
      <c r="C642" s="115"/>
      <c r="D642" s="143"/>
      <c r="E642" s="115" t="str">
        <f>"Totaal "&amp;D640</f>
        <v>Totaal 43812</v>
      </c>
      <c r="F642" s="115"/>
      <c r="G642" s="114"/>
      <c r="H642" s="114"/>
      <c r="I642" s="114"/>
      <c r="J642" s="1744">
        <v>23984</v>
      </c>
      <c r="K642" s="1744">
        <v>72819</v>
      </c>
      <c r="L642" s="1744">
        <f>SUM(L641)</f>
        <v>72819</v>
      </c>
      <c r="M642" s="1744">
        <f>SUM(M641)</f>
        <v>72819</v>
      </c>
      <c r="N642" s="1744">
        <f>SUM(N641)</f>
        <v>259615</v>
      </c>
      <c r="O642" s="1744">
        <f>SUM(O641)</f>
        <v>0</v>
      </c>
      <c r="P642" s="115"/>
      <c r="Q642" s="115"/>
      <c r="R642" s="115"/>
      <c r="S642" s="115"/>
      <c r="T642" s="115"/>
      <c r="U642" s="115"/>
      <c r="V642" s="115"/>
    </row>
    <row r="643" spans="1:22" ht="12.75" customHeight="1" thickTop="1" x14ac:dyDescent="0.25">
      <c r="A643" s="336"/>
      <c r="B643" s="115"/>
      <c r="C643" s="115"/>
      <c r="D643" s="301"/>
      <c r="E643" s="1237"/>
      <c r="F643" s="115"/>
      <c r="G643" s="114"/>
      <c r="H643" s="114"/>
      <c r="I643" s="115"/>
      <c r="J643" s="1234"/>
      <c r="K643" s="1234"/>
      <c r="L643" s="1234"/>
      <c r="M643" s="1234"/>
      <c r="N643" s="1234"/>
      <c r="O643" s="1234"/>
      <c r="P643" s="114"/>
      <c r="Q643" s="115"/>
      <c r="R643" s="115"/>
      <c r="S643" s="115"/>
      <c r="T643" s="115"/>
      <c r="U643" s="115"/>
      <c r="V643" s="115"/>
    </row>
    <row r="644" spans="1:22" ht="12.75" customHeight="1" x14ac:dyDescent="0.25">
      <c r="A644" s="336"/>
      <c r="B644" s="115"/>
      <c r="C644" s="115"/>
      <c r="D644" s="301"/>
      <c r="E644" s="1237"/>
      <c r="F644" s="115"/>
      <c r="G644" s="114"/>
      <c r="H644" s="114"/>
      <c r="I644" s="115"/>
      <c r="J644" s="1234"/>
      <c r="K644" s="1234"/>
      <c r="L644" s="1234"/>
      <c r="M644" s="1234"/>
      <c r="N644" s="1234"/>
      <c r="O644" s="1234"/>
      <c r="P644" s="114"/>
      <c r="Q644" s="115"/>
      <c r="R644" s="115"/>
      <c r="S644" s="115"/>
      <c r="T644" s="115"/>
      <c r="U644" s="115"/>
      <c r="V644" s="115"/>
    </row>
    <row r="645" spans="1:22" ht="12.75" customHeight="1" x14ac:dyDescent="0.25">
      <c r="A645" s="336"/>
      <c r="B645" s="115"/>
      <c r="C645" s="115"/>
      <c r="D645" s="115"/>
      <c r="E645" s="115"/>
      <c r="F645" s="115"/>
      <c r="G645" s="114"/>
      <c r="H645" s="114"/>
      <c r="I645" s="115"/>
      <c r="J645" s="1234"/>
      <c r="K645" s="1234"/>
      <c r="L645" s="1234"/>
      <c r="M645" s="1234"/>
      <c r="N645" s="1234"/>
      <c r="O645" s="1234"/>
      <c r="P645" s="114"/>
      <c r="Q645" s="115"/>
      <c r="R645" s="115"/>
      <c r="S645" s="115"/>
      <c r="T645" s="115"/>
      <c r="U645" s="115"/>
      <c r="V645" s="115"/>
    </row>
    <row r="646" spans="1:22" ht="12.75" customHeight="1" x14ac:dyDescent="0.25">
      <c r="A646" s="306"/>
      <c r="B646" s="115"/>
      <c r="C646" s="115"/>
      <c r="D646" s="393">
        <v>617023</v>
      </c>
      <c r="E646" s="1238" t="s">
        <v>2975</v>
      </c>
      <c r="F646" s="115"/>
      <c r="G646" s="114"/>
      <c r="H646" s="114"/>
      <c r="I646" s="114"/>
      <c r="J646" s="407">
        <v>2025</v>
      </c>
      <c r="K646" s="501">
        <v>2026</v>
      </c>
      <c r="L646" s="407">
        <v>2027</v>
      </c>
      <c r="M646" s="501">
        <v>2028</v>
      </c>
      <c r="N646" s="407">
        <v>2029</v>
      </c>
      <c r="O646" s="407">
        <v>2030</v>
      </c>
      <c r="P646" s="115"/>
      <c r="Q646" s="115"/>
      <c r="R646" s="115"/>
      <c r="S646" s="115"/>
      <c r="T646" s="115"/>
      <c r="U646" s="115"/>
      <c r="V646" s="115"/>
    </row>
    <row r="647" spans="1:22" ht="12.75" customHeight="1" x14ac:dyDescent="0.25">
      <c r="A647" s="306"/>
      <c r="B647" s="115"/>
      <c r="C647" s="115"/>
      <c r="D647" s="115"/>
      <c r="E647" s="383"/>
      <c r="F647" s="115"/>
      <c r="G647" s="114"/>
      <c r="H647" s="114"/>
      <c r="I647" s="114"/>
      <c r="J647" s="114"/>
      <c r="K647" s="114"/>
      <c r="L647" s="114"/>
      <c r="M647" s="114"/>
      <c r="N647" s="114"/>
      <c r="O647" s="114"/>
      <c r="P647" s="115"/>
      <c r="Q647" s="115"/>
      <c r="R647" s="115"/>
      <c r="S647" s="115"/>
      <c r="T647" s="115"/>
      <c r="U647" s="115"/>
      <c r="V647" s="115"/>
    </row>
    <row r="648" spans="1:22" ht="12.75" customHeight="1" x14ac:dyDescent="0.25">
      <c r="A648" s="306"/>
      <c r="B648" s="115"/>
      <c r="C648" s="115"/>
      <c r="D648" s="143">
        <v>43812</v>
      </c>
      <c r="E648" s="308" t="s">
        <v>2976</v>
      </c>
      <c r="F648" s="115"/>
      <c r="G648" s="114"/>
      <c r="H648" s="114"/>
      <c r="I648" s="114"/>
      <c r="J648" s="114">
        <v>0</v>
      </c>
      <c r="K648" s="114">
        <v>100000</v>
      </c>
      <c r="L648" s="114">
        <v>200000</v>
      </c>
      <c r="M648" s="114">
        <v>200000</v>
      </c>
      <c r="N648" s="114">
        <v>200000</v>
      </c>
      <c r="O648" s="114">
        <v>200000</v>
      </c>
      <c r="P648" s="115"/>
      <c r="Q648" s="115"/>
      <c r="R648" s="115"/>
      <c r="S648" s="115"/>
      <c r="T648" s="115"/>
      <c r="U648" s="115"/>
      <c r="V648" s="115"/>
    </row>
    <row r="649" spans="1:22" ht="12.75" customHeight="1" x14ac:dyDescent="0.25">
      <c r="A649" s="306"/>
      <c r="B649" s="115"/>
      <c r="C649" s="115"/>
      <c r="D649" s="143"/>
      <c r="E649" s="308" t="s">
        <v>2977</v>
      </c>
      <c r="F649" s="115"/>
      <c r="G649" s="114"/>
      <c r="H649" s="114"/>
      <c r="I649" s="114"/>
      <c r="J649" s="114">
        <v>0</v>
      </c>
      <c r="K649" s="114">
        <v>50000</v>
      </c>
      <c r="L649" s="114">
        <v>75000</v>
      </c>
      <c r="M649" s="114">
        <v>75000</v>
      </c>
      <c r="N649" s="114">
        <v>100000</v>
      </c>
      <c r="O649" s="544">
        <v>125000</v>
      </c>
      <c r="P649" s="115"/>
      <c r="Q649" s="115"/>
      <c r="R649" s="115"/>
      <c r="S649" s="115"/>
      <c r="T649" s="115"/>
      <c r="U649" s="115"/>
      <c r="V649" s="115"/>
    </row>
    <row r="650" spans="1:22" ht="12.75" customHeight="1" x14ac:dyDescent="0.25">
      <c r="A650" s="306"/>
      <c r="B650" s="115"/>
      <c r="C650" s="115"/>
      <c r="D650" s="143"/>
      <c r="E650" s="308" t="s">
        <v>2978</v>
      </c>
      <c r="F650" s="115"/>
      <c r="G650" s="114"/>
      <c r="H650" s="114"/>
      <c r="I650" s="114"/>
      <c r="J650" s="114">
        <v>0</v>
      </c>
      <c r="K650" s="114">
        <v>80000</v>
      </c>
      <c r="L650" s="114">
        <v>380000</v>
      </c>
      <c r="M650" s="114">
        <v>380000</v>
      </c>
      <c r="N650" s="114">
        <v>380000</v>
      </c>
      <c r="O650" s="114">
        <v>380000</v>
      </c>
      <c r="P650" s="115"/>
      <c r="Q650" s="115"/>
      <c r="R650" s="115"/>
      <c r="S650" s="115"/>
      <c r="T650" s="115"/>
      <c r="U650" s="115"/>
      <c r="V650" s="115"/>
    </row>
    <row r="651" spans="1:22" ht="12.75" customHeight="1" thickBot="1" x14ac:dyDescent="0.3">
      <c r="A651" s="306"/>
      <c r="B651" s="115"/>
      <c r="C651" s="115"/>
      <c r="D651" s="143"/>
      <c r="E651" s="115" t="s">
        <v>619</v>
      </c>
      <c r="F651" s="115"/>
      <c r="G651" s="114"/>
      <c r="H651" s="114"/>
      <c r="I651" s="114"/>
      <c r="J651" s="1744">
        <v>0</v>
      </c>
      <c r="K651" s="1744">
        <v>230000</v>
      </c>
      <c r="L651" s="1744">
        <f>SUM(L648:L650)</f>
        <v>655000</v>
      </c>
      <c r="M651" s="1744">
        <f>SUM(M648:M650)</f>
        <v>655000</v>
      </c>
      <c r="N651" s="1744">
        <f>SUM(N648:N650)</f>
        <v>680000</v>
      </c>
      <c r="O651" s="1744">
        <f>SUM(O648:O650)</f>
        <v>705000</v>
      </c>
      <c r="P651" s="115"/>
      <c r="Q651" s="115"/>
      <c r="R651" s="115"/>
      <c r="S651" s="115"/>
      <c r="T651" s="115"/>
      <c r="U651" s="115"/>
      <c r="V651" s="115"/>
    </row>
    <row r="652" spans="1:22" ht="12.75" customHeight="1" thickTop="1" x14ac:dyDescent="0.25">
      <c r="A652" s="306"/>
      <c r="B652" s="115"/>
      <c r="C652" s="115"/>
      <c r="D652" s="143"/>
      <c r="E652" s="115"/>
      <c r="F652" s="115"/>
      <c r="G652" s="114"/>
      <c r="H652" s="114"/>
      <c r="I652" s="114"/>
      <c r="J652" s="114"/>
      <c r="K652" s="114"/>
      <c r="L652" s="114"/>
      <c r="M652" s="114"/>
      <c r="N652" s="114"/>
      <c r="O652" s="114"/>
      <c r="P652" s="115"/>
      <c r="Q652" s="115"/>
      <c r="R652" s="115"/>
      <c r="S652" s="115"/>
      <c r="T652" s="115"/>
      <c r="U652" s="115"/>
      <c r="V652" s="115"/>
    </row>
    <row r="653" spans="1:22" ht="12.75" customHeight="1" x14ac:dyDescent="0.25">
      <c r="A653" s="336"/>
      <c r="B653" s="115"/>
      <c r="C653" s="115"/>
      <c r="D653" s="301"/>
      <c r="E653" s="2574" t="s">
        <v>2979</v>
      </c>
      <c r="F653" s="2575"/>
      <c r="G653" s="2575"/>
      <c r="H653" s="2575"/>
      <c r="I653" s="2575"/>
      <c r="J653" s="2575"/>
      <c r="K653" s="2575"/>
      <c r="L653" s="2575"/>
      <c r="M653" s="2575"/>
      <c r="N653" s="1665"/>
      <c r="O653" s="1665"/>
      <c r="P653" s="114"/>
      <c r="Q653" s="115"/>
      <c r="R653" s="115"/>
      <c r="S653" s="115"/>
      <c r="T653" s="115"/>
      <c r="U653" s="115"/>
      <c r="V653" s="115"/>
    </row>
    <row r="654" spans="1:22" ht="12.75" customHeight="1" x14ac:dyDescent="0.25">
      <c r="A654" s="336"/>
      <c r="B654" s="115"/>
      <c r="C654" s="115"/>
      <c r="D654" s="301"/>
      <c r="E654" s="2574"/>
      <c r="F654" s="2575"/>
      <c r="G654" s="2575"/>
      <c r="H654" s="2575"/>
      <c r="I654" s="2575"/>
      <c r="J654" s="2575"/>
      <c r="K654" s="2575"/>
      <c r="L654" s="2575"/>
      <c r="M654" s="2575"/>
      <c r="N654" s="1665"/>
      <c r="O654" s="1665"/>
      <c r="P654" s="114"/>
      <c r="Q654" s="115"/>
      <c r="R654" s="115"/>
      <c r="S654" s="115"/>
      <c r="T654" s="115"/>
      <c r="U654" s="115"/>
      <c r="V654" s="115"/>
    </row>
    <row r="655" spans="1:22" ht="12.75" customHeight="1" x14ac:dyDescent="0.25">
      <c r="A655" s="336"/>
      <c r="B655" s="115"/>
      <c r="C655" s="115"/>
      <c r="D655" s="301"/>
      <c r="E655" s="2574"/>
      <c r="F655" s="2575"/>
      <c r="G655" s="2575"/>
      <c r="H655" s="2575"/>
      <c r="I655" s="2575"/>
      <c r="J655" s="2575"/>
      <c r="K655" s="2575"/>
      <c r="L655" s="2575"/>
      <c r="M655" s="2575"/>
      <c r="N655" s="1665"/>
      <c r="O655" s="1665"/>
      <c r="P655" s="114"/>
      <c r="Q655" s="115"/>
      <c r="R655" s="115"/>
      <c r="S655" s="115"/>
      <c r="T655" s="115"/>
      <c r="U655" s="115"/>
      <c r="V655" s="115"/>
    </row>
    <row r="656" spans="1:22" ht="12.75" customHeight="1" x14ac:dyDescent="0.25">
      <c r="A656" s="336"/>
      <c r="B656" s="115"/>
      <c r="C656" s="115"/>
      <c r="D656" s="301"/>
      <c r="E656" s="2575"/>
      <c r="F656" s="2575"/>
      <c r="G656" s="2575"/>
      <c r="H656" s="2575"/>
      <c r="I656" s="2575"/>
      <c r="J656" s="2575"/>
      <c r="K656" s="2575"/>
      <c r="L656" s="2575"/>
      <c r="M656" s="2575"/>
      <c r="N656" s="1665"/>
      <c r="O656" s="1665"/>
      <c r="P656" s="114"/>
      <c r="Q656" s="115"/>
      <c r="R656" s="115"/>
      <c r="S656" s="115"/>
      <c r="T656" s="115"/>
      <c r="U656" s="115"/>
      <c r="V656" s="115"/>
    </row>
    <row r="657" spans="1:22" ht="12.75" customHeight="1" x14ac:dyDescent="0.25">
      <c r="A657" s="336"/>
      <c r="B657" s="115"/>
      <c r="C657" s="115"/>
      <c r="D657" s="301"/>
      <c r="E657" s="2575"/>
      <c r="F657" s="2575"/>
      <c r="G657" s="2575"/>
      <c r="H657" s="2575"/>
      <c r="I657" s="2575"/>
      <c r="J657" s="2575"/>
      <c r="K657" s="2575"/>
      <c r="L657" s="2575"/>
      <c r="M657" s="2575"/>
      <c r="N657" s="1665"/>
      <c r="O657" s="1665"/>
      <c r="P657" s="114"/>
      <c r="Q657" s="115"/>
      <c r="R657" s="115"/>
      <c r="S657" s="115"/>
      <c r="T657" s="115"/>
      <c r="U657" s="115"/>
      <c r="V657" s="115"/>
    </row>
    <row r="658" spans="1:22" ht="12.75" customHeight="1" x14ac:dyDescent="0.25">
      <c r="A658" s="336"/>
      <c r="B658" s="115"/>
      <c r="C658" s="115"/>
      <c r="D658" s="301"/>
      <c r="E658" s="2575"/>
      <c r="F658" s="2575"/>
      <c r="G658" s="2575"/>
      <c r="H658" s="2575"/>
      <c r="I658" s="2575"/>
      <c r="J658" s="2575"/>
      <c r="K658" s="2575"/>
      <c r="L658" s="2575"/>
      <c r="M658" s="2575"/>
      <c r="N658" s="1665"/>
      <c r="O658" s="1665"/>
      <c r="P658" s="114"/>
      <c r="Q658" s="115"/>
      <c r="R658" s="115"/>
      <c r="S658" s="115"/>
      <c r="T658" s="115"/>
      <c r="U658" s="115"/>
      <c r="V658" s="115"/>
    </row>
    <row r="659" spans="1:22" ht="12.75" customHeight="1" x14ac:dyDescent="0.25">
      <c r="A659" s="336"/>
      <c r="B659" s="115"/>
      <c r="C659" s="115"/>
      <c r="D659" s="301"/>
      <c r="E659" s="1237"/>
      <c r="F659" s="115"/>
      <c r="G659" s="114"/>
      <c r="H659" s="114"/>
      <c r="I659" s="115"/>
      <c r="J659" s="1234"/>
      <c r="K659" s="1234"/>
      <c r="L659" s="1234"/>
      <c r="M659" s="1234"/>
      <c r="N659" s="1234"/>
      <c r="O659" s="1234"/>
      <c r="P659" s="114"/>
      <c r="Q659" s="115"/>
      <c r="R659" s="115"/>
      <c r="S659" s="115"/>
      <c r="T659" s="115"/>
      <c r="U659" s="115"/>
      <c r="V659" s="115"/>
    </row>
    <row r="660" spans="1:22" ht="12.75" customHeight="1" x14ac:dyDescent="0.25">
      <c r="A660" s="336"/>
      <c r="B660" s="115"/>
      <c r="C660" s="115"/>
      <c r="D660" s="301"/>
      <c r="E660" s="1239" t="s">
        <v>2980</v>
      </c>
      <c r="F660" s="115"/>
      <c r="G660" s="114"/>
      <c r="H660" s="114"/>
      <c r="I660" s="115"/>
      <c r="J660" s="1234"/>
      <c r="K660" s="1234"/>
      <c r="L660" s="1234"/>
      <c r="M660" s="1234"/>
      <c r="N660" s="1234"/>
      <c r="O660" s="1234"/>
      <c r="P660" s="114"/>
      <c r="Q660" s="115"/>
      <c r="R660" s="115"/>
      <c r="S660" s="115"/>
      <c r="T660" s="115"/>
      <c r="U660" s="115"/>
      <c r="V660" s="115"/>
    </row>
    <row r="661" spans="1:22" ht="12.75" customHeight="1" x14ac:dyDescent="0.25">
      <c r="A661" s="336"/>
      <c r="B661" s="115"/>
      <c r="C661" s="115"/>
      <c r="D661" s="301"/>
      <c r="E661" s="1239" t="s">
        <v>2981</v>
      </c>
      <c r="F661" s="115"/>
      <c r="G661" s="114"/>
      <c r="H661" s="114"/>
      <c r="I661" s="115"/>
      <c r="J661" s="1234"/>
      <c r="K661" s="1234"/>
      <c r="L661" s="1234"/>
      <c r="M661" s="1234"/>
      <c r="N661" s="1234"/>
      <c r="O661" s="1234"/>
      <c r="P661" s="114"/>
      <c r="Q661" s="115"/>
      <c r="R661" s="115"/>
      <c r="S661" s="115"/>
      <c r="T661" s="115"/>
      <c r="U661" s="115"/>
      <c r="V661" s="115"/>
    </row>
    <row r="662" spans="1:22" ht="12.75" customHeight="1" x14ac:dyDescent="0.25">
      <c r="A662" s="336"/>
      <c r="B662" s="115"/>
      <c r="C662" s="115"/>
      <c r="D662" s="301"/>
      <c r="E662" s="1239"/>
      <c r="F662" s="115"/>
      <c r="G662" s="114"/>
      <c r="H662" s="114"/>
      <c r="I662" s="115"/>
      <c r="J662" s="1234"/>
      <c r="K662" s="1234"/>
      <c r="L662" s="1234"/>
      <c r="M662" s="1234"/>
      <c r="N662" s="1234"/>
      <c r="O662" s="1234"/>
      <c r="P662" s="114"/>
      <c r="Q662" s="115"/>
      <c r="R662" s="115"/>
      <c r="S662" s="115"/>
      <c r="T662" s="115"/>
      <c r="U662" s="115"/>
      <c r="V662" s="115"/>
    </row>
    <row r="663" spans="1:22" ht="12.75" customHeight="1" x14ac:dyDescent="0.25">
      <c r="A663" s="336"/>
      <c r="B663" s="115"/>
      <c r="C663" s="115"/>
      <c r="D663" s="301"/>
      <c r="E663" s="1237" t="s">
        <v>2982</v>
      </c>
      <c r="F663" s="115"/>
      <c r="G663" s="114"/>
      <c r="H663" s="114"/>
      <c r="I663" s="115"/>
      <c r="J663" s="1234"/>
      <c r="K663" s="1234"/>
      <c r="L663" s="1234"/>
      <c r="M663" s="1234"/>
      <c r="N663" s="1234"/>
      <c r="O663" s="1234"/>
      <c r="P663" s="114"/>
      <c r="Q663" s="115"/>
      <c r="R663" s="115"/>
      <c r="S663" s="115"/>
      <c r="T663" s="115"/>
      <c r="U663" s="115"/>
      <c r="V663" s="115"/>
    </row>
    <row r="664" spans="1:22" ht="12.75" customHeight="1" x14ac:dyDescent="0.25">
      <c r="A664" s="336"/>
      <c r="B664" s="115"/>
      <c r="C664" s="115"/>
      <c r="D664" s="301"/>
      <c r="E664" s="1237" t="s">
        <v>2983</v>
      </c>
      <c r="F664" s="115"/>
      <c r="G664" s="114"/>
      <c r="H664" s="114"/>
      <c r="I664" s="115"/>
      <c r="J664" s="1234"/>
      <c r="K664" s="1234"/>
      <c r="L664" s="1234"/>
      <c r="M664" s="1234"/>
      <c r="N664" s="1234"/>
      <c r="O664" s="1234"/>
      <c r="P664" s="114"/>
      <c r="Q664" s="115"/>
      <c r="R664" s="115"/>
      <c r="S664" s="115"/>
      <c r="T664" s="115"/>
      <c r="U664" s="115"/>
      <c r="V664" s="115"/>
    </row>
    <row r="665" spans="1:22" ht="12.75" customHeight="1" x14ac:dyDescent="0.25">
      <c r="A665" s="336"/>
      <c r="B665" s="115"/>
      <c r="C665" s="115"/>
      <c r="D665" s="301"/>
      <c r="E665" s="1237" t="s">
        <v>2984</v>
      </c>
      <c r="F665" s="115"/>
      <c r="G665" s="114"/>
      <c r="H665" s="114"/>
      <c r="I665" s="115"/>
      <c r="J665" s="1234"/>
      <c r="K665" s="1234"/>
      <c r="L665" s="1234"/>
      <c r="M665" s="1234"/>
      <c r="N665" s="1234"/>
      <c r="O665" s="1234"/>
      <c r="P665" s="114"/>
      <c r="Q665" s="115"/>
      <c r="R665" s="115"/>
      <c r="S665" s="115"/>
      <c r="T665" s="115"/>
      <c r="U665" s="115"/>
      <c r="V665" s="115"/>
    </row>
    <row r="666" spans="1:22" ht="12.75" customHeight="1" x14ac:dyDescent="0.25">
      <c r="A666" s="336"/>
      <c r="B666" s="115"/>
      <c r="C666" s="115"/>
      <c r="D666" s="301"/>
      <c r="E666" s="1237" t="s">
        <v>2985</v>
      </c>
      <c r="F666" s="115"/>
      <c r="G666" s="114"/>
      <c r="H666" s="114"/>
      <c r="I666" s="115"/>
      <c r="J666" s="1234"/>
      <c r="K666" s="1234"/>
      <c r="L666" s="1234"/>
      <c r="M666" s="1234"/>
      <c r="N666" s="1234"/>
      <c r="O666" s="1234"/>
      <c r="P666" s="114"/>
      <c r="Q666" s="115"/>
      <c r="R666" s="115"/>
      <c r="S666" s="115"/>
      <c r="T666" s="115"/>
      <c r="U666" s="115"/>
      <c r="V666" s="115"/>
    </row>
    <row r="667" spans="1:22" ht="12.75" customHeight="1" x14ac:dyDescent="0.25">
      <c r="A667" s="336"/>
      <c r="B667" s="115"/>
      <c r="C667" s="115"/>
      <c r="D667" s="301"/>
      <c r="E667" s="1237" t="s">
        <v>2986</v>
      </c>
      <c r="F667" s="115"/>
      <c r="G667" s="114"/>
      <c r="H667" s="114"/>
      <c r="I667" s="115"/>
      <c r="J667" s="1234"/>
      <c r="K667" s="1234"/>
      <c r="L667" s="1234"/>
      <c r="M667" s="1234"/>
      <c r="N667" s="1234"/>
      <c r="O667" s="1234"/>
      <c r="P667" s="114"/>
      <c r="Q667" s="115"/>
      <c r="R667" s="115"/>
      <c r="S667" s="115"/>
      <c r="T667" s="115"/>
      <c r="U667" s="115"/>
      <c r="V667" s="115"/>
    </row>
    <row r="668" spans="1:22" ht="12.75" customHeight="1" x14ac:dyDescent="0.25">
      <c r="A668" s="336"/>
      <c r="B668" s="115"/>
      <c r="C668" s="115"/>
      <c r="D668" s="301"/>
      <c r="E668" s="1237" t="s">
        <v>2987</v>
      </c>
      <c r="F668" s="115"/>
      <c r="G668" s="114"/>
      <c r="H668" s="114"/>
      <c r="I668" s="115"/>
      <c r="J668" s="1234"/>
      <c r="K668" s="1234"/>
      <c r="L668" s="1234"/>
      <c r="M668" s="1234"/>
      <c r="N668" s="1234"/>
      <c r="O668" s="1234"/>
      <c r="P668" s="114"/>
      <c r="Q668" s="115"/>
      <c r="R668" s="115"/>
      <c r="S668" s="115"/>
      <c r="T668" s="115"/>
      <c r="U668" s="115"/>
      <c r="V668" s="115"/>
    </row>
    <row r="669" spans="1:22" ht="12.75" customHeight="1" x14ac:dyDescent="0.25">
      <c r="A669" s="336"/>
      <c r="B669" s="115"/>
      <c r="C669" s="115"/>
      <c r="D669" s="301"/>
      <c r="E669" s="1237" t="s">
        <v>2988</v>
      </c>
      <c r="F669" s="115"/>
      <c r="G669" s="114"/>
      <c r="H669" s="114"/>
      <c r="I669" s="115"/>
      <c r="J669" s="1234"/>
      <c r="K669" s="1234"/>
      <c r="L669" s="1234"/>
      <c r="M669" s="1234"/>
      <c r="N669" s="1234"/>
      <c r="O669" s="1234"/>
      <c r="P669" s="114"/>
      <c r="Q669" s="115"/>
      <c r="R669" s="115"/>
      <c r="S669" s="115"/>
      <c r="T669" s="115"/>
      <c r="U669" s="115"/>
      <c r="V669" s="115"/>
    </row>
    <row r="670" spans="1:22" ht="12.75" customHeight="1" x14ac:dyDescent="0.25">
      <c r="A670" s="336"/>
      <c r="B670" s="115"/>
      <c r="C670" s="115"/>
      <c r="D670" s="301"/>
      <c r="E670" s="1237" t="s">
        <v>2989</v>
      </c>
      <c r="F670" s="115"/>
      <c r="G670" s="114"/>
      <c r="H670" s="114"/>
      <c r="I670" s="115"/>
      <c r="J670" s="1234"/>
      <c r="K670" s="1234"/>
      <c r="L670" s="1234"/>
      <c r="M670" s="1234"/>
      <c r="N670" s="1234"/>
      <c r="O670" s="1234"/>
      <c r="P670" s="114"/>
      <c r="Q670" s="115"/>
      <c r="R670" s="115"/>
      <c r="S670" s="115"/>
      <c r="T670" s="115"/>
      <c r="U670" s="115"/>
      <c r="V670" s="115"/>
    </row>
    <row r="671" spans="1:22" ht="12.75" customHeight="1" x14ac:dyDescent="0.25">
      <c r="A671" s="336"/>
      <c r="B671" s="115"/>
      <c r="C671" s="115"/>
      <c r="D671" s="301"/>
      <c r="E671" s="1237" t="s">
        <v>2990</v>
      </c>
      <c r="F671" s="115"/>
      <c r="G671" s="114"/>
      <c r="H671" s="114"/>
      <c r="I671" s="115"/>
      <c r="J671" s="1234"/>
      <c r="K671" s="1234"/>
      <c r="L671" s="1234"/>
      <c r="M671" s="1234"/>
      <c r="N671" s="1234"/>
      <c r="O671" s="1234"/>
      <c r="P671" s="114"/>
      <c r="Q671" s="115"/>
      <c r="R671" s="115"/>
      <c r="S671" s="115"/>
      <c r="T671" s="115"/>
      <c r="U671" s="115"/>
      <c r="V671" s="115"/>
    </row>
    <row r="672" spans="1:22" ht="12.75" customHeight="1" x14ac:dyDescent="0.25">
      <c r="A672" s="336"/>
      <c r="B672" s="115"/>
      <c r="C672" s="115"/>
      <c r="D672" s="301"/>
      <c r="E672" s="1237"/>
      <c r="F672" s="115"/>
      <c r="G672" s="114"/>
      <c r="H672" s="114"/>
      <c r="I672" s="115"/>
      <c r="J672" s="1234"/>
      <c r="K672" s="1234"/>
      <c r="L672" s="1234"/>
      <c r="M672" s="1234"/>
      <c r="N672" s="1234"/>
      <c r="O672" s="1234"/>
      <c r="P672" s="114"/>
      <c r="Q672" s="115"/>
      <c r="R672" s="115"/>
      <c r="S672" s="115"/>
      <c r="T672" s="115"/>
      <c r="U672" s="115"/>
      <c r="V672" s="115"/>
    </row>
    <row r="673" spans="1:22" ht="12.75" customHeight="1" x14ac:dyDescent="0.25">
      <c r="A673" s="336"/>
      <c r="B673" s="115"/>
      <c r="C673" s="115"/>
      <c r="D673" s="393">
        <v>617901</v>
      </c>
      <c r="E673" s="1238" t="s">
        <v>2846</v>
      </c>
      <c r="F673" s="115"/>
      <c r="G673" s="114"/>
      <c r="H673" s="114"/>
      <c r="I673" s="115"/>
      <c r="J673" s="1234"/>
      <c r="K673" s="1234"/>
      <c r="L673" s="1234"/>
      <c r="M673" s="1234"/>
      <c r="N673" s="1234"/>
      <c r="O673" s="1234"/>
      <c r="P673" s="114"/>
      <c r="Q673" s="115"/>
      <c r="R673" s="115"/>
      <c r="S673" s="115"/>
      <c r="T673" s="115"/>
      <c r="U673" s="115"/>
      <c r="V673" s="115"/>
    </row>
    <row r="674" spans="1:22" ht="12.75" customHeight="1" x14ac:dyDescent="0.25">
      <c r="A674" s="336"/>
      <c r="B674" s="115"/>
      <c r="C674" s="115"/>
      <c r="D674" s="143">
        <v>41100</v>
      </c>
      <c r="E674" s="1237" t="s">
        <v>2991</v>
      </c>
      <c r="F674" s="115"/>
      <c r="G674" s="114"/>
      <c r="H674" s="114"/>
      <c r="I674" s="115"/>
      <c r="J674" s="1234">
        <v>103900</v>
      </c>
      <c r="K674" s="1234"/>
      <c r="L674" s="1234"/>
      <c r="M674" s="1234"/>
      <c r="N674" s="1234"/>
      <c r="O674" s="1234"/>
      <c r="P674" s="114"/>
      <c r="Q674" s="115"/>
      <c r="R674" s="115"/>
      <c r="S674" s="115"/>
      <c r="T674" s="115"/>
      <c r="U674" s="115"/>
      <c r="V674" s="115"/>
    </row>
    <row r="675" spans="1:22" ht="12.75" customHeight="1" x14ac:dyDescent="0.25">
      <c r="A675" s="336"/>
      <c r="B675" s="115"/>
      <c r="C675" s="115"/>
      <c r="D675" s="336"/>
      <c r="E675" s="1237" t="s">
        <v>2992</v>
      </c>
      <c r="F675" s="115"/>
      <c r="G675" s="114"/>
      <c r="H675" s="114"/>
      <c r="I675" s="115"/>
      <c r="J675" s="1234">
        <v>52500</v>
      </c>
      <c r="K675" s="1234"/>
      <c r="L675" s="1234"/>
      <c r="M675" s="1234"/>
      <c r="N675" s="1234"/>
      <c r="O675" s="1234"/>
      <c r="P675" s="114"/>
      <c r="Q675" s="115"/>
      <c r="R675" s="115"/>
      <c r="S675" s="115"/>
      <c r="T675" s="115"/>
      <c r="U675" s="115"/>
      <c r="V675" s="115"/>
    </row>
    <row r="676" spans="1:22" ht="12.75" customHeight="1" x14ac:dyDescent="0.25">
      <c r="A676" s="336"/>
      <c r="B676" s="115"/>
      <c r="C676" s="115"/>
      <c r="D676" s="336"/>
      <c r="E676" s="1237" t="s">
        <v>2993</v>
      </c>
      <c r="F676" s="115"/>
      <c r="G676" s="114"/>
      <c r="H676" s="114"/>
      <c r="I676" s="115"/>
      <c r="J676" s="1234">
        <v>0</v>
      </c>
      <c r="K676" s="1234">
        <v>0</v>
      </c>
      <c r="L676" s="1234">
        <v>0</v>
      </c>
      <c r="M676" s="1234">
        <f>ROUND(L676*U3,-2)</f>
        <v>0</v>
      </c>
      <c r="N676" s="1234">
        <f>ROUND(M676*V3,-2)</f>
        <v>0</v>
      </c>
      <c r="O676" s="1234">
        <f>ROUND(N676*W3,-2)</f>
        <v>0</v>
      </c>
      <c r="P676" s="114"/>
      <c r="Q676" s="115"/>
      <c r="R676" s="115"/>
      <c r="S676" s="115"/>
      <c r="T676" s="115"/>
      <c r="U676" s="115"/>
      <c r="V676" s="115"/>
    </row>
    <row r="677" spans="1:22" ht="12.75" customHeight="1" x14ac:dyDescent="0.25">
      <c r="A677" s="336"/>
      <c r="B677" s="115"/>
      <c r="C677" s="115"/>
      <c r="D677" s="336"/>
      <c r="E677" s="1237" t="s">
        <v>707</v>
      </c>
      <c r="F677" s="115"/>
      <c r="G677" s="114"/>
      <c r="H677" s="114"/>
      <c r="I677" s="115"/>
      <c r="J677" s="1234">
        <v>60854</v>
      </c>
      <c r="K677" s="114">
        <v>82541.83</v>
      </c>
      <c r="L677" s="114">
        <f t="shared" ref="L677:O679" si="159">ROUND(K677*T$2,0)</f>
        <v>84275</v>
      </c>
      <c r="M677" s="114">
        <f t="shared" si="159"/>
        <v>86213</v>
      </c>
      <c r="N677" s="114">
        <f t="shared" si="159"/>
        <v>88196</v>
      </c>
      <c r="O677" s="114">
        <f t="shared" si="159"/>
        <v>90225</v>
      </c>
      <c r="P677" s="114" t="s">
        <v>2994</v>
      </c>
      <c r="Q677" s="115"/>
      <c r="R677" s="115"/>
      <c r="S677" s="115"/>
      <c r="T677" s="115"/>
      <c r="U677" s="115"/>
      <c r="V677" s="115"/>
    </row>
    <row r="678" spans="1:22" ht="12.75" customHeight="1" x14ac:dyDescent="0.25">
      <c r="A678" s="336"/>
      <c r="B678" s="115"/>
      <c r="C678" s="115"/>
      <c r="D678" s="336"/>
      <c r="E678" s="1237" t="s">
        <v>2995</v>
      </c>
      <c r="F678" s="115"/>
      <c r="G678" s="114"/>
      <c r="H678" s="114"/>
      <c r="I678" s="115"/>
      <c r="J678" s="1234">
        <v>204007</v>
      </c>
      <c r="K678" s="114">
        <v>284764</v>
      </c>
      <c r="L678" s="114">
        <f t="shared" si="159"/>
        <v>290744</v>
      </c>
      <c r="M678" s="114">
        <f t="shared" si="159"/>
        <v>297431</v>
      </c>
      <c r="N678" s="114">
        <f t="shared" si="159"/>
        <v>304272</v>
      </c>
      <c r="O678" s="114">
        <f t="shared" si="159"/>
        <v>311270</v>
      </c>
      <c r="P678" s="114"/>
      <c r="Q678" s="115"/>
      <c r="R678" s="115"/>
      <c r="S678" s="115"/>
      <c r="T678" s="115"/>
      <c r="U678" s="115"/>
      <c r="V678" s="115"/>
    </row>
    <row r="679" spans="1:22" ht="12.75" customHeight="1" x14ac:dyDescent="0.25">
      <c r="A679" s="336"/>
      <c r="B679" s="115"/>
      <c r="C679" s="115"/>
      <c r="D679" s="336"/>
      <c r="E679" s="1237" t="s">
        <v>2996</v>
      </c>
      <c r="F679" s="115"/>
      <c r="G679" s="114"/>
      <c r="H679" s="114"/>
      <c r="I679" s="115"/>
      <c r="J679" s="1234">
        <v>17843.52</v>
      </c>
      <c r="K679" s="114">
        <v>0</v>
      </c>
      <c r="L679" s="114">
        <f t="shared" si="159"/>
        <v>0</v>
      </c>
      <c r="M679" s="114">
        <f t="shared" si="159"/>
        <v>0</v>
      </c>
      <c r="N679" s="114">
        <f t="shared" si="159"/>
        <v>0</v>
      </c>
      <c r="O679" s="114">
        <f t="shared" si="159"/>
        <v>0</v>
      </c>
      <c r="P679" s="114" t="s">
        <v>2997</v>
      </c>
      <c r="Q679" s="115"/>
      <c r="R679" s="115"/>
      <c r="S679" s="115"/>
      <c r="T679" s="115"/>
      <c r="U679" s="115"/>
      <c r="V679" s="115"/>
    </row>
    <row r="680" spans="1:22" ht="12.75" customHeight="1" x14ac:dyDescent="0.25">
      <c r="A680" s="336"/>
      <c r="B680" s="115"/>
      <c r="C680" s="115"/>
      <c r="D680" s="336"/>
      <c r="E680" s="1237" t="s">
        <v>2998</v>
      </c>
      <c r="F680" s="115"/>
      <c r="G680" s="114"/>
      <c r="H680" s="114"/>
      <c r="I680" s="115"/>
      <c r="J680" s="1234">
        <v>0</v>
      </c>
      <c r="K680" s="114">
        <v>117000</v>
      </c>
      <c r="L680" s="114">
        <v>117000</v>
      </c>
      <c r="M680" s="114">
        <v>117000</v>
      </c>
      <c r="N680" s="114">
        <v>117000</v>
      </c>
      <c r="O680" s="114">
        <v>117000</v>
      </c>
      <c r="P680" s="114"/>
      <c r="Q680" s="115"/>
      <c r="R680" s="115"/>
      <c r="S680" s="115"/>
      <c r="T680" s="115"/>
      <c r="U680" s="115"/>
      <c r="V680" s="115"/>
    </row>
    <row r="681" spans="1:22" ht="12.75" customHeight="1" thickBot="1" x14ac:dyDescent="0.3">
      <c r="A681" s="336"/>
      <c r="B681" s="115"/>
      <c r="C681" s="115"/>
      <c r="D681" s="336"/>
      <c r="E681" s="1237" t="s">
        <v>1182</v>
      </c>
      <c r="F681" s="115"/>
      <c r="G681" s="114"/>
      <c r="H681" s="114"/>
      <c r="I681" s="115"/>
      <c r="J681" s="1878">
        <v>439104.52</v>
      </c>
      <c r="K681" s="1878">
        <v>484305.83</v>
      </c>
      <c r="L681" s="1878">
        <f t="shared" ref="L681:N681" si="160">SUM(L674:L680)</f>
        <v>492019</v>
      </c>
      <c r="M681" s="1878">
        <f t="shared" si="160"/>
        <v>500644</v>
      </c>
      <c r="N681" s="1878">
        <f t="shared" si="160"/>
        <v>509468</v>
      </c>
      <c r="O681" s="1878">
        <f t="shared" ref="O681" si="161">SUM(O674:O680)</f>
        <v>518495</v>
      </c>
      <c r="P681" s="115"/>
      <c r="Q681" s="115"/>
      <c r="R681" s="115"/>
      <c r="S681" s="115"/>
      <c r="T681" s="115"/>
      <c r="U681" s="115"/>
      <c r="V681" s="115"/>
    </row>
    <row r="682" spans="1:22" ht="12.75" customHeight="1" thickTop="1" x14ac:dyDescent="0.25">
      <c r="A682" s="336"/>
      <c r="B682" s="115"/>
      <c r="C682" s="115"/>
      <c r="D682" s="336"/>
      <c r="E682" s="1233"/>
      <c r="F682" s="115"/>
      <c r="G682" s="114"/>
      <c r="H682" s="114"/>
      <c r="I682" s="115"/>
      <c r="J682" s="1240"/>
      <c r="K682" s="1240"/>
      <c r="L682" s="1240"/>
      <c r="M682" s="1240"/>
      <c r="N682" s="1240"/>
      <c r="O682" s="1240"/>
      <c r="P682" s="114"/>
      <c r="Q682" s="115"/>
      <c r="R682" s="115"/>
      <c r="S682" s="115"/>
      <c r="T682" s="115"/>
      <c r="U682" s="115"/>
      <c r="V682" s="115"/>
    </row>
    <row r="683" spans="1:22" ht="12.75" customHeight="1" x14ac:dyDescent="0.25">
      <c r="A683" s="336"/>
      <c r="B683" s="115"/>
      <c r="C683" s="115"/>
      <c r="D683" s="301"/>
      <c r="E683" s="1233"/>
      <c r="F683" s="115"/>
      <c r="G683" s="114"/>
      <c r="H683" s="114"/>
      <c r="I683" s="115"/>
      <c r="J683" s="1240"/>
      <c r="K683" s="1240"/>
      <c r="L683" s="1240"/>
      <c r="M683" s="1240"/>
      <c r="N683" s="1240"/>
      <c r="O683" s="1240"/>
      <c r="P683" s="114"/>
      <c r="Q683" s="115"/>
      <c r="R683" s="115"/>
      <c r="S683" s="115"/>
      <c r="T683" s="115"/>
      <c r="U683" s="115"/>
      <c r="V683" s="115"/>
    </row>
    <row r="684" spans="1:22" ht="12.75" customHeight="1" x14ac:dyDescent="0.25">
      <c r="A684" s="336"/>
      <c r="B684" s="115"/>
      <c r="C684" s="115"/>
      <c r="D684" s="143">
        <v>47300</v>
      </c>
      <c r="E684" s="1237" t="s">
        <v>2999</v>
      </c>
      <c r="F684" s="115"/>
      <c r="G684" s="114"/>
      <c r="H684" s="114"/>
      <c r="I684" s="115"/>
      <c r="J684" s="501">
        <v>2025</v>
      </c>
      <c r="K684" s="501">
        <v>2026</v>
      </c>
      <c r="L684" s="501">
        <v>2027</v>
      </c>
      <c r="M684" s="501">
        <v>2028</v>
      </c>
      <c r="N684" s="501">
        <v>2029</v>
      </c>
      <c r="O684" s="501">
        <v>2030</v>
      </c>
      <c r="P684" s="114"/>
      <c r="Q684" s="115"/>
      <c r="R684" s="115"/>
      <c r="S684" s="115"/>
      <c r="T684" s="115"/>
      <c r="U684" s="115"/>
      <c r="V684" s="115"/>
    </row>
    <row r="685" spans="1:22" ht="12.75" customHeight="1" x14ac:dyDescent="0.25">
      <c r="A685" s="336"/>
      <c r="B685" s="115"/>
      <c r="C685" s="115"/>
      <c r="D685" s="143"/>
      <c r="E685" s="1237"/>
      <c r="F685" s="115"/>
      <c r="G685" s="114"/>
      <c r="H685" s="114"/>
      <c r="I685" s="115"/>
      <c r="J685" s="1241"/>
      <c r="K685" s="1241"/>
      <c r="L685" s="1241"/>
      <c r="M685" s="1241"/>
      <c r="N685" s="1241"/>
      <c r="O685" s="1241"/>
      <c r="P685" s="114"/>
      <c r="Q685" s="115"/>
      <c r="R685" s="115"/>
      <c r="S685" s="115"/>
      <c r="T685" s="115"/>
      <c r="U685" s="115"/>
      <c r="V685" s="115"/>
    </row>
    <row r="686" spans="1:22" ht="12.75" customHeight="1" x14ac:dyDescent="0.25">
      <c r="A686" s="336"/>
      <c r="B686" s="115"/>
      <c r="C686" s="115"/>
      <c r="D686" s="301"/>
      <c r="E686" s="1237" t="s">
        <v>3000</v>
      </c>
      <c r="F686" s="115"/>
      <c r="G686" s="114"/>
      <c r="H686" s="114"/>
      <c r="I686" s="115"/>
      <c r="J686" s="151">
        <v>107156</v>
      </c>
      <c r="K686" s="151">
        <v>141952</v>
      </c>
      <c r="L686" s="151">
        <v>231516</v>
      </c>
      <c r="M686" s="151">
        <v>273181</v>
      </c>
      <c r="N686" s="151">
        <v>450358</v>
      </c>
      <c r="O686" s="547">
        <v>0</v>
      </c>
      <c r="P686" s="114"/>
      <c r="Q686" s="115"/>
      <c r="R686" s="115"/>
      <c r="S686" s="115"/>
      <c r="T686" s="115"/>
      <c r="U686" s="115"/>
      <c r="V686" s="115"/>
    </row>
    <row r="687" spans="1:22" ht="12.75" customHeight="1" x14ac:dyDescent="0.25">
      <c r="A687" s="336"/>
      <c r="B687" s="115"/>
      <c r="C687" s="115"/>
      <c r="D687" s="301"/>
      <c r="E687" s="1237" t="s">
        <v>3001</v>
      </c>
      <c r="F687" s="115"/>
      <c r="G687" s="114"/>
      <c r="H687" s="114"/>
      <c r="I687" s="115"/>
      <c r="J687" s="1240">
        <v>562280</v>
      </c>
      <c r="K687" s="1240">
        <v>525494</v>
      </c>
      <c r="L687" s="1240">
        <v>660495</v>
      </c>
      <c r="M687" s="1240">
        <v>915496</v>
      </c>
      <c r="N687" s="1240">
        <v>1052496</v>
      </c>
      <c r="O687" s="2096">
        <v>0</v>
      </c>
      <c r="P687" s="114"/>
      <c r="Q687" s="115"/>
      <c r="R687" s="115"/>
      <c r="S687" s="115"/>
      <c r="T687" s="115"/>
      <c r="U687" s="115"/>
      <c r="V687" s="115"/>
    </row>
    <row r="688" spans="1:22" ht="12.75" customHeight="1" x14ac:dyDescent="0.25">
      <c r="A688" s="336"/>
      <c r="B688" s="115"/>
      <c r="C688" s="115"/>
      <c r="D688" s="301"/>
      <c r="E688" s="1237" t="s">
        <v>3002</v>
      </c>
      <c r="F688" s="115"/>
      <c r="G688" s="114"/>
      <c r="H688" s="114"/>
      <c r="I688" s="115"/>
      <c r="J688" s="1240">
        <v>37267</v>
      </c>
      <c r="K688" s="1240">
        <v>18448</v>
      </c>
      <c r="L688" s="1240">
        <v>46860</v>
      </c>
      <c r="M688" s="1240">
        <v>45932</v>
      </c>
      <c r="N688" s="1240">
        <v>45932</v>
      </c>
      <c r="O688" s="2096">
        <v>0</v>
      </c>
      <c r="P688" s="114"/>
      <c r="Q688" s="115"/>
      <c r="R688" s="115"/>
      <c r="S688" s="115"/>
      <c r="T688" s="115"/>
      <c r="U688" s="115"/>
      <c r="V688" s="115"/>
    </row>
    <row r="689" spans="1:23" ht="12.75" customHeight="1" x14ac:dyDescent="0.25">
      <c r="A689" s="336"/>
      <c r="B689" s="115"/>
      <c r="C689" s="115"/>
      <c r="D689" s="301"/>
      <c r="E689" s="1237" t="s">
        <v>3003</v>
      </c>
      <c r="F689" s="115"/>
      <c r="G689" s="114"/>
      <c r="H689" s="114"/>
      <c r="I689" s="115"/>
      <c r="J689" s="1240">
        <v>84698</v>
      </c>
      <c r="K689" s="1240">
        <v>91099</v>
      </c>
      <c r="L689" s="1240">
        <v>97999</v>
      </c>
      <c r="M689" s="1240">
        <v>104666</v>
      </c>
      <c r="N689" s="1240">
        <v>112666</v>
      </c>
      <c r="O689" s="2096">
        <v>0</v>
      </c>
      <c r="P689" s="114"/>
      <c r="Q689" s="115"/>
      <c r="R689" s="115"/>
      <c r="S689" s="115"/>
      <c r="T689" s="115"/>
      <c r="U689" s="115"/>
      <c r="V689" s="115"/>
      <c r="W689" s="115"/>
    </row>
    <row r="690" spans="1:23" ht="12.75" customHeight="1" x14ac:dyDescent="0.25">
      <c r="A690" s="336"/>
      <c r="B690" s="115"/>
      <c r="C690" s="115"/>
      <c r="D690" s="301"/>
      <c r="E690" s="1237" t="s">
        <v>3004</v>
      </c>
      <c r="F690" s="115"/>
      <c r="G690" s="114"/>
      <c r="H690" s="114"/>
      <c r="I690" s="115"/>
      <c r="J690" s="1240">
        <v>2750</v>
      </c>
      <c r="K690" s="1240">
        <v>36237</v>
      </c>
      <c r="L690" s="1240">
        <v>36237</v>
      </c>
      <c r="M690" s="1240">
        <v>50612</v>
      </c>
      <c r="N690" s="1240">
        <v>50612</v>
      </c>
      <c r="O690" s="2096">
        <v>0</v>
      </c>
      <c r="P690" s="114"/>
      <c r="Q690" s="115"/>
      <c r="R690" s="115"/>
      <c r="S690" s="115"/>
      <c r="T690" s="115"/>
      <c r="U690" s="115"/>
      <c r="V690" s="115"/>
      <c r="W690" s="115"/>
    </row>
    <row r="691" spans="1:23" ht="12.75" customHeight="1" thickBot="1" x14ac:dyDescent="0.3">
      <c r="A691" s="306"/>
      <c r="B691" s="115"/>
      <c r="C691" s="115"/>
      <c r="D691" s="301"/>
      <c r="E691" s="115" t="str">
        <f>"Totaal "&amp;D688</f>
        <v xml:space="preserve">Totaal </v>
      </c>
      <c r="F691" s="115"/>
      <c r="G691" s="115"/>
      <c r="H691" s="115"/>
      <c r="I691" s="115"/>
      <c r="J691" s="1744">
        <v>794151</v>
      </c>
      <c r="K691" s="1744">
        <v>813230</v>
      </c>
      <c r="L691" s="1744">
        <f>SUM(L686:L690)</f>
        <v>1073107</v>
      </c>
      <c r="M691" s="1744">
        <f>SUM(M686:M690)</f>
        <v>1389887</v>
      </c>
      <c r="N691" s="1744">
        <f>SUM(N686:N690)</f>
        <v>1712064</v>
      </c>
      <c r="O691" s="1744">
        <f>SUM(O686:O690)</f>
        <v>0</v>
      </c>
      <c r="P691" s="115"/>
      <c r="Q691" s="115"/>
      <c r="R691" s="115"/>
      <c r="S691" s="115"/>
      <c r="T691" s="115"/>
      <c r="U691" s="115"/>
      <c r="V691" s="115"/>
      <c r="W691" s="115"/>
    </row>
    <row r="692" spans="1:23" ht="12.75" customHeight="1" thickTop="1" x14ac:dyDescent="0.25">
      <c r="A692" s="336"/>
      <c r="B692" s="115"/>
      <c r="C692" s="115"/>
      <c r="D692" s="301"/>
      <c r="E692" s="1237"/>
      <c r="F692" s="115"/>
      <c r="G692" s="114"/>
      <c r="H692" s="114"/>
      <c r="I692" s="115"/>
      <c r="J692" s="1240"/>
      <c r="K692" s="1240"/>
      <c r="L692" s="1240"/>
      <c r="M692" s="1240"/>
      <c r="N692" s="1240"/>
      <c r="O692" s="1240"/>
      <c r="P692" s="114"/>
      <c r="Q692" s="115"/>
      <c r="R692" s="115"/>
      <c r="S692" s="115"/>
      <c r="T692" s="115"/>
      <c r="U692" s="115"/>
      <c r="V692" s="115"/>
      <c r="W692" s="115"/>
    </row>
    <row r="693" spans="1:23" ht="12.75" customHeight="1" x14ac:dyDescent="0.25">
      <c r="A693" s="336"/>
      <c r="B693" s="115"/>
      <c r="C693" s="115"/>
      <c r="D693" s="393">
        <v>617015</v>
      </c>
      <c r="E693" s="381" t="s">
        <v>2831</v>
      </c>
      <c r="F693" s="115"/>
      <c r="G693" s="114"/>
      <c r="H693" s="114"/>
      <c r="I693" s="114"/>
      <c r="J693" s="115"/>
      <c r="K693" s="115"/>
      <c r="L693" s="115"/>
      <c r="M693" s="115"/>
      <c r="N693" s="115"/>
      <c r="O693" s="115"/>
      <c r="P693" s="115"/>
      <c r="Q693" s="115"/>
      <c r="R693" s="115"/>
      <c r="S693" s="115"/>
      <c r="T693" s="115"/>
      <c r="U693" s="115"/>
      <c r="V693" s="115"/>
      <c r="W693" s="115"/>
    </row>
    <row r="694" spans="1:23" ht="12.75" customHeight="1" x14ac:dyDescent="0.25">
      <c r="A694" s="336"/>
      <c r="B694" s="115"/>
      <c r="C694" s="115"/>
      <c r="D694" s="143">
        <v>843201</v>
      </c>
      <c r="E694" s="2556" t="s">
        <v>3005</v>
      </c>
      <c r="F694" s="2556"/>
      <c r="G694" s="2556"/>
      <c r="H694" s="2556"/>
      <c r="I694" s="2556"/>
      <c r="J694" s="115"/>
      <c r="K694" s="115"/>
      <c r="L694" s="115"/>
      <c r="M694" s="115"/>
      <c r="N694" s="115"/>
      <c r="O694" s="115"/>
      <c r="P694" s="115"/>
      <c r="Q694" s="115"/>
      <c r="R694" s="115"/>
      <c r="S694" s="115"/>
      <c r="T694" s="115"/>
      <c r="U694" s="115"/>
      <c r="V694" s="115"/>
      <c r="W694" s="115"/>
    </row>
    <row r="695" spans="1:23" ht="12.75" customHeight="1" x14ac:dyDescent="0.25">
      <c r="A695" s="336"/>
      <c r="B695" s="115"/>
      <c r="C695" s="115"/>
      <c r="D695" s="384"/>
      <c r="E695" s="2556"/>
      <c r="F695" s="2556"/>
      <c r="G695" s="2556"/>
      <c r="H695" s="2556"/>
      <c r="I695" s="2556"/>
      <c r="J695" s="115"/>
      <c r="K695" s="115"/>
      <c r="L695" s="115"/>
      <c r="M695" s="115"/>
      <c r="N695" s="115"/>
      <c r="O695" s="115"/>
      <c r="P695" s="115"/>
      <c r="Q695" s="115"/>
      <c r="R695" s="115"/>
      <c r="S695" s="115"/>
      <c r="T695" s="115"/>
      <c r="U695" s="115"/>
      <c r="V695" s="115"/>
      <c r="W695" s="115"/>
    </row>
    <row r="696" spans="1:23" ht="12.75" customHeight="1" x14ac:dyDescent="0.25">
      <c r="A696" s="336"/>
      <c r="B696" s="115"/>
      <c r="C696" s="115"/>
      <c r="D696" s="143"/>
      <c r="E696" s="143"/>
      <c r="F696" s="143"/>
      <c r="G696" s="115"/>
      <c r="H696" s="115"/>
      <c r="I696" s="399"/>
      <c r="J696" s="115"/>
      <c r="K696" s="115"/>
      <c r="L696" s="115"/>
      <c r="M696" s="115"/>
      <c r="N696" s="115"/>
      <c r="O696" s="115"/>
      <c r="P696" s="115"/>
      <c r="Q696" s="115"/>
      <c r="R696" s="115"/>
      <c r="S696" s="115"/>
      <c r="T696" s="115"/>
      <c r="U696" s="115"/>
      <c r="V696" s="115"/>
      <c r="W696" s="115"/>
    </row>
    <row r="697" spans="1:23" ht="12.75" customHeight="1" x14ac:dyDescent="0.25">
      <c r="A697" s="336"/>
      <c r="B697" s="115"/>
      <c r="C697" s="115"/>
      <c r="D697" s="384"/>
      <c r="E697" s="399"/>
      <c r="F697" s="399"/>
      <c r="G697" s="399"/>
      <c r="H697" s="399"/>
      <c r="I697" s="399"/>
      <c r="J697" s="115"/>
      <c r="K697" s="115"/>
      <c r="L697" s="115"/>
      <c r="M697" s="115"/>
      <c r="N697" s="115"/>
      <c r="O697" s="115"/>
      <c r="P697" s="115"/>
      <c r="Q697" s="115"/>
      <c r="R697" s="115"/>
      <c r="S697" s="115"/>
      <c r="T697" s="115"/>
      <c r="U697" s="115"/>
      <c r="V697" s="115"/>
      <c r="W697" s="115"/>
    </row>
    <row r="698" spans="1:23" ht="12.75" customHeight="1" x14ac:dyDescent="0.25">
      <c r="A698" s="306"/>
      <c r="B698" s="115"/>
      <c r="C698" s="115"/>
      <c r="D698" s="393">
        <v>6210501</v>
      </c>
      <c r="E698" s="381" t="s">
        <v>2833</v>
      </c>
      <c r="F698" s="115"/>
      <c r="G698" s="115"/>
      <c r="H698" s="115"/>
      <c r="I698" s="115"/>
      <c r="J698" s="115"/>
      <c r="K698" s="115"/>
      <c r="L698" s="115"/>
      <c r="M698" s="115"/>
      <c r="N698" s="115"/>
      <c r="O698" s="115"/>
      <c r="P698" s="115"/>
      <c r="Q698" s="115"/>
      <c r="R698" s="115"/>
      <c r="S698" s="115"/>
      <c r="T698" s="115"/>
      <c r="U698" s="115"/>
      <c r="V698" s="115"/>
      <c r="W698" s="115"/>
    </row>
    <row r="699" spans="1:23" ht="12.75" customHeight="1" x14ac:dyDescent="0.25">
      <c r="A699" s="306"/>
      <c r="B699" s="115"/>
      <c r="C699" s="115"/>
      <c r="D699" s="143">
        <v>83800</v>
      </c>
      <c r="E699" s="115" t="s">
        <v>3006</v>
      </c>
      <c r="F699" s="115"/>
      <c r="G699" s="115"/>
      <c r="H699" s="115"/>
      <c r="I699" s="115"/>
      <c r="J699" s="115"/>
      <c r="K699" s="115"/>
      <c r="L699" s="115"/>
      <c r="M699" s="115"/>
      <c r="N699" s="115"/>
      <c r="O699" s="115"/>
      <c r="P699" s="115"/>
      <c r="Q699" s="115"/>
      <c r="R699" s="115"/>
      <c r="S699" s="115"/>
      <c r="T699" s="115"/>
      <c r="U699" s="115"/>
      <c r="V699" s="115"/>
      <c r="W699" s="115"/>
    </row>
    <row r="700" spans="1:23" ht="12.75" customHeight="1" x14ac:dyDescent="0.25">
      <c r="A700" s="306"/>
      <c r="B700" s="115"/>
      <c r="C700" s="115"/>
      <c r="D700" s="143"/>
      <c r="E700" s="143"/>
      <c r="F700" s="143"/>
      <c r="G700" s="143"/>
      <c r="H700" s="115"/>
      <c r="I700" s="115"/>
      <c r="J700" s="115"/>
      <c r="K700" s="115"/>
      <c r="L700" s="115"/>
      <c r="M700" s="115"/>
      <c r="N700" s="115"/>
      <c r="O700" s="115"/>
      <c r="P700" s="115"/>
      <c r="Q700" s="115"/>
      <c r="R700" s="115"/>
      <c r="S700" s="115"/>
      <c r="T700" s="115"/>
      <c r="U700" s="115"/>
      <c r="V700" s="115"/>
      <c r="W700" s="115"/>
    </row>
    <row r="701" spans="1:23" ht="12.75" customHeight="1" x14ac:dyDescent="0.25">
      <c r="A701" s="306"/>
      <c r="B701" s="115"/>
      <c r="C701" s="115"/>
      <c r="D701" s="301"/>
      <c r="E701" s="115"/>
      <c r="F701" s="115"/>
      <c r="G701" s="115"/>
      <c r="H701" s="115"/>
      <c r="I701" s="115"/>
      <c r="J701" s="115"/>
      <c r="K701" s="115"/>
      <c r="L701" s="115"/>
      <c r="M701" s="115"/>
      <c r="N701" s="115"/>
      <c r="O701" s="115"/>
      <c r="P701" s="115"/>
      <c r="Q701" s="115"/>
      <c r="R701" s="115"/>
      <c r="S701" s="115"/>
      <c r="T701" s="115"/>
      <c r="U701" s="115"/>
      <c r="V701" s="115"/>
      <c r="W701" s="115"/>
    </row>
    <row r="702" spans="1:23" ht="12.75" customHeight="1" x14ac:dyDescent="0.25">
      <c r="A702" s="306"/>
      <c r="B702" s="115"/>
      <c r="C702" s="115"/>
      <c r="D702" s="393">
        <v>6210151</v>
      </c>
      <c r="E702" s="381" t="s">
        <v>2817</v>
      </c>
      <c r="F702" s="115"/>
      <c r="G702" s="115"/>
      <c r="H702" s="115"/>
      <c r="I702" s="115"/>
      <c r="J702" s="115"/>
      <c r="K702" s="115"/>
      <c r="L702" s="115"/>
      <c r="M702" s="115"/>
      <c r="N702" s="115"/>
      <c r="O702" s="115"/>
      <c r="P702" s="115"/>
      <c r="Q702" s="115"/>
      <c r="R702" s="115"/>
      <c r="S702" s="115"/>
      <c r="T702" s="115"/>
      <c r="U702" s="115"/>
      <c r="V702" s="115"/>
      <c r="W702" s="115"/>
    </row>
    <row r="703" spans="1:23" ht="12.75" customHeight="1" x14ac:dyDescent="0.25">
      <c r="A703" s="306"/>
      <c r="B703" s="115"/>
      <c r="C703" s="115"/>
      <c r="D703" s="143">
        <v>84380</v>
      </c>
      <c r="E703" s="115" t="s">
        <v>3007</v>
      </c>
      <c r="F703" s="115"/>
      <c r="G703" s="115"/>
      <c r="H703" s="115"/>
      <c r="I703" s="115"/>
      <c r="J703" s="115"/>
      <c r="K703" s="115"/>
      <c r="L703" s="115"/>
      <c r="M703" s="115"/>
      <c r="N703" s="115"/>
      <c r="O703" s="115"/>
      <c r="P703" s="115"/>
      <c r="Q703" s="115"/>
      <c r="R703" s="115"/>
      <c r="S703" s="115"/>
      <c r="T703" s="115"/>
      <c r="U703" s="115"/>
      <c r="V703" s="115"/>
      <c r="W703" s="115"/>
    </row>
    <row r="704" spans="1:23" ht="12.75" customHeight="1" x14ac:dyDescent="0.25">
      <c r="A704" s="306"/>
      <c r="B704" s="115"/>
      <c r="C704" s="115"/>
      <c r="D704" s="143"/>
      <c r="E704" s="115"/>
      <c r="F704" s="115"/>
      <c r="G704" s="115"/>
      <c r="H704" s="115"/>
      <c r="I704" s="115"/>
      <c r="J704" s="115"/>
      <c r="K704" s="115"/>
      <c r="L704" s="115"/>
      <c r="M704" s="115"/>
      <c r="N704" s="115"/>
      <c r="O704" s="115"/>
      <c r="P704" s="115"/>
      <c r="Q704" s="115"/>
      <c r="R704" s="115"/>
      <c r="S704" s="115"/>
      <c r="T704" s="115"/>
      <c r="U704" s="115"/>
      <c r="V704" s="115"/>
      <c r="W704" s="115"/>
    </row>
    <row r="705" spans="1:23" ht="12.75" customHeight="1" x14ac:dyDescent="0.25">
      <c r="A705" s="306"/>
      <c r="B705" s="115"/>
      <c r="C705" s="115"/>
      <c r="D705" s="393">
        <v>617007</v>
      </c>
      <c r="E705" s="381" t="s">
        <v>2822</v>
      </c>
      <c r="F705" s="381"/>
      <c r="G705" s="115"/>
      <c r="H705" s="115"/>
      <c r="I705" s="115"/>
      <c r="J705" s="115"/>
      <c r="K705" s="115"/>
      <c r="L705" s="115"/>
      <c r="M705" s="115"/>
      <c r="N705" s="115"/>
      <c r="O705" s="115"/>
      <c r="P705" s="115"/>
      <c r="Q705" s="115"/>
      <c r="R705" s="115"/>
      <c r="S705" s="115"/>
      <c r="T705" s="115"/>
      <c r="U705" s="115"/>
      <c r="V705" s="115"/>
      <c r="W705" s="115"/>
    </row>
    <row r="706" spans="1:23" ht="12.75" customHeight="1" x14ac:dyDescent="0.25">
      <c r="A706" s="306"/>
      <c r="B706" s="115"/>
      <c r="C706" s="115"/>
      <c r="D706" s="143">
        <v>84340</v>
      </c>
      <c r="E706" s="115" t="s">
        <v>3008</v>
      </c>
      <c r="F706" s="115"/>
      <c r="G706" s="115"/>
      <c r="H706" s="115"/>
      <c r="I706" s="115"/>
      <c r="J706" s="151">
        <v>-66000</v>
      </c>
      <c r="K706" s="151">
        <v>-66000</v>
      </c>
      <c r="L706" s="151">
        <f>-66000+46000</f>
        <v>-20000</v>
      </c>
      <c r="M706" s="151">
        <f>-66000+46000</f>
        <v>-20000</v>
      </c>
      <c r="N706" s="151">
        <f>-66000+46000</f>
        <v>-20000</v>
      </c>
      <c r="O706" s="151">
        <f>-66000+46000</f>
        <v>-20000</v>
      </c>
      <c r="P706" s="115"/>
      <c r="Q706" s="115"/>
      <c r="R706" s="115"/>
      <c r="S706" s="115"/>
      <c r="T706" s="115"/>
      <c r="U706" s="115"/>
      <c r="V706" s="115"/>
      <c r="W706" s="115"/>
    </row>
    <row r="707" spans="1:23" ht="12.75" customHeight="1" thickBot="1" x14ac:dyDescent="0.3">
      <c r="A707" s="306"/>
      <c r="B707" s="115"/>
      <c r="C707" s="115"/>
      <c r="D707" s="301"/>
      <c r="E707" s="115" t="s">
        <v>3009</v>
      </c>
      <c r="F707" s="115"/>
      <c r="G707" s="115"/>
      <c r="H707" s="115"/>
      <c r="I707" s="115"/>
      <c r="J707" s="1778">
        <v>-66000</v>
      </c>
      <c r="K707" s="1778">
        <v>-66000</v>
      </c>
      <c r="L707" s="1778">
        <f t="shared" ref="L707:M707" si="162">SUM(L706)</f>
        <v>-20000</v>
      </c>
      <c r="M707" s="1778">
        <f t="shared" si="162"/>
        <v>-20000</v>
      </c>
      <c r="N707" s="1778">
        <f t="shared" ref="N707:O707" si="163">SUM(N706)</f>
        <v>-20000</v>
      </c>
      <c r="O707" s="1778">
        <f t="shared" si="163"/>
        <v>-20000</v>
      </c>
      <c r="P707" s="115"/>
      <c r="Q707" s="115"/>
      <c r="R707" s="115"/>
      <c r="S707" s="115"/>
      <c r="T707" s="115"/>
      <c r="U707" s="115"/>
      <c r="V707" s="115"/>
      <c r="W707" s="115"/>
    </row>
    <row r="708" spans="1:23" ht="12.75" customHeight="1" thickTop="1" x14ac:dyDescent="0.25">
      <c r="A708" s="306"/>
      <c r="B708" s="115"/>
      <c r="C708" s="115"/>
      <c r="D708" s="301"/>
      <c r="E708" s="115"/>
      <c r="F708" s="115"/>
      <c r="G708" s="115"/>
      <c r="H708" s="115"/>
      <c r="I708" s="115"/>
      <c r="J708" s="115"/>
      <c r="K708" s="115"/>
      <c r="L708" s="115"/>
      <c r="M708" s="115"/>
      <c r="N708" s="115"/>
      <c r="O708" s="115"/>
      <c r="P708" s="115"/>
      <c r="Q708" s="115"/>
      <c r="R708" s="115"/>
      <c r="S708" s="115"/>
      <c r="T708" s="115"/>
      <c r="U708" s="115"/>
      <c r="V708" s="115"/>
      <c r="W708" s="115"/>
    </row>
    <row r="709" spans="1:23" ht="12.75" customHeight="1" x14ac:dyDescent="0.25">
      <c r="A709" s="336"/>
      <c r="B709" s="115"/>
      <c r="C709" s="115"/>
      <c r="D709" s="301"/>
      <c r="E709" s="383"/>
      <c r="F709" s="115"/>
      <c r="G709" s="114"/>
      <c r="H709" s="114"/>
      <c r="I709" s="114"/>
      <c r="J709" s="396"/>
      <c r="K709" s="396"/>
      <c r="L709" s="396"/>
      <c r="M709" s="396"/>
      <c r="N709" s="396"/>
      <c r="O709" s="396"/>
      <c r="P709" s="115"/>
      <c r="Q709" s="115"/>
      <c r="R709" s="115"/>
      <c r="S709" s="115"/>
      <c r="T709" s="115"/>
      <c r="U709" s="115"/>
      <c r="V709" s="115"/>
      <c r="W709" s="115"/>
    </row>
    <row r="710" spans="1:23" ht="12.75" customHeight="1" x14ac:dyDescent="0.25">
      <c r="A710" s="306"/>
      <c r="B710" s="115"/>
      <c r="C710" s="115"/>
      <c r="D710" s="393">
        <v>617009</v>
      </c>
      <c r="E710" s="381" t="s">
        <v>3010</v>
      </c>
      <c r="F710" s="115"/>
      <c r="G710" s="114"/>
      <c r="H710" s="114"/>
      <c r="I710" s="114"/>
      <c r="J710" s="114"/>
      <c r="K710" s="114"/>
      <c r="L710" s="114"/>
      <c r="M710" s="114"/>
      <c r="N710" s="114"/>
      <c r="O710" s="114"/>
      <c r="P710" s="115"/>
      <c r="Q710" s="115"/>
      <c r="R710" s="115"/>
      <c r="S710" s="115"/>
      <c r="T710" s="115"/>
      <c r="U710" s="115"/>
      <c r="V710" s="115"/>
      <c r="W710" s="115"/>
    </row>
    <row r="711" spans="1:23" ht="12.75" customHeight="1" x14ac:dyDescent="0.25">
      <c r="A711" s="306"/>
      <c r="B711" s="115"/>
      <c r="C711" s="115"/>
      <c r="D711" s="143">
        <v>84330</v>
      </c>
      <c r="E711" s="115" t="s">
        <v>3011</v>
      </c>
      <c r="F711" s="115"/>
      <c r="G711" s="114"/>
      <c r="H711" s="114"/>
      <c r="I711" s="114"/>
      <c r="J711" s="115"/>
      <c r="K711" s="115"/>
      <c r="L711" s="115"/>
      <c r="M711" s="115"/>
      <c r="N711" s="115"/>
      <c r="O711" s="115"/>
      <c r="P711" s="115"/>
      <c r="Q711" s="115"/>
      <c r="R711" s="115"/>
      <c r="S711" s="115"/>
      <c r="T711" s="115"/>
      <c r="U711" s="115"/>
      <c r="V711" s="115"/>
      <c r="W711" s="115"/>
    </row>
    <row r="712" spans="1:23" ht="12.75" customHeight="1" x14ac:dyDescent="0.25">
      <c r="A712" s="306"/>
      <c r="B712" s="115"/>
      <c r="C712" s="115"/>
      <c r="D712" s="143"/>
      <c r="E712" s="115" t="s">
        <v>3012</v>
      </c>
      <c r="F712" s="115"/>
      <c r="G712" s="114"/>
      <c r="H712" s="114"/>
      <c r="I712" s="114"/>
      <c r="J712" s="114">
        <v>-14855</v>
      </c>
      <c r="K712" s="114">
        <v>-15241</v>
      </c>
      <c r="L712" s="114">
        <f>ROUND(K712*T$2,0)</f>
        <v>-15561</v>
      </c>
      <c r="M712" s="114">
        <f>ROUND(L712*U$2,0)</f>
        <v>-15919</v>
      </c>
      <c r="N712" s="114">
        <f>ROUND(M712*V$2,0)</f>
        <v>-16285</v>
      </c>
      <c r="O712" s="114">
        <f>ROUND(N712*W$2,0)</f>
        <v>-16660</v>
      </c>
      <c r="P712" s="115"/>
      <c r="Q712" s="115"/>
      <c r="R712" s="115"/>
      <c r="S712" s="115"/>
      <c r="T712" s="115"/>
      <c r="U712" s="115"/>
      <c r="V712" s="115"/>
      <c r="W712" s="115"/>
    </row>
    <row r="713" spans="1:23" ht="12.75" customHeight="1" thickBot="1" x14ac:dyDescent="0.3">
      <c r="A713" s="306"/>
      <c r="B713" s="115"/>
      <c r="C713" s="115"/>
      <c r="D713" s="143"/>
      <c r="E713" s="1089" t="str">
        <f>"Totaal "&amp;D711</f>
        <v>Totaal 84330</v>
      </c>
      <c r="F713" s="115"/>
      <c r="G713" s="114"/>
      <c r="H713" s="114"/>
      <c r="I713" s="114"/>
      <c r="J713" s="1744">
        <v>-14855</v>
      </c>
      <c r="K713" s="1744">
        <v>-15241</v>
      </c>
      <c r="L713" s="1744">
        <f t="shared" ref="L713:M713" si="164">SUM(L711:L712)</f>
        <v>-15561</v>
      </c>
      <c r="M713" s="1744">
        <f t="shared" si="164"/>
        <v>-15919</v>
      </c>
      <c r="N713" s="1744">
        <f t="shared" ref="N713:O713" si="165">SUM(N711:N712)</f>
        <v>-16285</v>
      </c>
      <c r="O713" s="1744">
        <f t="shared" si="165"/>
        <v>-16660</v>
      </c>
      <c r="P713" s="115"/>
      <c r="Q713" s="115"/>
      <c r="R713" s="115"/>
      <c r="S713" s="115"/>
      <c r="T713" s="115"/>
      <c r="U713" s="115"/>
      <c r="V713" s="115"/>
      <c r="W713" s="115"/>
    </row>
    <row r="714" spans="1:23" ht="12.75" customHeight="1" thickTop="1" x14ac:dyDescent="0.25">
      <c r="A714" s="336"/>
      <c r="B714" s="115"/>
      <c r="C714" s="115"/>
      <c r="D714" s="301"/>
      <c r="E714" s="383"/>
      <c r="F714" s="115"/>
      <c r="G714" s="114"/>
      <c r="H714" s="114"/>
      <c r="I714" s="114"/>
      <c r="J714" s="396"/>
      <c r="K714" s="396"/>
      <c r="L714" s="396"/>
      <c r="M714" s="396"/>
      <c r="N714" s="396"/>
      <c r="O714" s="396"/>
      <c r="P714" s="115"/>
      <c r="Q714" s="115"/>
      <c r="R714" s="115"/>
      <c r="S714" s="115"/>
      <c r="T714" s="115"/>
      <c r="U714" s="115"/>
      <c r="V714" s="115"/>
      <c r="W714" s="115"/>
    </row>
    <row r="715" spans="1:23" ht="12.75" customHeight="1" x14ac:dyDescent="0.25">
      <c r="A715" s="336"/>
      <c r="B715" s="115"/>
      <c r="C715" s="115"/>
      <c r="D715" s="393">
        <v>617011</v>
      </c>
      <c r="E715" s="381" t="s">
        <v>2840</v>
      </c>
      <c r="F715" s="115"/>
      <c r="G715" s="114"/>
      <c r="H715" s="114"/>
      <c r="I715" s="114"/>
      <c r="J715" s="115"/>
      <c r="K715" s="115"/>
      <c r="L715" s="115"/>
      <c r="M715" s="115"/>
      <c r="N715" s="115"/>
      <c r="O715" s="115"/>
      <c r="P715" s="115"/>
      <c r="Q715" s="115"/>
      <c r="R715" s="115"/>
      <c r="S715" s="115"/>
      <c r="T715" s="115"/>
      <c r="U715" s="115"/>
      <c r="V715" s="115"/>
      <c r="W715" s="115"/>
    </row>
    <row r="716" spans="1:23" ht="12.75" customHeight="1" x14ac:dyDescent="0.25">
      <c r="A716" s="336"/>
      <c r="B716" s="115"/>
      <c r="C716" s="115"/>
      <c r="D716" s="143">
        <v>83800</v>
      </c>
      <c r="E716" s="115" t="s">
        <v>3013</v>
      </c>
      <c r="F716" s="115"/>
      <c r="G716" s="114"/>
      <c r="H716" s="114"/>
      <c r="I716" s="114"/>
      <c r="J716" s="115"/>
      <c r="K716" s="115"/>
      <c r="L716" s="115"/>
      <c r="M716" s="115"/>
      <c r="N716" s="115"/>
      <c r="O716" s="115"/>
      <c r="P716" s="115"/>
      <c r="Q716" s="115"/>
      <c r="R716" s="115"/>
      <c r="S716" s="115"/>
      <c r="T716" s="115"/>
      <c r="U716" s="115"/>
      <c r="V716" s="115"/>
      <c r="W716" s="115"/>
    </row>
    <row r="717" spans="1:23" ht="12.75" customHeight="1" x14ac:dyDescent="0.25">
      <c r="A717" s="336"/>
      <c r="B717" s="115"/>
      <c r="C717" s="115"/>
      <c r="D717" s="143">
        <v>84390</v>
      </c>
      <c r="E717" s="115" t="s">
        <v>3014</v>
      </c>
      <c r="F717" s="115"/>
      <c r="G717" s="114"/>
      <c r="H717" s="114"/>
      <c r="I717" s="114"/>
      <c r="J717" s="115"/>
      <c r="K717" s="115"/>
      <c r="L717" s="115"/>
      <c r="M717" s="115"/>
      <c r="N717" s="115"/>
      <c r="O717" s="115"/>
      <c r="P717" s="115"/>
      <c r="Q717" s="115"/>
      <c r="R717" s="115"/>
      <c r="S717" s="115"/>
      <c r="T717" s="115"/>
      <c r="U717" s="115"/>
      <c r="V717" s="115"/>
      <c r="W717" s="115"/>
    </row>
    <row r="718" spans="1:23" ht="12.75" customHeight="1" x14ac:dyDescent="0.25">
      <c r="A718" s="336"/>
      <c r="B718" s="115"/>
      <c r="C718" s="115"/>
      <c r="D718" s="143"/>
      <c r="E718" s="115"/>
      <c r="F718" s="115"/>
      <c r="G718" s="114"/>
      <c r="H718" s="114"/>
      <c r="I718" s="114"/>
      <c r="J718" s="115"/>
      <c r="K718" s="115"/>
      <c r="L718" s="115"/>
      <c r="M718" s="115"/>
      <c r="N718" s="115"/>
      <c r="O718" s="115"/>
      <c r="P718" s="115"/>
      <c r="Q718" s="115"/>
      <c r="R718" s="115"/>
      <c r="S718" s="115"/>
      <c r="T718" s="115"/>
      <c r="U718" s="115"/>
      <c r="V718" s="115"/>
      <c r="W718" s="115"/>
    </row>
    <row r="719" spans="1:23" ht="12.75" customHeight="1" x14ac:dyDescent="0.25">
      <c r="A719" s="336"/>
      <c r="B719" s="115"/>
      <c r="C719" s="115"/>
      <c r="D719" s="393">
        <v>617011</v>
      </c>
      <c r="E719" s="381" t="s">
        <v>3015</v>
      </c>
      <c r="F719" s="115"/>
      <c r="G719" s="396"/>
      <c r="H719" s="396"/>
      <c r="I719" s="396"/>
      <c r="J719" s="115"/>
      <c r="K719" s="115"/>
      <c r="L719" s="115"/>
      <c r="M719" s="115"/>
      <c r="N719" s="115"/>
      <c r="O719" s="115"/>
      <c r="P719" s="115"/>
      <c r="Q719" s="115"/>
      <c r="R719" s="115"/>
      <c r="S719" s="115"/>
      <c r="T719" s="115"/>
      <c r="U719" s="115"/>
      <c r="V719" s="115"/>
      <c r="W719" s="115"/>
    </row>
    <row r="720" spans="1:23" ht="12.75" customHeight="1" x14ac:dyDescent="0.25">
      <c r="A720" s="336"/>
      <c r="B720" s="115"/>
      <c r="C720" s="115"/>
      <c r="D720" s="143">
        <v>860002</v>
      </c>
      <c r="E720" s="115" t="s">
        <v>3016</v>
      </c>
      <c r="F720" s="115"/>
      <c r="G720" s="114"/>
      <c r="H720" s="114"/>
      <c r="I720" s="114"/>
      <c r="J720" s="115"/>
      <c r="K720" s="115"/>
      <c r="L720" s="115"/>
      <c r="M720" s="115"/>
      <c r="N720" s="115"/>
      <c r="O720" s="115"/>
      <c r="P720" s="115"/>
      <c r="Q720" s="115"/>
      <c r="R720" s="115"/>
      <c r="S720" s="115"/>
      <c r="T720" s="115"/>
      <c r="U720" s="115"/>
      <c r="V720" s="115"/>
      <c r="W720" s="115"/>
    </row>
    <row r="721" spans="1:23" ht="12.75" customHeight="1" x14ac:dyDescent="0.25">
      <c r="A721" s="336"/>
      <c r="B721" s="115"/>
      <c r="C721" s="115"/>
      <c r="D721" s="143"/>
      <c r="E721" s="115"/>
      <c r="F721" s="115"/>
      <c r="G721" s="114"/>
      <c r="H721" s="114"/>
      <c r="I721" s="114"/>
      <c r="J721" s="115"/>
      <c r="K721" s="115"/>
      <c r="L721" s="115"/>
      <c r="M721" s="115"/>
      <c r="N721" s="115"/>
      <c r="O721" s="115"/>
      <c r="P721" s="115"/>
      <c r="Q721" s="115"/>
      <c r="R721" s="115"/>
      <c r="S721" s="115"/>
      <c r="T721" s="115"/>
      <c r="U721" s="115"/>
      <c r="V721" s="115"/>
      <c r="W721" s="115"/>
    </row>
    <row r="722" spans="1:23" ht="12.75" customHeight="1" x14ac:dyDescent="0.25">
      <c r="A722" s="336"/>
      <c r="B722" s="115"/>
      <c r="C722" s="115"/>
      <c r="D722" s="393">
        <v>617015</v>
      </c>
      <c r="E722" s="381" t="s">
        <v>2831</v>
      </c>
      <c r="F722" s="115"/>
      <c r="G722" s="115"/>
      <c r="H722" s="114"/>
      <c r="I722" s="114"/>
      <c r="J722" s="115"/>
      <c r="K722" s="115"/>
      <c r="L722" s="115"/>
      <c r="M722" s="115"/>
      <c r="N722" s="115"/>
      <c r="O722" s="115"/>
      <c r="P722" s="115"/>
      <c r="Q722" s="115"/>
      <c r="R722" s="115"/>
      <c r="S722" s="115"/>
      <c r="T722" s="115"/>
      <c r="U722" s="115"/>
      <c r="V722" s="115"/>
      <c r="W722" s="115"/>
    </row>
    <row r="723" spans="1:23" ht="12.75" customHeight="1" x14ac:dyDescent="0.25">
      <c r="A723" s="336"/>
      <c r="B723" s="115"/>
      <c r="C723" s="115"/>
      <c r="D723" s="143">
        <v>43200</v>
      </c>
      <c r="E723" s="115" t="s">
        <v>3017</v>
      </c>
      <c r="F723" s="115"/>
      <c r="G723" s="115"/>
      <c r="H723" s="114"/>
      <c r="I723" s="114"/>
      <c r="J723" s="115"/>
      <c r="K723" s="115"/>
      <c r="L723" s="115"/>
      <c r="M723" s="115"/>
      <c r="N723" s="115"/>
      <c r="O723" s="115"/>
      <c r="P723" s="115"/>
      <c r="Q723" s="115"/>
      <c r="R723" s="115"/>
      <c r="S723" s="115"/>
      <c r="T723" s="115"/>
      <c r="U723" s="115"/>
      <c r="V723" s="115"/>
      <c r="W723" s="115"/>
    </row>
    <row r="724" spans="1:23" ht="12.75" customHeight="1" x14ac:dyDescent="0.25">
      <c r="A724" s="336"/>
      <c r="B724" s="115"/>
      <c r="C724" s="115"/>
      <c r="D724" s="143"/>
      <c r="E724" s="115"/>
      <c r="F724" s="115"/>
      <c r="G724" s="114"/>
      <c r="H724" s="114"/>
      <c r="I724" s="114"/>
      <c r="J724" s="115"/>
      <c r="K724" s="115"/>
      <c r="L724" s="115"/>
      <c r="M724" s="115"/>
      <c r="N724" s="115"/>
      <c r="O724" s="115"/>
      <c r="P724" s="115"/>
      <c r="Q724" s="115"/>
      <c r="R724" s="115"/>
      <c r="S724" s="115"/>
      <c r="T724" s="115"/>
      <c r="U724" s="115"/>
      <c r="V724" s="115"/>
      <c r="W724" s="115"/>
    </row>
    <row r="725" spans="1:23" ht="12.75" customHeight="1" x14ac:dyDescent="0.25">
      <c r="A725" s="336"/>
      <c r="B725" s="115"/>
      <c r="C725" s="115"/>
      <c r="D725" s="381" t="s">
        <v>3018</v>
      </c>
      <c r="E725" s="115"/>
      <c r="F725" s="631"/>
      <c r="G725" s="631"/>
      <c r="H725" s="631"/>
      <c r="I725" s="631"/>
      <c r="J725" s="115"/>
      <c r="K725" s="115"/>
      <c r="L725" s="115"/>
      <c r="M725" s="115"/>
      <c r="N725" s="115"/>
      <c r="O725" s="115"/>
      <c r="P725" s="115"/>
      <c r="Q725" s="115"/>
      <c r="R725" s="115"/>
      <c r="S725" s="115"/>
      <c r="T725" s="115"/>
      <c r="U725" s="115"/>
      <c r="V725" s="115"/>
      <c r="W725" s="115"/>
    </row>
    <row r="726" spans="1:23" ht="12.75" customHeight="1" x14ac:dyDescent="0.25">
      <c r="A726" s="336"/>
      <c r="B726" s="115"/>
      <c r="C726" s="115"/>
      <c r="D726" s="2510" t="s">
        <v>3019</v>
      </c>
      <c r="E726" s="2510"/>
      <c r="F726" s="2510"/>
      <c r="G726" s="2510"/>
      <c r="H726" s="2510"/>
      <c r="I726" s="2510"/>
      <c r="J726" s="2510"/>
      <c r="K726" s="2510"/>
      <c r="L726" s="399"/>
      <c r="M726" s="399"/>
      <c r="N726" s="399"/>
      <c r="O726" s="399"/>
      <c r="P726" s="115"/>
      <c r="Q726" s="115"/>
      <c r="R726" s="115"/>
      <c r="S726" s="115"/>
      <c r="T726" s="115"/>
      <c r="U726" s="115"/>
      <c r="V726" s="115"/>
      <c r="W726" s="115"/>
    </row>
    <row r="727" spans="1:23" ht="12.75" customHeight="1" x14ac:dyDescent="0.25">
      <c r="A727" s="306"/>
      <c r="B727" s="115"/>
      <c r="C727" s="115"/>
      <c r="D727" s="2510"/>
      <c r="E727" s="2510"/>
      <c r="F727" s="2510"/>
      <c r="G727" s="2510"/>
      <c r="H727" s="2510"/>
      <c r="I727" s="2510"/>
      <c r="J727" s="2510"/>
      <c r="K727" s="2510"/>
      <c r="L727" s="399"/>
      <c r="M727" s="399"/>
      <c r="N727" s="399"/>
      <c r="O727" s="399"/>
      <c r="P727" s="115"/>
      <c r="Q727" s="115"/>
      <c r="R727" s="115"/>
      <c r="S727" s="115"/>
      <c r="T727" s="115"/>
      <c r="U727" s="115"/>
      <c r="V727" s="115"/>
      <c r="W727" s="115"/>
    </row>
    <row r="728" spans="1:23" ht="12.75" customHeight="1" x14ac:dyDescent="0.25">
      <c r="A728" s="306"/>
      <c r="B728" s="115"/>
      <c r="C728" s="115"/>
      <c r="D728" s="2510"/>
      <c r="E728" s="2510"/>
      <c r="F728" s="2510"/>
      <c r="G728" s="2510"/>
      <c r="H728" s="2510"/>
      <c r="I728" s="2510"/>
      <c r="J728" s="2510"/>
      <c r="K728" s="2510"/>
      <c r="L728" s="399"/>
      <c r="M728" s="399"/>
      <c r="N728" s="399"/>
      <c r="O728" s="399"/>
      <c r="P728" s="115"/>
      <c r="Q728" s="115"/>
      <c r="R728" s="115"/>
      <c r="S728" s="115"/>
      <c r="T728" s="115"/>
      <c r="U728" s="115"/>
      <c r="V728" s="115"/>
      <c r="W728" s="115"/>
    </row>
    <row r="729" spans="1:23" ht="12.75" customHeight="1" x14ac:dyDescent="0.25">
      <c r="A729" s="306"/>
      <c r="B729" s="115"/>
      <c r="C729" s="115"/>
      <c r="D729" s="399"/>
      <c r="E729" s="399"/>
      <c r="F729" s="399"/>
      <c r="G729" s="399"/>
      <c r="H729" s="399"/>
      <c r="I729" s="399"/>
      <c r="J729" s="501">
        <v>2025</v>
      </c>
      <c r="K729" s="501">
        <v>2026</v>
      </c>
      <c r="L729" s="501">
        <v>2027</v>
      </c>
      <c r="M729" s="501">
        <v>2028</v>
      </c>
      <c r="N729" s="501">
        <v>2029</v>
      </c>
      <c r="O729" s="501">
        <v>2030</v>
      </c>
      <c r="P729" s="115"/>
      <c r="Q729" s="115"/>
      <c r="R729" s="115"/>
      <c r="S729" s="115"/>
      <c r="T729" s="115"/>
      <c r="U729" s="115"/>
      <c r="V729" s="115"/>
      <c r="W729" s="115"/>
    </row>
    <row r="730" spans="1:23" ht="12.75" customHeight="1" x14ac:dyDescent="0.25">
      <c r="A730" s="306"/>
      <c r="B730" s="115"/>
      <c r="C730" s="115"/>
      <c r="D730" s="563" t="s">
        <v>3020</v>
      </c>
      <c r="E730" s="399"/>
      <c r="F730" s="399"/>
      <c r="G730" s="399"/>
      <c r="H730" s="399"/>
      <c r="I730" s="399"/>
      <c r="J730" s="115"/>
      <c r="K730" s="115"/>
      <c r="L730" s="115"/>
      <c r="M730" s="115"/>
      <c r="N730" s="115"/>
      <c r="O730" s="115"/>
      <c r="P730" s="115"/>
      <c r="Q730" s="115"/>
      <c r="R730" s="115"/>
      <c r="S730" s="115"/>
      <c r="T730" s="115"/>
      <c r="U730" s="115"/>
      <c r="V730" s="115"/>
      <c r="W730" s="115"/>
    </row>
    <row r="731" spans="1:23" ht="12.75" customHeight="1" x14ac:dyDescent="0.25">
      <c r="A731" s="306"/>
      <c r="B731" s="115"/>
      <c r="C731" s="115"/>
      <c r="D731" s="115" t="s">
        <v>3021</v>
      </c>
      <c r="E731" s="115"/>
      <c r="F731" s="114"/>
      <c r="G731" s="114"/>
      <c r="H731" s="114"/>
      <c r="I731" s="114"/>
      <c r="J731" s="114">
        <v>16851.22</v>
      </c>
      <c r="K731" s="114">
        <v>14736</v>
      </c>
      <c r="L731" s="114">
        <f>L751</f>
        <v>15355</v>
      </c>
      <c r="M731" s="114">
        <f>M751</f>
        <v>15923</v>
      </c>
      <c r="N731" s="114">
        <f>N751</f>
        <v>16512</v>
      </c>
      <c r="O731" s="114">
        <f>O751</f>
        <v>17123</v>
      </c>
      <c r="P731" s="115"/>
      <c r="Q731" s="115"/>
      <c r="R731" s="115"/>
      <c r="S731" s="115"/>
      <c r="T731" s="115"/>
      <c r="U731" s="115"/>
      <c r="V731" s="115"/>
      <c r="W731" s="115"/>
    </row>
    <row r="732" spans="1:23" ht="12.75" customHeight="1" x14ac:dyDescent="0.25">
      <c r="A732" s="306"/>
      <c r="B732" s="115"/>
      <c r="C732" s="115"/>
      <c r="D732" s="115" t="s">
        <v>3022</v>
      </c>
      <c r="E732" s="115"/>
      <c r="F732" s="114"/>
      <c r="G732" s="114"/>
      <c r="H732" s="114"/>
      <c r="I732" s="114"/>
      <c r="J732" s="114">
        <v>508424</v>
      </c>
      <c r="K732" s="114">
        <v>595260</v>
      </c>
      <c r="L732" s="114">
        <f>L189</f>
        <v>636123.80000000005</v>
      </c>
      <c r="M732" s="114">
        <f>M189</f>
        <v>676882.6</v>
      </c>
      <c r="N732" s="114">
        <f>N189</f>
        <v>718132.4</v>
      </c>
      <c r="O732" s="114">
        <f>O189</f>
        <v>759887.8</v>
      </c>
      <c r="P732" s="115"/>
      <c r="Q732" s="115"/>
      <c r="R732" s="115"/>
      <c r="S732" s="115"/>
      <c r="T732" s="115"/>
      <c r="U732" s="115"/>
      <c r="V732" s="115"/>
      <c r="W732" s="115"/>
    </row>
    <row r="733" spans="1:23" ht="12.75" customHeight="1" x14ac:dyDescent="0.25">
      <c r="A733" s="306"/>
      <c r="B733" s="115"/>
      <c r="C733" s="115"/>
      <c r="D733" s="401" t="s">
        <v>3023</v>
      </c>
      <c r="E733" s="399"/>
      <c r="F733" s="399"/>
      <c r="G733" s="399"/>
      <c r="H733" s="399"/>
      <c r="I733" s="399"/>
      <c r="J733" s="1242">
        <v>15206.397722987653</v>
      </c>
      <c r="K733" s="1242">
        <v>12176.724665051508</v>
      </c>
      <c r="L733" s="1242">
        <f t="shared" ref="L733:M733" si="166">L788</f>
        <v>12801.649652166418</v>
      </c>
      <c r="M733" s="1242">
        <f t="shared" si="166"/>
        <v>12794.505913503572</v>
      </c>
      <c r="N733" s="1242">
        <f t="shared" ref="N733:O733" si="167">N788</f>
        <v>13212.558071775285</v>
      </c>
      <c r="O733" s="1242">
        <f t="shared" si="167"/>
        <v>13701.467530463191</v>
      </c>
      <c r="P733" s="115"/>
      <c r="Q733" s="115"/>
      <c r="R733" s="115"/>
      <c r="S733" s="115"/>
      <c r="T733" s="115"/>
      <c r="U733" s="115"/>
      <c r="V733" s="115"/>
      <c r="W733" s="115"/>
    </row>
    <row r="734" spans="1:23" ht="12.75" customHeight="1" thickBot="1" x14ac:dyDescent="0.3">
      <c r="A734" s="306"/>
      <c r="B734" s="115"/>
      <c r="C734" s="115"/>
      <c r="D734" s="401" t="s">
        <v>3024</v>
      </c>
      <c r="E734" s="399"/>
      <c r="F734" s="399"/>
      <c r="G734" s="399"/>
      <c r="H734" s="399"/>
      <c r="I734" s="399"/>
      <c r="J734" s="1879">
        <v>540481.61772298766</v>
      </c>
      <c r="K734" s="1879">
        <v>622172.72466505156</v>
      </c>
      <c r="L734" s="1879">
        <f>SUM(L731:L733)</f>
        <v>664280.44965216646</v>
      </c>
      <c r="M734" s="1879">
        <f>SUM(M731:M733)</f>
        <v>705600.10591350356</v>
      </c>
      <c r="N734" s="1879">
        <f>SUM(N731:N733)</f>
        <v>747856.95807177527</v>
      </c>
      <c r="O734" s="1879">
        <f>SUM(O731:O733)</f>
        <v>790712.26753046329</v>
      </c>
      <c r="P734" s="115"/>
      <c r="Q734" s="115"/>
      <c r="R734" s="115"/>
      <c r="S734" s="115"/>
      <c r="T734" s="115"/>
      <c r="U734" s="115"/>
      <c r="V734" s="115"/>
      <c r="W734" s="115"/>
    </row>
    <row r="735" spans="1:23" ht="12.75" customHeight="1" thickTop="1" x14ac:dyDescent="0.25">
      <c r="A735" s="306"/>
      <c r="B735" s="115"/>
      <c r="C735" s="115"/>
      <c r="D735" s="401"/>
      <c r="E735" s="399"/>
      <c r="F735" s="399"/>
      <c r="G735" s="399"/>
      <c r="H735" s="399"/>
      <c r="I735" s="399"/>
      <c r="J735" s="115"/>
      <c r="K735" s="115"/>
      <c r="L735" s="115"/>
      <c r="M735" s="115"/>
      <c r="N735" s="115"/>
      <c r="O735" s="115"/>
      <c r="P735" s="115"/>
      <c r="Q735" s="115"/>
      <c r="R735" s="115"/>
      <c r="S735" s="115"/>
      <c r="T735" s="115"/>
      <c r="U735" s="115"/>
      <c r="V735" s="115"/>
      <c r="W735" s="115"/>
    </row>
    <row r="736" spans="1:23" ht="12.75" customHeight="1" x14ac:dyDescent="0.25">
      <c r="A736" s="306"/>
      <c r="B736" s="115"/>
      <c r="C736" s="115"/>
      <c r="D736" s="383" t="s">
        <v>3025</v>
      </c>
      <c r="E736" s="115"/>
      <c r="F736" s="486"/>
      <c r="G736" s="486"/>
      <c r="H736" s="486"/>
      <c r="I736" s="486"/>
      <c r="J736" s="486"/>
      <c r="K736" s="486"/>
      <c r="L736" s="486"/>
      <c r="M736" s="486"/>
      <c r="N736" s="486"/>
      <c r="O736" s="486"/>
      <c r="P736" s="115"/>
      <c r="Q736" s="115"/>
      <c r="R736" s="115"/>
      <c r="S736" s="115"/>
      <c r="T736" s="115"/>
      <c r="U736" s="115"/>
      <c r="V736" s="115"/>
      <c r="W736" s="115"/>
    </row>
    <row r="737" spans="1:23" ht="12.75" customHeight="1" x14ac:dyDescent="0.25">
      <c r="A737" s="306"/>
      <c r="B737" s="115"/>
      <c r="C737" s="115"/>
      <c r="D737" s="115" t="s">
        <v>3026</v>
      </c>
      <c r="E737" s="115"/>
      <c r="F737" s="1243"/>
      <c r="G737" s="1243"/>
      <c r="H737" s="1243"/>
      <c r="I737" s="1243"/>
      <c r="J737" s="394">
        <v>-179980</v>
      </c>
      <c r="K737" s="394">
        <v>-207184</v>
      </c>
      <c r="L737" s="394">
        <f t="shared" ref="L737:M737" si="168">-ROUND((L731+L732+L733)*33.3%,0)</f>
        <v>-221205</v>
      </c>
      <c r="M737" s="394">
        <f t="shared" si="168"/>
        <v>-234965</v>
      </c>
      <c r="N737" s="394">
        <f t="shared" ref="N737:O737" si="169">-ROUND((N731+N732+N733)*33.3%,0)</f>
        <v>-249036</v>
      </c>
      <c r="O737" s="394">
        <f t="shared" si="169"/>
        <v>-263307</v>
      </c>
      <c r="P737" s="115"/>
      <c r="Q737" s="115"/>
      <c r="R737" s="115"/>
      <c r="S737" s="115"/>
      <c r="T737" s="115"/>
      <c r="U737" s="115"/>
      <c r="V737" s="115"/>
      <c r="W737" s="115"/>
    </row>
    <row r="738" spans="1:23" ht="12.75" customHeight="1" thickBot="1" x14ac:dyDescent="0.3">
      <c r="A738" s="306"/>
      <c r="B738" s="115"/>
      <c r="C738" s="115"/>
      <c r="D738" s="115" t="s">
        <v>3027</v>
      </c>
      <c r="E738" s="115"/>
      <c r="F738" s="114"/>
      <c r="G738" s="114"/>
      <c r="H738" s="114"/>
      <c r="I738" s="394"/>
      <c r="J738" s="1779">
        <v>-179980</v>
      </c>
      <c r="K738" s="1779">
        <v>-207184</v>
      </c>
      <c r="L738" s="1779">
        <f t="shared" ref="L738:M738" si="170">SUM(L737)</f>
        <v>-221205</v>
      </c>
      <c r="M738" s="1779">
        <f t="shared" si="170"/>
        <v>-234965</v>
      </c>
      <c r="N738" s="1779">
        <f t="shared" ref="N738:O738" si="171">SUM(N737)</f>
        <v>-249036</v>
      </c>
      <c r="O738" s="1779">
        <f t="shared" si="171"/>
        <v>-263307</v>
      </c>
      <c r="P738" s="115"/>
      <c r="Q738" s="115"/>
      <c r="R738" s="115"/>
      <c r="S738" s="115"/>
      <c r="T738" s="115"/>
      <c r="U738" s="115"/>
      <c r="V738" s="115"/>
      <c r="W738" s="115"/>
    </row>
    <row r="739" spans="1:23" ht="12.75" customHeight="1" thickTop="1" x14ac:dyDescent="0.25">
      <c r="A739" s="306"/>
      <c r="B739" s="115"/>
      <c r="C739" s="115"/>
      <c r="D739" s="115"/>
      <c r="E739" s="115"/>
      <c r="F739" s="114"/>
      <c r="G739" s="114"/>
      <c r="H739" s="114"/>
      <c r="I739" s="114"/>
      <c r="J739" s="114"/>
      <c r="K739" s="114"/>
      <c r="L739" s="114"/>
      <c r="M739" s="114"/>
      <c r="N739" s="114"/>
      <c r="O739" s="114"/>
      <c r="P739" s="115"/>
      <c r="Q739" s="115"/>
      <c r="R739" s="115"/>
      <c r="S739" s="115"/>
      <c r="T739" s="115"/>
      <c r="U739" s="115"/>
      <c r="V739" s="115"/>
      <c r="W739" s="115"/>
    </row>
    <row r="740" spans="1:23" ht="12.75" customHeight="1" thickBot="1" x14ac:dyDescent="0.3">
      <c r="A740" s="306"/>
      <c r="B740" s="115"/>
      <c r="C740" s="115"/>
      <c r="D740" s="115" t="s">
        <v>3028</v>
      </c>
      <c r="E740" s="115"/>
      <c r="F740" s="114"/>
      <c r="G740" s="114"/>
      <c r="H740" s="114"/>
      <c r="I740" s="114"/>
      <c r="J740" s="1744">
        <v>-35554</v>
      </c>
      <c r="K740" s="1744">
        <v>-41627</v>
      </c>
      <c r="L740" s="1744">
        <f>-ROUND((L732)*33.3%*21%,0)</f>
        <v>-44484</v>
      </c>
      <c r="M740" s="1744">
        <f>-ROUND((M732)*33.3%*21%,0)</f>
        <v>-47334</v>
      </c>
      <c r="N740" s="1744">
        <f>-ROUND((N732)*33.3%*21%,0)</f>
        <v>-50219</v>
      </c>
      <c r="O740" s="1744">
        <f>-ROUND((O732)*33.3%*21%,0)</f>
        <v>-53139</v>
      </c>
      <c r="P740" s="115"/>
      <c r="Q740" s="115"/>
      <c r="R740" s="115"/>
      <c r="S740" s="115"/>
      <c r="T740" s="115"/>
      <c r="U740" s="115"/>
      <c r="V740" s="115"/>
      <c r="W740" s="115"/>
    </row>
    <row r="741" spans="1:23" ht="12.75" customHeight="1" thickTop="1" x14ac:dyDescent="0.25">
      <c r="A741" s="306"/>
      <c r="B741" s="115"/>
      <c r="C741" s="115"/>
      <c r="D741" s="115"/>
      <c r="E741" s="115"/>
      <c r="F741" s="114"/>
      <c r="G741" s="114"/>
      <c r="H741" s="114"/>
      <c r="I741" s="114"/>
      <c r="J741" s="114"/>
      <c r="K741" s="114"/>
      <c r="L741" s="114"/>
      <c r="M741" s="114"/>
      <c r="N741" s="114"/>
      <c r="O741" s="114"/>
      <c r="P741" s="115"/>
      <c r="Q741" s="115"/>
      <c r="R741" s="115"/>
      <c r="S741" s="115"/>
      <c r="T741" s="115"/>
      <c r="U741" s="115"/>
      <c r="V741" s="115"/>
      <c r="W741" s="115"/>
    </row>
    <row r="742" spans="1:23" ht="12.75" customHeight="1" x14ac:dyDescent="0.25">
      <c r="A742" s="306"/>
      <c r="B742" s="115"/>
      <c r="C742" s="115"/>
      <c r="D742" s="383" t="s">
        <v>3029</v>
      </c>
      <c r="E742" s="115"/>
      <c r="F742" s="114"/>
      <c r="G742" s="114"/>
      <c r="H742" s="114"/>
      <c r="I742" s="114"/>
      <c r="J742" s="114"/>
      <c r="K742" s="114"/>
      <c r="L742" s="114"/>
      <c r="M742" s="114"/>
      <c r="N742" s="114"/>
      <c r="O742" s="114"/>
      <c r="P742" s="115"/>
      <c r="Q742" s="115"/>
      <c r="R742" s="115"/>
      <c r="S742" s="115"/>
      <c r="T742" s="115"/>
      <c r="U742" s="115"/>
      <c r="V742" s="115"/>
      <c r="W742" s="115"/>
    </row>
    <row r="743" spans="1:23" ht="12.75" customHeight="1" x14ac:dyDescent="0.25">
      <c r="A743" s="306"/>
      <c r="B743" s="115"/>
      <c r="C743" s="115"/>
      <c r="D743" s="115" t="s">
        <v>3030</v>
      </c>
      <c r="E743" s="115"/>
      <c r="F743" s="1243"/>
      <c r="G743" s="1243"/>
      <c r="H743" s="1243"/>
      <c r="I743" s="1243"/>
      <c r="J743" s="394">
        <v>-179980</v>
      </c>
      <c r="K743" s="394">
        <v>-207184</v>
      </c>
      <c r="L743" s="394">
        <f t="shared" ref="L743:M743" si="172">L737</f>
        <v>-221205</v>
      </c>
      <c r="M743" s="394">
        <f t="shared" si="172"/>
        <v>-234965</v>
      </c>
      <c r="N743" s="394">
        <f t="shared" ref="N743:O743" si="173">N737</f>
        <v>-249036</v>
      </c>
      <c r="O743" s="394">
        <f t="shared" si="173"/>
        <v>-263307</v>
      </c>
      <c r="P743" s="115"/>
      <c r="Q743" s="115"/>
      <c r="R743" s="115"/>
      <c r="S743" s="115"/>
      <c r="T743" s="115"/>
      <c r="U743" s="115"/>
      <c r="V743" s="115"/>
      <c r="W743" s="115"/>
    </row>
    <row r="744" spans="1:23" ht="12.75" customHeight="1" thickBot="1" x14ac:dyDescent="0.3">
      <c r="A744" s="306"/>
      <c r="B744" s="115"/>
      <c r="C744" s="115"/>
      <c r="D744" s="115" t="s">
        <v>3031</v>
      </c>
      <c r="E744" s="115"/>
      <c r="F744" s="114"/>
      <c r="G744" s="114"/>
      <c r="H744" s="114"/>
      <c r="I744" s="394"/>
      <c r="J744" s="1779">
        <v>-179980</v>
      </c>
      <c r="K744" s="1779">
        <v>-207184</v>
      </c>
      <c r="L744" s="1779">
        <f t="shared" ref="L744:M744" si="174">SUM(L743)</f>
        <v>-221205</v>
      </c>
      <c r="M744" s="1779">
        <f t="shared" si="174"/>
        <v>-234965</v>
      </c>
      <c r="N744" s="1779">
        <f t="shared" ref="N744:O744" si="175">SUM(N743)</f>
        <v>-249036</v>
      </c>
      <c r="O744" s="1779">
        <f t="shared" si="175"/>
        <v>-263307</v>
      </c>
      <c r="P744" s="115"/>
      <c r="Q744" s="115"/>
      <c r="R744" s="115"/>
      <c r="S744" s="115"/>
      <c r="T744" s="115"/>
      <c r="U744" s="115"/>
      <c r="V744" s="115"/>
      <c r="W744" s="115"/>
    </row>
    <row r="745" spans="1:23" ht="12.75" customHeight="1" thickTop="1" x14ac:dyDescent="0.25">
      <c r="A745" s="306"/>
      <c r="B745" s="115"/>
      <c r="C745" s="115"/>
      <c r="D745" s="115"/>
      <c r="E745" s="115"/>
      <c r="F745" s="114"/>
      <c r="G745" s="114"/>
      <c r="H745" s="114"/>
      <c r="I745" s="114"/>
      <c r="J745" s="114"/>
      <c r="K745" s="114"/>
      <c r="L745" s="114"/>
      <c r="M745" s="114"/>
      <c r="N745" s="114"/>
      <c r="O745" s="114"/>
      <c r="P745" s="115"/>
      <c r="Q745" s="115"/>
      <c r="R745" s="115"/>
      <c r="S745" s="115"/>
      <c r="T745" s="115"/>
      <c r="U745" s="115"/>
      <c r="V745" s="115"/>
      <c r="W745" s="115"/>
    </row>
    <row r="746" spans="1:23" ht="12.75" customHeight="1" thickBot="1" x14ac:dyDescent="0.3">
      <c r="A746" s="306"/>
      <c r="B746" s="115"/>
      <c r="C746" s="115"/>
      <c r="D746" s="115" t="s">
        <v>3032</v>
      </c>
      <c r="E746" s="115"/>
      <c r="F746" s="114"/>
      <c r="G746" s="114"/>
      <c r="H746" s="114"/>
      <c r="I746" s="114"/>
      <c r="J746" s="1744">
        <v>-35554</v>
      </c>
      <c r="K746" s="1744">
        <v>-41627</v>
      </c>
      <c r="L746" s="1744">
        <f t="shared" ref="L746:M746" si="176">L740</f>
        <v>-44484</v>
      </c>
      <c r="M746" s="1744">
        <f t="shared" si="176"/>
        <v>-47334</v>
      </c>
      <c r="N746" s="1744">
        <f t="shared" ref="N746:O746" si="177">N740</f>
        <v>-50219</v>
      </c>
      <c r="O746" s="1744">
        <f t="shared" si="177"/>
        <v>-53139</v>
      </c>
      <c r="P746" s="115"/>
      <c r="Q746" s="115"/>
      <c r="R746" s="115"/>
      <c r="S746" s="115"/>
      <c r="T746" s="115"/>
      <c r="U746" s="115"/>
      <c r="V746" s="115"/>
      <c r="W746" s="115"/>
    </row>
    <row r="747" spans="1:23" ht="12.75" customHeight="1" thickTop="1" x14ac:dyDescent="0.25">
      <c r="A747" s="306"/>
      <c r="B747" s="115"/>
      <c r="C747" s="115"/>
      <c r="D747" s="115"/>
      <c r="E747" s="115"/>
      <c r="F747" s="114"/>
      <c r="G747" s="114"/>
      <c r="H747" s="114"/>
      <c r="I747" s="114"/>
      <c r="J747" s="114"/>
      <c r="K747" s="114"/>
      <c r="L747" s="114"/>
      <c r="M747" s="114"/>
      <c r="N747" s="114"/>
      <c r="O747" s="114"/>
      <c r="P747" s="115"/>
      <c r="Q747" s="115"/>
      <c r="R747" s="115"/>
      <c r="S747" s="115"/>
      <c r="T747" s="115"/>
      <c r="U747" s="115"/>
      <c r="V747" s="115"/>
      <c r="W747" s="115"/>
    </row>
    <row r="748" spans="1:23" s="359" customFormat="1" ht="12.75" customHeight="1" x14ac:dyDescent="0.25">
      <c r="A748" s="499"/>
      <c r="D748" s="312" t="s">
        <v>3033</v>
      </c>
      <c r="E748" s="312"/>
      <c r="F748" s="312"/>
      <c r="J748" s="501">
        <v>2025</v>
      </c>
      <c r="K748" s="501">
        <v>2026</v>
      </c>
      <c r="L748" s="501">
        <v>2027</v>
      </c>
      <c r="M748" s="501">
        <v>2028</v>
      </c>
      <c r="N748" s="501">
        <v>2029</v>
      </c>
      <c r="O748" s="501">
        <v>2030</v>
      </c>
      <c r="P748" s="510"/>
      <c r="Q748" s="706"/>
      <c r="R748" s="706"/>
      <c r="S748" s="706"/>
      <c r="T748" s="706"/>
      <c r="U748" s="706"/>
      <c r="V748" s="706"/>
    </row>
    <row r="749" spans="1:23" s="359" customFormat="1" ht="12.75" customHeight="1" x14ac:dyDescent="0.25">
      <c r="A749" s="499"/>
      <c r="D749" s="502"/>
      <c r="E749" s="502"/>
      <c r="F749" s="502"/>
      <c r="I749" s="510"/>
      <c r="J749" s="510"/>
      <c r="K749" s="510"/>
      <c r="L749" s="510"/>
      <c r="M749" s="510"/>
      <c r="N749" s="510"/>
      <c r="O749" s="510"/>
      <c r="P749" s="706"/>
      <c r="Q749" s="706"/>
      <c r="R749" s="706"/>
      <c r="S749" s="510"/>
      <c r="W749" s="115"/>
    </row>
    <row r="750" spans="1:23" ht="12.75" customHeight="1" x14ac:dyDescent="0.25">
      <c r="A750" s="336"/>
      <c r="B750" s="115"/>
      <c r="C750" s="115"/>
      <c r="D750" s="504" t="s">
        <v>935</v>
      </c>
      <c r="E750" s="504"/>
      <c r="F750" s="504"/>
      <c r="G750" s="359"/>
      <c r="H750" s="359"/>
      <c r="I750" s="510"/>
      <c r="J750" s="510"/>
      <c r="K750" s="510"/>
      <c r="L750" s="510"/>
      <c r="M750" s="510"/>
      <c r="N750" s="510"/>
      <c r="O750" s="510"/>
      <c r="P750" s="114"/>
      <c r="Q750" s="114"/>
      <c r="R750" s="114"/>
      <c r="S750" s="114"/>
      <c r="T750" s="359"/>
      <c r="U750" s="359"/>
      <c r="V750" s="359"/>
      <c r="W750" s="115"/>
    </row>
    <row r="751" spans="1:23" s="359" customFormat="1" ht="12.75" customHeight="1" x14ac:dyDescent="0.25">
      <c r="A751" s="499"/>
      <c r="D751" s="502" t="s">
        <v>3034</v>
      </c>
      <c r="E751" s="502"/>
      <c r="F751" s="502"/>
      <c r="I751" s="510"/>
      <c r="J751" s="510">
        <v>16851.22</v>
      </c>
      <c r="K751" s="510">
        <v>14736</v>
      </c>
      <c r="L751" s="510">
        <f t="shared" ref="L751:O752" si="178">L302</f>
        <v>15355</v>
      </c>
      <c r="M751" s="510">
        <f t="shared" si="178"/>
        <v>15923</v>
      </c>
      <c r="N751" s="510">
        <f t="shared" si="178"/>
        <v>16512</v>
      </c>
      <c r="O751" s="510">
        <f t="shared" si="178"/>
        <v>17123</v>
      </c>
    </row>
    <row r="752" spans="1:23" s="359" customFormat="1" ht="12.75" customHeight="1" x14ac:dyDescent="0.25">
      <c r="A752" s="499"/>
      <c r="D752" s="502" t="s">
        <v>3035</v>
      </c>
      <c r="E752" s="502"/>
      <c r="F752" s="502"/>
      <c r="I752" s="510"/>
      <c r="J752" s="510">
        <v>0</v>
      </c>
      <c r="K752" s="510">
        <v>0</v>
      </c>
      <c r="L752" s="510">
        <f t="shared" si="178"/>
        <v>0</v>
      </c>
      <c r="M752" s="510">
        <f t="shared" si="178"/>
        <v>0</v>
      </c>
      <c r="N752" s="510">
        <f t="shared" si="178"/>
        <v>0</v>
      </c>
      <c r="O752" s="510">
        <f t="shared" si="178"/>
        <v>0</v>
      </c>
    </row>
    <row r="753" spans="1:23" s="359" customFormat="1" ht="12.75" customHeight="1" x14ac:dyDescent="0.25">
      <c r="A753" s="499"/>
      <c r="D753" s="115" t="s">
        <v>3022</v>
      </c>
      <c r="E753" s="115"/>
      <c r="F753" s="114"/>
      <c r="G753" s="114"/>
      <c r="H753" s="114"/>
      <c r="I753" s="114"/>
      <c r="J753" s="114">
        <v>508424</v>
      </c>
      <c r="K753" s="114">
        <v>595260</v>
      </c>
      <c r="L753" s="114">
        <f>L189</f>
        <v>636123.80000000005</v>
      </c>
      <c r="M753" s="114">
        <f>M189</f>
        <v>676882.6</v>
      </c>
      <c r="N753" s="114">
        <f>N189</f>
        <v>718132.4</v>
      </c>
      <c r="O753" s="114">
        <f>O189</f>
        <v>759887.8</v>
      </c>
      <c r="P753" s="572"/>
      <c r="Q753" s="572"/>
      <c r="R753" s="572"/>
    </row>
    <row r="754" spans="1:23" ht="12.75" customHeight="1" thickBot="1" x14ac:dyDescent="0.3">
      <c r="A754" s="306"/>
      <c r="B754" s="115"/>
      <c r="C754" s="115"/>
      <c r="D754" s="502" t="s">
        <v>938</v>
      </c>
      <c r="E754" s="502"/>
      <c r="F754" s="502"/>
      <c r="G754" s="359"/>
      <c r="H754" s="359"/>
      <c r="I754" s="510"/>
      <c r="J754" s="1880">
        <v>525275.22</v>
      </c>
      <c r="K754" s="1880">
        <v>609996</v>
      </c>
      <c r="L754" s="1880">
        <f>SUM(L751:L753)</f>
        <v>651478.80000000005</v>
      </c>
      <c r="M754" s="1880">
        <f>SUM(M751:M753)</f>
        <v>692805.6</v>
      </c>
      <c r="N754" s="1880">
        <f>SUM(N751:N753)</f>
        <v>734644.4</v>
      </c>
      <c r="O754" s="1880">
        <f>SUM(O751:O753)</f>
        <v>777010.8</v>
      </c>
      <c r="P754" s="115"/>
      <c r="Q754" s="115"/>
      <c r="R754" s="115"/>
      <c r="S754" s="115"/>
      <c r="T754" s="115"/>
      <c r="U754" s="115"/>
      <c r="V754" s="115"/>
      <c r="W754" s="115"/>
    </row>
    <row r="755" spans="1:23" ht="12.75" customHeight="1" thickTop="1" x14ac:dyDescent="0.25">
      <c r="A755" s="306"/>
      <c r="B755" s="115"/>
      <c r="C755" s="115"/>
      <c r="D755" s="502"/>
      <c r="E755" s="502"/>
      <c r="F755" s="502"/>
      <c r="G755" s="359"/>
      <c r="H755" s="359"/>
      <c r="I755" s="510"/>
      <c r="J755" s="510"/>
      <c r="K755" s="510"/>
      <c r="L755" s="510"/>
      <c r="M755" s="510"/>
      <c r="N755" s="510"/>
      <c r="O755" s="510"/>
      <c r="P755" s="115"/>
      <c r="Q755" s="115"/>
      <c r="R755" s="115"/>
      <c r="S755" s="115"/>
      <c r="T755" s="115"/>
      <c r="U755" s="115"/>
      <c r="V755" s="115"/>
      <c r="W755" s="115"/>
    </row>
    <row r="756" spans="1:23" ht="12.75" customHeight="1" x14ac:dyDescent="0.25">
      <c r="A756" s="306"/>
      <c r="B756" s="115"/>
      <c r="C756" s="115"/>
      <c r="D756" s="301"/>
      <c r="E756" s="301"/>
      <c r="F756" s="301"/>
      <c r="G756" s="301"/>
      <c r="H756" s="301"/>
      <c r="I756" s="114"/>
      <c r="J756" s="114"/>
      <c r="K756" s="114"/>
      <c r="L756" s="114"/>
      <c r="M756" s="114"/>
      <c r="N756" s="114"/>
      <c r="O756" s="114"/>
      <c r="P756" s="115"/>
      <c r="Q756" s="115"/>
      <c r="R756" s="115"/>
      <c r="S756" s="115"/>
      <c r="T756" s="115"/>
      <c r="U756" s="115"/>
      <c r="V756" s="115"/>
      <c r="W756" s="115"/>
    </row>
    <row r="757" spans="1:23" ht="12.75" customHeight="1" x14ac:dyDescent="0.25">
      <c r="A757" s="306"/>
      <c r="B757" s="115"/>
      <c r="C757" s="115"/>
      <c r="D757" s="505" t="s">
        <v>939</v>
      </c>
      <c r="E757" s="396"/>
      <c r="F757" s="396"/>
      <c r="G757" s="301"/>
      <c r="H757" s="301"/>
      <c r="I757" s="114"/>
      <c r="J757" s="114"/>
      <c r="K757" s="114"/>
      <c r="L757" s="114"/>
      <c r="M757" s="114"/>
      <c r="N757" s="114"/>
      <c r="O757" s="114"/>
      <c r="P757" s="571"/>
      <c r="Q757" s="571"/>
      <c r="R757" s="115"/>
      <c r="S757" s="115"/>
      <c r="T757" s="115"/>
      <c r="U757" s="115"/>
      <c r="V757" s="115"/>
      <c r="W757" s="115"/>
    </row>
    <row r="758" spans="1:23" ht="12.75" customHeight="1" x14ac:dyDescent="0.25">
      <c r="A758" s="306"/>
      <c r="B758" s="115"/>
      <c r="C758" s="115"/>
      <c r="D758" s="301" t="s">
        <v>3036</v>
      </c>
      <c r="E758" s="396"/>
      <c r="F758" s="396"/>
      <c r="G758" s="301"/>
      <c r="H758" s="301"/>
      <c r="I758" s="114"/>
      <c r="J758" s="114"/>
      <c r="K758" s="114"/>
      <c r="L758" s="114"/>
      <c r="M758" s="114"/>
      <c r="N758" s="114"/>
      <c r="O758" s="114"/>
      <c r="P758" s="571"/>
      <c r="Q758" s="571"/>
      <c r="R758" s="571"/>
      <c r="S758" s="571"/>
      <c r="T758" s="115"/>
      <c r="U758" s="115"/>
      <c r="V758" s="115"/>
      <c r="W758" s="115"/>
    </row>
    <row r="759" spans="1:23" ht="12.75" customHeight="1" x14ac:dyDescent="0.25">
      <c r="A759" s="306"/>
      <c r="B759" s="115"/>
      <c r="C759" s="115"/>
      <c r="D759" s="411" t="s">
        <v>3037</v>
      </c>
      <c r="E759" s="396"/>
      <c r="F759" s="396"/>
      <c r="G759" s="301"/>
      <c r="H759" s="301"/>
      <c r="I759" s="114"/>
      <c r="J759" s="114">
        <v>0</v>
      </c>
      <c r="K759" s="114">
        <v>0</v>
      </c>
      <c r="L759" s="114">
        <f>L751*U759</f>
        <v>0</v>
      </c>
      <c r="M759" s="114">
        <f>M751*V759</f>
        <v>0</v>
      </c>
      <c r="N759" s="114">
        <f>N751*W759</f>
        <v>0</v>
      </c>
      <c r="O759" s="114">
        <f>O751*X759</f>
        <v>0</v>
      </c>
      <c r="P759" s="488"/>
      <c r="Q759" s="488"/>
      <c r="R759" s="610"/>
      <c r="S759" s="610"/>
      <c r="T759" s="610"/>
      <c r="U759" s="610"/>
      <c r="V759" s="610"/>
      <c r="W759" s="115"/>
    </row>
    <row r="760" spans="1:23" ht="12.75" customHeight="1" x14ac:dyDescent="0.25">
      <c r="A760" s="306"/>
      <c r="B760" s="115"/>
      <c r="C760" s="115"/>
      <c r="D760" s="411" t="s">
        <v>3038</v>
      </c>
      <c r="E760" s="396"/>
      <c r="F760" s="396"/>
      <c r="G760" s="301"/>
      <c r="H760" s="301"/>
      <c r="I760" s="114"/>
      <c r="J760" s="114">
        <v>0</v>
      </c>
      <c r="K760" s="114">
        <v>0</v>
      </c>
      <c r="L760" s="114">
        <f>L751*U760</f>
        <v>0</v>
      </c>
      <c r="M760" s="114">
        <f>M751*V760</f>
        <v>0</v>
      </c>
      <c r="N760" s="114">
        <f>N751*W760</f>
        <v>0</v>
      </c>
      <c r="O760" s="114">
        <f>O751*X760</f>
        <v>0</v>
      </c>
      <c r="P760" s="488"/>
      <c r="Q760" s="488"/>
      <c r="R760" s="610"/>
      <c r="S760" s="610"/>
      <c r="T760" s="610"/>
      <c r="U760" s="610"/>
      <c r="V760" s="610"/>
      <c r="W760" s="115"/>
    </row>
    <row r="761" spans="1:23" ht="12.75" customHeight="1" x14ac:dyDescent="0.25">
      <c r="A761" s="306"/>
      <c r="B761" s="115"/>
      <c r="C761" s="115"/>
      <c r="D761" s="411" t="s">
        <v>3039</v>
      </c>
      <c r="E761" s="396"/>
      <c r="F761" s="396"/>
      <c r="G761" s="301"/>
      <c r="H761" s="301"/>
      <c r="I761" s="114"/>
      <c r="J761" s="114">
        <v>0</v>
      </c>
      <c r="K761" s="114">
        <v>0</v>
      </c>
      <c r="L761" s="114">
        <f>L751*U761</f>
        <v>0</v>
      </c>
      <c r="M761" s="114">
        <f>M751*V761</f>
        <v>0</v>
      </c>
      <c r="N761" s="114">
        <f>N751*W761</f>
        <v>0</v>
      </c>
      <c r="O761" s="114">
        <f>O751*X761</f>
        <v>0</v>
      </c>
      <c r="P761" s="488"/>
      <c r="Q761" s="488"/>
      <c r="R761" s="610"/>
      <c r="S761" s="610"/>
      <c r="T761" s="610"/>
      <c r="U761" s="610"/>
      <c r="V761" s="610"/>
      <c r="W761" s="115"/>
    </row>
    <row r="762" spans="1:23" ht="12.75" customHeight="1" x14ac:dyDescent="0.25">
      <c r="A762" s="306"/>
      <c r="B762" s="115"/>
      <c r="C762" s="115"/>
      <c r="D762" s="411" t="s">
        <v>3040</v>
      </c>
      <c r="E762" s="301"/>
      <c r="F762" s="301"/>
      <c r="G762" s="359"/>
      <c r="H762" s="359"/>
      <c r="I762" s="510"/>
      <c r="J762" s="510">
        <v>0</v>
      </c>
      <c r="K762" s="510">
        <v>0</v>
      </c>
      <c r="L762" s="510">
        <f>L751*U762</f>
        <v>0</v>
      </c>
      <c r="M762" s="510">
        <f>M751*V762</f>
        <v>0</v>
      </c>
      <c r="N762" s="510">
        <f>N751*W762</f>
        <v>0</v>
      </c>
      <c r="O762" s="510">
        <f>O751*X762</f>
        <v>0</v>
      </c>
      <c r="P762" s="488"/>
      <c r="Q762" s="488"/>
      <c r="R762" s="488"/>
      <c r="S762" s="488"/>
      <c r="T762" s="488"/>
      <c r="U762" s="488"/>
      <c r="V762" s="488"/>
      <c r="W762" s="115"/>
    </row>
    <row r="763" spans="1:23" ht="12.75" customHeight="1" x14ac:dyDescent="0.25">
      <c r="A763" s="306"/>
      <c r="B763" s="115"/>
      <c r="C763" s="115"/>
      <c r="D763" s="411" t="s">
        <v>3041</v>
      </c>
      <c r="E763" s="396"/>
      <c r="F763" s="396"/>
      <c r="G763" s="301"/>
      <c r="H763" s="301"/>
      <c r="I763" s="114"/>
      <c r="J763" s="114">
        <v>0</v>
      </c>
      <c r="K763" s="114">
        <v>0</v>
      </c>
      <c r="L763" s="114">
        <f>L751*U763</f>
        <v>0</v>
      </c>
      <c r="M763" s="114">
        <f>M751*V763</f>
        <v>0</v>
      </c>
      <c r="N763" s="114">
        <f>N751*W763</f>
        <v>0</v>
      </c>
      <c r="O763" s="114">
        <f>O751*X763</f>
        <v>0</v>
      </c>
      <c r="P763" s="488"/>
      <c r="Q763" s="488"/>
      <c r="R763" s="610"/>
      <c r="S763" s="610"/>
      <c r="T763" s="610"/>
      <c r="U763" s="610"/>
      <c r="V763" s="610"/>
      <c r="W763" s="115"/>
    </row>
    <row r="764" spans="1:23" ht="12.75" customHeight="1" x14ac:dyDescent="0.25">
      <c r="A764" s="306"/>
      <c r="B764" s="115"/>
      <c r="C764" s="115"/>
      <c r="D764" s="411" t="s">
        <v>3042</v>
      </c>
      <c r="E764" s="301"/>
      <c r="F764" s="301"/>
      <c r="G764" s="359"/>
      <c r="H764" s="359"/>
      <c r="I764" s="510"/>
      <c r="J764" s="510">
        <v>0</v>
      </c>
      <c r="K764" s="510">
        <v>0</v>
      </c>
      <c r="L764" s="510">
        <f>L751*U764</f>
        <v>0</v>
      </c>
      <c r="M764" s="510">
        <f>M751*V764</f>
        <v>0</v>
      </c>
      <c r="N764" s="510">
        <f>N751*W764</f>
        <v>0</v>
      </c>
      <c r="O764" s="510">
        <f>O751*X764</f>
        <v>0</v>
      </c>
      <c r="P764" s="1244"/>
      <c r="Q764" s="1244"/>
      <c r="R764" s="610"/>
      <c r="S764" s="610"/>
      <c r="T764" s="610"/>
      <c r="U764" s="610"/>
      <c r="V764" s="610"/>
      <c r="W764" s="115"/>
    </row>
    <row r="765" spans="1:23" ht="12.75" customHeight="1" x14ac:dyDescent="0.25">
      <c r="A765" s="306"/>
      <c r="B765" s="115"/>
      <c r="C765" s="115"/>
      <c r="D765" s="411"/>
      <c r="E765" s="301"/>
      <c r="F765" s="301"/>
      <c r="G765" s="359"/>
      <c r="H765" s="359"/>
      <c r="I765" s="510"/>
      <c r="J765" s="510"/>
      <c r="K765" s="510"/>
      <c r="L765" s="510"/>
      <c r="M765" s="510"/>
      <c r="N765" s="510"/>
      <c r="O765" s="510"/>
      <c r="P765" s="1245"/>
      <c r="Q765" s="1245"/>
      <c r="R765" s="1245"/>
      <c r="S765" s="1245"/>
      <c r="T765" s="1245"/>
      <c r="U765" s="1245"/>
      <c r="V765" s="1245"/>
      <c r="W765" s="115"/>
    </row>
    <row r="766" spans="1:23" ht="12.75" customHeight="1" x14ac:dyDescent="0.25">
      <c r="A766" s="306"/>
      <c r="B766" s="115"/>
      <c r="C766" s="115"/>
      <c r="D766" s="411" t="s">
        <v>3043</v>
      </c>
      <c r="E766" s="301"/>
      <c r="F766" s="301"/>
      <c r="G766" s="359"/>
      <c r="H766" s="359"/>
      <c r="I766" s="510"/>
      <c r="J766" s="510"/>
      <c r="K766" s="510"/>
      <c r="L766" s="510"/>
      <c r="M766" s="510"/>
      <c r="N766" s="510"/>
      <c r="O766" s="510"/>
      <c r="P766" s="1245"/>
      <c r="Q766" s="1245"/>
      <c r="R766" s="1245"/>
      <c r="S766" s="1245"/>
      <c r="T766" s="1245"/>
      <c r="U766" s="1245"/>
      <c r="V766" s="1245"/>
      <c r="W766" s="115"/>
    </row>
    <row r="767" spans="1:23" ht="12.75" customHeight="1" x14ac:dyDescent="0.25">
      <c r="A767" s="306"/>
      <c r="B767" s="115"/>
      <c r="C767" s="115"/>
      <c r="D767" s="411" t="s">
        <v>3044</v>
      </c>
      <c r="E767" s="301"/>
      <c r="F767" s="301"/>
      <c r="G767" s="359"/>
      <c r="H767" s="359"/>
      <c r="I767" s="510"/>
      <c r="J767" s="706">
        <v>0</v>
      </c>
      <c r="K767" s="706">
        <v>0</v>
      </c>
      <c r="L767" s="706">
        <v>0</v>
      </c>
      <c r="M767" s="706">
        <v>0</v>
      </c>
      <c r="N767" s="706">
        <v>0</v>
      </c>
      <c r="O767" s="706">
        <v>0</v>
      </c>
      <c r="P767" s="1244"/>
      <c r="Q767" s="1244"/>
      <c r="R767" s="1244"/>
      <c r="S767" s="1244"/>
      <c r="T767" s="1244"/>
      <c r="U767" s="1244"/>
      <c r="V767" s="1244"/>
      <c r="W767" s="115"/>
    </row>
    <row r="768" spans="1:23" ht="12.75" customHeight="1" x14ac:dyDescent="0.25">
      <c r="A768" s="306"/>
      <c r="B768" s="115"/>
      <c r="C768" s="115"/>
      <c r="D768" s="411" t="s">
        <v>3045</v>
      </c>
      <c r="E768" s="301"/>
      <c r="F768" s="301"/>
      <c r="G768" s="359"/>
      <c r="H768" s="359"/>
      <c r="I768" s="510"/>
      <c r="J768" s="706">
        <v>0</v>
      </c>
      <c r="K768" s="706">
        <v>0</v>
      </c>
      <c r="L768" s="706">
        <v>0</v>
      </c>
      <c r="M768" s="706">
        <v>0</v>
      </c>
      <c r="N768" s="706">
        <v>0</v>
      </c>
      <c r="O768" s="706">
        <v>0</v>
      </c>
      <c r="P768" s="488"/>
      <c r="Q768" s="488"/>
      <c r="R768" s="571" t="s">
        <v>940</v>
      </c>
      <c r="S768" s="571" t="s">
        <v>941</v>
      </c>
      <c r="T768" s="571" t="s">
        <v>942</v>
      </c>
      <c r="U768" s="571" t="s">
        <v>943</v>
      </c>
      <c r="V768" s="571" t="s">
        <v>944</v>
      </c>
      <c r="W768" s="2097" t="s">
        <v>5284</v>
      </c>
    </row>
    <row r="769" spans="1:23" ht="12.75" customHeight="1" x14ac:dyDescent="0.25">
      <c r="A769" s="306"/>
      <c r="B769" s="115"/>
      <c r="C769" s="115"/>
      <c r="D769" s="411" t="s">
        <v>3046</v>
      </c>
      <c r="E769" s="301"/>
      <c r="F769" s="301"/>
      <c r="G769" s="359"/>
      <c r="H769" s="359"/>
      <c r="I769" s="510"/>
      <c r="J769" s="510">
        <v>0</v>
      </c>
      <c r="K769" s="510">
        <v>0</v>
      </c>
      <c r="L769" s="510">
        <f>L751*U769</f>
        <v>0</v>
      </c>
      <c r="M769" s="510">
        <f>M751*V769</f>
        <v>0</v>
      </c>
      <c r="N769" s="510">
        <f>N751*W769</f>
        <v>0</v>
      </c>
      <c r="O769" s="510">
        <f>O751*X769</f>
        <v>0</v>
      </c>
      <c r="P769" s="488"/>
      <c r="Q769" s="488"/>
      <c r="R769" s="610"/>
      <c r="S769" s="610"/>
      <c r="T769" s="610"/>
      <c r="U769" s="610"/>
      <c r="V769" s="610"/>
      <c r="W769" s="2098"/>
    </row>
    <row r="770" spans="1:23" ht="12.75" customHeight="1" x14ac:dyDescent="0.25">
      <c r="A770" s="306"/>
      <c r="B770" s="115"/>
      <c r="C770" s="115"/>
      <c r="D770" s="411" t="s">
        <v>3047</v>
      </c>
      <c r="E770" s="301"/>
      <c r="F770" s="301"/>
      <c r="G770" s="359"/>
      <c r="H770" s="359"/>
      <c r="I770" s="510"/>
      <c r="J770" s="706">
        <v>0</v>
      </c>
      <c r="K770" s="706">
        <v>0</v>
      </c>
      <c r="L770" s="706">
        <v>0</v>
      </c>
      <c r="M770" s="706">
        <v>0</v>
      </c>
      <c r="N770" s="706">
        <v>0</v>
      </c>
      <c r="O770" s="706">
        <v>0</v>
      </c>
      <c r="P770" s="488"/>
      <c r="Q770" s="488"/>
      <c r="R770" s="488"/>
      <c r="S770" s="488"/>
      <c r="T770" s="488"/>
      <c r="U770" s="488"/>
      <c r="V770" s="488"/>
      <c r="W770" s="2099"/>
    </row>
    <row r="771" spans="1:23" ht="12.75" customHeight="1" x14ac:dyDescent="0.25">
      <c r="A771" s="306"/>
      <c r="B771" s="115"/>
      <c r="C771" s="115"/>
      <c r="D771" s="411"/>
      <c r="E771" s="301"/>
      <c r="F771" s="301"/>
      <c r="G771" s="359"/>
      <c r="H771" s="359"/>
      <c r="I771" s="510"/>
      <c r="J771" s="706"/>
      <c r="K771" s="706"/>
      <c r="L771" s="706"/>
      <c r="M771" s="706"/>
      <c r="N771" s="706"/>
      <c r="O771" s="706"/>
      <c r="P771" s="488"/>
      <c r="Q771" s="488"/>
      <c r="R771" s="488"/>
      <c r="S771" s="488"/>
      <c r="T771" s="488"/>
      <c r="U771" s="488"/>
      <c r="V771" s="488"/>
      <c r="W771" s="2099"/>
    </row>
    <row r="772" spans="1:23" ht="12.75" customHeight="1" x14ac:dyDescent="0.3">
      <c r="A772" s="306"/>
      <c r="B772" s="115"/>
      <c r="C772" s="115"/>
      <c r="D772" s="507" t="s">
        <v>945</v>
      </c>
      <c r="E772" s="115"/>
      <c r="F772" s="115"/>
      <c r="G772" s="115"/>
      <c r="H772" s="115"/>
      <c r="I772" s="508"/>
      <c r="J772" s="508"/>
      <c r="K772" s="508"/>
      <c r="L772" s="151"/>
      <c r="M772" s="151"/>
      <c r="N772" s="151"/>
      <c r="O772" s="151"/>
      <c r="P772" s="1246"/>
      <c r="Q772" s="11"/>
      <c r="R772" s="1247"/>
      <c r="S772" s="1247"/>
      <c r="T772" s="1247"/>
      <c r="U772" s="1247"/>
      <c r="V772" s="1248"/>
      <c r="W772" s="2100"/>
    </row>
    <row r="773" spans="1:23" ht="12.75" customHeight="1" x14ac:dyDescent="0.3">
      <c r="A773" s="306"/>
      <c r="B773" s="115"/>
      <c r="C773" s="115"/>
      <c r="D773" s="507"/>
      <c r="E773" s="115"/>
      <c r="F773" s="115"/>
      <c r="G773" s="115"/>
      <c r="H773" s="115"/>
      <c r="I773" s="508"/>
      <c r="J773" s="508"/>
      <c r="K773" s="508"/>
      <c r="L773" s="151"/>
      <c r="M773" s="151"/>
      <c r="N773" s="151"/>
      <c r="O773" s="151"/>
      <c r="P773" s="1246"/>
      <c r="Q773" s="11"/>
      <c r="R773" s="1247"/>
      <c r="S773" s="1247"/>
      <c r="T773" s="1247"/>
      <c r="U773" s="1247"/>
      <c r="V773" s="1248"/>
      <c r="W773" s="2100"/>
    </row>
    <row r="774" spans="1:23" ht="12.75" customHeight="1" x14ac:dyDescent="0.3">
      <c r="A774" s="306"/>
      <c r="B774" s="115"/>
      <c r="C774" s="115"/>
      <c r="D774" s="115" t="s">
        <v>946</v>
      </c>
      <c r="E774" s="115"/>
      <c r="F774" s="115"/>
      <c r="G774" s="115"/>
      <c r="H774" s="115"/>
      <c r="I774" s="359"/>
      <c r="J774" s="151">
        <v>1685.6044433004693</v>
      </c>
      <c r="K774" s="151">
        <v>1328.3032629558541</v>
      </c>
      <c r="L774" s="151">
        <f>L$751*T774</f>
        <v>1445.1519669188558</v>
      </c>
      <c r="M774" s="151">
        <f>M$751*U774</f>
        <v>1581.0266444589347</v>
      </c>
      <c r="N774" s="151">
        <f>N$751*V774</f>
        <v>1723.6558823786404</v>
      </c>
      <c r="O774" s="547">
        <f>O$751*W774</f>
        <v>1787.4369957588092</v>
      </c>
      <c r="P774" s="1246"/>
      <c r="Q774" s="115"/>
      <c r="R774" s="508">
        <v>0.10002862957699615</v>
      </c>
      <c r="S774" s="1249">
        <v>9.0140015130011811E-2</v>
      </c>
      <c r="T774" s="1249">
        <v>9.4116051248378754E-2</v>
      </c>
      <c r="U774" s="1249">
        <v>9.9292008067508306E-2</v>
      </c>
      <c r="V774" s="1249">
        <v>0.10438807427196223</v>
      </c>
      <c r="W774" s="2082">
        <v>0.10438807427196223</v>
      </c>
    </row>
    <row r="775" spans="1:23" ht="12.75" customHeight="1" x14ac:dyDescent="0.3">
      <c r="A775" s="306"/>
      <c r="B775" s="115"/>
      <c r="C775" s="115"/>
      <c r="D775" s="115" t="s">
        <v>947</v>
      </c>
      <c r="E775" s="115"/>
      <c r="F775" s="115"/>
      <c r="G775" s="115"/>
      <c r="H775" s="115"/>
      <c r="I775" s="359"/>
      <c r="J775" s="151">
        <v>39.274564147536054</v>
      </c>
      <c r="K775" s="151">
        <v>32.24194988493695</v>
      </c>
      <c r="L775" s="151">
        <f t="shared" ref="L775:L781" si="179">L$751*T775</f>
        <v>33.487259162687259</v>
      </c>
      <c r="M775" s="151">
        <f t="shared" ref="M775:M781" si="180">M$751*U775</f>
        <v>34.613830992184631</v>
      </c>
      <c r="N775" s="151">
        <f t="shared" ref="N775:O781" si="181">N$751*V775</f>
        <v>35.777815865054222</v>
      </c>
      <c r="O775" s="547">
        <f t="shared" si="181"/>
        <v>37.101716391553019</v>
      </c>
      <c r="P775" s="1246"/>
      <c r="Q775" s="115"/>
      <c r="R775" s="508">
        <v>2.3306659189979155E-3</v>
      </c>
      <c r="S775" s="1249">
        <v>2.1879716262850806E-3</v>
      </c>
      <c r="T775" s="1249">
        <v>2.1808700203638722E-3</v>
      </c>
      <c r="U775" s="1249">
        <v>2.1738259745138874E-3</v>
      </c>
      <c r="V775" s="1249">
        <v>2.1667766391142334E-3</v>
      </c>
      <c r="W775" s="2082">
        <v>2.1667766391142334E-3</v>
      </c>
    </row>
    <row r="776" spans="1:23" ht="12.75" customHeight="1" x14ac:dyDescent="0.3">
      <c r="A776" s="306"/>
      <c r="B776" s="115"/>
      <c r="C776" s="115"/>
      <c r="D776" s="115" t="s">
        <v>948</v>
      </c>
      <c r="E776" s="115"/>
      <c r="F776" s="115"/>
      <c r="G776" s="115"/>
      <c r="H776" s="115"/>
      <c r="I776" s="359"/>
      <c r="J776" s="151">
        <v>3224.5962719698532</v>
      </c>
      <c r="K776" s="151">
        <v>2577.1299040307103</v>
      </c>
      <c r="L776" s="151">
        <f t="shared" si="179"/>
        <v>2677.7051379659047</v>
      </c>
      <c r="M776" s="151">
        <f t="shared" si="180"/>
        <v>2768.8154101421351</v>
      </c>
      <c r="N776" s="151">
        <f t="shared" si="181"/>
        <v>2863.0237083079323</v>
      </c>
      <c r="O776" s="547">
        <f t="shared" si="181"/>
        <v>2968.9652953825539</v>
      </c>
      <c r="P776" s="1246"/>
      <c r="Q776" s="115"/>
      <c r="R776" s="508">
        <v>0.19135684371635128</v>
      </c>
      <c r="S776" s="509">
        <v>0.17488666558297436</v>
      </c>
      <c r="T776" s="509">
        <v>0.17438652803424973</v>
      </c>
      <c r="U776" s="509">
        <v>0.17388779816254066</v>
      </c>
      <c r="V776" s="509">
        <v>0.17339048621050948</v>
      </c>
      <c r="W776" s="2083">
        <v>0.17339048621050948</v>
      </c>
    </row>
    <row r="777" spans="1:23" ht="12.75" customHeight="1" x14ac:dyDescent="0.3">
      <c r="A777" s="306"/>
      <c r="B777" s="115"/>
      <c r="C777" s="115"/>
      <c r="D777" s="115" t="s">
        <v>949</v>
      </c>
      <c r="E777" s="115"/>
      <c r="F777" s="115"/>
      <c r="G777" s="115"/>
      <c r="H777" s="115"/>
      <c r="I777" s="359"/>
      <c r="J777" s="151">
        <v>4276.9504226623576</v>
      </c>
      <c r="K777" s="151">
        <v>3345.0130560000002</v>
      </c>
      <c r="L777" s="151">
        <f t="shared" si="179"/>
        <v>3410.9443449999994</v>
      </c>
      <c r="M777" s="151">
        <f t="shared" si="180"/>
        <v>3513.1233360000001</v>
      </c>
      <c r="N777" s="151">
        <f t="shared" si="181"/>
        <v>3618.2580480000001</v>
      </c>
      <c r="O777" s="547">
        <f t="shared" si="181"/>
        <v>3752.1458670000002</v>
      </c>
      <c r="P777" s="1246"/>
      <c r="Q777" s="115"/>
      <c r="R777" s="508">
        <v>0.2538065744000943</v>
      </c>
      <c r="S777" s="509">
        <v>0.226996</v>
      </c>
      <c r="T777" s="509">
        <v>0.22213899999999998</v>
      </c>
      <c r="U777" s="509">
        <v>0.22063199999999999</v>
      </c>
      <c r="V777" s="509">
        <v>0.21912900000000002</v>
      </c>
      <c r="W777" s="2083">
        <v>0.21912900000000002</v>
      </c>
    </row>
    <row r="778" spans="1:23" ht="12.75" customHeight="1" x14ac:dyDescent="0.3">
      <c r="A778" s="306"/>
      <c r="B778" s="115"/>
      <c r="C778" s="115"/>
      <c r="D778" s="308" t="s">
        <v>950</v>
      </c>
      <c r="E778" s="115"/>
      <c r="F778" s="115"/>
      <c r="G778" s="115"/>
      <c r="H778" s="115"/>
      <c r="I778" s="359"/>
      <c r="J778" s="151">
        <v>592.10170527167099</v>
      </c>
      <c r="K778" s="151">
        <v>455.26895256375104</v>
      </c>
      <c r="L778" s="151">
        <f t="shared" si="179"/>
        <v>472.41834480080274</v>
      </c>
      <c r="M778" s="151">
        <f t="shared" si="180"/>
        <v>487.86640773992178</v>
      </c>
      <c r="N778" s="151">
        <f t="shared" si="181"/>
        <v>503.83438625893638</v>
      </c>
      <c r="O778" s="547">
        <f t="shared" si="181"/>
        <v>522.47796729116817</v>
      </c>
      <c r="P778" s="1246"/>
      <c r="Q778" s="115"/>
      <c r="R778" s="508">
        <v>3.513702303285287E-2</v>
      </c>
      <c r="S778" s="509">
        <v>3.0895015782013507E-2</v>
      </c>
      <c r="T778" s="509">
        <v>3.0766417766252215E-2</v>
      </c>
      <c r="U778" s="509">
        <v>3.0639101158068314E-2</v>
      </c>
      <c r="V778" s="509">
        <v>3.051322591199954E-2</v>
      </c>
      <c r="W778" s="2083">
        <v>3.051322591199954E-2</v>
      </c>
    </row>
    <row r="779" spans="1:23" ht="12.75" customHeight="1" x14ac:dyDescent="0.3">
      <c r="A779" s="306"/>
      <c r="B779" s="115"/>
      <c r="C779" s="115"/>
      <c r="D779" s="308" t="s">
        <v>951</v>
      </c>
      <c r="E779" s="115"/>
      <c r="F779" s="115"/>
      <c r="G779" s="115"/>
      <c r="H779" s="115"/>
      <c r="I779" s="359"/>
      <c r="J779" s="151">
        <v>0</v>
      </c>
      <c r="K779" s="151">
        <v>0</v>
      </c>
      <c r="L779" s="151">
        <f t="shared" si="179"/>
        <v>0</v>
      </c>
      <c r="M779" s="151">
        <f t="shared" si="180"/>
        <v>0</v>
      </c>
      <c r="N779" s="151">
        <f t="shared" si="181"/>
        <v>0</v>
      </c>
      <c r="O779" s="547">
        <f t="shared" si="181"/>
        <v>0</v>
      </c>
      <c r="P779" s="1246"/>
      <c r="Q779" s="115"/>
      <c r="R779" s="508">
        <v>0</v>
      </c>
      <c r="S779" s="509">
        <v>0</v>
      </c>
      <c r="T779" s="509">
        <v>0</v>
      </c>
      <c r="U779" s="509">
        <v>0</v>
      </c>
      <c r="V779" s="509">
        <v>0</v>
      </c>
      <c r="W779" s="2083">
        <v>0</v>
      </c>
    </row>
    <row r="780" spans="1:23" ht="12.75" customHeight="1" x14ac:dyDescent="0.25">
      <c r="A780" s="306"/>
      <c r="B780" s="115"/>
      <c r="C780" s="115"/>
      <c r="D780" s="308" t="s">
        <v>952</v>
      </c>
      <c r="E780" s="115"/>
      <c r="F780" s="115"/>
      <c r="G780" s="115"/>
      <c r="H780" s="115"/>
      <c r="I780" s="359"/>
      <c r="J780" s="151">
        <v>1890.9372201307294</v>
      </c>
      <c r="K780" s="151">
        <v>1484.9148582697917</v>
      </c>
      <c r="L780" s="151">
        <f t="shared" si="179"/>
        <v>1547.2901865617659</v>
      </c>
      <c r="M780" s="151">
        <f t="shared" si="180"/>
        <v>1604.5284822847602</v>
      </c>
      <c r="N780" s="151">
        <f t="shared" si="181"/>
        <v>1663.880820164916</v>
      </c>
      <c r="O780" s="547">
        <f t="shared" si="181"/>
        <v>1725.4500535176755</v>
      </c>
      <c r="P780" s="1246"/>
      <c r="Q780" s="115"/>
      <c r="R780" s="508">
        <v>0.11221366881037274</v>
      </c>
      <c r="S780" s="508">
        <v>0.10076783783046904</v>
      </c>
      <c r="T780" s="508">
        <v>0.10076784021893624</v>
      </c>
      <c r="U780" s="508">
        <v>0.10076797602742951</v>
      </c>
      <c r="V780" s="508">
        <v>0.10076797602742951</v>
      </c>
      <c r="W780" s="2090">
        <v>0.10076797602742951</v>
      </c>
    </row>
    <row r="781" spans="1:23" ht="12.75" customHeight="1" x14ac:dyDescent="0.25">
      <c r="A781" s="306"/>
      <c r="B781" s="115"/>
      <c r="C781" s="115"/>
      <c r="D781" s="308" t="s">
        <v>953</v>
      </c>
      <c r="E781" s="115"/>
      <c r="F781" s="115"/>
      <c r="G781" s="115"/>
      <c r="H781" s="115"/>
      <c r="I781" s="359"/>
      <c r="J781" s="151">
        <v>0</v>
      </c>
      <c r="K781" s="151">
        <v>0</v>
      </c>
      <c r="L781" s="151">
        <f t="shared" si="179"/>
        <v>0</v>
      </c>
      <c r="M781" s="151">
        <f t="shared" si="180"/>
        <v>0</v>
      </c>
      <c r="N781" s="151">
        <f t="shared" si="181"/>
        <v>0</v>
      </c>
      <c r="O781" s="547">
        <f t="shared" si="181"/>
        <v>0</v>
      </c>
      <c r="P781" s="1246"/>
      <c r="Q781" s="115"/>
      <c r="R781" s="508">
        <v>0</v>
      </c>
      <c r="S781" s="508">
        <v>0</v>
      </c>
      <c r="T781" s="508">
        <v>0</v>
      </c>
      <c r="U781" s="508">
        <v>0</v>
      </c>
      <c r="V781" s="508">
        <v>0</v>
      </c>
      <c r="W781" s="2090">
        <v>0</v>
      </c>
    </row>
    <row r="782" spans="1:23" ht="12.75" customHeight="1" x14ac:dyDescent="0.25">
      <c r="A782" s="306"/>
      <c r="B782" s="115"/>
      <c r="C782" s="115"/>
      <c r="D782" s="115"/>
      <c r="E782" s="115"/>
      <c r="F782" s="115"/>
      <c r="G782" s="115"/>
      <c r="H782" s="115"/>
      <c r="I782" s="359"/>
      <c r="J782" s="359"/>
      <c r="K782" s="359"/>
      <c r="L782" s="151"/>
      <c r="M782" s="151"/>
      <c r="N782" s="151"/>
      <c r="O782" s="151"/>
      <c r="P782" s="1246"/>
      <c r="Q782" s="115"/>
      <c r="R782" s="508"/>
      <c r="S782" s="508"/>
      <c r="T782" s="508"/>
      <c r="U782" s="508"/>
      <c r="V782" s="508"/>
      <c r="W782" s="115"/>
    </row>
    <row r="783" spans="1:23" ht="12.75" customHeight="1" x14ac:dyDescent="0.3">
      <c r="A783" s="306"/>
      <c r="B783" s="115"/>
      <c r="C783" s="115"/>
      <c r="D783" s="507" t="s">
        <v>954</v>
      </c>
      <c r="E783" s="115"/>
      <c r="F783" s="115"/>
      <c r="G783" s="115"/>
      <c r="H783" s="115"/>
      <c r="I783" s="359"/>
      <c r="J783" s="359"/>
      <c r="K783" s="359"/>
      <c r="L783" s="151"/>
      <c r="M783" s="151"/>
      <c r="N783" s="151"/>
      <c r="O783" s="151"/>
      <c r="P783" s="1246"/>
      <c r="Q783" s="115"/>
      <c r="R783" s="508"/>
      <c r="S783" s="508"/>
      <c r="T783" s="508"/>
      <c r="U783" s="508"/>
      <c r="V783" s="508"/>
      <c r="W783" s="115"/>
    </row>
    <row r="784" spans="1:23" ht="12.75" customHeight="1" x14ac:dyDescent="0.25">
      <c r="A784" s="306"/>
      <c r="B784" s="115"/>
      <c r="C784" s="115"/>
      <c r="D784" s="115"/>
      <c r="E784" s="115"/>
      <c r="F784" s="115"/>
      <c r="G784" s="115"/>
      <c r="H784" s="115"/>
      <c r="I784" s="359"/>
      <c r="J784" s="359"/>
      <c r="K784" s="359"/>
      <c r="L784" s="151"/>
      <c r="M784" s="151"/>
      <c r="N784" s="151"/>
      <c r="O784" s="151"/>
      <c r="P784" s="1246"/>
      <c r="Q784" s="115"/>
      <c r="R784" s="508"/>
      <c r="S784" s="508"/>
      <c r="T784" s="508"/>
      <c r="U784" s="508"/>
      <c r="V784" s="508"/>
      <c r="W784" s="115"/>
    </row>
    <row r="785" spans="1:23" ht="12.75" customHeight="1" x14ac:dyDescent="0.3">
      <c r="A785" s="306"/>
      <c r="B785" s="115"/>
      <c r="C785" s="115"/>
      <c r="D785" s="115" t="s">
        <v>955</v>
      </c>
      <c r="E785" s="115"/>
      <c r="F785" s="115"/>
      <c r="G785" s="115"/>
      <c r="H785" s="115"/>
      <c r="I785" s="359"/>
      <c r="J785" s="151">
        <v>688.48120676663711</v>
      </c>
      <c r="K785" s="151">
        <v>475.43431334646186</v>
      </c>
      <c r="L785" s="151">
        <f>L$751*T785</f>
        <v>730.58193175640156</v>
      </c>
      <c r="M785" s="151">
        <f>M$751*U785</f>
        <v>726.21407288563353</v>
      </c>
      <c r="N785" s="151">
        <f>N$751*V785</f>
        <v>729.64229079980578</v>
      </c>
      <c r="O785" s="547">
        <f>O$751*W785</f>
        <v>756.6415301214314</v>
      </c>
      <c r="P785" s="1246"/>
      <c r="Q785" s="115"/>
      <c r="R785" s="508">
        <v>4.085646064597323E-2</v>
      </c>
      <c r="S785" s="509">
        <v>3.2263457746095403E-2</v>
      </c>
      <c r="T785" s="509">
        <v>4.7579415939850316E-2</v>
      </c>
      <c r="U785" s="509">
        <v>4.5607867417297838E-2</v>
      </c>
      <c r="V785" s="509">
        <v>4.4188607727701418E-2</v>
      </c>
      <c r="W785" s="2083">
        <v>4.4188607727701418E-2</v>
      </c>
    </row>
    <row r="786" spans="1:23" ht="12.75" customHeight="1" x14ac:dyDescent="0.3">
      <c r="A786" s="306"/>
      <c r="B786" s="115"/>
      <c r="C786" s="115"/>
      <c r="D786" s="115" t="s">
        <v>956</v>
      </c>
      <c r="E786" s="115"/>
      <c r="F786" s="115"/>
      <c r="G786" s="115"/>
      <c r="H786" s="115"/>
      <c r="I786" s="359"/>
      <c r="J786" s="151">
        <v>2808.4518887383997</v>
      </c>
      <c r="K786" s="151">
        <v>2478.4183680000001</v>
      </c>
      <c r="L786" s="151">
        <f t="shared" ref="L786" si="182">L$751*T786</f>
        <v>2484.0704800000003</v>
      </c>
      <c r="M786" s="151">
        <f t="shared" ref="M786" si="183">M$751*U786</f>
        <v>2078.3177289999999</v>
      </c>
      <c r="N786" s="151">
        <f t="shared" ref="N786:O786" si="184">N$751*V786</f>
        <v>2074.4851199999998</v>
      </c>
      <c r="O786" s="547">
        <f t="shared" si="184"/>
        <v>2151.2481050000001</v>
      </c>
      <c r="P786" s="1246"/>
      <c r="Q786" s="115"/>
      <c r="R786" s="508">
        <v>0.16666163569987213</v>
      </c>
      <c r="S786" s="509">
        <v>0.168188</v>
      </c>
      <c r="T786" s="509">
        <v>0.16177600000000003</v>
      </c>
      <c r="U786" s="509">
        <v>0.130523</v>
      </c>
      <c r="V786" s="509">
        <v>0.125635</v>
      </c>
      <c r="W786" s="2083">
        <v>0.125635</v>
      </c>
    </row>
    <row r="787" spans="1:23" ht="12.75" customHeight="1" x14ac:dyDescent="0.25">
      <c r="A787" s="306"/>
      <c r="B787" s="115"/>
      <c r="C787" s="115"/>
      <c r="D787" s="411"/>
      <c r="E787" s="301"/>
      <c r="F787" s="301"/>
      <c r="G787" s="359"/>
      <c r="H787" s="359"/>
      <c r="I787" s="510"/>
      <c r="J787" s="151"/>
      <c r="K787" s="151"/>
      <c r="L787" s="151"/>
      <c r="M787" s="151"/>
      <c r="N787" s="151"/>
      <c r="O787" s="151"/>
      <c r="P787" s="1246"/>
      <c r="Q787" s="11"/>
      <c r="R787" s="1250"/>
      <c r="S787" s="1250"/>
      <c r="T787" s="1250"/>
      <c r="U787" s="1250"/>
      <c r="V787" s="1251"/>
      <c r="W787" s="2101"/>
    </row>
    <row r="788" spans="1:23" ht="12.75" customHeight="1" thickBot="1" x14ac:dyDescent="0.3">
      <c r="A788" s="306"/>
      <c r="B788" s="115"/>
      <c r="C788" s="115"/>
      <c r="D788" s="301" t="s">
        <v>957</v>
      </c>
      <c r="E788" s="301"/>
      <c r="F788" s="301"/>
      <c r="G788" s="359"/>
      <c r="H788" s="359"/>
      <c r="I788" s="510"/>
      <c r="J788" s="1745">
        <v>15206.397722987653</v>
      </c>
      <c r="K788" s="1745">
        <v>12176.724665051508</v>
      </c>
      <c r="L788" s="1745">
        <f t="shared" ref="L788:M788" si="185">SUM(L774:L787)</f>
        <v>12801.649652166418</v>
      </c>
      <c r="M788" s="1745">
        <f t="shared" si="185"/>
        <v>12794.505913503572</v>
      </c>
      <c r="N788" s="1745">
        <f t="shared" ref="N788:O788" si="186">SUM(N774:N787)</f>
        <v>13212.558071775285</v>
      </c>
      <c r="O788" s="1745">
        <f t="shared" si="186"/>
        <v>13701.467530463191</v>
      </c>
      <c r="P788" s="458"/>
      <c r="Q788" s="458"/>
      <c r="R788" s="458"/>
      <c r="S788" s="458"/>
      <c r="T788" s="458"/>
      <c r="U788" s="458"/>
      <c r="V788" s="458"/>
      <c r="W788" s="2102"/>
    </row>
    <row r="789" spans="1:23" ht="12.75" customHeight="1" thickTop="1" x14ac:dyDescent="0.25">
      <c r="A789" s="306"/>
      <c r="B789" s="115"/>
      <c r="C789" s="115"/>
      <c r="D789" s="301"/>
      <c r="E789" s="301"/>
      <c r="F789" s="301"/>
      <c r="G789" s="359"/>
      <c r="H789" s="359"/>
      <c r="I789" s="510"/>
      <c r="J789" s="503"/>
      <c r="K789" s="503"/>
      <c r="L789" s="503"/>
      <c r="M789" s="503"/>
      <c r="N789" s="503"/>
      <c r="O789" s="503"/>
      <c r="P789" s="647" t="s">
        <v>958</v>
      </c>
      <c r="Q789" s="458"/>
      <c r="R789" s="1177">
        <f>SUM(R773:R787)</f>
        <v>0.90239150180151062</v>
      </c>
      <c r="S789" s="1177">
        <f t="shared" ref="S789:U789" si="187">SUM(S773:S787)</f>
        <v>0.82632496369784914</v>
      </c>
      <c r="T789" s="1177">
        <f t="shared" si="187"/>
        <v>0.83371212322803112</v>
      </c>
      <c r="U789" s="1177">
        <f t="shared" si="187"/>
        <v>0.80352357680735853</v>
      </c>
      <c r="V789" s="1177">
        <f t="shared" ref="V789:W789" si="188">SUM(V773:V787)</f>
        <v>0.80017914678871627</v>
      </c>
      <c r="W789" s="2103">
        <f t="shared" si="188"/>
        <v>0.80017914678871627</v>
      </c>
    </row>
    <row r="790" spans="1:23" ht="12.75" customHeight="1" x14ac:dyDescent="0.25">
      <c r="A790" s="306"/>
      <c r="B790" s="115"/>
      <c r="C790" s="115"/>
      <c r="D790" s="301" t="s">
        <v>959</v>
      </c>
      <c r="E790" s="301"/>
      <c r="F790" s="301"/>
      <c r="G790" s="359"/>
      <c r="H790" s="359"/>
      <c r="I790" s="510"/>
      <c r="J790" s="503">
        <v>525275.22</v>
      </c>
      <c r="K790" s="503">
        <v>609996</v>
      </c>
      <c r="L790" s="503">
        <f t="shared" ref="L790:M790" si="189">L754</f>
        <v>651478.80000000005</v>
      </c>
      <c r="M790" s="503">
        <f t="shared" si="189"/>
        <v>692805.6</v>
      </c>
      <c r="N790" s="503">
        <f t="shared" ref="N790:O790" si="190">N754</f>
        <v>734644.4</v>
      </c>
      <c r="O790" s="503">
        <f t="shared" si="190"/>
        <v>777010.8</v>
      </c>
      <c r="P790" s="458"/>
      <c r="Q790" s="458"/>
      <c r="R790" s="458"/>
      <c r="S790" s="458"/>
      <c r="T790" s="458"/>
      <c r="U790" s="458"/>
      <c r="V790" s="458"/>
      <c r="W790" s="115"/>
    </row>
    <row r="791" spans="1:23" ht="12.75" customHeight="1" x14ac:dyDescent="0.25">
      <c r="A791" s="306"/>
      <c r="B791" s="115"/>
      <c r="C791" s="115"/>
      <c r="D791" s="301" t="s">
        <v>960</v>
      </c>
      <c r="E791" s="301"/>
      <c r="F791" s="301"/>
      <c r="G791" s="359"/>
      <c r="H791" s="359"/>
      <c r="I791" s="510"/>
      <c r="J791" s="503">
        <v>15206.397722987653</v>
      </c>
      <c r="K791" s="503">
        <v>12176.724665051508</v>
      </c>
      <c r="L791" s="503">
        <f t="shared" ref="L791:M791" si="191">L788</f>
        <v>12801.649652166418</v>
      </c>
      <c r="M791" s="503">
        <f t="shared" si="191"/>
        <v>12794.505913503572</v>
      </c>
      <c r="N791" s="503">
        <f t="shared" ref="N791:O791" si="192">N788</f>
        <v>13212.558071775285</v>
      </c>
      <c r="O791" s="503">
        <f t="shared" si="192"/>
        <v>13701.467530463191</v>
      </c>
      <c r="P791" s="115"/>
      <c r="Q791" s="115"/>
      <c r="R791" s="115"/>
      <c r="S791" s="115"/>
      <c r="T791" s="115"/>
      <c r="U791" s="115"/>
      <c r="V791" s="115"/>
      <c r="W791" s="115"/>
    </row>
    <row r="792" spans="1:23" ht="12.75" customHeight="1" x14ac:dyDescent="0.25">
      <c r="A792" s="306"/>
      <c r="B792" s="115"/>
      <c r="C792" s="115"/>
      <c r="D792" s="301" t="s">
        <v>961</v>
      </c>
      <c r="E792" s="301"/>
      <c r="F792" s="301"/>
      <c r="G792" s="359"/>
      <c r="H792" s="359"/>
      <c r="I792" s="510"/>
      <c r="J792" s="511">
        <v>0</v>
      </c>
      <c r="K792" s="511">
        <v>0</v>
      </c>
      <c r="L792" s="511">
        <v>0</v>
      </c>
      <c r="M792" s="511">
        <v>0</v>
      </c>
      <c r="N792" s="511">
        <v>0</v>
      </c>
      <c r="O792" s="511">
        <v>0</v>
      </c>
      <c r="P792" s="115"/>
      <c r="Q792" s="115"/>
      <c r="R792" s="115"/>
      <c r="S792" s="115"/>
      <c r="T792" s="115"/>
      <c r="U792" s="115"/>
      <c r="V792" s="115"/>
      <c r="W792" s="115"/>
    </row>
    <row r="793" spans="1:23" ht="12.75" customHeight="1" x14ac:dyDescent="0.25">
      <c r="A793" s="306"/>
      <c r="B793" s="115"/>
      <c r="C793" s="115"/>
      <c r="D793" s="301"/>
      <c r="E793" s="301"/>
      <c r="F793" s="301"/>
      <c r="G793" s="359"/>
      <c r="H793" s="359"/>
      <c r="I793" s="510"/>
      <c r="J793" s="503"/>
      <c r="K793" s="503"/>
      <c r="L793" s="503"/>
      <c r="M793" s="503"/>
      <c r="N793" s="503"/>
      <c r="O793" s="503"/>
      <c r="P793" s="115"/>
      <c r="Q793" s="115"/>
      <c r="R793" s="115"/>
      <c r="S793" s="115"/>
      <c r="T793" s="115"/>
      <c r="U793" s="115"/>
      <c r="V793" s="115"/>
      <c r="W793" s="115"/>
    </row>
    <row r="794" spans="1:23" ht="12.75" customHeight="1" x14ac:dyDescent="0.25">
      <c r="A794" s="306"/>
      <c r="B794" s="115"/>
      <c r="C794" s="115"/>
      <c r="D794" s="301"/>
      <c r="E794" s="301"/>
      <c r="F794" s="301"/>
      <c r="G794" s="359"/>
      <c r="H794" s="359"/>
      <c r="I794" s="510"/>
      <c r="J794" s="503"/>
      <c r="K794" s="503"/>
      <c r="L794" s="503"/>
      <c r="M794" s="503"/>
      <c r="N794" s="503"/>
      <c r="O794" s="503"/>
      <c r="P794" s="115"/>
      <c r="Q794" s="115"/>
      <c r="R794" s="115"/>
      <c r="S794" s="115"/>
      <c r="T794" s="115"/>
      <c r="U794" s="115"/>
      <c r="V794" s="115"/>
      <c r="W794" s="115"/>
    </row>
    <row r="795" spans="1:23" ht="12.75" customHeight="1" x14ac:dyDescent="0.25">
      <c r="A795" s="306"/>
      <c r="B795" s="115"/>
      <c r="C795" s="115"/>
      <c r="D795" s="301" t="s">
        <v>962</v>
      </c>
      <c r="E795" s="301"/>
      <c r="F795" s="301"/>
      <c r="G795" s="359"/>
      <c r="H795" s="359"/>
      <c r="I795" s="510"/>
      <c r="J795" s="510">
        <v>540481.61772298766</v>
      </c>
      <c r="K795" s="510">
        <v>622172.72466505156</v>
      </c>
      <c r="L795" s="510">
        <f t="shared" ref="L795:M795" si="193">SUM(L790:L794)</f>
        <v>664280.44965216646</v>
      </c>
      <c r="M795" s="510">
        <f t="shared" si="193"/>
        <v>705600.10591350356</v>
      </c>
      <c r="N795" s="510">
        <f t="shared" ref="N795:O795" si="194">SUM(N790:N794)</f>
        <v>747856.95807177527</v>
      </c>
      <c r="O795" s="510">
        <f t="shared" si="194"/>
        <v>790712.26753046329</v>
      </c>
      <c r="P795" s="115"/>
      <c r="Q795" s="115"/>
      <c r="R795" s="115"/>
      <c r="S795" s="115"/>
      <c r="T795" s="115"/>
      <c r="U795" s="115"/>
      <c r="V795" s="115"/>
      <c r="W795" s="115"/>
    </row>
    <row r="796" spans="1:23" ht="12.75" customHeight="1" x14ac:dyDescent="0.25">
      <c r="A796" s="306"/>
      <c r="B796" s="115"/>
      <c r="C796" s="115"/>
      <c r="D796" s="301"/>
      <c r="E796" s="301"/>
      <c r="F796" s="301"/>
      <c r="G796" s="359"/>
      <c r="H796" s="359"/>
      <c r="I796" s="512"/>
      <c r="J796" s="512"/>
      <c r="K796" s="512"/>
      <c r="L796" s="512"/>
      <c r="M796" s="512"/>
      <c r="N796" s="512"/>
      <c r="O796" s="512"/>
      <c r="P796" s="310"/>
      <c r="Q796" s="310"/>
      <c r="R796" s="310"/>
      <c r="S796" s="310"/>
      <c r="T796" s="310"/>
      <c r="U796" s="310"/>
      <c r="V796" s="310"/>
      <c r="W796" s="115"/>
    </row>
    <row r="797" spans="1:23" ht="12.75" customHeight="1" x14ac:dyDescent="0.25">
      <c r="A797" s="306"/>
      <c r="B797" s="115"/>
      <c r="C797" s="115"/>
      <c r="D797" s="301"/>
      <c r="E797" s="301"/>
      <c r="F797" s="301"/>
      <c r="G797" s="359"/>
      <c r="H797" s="359"/>
      <c r="I797" s="512"/>
      <c r="J797" s="512"/>
      <c r="K797" s="512"/>
      <c r="L797" s="512"/>
      <c r="M797" s="512"/>
      <c r="N797" s="512"/>
      <c r="O797" s="512"/>
      <c r="P797" s="310"/>
      <c r="Q797" s="310"/>
      <c r="R797" s="310"/>
      <c r="S797" s="310"/>
      <c r="T797" s="310"/>
      <c r="U797" s="310"/>
      <c r="V797" s="310"/>
      <c r="W797" s="115"/>
    </row>
    <row r="798" spans="1:23" ht="12.75" customHeight="1" x14ac:dyDescent="0.25">
      <c r="A798" s="306"/>
      <c r="B798" s="115"/>
      <c r="C798" s="115"/>
      <c r="D798" s="1209"/>
      <c r="E798" s="1204"/>
      <c r="F798" s="1204"/>
      <c r="G798" s="1201"/>
      <c r="H798" s="1201"/>
      <c r="I798" s="1201"/>
      <c r="J798" s="1252"/>
      <c r="K798" s="1252"/>
      <c r="L798" s="1252"/>
      <c r="M798" s="1252"/>
      <c r="N798" s="1252"/>
      <c r="O798" s="1252"/>
      <c r="P798" s="115"/>
      <c r="Q798" s="115"/>
      <c r="R798" s="115"/>
      <c r="S798" s="115"/>
      <c r="T798" s="115"/>
      <c r="U798" s="115"/>
      <c r="V798" s="115"/>
      <c r="W798" s="115"/>
    </row>
    <row r="799" spans="1:23" ht="12.75" customHeight="1" x14ac:dyDescent="0.25">
      <c r="A799" s="306"/>
      <c r="B799" s="115"/>
      <c r="C799" s="115"/>
      <c r="D799" s="301"/>
      <c r="E799" s="301"/>
      <c r="F799" s="301"/>
      <c r="G799" s="359"/>
      <c r="H799" s="359"/>
      <c r="I799" s="510"/>
      <c r="J799" s="510"/>
      <c r="K799" s="510"/>
      <c r="L799" s="510"/>
      <c r="M799" s="510"/>
      <c r="N799" s="510"/>
      <c r="O799" s="510"/>
      <c r="P799" s="115"/>
      <c r="Q799" s="115"/>
      <c r="R799" s="115"/>
      <c r="S799" s="115"/>
      <c r="T799" s="115"/>
      <c r="U799" s="115"/>
      <c r="V799" s="115"/>
      <c r="W799" s="115"/>
    </row>
    <row r="800" spans="1:23" ht="12.75" customHeight="1" x14ac:dyDescent="0.25">
      <c r="A800" s="306"/>
      <c r="B800" s="115"/>
      <c r="C800" s="115"/>
      <c r="D800" s="301"/>
      <c r="E800" s="301"/>
      <c r="F800" s="301"/>
      <c r="G800" s="359"/>
      <c r="H800" s="359"/>
      <c r="I800" s="510"/>
      <c r="J800" s="510"/>
      <c r="K800" s="510"/>
      <c r="L800" s="510"/>
      <c r="M800" s="510"/>
      <c r="N800" s="510"/>
      <c r="O800" s="510"/>
      <c r="P800" s="115"/>
      <c r="Q800" s="115"/>
      <c r="R800" s="115"/>
      <c r="S800" s="115"/>
      <c r="T800" s="115"/>
      <c r="U800" s="115"/>
      <c r="V800" s="115"/>
      <c r="W800" s="115"/>
    </row>
    <row r="801" spans="1:22" ht="12.75" customHeight="1" x14ac:dyDescent="0.25">
      <c r="A801" s="306"/>
      <c r="B801" s="115"/>
      <c r="C801" s="115"/>
      <c r="D801" s="301"/>
      <c r="E801" s="301"/>
      <c r="F801" s="301"/>
      <c r="G801" s="359"/>
      <c r="H801" s="359"/>
      <c r="I801" s="510"/>
      <c r="J801" s="510"/>
      <c r="K801" s="510"/>
      <c r="L801" s="510"/>
      <c r="M801" s="510"/>
      <c r="N801" s="510"/>
      <c r="O801" s="510"/>
      <c r="P801" s="115"/>
      <c r="Q801" s="115"/>
      <c r="R801" s="115"/>
      <c r="S801" s="115"/>
      <c r="T801" s="115"/>
      <c r="U801" s="115"/>
      <c r="V801" s="115"/>
    </row>
    <row r="802" spans="1:22" ht="12.75" customHeight="1" x14ac:dyDescent="0.25">
      <c r="A802" s="306"/>
      <c r="B802" s="115"/>
      <c r="C802" s="115"/>
      <c r="D802" s="301"/>
      <c r="E802" s="301"/>
      <c r="F802" s="301"/>
      <c r="G802" s="359"/>
      <c r="H802" s="359"/>
      <c r="I802" s="510"/>
      <c r="J802" s="510"/>
      <c r="K802" s="510"/>
      <c r="L802" s="510"/>
      <c r="M802" s="510"/>
      <c r="N802" s="510"/>
      <c r="O802" s="510"/>
      <c r="P802" s="115"/>
      <c r="Q802" s="115"/>
      <c r="R802" s="115"/>
      <c r="S802" s="115"/>
      <c r="T802" s="115"/>
      <c r="U802" s="115"/>
      <c r="V802" s="115"/>
    </row>
    <row r="803" spans="1:22" ht="12.75" customHeight="1" x14ac:dyDescent="0.25">
      <c r="A803" s="306"/>
      <c r="B803" s="115"/>
      <c r="C803" s="115"/>
      <c r="D803" s="301"/>
      <c r="E803" s="301"/>
      <c r="F803" s="301"/>
      <c r="G803" s="359"/>
      <c r="H803" s="359"/>
      <c r="I803" s="510"/>
      <c r="J803" s="510"/>
      <c r="K803" s="510"/>
      <c r="L803" s="510"/>
      <c r="M803" s="510"/>
      <c r="N803" s="510"/>
      <c r="O803" s="510"/>
      <c r="P803" s="115"/>
      <c r="Q803" s="115"/>
      <c r="R803" s="115"/>
      <c r="S803" s="115"/>
      <c r="T803" s="115"/>
      <c r="U803" s="115"/>
      <c r="V803" s="115"/>
    </row>
    <row r="804" spans="1:22" ht="12.75" customHeight="1" x14ac:dyDescent="0.25">
      <c r="A804" s="306"/>
      <c r="B804" s="115"/>
      <c r="C804" s="115"/>
      <c r="D804" s="301"/>
      <c r="E804" s="301"/>
      <c r="F804" s="301"/>
      <c r="G804" s="359"/>
      <c r="H804" s="359"/>
      <c r="I804" s="512"/>
      <c r="J804" s="512"/>
      <c r="K804" s="512"/>
      <c r="L804" s="512"/>
      <c r="M804" s="512"/>
      <c r="N804" s="512"/>
      <c r="O804" s="512"/>
      <c r="P804" s="115"/>
      <c r="Q804" s="115"/>
      <c r="R804" s="115"/>
      <c r="S804" s="115"/>
      <c r="T804" s="115"/>
      <c r="U804" s="115"/>
      <c r="V804" s="115"/>
    </row>
  </sheetData>
  <mergeCells count="8">
    <mergeCell ref="D726:K728"/>
    <mergeCell ref="E694:I695"/>
    <mergeCell ref="D88:D89"/>
    <mergeCell ref="F88:F89"/>
    <mergeCell ref="G88:H89"/>
    <mergeCell ref="E316:I318"/>
    <mergeCell ref="E384:I388"/>
    <mergeCell ref="E653:M658"/>
  </mergeCells>
  <phoneticPr fontId="52" type="noConversion"/>
  <hyperlinks>
    <hyperlink ref="A1" location="Inhoudsopgave!A1" display="Inhoudsopgave" xr:uid="{17515F82-E32C-46F7-8A41-AF21C81237E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0" manualBreakCount="10">
    <brk id="82" min="3" max="14" man="1"/>
    <brk id="159" min="3" max="14" man="1"/>
    <brk id="237" min="3" max="14" man="1"/>
    <brk id="312" min="3" max="14" man="1"/>
    <brk id="382" min="3" max="14" man="1"/>
    <brk id="439" min="3" max="14" man="1"/>
    <brk id="514" min="3" max="14" man="1"/>
    <brk id="583" min="3" max="14" man="1"/>
    <brk id="671" min="3" max="14" man="1"/>
    <brk id="747" min="3" max="14"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2DFB3-0417-40DC-87FA-D56A17A8DD6B}">
  <sheetPr codeName="Blad18"/>
  <dimension ref="A1:W395"/>
  <sheetViews>
    <sheetView showGridLines="0" view="pageBreakPreview" topLeftCell="A94" zoomScaleNormal="100" zoomScaleSheetLayoutView="100" workbookViewId="0">
      <selection activeCell="L122" sqref="L122"/>
    </sheetView>
  </sheetViews>
  <sheetFormatPr defaultColWidth="9.109375" defaultRowHeight="12.75" customHeight="1" x14ac:dyDescent="0.25"/>
  <cols>
    <col min="1" max="1" width="9.5546875" style="311" bestFit="1" customWidth="1"/>
    <col min="2" max="3" width="20.5546875" style="305" customWidth="1"/>
    <col min="4" max="5" width="9.6640625" style="448" customWidth="1"/>
    <col min="6" max="6" width="9.6640625" style="1219" customWidth="1"/>
    <col min="7" max="9" width="12.6640625" style="305" customWidth="1"/>
    <col min="10" max="15" width="11.6640625" style="305" customWidth="1"/>
    <col min="16" max="16" width="10.44140625" style="305" customWidth="1"/>
    <col min="17" max="16384" width="9.109375" style="305"/>
  </cols>
  <sheetData>
    <row r="1" spans="1:23" ht="12.75" customHeight="1" x14ac:dyDescent="0.3">
      <c r="A1" s="157" t="s">
        <v>0</v>
      </c>
      <c r="B1" s="115"/>
      <c r="C1" s="115"/>
      <c r="D1" s="301"/>
      <c r="E1" s="301"/>
      <c r="F1" s="143"/>
      <c r="G1" s="115"/>
      <c r="H1" s="115"/>
      <c r="I1" s="115"/>
      <c r="J1" s="115"/>
      <c r="K1" s="115"/>
      <c r="L1" s="115"/>
      <c r="M1" s="115"/>
      <c r="N1" s="115"/>
      <c r="O1" s="115"/>
      <c r="P1" s="304"/>
      <c r="Q1" s="304">
        <v>2024</v>
      </c>
      <c r="R1" s="304">
        <v>2025</v>
      </c>
      <c r="S1" s="304">
        <v>2026</v>
      </c>
      <c r="T1" s="304">
        <v>2027</v>
      </c>
      <c r="U1" s="304">
        <v>2028</v>
      </c>
      <c r="V1" s="304">
        <v>2029</v>
      </c>
      <c r="W1" s="304">
        <v>2030</v>
      </c>
    </row>
    <row r="2" spans="1:23" ht="12.75" customHeight="1" x14ac:dyDescent="0.3">
      <c r="A2" s="306"/>
      <c r="B2" s="115"/>
      <c r="C2" s="115"/>
      <c r="D2" s="301" t="s">
        <v>504</v>
      </c>
      <c r="E2" s="301"/>
      <c r="F2" s="143"/>
      <c r="G2" s="115"/>
      <c r="H2" s="115" t="s">
        <v>2793</v>
      </c>
      <c r="I2" s="115"/>
      <c r="J2" s="115"/>
      <c r="K2" s="115"/>
      <c r="L2" s="115" t="s">
        <v>969</v>
      </c>
      <c r="M2" s="115" t="s">
        <v>969</v>
      </c>
      <c r="N2" s="115" t="s">
        <v>969</v>
      </c>
      <c r="O2" s="115" t="s">
        <v>969</v>
      </c>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A3" s="306"/>
      <c r="B3" s="115"/>
      <c r="C3" s="115"/>
      <c r="D3" s="301"/>
      <c r="E3" s="301"/>
      <c r="F3" s="143"/>
      <c r="G3" s="115"/>
      <c r="H3" s="115"/>
      <c r="I3" s="115"/>
      <c r="J3" s="115"/>
      <c r="K3" s="115"/>
      <c r="L3" s="115" t="s">
        <v>970</v>
      </c>
      <c r="M3" s="115" t="s">
        <v>970</v>
      </c>
      <c r="N3" s="115" t="s">
        <v>970</v>
      </c>
      <c r="O3" s="115" t="s">
        <v>970</v>
      </c>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A4" s="306"/>
      <c r="B4" s="115"/>
      <c r="C4" s="115"/>
      <c r="D4" s="301"/>
      <c r="E4" s="301"/>
      <c r="F4" s="143"/>
      <c r="G4" s="115"/>
      <c r="H4" s="115"/>
      <c r="I4" s="115"/>
      <c r="J4" s="115"/>
      <c r="K4" s="115"/>
      <c r="L4" s="115"/>
      <c r="M4" s="115"/>
      <c r="N4" s="115"/>
      <c r="O4" s="115"/>
      <c r="P4" s="115"/>
      <c r="Q4" s="115"/>
      <c r="R4" s="115"/>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A6" s="306"/>
      <c r="B6" s="115"/>
      <c r="C6" s="115"/>
      <c r="D6" s="301" t="s">
        <v>3048</v>
      </c>
      <c r="E6" s="301"/>
      <c r="F6" s="143"/>
      <c r="G6" s="115"/>
      <c r="H6" s="115" t="s">
        <v>3049</v>
      </c>
      <c r="I6" s="115"/>
      <c r="J6" s="115"/>
      <c r="K6" s="115"/>
      <c r="L6" s="115"/>
      <c r="M6" s="115"/>
      <c r="N6" s="115"/>
      <c r="O6" s="115"/>
      <c r="P6" s="115"/>
      <c r="Q6" s="115"/>
      <c r="R6" s="115"/>
      <c r="S6" s="115"/>
      <c r="T6" s="115"/>
      <c r="U6" s="115"/>
      <c r="V6" s="115"/>
    </row>
    <row r="24" spans="1:17" ht="12.75" customHeight="1" x14ac:dyDescent="0.25">
      <c r="A24" s="306"/>
      <c r="B24" s="115"/>
      <c r="C24" s="115"/>
      <c r="D24" s="452" t="s">
        <v>507</v>
      </c>
      <c r="E24" s="438"/>
      <c r="F24" s="516"/>
      <c r="G24" s="453"/>
      <c r="H24" s="453"/>
      <c r="I24" s="453"/>
      <c r="J24" s="453"/>
      <c r="K24" s="115"/>
      <c r="L24" s="115"/>
      <c r="M24" s="115"/>
      <c r="N24" s="115"/>
      <c r="O24" s="115"/>
      <c r="P24" s="115"/>
      <c r="Q24" s="115"/>
    </row>
    <row r="25" spans="1:17" ht="12.75" customHeight="1" x14ac:dyDescent="0.25">
      <c r="A25" s="306"/>
      <c r="B25" s="115"/>
      <c r="C25" s="115"/>
      <c r="D25" s="438"/>
      <c r="E25" s="438"/>
      <c r="F25" s="516"/>
      <c r="G25" s="453"/>
      <c r="H25" s="453"/>
      <c r="I25" s="453"/>
      <c r="J25" s="453"/>
      <c r="K25" s="115"/>
      <c r="L25" s="115"/>
      <c r="M25" s="115"/>
      <c r="N25" s="115"/>
      <c r="O25" s="115"/>
      <c r="P25" s="115"/>
      <c r="Q25" s="115"/>
    </row>
    <row r="26" spans="1:17" ht="12.75" customHeight="1" x14ac:dyDescent="0.25">
      <c r="A26" s="306"/>
      <c r="B26" s="115"/>
      <c r="C26" s="115"/>
      <c r="D26" s="1746" t="s">
        <v>508</v>
      </c>
      <c r="E26" s="1747"/>
      <c r="F26" s="1769"/>
      <c r="G26" s="1748"/>
      <c r="H26" s="1748"/>
      <c r="I26" s="1749"/>
      <c r="J26" s="1749">
        <v>2025</v>
      </c>
      <c r="K26" s="1749">
        <v>2026</v>
      </c>
      <c r="L26" s="1749">
        <v>2027</v>
      </c>
      <c r="M26" s="1749">
        <v>2028</v>
      </c>
      <c r="N26" s="1749">
        <v>2029</v>
      </c>
      <c r="O26" s="1749">
        <v>2030</v>
      </c>
      <c r="P26" s="115"/>
      <c r="Q26" s="115"/>
    </row>
    <row r="27" spans="1:17" ht="12.75" customHeight="1" x14ac:dyDescent="0.25">
      <c r="A27" s="336"/>
      <c r="B27" s="115"/>
      <c r="C27" s="115"/>
      <c r="D27" s="454" t="str">
        <f>G59</f>
        <v>Molenstraat 2 (parkeergarage)</v>
      </c>
      <c r="E27" s="455"/>
      <c r="F27" s="456"/>
      <c r="G27" s="453"/>
      <c r="H27" s="453"/>
      <c r="I27" s="518"/>
      <c r="J27" s="226">
        <v>56463.931391999999</v>
      </c>
      <c r="K27" s="226">
        <v>57488.891072138882</v>
      </c>
      <c r="L27" s="226">
        <f t="shared" ref="L27:M27" si="0">L72</f>
        <v>58771.142104780949</v>
      </c>
      <c r="M27" s="226">
        <f t="shared" si="0"/>
        <v>60190.266878541282</v>
      </c>
      <c r="N27" s="226">
        <f t="shared" ref="N27:O27" si="1">N72</f>
        <v>81644.070631501439</v>
      </c>
      <c r="O27" s="226">
        <f t="shared" si="1"/>
        <v>57789.83725602596</v>
      </c>
      <c r="P27" s="115"/>
      <c r="Q27" s="310"/>
    </row>
    <row r="28" spans="1:17" ht="12.75" customHeight="1" x14ac:dyDescent="0.25">
      <c r="A28" s="336"/>
      <c r="B28" s="115"/>
      <c r="C28" s="115"/>
      <c r="D28" s="454" t="str">
        <f>G79</f>
        <v>Directe toerekening parkeren</v>
      </c>
      <c r="E28" s="455"/>
      <c r="F28" s="456"/>
      <c r="G28" s="453"/>
      <c r="H28" s="453"/>
      <c r="I28" s="518"/>
      <c r="J28" s="226">
        <v>31806</v>
      </c>
      <c r="K28" s="226">
        <v>31806</v>
      </c>
      <c r="L28" s="226">
        <f>L83</f>
        <v>31806</v>
      </c>
      <c r="M28" s="226">
        <f>M83</f>
        <v>31806</v>
      </c>
      <c r="N28" s="226">
        <f>N83</f>
        <v>81806</v>
      </c>
      <c r="O28" s="226">
        <f>O83</f>
        <v>31806</v>
      </c>
      <c r="P28" s="115"/>
      <c r="Q28" s="115"/>
    </row>
    <row r="29" spans="1:17" ht="12.75" customHeight="1" x14ac:dyDescent="0.25">
      <c r="A29" s="336"/>
      <c r="B29" s="115"/>
      <c r="C29" s="115"/>
      <c r="D29" s="454"/>
      <c r="E29" s="455"/>
      <c r="F29" s="456"/>
      <c r="G29" s="453"/>
      <c r="H29" s="453"/>
      <c r="I29" s="518"/>
      <c r="J29" s="226"/>
      <c r="K29" s="226"/>
      <c r="L29" s="226"/>
      <c r="M29" s="226"/>
      <c r="N29" s="226"/>
      <c r="O29" s="226"/>
      <c r="P29" s="115"/>
      <c r="Q29" s="310"/>
    </row>
    <row r="30" spans="1:17" ht="12.75" customHeight="1" x14ac:dyDescent="0.25">
      <c r="A30" s="336"/>
      <c r="B30" s="115"/>
      <c r="C30" s="115"/>
      <c r="D30" s="454"/>
      <c r="E30" s="455"/>
      <c r="F30" s="456"/>
      <c r="G30" s="453"/>
      <c r="H30" s="453"/>
      <c r="I30" s="518"/>
      <c r="J30" s="225"/>
      <c r="K30" s="225"/>
      <c r="L30" s="225"/>
      <c r="M30" s="225"/>
      <c r="N30" s="225"/>
      <c r="O30" s="225"/>
      <c r="P30" s="115"/>
      <c r="Q30" s="115"/>
    </row>
    <row r="31" spans="1:17" ht="12.75" customHeight="1" x14ac:dyDescent="0.25">
      <c r="A31" s="336"/>
      <c r="B31" s="115"/>
      <c r="C31" s="115"/>
      <c r="D31" s="454"/>
      <c r="E31" s="455"/>
      <c r="F31" s="456"/>
      <c r="G31" s="453"/>
      <c r="H31" s="453"/>
      <c r="I31" s="518"/>
      <c r="J31" s="227"/>
      <c r="K31" s="227"/>
      <c r="L31" s="227"/>
      <c r="M31" s="227"/>
      <c r="N31" s="227"/>
      <c r="O31" s="227"/>
      <c r="P31" s="115"/>
      <c r="Q31" s="115"/>
    </row>
    <row r="32" spans="1:17" ht="12.75" customHeight="1" x14ac:dyDescent="0.25">
      <c r="A32" s="336"/>
      <c r="B32" s="115"/>
      <c r="C32" s="115"/>
      <c r="D32" s="1751" t="s">
        <v>525</v>
      </c>
      <c r="E32" s="1752"/>
      <c r="F32" s="1753"/>
      <c r="G32" s="1754"/>
      <c r="H32" s="1754"/>
      <c r="I32" s="1757"/>
      <c r="J32" s="1871">
        <v>88269.931391999999</v>
      </c>
      <c r="K32" s="1871">
        <v>89294.891072138882</v>
      </c>
      <c r="L32" s="1871">
        <f>SUM(L27:L31)</f>
        <v>90577.142104780942</v>
      </c>
      <c r="M32" s="1871">
        <f>SUM(M27:M31)</f>
        <v>91996.266878541282</v>
      </c>
      <c r="N32" s="1871">
        <f>SUM(N27:N31)</f>
        <v>163450.07063150144</v>
      </c>
      <c r="O32" s="1871">
        <f>SUM(O27:O31)</f>
        <v>89595.83725602596</v>
      </c>
      <c r="P32" s="115"/>
      <c r="Q32" s="115"/>
    </row>
    <row r="33" spans="1:15" ht="12.75" customHeight="1" x14ac:dyDescent="0.25">
      <c r="A33" s="336"/>
      <c r="B33" s="115"/>
      <c r="C33" s="115"/>
      <c r="D33" s="438"/>
      <c r="E33" s="455"/>
      <c r="F33" s="456"/>
      <c r="G33" s="453"/>
      <c r="H33" s="453"/>
      <c r="I33" s="453"/>
      <c r="J33" s="453"/>
      <c r="K33" s="115"/>
      <c r="L33" s="115"/>
      <c r="M33" s="115"/>
      <c r="N33" s="115"/>
      <c r="O33" s="115"/>
    </row>
    <row r="34" spans="1:15" ht="12.75" customHeight="1" x14ac:dyDescent="0.25">
      <c r="A34" s="336"/>
      <c r="B34" s="115"/>
      <c r="C34" s="115"/>
      <c r="D34" s="1746" t="s">
        <v>526</v>
      </c>
      <c r="E34" s="1747"/>
      <c r="F34" s="1769"/>
      <c r="G34" s="1748"/>
      <c r="H34" s="1748"/>
      <c r="I34" s="1749"/>
      <c r="J34" s="1749">
        <v>2025</v>
      </c>
      <c r="K34" s="1749">
        <v>2026</v>
      </c>
      <c r="L34" s="1749">
        <v>2027</v>
      </c>
      <c r="M34" s="1749">
        <v>2028</v>
      </c>
      <c r="N34" s="1749">
        <v>2028</v>
      </c>
      <c r="O34" s="1749">
        <v>2028</v>
      </c>
    </row>
    <row r="35" spans="1:15" ht="12.75" customHeight="1" x14ac:dyDescent="0.25">
      <c r="A35" s="336"/>
      <c r="B35" s="115"/>
      <c r="C35" s="115"/>
      <c r="D35" s="454" t="str">
        <f>+G74</f>
        <v>Molenstraat 2 (parkeergarage)</v>
      </c>
      <c r="E35" s="616"/>
      <c r="F35" s="617"/>
      <c r="G35" s="618"/>
      <c r="H35" s="618"/>
      <c r="I35" s="518"/>
      <c r="J35" s="457">
        <v>-11507</v>
      </c>
      <c r="K35" s="457">
        <v>-11835</v>
      </c>
      <c r="L35" s="457">
        <f t="shared" ref="L35:M35" si="2">+L76</f>
        <v>-9779.7900000000009</v>
      </c>
      <c r="M35" s="457">
        <f t="shared" si="2"/>
        <v>-10005</v>
      </c>
      <c r="N35" s="457">
        <f t="shared" ref="N35:O35" si="3">+N76</f>
        <v>-10235</v>
      </c>
      <c r="O35" s="457">
        <f t="shared" si="3"/>
        <v>-10470</v>
      </c>
    </row>
    <row r="36" spans="1:15" ht="12.75" customHeight="1" x14ac:dyDescent="0.25">
      <c r="A36" s="336"/>
      <c r="B36" s="115"/>
      <c r="C36" s="115"/>
      <c r="D36" s="454"/>
      <c r="E36" s="455"/>
      <c r="F36" s="456"/>
      <c r="G36" s="453"/>
      <c r="H36" s="453"/>
      <c r="I36" s="518"/>
      <c r="J36" s="463"/>
      <c r="K36" s="463"/>
      <c r="L36" s="463"/>
      <c r="M36" s="463"/>
      <c r="N36" s="463"/>
      <c r="O36" s="463"/>
    </row>
    <row r="37" spans="1:15" ht="12.75" customHeight="1" x14ac:dyDescent="0.25">
      <c r="A37" s="336"/>
      <c r="B37" s="115"/>
      <c r="C37" s="115"/>
      <c r="D37" s="454"/>
      <c r="E37" s="455"/>
      <c r="F37" s="456"/>
      <c r="G37" s="453"/>
      <c r="H37" s="453"/>
      <c r="I37" s="518"/>
      <c r="J37" s="463"/>
      <c r="K37" s="463"/>
      <c r="L37" s="463"/>
      <c r="M37" s="463"/>
      <c r="N37" s="463"/>
      <c r="O37" s="463"/>
    </row>
    <row r="38" spans="1:15" ht="12.75" customHeight="1" x14ac:dyDescent="0.25">
      <c r="A38" s="336"/>
      <c r="B38" s="115"/>
      <c r="C38" s="115"/>
      <c r="D38" s="464"/>
      <c r="E38" s="465"/>
      <c r="F38" s="466"/>
      <c r="G38" s="467"/>
      <c r="H38" s="467"/>
      <c r="I38" s="518"/>
      <c r="J38" s="463"/>
      <c r="K38" s="463"/>
      <c r="L38" s="463"/>
      <c r="M38" s="463"/>
      <c r="N38" s="463"/>
      <c r="O38" s="463"/>
    </row>
    <row r="39" spans="1:15" ht="12.75" customHeight="1" x14ac:dyDescent="0.25">
      <c r="A39" s="336"/>
      <c r="B39" s="115"/>
      <c r="C39" s="115"/>
      <c r="D39" s="1751" t="s">
        <v>328</v>
      </c>
      <c r="E39" s="1752"/>
      <c r="F39" s="1753"/>
      <c r="G39" s="1754"/>
      <c r="H39" s="1754"/>
      <c r="I39" s="1757"/>
      <c r="J39" s="1871">
        <v>-11507</v>
      </c>
      <c r="K39" s="1871">
        <v>-11835</v>
      </c>
      <c r="L39" s="1871">
        <f>SUM(L35:L38)</f>
        <v>-9779.7900000000009</v>
      </c>
      <c r="M39" s="1871">
        <f>SUM(M35:M38)</f>
        <v>-10005</v>
      </c>
      <c r="N39" s="1871">
        <f>SUM(N35:N38)</f>
        <v>-10235</v>
      </c>
      <c r="O39" s="1871">
        <f>SUM(O35:O38)</f>
        <v>-10470</v>
      </c>
    </row>
    <row r="40" spans="1:15" ht="12.75" customHeight="1" x14ac:dyDescent="0.25">
      <c r="A40" s="336"/>
      <c r="B40" s="115"/>
      <c r="C40" s="115"/>
      <c r="D40" s="438"/>
      <c r="E40" s="455"/>
      <c r="F40" s="456"/>
      <c r="G40" s="453"/>
      <c r="H40" s="453"/>
      <c r="I40" s="453"/>
      <c r="J40" s="469"/>
      <c r="K40" s="469"/>
      <c r="L40" s="469"/>
      <c r="M40" s="469"/>
      <c r="N40" s="469"/>
      <c r="O40" s="469"/>
    </row>
    <row r="41" spans="1:15" ht="12.75" customHeight="1" x14ac:dyDescent="0.25">
      <c r="A41" s="336"/>
      <c r="B41" s="115"/>
      <c r="C41" s="115"/>
      <c r="D41" s="1751" t="s">
        <v>527</v>
      </c>
      <c r="E41" s="1756"/>
      <c r="F41" s="1771"/>
      <c r="G41" s="1754"/>
      <c r="H41" s="1754"/>
      <c r="I41" s="1754"/>
      <c r="J41" s="1758">
        <v>76762.931391999999</v>
      </c>
      <c r="K41" s="1758">
        <v>77459.891072138882</v>
      </c>
      <c r="L41" s="1758">
        <f>L32+L39</f>
        <v>80797.352104780934</v>
      </c>
      <c r="M41" s="1758">
        <f>M32+M39</f>
        <v>81991.266878541282</v>
      </c>
      <c r="N41" s="1758">
        <f>N32+N39</f>
        <v>153215.07063150144</v>
      </c>
      <c r="O41" s="1758">
        <f>O32+O39</f>
        <v>79125.83725602596</v>
      </c>
    </row>
    <row r="42" spans="1:15" ht="12.75" customHeight="1" x14ac:dyDescent="0.25">
      <c r="A42" s="336"/>
      <c r="B42" s="115"/>
      <c r="C42" s="115"/>
      <c r="D42" s="438"/>
      <c r="E42" s="455"/>
      <c r="F42" s="456"/>
      <c r="G42" s="453"/>
      <c r="H42" s="453"/>
      <c r="I42" s="453"/>
      <c r="J42" s="469"/>
      <c r="K42" s="469"/>
      <c r="L42" s="469"/>
      <c r="M42" s="469"/>
      <c r="N42" s="469"/>
      <c r="O42" s="469"/>
    </row>
    <row r="43" spans="1:15" ht="12.75" customHeight="1" x14ac:dyDescent="0.25">
      <c r="A43" s="336"/>
      <c r="B43" s="115"/>
      <c r="C43" s="115"/>
      <c r="D43" s="438"/>
      <c r="E43" s="455"/>
      <c r="F43" s="456"/>
      <c r="G43" s="453"/>
      <c r="H43" s="453"/>
      <c r="I43" s="453"/>
      <c r="J43" s="469"/>
      <c r="K43" s="115"/>
      <c r="L43" s="115"/>
      <c r="M43" s="115"/>
      <c r="N43" s="115"/>
      <c r="O43" s="115"/>
    </row>
    <row r="44" spans="1:15" ht="12.75" customHeight="1" x14ac:dyDescent="0.25">
      <c r="A44" s="336"/>
      <c r="B44" s="115"/>
      <c r="C44" s="115"/>
      <c r="D44" s="1857" t="s">
        <v>2129</v>
      </c>
      <c r="E44" s="748"/>
      <c r="F44" s="471"/>
      <c r="G44" s="618"/>
      <c r="H44" s="618"/>
      <c r="I44" s="1763"/>
      <c r="J44" s="1749">
        <v>2025</v>
      </c>
      <c r="K44" s="1749">
        <v>2026</v>
      </c>
      <c r="L44" s="1749">
        <v>2027</v>
      </c>
      <c r="M44" s="1749">
        <v>2028</v>
      </c>
      <c r="N44" s="1749">
        <v>2029</v>
      </c>
      <c r="O44" s="1749">
        <v>2030</v>
      </c>
    </row>
    <row r="45" spans="1:15" ht="12.75" customHeight="1" x14ac:dyDescent="0.25">
      <c r="A45" s="336"/>
      <c r="B45" s="115"/>
      <c r="C45" s="115"/>
      <c r="D45" s="1808" t="s">
        <v>2130</v>
      </c>
      <c r="E45" s="749"/>
      <c r="F45" s="1014"/>
      <c r="G45" s="618"/>
      <c r="H45" s="618"/>
      <c r="I45" s="618"/>
      <c r="J45" s="1869">
        <v>0</v>
      </c>
      <c r="K45" s="1869">
        <v>0</v>
      </c>
      <c r="L45" s="1869">
        <v>0</v>
      </c>
      <c r="M45" s="1869">
        <v>0</v>
      </c>
      <c r="N45" s="1869">
        <v>0</v>
      </c>
      <c r="O45" s="1869">
        <v>0</v>
      </c>
    </row>
    <row r="46" spans="1:15" ht="12.75" customHeight="1" x14ac:dyDescent="0.25">
      <c r="A46" s="336"/>
      <c r="B46" s="115"/>
      <c r="C46" s="115"/>
      <c r="D46" s="464" t="s">
        <v>2131</v>
      </c>
      <c r="E46" s="750"/>
      <c r="F46" s="1015"/>
      <c r="G46" s="467"/>
      <c r="H46" s="467"/>
      <c r="I46" s="467"/>
      <c r="J46" s="468">
        <v>0</v>
      </c>
      <c r="K46" s="468">
        <v>0</v>
      </c>
      <c r="L46" s="468">
        <v>0</v>
      </c>
      <c r="M46" s="468">
        <v>0</v>
      </c>
      <c r="N46" s="468">
        <v>0</v>
      </c>
      <c r="O46" s="468">
        <v>0</v>
      </c>
    </row>
    <row r="47" spans="1:15" ht="12.75" customHeight="1" x14ac:dyDescent="0.25">
      <c r="A47" s="336"/>
      <c r="B47" s="115"/>
      <c r="C47" s="115"/>
      <c r="D47" s="749"/>
      <c r="E47" s="749"/>
      <c r="F47" s="1014"/>
      <c r="G47" s="618"/>
      <c r="H47" s="618"/>
      <c r="I47" s="618"/>
      <c r="J47" s="751"/>
      <c r="K47" s="115"/>
      <c r="L47" s="115"/>
      <c r="M47" s="115"/>
      <c r="N47" s="115"/>
      <c r="O47" s="115"/>
    </row>
    <row r="48" spans="1:15" ht="12.75" customHeight="1" x14ac:dyDescent="0.25">
      <c r="A48" s="336"/>
      <c r="B48" s="115"/>
      <c r="C48" s="115"/>
      <c r="D48" s="438"/>
      <c r="E48" s="438"/>
      <c r="F48" s="516"/>
      <c r="G48" s="453"/>
      <c r="H48" s="453"/>
      <c r="I48" s="453"/>
      <c r="J48" s="469"/>
      <c r="K48" s="115"/>
      <c r="L48" s="115"/>
      <c r="M48" s="115"/>
      <c r="N48" s="115"/>
      <c r="O48" s="115"/>
    </row>
    <row r="49" spans="1:22" ht="12.75" customHeight="1" x14ac:dyDescent="0.25">
      <c r="A49" s="336"/>
      <c r="B49" s="115"/>
      <c r="C49" s="115"/>
      <c r="D49" s="750"/>
      <c r="E49" s="750"/>
      <c r="F49" s="1015"/>
      <c r="G49" s="467"/>
      <c r="H49" s="467"/>
      <c r="I49" s="467"/>
      <c r="J49" s="620"/>
      <c r="K49" s="115"/>
      <c r="L49" s="115"/>
      <c r="M49" s="115"/>
      <c r="N49" s="115"/>
      <c r="O49" s="115"/>
      <c r="P49" s="115"/>
      <c r="Q49" s="115"/>
      <c r="R49" s="115"/>
      <c r="S49" s="115"/>
      <c r="T49" s="115"/>
      <c r="U49" s="115"/>
      <c r="V49" s="115"/>
    </row>
    <row r="50" spans="1:22" ht="12.75" customHeight="1" x14ac:dyDescent="0.25">
      <c r="A50" s="336"/>
      <c r="B50" s="115"/>
      <c r="C50" s="115"/>
      <c r="D50" s="1751" t="s">
        <v>2132</v>
      </c>
      <c r="E50" s="1756"/>
      <c r="F50" s="1771"/>
      <c r="G50" s="1754"/>
      <c r="H50" s="1754"/>
      <c r="I50" s="1754"/>
      <c r="J50" s="1759">
        <v>76762.931391999999</v>
      </c>
      <c r="K50" s="1759">
        <v>77459.891072138882</v>
      </c>
      <c r="L50" s="1759">
        <f t="shared" ref="L50:M50" si="4">L41+L45+L46</f>
        <v>80797.352104780934</v>
      </c>
      <c r="M50" s="1759">
        <f t="shared" si="4"/>
        <v>81991.266878541282</v>
      </c>
      <c r="N50" s="1759">
        <f t="shared" ref="N50:O50" si="5">N41+N45+N46</f>
        <v>153215.07063150144</v>
      </c>
      <c r="O50" s="1759">
        <f t="shared" si="5"/>
        <v>79125.83725602596</v>
      </c>
      <c r="P50" s="115"/>
      <c r="Q50" s="115"/>
      <c r="R50" s="115"/>
      <c r="S50" s="115"/>
      <c r="T50" s="115"/>
      <c r="U50" s="115"/>
      <c r="V50" s="115"/>
    </row>
    <row r="51" spans="1:22" ht="12.75" customHeight="1" x14ac:dyDescent="0.25">
      <c r="A51" s="336"/>
      <c r="B51" s="115"/>
      <c r="C51" s="115"/>
      <c r="D51" s="453"/>
      <c r="E51" s="453"/>
      <c r="F51" s="517"/>
      <c r="G51" s="453"/>
      <c r="H51" s="453"/>
      <c r="I51" s="453"/>
      <c r="J51" s="469"/>
      <c r="K51" s="115"/>
      <c r="L51" s="115"/>
      <c r="M51" s="115"/>
      <c r="N51" s="115"/>
      <c r="O51" s="115"/>
      <c r="P51" s="115"/>
      <c r="Q51" s="115"/>
      <c r="R51" s="115"/>
      <c r="S51" s="115"/>
      <c r="T51" s="115"/>
      <c r="U51" s="115"/>
      <c r="V51" s="115"/>
    </row>
    <row r="52" spans="1:22" ht="12.75" customHeight="1" x14ac:dyDescent="0.25">
      <c r="A52" s="336"/>
      <c r="B52" s="115"/>
      <c r="C52" s="115"/>
      <c r="D52" s="438"/>
      <c r="E52" s="438"/>
      <c r="F52" s="516"/>
      <c r="G52" s="453"/>
      <c r="H52" s="453"/>
      <c r="I52" s="453"/>
      <c r="J52" s="469"/>
      <c r="K52" s="115"/>
      <c r="L52" s="115"/>
      <c r="M52" s="115"/>
      <c r="N52" s="115"/>
      <c r="O52" s="115"/>
      <c r="P52" s="115"/>
      <c r="Q52" s="115"/>
      <c r="R52" s="115"/>
      <c r="S52" s="115"/>
      <c r="T52" s="115"/>
      <c r="U52" s="115"/>
      <c r="V52" s="115"/>
    </row>
    <row r="53" spans="1:22" ht="12.75" customHeight="1" x14ac:dyDescent="0.25">
      <c r="A53" s="336"/>
      <c r="B53" s="115"/>
      <c r="C53" s="115"/>
      <c r="D53" s="312" t="s">
        <v>528</v>
      </c>
      <c r="E53" s="312"/>
      <c r="F53" s="382"/>
      <c r="G53" s="115"/>
      <c r="H53" s="115"/>
      <c r="I53" s="115"/>
      <c r="J53" s="115"/>
      <c r="K53" s="115"/>
      <c r="L53" s="115"/>
      <c r="M53" s="115"/>
      <c r="N53" s="115"/>
      <c r="O53" s="115"/>
      <c r="P53" s="115"/>
      <c r="Q53" s="115"/>
      <c r="R53" s="115"/>
      <c r="S53" s="115"/>
      <c r="T53" s="115"/>
      <c r="U53" s="115"/>
      <c r="V53" s="115"/>
    </row>
    <row r="54" spans="1:22" ht="12.75" customHeight="1" x14ac:dyDescent="0.25">
      <c r="A54" s="336"/>
      <c r="B54" s="115"/>
      <c r="C54" s="115"/>
      <c r="D54" s="301"/>
      <c r="E54" s="301"/>
      <c r="F54" s="143"/>
      <c r="G54" s="115"/>
      <c r="H54" s="115"/>
      <c r="I54" s="115"/>
      <c r="J54" s="115"/>
      <c r="K54" s="115"/>
      <c r="L54" s="115"/>
      <c r="M54" s="115"/>
      <c r="N54" s="115"/>
      <c r="O54" s="115"/>
      <c r="P54" s="115"/>
      <c r="Q54" s="115"/>
      <c r="R54" s="115"/>
      <c r="S54" s="115"/>
      <c r="T54" s="115"/>
      <c r="U54" s="115"/>
      <c r="V54" s="115"/>
    </row>
    <row r="55" spans="1:22" ht="12.75" customHeight="1" x14ac:dyDescent="0.25">
      <c r="A55" s="470"/>
      <c r="B55" s="453"/>
      <c r="C55" s="453"/>
      <c r="D55" s="2523" t="s">
        <v>529</v>
      </c>
      <c r="E55" s="1761" t="s">
        <v>530</v>
      </c>
      <c r="F55" s="2552" t="s">
        <v>531</v>
      </c>
      <c r="G55" s="2525" t="s">
        <v>206</v>
      </c>
      <c r="H55" s="2526"/>
      <c r="I55" s="1773"/>
      <c r="J55" s="1763"/>
      <c r="K55" s="1763"/>
      <c r="L55" s="1763"/>
      <c r="M55" s="1763"/>
      <c r="N55" s="1763"/>
      <c r="O55" s="1763"/>
      <c r="P55" s="453"/>
      <c r="Q55" s="453"/>
      <c r="R55" s="453"/>
      <c r="S55" s="453"/>
      <c r="T55" s="453"/>
      <c r="U55" s="453"/>
      <c r="V55" s="453"/>
    </row>
    <row r="56" spans="1:22" ht="12.75" customHeight="1" x14ac:dyDescent="0.25">
      <c r="A56" s="470"/>
      <c r="B56" s="453"/>
      <c r="C56" s="453"/>
      <c r="D56" s="2524"/>
      <c r="E56" s="472" t="s">
        <v>532</v>
      </c>
      <c r="F56" s="2553"/>
      <c r="G56" s="2527"/>
      <c r="H56" s="2528"/>
      <c r="I56" s="521"/>
      <c r="J56" s="1764">
        <v>2025</v>
      </c>
      <c r="K56" s="1749">
        <v>2026</v>
      </c>
      <c r="L56" s="1749">
        <v>2027</v>
      </c>
      <c r="M56" s="1749">
        <v>2028</v>
      </c>
      <c r="N56" s="1749">
        <v>2029</v>
      </c>
      <c r="O56" s="1749">
        <v>2030</v>
      </c>
      <c r="P56" s="453"/>
      <c r="Q56" s="453"/>
      <c r="R56" s="453"/>
      <c r="S56" s="453"/>
      <c r="T56" s="453"/>
      <c r="U56" s="453"/>
      <c r="V56" s="453"/>
    </row>
    <row r="57" spans="1:22" ht="12.75" customHeight="1" thickBot="1" x14ac:dyDescent="0.3">
      <c r="A57" s="470"/>
      <c r="B57" s="453"/>
      <c r="C57" s="453"/>
      <c r="D57" s="1765"/>
      <c r="E57" s="1881"/>
      <c r="F57" s="1765"/>
      <c r="G57" s="1762"/>
      <c r="H57" s="471"/>
      <c r="I57" s="1773"/>
      <c r="J57" s="1767"/>
      <c r="K57" s="1767"/>
      <c r="L57" s="1767"/>
      <c r="M57" s="1767"/>
      <c r="N57" s="1767"/>
      <c r="O57" s="1767"/>
      <c r="P57" s="453"/>
      <c r="Q57" s="453"/>
      <c r="R57" s="453"/>
      <c r="S57" s="453"/>
      <c r="T57" s="453"/>
      <c r="U57" s="453"/>
      <c r="V57" s="453"/>
    </row>
    <row r="58" spans="1:22" ht="12.75" customHeight="1" thickTop="1" x14ac:dyDescent="0.25">
      <c r="A58" s="336"/>
      <c r="B58" s="115"/>
      <c r="C58" s="115"/>
      <c r="D58" s="352"/>
      <c r="E58" s="623"/>
      <c r="F58" s="352"/>
      <c r="G58" s="354"/>
      <c r="H58" s="355"/>
      <c r="I58" s="318"/>
      <c r="J58" s="344"/>
      <c r="K58" s="344"/>
      <c r="L58" s="344"/>
      <c r="M58" s="344"/>
      <c r="N58" s="344"/>
      <c r="O58" s="344"/>
      <c r="P58" s="115"/>
      <c r="Q58" s="115"/>
      <c r="R58" s="115"/>
      <c r="S58" s="115"/>
      <c r="T58" s="115"/>
      <c r="U58" s="115"/>
      <c r="V58" s="115"/>
    </row>
    <row r="59" spans="1:22" ht="12.75" customHeight="1" x14ac:dyDescent="0.25">
      <c r="A59" s="336"/>
      <c r="B59" s="115"/>
      <c r="C59" s="115"/>
      <c r="D59" s="333">
        <v>618001</v>
      </c>
      <c r="E59" s="330"/>
      <c r="F59" s="331"/>
      <c r="G59" s="381" t="s">
        <v>3050</v>
      </c>
      <c r="H59" s="115"/>
      <c r="I59" s="316"/>
      <c r="J59" s="335"/>
      <c r="K59" s="335"/>
      <c r="L59" s="335"/>
      <c r="M59" s="335"/>
      <c r="N59" s="335"/>
      <c r="O59" s="335"/>
      <c r="P59" s="115"/>
      <c r="Q59" s="115"/>
      <c r="R59" s="115"/>
      <c r="S59" s="115"/>
      <c r="T59" s="115"/>
      <c r="U59" s="115"/>
      <c r="V59" s="115"/>
    </row>
    <row r="60" spans="1:22" ht="12.75" customHeight="1" x14ac:dyDescent="0.25">
      <c r="A60" s="336"/>
      <c r="B60" s="115"/>
      <c r="C60" s="115"/>
      <c r="D60" s="333"/>
      <c r="E60" s="330"/>
      <c r="F60" s="331"/>
      <c r="G60" s="383" t="s">
        <v>533</v>
      </c>
      <c r="H60" s="115"/>
      <c r="I60" s="316"/>
      <c r="J60" s="335"/>
      <c r="K60" s="335"/>
      <c r="L60" s="335"/>
      <c r="M60" s="335"/>
      <c r="N60" s="335"/>
      <c r="O60" s="335"/>
      <c r="P60" s="115"/>
      <c r="Q60" s="115"/>
      <c r="R60" s="115"/>
      <c r="S60" s="115"/>
      <c r="T60" s="115"/>
      <c r="U60" s="115"/>
      <c r="V60" s="115"/>
    </row>
    <row r="61" spans="1:22" ht="12.75" customHeight="1" x14ac:dyDescent="0.25">
      <c r="A61" s="336">
        <f>+D59</f>
        <v>618001</v>
      </c>
      <c r="B61" s="115" t="str">
        <f>G59</f>
        <v>Molenstraat 2 (parkeergarage)</v>
      </c>
      <c r="C61" s="115"/>
      <c r="D61" s="337">
        <v>42100</v>
      </c>
      <c r="E61" s="343"/>
      <c r="F61" s="337"/>
      <c r="G61" s="115" t="s">
        <v>978</v>
      </c>
      <c r="H61" s="115"/>
      <c r="I61" s="318"/>
      <c r="J61" s="317">
        <v>4722</v>
      </c>
      <c r="K61" s="317">
        <v>4845</v>
      </c>
      <c r="L61" s="317">
        <f t="shared" ref="L61:O62" si="6">ROUND(K61*T$2,0)</f>
        <v>4947</v>
      </c>
      <c r="M61" s="317">
        <f t="shared" si="6"/>
        <v>5061</v>
      </c>
      <c r="N61" s="317">
        <f t="shared" si="6"/>
        <v>5177</v>
      </c>
      <c r="O61" s="317">
        <f t="shared" si="6"/>
        <v>5296</v>
      </c>
      <c r="P61" s="115"/>
      <c r="Q61" s="115"/>
      <c r="R61" s="115"/>
      <c r="S61" s="115"/>
      <c r="T61" s="115"/>
      <c r="U61" s="115"/>
      <c r="V61" s="115"/>
    </row>
    <row r="62" spans="1:22" ht="12.75" customHeight="1" x14ac:dyDescent="0.25">
      <c r="A62" s="336">
        <v>618001</v>
      </c>
      <c r="B62" s="115" t="str">
        <f>G59</f>
        <v>Molenstraat 2 (parkeergarage)</v>
      </c>
      <c r="C62" s="115"/>
      <c r="D62" s="337">
        <v>42100</v>
      </c>
      <c r="E62" s="343"/>
      <c r="F62" s="337"/>
      <c r="G62" s="115" t="s">
        <v>1578</v>
      </c>
      <c r="H62" s="115"/>
      <c r="I62" s="318"/>
      <c r="J62" s="317">
        <v>192</v>
      </c>
      <c r="K62" s="317">
        <v>197</v>
      </c>
      <c r="L62" s="317">
        <f t="shared" si="6"/>
        <v>201</v>
      </c>
      <c r="M62" s="317">
        <f t="shared" si="6"/>
        <v>206</v>
      </c>
      <c r="N62" s="317">
        <f t="shared" si="6"/>
        <v>211</v>
      </c>
      <c r="O62" s="317">
        <f t="shared" si="6"/>
        <v>216</v>
      </c>
      <c r="P62" s="115"/>
      <c r="Q62" s="115"/>
      <c r="R62" s="115"/>
      <c r="S62" s="115"/>
      <c r="T62" s="115"/>
      <c r="U62" s="115"/>
      <c r="V62" s="115"/>
    </row>
    <row r="63" spans="1:22" ht="12.75" customHeight="1" x14ac:dyDescent="0.25">
      <c r="A63" s="336">
        <v>618001</v>
      </c>
      <c r="B63" s="115" t="str">
        <f>G59</f>
        <v>Molenstraat 2 (parkeergarage)</v>
      </c>
      <c r="C63" s="115"/>
      <c r="D63" s="337">
        <v>43812</v>
      </c>
      <c r="E63" s="343"/>
      <c r="F63" s="337"/>
      <c r="G63" s="319" t="s">
        <v>535</v>
      </c>
      <c r="H63" s="115"/>
      <c r="I63" s="318"/>
      <c r="J63" s="318">
        <v>4780</v>
      </c>
      <c r="K63" s="318">
        <v>4904</v>
      </c>
      <c r="L63" s="318">
        <f t="shared" ref="L63:M63" si="7">+L107</f>
        <v>5007</v>
      </c>
      <c r="M63" s="318">
        <f t="shared" si="7"/>
        <v>5122</v>
      </c>
      <c r="N63" s="318">
        <f t="shared" ref="N63:O63" si="8">+N107</f>
        <v>5240</v>
      </c>
      <c r="O63" s="318">
        <f t="shared" si="8"/>
        <v>5361</v>
      </c>
      <c r="P63" s="115"/>
      <c r="Q63" s="115"/>
      <c r="R63" s="115"/>
      <c r="S63" s="115"/>
      <c r="T63" s="115"/>
      <c r="U63" s="115"/>
      <c r="V63" s="115"/>
    </row>
    <row r="64" spans="1:22" ht="12.75" customHeight="1" x14ac:dyDescent="0.25">
      <c r="A64" s="336">
        <v>618001</v>
      </c>
      <c r="B64" s="115" t="str">
        <f>G59</f>
        <v>Molenstraat 2 (parkeergarage)</v>
      </c>
      <c r="C64" s="115"/>
      <c r="D64" s="337">
        <v>43812</v>
      </c>
      <c r="E64" s="343"/>
      <c r="F64" s="337"/>
      <c r="G64" s="319" t="s">
        <v>535</v>
      </c>
      <c r="H64" s="115"/>
      <c r="I64" s="318"/>
      <c r="J64" s="318">
        <v>124.72621199999999</v>
      </c>
      <c r="K64" s="318">
        <v>127.96909351199999</v>
      </c>
      <c r="L64" s="318">
        <f>+K64*T$2</f>
        <v>130.65644447575198</v>
      </c>
      <c r="M64" s="318">
        <f>+L64*U$2</f>
        <v>133.66154269869426</v>
      </c>
      <c r="N64" s="318">
        <f>+M64*V$2</f>
        <v>136.73575818076421</v>
      </c>
      <c r="O64" s="318">
        <f>+N64*W$2</f>
        <v>139.88068061892176</v>
      </c>
      <c r="P64" s="115"/>
      <c r="Q64" s="115"/>
      <c r="R64" s="115"/>
      <c r="S64" s="115"/>
      <c r="T64" s="115"/>
      <c r="U64" s="115"/>
      <c r="V64" s="115"/>
    </row>
    <row r="65" spans="1:15" ht="12.75" customHeight="1" x14ac:dyDescent="0.25">
      <c r="A65" s="336">
        <v>618001</v>
      </c>
      <c r="B65" s="115" t="str">
        <f>+G59</f>
        <v>Molenstraat 2 (parkeergarage)</v>
      </c>
      <c r="C65" s="115"/>
      <c r="D65" s="337">
        <v>43812</v>
      </c>
      <c r="E65" s="343"/>
      <c r="F65" s="337"/>
      <c r="G65" s="319" t="s">
        <v>1626</v>
      </c>
      <c r="H65" s="115"/>
      <c r="I65" s="318"/>
      <c r="J65" s="318">
        <v>28181</v>
      </c>
      <c r="K65" s="318">
        <v>28914</v>
      </c>
      <c r="L65" s="318">
        <f t="shared" ref="L65:M65" si="9">+L109</f>
        <v>29521</v>
      </c>
      <c r="M65" s="318">
        <f t="shared" si="9"/>
        <v>30200</v>
      </c>
      <c r="N65" s="318">
        <f t="shared" ref="N65:O65" si="10">+N109</f>
        <v>30895</v>
      </c>
      <c r="O65" s="318">
        <f t="shared" si="10"/>
        <v>31606</v>
      </c>
    </row>
    <row r="66" spans="1:15" ht="12.75" customHeight="1" x14ac:dyDescent="0.25">
      <c r="A66" s="336">
        <v>618001</v>
      </c>
      <c r="B66" s="115" t="str">
        <f>G59</f>
        <v>Molenstraat 2 (parkeergarage)</v>
      </c>
      <c r="C66" s="115"/>
      <c r="D66" s="1220">
        <v>43817</v>
      </c>
      <c r="E66" s="343"/>
      <c r="F66" s="337"/>
      <c r="G66" s="306" t="s">
        <v>1002</v>
      </c>
      <c r="H66" s="115"/>
      <c r="I66" s="318"/>
      <c r="J66" s="318">
        <v>3933.6728399999997</v>
      </c>
      <c r="K66" s="318">
        <v>4035.94833384</v>
      </c>
      <c r="L66" s="318">
        <f>+K66*T$2</f>
        <v>4120.7032488506393</v>
      </c>
      <c r="M66" s="318">
        <f>+L66*U$2</f>
        <v>4215.4794235742038</v>
      </c>
      <c r="N66" s="318">
        <f>+M66*V$2</f>
        <v>4312.4354503164104</v>
      </c>
      <c r="O66" s="318">
        <f>+N66*W$2</f>
        <v>4411.6214656736875</v>
      </c>
    </row>
    <row r="67" spans="1:15" ht="12.75" customHeight="1" x14ac:dyDescent="0.25">
      <c r="A67" s="336">
        <v>618001</v>
      </c>
      <c r="B67" s="115" t="str">
        <f>G59</f>
        <v>Molenstraat 2 (parkeergarage)</v>
      </c>
      <c r="C67" s="115"/>
      <c r="D67" s="1220">
        <v>43817</v>
      </c>
      <c r="E67" s="343"/>
      <c r="F67" s="337"/>
      <c r="G67" s="306" t="s">
        <v>3051</v>
      </c>
      <c r="H67" s="115"/>
      <c r="I67" s="318"/>
      <c r="J67" s="318">
        <v>1689</v>
      </c>
      <c r="K67" s="318">
        <v>1734</v>
      </c>
      <c r="L67" s="318">
        <f t="shared" ref="L67:M67" si="11">+L102+L103+L104+L105</f>
        <v>1771</v>
      </c>
      <c r="M67" s="318">
        <f t="shared" si="11"/>
        <v>1812</v>
      </c>
      <c r="N67" s="318">
        <f t="shared" ref="N67:O67" si="12">+N102+N103+N104+N105</f>
        <v>1853</v>
      </c>
      <c r="O67" s="318">
        <f t="shared" si="12"/>
        <v>1895</v>
      </c>
    </row>
    <row r="68" spans="1:15" ht="12.75" customHeight="1" x14ac:dyDescent="0.25">
      <c r="A68" s="336">
        <v>618001</v>
      </c>
      <c r="B68" s="115" t="str">
        <f>G59</f>
        <v>Molenstraat 2 (parkeergarage)</v>
      </c>
      <c r="C68" s="115"/>
      <c r="D68" s="1220">
        <v>43817</v>
      </c>
      <c r="E68" s="343"/>
      <c r="F68" s="337"/>
      <c r="G68" s="306" t="s">
        <v>3052</v>
      </c>
      <c r="H68" s="115"/>
      <c r="I68" s="318"/>
      <c r="J68" s="318">
        <v>1140</v>
      </c>
      <c r="K68" s="318">
        <v>1170</v>
      </c>
      <c r="L68" s="318">
        <f t="shared" ref="L68:M68" si="13">+L108</f>
        <v>1195</v>
      </c>
      <c r="M68" s="318">
        <f t="shared" si="13"/>
        <v>1222</v>
      </c>
      <c r="N68" s="318">
        <f t="shared" ref="N68:O68" si="14">+N108</f>
        <v>1250</v>
      </c>
      <c r="O68" s="318">
        <f t="shared" si="14"/>
        <v>1279</v>
      </c>
    </row>
    <row r="69" spans="1:15" ht="12.75" customHeight="1" x14ac:dyDescent="0.25">
      <c r="A69" s="336">
        <v>618001</v>
      </c>
      <c r="B69" s="115" t="str">
        <f>G59</f>
        <v>Molenstraat 2 (parkeergarage)</v>
      </c>
      <c r="C69" s="115"/>
      <c r="D69" s="1220">
        <v>43817</v>
      </c>
      <c r="E69" s="343"/>
      <c r="F69" s="337"/>
      <c r="G69" s="306" t="s">
        <v>3053</v>
      </c>
      <c r="H69" s="115"/>
      <c r="I69" s="318"/>
      <c r="J69" s="317">
        <v>34944</v>
      </c>
      <c r="K69" s="317">
        <v>35853</v>
      </c>
      <c r="L69" s="317">
        <f t="shared" ref="L69:M69" si="15">+L101</f>
        <v>36606</v>
      </c>
      <c r="M69" s="317">
        <f t="shared" si="15"/>
        <v>37448</v>
      </c>
      <c r="N69" s="317">
        <f t="shared" ref="N69:O69" si="16">+N101</f>
        <v>38309</v>
      </c>
      <c r="O69" s="317">
        <f t="shared" si="16"/>
        <v>39190</v>
      </c>
    </row>
    <row r="70" spans="1:15" ht="12.75" customHeight="1" x14ac:dyDescent="0.25">
      <c r="A70" s="336">
        <v>618001</v>
      </c>
      <c r="B70" s="115" t="s">
        <v>3050</v>
      </c>
      <c r="C70" s="115"/>
      <c r="D70" s="1220">
        <v>43817</v>
      </c>
      <c r="E70" s="343"/>
      <c r="F70" s="337"/>
      <c r="G70" s="306" t="s">
        <v>1626</v>
      </c>
      <c r="H70" s="115"/>
      <c r="I70" s="318"/>
      <c r="J70" s="318">
        <v>-28180.661659999998</v>
      </c>
      <c r="K70" s="318">
        <v>-28913.35886316</v>
      </c>
      <c r="L70" s="318">
        <f>+K70*T$2</f>
        <v>-29520.539399286357</v>
      </c>
      <c r="M70" s="318">
        <f>+L70*U$2</f>
        <v>-30199.511805469941</v>
      </c>
      <c r="N70" s="318">
        <f>+M70*V$2</f>
        <v>-30894.100576995748</v>
      </c>
      <c r="O70" s="318">
        <f>+N70*W$2</f>
        <v>-31604.664890266649</v>
      </c>
    </row>
    <row r="71" spans="1:15" ht="12.75" customHeight="1" x14ac:dyDescent="0.25">
      <c r="A71" s="336">
        <v>618001</v>
      </c>
      <c r="B71" s="115" t="str">
        <f>G59</f>
        <v>Molenstraat 2 (parkeergarage)</v>
      </c>
      <c r="C71" s="115"/>
      <c r="D71" s="337">
        <v>47201</v>
      </c>
      <c r="E71" s="343"/>
      <c r="F71" s="337"/>
      <c r="G71" s="115" t="s">
        <v>3054</v>
      </c>
      <c r="H71" s="115"/>
      <c r="I71" s="318"/>
      <c r="J71" s="317">
        <v>4938.1939999999995</v>
      </c>
      <c r="K71" s="317">
        <v>4621.3325079468796</v>
      </c>
      <c r="L71" s="317">
        <v>4792.3218107409139</v>
      </c>
      <c r="M71" s="317">
        <v>4969.6377177383274</v>
      </c>
      <c r="N71" s="317">
        <v>25154</v>
      </c>
      <c r="O71" s="2095">
        <v>0</v>
      </c>
    </row>
    <row r="72" spans="1:15" ht="12.75" customHeight="1" thickBot="1" x14ac:dyDescent="0.3">
      <c r="A72" s="336"/>
      <c r="B72" s="115"/>
      <c r="C72" s="115"/>
      <c r="D72" s="340"/>
      <c r="E72" s="341"/>
      <c r="F72" s="340"/>
      <c r="G72" s="115" t="s">
        <v>536</v>
      </c>
      <c r="H72" s="115"/>
      <c r="I72" s="318"/>
      <c r="J72" s="480">
        <v>56463.931391999999</v>
      </c>
      <c r="K72" s="480">
        <v>57488.891072138882</v>
      </c>
      <c r="L72" s="480">
        <f>SUM(L61:L71)</f>
        <v>58771.142104780949</v>
      </c>
      <c r="M72" s="480">
        <f>SUM(M61:M71)</f>
        <v>60190.266878541282</v>
      </c>
      <c r="N72" s="480">
        <f>SUM(N61:N71)</f>
        <v>81644.070631501439</v>
      </c>
      <c r="O72" s="480">
        <f>SUM(O61:O71)</f>
        <v>57789.83725602596</v>
      </c>
    </row>
    <row r="73" spans="1:15" ht="12.75" customHeight="1" thickTop="1" x14ac:dyDescent="0.25">
      <c r="A73" s="336"/>
      <c r="B73" s="115"/>
      <c r="C73" s="115"/>
      <c r="D73" s="352"/>
      <c r="E73" s="623"/>
      <c r="F73" s="352"/>
      <c r="G73" s="354"/>
      <c r="H73" s="355"/>
      <c r="I73" s="318"/>
      <c r="J73" s="317"/>
      <c r="K73" s="317"/>
      <c r="L73" s="317"/>
      <c r="M73" s="317"/>
      <c r="N73" s="317"/>
      <c r="O73" s="317"/>
    </row>
    <row r="74" spans="1:15" ht="12.75" customHeight="1" x14ac:dyDescent="0.25">
      <c r="A74" s="336"/>
      <c r="B74" s="115"/>
      <c r="C74" s="115"/>
      <c r="D74" s="333">
        <v>618001</v>
      </c>
      <c r="E74" s="330"/>
      <c r="F74" s="331"/>
      <c r="G74" s="381" t="s">
        <v>3050</v>
      </c>
      <c r="H74" s="115"/>
      <c r="I74" s="318"/>
      <c r="J74" s="317"/>
      <c r="K74" s="317"/>
      <c r="L74" s="317"/>
      <c r="M74" s="317"/>
      <c r="N74" s="317"/>
      <c r="O74" s="317"/>
    </row>
    <row r="75" spans="1:15" ht="12.75" customHeight="1" x14ac:dyDescent="0.25">
      <c r="A75" s="336"/>
      <c r="B75" s="115"/>
      <c r="C75" s="115"/>
      <c r="D75" s="333"/>
      <c r="E75" s="330"/>
      <c r="F75" s="331"/>
      <c r="G75" s="383" t="s">
        <v>554</v>
      </c>
      <c r="H75" s="115"/>
      <c r="I75" s="318"/>
      <c r="J75" s="317"/>
      <c r="K75" s="317"/>
      <c r="L75" s="317"/>
      <c r="M75" s="317"/>
      <c r="N75" s="317"/>
      <c r="O75" s="317"/>
    </row>
    <row r="76" spans="1:15" ht="12.75" customHeight="1" x14ac:dyDescent="0.25">
      <c r="A76" s="336">
        <v>618001</v>
      </c>
      <c r="B76" s="115" t="str">
        <f>G74</f>
        <v>Molenstraat 2 (parkeergarage)</v>
      </c>
      <c r="C76" s="115"/>
      <c r="D76" s="337">
        <v>83600</v>
      </c>
      <c r="E76" s="343"/>
      <c r="F76" s="337"/>
      <c r="G76" s="115" t="s">
        <v>1010</v>
      </c>
      <c r="H76" s="115"/>
      <c r="I76" s="318"/>
      <c r="J76" s="317">
        <v>-11507</v>
      </c>
      <c r="K76" s="317">
        <v>-11835</v>
      </c>
      <c r="L76" s="317">
        <f t="shared" ref="L76:M76" si="17">+L122</f>
        <v>-9779.7900000000009</v>
      </c>
      <c r="M76" s="317">
        <f t="shared" si="17"/>
        <v>-10005</v>
      </c>
      <c r="N76" s="317">
        <f t="shared" ref="N76:O76" si="18">+N122</f>
        <v>-10235</v>
      </c>
      <c r="O76" s="317">
        <f t="shared" si="18"/>
        <v>-10470</v>
      </c>
    </row>
    <row r="77" spans="1:15" ht="12.75" customHeight="1" thickBot="1" x14ac:dyDescent="0.3">
      <c r="A77" s="336"/>
      <c r="B77" s="115"/>
      <c r="C77" s="115"/>
      <c r="D77" s="340"/>
      <c r="E77" s="341"/>
      <c r="F77" s="340"/>
      <c r="G77" s="115" t="s">
        <v>536</v>
      </c>
      <c r="H77" s="115"/>
      <c r="I77" s="318"/>
      <c r="J77" s="480">
        <v>-11507</v>
      </c>
      <c r="K77" s="480">
        <v>-11835</v>
      </c>
      <c r="L77" s="480">
        <f>SUM(L76:L76)</f>
        <v>-9779.7900000000009</v>
      </c>
      <c r="M77" s="480">
        <f>SUM(M76:M76)</f>
        <v>-10005</v>
      </c>
      <c r="N77" s="480">
        <f>SUM(N76:N76)</f>
        <v>-10235</v>
      </c>
      <c r="O77" s="480">
        <f>SUM(O76:O76)</f>
        <v>-10470</v>
      </c>
    </row>
    <row r="78" spans="1:15" ht="12.75" customHeight="1" thickTop="1" x14ac:dyDescent="0.25">
      <c r="A78" s="336"/>
      <c r="B78" s="115"/>
      <c r="C78" s="115"/>
      <c r="D78" s="340"/>
      <c r="E78" s="1221"/>
      <c r="F78" s="340"/>
      <c r="G78" s="115"/>
      <c r="H78" s="115"/>
      <c r="I78" s="318"/>
      <c r="J78" s="318"/>
      <c r="K78" s="318"/>
      <c r="L78" s="318"/>
      <c r="M78" s="318"/>
      <c r="N78" s="318"/>
      <c r="O78" s="318"/>
    </row>
    <row r="79" spans="1:15" ht="12.75" customHeight="1" x14ac:dyDescent="0.25">
      <c r="A79" s="336"/>
      <c r="B79" s="115"/>
      <c r="C79" s="115"/>
      <c r="D79" s="333">
        <v>618901</v>
      </c>
      <c r="E79" s="330"/>
      <c r="F79" s="331"/>
      <c r="G79" s="381" t="s">
        <v>3055</v>
      </c>
      <c r="H79" s="115"/>
      <c r="I79" s="318"/>
      <c r="J79" s="317"/>
      <c r="K79" s="317"/>
      <c r="L79" s="317"/>
      <c r="M79" s="317"/>
      <c r="N79" s="317"/>
      <c r="O79" s="317"/>
    </row>
    <row r="80" spans="1:15" ht="12.75" customHeight="1" x14ac:dyDescent="0.25">
      <c r="A80" s="336"/>
      <c r="B80" s="115"/>
      <c r="C80" s="115"/>
      <c r="D80" s="333"/>
      <c r="E80" s="330"/>
      <c r="F80" s="331"/>
      <c r="G80" s="383" t="s">
        <v>533</v>
      </c>
      <c r="H80" s="115"/>
      <c r="I80" s="318"/>
      <c r="J80" s="317"/>
      <c r="K80" s="317"/>
      <c r="L80" s="317"/>
      <c r="M80" s="317"/>
      <c r="N80" s="317"/>
      <c r="O80" s="317"/>
    </row>
    <row r="81" spans="1:15" ht="12.75" customHeight="1" x14ac:dyDescent="0.25">
      <c r="A81" s="336">
        <f>+D79</f>
        <v>618901</v>
      </c>
      <c r="B81" s="115" t="str">
        <f>G79</f>
        <v>Directe toerekening parkeren</v>
      </c>
      <c r="C81" s="115"/>
      <c r="D81" s="337">
        <v>41100</v>
      </c>
      <c r="E81" s="343"/>
      <c r="F81" s="337"/>
      <c r="G81" s="115" t="s">
        <v>541</v>
      </c>
      <c r="H81" s="115"/>
      <c r="I81" s="318"/>
      <c r="J81" s="317">
        <v>0</v>
      </c>
      <c r="K81" s="317">
        <v>0</v>
      </c>
      <c r="L81" s="317">
        <f t="shared" ref="L81:M81" si="19">+L117</f>
        <v>0</v>
      </c>
      <c r="M81" s="317">
        <f t="shared" si="19"/>
        <v>0</v>
      </c>
      <c r="N81" s="317">
        <f t="shared" ref="N81:O81" si="20">+N117</f>
        <v>0</v>
      </c>
      <c r="O81" s="317">
        <f t="shared" si="20"/>
        <v>0</v>
      </c>
    </row>
    <row r="82" spans="1:15" ht="12.75" customHeight="1" x14ac:dyDescent="0.25">
      <c r="A82" s="336">
        <f>+D79</f>
        <v>618901</v>
      </c>
      <c r="B82" s="115" t="str">
        <f>G79</f>
        <v>Directe toerekening parkeren</v>
      </c>
      <c r="C82" s="115"/>
      <c r="D82" s="337">
        <v>47300</v>
      </c>
      <c r="E82" s="343"/>
      <c r="F82" s="337"/>
      <c r="G82" s="319" t="s">
        <v>1012</v>
      </c>
      <c r="H82" s="115"/>
      <c r="I82" s="318"/>
      <c r="J82" s="318">
        <v>31806</v>
      </c>
      <c r="K82" s="318">
        <v>31806</v>
      </c>
      <c r="L82" s="318">
        <v>31806</v>
      </c>
      <c r="M82" s="318">
        <v>31806</v>
      </c>
      <c r="N82" s="2115">
        <v>81806</v>
      </c>
      <c r="O82" s="2114">
        <v>31806</v>
      </c>
    </row>
    <row r="83" spans="1:15" ht="12.75" customHeight="1" thickBot="1" x14ac:dyDescent="0.3">
      <c r="A83" s="336"/>
      <c r="B83" s="115"/>
      <c r="C83" s="115"/>
      <c r="D83" s="340"/>
      <c r="E83" s="341"/>
      <c r="F83" s="340"/>
      <c r="G83" s="115" t="s">
        <v>536</v>
      </c>
      <c r="H83" s="115"/>
      <c r="I83" s="318"/>
      <c r="J83" s="480">
        <v>31806</v>
      </c>
      <c r="K83" s="480">
        <v>31806</v>
      </c>
      <c r="L83" s="480">
        <f>SUM(L81:L82)</f>
        <v>31806</v>
      </c>
      <c r="M83" s="480">
        <f>SUM(M81:M82)</f>
        <v>31806</v>
      </c>
      <c r="N83" s="480">
        <f>SUM(N81:N82)</f>
        <v>81806</v>
      </c>
      <c r="O83" s="480">
        <f>SUM(O81:O82)</f>
        <v>31806</v>
      </c>
    </row>
    <row r="84" spans="1:15" ht="12.75" customHeight="1" thickTop="1" x14ac:dyDescent="0.25">
      <c r="A84" s="336"/>
      <c r="B84" s="115"/>
      <c r="C84" s="115"/>
      <c r="D84" s="340"/>
      <c r="E84" s="1221"/>
      <c r="F84" s="340"/>
      <c r="G84" s="115"/>
      <c r="H84" s="115"/>
      <c r="I84" s="318"/>
      <c r="J84" s="318"/>
      <c r="K84" s="318"/>
      <c r="L84" s="318"/>
      <c r="M84" s="318"/>
      <c r="N84" s="318"/>
      <c r="O84" s="318"/>
    </row>
    <row r="85" spans="1:15" ht="12.75" customHeight="1" x14ac:dyDescent="0.25">
      <c r="A85" s="336"/>
      <c r="B85" s="115"/>
      <c r="C85" s="115"/>
      <c r="D85" s="167"/>
      <c r="E85" s="630"/>
      <c r="F85" s="167"/>
      <c r="G85" s="168"/>
      <c r="H85" s="149"/>
      <c r="I85" s="156"/>
      <c r="J85" s="142"/>
      <c r="K85" s="142"/>
      <c r="L85" s="142"/>
      <c r="M85" s="142"/>
      <c r="N85" s="142"/>
      <c r="O85" s="142"/>
    </row>
    <row r="86" spans="1:15" ht="12.75" customHeight="1" x14ac:dyDescent="0.25">
      <c r="A86" s="336"/>
      <c r="B86" s="115"/>
      <c r="C86" s="115"/>
      <c r="D86" s="384"/>
      <c r="E86" s="384"/>
      <c r="F86" s="1055"/>
      <c r="G86" s="115"/>
      <c r="H86" s="115"/>
      <c r="I86" s="114"/>
      <c r="J86" s="114"/>
      <c r="K86" s="115"/>
      <c r="L86" s="115"/>
      <c r="M86" s="115"/>
      <c r="N86" s="115"/>
      <c r="O86" s="115"/>
    </row>
    <row r="87" spans="1:15" ht="12.75" customHeight="1" x14ac:dyDescent="0.25">
      <c r="A87" s="336"/>
      <c r="B87" s="115"/>
      <c r="C87" s="115"/>
      <c r="D87" s="384"/>
      <c r="E87" s="384"/>
      <c r="F87" s="384"/>
      <c r="G87" s="381"/>
      <c r="H87" s="115"/>
      <c r="I87" s="114"/>
      <c r="J87" s="114"/>
      <c r="K87" s="115"/>
      <c r="L87" s="115"/>
      <c r="M87" s="115"/>
      <c r="N87" s="115"/>
      <c r="O87" s="115"/>
    </row>
    <row r="88" spans="1:15" ht="12.75" customHeight="1" x14ac:dyDescent="0.25">
      <c r="A88" s="336"/>
      <c r="B88" s="115"/>
      <c r="C88" s="115"/>
      <c r="D88" s="384"/>
      <c r="E88" s="384"/>
      <c r="F88" s="384"/>
      <c r="G88" s="381"/>
      <c r="H88" s="115"/>
      <c r="I88" s="114"/>
      <c r="J88" s="114"/>
      <c r="K88" s="115"/>
      <c r="L88" s="115"/>
      <c r="M88" s="115"/>
      <c r="N88" s="115"/>
      <c r="O88" s="115"/>
    </row>
    <row r="89" spans="1:15" ht="12.75" customHeight="1" x14ac:dyDescent="0.25">
      <c r="A89" s="306"/>
      <c r="B89" s="115"/>
      <c r="C89" s="115"/>
      <c r="D89" s="428" t="s">
        <v>561</v>
      </c>
      <c r="E89" s="384"/>
      <c r="F89" s="384"/>
      <c r="G89" s="115"/>
      <c r="H89" s="115"/>
      <c r="I89" s="114"/>
      <c r="J89" s="114"/>
      <c r="K89" s="115"/>
      <c r="L89" s="115"/>
      <c r="M89" s="115"/>
      <c r="N89" s="115"/>
      <c r="O89" s="115"/>
    </row>
    <row r="90" spans="1:15" ht="12.75" customHeight="1" x14ac:dyDescent="0.25">
      <c r="A90" s="306"/>
      <c r="B90" s="115"/>
      <c r="C90" s="115"/>
      <c r="D90" s="384"/>
      <c r="E90" s="384"/>
      <c r="F90" s="384"/>
      <c r="G90" s="383"/>
      <c r="H90" s="115"/>
      <c r="I90" s="609"/>
      <c r="J90" s="114"/>
      <c r="K90" s="115"/>
      <c r="L90" s="115"/>
      <c r="M90" s="115"/>
      <c r="N90" s="115"/>
      <c r="O90" s="115"/>
    </row>
    <row r="91" spans="1:15" ht="12.75" customHeight="1" x14ac:dyDescent="0.25">
      <c r="A91" s="306"/>
      <c r="B91" s="115"/>
      <c r="C91" s="115"/>
      <c r="D91" s="384"/>
      <c r="E91" s="384"/>
      <c r="F91" s="384"/>
      <c r="G91" s="115"/>
      <c r="H91" s="115"/>
      <c r="I91" s="609"/>
      <c r="J91" s="115"/>
      <c r="K91" s="115"/>
      <c r="L91" s="115"/>
      <c r="M91" s="115"/>
      <c r="N91" s="115"/>
      <c r="O91" s="115"/>
    </row>
    <row r="92" spans="1:15" ht="12.75" customHeight="1" x14ac:dyDescent="0.25">
      <c r="A92" s="306"/>
      <c r="B92" s="115"/>
      <c r="C92" s="115"/>
      <c r="D92" s="384"/>
      <c r="E92" s="381" t="s">
        <v>3056</v>
      </c>
      <c r="F92" s="384"/>
      <c r="G92" s="115"/>
      <c r="H92" s="115"/>
      <c r="I92" s="114"/>
      <c r="J92" s="114"/>
      <c r="K92" s="114"/>
      <c r="L92" s="114"/>
      <c r="M92" s="114"/>
      <c r="N92" s="114"/>
      <c r="O92" s="114"/>
    </row>
    <row r="93" spans="1:15" ht="12.75" customHeight="1" x14ac:dyDescent="0.25">
      <c r="A93" s="306"/>
      <c r="B93" s="115"/>
      <c r="C93" s="115"/>
      <c r="D93" s="384"/>
      <c r="E93" s="115"/>
      <c r="F93" s="384"/>
      <c r="G93" s="115"/>
      <c r="H93" s="115"/>
      <c r="I93" s="114"/>
      <c r="J93" s="114"/>
      <c r="K93" s="115"/>
      <c r="L93" s="115"/>
      <c r="M93" s="115"/>
      <c r="N93" s="115"/>
      <c r="O93" s="115"/>
    </row>
    <row r="94" spans="1:15" ht="12.75" customHeight="1" x14ac:dyDescent="0.25">
      <c r="A94" s="306"/>
      <c r="B94" s="115"/>
      <c r="C94" s="115"/>
      <c r="D94" s="384"/>
      <c r="E94" s="383" t="s">
        <v>3057</v>
      </c>
      <c r="F94" s="384"/>
      <c r="G94" s="115"/>
      <c r="H94" s="115"/>
      <c r="I94" s="114"/>
      <c r="J94" s="114"/>
      <c r="K94" s="115"/>
      <c r="L94" s="115"/>
      <c r="M94" s="115"/>
      <c r="N94" s="115"/>
      <c r="O94" s="115"/>
    </row>
    <row r="95" spans="1:15" ht="12.75" customHeight="1" x14ac:dyDescent="0.25">
      <c r="A95" s="306"/>
      <c r="B95" s="115"/>
      <c r="C95" s="115"/>
      <c r="D95" s="384"/>
      <c r="E95" s="115"/>
      <c r="F95" s="384"/>
      <c r="G95" s="115"/>
      <c r="H95" s="115"/>
      <c r="I95" s="114"/>
      <c r="J95" s="114"/>
      <c r="K95" s="115"/>
      <c r="L95" s="115"/>
      <c r="M95" s="115"/>
      <c r="N95" s="115"/>
      <c r="O95" s="115"/>
    </row>
    <row r="96" spans="1:15" ht="12.75" customHeight="1" x14ac:dyDescent="0.25">
      <c r="A96" s="306"/>
      <c r="B96" s="115"/>
      <c r="C96" s="115"/>
      <c r="D96" s="393">
        <v>618001</v>
      </c>
      <c r="E96" s="381" t="s">
        <v>3058</v>
      </c>
      <c r="F96" s="393"/>
      <c r="G96" s="115"/>
      <c r="H96" s="115"/>
      <c r="I96" s="114"/>
      <c r="J96" s="407">
        <v>2025</v>
      </c>
      <c r="K96" s="407">
        <v>2026</v>
      </c>
      <c r="L96" s="407">
        <v>2027</v>
      </c>
      <c r="M96" s="407">
        <v>2028</v>
      </c>
      <c r="N96" s="407">
        <v>2029</v>
      </c>
      <c r="O96" s="407">
        <v>2030</v>
      </c>
    </row>
    <row r="97" spans="1:15" ht="12.75" customHeight="1" x14ac:dyDescent="0.25">
      <c r="A97" s="306"/>
      <c r="B97" s="115"/>
      <c r="C97" s="115"/>
      <c r="D97" s="393"/>
      <c r="E97" s="383" t="s">
        <v>533</v>
      </c>
      <c r="F97" s="393"/>
      <c r="G97" s="115"/>
      <c r="H97" s="115"/>
      <c r="I97" s="114"/>
      <c r="J97" s="486"/>
      <c r="K97" s="115"/>
      <c r="L97" s="115"/>
      <c r="M97" s="115"/>
      <c r="N97" s="115"/>
      <c r="O97" s="115"/>
    </row>
    <row r="98" spans="1:15" ht="12.75" customHeight="1" x14ac:dyDescent="0.25">
      <c r="A98" s="306"/>
      <c r="B98" s="115"/>
      <c r="C98" s="115"/>
      <c r="D98" s="393"/>
      <c r="E98" s="115" t="s">
        <v>3059</v>
      </c>
      <c r="F98" s="393"/>
      <c r="G98" s="115"/>
      <c r="H98" s="115"/>
      <c r="I98" s="114"/>
      <c r="J98" s="486"/>
      <c r="K98" s="115"/>
      <c r="L98" s="115"/>
      <c r="M98" s="115"/>
      <c r="N98" s="115"/>
      <c r="O98" s="115"/>
    </row>
    <row r="99" spans="1:15" ht="12.75" customHeight="1" x14ac:dyDescent="0.25">
      <c r="A99" s="306"/>
      <c r="B99" s="115"/>
      <c r="C99" s="115"/>
      <c r="D99" s="393"/>
      <c r="E99" s="115"/>
      <c r="F99" s="393"/>
      <c r="G99" s="115"/>
      <c r="H99" s="115"/>
      <c r="I99" s="114"/>
      <c r="J99" s="486"/>
      <c r="K99" s="115"/>
      <c r="L99" s="115"/>
      <c r="M99" s="115"/>
      <c r="N99" s="115"/>
      <c r="O99" s="115"/>
    </row>
    <row r="100" spans="1:15" ht="12.75" customHeight="1" x14ac:dyDescent="0.25">
      <c r="A100" s="306"/>
      <c r="B100" s="115"/>
      <c r="C100" s="115"/>
      <c r="D100" s="143">
        <v>43812</v>
      </c>
      <c r="E100" s="490" t="s">
        <v>3060</v>
      </c>
      <c r="F100" s="143"/>
      <c r="G100" s="115"/>
      <c r="H100" s="115"/>
      <c r="I100" s="114"/>
      <c r="J100" s="114"/>
      <c r="K100" s="115"/>
      <c r="L100" s="115"/>
      <c r="M100" s="115"/>
      <c r="N100" s="115"/>
      <c r="O100" s="115"/>
    </row>
    <row r="101" spans="1:15" ht="12.75" customHeight="1" x14ac:dyDescent="0.25">
      <c r="A101" s="306"/>
      <c r="B101" s="115"/>
      <c r="C101" s="115"/>
      <c r="D101" s="384"/>
      <c r="E101" s="115" t="s">
        <v>3061</v>
      </c>
      <c r="F101" s="384"/>
      <c r="G101" s="115"/>
      <c r="H101" s="115"/>
      <c r="I101" s="114"/>
      <c r="J101" s="114">
        <v>34944</v>
      </c>
      <c r="K101" s="114">
        <v>35853</v>
      </c>
      <c r="L101" s="114">
        <f t="shared" ref="L101:L108" si="21">ROUND(K101*T$2,0)</f>
        <v>36606</v>
      </c>
      <c r="M101" s="114">
        <f t="shared" ref="M101:M109" si="22">ROUND(L101*U$2,0)</f>
        <v>37448</v>
      </c>
      <c r="N101" s="114">
        <f t="shared" ref="N101:O109" si="23">ROUND(M101*V$2,0)</f>
        <v>38309</v>
      </c>
      <c r="O101" s="114">
        <f t="shared" si="23"/>
        <v>39190</v>
      </c>
    </row>
    <row r="102" spans="1:15" ht="12.75" customHeight="1" x14ac:dyDescent="0.25">
      <c r="A102" s="306"/>
      <c r="B102" s="115"/>
      <c r="C102" s="115"/>
      <c r="D102" s="384"/>
      <c r="E102" s="490" t="s">
        <v>3062</v>
      </c>
      <c r="F102" s="384"/>
      <c r="G102" s="115"/>
      <c r="H102" s="115"/>
      <c r="I102" s="114"/>
      <c r="J102" s="114">
        <v>645</v>
      </c>
      <c r="K102" s="114">
        <v>662</v>
      </c>
      <c r="L102" s="114">
        <f t="shared" si="21"/>
        <v>676</v>
      </c>
      <c r="M102" s="114">
        <f t="shared" si="22"/>
        <v>692</v>
      </c>
      <c r="N102" s="114">
        <f t="shared" si="23"/>
        <v>708</v>
      </c>
      <c r="O102" s="114">
        <f t="shared" si="23"/>
        <v>724</v>
      </c>
    </row>
    <row r="103" spans="1:15" ht="12.75" customHeight="1" x14ac:dyDescent="0.25">
      <c r="A103" s="306"/>
      <c r="B103" s="115"/>
      <c r="C103" s="115"/>
      <c r="D103" s="301"/>
      <c r="E103" s="115" t="s">
        <v>3063</v>
      </c>
      <c r="F103" s="301"/>
      <c r="G103" s="115"/>
      <c r="H103" s="115"/>
      <c r="I103" s="114"/>
      <c r="J103" s="114">
        <v>452</v>
      </c>
      <c r="K103" s="114">
        <v>464</v>
      </c>
      <c r="L103" s="114">
        <f t="shared" si="21"/>
        <v>474</v>
      </c>
      <c r="M103" s="114">
        <f t="shared" si="22"/>
        <v>485</v>
      </c>
      <c r="N103" s="114">
        <f t="shared" si="23"/>
        <v>496</v>
      </c>
      <c r="O103" s="114">
        <f t="shared" si="23"/>
        <v>507</v>
      </c>
    </row>
    <row r="104" spans="1:15" ht="12.75" customHeight="1" x14ac:dyDescent="0.25">
      <c r="A104" s="306"/>
      <c r="B104" s="115"/>
      <c r="C104" s="115"/>
      <c r="D104" s="301"/>
      <c r="E104" s="115" t="s">
        <v>3064</v>
      </c>
      <c r="F104" s="301"/>
      <c r="G104" s="115"/>
      <c r="H104" s="115"/>
      <c r="I104" s="114"/>
      <c r="J104" s="114">
        <v>259</v>
      </c>
      <c r="K104" s="114">
        <v>266</v>
      </c>
      <c r="L104" s="114">
        <f t="shared" si="21"/>
        <v>272</v>
      </c>
      <c r="M104" s="114">
        <f t="shared" si="22"/>
        <v>278</v>
      </c>
      <c r="N104" s="114">
        <f t="shared" si="23"/>
        <v>284</v>
      </c>
      <c r="O104" s="114">
        <f t="shared" si="23"/>
        <v>291</v>
      </c>
    </row>
    <row r="105" spans="1:15" ht="12.75" customHeight="1" x14ac:dyDescent="0.25">
      <c r="A105" s="306"/>
      <c r="B105" s="115"/>
      <c r="C105" s="115"/>
      <c r="D105" s="301"/>
      <c r="E105" s="115" t="s">
        <v>3065</v>
      </c>
      <c r="F105" s="301"/>
      <c r="G105" s="115"/>
      <c r="H105" s="115"/>
      <c r="I105" s="114"/>
      <c r="J105" s="114">
        <v>333</v>
      </c>
      <c r="K105" s="114">
        <v>342</v>
      </c>
      <c r="L105" s="114">
        <f t="shared" si="21"/>
        <v>349</v>
      </c>
      <c r="M105" s="114">
        <f t="shared" si="22"/>
        <v>357</v>
      </c>
      <c r="N105" s="114">
        <f t="shared" si="23"/>
        <v>365</v>
      </c>
      <c r="O105" s="114">
        <f t="shared" si="23"/>
        <v>373</v>
      </c>
    </row>
    <row r="106" spans="1:15" ht="12.75" customHeight="1" x14ac:dyDescent="0.25">
      <c r="A106" s="306"/>
      <c r="B106" s="115"/>
      <c r="C106" s="115"/>
      <c r="D106" s="301"/>
      <c r="E106" s="115" t="s">
        <v>1624</v>
      </c>
      <c r="F106" s="301"/>
      <c r="G106" s="115"/>
      <c r="H106" s="115"/>
      <c r="I106" s="114"/>
      <c r="J106" s="114">
        <v>3992</v>
      </c>
      <c r="K106" s="114">
        <v>4096</v>
      </c>
      <c r="L106" s="114">
        <f t="shared" si="21"/>
        <v>4182</v>
      </c>
      <c r="M106" s="114">
        <f t="shared" si="22"/>
        <v>4278</v>
      </c>
      <c r="N106" s="114">
        <f t="shared" si="23"/>
        <v>4376</v>
      </c>
      <c r="O106" s="114">
        <f t="shared" si="23"/>
        <v>4477</v>
      </c>
    </row>
    <row r="107" spans="1:15" ht="12.75" customHeight="1" x14ac:dyDescent="0.25">
      <c r="A107" s="306"/>
      <c r="B107" s="115"/>
      <c r="C107" s="115"/>
      <c r="D107" s="301"/>
      <c r="E107" s="115" t="s">
        <v>595</v>
      </c>
      <c r="F107" s="301"/>
      <c r="G107" s="115"/>
      <c r="H107" s="115"/>
      <c r="I107" s="114"/>
      <c r="J107" s="114">
        <v>4780</v>
      </c>
      <c r="K107" s="114">
        <v>4904</v>
      </c>
      <c r="L107" s="114">
        <f t="shared" si="21"/>
        <v>5007</v>
      </c>
      <c r="M107" s="114">
        <f t="shared" si="22"/>
        <v>5122</v>
      </c>
      <c r="N107" s="114">
        <f t="shared" si="23"/>
        <v>5240</v>
      </c>
      <c r="O107" s="114">
        <f t="shared" si="23"/>
        <v>5361</v>
      </c>
    </row>
    <row r="108" spans="1:15" ht="12.75" customHeight="1" x14ac:dyDescent="0.25">
      <c r="A108" s="306"/>
      <c r="B108" s="115"/>
      <c r="C108" s="115"/>
      <c r="D108" s="301"/>
      <c r="E108" s="490" t="s">
        <v>3066</v>
      </c>
      <c r="F108" s="301"/>
      <c r="G108" s="115"/>
      <c r="H108" s="115"/>
      <c r="I108" s="114"/>
      <c r="J108" s="114">
        <v>1140</v>
      </c>
      <c r="K108" s="114">
        <v>1170</v>
      </c>
      <c r="L108" s="114">
        <f t="shared" si="21"/>
        <v>1195</v>
      </c>
      <c r="M108" s="114">
        <f t="shared" si="22"/>
        <v>1222</v>
      </c>
      <c r="N108" s="114">
        <f t="shared" si="23"/>
        <v>1250</v>
      </c>
      <c r="O108" s="114">
        <f t="shared" si="23"/>
        <v>1279</v>
      </c>
    </row>
    <row r="109" spans="1:15" ht="12.75" customHeight="1" x14ac:dyDescent="0.25">
      <c r="A109" s="306"/>
      <c r="B109" s="115"/>
      <c r="C109" s="115"/>
      <c r="D109" s="301"/>
      <c r="E109" s="490" t="s">
        <v>1628</v>
      </c>
      <c r="F109" s="301"/>
      <c r="G109" s="115"/>
      <c r="H109" s="115"/>
      <c r="I109" s="114"/>
      <c r="J109" s="114">
        <v>28181</v>
      </c>
      <c r="K109" s="114">
        <v>28914</v>
      </c>
      <c r="L109" s="114">
        <f>ROUND(K109*T$2,0)</f>
        <v>29521</v>
      </c>
      <c r="M109" s="114">
        <f t="shared" si="22"/>
        <v>30200</v>
      </c>
      <c r="N109" s="114">
        <f t="shared" si="23"/>
        <v>30895</v>
      </c>
      <c r="O109" s="114">
        <f t="shared" si="23"/>
        <v>31606</v>
      </c>
    </row>
    <row r="110" spans="1:15" ht="12.75" customHeight="1" thickBot="1" x14ac:dyDescent="0.3">
      <c r="A110" s="306"/>
      <c r="B110" s="115"/>
      <c r="C110" s="115"/>
      <c r="D110" s="301"/>
      <c r="E110" s="115" t="str">
        <f>"Totaal "&amp;D100</f>
        <v>Totaal 43812</v>
      </c>
      <c r="F110" s="301"/>
      <c r="G110" s="115"/>
      <c r="H110" s="115"/>
      <c r="I110" s="114"/>
      <c r="J110" s="1744">
        <v>74726</v>
      </c>
      <c r="K110" s="1744">
        <v>76671</v>
      </c>
      <c r="L110" s="1744">
        <f>SUM(L101:L109)</f>
        <v>78282</v>
      </c>
      <c r="M110" s="1744">
        <f>SUM(M101:M109)</f>
        <v>80082</v>
      </c>
      <c r="N110" s="1744">
        <f>SUM(N101:N109)</f>
        <v>81923</v>
      </c>
      <c r="O110" s="1744">
        <f>SUM(O101:O109)</f>
        <v>83808</v>
      </c>
    </row>
    <row r="111" spans="1:15" ht="12.75" customHeight="1" thickTop="1" x14ac:dyDescent="0.25">
      <c r="A111" s="306"/>
      <c r="B111" s="115"/>
      <c r="C111" s="115"/>
      <c r="D111" s="301"/>
      <c r="E111" s="115"/>
      <c r="F111" s="301"/>
      <c r="G111" s="115"/>
      <c r="H111" s="115"/>
      <c r="I111" s="114"/>
      <c r="J111" s="114"/>
      <c r="K111" s="115"/>
      <c r="L111" s="115"/>
      <c r="M111" s="115"/>
      <c r="N111" s="115"/>
      <c r="O111" s="115"/>
    </row>
    <row r="112" spans="1:15" ht="12.75" customHeight="1" x14ac:dyDescent="0.25">
      <c r="A112" s="306"/>
      <c r="B112" s="115"/>
      <c r="C112" s="115"/>
      <c r="D112" s="301"/>
      <c r="E112" s="115"/>
      <c r="F112" s="301"/>
      <c r="G112" s="115"/>
      <c r="H112" s="115"/>
      <c r="I112" s="114"/>
      <c r="J112" s="114"/>
      <c r="K112" s="115"/>
      <c r="L112" s="115"/>
      <c r="M112" s="115"/>
      <c r="N112" s="115"/>
      <c r="O112" s="115"/>
    </row>
    <row r="113" spans="4:15" ht="12.75" customHeight="1" x14ac:dyDescent="0.25">
      <c r="D113" s="393">
        <v>618901</v>
      </c>
      <c r="E113" s="381" t="s">
        <v>3055</v>
      </c>
      <c r="F113" s="393"/>
      <c r="G113" s="115"/>
      <c r="H113" s="115"/>
      <c r="I113" s="114"/>
      <c r="J113" s="114"/>
      <c r="K113" s="115"/>
      <c r="L113" s="115"/>
      <c r="M113" s="115"/>
      <c r="N113" s="115"/>
      <c r="O113" s="115"/>
    </row>
    <row r="114" spans="4:15" ht="12.75" customHeight="1" x14ac:dyDescent="0.25">
      <c r="D114" s="393"/>
      <c r="E114" s="383" t="s">
        <v>533</v>
      </c>
      <c r="F114" s="393"/>
      <c r="G114" s="115"/>
      <c r="H114" s="115"/>
      <c r="I114" s="114"/>
      <c r="J114" s="114"/>
      <c r="K114" s="115"/>
      <c r="L114" s="115"/>
      <c r="M114" s="115"/>
      <c r="N114" s="115"/>
      <c r="O114" s="115"/>
    </row>
    <row r="115" spans="4:15" ht="12.75" customHeight="1" x14ac:dyDescent="0.25">
      <c r="D115" s="143">
        <v>41100</v>
      </c>
      <c r="E115" s="308" t="s">
        <v>706</v>
      </c>
      <c r="F115" s="143"/>
      <c r="G115" s="115"/>
      <c r="H115" s="115"/>
      <c r="I115" s="114"/>
      <c r="J115" s="114">
        <v>0</v>
      </c>
      <c r="K115" s="114">
        <v>0</v>
      </c>
      <c r="L115" s="114">
        <f t="shared" ref="L115:O116" si="24">ROUND(K115*T$3,0)</f>
        <v>0</v>
      </c>
      <c r="M115" s="114">
        <f t="shared" si="24"/>
        <v>0</v>
      </c>
      <c r="N115" s="114">
        <f t="shared" si="24"/>
        <v>0</v>
      </c>
      <c r="O115" s="114">
        <f t="shared" si="24"/>
        <v>0</v>
      </c>
    </row>
    <row r="116" spans="4:15" ht="12.75" customHeight="1" x14ac:dyDescent="0.25">
      <c r="D116" s="143"/>
      <c r="E116" s="308" t="s">
        <v>2672</v>
      </c>
      <c r="F116" s="143"/>
      <c r="G116" s="115"/>
      <c r="H116" s="115"/>
      <c r="I116" s="114"/>
      <c r="J116" s="114">
        <v>0</v>
      </c>
      <c r="K116" s="114">
        <v>0</v>
      </c>
      <c r="L116" s="114">
        <f t="shared" si="24"/>
        <v>0</v>
      </c>
      <c r="M116" s="114">
        <f t="shared" si="24"/>
        <v>0</v>
      </c>
      <c r="N116" s="114">
        <f t="shared" si="24"/>
        <v>0</v>
      </c>
      <c r="O116" s="114">
        <f t="shared" si="24"/>
        <v>0</v>
      </c>
    </row>
    <row r="117" spans="4:15" ht="12.75" customHeight="1" thickBot="1" x14ac:dyDescent="0.3">
      <c r="D117" s="301"/>
      <c r="E117" s="115" t="str">
        <f>"Totaal "&amp;D115</f>
        <v>Totaal 41100</v>
      </c>
      <c r="F117" s="301"/>
      <c r="G117" s="115"/>
      <c r="H117" s="115"/>
      <c r="I117" s="114"/>
      <c r="J117" s="1744">
        <v>0</v>
      </c>
      <c r="K117" s="1744">
        <v>0</v>
      </c>
      <c r="L117" s="1744">
        <f t="shared" ref="L117:M117" si="25">SUM(L115:L116)</f>
        <v>0</v>
      </c>
      <c r="M117" s="1744">
        <f t="shared" si="25"/>
        <v>0</v>
      </c>
      <c r="N117" s="1744">
        <f t="shared" ref="N117:O117" si="26">SUM(N115:N116)</f>
        <v>0</v>
      </c>
      <c r="O117" s="1744">
        <f t="shared" si="26"/>
        <v>0</v>
      </c>
    </row>
    <row r="118" spans="4:15" ht="12.75" customHeight="1" thickTop="1" x14ac:dyDescent="0.25">
      <c r="D118" s="301"/>
      <c r="E118" s="115"/>
      <c r="F118" s="301"/>
      <c r="G118" s="115"/>
      <c r="H118" s="115"/>
      <c r="I118" s="114"/>
      <c r="J118" s="114"/>
      <c r="K118" s="115"/>
      <c r="L118" s="115"/>
      <c r="M118" s="115"/>
      <c r="N118" s="115"/>
      <c r="O118" s="115"/>
    </row>
    <row r="119" spans="4:15" ht="12.75" customHeight="1" x14ac:dyDescent="0.25">
      <c r="D119" s="301"/>
      <c r="E119" s="115"/>
      <c r="F119" s="301"/>
      <c r="G119" s="115"/>
      <c r="H119" s="115"/>
      <c r="I119" s="114"/>
      <c r="J119" s="114"/>
      <c r="K119" s="115"/>
      <c r="L119" s="115"/>
      <c r="M119" s="115"/>
      <c r="N119" s="115"/>
      <c r="O119" s="115"/>
    </row>
    <row r="120" spans="4:15" ht="12.75" customHeight="1" x14ac:dyDescent="0.25">
      <c r="D120" s="393">
        <v>618001</v>
      </c>
      <c r="E120" s="381" t="s">
        <v>3058</v>
      </c>
      <c r="F120" s="393"/>
      <c r="G120" s="115"/>
      <c r="H120" s="115"/>
      <c r="I120" s="114"/>
      <c r="J120" s="407">
        <v>2025</v>
      </c>
      <c r="K120" s="407">
        <v>2026</v>
      </c>
      <c r="L120" s="407">
        <v>2027</v>
      </c>
      <c r="M120" s="407">
        <v>2028</v>
      </c>
      <c r="N120" s="407">
        <v>2029</v>
      </c>
      <c r="O120" s="407">
        <v>2030</v>
      </c>
    </row>
    <row r="121" spans="4:15" ht="12.75" customHeight="1" x14ac:dyDescent="0.25">
      <c r="D121" s="393"/>
      <c r="E121" s="383" t="s">
        <v>554</v>
      </c>
      <c r="F121" s="393"/>
      <c r="G121" s="115"/>
      <c r="H121" s="115"/>
      <c r="I121" s="114"/>
      <c r="J121" s="114"/>
      <c r="K121" s="115"/>
      <c r="L121" s="115"/>
      <c r="M121" s="115"/>
      <c r="N121" s="115"/>
      <c r="O121" s="115"/>
    </row>
    <row r="122" spans="4:15" ht="12.75" customHeight="1" x14ac:dyDescent="0.25">
      <c r="D122" s="143">
        <v>83600</v>
      </c>
      <c r="E122" s="115" t="s">
        <v>3067</v>
      </c>
      <c r="F122" s="143"/>
      <c r="G122" s="115"/>
      <c r="H122" s="115"/>
      <c r="I122" s="114"/>
      <c r="J122" s="114">
        <v>-11747</v>
      </c>
      <c r="K122" s="114">
        <v>-11835</v>
      </c>
      <c r="L122" s="114">
        <v>-9779.7900000000009</v>
      </c>
      <c r="M122" s="114">
        <f>ROUND(L122*U$2,0)</f>
        <v>-10005</v>
      </c>
      <c r="N122" s="114">
        <f>ROUND(M122*V$2,0)</f>
        <v>-10235</v>
      </c>
      <c r="O122" s="114">
        <f>ROUND(N122*W$2,0)</f>
        <v>-10470</v>
      </c>
    </row>
    <row r="123" spans="4:15" ht="12.75" customHeight="1" thickBot="1" x14ac:dyDescent="0.3">
      <c r="D123" s="143"/>
      <c r="E123" s="115" t="str">
        <f>"Totaal "&amp;D122</f>
        <v>Totaal 83600</v>
      </c>
      <c r="F123" s="143"/>
      <c r="G123" s="115"/>
      <c r="H123" s="115"/>
      <c r="I123" s="114"/>
      <c r="J123" s="1744">
        <v>-11747</v>
      </c>
      <c r="K123" s="1744">
        <v>-11835</v>
      </c>
      <c r="L123" s="1744">
        <f>SUM(L122:L122)</f>
        <v>-9779.7900000000009</v>
      </c>
      <c r="M123" s="1744">
        <f>SUM(M122:M122)</f>
        <v>-10005</v>
      </c>
      <c r="N123" s="1744">
        <f>SUM(N122:N122)</f>
        <v>-10235</v>
      </c>
      <c r="O123" s="1744">
        <f>SUM(O122:O122)</f>
        <v>-10470</v>
      </c>
    </row>
    <row r="124" spans="4:15" ht="12.75" customHeight="1" thickTop="1" x14ac:dyDescent="0.25">
      <c r="D124" s="143"/>
      <c r="E124" s="115"/>
      <c r="F124" s="143"/>
      <c r="G124" s="115"/>
      <c r="H124" s="115"/>
      <c r="I124" s="114"/>
      <c r="J124" s="114"/>
      <c r="K124" s="115"/>
      <c r="L124" s="115"/>
      <c r="M124" s="115"/>
      <c r="N124" s="115"/>
      <c r="O124" s="115"/>
    </row>
    <row r="125" spans="4:15" ht="12.75" customHeight="1" x14ac:dyDescent="0.25">
      <c r="D125" s="301"/>
      <c r="E125" s="301"/>
      <c r="F125" s="301"/>
      <c r="G125" s="115"/>
      <c r="H125" s="115"/>
      <c r="I125" s="114"/>
      <c r="J125" s="114"/>
      <c r="K125" s="114"/>
      <c r="L125" s="114"/>
      <c r="M125" s="114"/>
      <c r="N125" s="114"/>
      <c r="O125" s="114"/>
    </row>
    <row r="395" spans="9:9" ht="12.75" customHeight="1" x14ac:dyDescent="0.25">
      <c r="I395" s="115"/>
    </row>
  </sheetData>
  <mergeCells count="3">
    <mergeCell ref="D55:D56"/>
    <mergeCell ref="F55:F56"/>
    <mergeCell ref="G55:H56"/>
  </mergeCells>
  <hyperlinks>
    <hyperlink ref="A1" location="Inhoudsopgave!A1" display="Inhoudsopgave" xr:uid="{D796291C-D72E-4B66-BAE8-AFC41DDEE048}"/>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52" min="3" max="14" man="1"/>
    <brk id="86" min="3" max="14" man="1"/>
  </rowBreaks>
  <ignoredErrors>
    <ignoredError sqref="L64:N64 L65:N65" formula="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0BC9-BC07-4978-A45A-475DB88BD418}">
  <sheetPr codeName="Blad19"/>
  <dimension ref="A1:X395"/>
  <sheetViews>
    <sheetView showGridLines="0" view="pageBreakPreview" topLeftCell="A55" zoomScaleNormal="100" zoomScaleSheetLayoutView="100" workbookViewId="0"/>
  </sheetViews>
  <sheetFormatPr defaultColWidth="9.109375" defaultRowHeight="12.75" customHeight="1" x14ac:dyDescent="0.25"/>
  <cols>
    <col min="1" max="1" width="9.5546875" style="311" bestFit="1" customWidth="1"/>
    <col min="2" max="3" width="20.5546875" style="305" customWidth="1"/>
    <col min="4" max="5" width="9.6640625" style="448" customWidth="1"/>
    <col min="6" max="6" width="9.6640625" style="1219" customWidth="1"/>
    <col min="7" max="9" width="12.6640625" style="305" customWidth="1"/>
    <col min="10" max="15" width="11.6640625" style="305" customWidth="1"/>
    <col min="16" max="16" width="14" style="305" customWidth="1"/>
    <col min="17" max="17" width="9.109375" style="305"/>
    <col min="18" max="18" width="10.44140625" style="305" customWidth="1"/>
    <col min="19" max="16384" width="9.109375" style="305"/>
  </cols>
  <sheetData>
    <row r="1" spans="1:23" ht="12.75" customHeight="1" x14ac:dyDescent="0.3">
      <c r="A1" s="157" t="s">
        <v>0</v>
      </c>
      <c r="B1" s="115"/>
      <c r="C1" s="115"/>
      <c r="D1" s="301"/>
      <c r="E1" s="301"/>
      <c r="F1" s="143"/>
      <c r="G1" s="115"/>
      <c r="H1" s="115"/>
      <c r="I1" s="115"/>
      <c r="J1" s="115"/>
      <c r="K1" s="115"/>
      <c r="L1" s="115"/>
      <c r="M1" s="115"/>
      <c r="N1" s="115"/>
      <c r="O1" s="115"/>
      <c r="P1" s="115"/>
      <c r="Q1" s="304">
        <v>2024</v>
      </c>
      <c r="R1" s="304">
        <v>2025</v>
      </c>
      <c r="S1" s="304">
        <v>2026</v>
      </c>
      <c r="T1" s="304">
        <v>2027</v>
      </c>
      <c r="U1" s="304">
        <v>2028</v>
      </c>
      <c r="V1" s="304">
        <v>2029</v>
      </c>
      <c r="W1" s="304">
        <v>2030</v>
      </c>
    </row>
    <row r="2" spans="1:23" ht="12.75" customHeight="1" x14ac:dyDescent="0.3">
      <c r="A2" s="306"/>
      <c r="B2" s="115"/>
      <c r="C2" s="115"/>
      <c r="D2" s="301" t="s">
        <v>504</v>
      </c>
      <c r="E2" s="301"/>
      <c r="F2" s="143"/>
      <c r="G2" s="115"/>
      <c r="H2" s="115" t="s">
        <v>2793</v>
      </c>
      <c r="I2" s="115"/>
      <c r="J2" s="115"/>
      <c r="K2" s="115"/>
      <c r="L2" s="115"/>
      <c r="M2" s="115"/>
      <c r="N2" s="115"/>
      <c r="O2" s="115"/>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A3" s="306"/>
      <c r="B3" s="115"/>
      <c r="C3" s="115"/>
      <c r="D3" s="301"/>
      <c r="E3" s="301"/>
      <c r="F3" s="143"/>
      <c r="G3" s="115"/>
      <c r="H3" s="115"/>
      <c r="I3" s="115"/>
      <c r="J3" s="115"/>
      <c r="K3" s="115"/>
      <c r="L3" s="115"/>
      <c r="M3" s="115"/>
      <c r="N3" s="115"/>
      <c r="O3" s="115"/>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A4" s="306"/>
      <c r="B4" s="115"/>
      <c r="C4" s="115"/>
      <c r="D4" s="301"/>
      <c r="E4" s="301"/>
      <c r="F4" s="143"/>
      <c r="G4" s="115"/>
      <c r="H4" s="115"/>
      <c r="I4" s="115"/>
      <c r="J4" s="115"/>
      <c r="K4" s="115"/>
      <c r="L4" s="115"/>
      <c r="M4" s="115"/>
      <c r="N4" s="115"/>
      <c r="O4" s="115"/>
      <c r="P4" s="115"/>
      <c r="Q4" s="115"/>
      <c r="R4" s="115"/>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A6" s="306"/>
      <c r="B6" s="115"/>
      <c r="C6" s="115"/>
      <c r="D6" s="301" t="s">
        <v>3048</v>
      </c>
      <c r="E6" s="301"/>
      <c r="F6" s="143"/>
      <c r="G6" s="115"/>
      <c r="H6" s="115" t="s">
        <v>3068</v>
      </c>
      <c r="I6" s="115"/>
      <c r="J6" s="115"/>
      <c r="K6" s="115"/>
      <c r="L6" s="115"/>
      <c r="M6" s="115"/>
      <c r="N6" s="115"/>
      <c r="O6" s="115"/>
      <c r="P6" s="115"/>
      <c r="Q6" s="115"/>
      <c r="R6" s="115"/>
      <c r="S6" s="115"/>
      <c r="T6" s="115"/>
      <c r="U6" s="115"/>
      <c r="V6" s="115"/>
    </row>
    <row r="26" spans="1:19" ht="12.75" customHeight="1" x14ac:dyDescent="0.25">
      <c r="A26" s="306"/>
      <c r="B26" s="115"/>
      <c r="C26" s="115"/>
      <c r="D26" s="452" t="s">
        <v>507</v>
      </c>
      <c r="E26" s="438"/>
      <c r="F26" s="516"/>
      <c r="G26" s="453"/>
      <c r="H26" s="453"/>
      <c r="I26" s="453"/>
      <c r="J26" s="453"/>
      <c r="K26" s="453"/>
      <c r="L26" s="453"/>
      <c r="M26" s="453"/>
      <c r="N26" s="453"/>
      <c r="O26" s="453"/>
      <c r="P26" s="115"/>
      <c r="Q26" s="115"/>
      <c r="R26" s="115"/>
      <c r="S26" s="115"/>
    </row>
    <row r="27" spans="1:19" ht="12.75" customHeight="1" x14ac:dyDescent="0.25">
      <c r="A27" s="306"/>
      <c r="B27" s="115"/>
      <c r="C27" s="115"/>
      <c r="D27" s="438"/>
      <c r="E27" s="438"/>
      <c r="F27" s="516"/>
      <c r="G27" s="453"/>
      <c r="H27" s="453"/>
      <c r="I27" s="453"/>
      <c r="J27" s="453"/>
      <c r="K27" s="453"/>
      <c r="L27" s="453"/>
      <c r="M27" s="453"/>
      <c r="N27" s="453"/>
      <c r="O27" s="453"/>
      <c r="P27" s="115"/>
      <c r="Q27" s="115"/>
      <c r="R27" s="115"/>
      <c r="S27" s="115"/>
    </row>
    <row r="28" spans="1:19" ht="12.75" customHeight="1" x14ac:dyDescent="0.25">
      <c r="A28" s="306"/>
      <c r="B28" s="115"/>
      <c r="C28" s="115"/>
      <c r="D28" s="1746" t="s">
        <v>508</v>
      </c>
      <c r="E28" s="1747"/>
      <c r="F28" s="1769"/>
      <c r="G28" s="1748"/>
      <c r="H28" s="1748"/>
      <c r="I28" s="1749"/>
      <c r="J28" s="1749">
        <v>2025</v>
      </c>
      <c r="K28" s="1749">
        <v>2026</v>
      </c>
      <c r="L28" s="1749">
        <v>2027</v>
      </c>
      <c r="M28" s="1749">
        <v>2028</v>
      </c>
      <c r="N28" s="1749">
        <v>2029</v>
      </c>
      <c r="O28" s="1749">
        <v>2030</v>
      </c>
      <c r="P28" s="115"/>
      <c r="Q28" s="115"/>
      <c r="R28" s="115"/>
      <c r="S28" s="115"/>
    </row>
    <row r="29" spans="1:19" ht="12.75" customHeight="1" x14ac:dyDescent="0.25">
      <c r="A29" s="306"/>
      <c r="B29" s="115"/>
      <c r="C29" s="115"/>
      <c r="D29" s="1064" t="s">
        <v>3069</v>
      </c>
      <c r="E29" s="613"/>
      <c r="F29" s="1216"/>
      <c r="G29" s="527"/>
      <c r="H29" s="527"/>
      <c r="I29" s="614"/>
      <c r="J29" s="463">
        <v>69606</v>
      </c>
      <c r="K29" s="463">
        <v>95585.3</v>
      </c>
      <c r="L29" s="463">
        <f t="shared" ref="L29:M29" si="0">+L62</f>
        <v>97592.02</v>
      </c>
      <c r="M29" s="463">
        <f t="shared" si="0"/>
        <v>99836.27</v>
      </c>
      <c r="N29" s="463">
        <f t="shared" ref="N29:O29" si="1">+N62</f>
        <v>102132.34</v>
      </c>
      <c r="O29" s="463">
        <f t="shared" si="1"/>
        <v>104482.65</v>
      </c>
      <c r="P29" s="115"/>
      <c r="Q29" s="115"/>
      <c r="R29" s="115"/>
      <c r="S29" s="115"/>
    </row>
    <row r="30" spans="1:19" ht="12.75" customHeight="1" x14ac:dyDescent="0.25">
      <c r="A30" s="336"/>
      <c r="B30" s="115"/>
      <c r="C30" s="115"/>
      <c r="D30" s="454" t="str">
        <f>G64</f>
        <v>Overige kosten openbaar vervoer</v>
      </c>
      <c r="E30" s="455"/>
      <c r="F30" s="456"/>
      <c r="G30" s="453"/>
      <c r="H30" s="453"/>
      <c r="I30" s="518"/>
      <c r="J30" s="226">
        <v>1383</v>
      </c>
      <c r="K30" s="226">
        <v>1417</v>
      </c>
      <c r="L30" s="226">
        <f t="shared" ref="L30:M30" si="2">L68</f>
        <v>1445</v>
      </c>
      <c r="M30" s="226">
        <f t="shared" si="2"/>
        <v>1476</v>
      </c>
      <c r="N30" s="226">
        <f t="shared" ref="N30:O30" si="3">N68</f>
        <v>1508</v>
      </c>
      <c r="O30" s="226">
        <f t="shared" si="3"/>
        <v>1540</v>
      </c>
      <c r="P30" s="115"/>
      <c r="Q30" s="115"/>
      <c r="R30" s="115"/>
      <c r="S30" s="310"/>
    </row>
    <row r="31" spans="1:19" ht="12.75" customHeight="1" x14ac:dyDescent="0.25">
      <c r="A31" s="336"/>
      <c r="B31" s="115"/>
      <c r="C31" s="115"/>
      <c r="D31" s="454" t="str">
        <f>G70</f>
        <v>Directe toerekening openbaar vervoer</v>
      </c>
      <c r="E31" s="455"/>
      <c r="F31" s="456"/>
      <c r="G31" s="453"/>
      <c r="H31" s="453"/>
      <c r="I31" s="518"/>
      <c r="J31" s="226">
        <v>7592.49</v>
      </c>
      <c r="K31" s="226">
        <v>2452.5100000000002</v>
      </c>
      <c r="L31" s="226">
        <f t="shared" ref="L31:M31" si="4">L74</f>
        <v>2556</v>
      </c>
      <c r="M31" s="226">
        <f t="shared" si="4"/>
        <v>2651</v>
      </c>
      <c r="N31" s="226">
        <f t="shared" ref="N31:O31" si="5">N74</f>
        <v>2749</v>
      </c>
      <c r="O31" s="226">
        <f t="shared" si="5"/>
        <v>2851</v>
      </c>
      <c r="P31" s="115"/>
      <c r="Q31" s="115"/>
      <c r="R31" s="115"/>
      <c r="S31" s="115"/>
    </row>
    <row r="32" spans="1:19" ht="12.75" customHeight="1" x14ac:dyDescent="0.25">
      <c r="A32" s="336"/>
      <c r="B32" s="115"/>
      <c r="C32" s="115"/>
      <c r="D32" s="454"/>
      <c r="E32" s="455"/>
      <c r="F32" s="456"/>
      <c r="G32" s="453"/>
      <c r="H32" s="453"/>
      <c r="I32" s="518"/>
      <c r="J32" s="226"/>
      <c r="K32" s="226"/>
      <c r="L32" s="226"/>
      <c r="M32" s="226"/>
      <c r="N32" s="226"/>
      <c r="O32" s="226"/>
      <c r="P32" s="115"/>
      <c r="Q32" s="115"/>
      <c r="R32" s="115"/>
      <c r="S32" s="115"/>
    </row>
    <row r="33" spans="1:15" ht="12.75" customHeight="1" x14ac:dyDescent="0.25">
      <c r="A33" s="336"/>
      <c r="B33" s="115"/>
      <c r="C33" s="115"/>
      <c r="D33" s="454"/>
      <c r="E33" s="455"/>
      <c r="F33" s="456"/>
      <c r="G33" s="453"/>
      <c r="H33" s="453"/>
      <c r="I33" s="518"/>
      <c r="J33" s="227"/>
      <c r="K33" s="227"/>
      <c r="L33" s="227"/>
      <c r="M33" s="227"/>
      <c r="N33" s="227"/>
      <c r="O33" s="227"/>
    </row>
    <row r="34" spans="1:15" ht="12.75" customHeight="1" x14ac:dyDescent="0.25">
      <c r="A34" s="336"/>
      <c r="B34" s="115"/>
      <c r="C34" s="115"/>
      <c r="D34" s="1751" t="s">
        <v>525</v>
      </c>
      <c r="E34" s="1752"/>
      <c r="F34" s="1753"/>
      <c r="G34" s="1754"/>
      <c r="H34" s="1754"/>
      <c r="I34" s="1757"/>
      <c r="J34" s="1871">
        <v>78581.490000000005</v>
      </c>
      <c r="K34" s="1871">
        <v>99454.81</v>
      </c>
      <c r="L34" s="1871">
        <f>SUM(L29:L32)</f>
        <v>101593.02</v>
      </c>
      <c r="M34" s="1871">
        <f>SUM(M29:M32)</f>
        <v>103963.27</v>
      </c>
      <c r="N34" s="1871">
        <f>SUM(N29:N32)</f>
        <v>106389.34</v>
      </c>
      <c r="O34" s="1871">
        <f>SUM(O29:O32)</f>
        <v>108873.65</v>
      </c>
    </row>
    <row r="35" spans="1:15" ht="12.75" customHeight="1" x14ac:dyDescent="0.25">
      <c r="A35" s="336"/>
      <c r="B35" s="115"/>
      <c r="C35" s="115"/>
      <c r="D35" s="438"/>
      <c r="E35" s="455"/>
      <c r="F35" s="456"/>
      <c r="G35" s="453"/>
      <c r="H35" s="453"/>
      <c r="I35" s="453"/>
      <c r="J35" s="453"/>
      <c r="K35" s="453"/>
      <c r="L35" s="453"/>
      <c r="M35" s="453"/>
      <c r="N35" s="453"/>
      <c r="O35" s="453"/>
    </row>
    <row r="36" spans="1:15" ht="12.75" customHeight="1" x14ac:dyDescent="0.25">
      <c r="A36" s="336"/>
      <c r="B36" s="115"/>
      <c r="C36" s="115"/>
      <c r="D36" s="1746" t="s">
        <v>526</v>
      </c>
      <c r="E36" s="1747"/>
      <c r="F36" s="1769"/>
      <c r="G36" s="1748"/>
      <c r="H36" s="1748"/>
      <c r="I36" s="1749"/>
      <c r="J36" s="1749">
        <v>2025</v>
      </c>
      <c r="K36" s="1749">
        <v>2026</v>
      </c>
      <c r="L36" s="1749">
        <v>2027</v>
      </c>
      <c r="M36" s="1749">
        <v>2028</v>
      </c>
      <c r="N36" s="1749">
        <v>2029</v>
      </c>
      <c r="O36" s="1749">
        <v>2030</v>
      </c>
    </row>
    <row r="37" spans="1:15" ht="12.75" customHeight="1" x14ac:dyDescent="0.25">
      <c r="A37" s="336"/>
      <c r="B37" s="115"/>
      <c r="C37" s="115"/>
      <c r="D37" s="1808" t="s">
        <v>3069</v>
      </c>
      <c r="E37" s="616"/>
      <c r="F37" s="617"/>
      <c r="G37" s="618"/>
      <c r="H37" s="618"/>
      <c r="I37" s="518"/>
      <c r="J37" s="457">
        <v>-350</v>
      </c>
      <c r="K37" s="457">
        <v>-349</v>
      </c>
      <c r="L37" s="457">
        <f t="shared" ref="L37:M37" si="6">+L79</f>
        <v>-349</v>
      </c>
      <c r="M37" s="457">
        <f t="shared" si="6"/>
        <v>-348</v>
      </c>
      <c r="N37" s="457">
        <f t="shared" ref="N37:O37" si="7">+N79</f>
        <v>-348</v>
      </c>
      <c r="O37" s="457">
        <f t="shared" si="7"/>
        <v>-348</v>
      </c>
    </row>
    <row r="38" spans="1:15" ht="12.75" customHeight="1" x14ac:dyDescent="0.25">
      <c r="A38" s="336"/>
      <c r="B38" s="115"/>
      <c r="C38" s="115"/>
      <c r="D38" s="454"/>
      <c r="E38" s="455"/>
      <c r="F38" s="456"/>
      <c r="G38" s="453"/>
      <c r="H38" s="453"/>
      <c r="I38" s="518"/>
      <c r="J38" s="457"/>
      <c r="K38" s="457"/>
      <c r="L38" s="457"/>
      <c r="M38" s="457"/>
      <c r="N38" s="457"/>
      <c r="O38" s="457"/>
    </row>
    <row r="39" spans="1:15" ht="12.75" customHeight="1" x14ac:dyDescent="0.25">
      <c r="A39" s="336"/>
      <c r="B39" s="115"/>
      <c r="C39" s="115"/>
      <c r="D39" s="464"/>
      <c r="E39" s="465"/>
      <c r="F39" s="466"/>
      <c r="G39" s="467"/>
      <c r="H39" s="467"/>
      <c r="I39" s="518"/>
      <c r="J39" s="463"/>
      <c r="K39" s="463"/>
      <c r="L39" s="463"/>
      <c r="M39" s="463"/>
      <c r="N39" s="463"/>
      <c r="O39" s="463"/>
    </row>
    <row r="40" spans="1:15" ht="12.75" customHeight="1" x14ac:dyDescent="0.25">
      <c r="A40" s="336"/>
      <c r="B40" s="115"/>
      <c r="C40" s="115"/>
      <c r="D40" s="1751" t="s">
        <v>328</v>
      </c>
      <c r="E40" s="1752"/>
      <c r="F40" s="1753"/>
      <c r="G40" s="1754"/>
      <c r="H40" s="1754"/>
      <c r="I40" s="1757"/>
      <c r="J40" s="1871">
        <v>-350</v>
      </c>
      <c r="K40" s="1871">
        <v>-349</v>
      </c>
      <c r="L40" s="1871">
        <f>SUM(L37:L39)</f>
        <v>-349</v>
      </c>
      <c r="M40" s="1871">
        <f>SUM(M37:M39)</f>
        <v>-348</v>
      </c>
      <c r="N40" s="1871">
        <f>SUM(N37:N39)</f>
        <v>-348</v>
      </c>
      <c r="O40" s="1871">
        <f>SUM(O37:O39)</f>
        <v>-348</v>
      </c>
    </row>
    <row r="41" spans="1:15" ht="12.75" customHeight="1" x14ac:dyDescent="0.25">
      <c r="A41" s="336"/>
      <c r="B41" s="115"/>
      <c r="C41" s="115"/>
      <c r="D41" s="438"/>
      <c r="E41" s="455"/>
      <c r="F41" s="456"/>
      <c r="G41" s="453"/>
      <c r="H41" s="453"/>
      <c r="I41" s="453"/>
      <c r="J41" s="469"/>
      <c r="K41" s="469"/>
      <c r="L41" s="469"/>
      <c r="M41" s="469"/>
      <c r="N41" s="469"/>
      <c r="O41" s="469"/>
    </row>
    <row r="42" spans="1:15" ht="12.75" customHeight="1" x14ac:dyDescent="0.25">
      <c r="A42" s="336"/>
      <c r="B42" s="115"/>
      <c r="C42" s="115"/>
      <c r="D42" s="1751" t="s">
        <v>527</v>
      </c>
      <c r="E42" s="1756"/>
      <c r="F42" s="1771"/>
      <c r="G42" s="1754"/>
      <c r="H42" s="1754"/>
      <c r="I42" s="1754"/>
      <c r="J42" s="1758">
        <v>78231.490000000005</v>
      </c>
      <c r="K42" s="1758">
        <v>99105.81</v>
      </c>
      <c r="L42" s="1758">
        <f>L34+L40</f>
        <v>101244.02</v>
      </c>
      <c r="M42" s="1758">
        <f>M34+M40</f>
        <v>103615.27</v>
      </c>
      <c r="N42" s="1758">
        <f>N34+N40</f>
        <v>106041.34</v>
      </c>
      <c r="O42" s="1758">
        <f>O34+O40</f>
        <v>108525.65</v>
      </c>
    </row>
    <row r="43" spans="1:15" ht="12.75" customHeight="1" x14ac:dyDescent="0.25">
      <c r="A43" s="336"/>
      <c r="B43" s="115"/>
      <c r="C43" s="115"/>
      <c r="D43" s="438"/>
      <c r="E43" s="455"/>
      <c r="F43" s="456"/>
      <c r="G43" s="453"/>
      <c r="H43" s="453"/>
      <c r="I43" s="453"/>
      <c r="J43" s="469"/>
      <c r="K43" s="469"/>
      <c r="L43" s="469"/>
      <c r="M43" s="469"/>
      <c r="N43" s="469"/>
      <c r="O43" s="469"/>
    </row>
    <row r="44" spans="1:15" ht="12.75" customHeight="1" x14ac:dyDescent="0.25">
      <c r="A44" s="336"/>
      <c r="B44" s="115"/>
      <c r="C44" s="115"/>
      <c r="D44" s="438"/>
      <c r="E44" s="455"/>
      <c r="F44" s="456"/>
      <c r="G44" s="453"/>
      <c r="H44" s="453"/>
      <c r="I44" s="453"/>
      <c r="J44" s="469"/>
      <c r="K44" s="469"/>
      <c r="L44" s="469"/>
      <c r="M44" s="469"/>
      <c r="N44" s="469"/>
      <c r="O44" s="469"/>
    </row>
    <row r="45" spans="1:15" ht="12.75" customHeight="1" x14ac:dyDescent="0.25">
      <c r="A45" s="336"/>
      <c r="B45" s="115"/>
      <c r="C45" s="115"/>
      <c r="D45" s="1857" t="s">
        <v>2129</v>
      </c>
      <c r="E45" s="748"/>
      <c r="F45" s="471"/>
      <c r="G45" s="618"/>
      <c r="H45" s="618"/>
      <c r="I45" s="1763"/>
      <c r="J45" s="1749">
        <v>2025</v>
      </c>
      <c r="K45" s="1749">
        <v>2026</v>
      </c>
      <c r="L45" s="1749">
        <v>2027</v>
      </c>
      <c r="M45" s="1749">
        <v>2028</v>
      </c>
      <c r="N45" s="1749">
        <v>2028</v>
      </c>
      <c r="O45" s="1749">
        <v>2028</v>
      </c>
    </row>
    <row r="46" spans="1:15" ht="12.75" customHeight="1" x14ac:dyDescent="0.25">
      <c r="A46" s="336"/>
      <c r="B46" s="115"/>
      <c r="C46" s="115"/>
      <c r="D46" s="1808" t="s">
        <v>2130</v>
      </c>
      <c r="E46" s="749"/>
      <c r="F46" s="1014"/>
      <c r="G46" s="618"/>
      <c r="H46" s="618"/>
      <c r="I46" s="618"/>
      <c r="J46" s="1869">
        <v>0</v>
      </c>
      <c r="K46" s="1869">
        <v>0</v>
      </c>
      <c r="L46" s="1869">
        <v>0</v>
      </c>
      <c r="M46" s="1869">
        <v>0</v>
      </c>
      <c r="N46" s="1869">
        <v>0</v>
      </c>
      <c r="O46" s="1869">
        <v>0</v>
      </c>
    </row>
    <row r="47" spans="1:15" ht="12.75" customHeight="1" x14ac:dyDescent="0.25">
      <c r="A47" s="336"/>
      <c r="B47" s="115"/>
      <c r="C47" s="115"/>
      <c r="D47" s="464" t="s">
        <v>2131</v>
      </c>
      <c r="E47" s="750"/>
      <c r="F47" s="1015"/>
      <c r="G47" s="467"/>
      <c r="H47" s="467"/>
      <c r="I47" s="467"/>
      <c r="J47" s="468"/>
      <c r="K47" s="468"/>
      <c r="L47" s="468"/>
      <c r="M47" s="468"/>
      <c r="N47" s="468"/>
      <c r="O47" s="468"/>
    </row>
    <row r="48" spans="1:15" ht="12.75" customHeight="1" x14ac:dyDescent="0.25">
      <c r="A48" s="336"/>
      <c r="B48" s="115"/>
      <c r="C48" s="115"/>
      <c r="D48" s="749"/>
      <c r="E48" s="749"/>
      <c r="F48" s="1014"/>
      <c r="G48" s="618"/>
      <c r="H48" s="618"/>
      <c r="I48" s="618"/>
      <c r="J48" s="751"/>
      <c r="K48" s="469"/>
      <c r="L48" s="469"/>
      <c r="M48" s="469"/>
      <c r="N48" s="469"/>
      <c r="O48" s="469"/>
    </row>
    <row r="49" spans="1:24" ht="12.75" customHeight="1" x14ac:dyDescent="0.25">
      <c r="A49" s="336"/>
      <c r="B49" s="115"/>
      <c r="C49" s="115"/>
      <c r="D49" s="438"/>
      <c r="E49" s="438"/>
      <c r="F49" s="516"/>
      <c r="G49" s="453"/>
      <c r="H49" s="453"/>
      <c r="I49" s="453"/>
      <c r="J49" s="469"/>
      <c r="K49" s="469"/>
      <c r="L49" s="469"/>
      <c r="M49" s="469"/>
      <c r="N49" s="469"/>
      <c r="O49" s="469"/>
      <c r="P49" s="115"/>
      <c r="Q49" s="115"/>
      <c r="R49" s="115"/>
      <c r="S49" s="115"/>
      <c r="T49" s="115"/>
      <c r="U49" s="115"/>
      <c r="V49" s="115"/>
      <c r="W49" s="115"/>
      <c r="X49" s="115"/>
    </row>
    <row r="50" spans="1:24" ht="12.75" customHeight="1" x14ac:dyDescent="0.25">
      <c r="A50" s="336"/>
      <c r="B50" s="115"/>
      <c r="C50" s="115"/>
      <c r="D50" s="750"/>
      <c r="E50" s="750"/>
      <c r="F50" s="1015"/>
      <c r="G50" s="467"/>
      <c r="H50" s="467"/>
      <c r="I50" s="467"/>
      <c r="J50" s="620"/>
      <c r="K50" s="469"/>
      <c r="L50" s="469"/>
      <c r="M50" s="469"/>
      <c r="N50" s="469"/>
      <c r="O50" s="469"/>
      <c r="P50" s="115"/>
      <c r="Q50" s="115"/>
      <c r="R50" s="115"/>
      <c r="S50" s="115"/>
      <c r="T50" s="115"/>
      <c r="U50" s="115"/>
      <c r="V50" s="115"/>
      <c r="W50" s="115"/>
      <c r="X50" s="115"/>
    </row>
    <row r="51" spans="1:24" ht="12.75" customHeight="1" x14ac:dyDescent="0.25">
      <c r="A51" s="336"/>
      <c r="B51" s="115"/>
      <c r="C51" s="115"/>
      <c r="D51" s="1751" t="s">
        <v>2132</v>
      </c>
      <c r="E51" s="1756"/>
      <c r="F51" s="1771"/>
      <c r="G51" s="1754"/>
      <c r="H51" s="1754"/>
      <c r="I51" s="1754"/>
      <c r="J51" s="1759">
        <v>78231.490000000005</v>
      </c>
      <c r="K51" s="1759">
        <v>99105.81</v>
      </c>
      <c r="L51" s="1759">
        <f t="shared" ref="L51:M51" si="8">L42+L46+L47</f>
        <v>101244.02</v>
      </c>
      <c r="M51" s="1759">
        <f t="shared" si="8"/>
        <v>103615.27</v>
      </c>
      <c r="N51" s="1759">
        <f t="shared" ref="N51:O51" si="9">N42+N46+N47</f>
        <v>106041.34</v>
      </c>
      <c r="O51" s="1759">
        <f t="shared" si="9"/>
        <v>108525.65</v>
      </c>
      <c r="P51" s="115"/>
      <c r="Q51" s="115"/>
      <c r="R51" s="115"/>
      <c r="S51" s="115"/>
      <c r="T51" s="115"/>
      <c r="U51" s="115"/>
      <c r="V51" s="115"/>
      <c r="W51" s="115"/>
      <c r="X51" s="115"/>
    </row>
    <row r="52" spans="1:24" ht="12.75" customHeight="1" x14ac:dyDescent="0.25">
      <c r="A52" s="336"/>
      <c r="B52" s="115"/>
      <c r="C52" s="115"/>
      <c r="D52" s="453"/>
      <c r="E52" s="453"/>
      <c r="F52" s="517"/>
      <c r="G52" s="453"/>
      <c r="H52" s="453"/>
      <c r="I52" s="453"/>
      <c r="J52" s="469"/>
      <c r="K52" s="469"/>
      <c r="L52" s="469"/>
      <c r="M52" s="469"/>
      <c r="N52" s="469"/>
      <c r="O52" s="469"/>
      <c r="P52" s="115"/>
      <c r="Q52" s="115"/>
      <c r="R52" s="115"/>
      <c r="S52" s="115"/>
      <c r="T52" s="115"/>
      <c r="U52" s="115"/>
      <c r="V52" s="115"/>
      <c r="W52" s="115"/>
      <c r="X52" s="115"/>
    </row>
    <row r="53" spans="1:24" ht="12.75" customHeight="1" x14ac:dyDescent="0.25">
      <c r="A53" s="336"/>
      <c r="B53" s="115"/>
      <c r="C53" s="115"/>
      <c r="D53" s="438"/>
      <c r="E53" s="438"/>
      <c r="F53" s="516"/>
      <c r="G53" s="453"/>
      <c r="H53" s="453"/>
      <c r="I53" s="453"/>
      <c r="J53" s="469"/>
      <c r="K53" s="469"/>
      <c r="L53" s="469"/>
      <c r="M53" s="469"/>
      <c r="N53" s="469"/>
      <c r="O53" s="469"/>
      <c r="P53" s="115"/>
      <c r="Q53" s="115"/>
      <c r="R53" s="115"/>
      <c r="S53" s="115"/>
      <c r="T53" s="115"/>
      <c r="U53" s="115"/>
      <c r="V53" s="115"/>
      <c r="W53" s="115"/>
      <c r="X53" s="115"/>
    </row>
    <row r="54" spans="1:24" ht="12.75" customHeight="1" x14ac:dyDescent="0.25">
      <c r="A54" s="336"/>
      <c r="B54" s="115"/>
      <c r="C54" s="115"/>
      <c r="D54" s="312" t="s">
        <v>528</v>
      </c>
      <c r="E54" s="312"/>
      <c r="F54" s="382"/>
      <c r="G54" s="115"/>
      <c r="H54" s="115"/>
      <c r="I54" s="115"/>
      <c r="J54" s="115"/>
      <c r="K54" s="115"/>
      <c r="L54" s="115"/>
      <c r="M54" s="115"/>
      <c r="N54" s="115"/>
      <c r="O54" s="115"/>
      <c r="P54" s="115"/>
      <c r="Q54" s="115"/>
      <c r="R54" s="115"/>
      <c r="S54" s="115"/>
      <c r="T54" s="115"/>
      <c r="U54" s="115"/>
      <c r="V54" s="115"/>
      <c r="W54" s="115"/>
      <c r="X54" s="115"/>
    </row>
    <row r="55" spans="1:24" ht="12.75" customHeight="1" x14ac:dyDescent="0.25">
      <c r="A55" s="336"/>
      <c r="B55" s="115"/>
      <c r="C55" s="115"/>
      <c r="D55" s="301"/>
      <c r="E55" s="301"/>
      <c r="F55" s="143"/>
      <c r="G55" s="115"/>
      <c r="H55" s="115"/>
      <c r="I55" s="115"/>
      <c r="J55" s="115"/>
      <c r="K55" s="115"/>
      <c r="L55" s="115"/>
      <c r="M55" s="115"/>
      <c r="N55" s="115"/>
      <c r="O55" s="115"/>
      <c r="P55" s="115"/>
      <c r="Q55" s="115"/>
      <c r="R55" s="115"/>
      <c r="S55" s="115"/>
      <c r="T55" s="115"/>
      <c r="U55" s="115"/>
      <c r="V55" s="115"/>
      <c r="W55" s="115"/>
      <c r="X55" s="115"/>
    </row>
    <row r="56" spans="1:24" ht="12.75" customHeight="1" x14ac:dyDescent="0.25">
      <c r="A56" s="470"/>
      <c r="B56" s="453"/>
      <c r="C56" s="453"/>
      <c r="D56" s="2523" t="s">
        <v>529</v>
      </c>
      <c r="E56" s="1761" t="s">
        <v>530</v>
      </c>
      <c r="F56" s="2552" t="s">
        <v>531</v>
      </c>
      <c r="G56" s="2525" t="s">
        <v>206</v>
      </c>
      <c r="H56" s="2526"/>
      <c r="I56" s="1773"/>
      <c r="J56" s="1763"/>
      <c r="K56" s="1763"/>
      <c r="L56" s="1763"/>
      <c r="M56" s="1763"/>
      <c r="N56" s="1763"/>
      <c r="O56" s="1763"/>
      <c r="P56" s="453"/>
      <c r="Q56" s="453"/>
      <c r="R56" s="453"/>
      <c r="S56" s="453"/>
      <c r="T56" s="453"/>
      <c r="U56" s="453"/>
      <c r="V56" s="453"/>
      <c r="W56" s="453"/>
      <c r="X56" s="453"/>
    </row>
    <row r="57" spans="1:24" ht="12.75" customHeight="1" x14ac:dyDescent="0.25">
      <c r="A57" s="470"/>
      <c r="B57" s="453"/>
      <c r="C57" s="453"/>
      <c r="D57" s="2524"/>
      <c r="E57" s="472" t="s">
        <v>532</v>
      </c>
      <c r="F57" s="2553"/>
      <c r="G57" s="2527"/>
      <c r="H57" s="2528"/>
      <c r="I57" s="521"/>
      <c r="J57" s="1764">
        <v>2025</v>
      </c>
      <c r="K57" s="1749">
        <v>2026</v>
      </c>
      <c r="L57" s="1749">
        <v>2027</v>
      </c>
      <c r="M57" s="1749">
        <v>2028</v>
      </c>
      <c r="N57" s="1749">
        <v>2029</v>
      </c>
      <c r="O57" s="1749">
        <v>2030</v>
      </c>
      <c r="P57" s="453"/>
      <c r="Q57" s="453"/>
      <c r="R57" s="453"/>
      <c r="S57" s="453"/>
      <c r="T57" s="453"/>
      <c r="U57" s="453"/>
      <c r="V57" s="453"/>
      <c r="W57" s="453"/>
      <c r="X57" s="453"/>
    </row>
    <row r="58" spans="1:24" ht="12.75" customHeight="1" x14ac:dyDescent="0.25">
      <c r="A58" s="470"/>
      <c r="B58" s="453"/>
      <c r="C58" s="453"/>
      <c r="D58" s="1765"/>
      <c r="E58" s="1881"/>
      <c r="F58" s="1765"/>
      <c r="G58" s="1762"/>
      <c r="H58" s="471"/>
      <c r="I58" s="1773"/>
      <c r="J58" s="1767"/>
      <c r="K58" s="1767"/>
      <c r="L58" s="1767"/>
      <c r="M58" s="1767"/>
      <c r="N58" s="1767"/>
      <c r="O58" s="1767"/>
      <c r="P58" s="453"/>
      <c r="Q58" s="453"/>
      <c r="R58" s="453"/>
      <c r="S58" s="453"/>
      <c r="T58" s="453"/>
      <c r="U58" s="453"/>
      <c r="V58" s="453"/>
      <c r="W58" s="453"/>
      <c r="X58" s="453"/>
    </row>
    <row r="59" spans="1:24" ht="12.75" customHeight="1" x14ac:dyDescent="0.25">
      <c r="A59" s="336"/>
      <c r="B59" s="115"/>
      <c r="C59" s="115"/>
      <c r="D59" s="333">
        <v>621001</v>
      </c>
      <c r="E59" s="330"/>
      <c r="F59" s="331"/>
      <c r="G59" s="332" t="s">
        <v>3069</v>
      </c>
      <c r="H59" s="115"/>
      <c r="I59" s="318"/>
      <c r="J59" s="317"/>
      <c r="K59" s="317"/>
      <c r="L59" s="317"/>
      <c r="M59" s="317"/>
      <c r="N59" s="317"/>
      <c r="O59" s="317"/>
      <c r="P59" s="115"/>
      <c r="Q59" s="115"/>
      <c r="R59" s="115"/>
      <c r="S59" s="115"/>
      <c r="T59" s="115"/>
      <c r="U59" s="115"/>
      <c r="V59" s="115"/>
      <c r="W59" s="115"/>
      <c r="X59" s="115"/>
    </row>
    <row r="60" spans="1:24" ht="12.75" customHeight="1" x14ac:dyDescent="0.25">
      <c r="A60" s="336"/>
      <c r="B60" s="115"/>
      <c r="C60" s="115"/>
      <c r="D60" s="340"/>
      <c r="E60" s="341"/>
      <c r="F60" s="340"/>
      <c r="G60" s="334" t="s">
        <v>533</v>
      </c>
      <c r="H60" s="115"/>
      <c r="I60" s="318"/>
      <c r="J60" s="317"/>
      <c r="K60" s="317"/>
      <c r="L60" s="317"/>
      <c r="M60" s="317"/>
      <c r="N60" s="317"/>
      <c r="O60" s="317"/>
      <c r="P60" s="115"/>
      <c r="Q60" s="115"/>
      <c r="R60" s="115"/>
      <c r="S60" s="115"/>
      <c r="T60" s="115"/>
      <c r="U60" s="115"/>
      <c r="V60" s="115"/>
      <c r="W60" s="115"/>
      <c r="X60" s="115"/>
    </row>
    <row r="61" spans="1:24" ht="12.75" customHeight="1" x14ac:dyDescent="0.25">
      <c r="A61" s="336">
        <f>+D59</f>
        <v>621001</v>
      </c>
      <c r="B61" s="115" t="str">
        <f>G59</f>
        <v>Beheer fietsenstalling NS</v>
      </c>
      <c r="C61" s="115"/>
      <c r="D61" s="337">
        <v>43812</v>
      </c>
      <c r="E61" s="343"/>
      <c r="F61" s="337"/>
      <c r="G61" s="319" t="s">
        <v>535</v>
      </c>
      <c r="H61" s="115"/>
      <c r="I61" s="1217"/>
      <c r="J61" s="1217">
        <v>69606</v>
      </c>
      <c r="K61" s="1217">
        <v>95585.3</v>
      </c>
      <c r="L61" s="1217">
        <f t="shared" ref="L61:M61" si="10">+L102</f>
        <v>97592.02</v>
      </c>
      <c r="M61" s="1217">
        <f t="shared" si="10"/>
        <v>99836.27</v>
      </c>
      <c r="N61" s="1217">
        <f t="shared" ref="N61:O61" si="11">+N102</f>
        <v>102132.34</v>
      </c>
      <c r="O61" s="1217">
        <f t="shared" si="11"/>
        <v>104482.65</v>
      </c>
      <c r="P61" s="115"/>
      <c r="Q61" s="115"/>
      <c r="R61" s="115"/>
      <c r="S61" s="115"/>
      <c r="T61" s="115"/>
      <c r="U61" s="115"/>
      <c r="V61" s="115"/>
      <c r="W61" s="115"/>
      <c r="X61" s="115"/>
    </row>
    <row r="62" spans="1:24" ht="12.75" customHeight="1" thickBot="1" x14ac:dyDescent="0.3">
      <c r="A62" s="336"/>
      <c r="B62" s="115"/>
      <c r="C62" s="115"/>
      <c r="D62" s="340"/>
      <c r="E62" s="341"/>
      <c r="F62" s="340"/>
      <c r="G62" s="319" t="s">
        <v>536</v>
      </c>
      <c r="H62" s="115"/>
      <c r="I62" s="318"/>
      <c r="J62" s="342">
        <v>69606</v>
      </c>
      <c r="K62" s="342">
        <v>95585.3</v>
      </c>
      <c r="L62" s="342">
        <f>SUM(L60:L61)</f>
        <v>97592.02</v>
      </c>
      <c r="M62" s="342">
        <f>SUM(M60:M61)</f>
        <v>99836.27</v>
      </c>
      <c r="N62" s="342">
        <f>SUM(N60:N61)</f>
        <v>102132.34</v>
      </c>
      <c r="O62" s="342">
        <f>SUM(O60:O61)</f>
        <v>104482.65</v>
      </c>
      <c r="P62" s="115"/>
      <c r="Q62" s="115"/>
      <c r="R62" s="115"/>
      <c r="S62" s="115"/>
      <c r="T62" s="115"/>
      <c r="U62" s="115"/>
      <c r="V62" s="115"/>
      <c r="W62" s="115"/>
      <c r="X62" s="115"/>
    </row>
    <row r="63" spans="1:24" ht="12.75" customHeight="1" thickTop="1" x14ac:dyDescent="0.25">
      <c r="A63" s="336"/>
      <c r="B63" s="115"/>
      <c r="C63" s="115"/>
      <c r="D63" s="340"/>
      <c r="E63" s="341"/>
      <c r="F63" s="340"/>
      <c r="G63" s="319"/>
      <c r="H63" s="115"/>
      <c r="I63" s="318"/>
      <c r="J63" s="317"/>
      <c r="K63" s="317"/>
      <c r="L63" s="317"/>
      <c r="M63" s="317"/>
      <c r="N63" s="317"/>
      <c r="O63" s="317"/>
      <c r="P63" s="115"/>
      <c r="Q63" s="115"/>
      <c r="R63" s="115"/>
      <c r="S63" s="115"/>
      <c r="T63" s="115"/>
      <c r="U63" s="115"/>
      <c r="V63" s="115"/>
      <c r="W63" s="115"/>
      <c r="X63" s="115"/>
    </row>
    <row r="64" spans="1:24" ht="12.75" customHeight="1" x14ac:dyDescent="0.25">
      <c r="A64" s="336"/>
      <c r="B64" s="115"/>
      <c r="C64" s="115"/>
      <c r="D64" s="333">
        <v>621002</v>
      </c>
      <c r="E64" s="330"/>
      <c r="F64" s="331"/>
      <c r="G64" s="332" t="s">
        <v>3070</v>
      </c>
      <c r="H64" s="115"/>
      <c r="I64" s="318"/>
      <c r="J64" s="317"/>
      <c r="K64" s="317"/>
      <c r="L64" s="317"/>
      <c r="M64" s="317"/>
      <c r="N64" s="317"/>
      <c r="O64" s="317"/>
      <c r="P64" s="115"/>
      <c r="Q64" s="115"/>
      <c r="R64" s="115"/>
      <c r="S64" s="115"/>
      <c r="T64" s="115"/>
      <c r="U64" s="115"/>
      <c r="V64" s="115"/>
      <c r="W64" s="115"/>
      <c r="X64" s="115"/>
    </row>
    <row r="65" spans="1:15" ht="12.75" customHeight="1" x14ac:dyDescent="0.25">
      <c r="A65" s="336"/>
      <c r="B65" s="115"/>
      <c r="C65" s="115"/>
      <c r="D65" s="340"/>
      <c r="E65" s="341"/>
      <c r="F65" s="340"/>
      <c r="G65" s="334" t="s">
        <v>533</v>
      </c>
      <c r="H65" s="115"/>
      <c r="I65" s="318"/>
      <c r="J65" s="317"/>
      <c r="K65" s="317"/>
      <c r="L65" s="317"/>
      <c r="M65" s="317"/>
      <c r="N65" s="317"/>
      <c r="O65" s="317"/>
    </row>
    <row r="66" spans="1:15" ht="12.75" customHeight="1" x14ac:dyDescent="0.25">
      <c r="A66" s="336">
        <f>+D64</f>
        <v>621002</v>
      </c>
      <c r="B66" s="115" t="str">
        <f>G64</f>
        <v>Overige kosten openbaar vervoer</v>
      </c>
      <c r="C66" s="115"/>
      <c r="D66" s="337">
        <v>43802</v>
      </c>
      <c r="E66" s="343"/>
      <c r="F66" s="337"/>
      <c r="G66" s="319" t="s">
        <v>991</v>
      </c>
      <c r="H66" s="115"/>
      <c r="I66" s="318"/>
      <c r="J66" s="318">
        <v>105</v>
      </c>
      <c r="K66" s="318">
        <v>105</v>
      </c>
      <c r="L66" s="318">
        <v>105</v>
      </c>
      <c r="M66" s="318">
        <v>106</v>
      </c>
      <c r="N66" s="318">
        <v>106</v>
      </c>
      <c r="O66" s="318">
        <v>106</v>
      </c>
    </row>
    <row r="67" spans="1:15" ht="12.75" customHeight="1" x14ac:dyDescent="0.25">
      <c r="A67" s="336">
        <v>621002</v>
      </c>
      <c r="B67" s="115" t="s">
        <v>3070</v>
      </c>
      <c r="C67" s="115"/>
      <c r="D67" s="337">
        <v>44340</v>
      </c>
      <c r="E67" s="343"/>
      <c r="F67" s="337"/>
      <c r="G67" s="319" t="s">
        <v>3071</v>
      </c>
      <c r="H67" s="115"/>
      <c r="I67" s="318"/>
      <c r="J67" s="318">
        <v>1278</v>
      </c>
      <c r="K67" s="318">
        <v>1312</v>
      </c>
      <c r="L67" s="318">
        <f t="shared" ref="L67:M67" si="12">+L123</f>
        <v>1340</v>
      </c>
      <c r="M67" s="318">
        <f t="shared" si="12"/>
        <v>1370</v>
      </c>
      <c r="N67" s="318">
        <f t="shared" ref="N67:O67" si="13">+N123</f>
        <v>1402</v>
      </c>
      <c r="O67" s="318">
        <f t="shared" si="13"/>
        <v>1434</v>
      </c>
    </row>
    <row r="68" spans="1:15" ht="12.75" customHeight="1" thickBot="1" x14ac:dyDescent="0.3">
      <c r="A68" s="336"/>
      <c r="B68" s="115"/>
      <c r="C68" s="115"/>
      <c r="D68" s="340"/>
      <c r="E68" s="341"/>
      <c r="F68" s="340"/>
      <c r="G68" s="319" t="s">
        <v>536</v>
      </c>
      <c r="H68" s="115"/>
      <c r="I68" s="318"/>
      <c r="J68" s="480">
        <v>1383</v>
      </c>
      <c r="K68" s="480">
        <v>1417</v>
      </c>
      <c r="L68" s="480">
        <f t="shared" ref="L68:M68" si="14">SUM(L66:L67)</f>
        <v>1445</v>
      </c>
      <c r="M68" s="480">
        <f t="shared" si="14"/>
        <v>1476</v>
      </c>
      <c r="N68" s="480">
        <f t="shared" ref="N68:O68" si="15">SUM(N66:N67)</f>
        <v>1508</v>
      </c>
      <c r="O68" s="480">
        <f t="shared" si="15"/>
        <v>1540</v>
      </c>
    </row>
    <row r="69" spans="1:15" ht="12.75" customHeight="1" thickTop="1" x14ac:dyDescent="0.25">
      <c r="A69" s="336"/>
      <c r="B69" s="115"/>
      <c r="C69" s="115"/>
      <c r="D69" s="340"/>
      <c r="E69" s="341"/>
      <c r="F69" s="340"/>
      <c r="G69" s="319"/>
      <c r="H69" s="115"/>
      <c r="I69" s="318"/>
      <c r="J69" s="344"/>
      <c r="K69" s="344"/>
      <c r="L69" s="344"/>
      <c r="M69" s="344"/>
      <c r="N69" s="344"/>
      <c r="O69" s="344"/>
    </row>
    <row r="70" spans="1:15" ht="12.75" customHeight="1" x14ac:dyDescent="0.25">
      <c r="A70" s="336"/>
      <c r="B70" s="115"/>
      <c r="C70" s="115"/>
      <c r="D70" s="347">
        <v>621901</v>
      </c>
      <c r="E70" s="1218"/>
      <c r="F70" s="476"/>
      <c r="G70" s="332" t="s">
        <v>3072</v>
      </c>
      <c r="H70" s="115"/>
      <c r="I70" s="225"/>
      <c r="J70" s="225"/>
      <c r="K70" s="225"/>
      <c r="L70" s="225"/>
      <c r="M70" s="225"/>
      <c r="N70" s="225"/>
      <c r="O70" s="225"/>
    </row>
    <row r="71" spans="1:15" ht="12.75" customHeight="1" x14ac:dyDescent="0.25">
      <c r="A71" s="336"/>
      <c r="B71" s="115"/>
      <c r="C71" s="115"/>
      <c r="D71" s="340"/>
      <c r="E71" s="341"/>
      <c r="F71" s="340"/>
      <c r="G71" s="334" t="s">
        <v>533</v>
      </c>
      <c r="H71" s="115"/>
      <c r="I71" s="225"/>
      <c r="J71" s="225"/>
      <c r="K71" s="225"/>
      <c r="L71" s="225"/>
      <c r="M71" s="225"/>
      <c r="N71" s="225"/>
      <c r="O71" s="225"/>
    </row>
    <row r="72" spans="1:15" ht="12.75" customHeight="1" x14ac:dyDescent="0.25">
      <c r="A72" s="336">
        <f>+D70</f>
        <v>621901</v>
      </c>
      <c r="B72" s="115" t="str">
        <f>+G70</f>
        <v>Directe toerekening openbaar vervoer</v>
      </c>
      <c r="C72" s="115"/>
      <c r="D72" s="340">
        <v>41100</v>
      </c>
      <c r="E72" s="341"/>
      <c r="F72" s="340"/>
      <c r="G72" s="319" t="s">
        <v>541</v>
      </c>
      <c r="H72" s="115"/>
      <c r="I72" s="318"/>
      <c r="J72" s="318">
        <v>2592.4899999999998</v>
      </c>
      <c r="K72" s="318">
        <v>2452.5100000000002</v>
      </c>
      <c r="L72" s="318">
        <f t="shared" ref="L72:M72" si="16">+L131</f>
        <v>2556</v>
      </c>
      <c r="M72" s="318">
        <f t="shared" si="16"/>
        <v>2651</v>
      </c>
      <c r="N72" s="318">
        <f t="shared" ref="N72:O72" si="17">+N131</f>
        <v>2749</v>
      </c>
      <c r="O72" s="318">
        <f t="shared" si="17"/>
        <v>2851</v>
      </c>
    </row>
    <row r="73" spans="1:15" ht="12.75" customHeight="1" x14ac:dyDescent="0.25">
      <c r="A73" s="336">
        <v>621901</v>
      </c>
      <c r="B73" s="115" t="s">
        <v>3072</v>
      </c>
      <c r="C73" s="115"/>
      <c r="D73" s="340">
        <v>47300</v>
      </c>
      <c r="E73" s="341"/>
      <c r="F73" s="340"/>
      <c r="G73" s="319" t="s">
        <v>559</v>
      </c>
      <c r="H73" s="115"/>
      <c r="I73" s="318"/>
      <c r="J73" s="318">
        <v>5000</v>
      </c>
      <c r="K73" s="318">
        <v>0</v>
      </c>
      <c r="L73" s="318">
        <f t="shared" ref="L73:N73" si="18">L136</f>
        <v>0</v>
      </c>
      <c r="M73" s="318">
        <f t="shared" si="18"/>
        <v>0</v>
      </c>
      <c r="N73" s="318">
        <f t="shared" si="18"/>
        <v>0</v>
      </c>
      <c r="O73" s="318">
        <f t="shared" ref="O73" si="19">O136</f>
        <v>0</v>
      </c>
    </row>
    <row r="74" spans="1:15" ht="12.75" customHeight="1" thickBot="1" x14ac:dyDescent="0.3">
      <c r="A74" s="336"/>
      <c r="B74" s="115"/>
      <c r="C74" s="115"/>
      <c r="D74" s="340"/>
      <c r="E74" s="341"/>
      <c r="F74" s="340"/>
      <c r="G74" s="319" t="s">
        <v>536</v>
      </c>
      <c r="H74" s="115"/>
      <c r="I74" s="225"/>
      <c r="J74" s="228">
        <v>7592.49</v>
      </c>
      <c r="K74" s="228">
        <v>2452.5100000000002</v>
      </c>
      <c r="L74" s="228">
        <f t="shared" ref="L74:M74" si="20">SUM(L72:L73)</f>
        <v>2556</v>
      </c>
      <c r="M74" s="228">
        <f t="shared" si="20"/>
        <v>2651</v>
      </c>
      <c r="N74" s="228">
        <f t="shared" ref="N74:O74" si="21">SUM(N72:N73)</f>
        <v>2749</v>
      </c>
      <c r="O74" s="228">
        <f t="shared" si="21"/>
        <v>2851</v>
      </c>
    </row>
    <row r="75" spans="1:15" ht="12.75" customHeight="1" thickTop="1" x14ac:dyDescent="0.25">
      <c r="A75" s="336"/>
      <c r="B75" s="115"/>
      <c r="C75" s="115"/>
      <c r="D75" s="352"/>
      <c r="E75" s="623"/>
      <c r="F75" s="352"/>
      <c r="G75" s="354"/>
      <c r="H75" s="355"/>
      <c r="I75" s="318"/>
      <c r="J75" s="317"/>
      <c r="K75" s="317"/>
      <c r="L75" s="317"/>
      <c r="M75" s="317"/>
      <c r="N75" s="317"/>
      <c r="O75" s="317"/>
    </row>
    <row r="76" spans="1:15" ht="12.75" customHeight="1" x14ac:dyDescent="0.25">
      <c r="A76" s="336"/>
      <c r="B76" s="115"/>
      <c r="C76" s="115"/>
      <c r="D76" s="333">
        <v>621001</v>
      </c>
      <c r="E76" s="330"/>
      <c r="F76" s="331"/>
      <c r="G76" s="332" t="s">
        <v>3069</v>
      </c>
      <c r="H76" s="115"/>
      <c r="I76" s="318"/>
      <c r="J76" s="317"/>
      <c r="K76" s="317"/>
      <c r="L76" s="317"/>
      <c r="M76" s="317"/>
      <c r="N76" s="317"/>
      <c r="O76" s="317"/>
    </row>
    <row r="77" spans="1:15" ht="12.75" customHeight="1" x14ac:dyDescent="0.25">
      <c r="A77" s="336"/>
      <c r="B77" s="115"/>
      <c r="C77" s="115"/>
      <c r="D77" s="340"/>
      <c r="E77" s="341"/>
      <c r="F77" s="340"/>
      <c r="G77" s="334" t="s">
        <v>533</v>
      </c>
      <c r="H77" s="115"/>
      <c r="I77" s="318"/>
      <c r="J77" s="317"/>
      <c r="K77" s="317"/>
      <c r="L77" s="317"/>
      <c r="M77" s="317"/>
      <c r="N77" s="317"/>
      <c r="O77" s="317"/>
    </row>
    <row r="78" spans="1:15" ht="12.75" customHeight="1" x14ac:dyDescent="0.25">
      <c r="A78" s="336">
        <f>+D76</f>
        <v>621001</v>
      </c>
      <c r="B78" s="115" t="str">
        <f>G76</f>
        <v>Beheer fietsenstalling NS</v>
      </c>
      <c r="C78" s="115"/>
      <c r="D78" s="337">
        <v>83800</v>
      </c>
      <c r="E78" s="343"/>
      <c r="F78" s="337"/>
      <c r="G78" s="319" t="s">
        <v>535</v>
      </c>
      <c r="H78" s="115"/>
      <c r="I78" s="1217"/>
      <c r="J78" s="1217">
        <v>-350</v>
      </c>
      <c r="K78" s="1217">
        <v>-349</v>
      </c>
      <c r="L78" s="1217">
        <f t="shared" ref="L78:M78" si="22">+L108</f>
        <v>-349</v>
      </c>
      <c r="M78" s="1217">
        <f t="shared" si="22"/>
        <v>-348</v>
      </c>
      <c r="N78" s="1217">
        <f t="shared" ref="N78:O78" si="23">+N108</f>
        <v>-348</v>
      </c>
      <c r="O78" s="1217">
        <f t="shared" si="23"/>
        <v>-348</v>
      </c>
    </row>
    <row r="79" spans="1:15" ht="12.75" customHeight="1" thickBot="1" x14ac:dyDescent="0.3">
      <c r="A79" s="336"/>
      <c r="B79" s="115"/>
      <c r="C79" s="115"/>
      <c r="D79" s="340"/>
      <c r="E79" s="341"/>
      <c r="F79" s="340"/>
      <c r="G79" s="319" t="s">
        <v>536</v>
      </c>
      <c r="H79" s="115"/>
      <c r="I79" s="318"/>
      <c r="J79" s="342">
        <v>-350</v>
      </c>
      <c r="K79" s="342">
        <v>-349</v>
      </c>
      <c r="L79" s="342">
        <f t="shared" ref="L79:M79" si="24">SUM(L77:L78)</f>
        <v>-349</v>
      </c>
      <c r="M79" s="342">
        <f t="shared" si="24"/>
        <v>-348</v>
      </c>
      <c r="N79" s="342">
        <f t="shared" ref="N79:O79" si="25">SUM(N77:N78)</f>
        <v>-348</v>
      </c>
      <c r="O79" s="342">
        <f t="shared" si="25"/>
        <v>-348</v>
      </c>
    </row>
    <row r="80" spans="1:15" ht="12.75" customHeight="1" thickTop="1" x14ac:dyDescent="0.25">
      <c r="A80" s="336"/>
      <c r="B80" s="115"/>
      <c r="C80" s="115"/>
      <c r="D80" s="352"/>
      <c r="E80" s="623"/>
      <c r="F80" s="352"/>
      <c r="G80" s="354"/>
      <c r="H80" s="355"/>
      <c r="I80" s="318"/>
      <c r="J80" s="317"/>
      <c r="K80" s="317"/>
      <c r="L80" s="317"/>
      <c r="M80" s="317"/>
      <c r="N80" s="317"/>
      <c r="O80" s="317"/>
    </row>
    <row r="81" spans="1:19" ht="12.75" customHeight="1" x14ac:dyDescent="0.25">
      <c r="A81" s="336"/>
      <c r="B81" s="115"/>
      <c r="C81" s="115"/>
      <c r="D81" s="167"/>
      <c r="E81" s="630"/>
      <c r="F81" s="167"/>
      <c r="G81" s="168"/>
      <c r="H81" s="149"/>
      <c r="I81" s="156"/>
      <c r="J81" s="142"/>
      <c r="K81" s="142"/>
      <c r="L81" s="142"/>
      <c r="M81" s="142"/>
      <c r="N81" s="142"/>
      <c r="O81" s="142"/>
      <c r="P81" s="115"/>
      <c r="Q81" s="115"/>
      <c r="R81" s="115"/>
      <c r="S81" s="115"/>
    </row>
    <row r="82" spans="1:19" ht="12.75" customHeight="1" x14ac:dyDescent="0.25">
      <c r="A82" s="336"/>
      <c r="B82" s="115"/>
      <c r="C82" s="115"/>
      <c r="D82" s="384"/>
      <c r="E82" s="384"/>
      <c r="F82" s="1055"/>
      <c r="G82" s="115"/>
      <c r="H82" s="115"/>
      <c r="I82" s="114"/>
      <c r="J82" s="114"/>
      <c r="K82" s="114"/>
      <c r="L82" s="114"/>
      <c r="M82" s="114"/>
      <c r="N82" s="114"/>
      <c r="O82" s="114"/>
      <c r="P82" s="115"/>
      <c r="Q82" s="115"/>
      <c r="R82" s="115"/>
      <c r="S82" s="115"/>
    </row>
    <row r="83" spans="1:19" ht="12.75" customHeight="1" x14ac:dyDescent="0.25">
      <c r="A83" s="336"/>
      <c r="B83" s="115"/>
      <c r="C83" s="115"/>
      <c r="D83" s="384"/>
      <c r="E83" s="384"/>
      <c r="F83" s="384"/>
      <c r="G83" s="381"/>
      <c r="H83" s="115"/>
      <c r="I83" s="114"/>
      <c r="J83" s="114"/>
      <c r="K83" s="114"/>
      <c r="L83" s="114"/>
      <c r="M83" s="114"/>
      <c r="N83" s="114"/>
      <c r="O83" s="114"/>
      <c r="P83" s="115"/>
      <c r="Q83" s="115"/>
      <c r="R83" s="115"/>
      <c r="S83" s="115"/>
    </row>
    <row r="84" spans="1:19" ht="12.75" customHeight="1" x14ac:dyDescent="0.25">
      <c r="A84" s="336"/>
      <c r="B84" s="115"/>
      <c r="C84" s="115"/>
      <c r="D84" s="384"/>
      <c r="E84" s="384"/>
      <c r="F84" s="384"/>
      <c r="G84" s="381"/>
      <c r="H84" s="115"/>
      <c r="I84" s="114"/>
      <c r="J84" s="114"/>
      <c r="K84" s="114"/>
      <c r="L84" s="114"/>
      <c r="M84" s="114"/>
      <c r="N84" s="114"/>
      <c r="O84" s="114"/>
      <c r="P84" s="115"/>
      <c r="Q84" s="115"/>
      <c r="R84" s="115"/>
      <c r="S84" s="115"/>
    </row>
    <row r="85" spans="1:19" ht="12.75" customHeight="1" x14ac:dyDescent="0.25">
      <c r="A85" s="306"/>
      <c r="B85" s="115"/>
      <c r="C85" s="115"/>
      <c r="D85" s="428" t="s">
        <v>561</v>
      </c>
      <c r="E85" s="384"/>
      <c r="F85" s="384"/>
      <c r="G85" s="115"/>
      <c r="H85" s="115"/>
      <c r="I85" s="114"/>
      <c r="J85" s="114"/>
      <c r="K85" s="114"/>
      <c r="L85" s="114"/>
      <c r="M85" s="114"/>
      <c r="N85" s="114"/>
      <c r="O85" s="114"/>
      <c r="P85" s="115"/>
      <c r="Q85" s="115"/>
      <c r="R85" s="115"/>
      <c r="S85" s="115"/>
    </row>
    <row r="86" spans="1:19" ht="12.75" customHeight="1" x14ac:dyDescent="0.25">
      <c r="A86" s="306"/>
      <c r="B86" s="115"/>
      <c r="C86" s="115"/>
      <c r="D86" s="384"/>
      <c r="E86" s="384"/>
      <c r="F86" s="384"/>
      <c r="G86" s="383"/>
      <c r="H86" s="115"/>
      <c r="I86" s="609"/>
      <c r="J86" s="609"/>
      <c r="K86" s="609"/>
      <c r="L86" s="609"/>
      <c r="M86" s="609"/>
      <c r="N86" s="609"/>
      <c r="O86" s="609"/>
      <c r="P86" s="609"/>
      <c r="Q86" s="115"/>
      <c r="R86" s="115"/>
      <c r="S86" s="115"/>
    </row>
    <row r="87" spans="1:19" ht="12.75" customHeight="1" x14ac:dyDescent="0.25">
      <c r="A87" s="306"/>
      <c r="B87" s="115"/>
      <c r="C87" s="115"/>
      <c r="D87" s="384"/>
      <c r="E87" s="384"/>
      <c r="F87" s="384"/>
      <c r="G87" s="115"/>
      <c r="H87" s="115"/>
      <c r="I87" s="609"/>
      <c r="J87" s="115"/>
      <c r="K87" s="115"/>
      <c r="L87" s="115"/>
      <c r="M87" s="115"/>
      <c r="N87" s="115"/>
      <c r="O87" s="115"/>
      <c r="P87" s="115"/>
      <c r="Q87" s="115"/>
      <c r="R87" s="115"/>
      <c r="S87" s="115"/>
    </row>
    <row r="88" spans="1:19" ht="12.75" customHeight="1" x14ac:dyDescent="0.25">
      <c r="A88" s="336"/>
      <c r="B88" s="115"/>
      <c r="C88" s="115"/>
      <c r="D88" s="384"/>
      <c r="E88" s="383" t="s">
        <v>3057</v>
      </c>
      <c r="F88" s="115"/>
      <c r="G88" s="114"/>
      <c r="H88" s="114"/>
      <c r="I88" s="114"/>
      <c r="J88" s="114"/>
      <c r="K88" s="114"/>
      <c r="L88" s="114"/>
      <c r="M88" s="114"/>
      <c r="N88" s="114"/>
      <c r="O88" s="114"/>
      <c r="P88" s="115"/>
      <c r="Q88" s="115"/>
      <c r="R88" s="115"/>
      <c r="S88" s="115"/>
    </row>
    <row r="89" spans="1:19" ht="12.75" customHeight="1" x14ac:dyDescent="0.25">
      <c r="A89" s="336"/>
      <c r="B89" s="115"/>
      <c r="C89" s="115"/>
      <c r="D89" s="384"/>
      <c r="E89" s="115"/>
      <c r="F89" s="115"/>
      <c r="G89" s="114"/>
      <c r="H89" s="114"/>
      <c r="I89" s="114"/>
      <c r="J89" s="114"/>
      <c r="K89" s="114"/>
      <c r="L89" s="114"/>
      <c r="M89" s="114"/>
      <c r="N89" s="114"/>
      <c r="O89" s="114"/>
      <c r="P89" s="115"/>
      <c r="Q89" s="115"/>
      <c r="R89" s="115"/>
      <c r="S89" s="115"/>
    </row>
    <row r="90" spans="1:19" ht="12.75" customHeight="1" x14ac:dyDescent="0.25">
      <c r="A90" s="336"/>
      <c r="B90" s="115"/>
      <c r="C90" s="115"/>
      <c r="D90" s="382">
        <v>621001</v>
      </c>
      <c r="E90" s="410" t="s">
        <v>3073</v>
      </c>
      <c r="F90" s="115"/>
      <c r="G90" s="115"/>
      <c r="H90" s="115"/>
      <c r="I90" s="115"/>
      <c r="J90" s="115"/>
      <c r="K90" s="115"/>
      <c r="L90" s="115"/>
      <c r="M90" s="115"/>
      <c r="N90" s="115"/>
      <c r="O90" s="115"/>
      <c r="P90" s="115"/>
      <c r="Q90" s="115"/>
      <c r="R90" s="115"/>
      <c r="S90" s="115"/>
    </row>
    <row r="91" spans="1:19" ht="12.75" customHeight="1" x14ac:dyDescent="0.25">
      <c r="A91" s="336"/>
      <c r="B91" s="115"/>
      <c r="C91" s="115"/>
      <c r="D91" s="336"/>
      <c r="E91" s="383" t="s">
        <v>1907</v>
      </c>
      <c r="F91" s="115"/>
      <c r="G91" s="114"/>
      <c r="H91" s="114"/>
      <c r="I91" s="114"/>
      <c r="J91" s="114"/>
      <c r="K91" s="114"/>
      <c r="L91" s="114"/>
      <c r="M91" s="114"/>
      <c r="N91" s="114"/>
      <c r="O91" s="114"/>
      <c r="P91" s="115"/>
      <c r="Q91" s="115"/>
      <c r="R91" s="115"/>
      <c r="S91" s="115"/>
    </row>
    <row r="92" spans="1:19" ht="12.75" customHeight="1" x14ac:dyDescent="0.25">
      <c r="A92" s="336"/>
      <c r="B92" s="115"/>
      <c r="C92" s="115"/>
      <c r="D92" s="143"/>
      <c r="E92" s="114" t="s">
        <v>3074</v>
      </c>
      <c r="F92" s="115"/>
      <c r="G92" s="114"/>
      <c r="H92" s="114"/>
      <c r="I92" s="114"/>
      <c r="J92" s="114"/>
      <c r="K92" s="114"/>
      <c r="L92" s="114"/>
      <c r="M92" s="114"/>
      <c r="N92" s="114"/>
      <c r="O92" s="114"/>
      <c r="P92" s="115"/>
      <c r="Q92" s="115"/>
      <c r="R92" s="115"/>
      <c r="S92" s="115"/>
    </row>
    <row r="93" spans="1:19" ht="12.75" customHeight="1" x14ac:dyDescent="0.25">
      <c r="A93" s="336"/>
      <c r="B93" s="115"/>
      <c r="C93" s="115"/>
      <c r="D93" s="143"/>
      <c r="E93" s="114"/>
      <c r="F93" s="115"/>
      <c r="G93" s="114"/>
      <c r="H93" s="114"/>
      <c r="I93" s="114"/>
      <c r="J93" s="114"/>
      <c r="K93" s="114"/>
      <c r="L93" s="114"/>
      <c r="M93" s="114"/>
      <c r="N93" s="114"/>
      <c r="O93" s="114"/>
      <c r="P93" s="115"/>
      <c r="Q93" s="115"/>
      <c r="R93" s="115"/>
      <c r="S93" s="115"/>
    </row>
    <row r="94" spans="1:19" ht="12.75" customHeight="1" x14ac:dyDescent="0.25">
      <c r="A94" s="336"/>
      <c r="B94" s="115"/>
      <c r="C94" s="115"/>
      <c r="D94" s="115"/>
      <c r="E94" s="115"/>
      <c r="F94" s="115"/>
      <c r="G94" s="114"/>
      <c r="H94" s="114"/>
      <c r="I94" s="114"/>
      <c r="J94" s="407">
        <v>2025</v>
      </c>
      <c r="K94" s="501">
        <v>2026</v>
      </c>
      <c r="L94" s="501">
        <v>2027</v>
      </c>
      <c r="M94" s="501">
        <v>2028</v>
      </c>
      <c r="N94" s="501">
        <v>2029</v>
      </c>
      <c r="O94" s="501">
        <v>2030</v>
      </c>
      <c r="P94" s="115"/>
      <c r="Q94" s="115"/>
      <c r="R94" s="115"/>
      <c r="S94" s="115"/>
    </row>
    <row r="95" spans="1:19" ht="12.75" customHeight="1" x14ac:dyDescent="0.25">
      <c r="A95" s="336"/>
      <c r="B95" s="115"/>
      <c r="C95" s="115"/>
      <c r="D95" s="143"/>
      <c r="E95" s="114"/>
      <c r="F95" s="115"/>
      <c r="G95" s="114"/>
      <c r="H95" s="114"/>
      <c r="I95" s="114"/>
      <c r="J95" s="114"/>
      <c r="K95" s="114"/>
      <c r="L95" s="114"/>
      <c r="M95" s="114"/>
      <c r="N95" s="114"/>
      <c r="O95" s="114"/>
      <c r="P95" s="115"/>
      <c r="Q95" s="115"/>
      <c r="R95" s="115"/>
      <c r="S95" s="115"/>
    </row>
    <row r="96" spans="1:19" ht="12.75" customHeight="1" x14ac:dyDescent="0.25">
      <c r="A96" s="336"/>
      <c r="B96" s="115"/>
      <c r="C96" s="115"/>
      <c r="D96" s="143">
        <v>43812</v>
      </c>
      <c r="E96" s="114" t="s">
        <v>3075</v>
      </c>
      <c r="F96" s="115"/>
      <c r="G96" s="114"/>
      <c r="H96" s="114"/>
      <c r="I96" s="114"/>
      <c r="J96" s="115"/>
      <c r="K96" s="115"/>
      <c r="L96" s="115"/>
      <c r="M96" s="115"/>
      <c r="N96" s="115"/>
      <c r="O96" s="115"/>
      <c r="P96" s="115"/>
      <c r="Q96" s="115"/>
      <c r="R96" s="115"/>
      <c r="S96" s="115"/>
    </row>
    <row r="97" spans="1:19" ht="12.75" customHeight="1" x14ac:dyDescent="0.25">
      <c r="A97" s="336"/>
      <c r="B97" s="115"/>
      <c r="C97" s="115"/>
      <c r="D97" s="336"/>
      <c r="E97" s="398" t="s">
        <v>3076</v>
      </c>
      <c r="F97" s="115"/>
      <c r="G97" s="114"/>
      <c r="H97" s="114"/>
      <c r="I97" s="114"/>
      <c r="J97" s="114">
        <v>50832</v>
      </c>
      <c r="K97" s="114">
        <v>60000</v>
      </c>
      <c r="L97" s="114">
        <f t="shared" ref="L97:O99" si="26">ROUND(K97*T$2,0)</f>
        <v>61260</v>
      </c>
      <c r="M97" s="114">
        <f t="shared" si="26"/>
        <v>62669</v>
      </c>
      <c r="N97" s="114">
        <f t="shared" si="26"/>
        <v>64110</v>
      </c>
      <c r="O97" s="114">
        <f t="shared" si="26"/>
        <v>65585</v>
      </c>
      <c r="P97" s="115"/>
      <c r="Q97" s="115"/>
      <c r="R97" s="115"/>
      <c r="S97" s="114"/>
    </row>
    <row r="98" spans="1:19" ht="12.75" customHeight="1" x14ac:dyDescent="0.25">
      <c r="A98" s="306"/>
      <c r="B98" s="115"/>
      <c r="C98" s="115"/>
      <c r="D98" s="336"/>
      <c r="E98" s="398" t="s">
        <v>3077</v>
      </c>
      <c r="F98" s="115"/>
      <c r="G98" s="114"/>
      <c r="H98" s="114"/>
      <c r="I98" s="114"/>
      <c r="J98" s="114">
        <v>17281</v>
      </c>
      <c r="K98" s="114">
        <v>17730</v>
      </c>
      <c r="L98" s="114">
        <f t="shared" si="26"/>
        <v>18102</v>
      </c>
      <c r="M98" s="114">
        <f t="shared" si="26"/>
        <v>18518</v>
      </c>
      <c r="N98" s="114">
        <f t="shared" si="26"/>
        <v>18944</v>
      </c>
      <c r="O98" s="114">
        <f t="shared" si="26"/>
        <v>19380</v>
      </c>
      <c r="P98" s="115"/>
      <c r="Q98" s="115"/>
      <c r="R98" s="115"/>
      <c r="S98" s="114"/>
    </row>
    <row r="99" spans="1:19" ht="12.75" customHeight="1" x14ac:dyDescent="0.25">
      <c r="A99" s="306"/>
      <c r="B99" s="115"/>
      <c r="C99" s="115"/>
      <c r="D99" s="336"/>
      <c r="E99" s="398" t="s">
        <v>3078</v>
      </c>
      <c r="F99" s="115"/>
      <c r="G99" s="114"/>
      <c r="H99" s="114"/>
      <c r="I99" s="114"/>
      <c r="J99" s="114">
        <v>1493</v>
      </c>
      <c r="K99" s="114">
        <v>1532</v>
      </c>
      <c r="L99" s="114">
        <f t="shared" si="26"/>
        <v>1564</v>
      </c>
      <c r="M99" s="114">
        <f t="shared" si="26"/>
        <v>1600</v>
      </c>
      <c r="N99" s="114">
        <f t="shared" si="26"/>
        <v>1637</v>
      </c>
      <c r="O99" s="114">
        <f t="shared" si="26"/>
        <v>1675</v>
      </c>
      <c r="P99" s="115"/>
      <c r="Q99" s="115"/>
      <c r="R99" s="115"/>
      <c r="S99" s="114"/>
    </row>
    <row r="100" spans="1:19" ht="12.75" customHeight="1" x14ac:dyDescent="0.25">
      <c r="A100" s="306"/>
      <c r="B100" s="115"/>
      <c r="C100" s="115"/>
      <c r="D100" s="336"/>
      <c r="E100" s="398" t="s">
        <v>3079</v>
      </c>
      <c r="F100" s="115"/>
      <c r="G100" s="114"/>
      <c r="H100" s="114"/>
      <c r="I100" s="114"/>
      <c r="J100" s="114"/>
      <c r="K100" s="114">
        <v>16323.3</v>
      </c>
      <c r="L100" s="114">
        <f>+(L97+L98)*0.21</f>
        <v>16666.02</v>
      </c>
      <c r="M100" s="114">
        <f>+(M97+M98)*0.21</f>
        <v>17049.27</v>
      </c>
      <c r="N100" s="114">
        <f>+(N97+N98)*0.21</f>
        <v>17441.34</v>
      </c>
      <c r="O100" s="114">
        <f>+(O97+O98)*0.21</f>
        <v>17842.649999999998</v>
      </c>
      <c r="P100" s="115"/>
      <c r="Q100" s="115"/>
      <c r="R100" s="115"/>
      <c r="S100" s="115"/>
    </row>
    <row r="101" spans="1:19" ht="12.75" customHeight="1" x14ac:dyDescent="0.25">
      <c r="A101" s="306"/>
      <c r="B101" s="115"/>
      <c r="C101" s="115"/>
      <c r="D101" s="336"/>
      <c r="E101" s="398"/>
      <c r="F101" s="115"/>
      <c r="G101" s="114"/>
      <c r="H101" s="114"/>
      <c r="I101" s="114"/>
      <c r="J101" s="114"/>
      <c r="K101" s="114"/>
      <c r="L101" s="114"/>
      <c r="M101" s="114"/>
      <c r="N101" s="114"/>
      <c r="O101" s="114"/>
      <c r="P101" s="115"/>
      <c r="Q101" s="115"/>
      <c r="R101" s="115"/>
      <c r="S101" s="115"/>
    </row>
    <row r="102" spans="1:19" ht="12.75" customHeight="1" thickBot="1" x14ac:dyDescent="0.3">
      <c r="A102" s="306"/>
      <c r="B102" s="115"/>
      <c r="C102" s="115"/>
      <c r="D102" s="336"/>
      <c r="E102" s="114" t="str">
        <f>"Totaal "&amp;D96</f>
        <v>Totaal 43812</v>
      </c>
      <c r="F102" s="115"/>
      <c r="G102" s="114"/>
      <c r="H102" s="114"/>
      <c r="I102" s="114"/>
      <c r="J102" s="1744">
        <v>69606</v>
      </c>
      <c r="K102" s="1744">
        <v>95585.3</v>
      </c>
      <c r="L102" s="1744">
        <f>SUM(L97:L101)</f>
        <v>97592.02</v>
      </c>
      <c r="M102" s="1744">
        <f>SUM(M97:M101)</f>
        <v>99836.27</v>
      </c>
      <c r="N102" s="1744">
        <f>SUM(N97:N101)</f>
        <v>102132.34</v>
      </c>
      <c r="O102" s="1744">
        <f>SUM(O97:O101)</f>
        <v>104482.65</v>
      </c>
      <c r="P102" s="115"/>
      <c r="Q102" s="115"/>
      <c r="R102" s="115"/>
      <c r="S102" s="115"/>
    </row>
    <row r="103" spans="1:19" ht="12.75" customHeight="1" thickTop="1" x14ac:dyDescent="0.25">
      <c r="A103" s="306"/>
      <c r="B103" s="115"/>
      <c r="C103" s="115"/>
      <c r="D103" s="336"/>
      <c r="E103" s="114"/>
      <c r="F103" s="115"/>
      <c r="G103" s="114"/>
      <c r="H103" s="114"/>
      <c r="I103" s="114"/>
      <c r="J103" s="114"/>
      <c r="K103" s="114"/>
      <c r="L103" s="114"/>
      <c r="M103" s="114"/>
      <c r="N103" s="114"/>
      <c r="O103" s="114"/>
      <c r="P103" s="115"/>
      <c r="Q103" s="115"/>
      <c r="R103" s="115"/>
      <c r="S103" s="115"/>
    </row>
    <row r="104" spans="1:19" ht="12.75" customHeight="1" x14ac:dyDescent="0.25">
      <c r="A104" s="306"/>
      <c r="B104" s="115"/>
      <c r="C104" s="115"/>
      <c r="D104" s="433">
        <v>621001</v>
      </c>
      <c r="E104" s="381" t="s">
        <v>3073</v>
      </c>
      <c r="F104" s="115"/>
      <c r="G104" s="114"/>
      <c r="H104" s="114"/>
      <c r="I104" s="114"/>
      <c r="J104" s="114"/>
      <c r="K104" s="114"/>
      <c r="L104" s="114"/>
      <c r="M104" s="114"/>
      <c r="N104" s="114"/>
      <c r="O104" s="114"/>
      <c r="P104" s="114"/>
      <c r="Q104" s="115"/>
      <c r="R104" s="115"/>
      <c r="S104" s="115"/>
    </row>
    <row r="105" spans="1:19" ht="12.75" customHeight="1" x14ac:dyDescent="0.25">
      <c r="A105" s="306"/>
      <c r="B105" s="115"/>
      <c r="C105" s="115"/>
      <c r="D105" s="384"/>
      <c r="E105" s="115" t="s">
        <v>3080</v>
      </c>
      <c r="F105" s="115"/>
      <c r="G105" s="114"/>
      <c r="H105" s="114"/>
      <c r="I105" s="114"/>
      <c r="J105" s="114"/>
      <c r="K105" s="114"/>
      <c r="L105" s="114"/>
      <c r="M105" s="114"/>
      <c r="N105" s="114"/>
      <c r="O105" s="114"/>
      <c r="P105" s="115"/>
      <c r="Q105" s="115"/>
      <c r="R105" s="115"/>
      <c r="S105" s="115"/>
    </row>
    <row r="106" spans="1:19" ht="12.75" customHeight="1" x14ac:dyDescent="0.25">
      <c r="A106" s="306"/>
      <c r="B106" s="115"/>
      <c r="C106" s="115"/>
      <c r="D106" s="384"/>
      <c r="E106" s="115" t="s">
        <v>3081</v>
      </c>
      <c r="F106" s="115"/>
      <c r="G106" s="114"/>
      <c r="H106" s="114"/>
      <c r="I106" s="114"/>
      <c r="J106" s="114"/>
      <c r="K106" s="114"/>
      <c r="L106" s="114"/>
      <c r="M106" s="114"/>
      <c r="N106" s="114"/>
      <c r="O106" s="114"/>
      <c r="P106" s="115"/>
      <c r="Q106" s="115"/>
      <c r="R106" s="115"/>
      <c r="S106" s="115"/>
    </row>
    <row r="107" spans="1:19" ht="12.75" customHeight="1" x14ac:dyDescent="0.25">
      <c r="A107" s="306"/>
      <c r="B107" s="115"/>
      <c r="C107" s="115"/>
      <c r="D107" s="384"/>
      <c r="E107" s="115"/>
      <c r="F107" s="115"/>
      <c r="G107" s="114"/>
      <c r="H107" s="114"/>
      <c r="I107" s="114"/>
      <c r="J107" s="115"/>
      <c r="K107" s="115"/>
      <c r="L107" s="115"/>
      <c r="M107" s="115"/>
      <c r="N107" s="115"/>
      <c r="O107" s="115"/>
      <c r="P107" s="115"/>
      <c r="Q107" s="115"/>
      <c r="R107" s="115"/>
      <c r="S107" s="115"/>
    </row>
    <row r="108" spans="1:19" ht="12.75" customHeight="1" x14ac:dyDescent="0.25">
      <c r="A108" s="306"/>
      <c r="B108" s="115"/>
      <c r="C108" s="115"/>
      <c r="D108" s="143">
        <v>83800</v>
      </c>
      <c r="E108" s="115" t="s">
        <v>3082</v>
      </c>
      <c r="F108" s="115"/>
      <c r="G108" s="114"/>
      <c r="H108" s="114"/>
      <c r="I108" s="114"/>
      <c r="J108" s="114">
        <v>-350</v>
      </c>
      <c r="K108" s="114">
        <v>-349</v>
      </c>
      <c r="L108" s="114">
        <v>-349</v>
      </c>
      <c r="M108" s="114">
        <v>-348</v>
      </c>
      <c r="N108" s="114">
        <v>-348</v>
      </c>
      <c r="O108" s="114">
        <v>-348</v>
      </c>
      <c r="P108" s="115"/>
      <c r="Q108" s="115"/>
      <c r="R108" s="115"/>
      <c r="S108" s="115"/>
    </row>
    <row r="109" spans="1:19" ht="12.75" customHeight="1" x14ac:dyDescent="0.25">
      <c r="A109" s="306"/>
      <c r="B109" s="115"/>
      <c r="C109" s="115"/>
      <c r="D109" s="384"/>
      <c r="E109" s="115" t="s">
        <v>3083</v>
      </c>
      <c r="F109" s="115"/>
      <c r="G109" s="114"/>
      <c r="H109" s="114"/>
      <c r="I109" s="114"/>
      <c r="J109" s="114"/>
      <c r="K109" s="114"/>
      <c r="L109" s="114"/>
      <c r="M109" s="114"/>
      <c r="N109" s="114"/>
      <c r="O109" s="114"/>
      <c r="P109" s="115"/>
      <c r="Q109" s="115"/>
      <c r="R109" s="115"/>
      <c r="S109" s="115"/>
    </row>
    <row r="110" spans="1:19" ht="12.75" customHeight="1" x14ac:dyDescent="0.25">
      <c r="A110" s="306"/>
      <c r="B110" s="115"/>
      <c r="C110" s="115"/>
      <c r="D110" s="384"/>
      <c r="E110" s="115"/>
      <c r="F110" s="115"/>
      <c r="G110" s="114"/>
      <c r="H110" s="114"/>
      <c r="I110" s="114"/>
      <c r="J110" s="114"/>
      <c r="K110" s="114"/>
      <c r="L110" s="114"/>
      <c r="M110" s="114"/>
      <c r="N110" s="114"/>
      <c r="O110" s="114"/>
      <c r="P110" s="115"/>
      <c r="Q110" s="115"/>
      <c r="R110" s="115"/>
      <c r="S110" s="115"/>
    </row>
    <row r="111" spans="1:19" ht="12.75" customHeight="1" thickBot="1" x14ac:dyDescent="0.3">
      <c r="A111" s="306"/>
      <c r="B111" s="115"/>
      <c r="C111" s="115"/>
      <c r="D111" s="384"/>
      <c r="E111" s="114" t="str">
        <f>"Totaal "&amp;D108</f>
        <v>Totaal 83800</v>
      </c>
      <c r="F111" s="115"/>
      <c r="G111" s="114"/>
      <c r="H111" s="114"/>
      <c r="I111" s="114"/>
      <c r="J111" s="1744">
        <v>-350</v>
      </c>
      <c r="K111" s="1744">
        <v>-349</v>
      </c>
      <c r="L111" s="1744">
        <f t="shared" ref="L111:M111" si="27">SUM(L108:L109)</f>
        <v>-349</v>
      </c>
      <c r="M111" s="1744">
        <f t="shared" si="27"/>
        <v>-348</v>
      </c>
      <c r="N111" s="1744">
        <f t="shared" ref="N111:O111" si="28">SUM(N108:N109)</f>
        <v>-348</v>
      </c>
      <c r="O111" s="1744">
        <f t="shared" si="28"/>
        <v>-348</v>
      </c>
      <c r="P111" s="115"/>
      <c r="Q111" s="115"/>
      <c r="R111" s="115"/>
      <c r="S111" s="115"/>
    </row>
    <row r="112" spans="1:19" ht="12.75" customHeight="1" thickTop="1" x14ac:dyDescent="0.25">
      <c r="A112" s="306"/>
      <c r="B112" s="115"/>
      <c r="C112" s="115"/>
      <c r="D112" s="143"/>
      <c r="E112" s="115"/>
      <c r="F112" s="115"/>
      <c r="G112" s="114"/>
      <c r="H112" s="114"/>
      <c r="I112" s="114"/>
      <c r="J112" s="114"/>
      <c r="K112" s="114"/>
      <c r="L112" s="114"/>
      <c r="M112" s="114"/>
      <c r="N112" s="114"/>
      <c r="O112" s="114"/>
      <c r="P112" s="115"/>
      <c r="Q112" s="115"/>
      <c r="R112" s="115"/>
      <c r="S112" s="115"/>
    </row>
    <row r="113" spans="1:17" ht="12.75" customHeight="1" x14ac:dyDescent="0.25">
      <c r="A113" s="306"/>
      <c r="B113" s="115"/>
      <c r="C113" s="115"/>
      <c r="D113" s="143"/>
      <c r="E113" s="115"/>
      <c r="F113" s="115"/>
      <c r="G113" s="115"/>
      <c r="H113" s="115"/>
      <c r="I113" s="115"/>
      <c r="J113" s="115"/>
      <c r="K113" s="115"/>
      <c r="L113" s="115"/>
      <c r="M113" s="115"/>
      <c r="N113" s="115"/>
      <c r="O113" s="115"/>
      <c r="P113" s="115"/>
      <c r="Q113" s="115"/>
    </row>
    <row r="114" spans="1:17" ht="12.75" customHeight="1" x14ac:dyDescent="0.25">
      <c r="A114" s="306"/>
      <c r="B114" s="115"/>
      <c r="C114" s="115"/>
      <c r="D114" s="393">
        <v>621002</v>
      </c>
      <c r="E114" s="381" t="s">
        <v>3070</v>
      </c>
      <c r="F114" s="115"/>
      <c r="G114" s="114"/>
      <c r="H114" s="114"/>
      <c r="I114" s="115"/>
      <c r="J114" s="115"/>
      <c r="K114" s="115"/>
      <c r="L114" s="115"/>
      <c r="M114" s="115"/>
      <c r="N114" s="115"/>
      <c r="O114" s="115"/>
      <c r="P114" s="115"/>
      <c r="Q114" s="115"/>
    </row>
    <row r="115" spans="1:17" ht="12.75" customHeight="1" x14ac:dyDescent="0.25">
      <c r="A115" s="306"/>
      <c r="B115" s="115"/>
      <c r="C115" s="115"/>
      <c r="D115" s="393"/>
      <c r="E115" s="381"/>
      <c r="F115" s="115"/>
      <c r="G115" s="114"/>
      <c r="H115" s="114"/>
      <c r="I115" s="115"/>
      <c r="J115" s="396"/>
      <c r="K115" s="396"/>
      <c r="L115" s="396"/>
      <c r="M115" s="396"/>
      <c r="N115" s="396"/>
      <c r="O115" s="396"/>
      <c r="P115" s="115"/>
      <c r="Q115" s="115"/>
    </row>
    <row r="116" spans="1:17" ht="12.75" customHeight="1" x14ac:dyDescent="0.25">
      <c r="A116" s="306"/>
      <c r="B116" s="115"/>
      <c r="C116" s="115"/>
      <c r="D116" s="143">
        <v>43802</v>
      </c>
      <c r="E116" s="115" t="s">
        <v>3084</v>
      </c>
      <c r="F116" s="115"/>
      <c r="G116" s="114"/>
      <c r="H116" s="114"/>
      <c r="I116" s="115"/>
      <c r="J116" s="114"/>
      <c r="K116" s="114"/>
      <c r="L116" s="114"/>
      <c r="M116" s="114"/>
      <c r="N116" s="114"/>
      <c r="O116" s="114"/>
      <c r="P116" s="115"/>
      <c r="Q116" s="115"/>
    </row>
    <row r="117" spans="1:17" ht="12.75" customHeight="1" x14ac:dyDescent="0.25">
      <c r="A117" s="306"/>
      <c r="B117" s="115"/>
      <c r="C117" s="115"/>
      <c r="D117" s="143"/>
      <c r="E117" s="115"/>
      <c r="F117" s="115"/>
      <c r="G117" s="114"/>
      <c r="H117" s="114"/>
      <c r="I117" s="115"/>
      <c r="J117" s="114"/>
      <c r="K117" s="114"/>
      <c r="L117" s="114"/>
      <c r="M117" s="114"/>
      <c r="N117" s="114"/>
      <c r="O117" s="114"/>
      <c r="P117" s="115"/>
      <c r="Q117" s="115"/>
    </row>
    <row r="118" spans="1:17" ht="12.75" customHeight="1" x14ac:dyDescent="0.25">
      <c r="A118" s="306"/>
      <c r="B118" s="115"/>
      <c r="C118" s="115"/>
      <c r="D118" s="143">
        <v>44340</v>
      </c>
      <c r="E118" s="115" t="s">
        <v>3085</v>
      </c>
      <c r="F118" s="115"/>
      <c r="G118" s="114"/>
      <c r="H118" s="114"/>
      <c r="I118" s="115"/>
      <c r="J118" s="114"/>
      <c r="K118" s="114"/>
      <c r="L118" s="114"/>
      <c r="M118" s="114"/>
      <c r="N118" s="114"/>
      <c r="O118" s="114"/>
      <c r="P118" s="115"/>
      <c r="Q118" s="115"/>
    </row>
    <row r="119" spans="1:17" ht="12.75" customHeight="1" x14ac:dyDescent="0.25">
      <c r="A119" s="306"/>
      <c r="B119" s="115"/>
      <c r="C119" s="115"/>
      <c r="D119" s="384"/>
      <c r="E119" s="115" t="s">
        <v>3086</v>
      </c>
      <c r="F119" s="115"/>
      <c r="G119" s="114"/>
      <c r="H119" s="114"/>
      <c r="I119" s="115"/>
      <c r="J119" s="114"/>
      <c r="K119" s="114"/>
      <c r="L119" s="114"/>
      <c r="M119" s="114"/>
      <c r="N119" s="114"/>
      <c r="O119" s="114"/>
      <c r="P119" s="115"/>
      <c r="Q119" s="115"/>
    </row>
    <row r="120" spans="1:17" ht="12.75" customHeight="1" x14ac:dyDescent="0.25">
      <c r="A120" s="306"/>
      <c r="B120" s="115"/>
      <c r="C120" s="115"/>
      <c r="D120" s="384"/>
      <c r="E120" s="308" t="s">
        <v>3087</v>
      </c>
      <c r="F120" s="115"/>
      <c r="G120" s="114"/>
      <c r="H120" s="114"/>
      <c r="I120" s="115"/>
      <c r="J120" s="114">
        <v>639</v>
      </c>
      <c r="K120" s="114">
        <v>656</v>
      </c>
      <c r="L120" s="114">
        <f t="shared" ref="L120:O121" si="29">ROUND(K120*T$2,0)</f>
        <v>670</v>
      </c>
      <c r="M120" s="114">
        <f t="shared" si="29"/>
        <v>685</v>
      </c>
      <c r="N120" s="114">
        <f t="shared" si="29"/>
        <v>701</v>
      </c>
      <c r="O120" s="114">
        <f t="shared" si="29"/>
        <v>717</v>
      </c>
      <c r="P120" s="115"/>
      <c r="Q120" s="115"/>
    </row>
    <row r="121" spans="1:17" ht="12.75" customHeight="1" x14ac:dyDescent="0.25">
      <c r="A121" s="306"/>
      <c r="B121" s="115"/>
      <c r="C121" s="115"/>
      <c r="D121" s="384"/>
      <c r="E121" s="308" t="s">
        <v>3088</v>
      </c>
      <c r="F121" s="115"/>
      <c r="G121" s="114"/>
      <c r="H121" s="114"/>
      <c r="I121" s="115"/>
      <c r="J121" s="114">
        <v>639</v>
      </c>
      <c r="K121" s="114">
        <v>656</v>
      </c>
      <c r="L121" s="114">
        <f t="shared" si="29"/>
        <v>670</v>
      </c>
      <c r="M121" s="114">
        <f t="shared" si="29"/>
        <v>685</v>
      </c>
      <c r="N121" s="114">
        <f t="shared" si="29"/>
        <v>701</v>
      </c>
      <c r="O121" s="114">
        <f t="shared" si="29"/>
        <v>717</v>
      </c>
      <c r="P121" s="115"/>
      <c r="Q121" s="115"/>
    </row>
    <row r="122" spans="1:17" ht="12.75" customHeight="1" x14ac:dyDescent="0.25">
      <c r="A122" s="306"/>
      <c r="B122" s="115"/>
      <c r="C122" s="115"/>
      <c r="D122" s="384"/>
      <c r="E122" s="308"/>
      <c r="F122" s="115"/>
      <c r="G122" s="114"/>
      <c r="H122" s="114"/>
      <c r="I122" s="115"/>
      <c r="J122" s="114"/>
      <c r="K122" s="114"/>
      <c r="L122" s="114"/>
      <c r="M122" s="114"/>
      <c r="N122" s="114"/>
      <c r="O122" s="114"/>
      <c r="P122" s="115"/>
      <c r="Q122" s="115"/>
    </row>
    <row r="123" spans="1:17" ht="12.75" customHeight="1" thickBot="1" x14ac:dyDescent="0.3">
      <c r="A123" s="306"/>
      <c r="B123" s="115"/>
      <c r="C123" s="115"/>
      <c r="D123" s="301"/>
      <c r="E123" s="114" t="str">
        <f>"Totaal "&amp;D118</f>
        <v>Totaal 44340</v>
      </c>
      <c r="F123" s="115"/>
      <c r="G123" s="114"/>
      <c r="H123" s="114"/>
      <c r="I123" s="115"/>
      <c r="J123" s="1744">
        <v>1278</v>
      </c>
      <c r="K123" s="1744">
        <v>1312</v>
      </c>
      <c r="L123" s="1744">
        <f t="shared" ref="L123:M123" si="30">SUM(L120:L121)</f>
        <v>1340</v>
      </c>
      <c r="M123" s="1744">
        <f t="shared" si="30"/>
        <v>1370</v>
      </c>
      <c r="N123" s="1744">
        <f t="shared" ref="N123:O123" si="31">SUM(N120:N121)</f>
        <v>1402</v>
      </c>
      <c r="O123" s="1744">
        <f t="shared" si="31"/>
        <v>1434</v>
      </c>
      <c r="P123" s="115"/>
      <c r="Q123" s="115"/>
    </row>
    <row r="124" spans="1:17" ht="12.75" customHeight="1" thickTop="1" x14ac:dyDescent="0.25">
      <c r="A124" s="306"/>
      <c r="B124" s="115"/>
      <c r="C124" s="115"/>
      <c r="D124" s="301"/>
      <c r="E124" s="308"/>
      <c r="F124" s="115"/>
      <c r="G124" s="114"/>
      <c r="H124" s="114"/>
      <c r="I124" s="115"/>
      <c r="J124" s="114"/>
      <c r="K124" s="114"/>
      <c r="L124" s="114"/>
      <c r="M124" s="114"/>
      <c r="N124" s="114"/>
      <c r="O124" s="114"/>
      <c r="P124" s="115"/>
      <c r="Q124" s="115"/>
    </row>
    <row r="125" spans="1:17" ht="12.75" customHeight="1" x14ac:dyDescent="0.25">
      <c r="A125" s="306"/>
      <c r="B125" s="115"/>
      <c r="C125" s="115"/>
      <c r="D125" s="433">
        <v>621901</v>
      </c>
      <c r="E125" s="381" t="s">
        <v>3072</v>
      </c>
      <c r="F125" s="115"/>
      <c r="G125" s="114"/>
      <c r="H125" s="114"/>
      <c r="I125" s="115"/>
      <c r="J125" s="115"/>
      <c r="K125" s="115"/>
      <c r="L125" s="115"/>
      <c r="M125" s="115"/>
      <c r="N125" s="115"/>
      <c r="O125" s="115"/>
      <c r="P125" s="115"/>
      <c r="Q125" s="115"/>
    </row>
    <row r="126" spans="1:17" ht="12.75" customHeight="1" x14ac:dyDescent="0.25">
      <c r="A126" s="336"/>
      <c r="B126" s="115"/>
      <c r="C126" s="115"/>
      <c r="D126" s="115"/>
      <c r="E126" s="115"/>
      <c r="F126" s="115"/>
      <c r="G126" s="115"/>
      <c r="H126" s="115"/>
      <c r="I126" s="115"/>
      <c r="J126" s="115"/>
      <c r="K126" s="115"/>
      <c r="L126" s="115"/>
      <c r="M126" s="115"/>
      <c r="N126" s="115"/>
      <c r="O126" s="115"/>
      <c r="P126" s="115"/>
      <c r="Q126" s="381"/>
    </row>
    <row r="127" spans="1:17" ht="12.75" customHeight="1" x14ac:dyDescent="0.25">
      <c r="A127" s="306"/>
      <c r="B127" s="115"/>
      <c r="C127" s="115"/>
      <c r="D127" s="384">
        <v>41100</v>
      </c>
      <c r="E127" s="115" t="s">
        <v>541</v>
      </c>
      <c r="F127" s="115"/>
      <c r="G127" s="114"/>
      <c r="H127" s="114"/>
      <c r="I127" s="115"/>
      <c r="J127" s="115"/>
      <c r="K127" s="115"/>
      <c r="L127" s="115"/>
      <c r="M127" s="115"/>
      <c r="N127" s="115"/>
      <c r="O127" s="115"/>
      <c r="P127" s="115"/>
      <c r="Q127" s="115"/>
    </row>
    <row r="128" spans="1:17" ht="12.75" customHeight="1" x14ac:dyDescent="0.25">
      <c r="A128" s="306"/>
      <c r="B128" s="115"/>
      <c r="C128" s="115"/>
      <c r="D128" s="384"/>
      <c r="E128" s="398" t="s">
        <v>2672</v>
      </c>
      <c r="F128" s="115"/>
      <c r="G128" s="114"/>
      <c r="H128" s="114"/>
      <c r="I128" s="114"/>
      <c r="J128" s="114">
        <v>0</v>
      </c>
      <c r="K128" s="114">
        <v>0</v>
      </c>
      <c r="L128" s="114">
        <f t="shared" ref="L128:O130" si="32">ROUND(K128*T$3,0)</f>
        <v>0</v>
      </c>
      <c r="M128" s="114">
        <f t="shared" si="32"/>
        <v>0</v>
      </c>
      <c r="N128" s="114">
        <f t="shared" si="32"/>
        <v>0</v>
      </c>
      <c r="O128" s="114">
        <f t="shared" si="32"/>
        <v>0</v>
      </c>
      <c r="P128" s="115"/>
      <c r="Q128" s="115"/>
    </row>
    <row r="129" spans="1:17" ht="12.75" customHeight="1" x14ac:dyDescent="0.25">
      <c r="A129" s="306"/>
      <c r="B129" s="115"/>
      <c r="C129" s="115"/>
      <c r="D129" s="384"/>
      <c r="E129" s="308" t="s">
        <v>706</v>
      </c>
      <c r="F129" s="115"/>
      <c r="G129" s="114"/>
      <c r="H129" s="114"/>
      <c r="I129" s="115"/>
      <c r="J129" s="114">
        <v>0</v>
      </c>
      <c r="K129" s="114">
        <v>0</v>
      </c>
      <c r="L129" s="114">
        <f t="shared" si="32"/>
        <v>0</v>
      </c>
      <c r="M129" s="114">
        <f t="shared" si="32"/>
        <v>0</v>
      </c>
      <c r="N129" s="114">
        <f t="shared" si="32"/>
        <v>0</v>
      </c>
      <c r="O129" s="114">
        <f t="shared" si="32"/>
        <v>0</v>
      </c>
      <c r="P129" s="115"/>
      <c r="Q129" s="115"/>
    </row>
    <row r="130" spans="1:17" ht="12.75" customHeight="1" x14ac:dyDescent="0.25">
      <c r="A130" s="306"/>
      <c r="B130" s="115"/>
      <c r="C130" s="115"/>
      <c r="D130" s="384"/>
      <c r="E130" s="308" t="s">
        <v>3089</v>
      </c>
      <c r="F130" s="115"/>
      <c r="G130" s="114"/>
      <c r="H130" s="114"/>
      <c r="I130" s="115"/>
      <c r="J130" s="114">
        <v>2592.4899999999998</v>
      </c>
      <c r="K130" s="114">
        <v>2452.5100000000002</v>
      </c>
      <c r="L130" s="114">
        <f t="shared" si="32"/>
        <v>2556</v>
      </c>
      <c r="M130" s="114">
        <f t="shared" si="32"/>
        <v>2651</v>
      </c>
      <c r="N130" s="114">
        <f t="shared" si="32"/>
        <v>2749</v>
      </c>
      <c r="O130" s="114">
        <f t="shared" si="32"/>
        <v>2851</v>
      </c>
      <c r="P130" s="115"/>
      <c r="Q130" s="115"/>
    </row>
    <row r="131" spans="1:17" ht="12.75" customHeight="1" thickBot="1" x14ac:dyDescent="0.3">
      <c r="A131" s="306"/>
      <c r="B131" s="115"/>
      <c r="C131" s="115"/>
      <c r="D131" s="384"/>
      <c r="E131" s="115" t="str">
        <f>"Totaal "&amp;D127</f>
        <v>Totaal 41100</v>
      </c>
      <c r="F131" s="115"/>
      <c r="G131" s="114"/>
      <c r="H131" s="114"/>
      <c r="I131" s="115"/>
      <c r="J131" s="1882">
        <v>2592.4899999999998</v>
      </c>
      <c r="K131" s="1882">
        <v>2452.5100000000002</v>
      </c>
      <c r="L131" s="1882">
        <f t="shared" ref="L131:M131" si="33">SUM(L127:L130)</f>
        <v>2556</v>
      </c>
      <c r="M131" s="1882">
        <f t="shared" si="33"/>
        <v>2651</v>
      </c>
      <c r="N131" s="1882">
        <f t="shared" ref="N131:O131" si="34">SUM(N127:N130)</f>
        <v>2749</v>
      </c>
      <c r="O131" s="1882">
        <f t="shared" si="34"/>
        <v>2851</v>
      </c>
      <c r="P131" s="115"/>
      <c r="Q131" s="115"/>
    </row>
    <row r="132" spans="1:17" ht="12.75" customHeight="1" thickTop="1" x14ac:dyDescent="0.25">
      <c r="A132" s="306"/>
      <c r="B132" s="115"/>
      <c r="C132" s="115"/>
      <c r="D132" s="384"/>
      <c r="E132" s="115"/>
      <c r="F132" s="115"/>
      <c r="G132" s="114"/>
      <c r="H132" s="114"/>
      <c r="I132" s="115"/>
      <c r="J132" s="235"/>
      <c r="K132" s="235"/>
      <c r="L132" s="235"/>
      <c r="M132" s="235"/>
      <c r="N132" s="235"/>
      <c r="O132" s="235"/>
      <c r="P132" s="115"/>
      <c r="Q132" s="115"/>
    </row>
    <row r="134" spans="1:17" ht="12.75" customHeight="1" x14ac:dyDescent="0.25">
      <c r="A134" s="306"/>
      <c r="B134" s="115"/>
      <c r="C134" s="115"/>
      <c r="D134" s="143">
        <v>47300</v>
      </c>
      <c r="E134" s="114" t="s">
        <v>3090</v>
      </c>
      <c r="F134" s="115"/>
      <c r="G134" s="114"/>
      <c r="H134" s="114"/>
      <c r="I134" s="115"/>
      <c r="J134" s="114">
        <v>5000</v>
      </c>
      <c r="K134" s="114">
        <v>0</v>
      </c>
      <c r="L134" s="114">
        <v>0</v>
      </c>
      <c r="M134" s="114">
        <v>0</v>
      </c>
      <c r="N134" s="114">
        <v>0</v>
      </c>
      <c r="O134" s="114">
        <v>0</v>
      </c>
      <c r="P134" s="114"/>
      <c r="Q134" s="115"/>
    </row>
    <row r="135" spans="1:17" ht="12.75" customHeight="1" x14ac:dyDescent="0.25">
      <c r="A135" s="306"/>
      <c r="B135" s="115"/>
      <c r="C135" s="115"/>
      <c r="D135" s="301"/>
      <c r="E135" s="301"/>
      <c r="F135" s="143"/>
      <c r="G135" s="115"/>
      <c r="H135" s="115"/>
      <c r="I135" s="115"/>
      <c r="J135" s="114"/>
      <c r="K135" s="114"/>
      <c r="L135" s="114"/>
      <c r="M135" s="114"/>
      <c r="N135" s="114"/>
      <c r="O135" s="114"/>
      <c r="P135" s="114"/>
      <c r="Q135" s="115"/>
    </row>
    <row r="136" spans="1:17" ht="12.75" customHeight="1" thickBot="1" x14ac:dyDescent="0.3">
      <c r="A136" s="306"/>
      <c r="B136" s="115"/>
      <c r="C136" s="115"/>
      <c r="D136" s="301"/>
      <c r="E136" s="114" t="s">
        <v>1013</v>
      </c>
      <c r="F136" s="115"/>
      <c r="G136" s="114"/>
      <c r="H136" s="114"/>
      <c r="I136" s="115"/>
      <c r="J136" s="1744">
        <v>5000</v>
      </c>
      <c r="K136" s="1744">
        <v>0</v>
      </c>
      <c r="L136" s="1744">
        <f t="shared" ref="L136:M136" si="35">+L134</f>
        <v>0</v>
      </c>
      <c r="M136" s="1744">
        <f t="shared" si="35"/>
        <v>0</v>
      </c>
      <c r="N136" s="1744">
        <f t="shared" ref="N136:O136" si="36">+N134</f>
        <v>0</v>
      </c>
      <c r="O136" s="1744">
        <f t="shared" si="36"/>
        <v>0</v>
      </c>
      <c r="P136" s="115"/>
      <c r="Q136" s="115"/>
    </row>
    <row r="137" spans="1:17" ht="12.75" customHeight="1" thickTop="1" x14ac:dyDescent="0.25">
      <c r="A137" s="306"/>
      <c r="B137" s="115"/>
      <c r="C137" s="115"/>
      <c r="D137" s="301"/>
      <c r="E137" s="301"/>
      <c r="F137" s="143"/>
      <c r="G137" s="115"/>
      <c r="H137" s="115"/>
      <c r="I137" s="115"/>
      <c r="J137" s="115"/>
      <c r="K137" s="115"/>
      <c r="L137" s="115"/>
      <c r="M137" s="115"/>
      <c r="N137" s="115"/>
      <c r="O137" s="115"/>
      <c r="P137" s="115"/>
      <c r="Q137" s="115"/>
    </row>
    <row r="395" spans="9:9" ht="12.75" customHeight="1" x14ac:dyDescent="0.25">
      <c r="I395" s="115"/>
    </row>
  </sheetData>
  <mergeCells count="3">
    <mergeCell ref="D56:D57"/>
    <mergeCell ref="F56:F57"/>
    <mergeCell ref="G56:H57"/>
  </mergeCells>
  <hyperlinks>
    <hyperlink ref="A1" location="Inhoudsopgave!A1" display="Inhoudsopgave" xr:uid="{41025DD8-A4B9-4209-8F74-00DCB8D8E32B}"/>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82" min="3" max="14"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A62-63CD-4901-92EB-97D20EBD77B4}">
  <sheetPr codeName="Blad20"/>
  <dimension ref="A1:W332"/>
  <sheetViews>
    <sheetView showGridLines="0" view="pageBreakPreview" topLeftCell="A253" zoomScaleNormal="100" zoomScaleSheetLayoutView="100" workbookViewId="0">
      <selection activeCell="L279" sqref="L279"/>
    </sheetView>
  </sheetViews>
  <sheetFormatPr defaultColWidth="9.109375" defaultRowHeight="12.75" customHeight="1" x14ac:dyDescent="0.25"/>
  <cols>
    <col min="1" max="1" width="8" style="306" bestFit="1" customWidth="1"/>
    <col min="2" max="3" width="22.33203125" style="115" customWidth="1"/>
    <col min="4" max="4" width="9.6640625" style="301" customWidth="1"/>
    <col min="5" max="6" width="9.6640625" style="143" customWidth="1"/>
    <col min="7" max="9" width="12.6640625" style="115" customWidth="1"/>
    <col min="10" max="14" width="11.6640625" style="115" customWidth="1"/>
    <col min="15" max="15" width="12.33203125" style="115" customWidth="1"/>
    <col min="16" max="16" width="12.6640625" style="115" customWidth="1"/>
    <col min="17" max="17" width="13.109375" style="115" bestFit="1" customWidth="1"/>
    <col min="18" max="19" width="13.6640625" style="115" bestFit="1" customWidth="1"/>
    <col min="20" max="20" width="13.109375" style="115" bestFit="1" customWidth="1"/>
    <col min="21" max="21" width="12.88671875" style="115" customWidth="1"/>
    <col min="22" max="22" width="12.44140625" style="115" customWidth="1"/>
    <col min="23" max="24" width="10.33203125" style="115" bestFit="1" customWidth="1"/>
    <col min="25"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3091</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3092</v>
      </c>
    </row>
    <row r="26" spans="4:20" ht="12.75" customHeight="1" x14ac:dyDescent="0.25">
      <c r="D26" s="452" t="s">
        <v>507</v>
      </c>
      <c r="E26" s="438"/>
      <c r="F26" s="438"/>
      <c r="G26" s="453"/>
      <c r="H26" s="453"/>
      <c r="I26" s="453"/>
      <c r="J26" s="453"/>
      <c r="K26" s="453"/>
      <c r="L26" s="453"/>
      <c r="M26" s="453"/>
      <c r="N26" s="453"/>
      <c r="O26" s="453"/>
      <c r="P26" s="453"/>
    </row>
    <row r="27" spans="4:20" ht="12.75" customHeight="1" x14ac:dyDescent="0.25">
      <c r="D27" s="438"/>
      <c r="E27" s="438"/>
      <c r="F27" s="438"/>
      <c r="G27" s="453"/>
      <c r="H27" s="453"/>
      <c r="I27" s="453"/>
      <c r="J27" s="453"/>
      <c r="K27" s="453"/>
      <c r="L27" s="453"/>
      <c r="M27" s="453"/>
      <c r="N27" s="453"/>
      <c r="O27" s="453"/>
      <c r="P27" s="453"/>
    </row>
    <row r="28" spans="4:20" ht="12.75" customHeight="1" x14ac:dyDescent="0.25">
      <c r="D28" s="1746" t="s">
        <v>508</v>
      </c>
      <c r="E28" s="1747"/>
      <c r="F28" s="1806"/>
      <c r="G28" s="1748"/>
      <c r="H28" s="1748"/>
      <c r="I28" s="1749"/>
      <c r="J28" s="1749">
        <v>2025</v>
      </c>
      <c r="K28" s="1749">
        <v>2026</v>
      </c>
      <c r="L28" s="1749">
        <v>2027</v>
      </c>
      <c r="M28" s="1749">
        <v>2028</v>
      </c>
      <c r="N28" s="1749">
        <v>2029</v>
      </c>
      <c r="O28" s="1749">
        <v>2030</v>
      </c>
      <c r="P28" s="527"/>
    </row>
    <row r="29" spans="4:20" ht="12.75" customHeight="1" x14ac:dyDescent="0.3">
      <c r="D29" s="454" t="str">
        <f>G67</f>
        <v>Bevorderen ondernemersklimaat</v>
      </c>
      <c r="E29" s="455"/>
      <c r="F29" s="516"/>
      <c r="G29" s="453"/>
      <c r="H29" s="453"/>
      <c r="I29" s="518"/>
      <c r="J29" s="457">
        <v>27105</v>
      </c>
      <c r="K29" s="457">
        <f t="shared" ref="K29" si="0">K70</f>
        <v>27830</v>
      </c>
      <c r="L29" s="457">
        <f t="shared" ref="L29:M29" si="1">L70</f>
        <v>28441</v>
      </c>
      <c r="M29" s="457">
        <f t="shared" si="1"/>
        <v>29077</v>
      </c>
      <c r="N29" s="457">
        <f t="shared" ref="N29:O29" si="2">N70</f>
        <v>29718</v>
      </c>
      <c r="O29" s="457">
        <f t="shared" si="2"/>
        <v>30365</v>
      </c>
      <c r="P29" s="469"/>
      <c r="Q29" s="37"/>
      <c r="R29" s="37"/>
      <c r="S29" s="37"/>
      <c r="T29" s="37"/>
    </row>
    <row r="30" spans="4:20" ht="12.75" customHeight="1" x14ac:dyDescent="0.3">
      <c r="D30" s="454" t="str">
        <f>G72</f>
        <v>Centrummanagement</v>
      </c>
      <c r="E30" s="455"/>
      <c r="F30" s="516"/>
      <c r="G30" s="453"/>
      <c r="H30" s="453"/>
      <c r="I30" s="518"/>
      <c r="J30" s="15">
        <v>90840</v>
      </c>
      <c r="K30" s="15">
        <f t="shared" ref="K30" si="3">K76</f>
        <v>0</v>
      </c>
      <c r="L30" s="15">
        <f t="shared" ref="L30:M30" si="4">L76</f>
        <v>-200</v>
      </c>
      <c r="M30" s="15">
        <f t="shared" si="4"/>
        <v>-800</v>
      </c>
      <c r="N30" s="15">
        <f t="shared" ref="N30:O30" si="5">N76</f>
        <v>-1499.9431850353867</v>
      </c>
      <c r="O30" s="15">
        <f t="shared" si="5"/>
        <v>0</v>
      </c>
      <c r="P30" s="38"/>
      <c r="Q30" s="37"/>
      <c r="R30" s="37"/>
      <c r="S30" s="37"/>
      <c r="T30" s="37"/>
    </row>
    <row r="31" spans="4:20" ht="12.75" customHeight="1" x14ac:dyDescent="0.3">
      <c r="D31" s="454" t="str">
        <f>G78</f>
        <v>Basisfinanciering brainport development</v>
      </c>
      <c r="E31" s="455"/>
      <c r="F31" s="516"/>
      <c r="G31" s="453"/>
      <c r="H31" s="453"/>
      <c r="I31" s="518"/>
      <c r="J31" s="15">
        <v>226933</v>
      </c>
      <c r="K31" s="15">
        <f t="shared" ref="K31" si="6">K82</f>
        <v>232833</v>
      </c>
      <c r="L31" s="15">
        <f t="shared" ref="L31:M31" si="7">L82</f>
        <v>225222</v>
      </c>
      <c r="M31" s="15">
        <f t="shared" si="7"/>
        <v>230402</v>
      </c>
      <c r="N31" s="15">
        <f t="shared" ref="N31:O31" si="8">N82</f>
        <v>235701</v>
      </c>
      <c r="O31" s="15">
        <f t="shared" si="8"/>
        <v>241122</v>
      </c>
      <c r="P31" s="38"/>
      <c r="Q31" s="37"/>
      <c r="R31" s="37"/>
      <c r="S31" s="37"/>
      <c r="T31" s="37"/>
    </row>
    <row r="32" spans="4:20" ht="12.75" customHeight="1" x14ac:dyDescent="0.3">
      <c r="D32" s="454" t="str">
        <f>G84</f>
        <v>Internationale school Eindhoven</v>
      </c>
      <c r="E32" s="455"/>
      <c r="F32" s="516"/>
      <c r="G32" s="453"/>
      <c r="H32" s="453"/>
      <c r="I32" s="518"/>
      <c r="J32" s="457">
        <v>30382</v>
      </c>
      <c r="K32" s="457">
        <f t="shared" ref="K32" si="9">K87</f>
        <v>31172</v>
      </c>
      <c r="L32" s="457">
        <f t="shared" ref="L32:M32" si="10">L87</f>
        <v>31827</v>
      </c>
      <c r="M32" s="457">
        <f t="shared" si="10"/>
        <v>32559</v>
      </c>
      <c r="N32" s="457">
        <f t="shared" ref="N32:O32" si="11">N87</f>
        <v>33308</v>
      </c>
      <c r="O32" s="457">
        <f t="shared" si="11"/>
        <v>34074</v>
      </c>
      <c r="P32" s="469"/>
      <c r="Q32" s="37"/>
      <c r="R32" s="37"/>
      <c r="S32" s="37"/>
      <c r="T32" s="37"/>
    </row>
    <row r="33" spans="4:20" ht="12.75" customHeight="1" x14ac:dyDescent="0.3">
      <c r="D33" s="454" t="str">
        <f>G129</f>
        <v>Directe toerekening economische ontwikkeling</v>
      </c>
      <c r="E33" s="455"/>
      <c r="F33" s="516"/>
      <c r="G33" s="453"/>
      <c r="H33" s="453"/>
      <c r="I33" s="518"/>
      <c r="J33" s="15">
        <v>182104</v>
      </c>
      <c r="K33" s="15">
        <f>K133</f>
        <v>196836.7</v>
      </c>
      <c r="L33" s="15">
        <f>L133</f>
        <v>205104</v>
      </c>
      <c r="M33" s="15">
        <f>M133</f>
        <v>212693</v>
      </c>
      <c r="N33" s="15">
        <f>N133</f>
        <v>220563</v>
      </c>
      <c r="O33" s="15">
        <f>O133</f>
        <v>228724</v>
      </c>
      <c r="P33" s="38"/>
      <c r="Q33" s="37"/>
      <c r="R33" s="37"/>
      <c r="S33" s="37"/>
      <c r="T33" s="37"/>
    </row>
    <row r="34" spans="4:20" ht="12.75" customHeight="1" x14ac:dyDescent="0.3">
      <c r="D34" s="454" t="s">
        <v>3093</v>
      </c>
      <c r="E34" s="455"/>
      <c r="F34" s="516"/>
      <c r="G34" s="453"/>
      <c r="H34" s="453"/>
      <c r="I34" s="518"/>
      <c r="J34" s="15">
        <v>27874.5</v>
      </c>
      <c r="K34" s="15">
        <f>+K95</f>
        <v>28603.86</v>
      </c>
      <c r="L34" s="15">
        <f>+L95</f>
        <v>29202.53</v>
      </c>
      <c r="M34" s="15">
        <f>+M95</f>
        <v>29872.11</v>
      </c>
      <c r="N34" s="15">
        <f>+N95</f>
        <v>30591.1</v>
      </c>
      <c r="O34" s="15">
        <f>+O95</f>
        <v>31291.759999999998</v>
      </c>
      <c r="P34" s="38"/>
      <c r="Q34" s="37"/>
      <c r="R34" s="37"/>
      <c r="S34" s="37"/>
      <c r="T34" s="37"/>
    </row>
    <row r="35" spans="4:20" ht="12.75" customHeight="1" x14ac:dyDescent="0.3">
      <c r="D35" s="454" t="s">
        <v>3094</v>
      </c>
      <c r="E35" s="455"/>
      <c r="F35" s="516"/>
      <c r="G35" s="453"/>
      <c r="H35" s="453"/>
      <c r="I35" s="518"/>
      <c r="J35" s="15">
        <v>146572.94</v>
      </c>
      <c r="K35" s="15">
        <f>+K138</f>
        <v>114331</v>
      </c>
      <c r="L35" s="15">
        <f>+L138</f>
        <v>119133</v>
      </c>
      <c r="M35" s="15">
        <f>+M138</f>
        <v>123541</v>
      </c>
      <c r="N35" s="15">
        <f>+N138</f>
        <v>128112</v>
      </c>
      <c r="O35" s="15">
        <f>+O138</f>
        <v>132852</v>
      </c>
      <c r="P35" s="38"/>
      <c r="Q35" s="37"/>
      <c r="R35" s="37"/>
      <c r="S35" s="37"/>
      <c r="T35" s="37"/>
    </row>
    <row r="36" spans="4:20" ht="12.75" customHeight="1" x14ac:dyDescent="0.3">
      <c r="D36" s="454" t="s">
        <v>3095</v>
      </c>
      <c r="E36" s="455"/>
      <c r="F36" s="516"/>
      <c r="G36" s="453"/>
      <c r="H36" s="453"/>
      <c r="I36" s="518"/>
      <c r="J36" s="15">
        <v>1490</v>
      </c>
      <c r="K36" s="15">
        <f>+K275</f>
        <v>1529</v>
      </c>
      <c r="L36" s="15">
        <f>+L275</f>
        <v>1561</v>
      </c>
      <c r="M36" s="15">
        <f>+M275</f>
        <v>1597</v>
      </c>
      <c r="N36" s="15">
        <f t="shared" ref="N36:O36" si="12">+N275</f>
        <v>1634</v>
      </c>
      <c r="O36" s="15">
        <f t="shared" si="12"/>
        <v>1671</v>
      </c>
      <c r="P36" s="38"/>
      <c r="Q36" s="37"/>
      <c r="R36" s="37"/>
      <c r="S36" s="37"/>
      <c r="T36" s="37"/>
    </row>
    <row r="37" spans="4:20" ht="12.75" customHeight="1" x14ac:dyDescent="0.3">
      <c r="D37" s="319" t="s">
        <v>3096</v>
      </c>
      <c r="E37" s="455"/>
      <c r="F37" s="516"/>
      <c r="G37" s="453"/>
      <c r="H37" s="453"/>
      <c r="I37" s="518"/>
      <c r="J37" s="39">
        <v>0</v>
      </c>
      <c r="K37" s="39">
        <f t="shared" ref="K37" si="13">+K100</f>
        <v>0</v>
      </c>
      <c r="L37" s="39">
        <f t="shared" ref="L37:M37" si="14">+L100</f>
        <v>0</v>
      </c>
      <c r="M37" s="39">
        <f t="shared" si="14"/>
        <v>0</v>
      </c>
      <c r="N37" s="39">
        <f t="shared" ref="N37:O37" si="15">+N100</f>
        <v>-2</v>
      </c>
      <c r="O37" s="39">
        <f t="shared" si="15"/>
        <v>-2</v>
      </c>
      <c r="P37" s="38"/>
      <c r="Q37" s="37"/>
      <c r="R37" s="37"/>
      <c r="S37" s="37"/>
      <c r="T37" s="37"/>
    </row>
    <row r="38" spans="4:20" ht="12.75" customHeight="1" x14ac:dyDescent="0.3">
      <c r="D38" s="454" t="s">
        <v>3097</v>
      </c>
      <c r="E38" s="455"/>
      <c r="F38" s="516"/>
      <c r="G38" s="453"/>
      <c r="H38" s="453"/>
      <c r="I38" s="518"/>
      <c r="J38" s="39">
        <v>30840</v>
      </c>
      <c r="K38" s="39">
        <f t="shared" ref="K38" si="16">K105</f>
        <v>31642</v>
      </c>
      <c r="L38" s="39">
        <f t="shared" ref="L38:M38" si="17">L105</f>
        <v>32306</v>
      </c>
      <c r="M38" s="39">
        <f t="shared" si="17"/>
        <v>33049</v>
      </c>
      <c r="N38" s="39">
        <f t="shared" ref="N38:O38" si="18">N105</f>
        <v>33809</v>
      </c>
      <c r="O38" s="39">
        <f t="shared" si="18"/>
        <v>34587</v>
      </c>
      <c r="P38" s="38"/>
      <c r="Q38" s="37"/>
      <c r="R38" s="37"/>
      <c r="S38" s="37"/>
      <c r="T38" s="37"/>
    </row>
    <row r="39" spans="4:20" ht="12.75" customHeight="1" x14ac:dyDescent="0.3">
      <c r="D39" s="454" t="str">
        <f>G107</f>
        <v>Cameratoezicht bedrijventerreinen</v>
      </c>
      <c r="E39" s="455"/>
      <c r="F39" s="516"/>
      <c r="G39" s="453"/>
      <c r="H39" s="453"/>
      <c r="I39" s="518"/>
      <c r="J39" s="39">
        <f>J110</f>
        <v>0</v>
      </c>
      <c r="K39" s="39">
        <f t="shared" ref="K39" si="19">K110</f>
        <v>250000</v>
      </c>
      <c r="L39" s="39">
        <f t="shared" ref="L39:O39" si="20">L110</f>
        <v>0</v>
      </c>
      <c r="M39" s="39">
        <f t="shared" si="20"/>
        <v>0</v>
      </c>
      <c r="N39" s="39">
        <f t="shared" si="20"/>
        <v>0</v>
      </c>
      <c r="O39" s="39">
        <f t="shared" si="20"/>
        <v>0</v>
      </c>
      <c r="P39" s="38"/>
      <c r="Q39" s="37"/>
      <c r="R39" s="37"/>
      <c r="S39" s="37"/>
      <c r="T39" s="37"/>
    </row>
    <row r="40" spans="4:20" ht="12.75" customHeight="1" x14ac:dyDescent="0.3">
      <c r="D40" s="461" t="s">
        <v>154</v>
      </c>
      <c r="E40" s="455"/>
      <c r="F40" s="516"/>
      <c r="G40" s="453"/>
      <c r="H40" s="453"/>
      <c r="I40" s="518"/>
      <c r="J40" s="39">
        <v>370000</v>
      </c>
      <c r="K40" s="39">
        <f t="shared" ref="K40" si="21">+K115</f>
        <v>440800</v>
      </c>
      <c r="L40" s="39">
        <f t="shared" ref="L40:N40" si="22">+L115</f>
        <v>450100</v>
      </c>
      <c r="M40" s="39">
        <f t="shared" si="22"/>
        <v>460500</v>
      </c>
      <c r="N40" s="39">
        <f t="shared" si="22"/>
        <v>471000</v>
      </c>
      <c r="O40" s="39">
        <f t="shared" ref="O40" si="23">+O115</f>
        <v>481500</v>
      </c>
      <c r="P40" s="38"/>
      <c r="Q40" s="37"/>
      <c r="R40" s="37"/>
      <c r="S40" s="37"/>
      <c r="T40" s="37"/>
    </row>
    <row r="41" spans="4:20" ht="12.75" customHeight="1" x14ac:dyDescent="0.25">
      <c r="D41" s="454"/>
      <c r="E41" s="455"/>
      <c r="F41" s="516"/>
      <c r="G41" s="453"/>
      <c r="H41" s="453"/>
      <c r="I41" s="518"/>
      <c r="J41" s="39"/>
      <c r="K41" s="39"/>
      <c r="L41" s="39"/>
      <c r="M41" s="39"/>
      <c r="N41" s="39"/>
      <c r="O41" s="39"/>
      <c r="P41" s="38"/>
    </row>
    <row r="42" spans="4:20" ht="12.75" customHeight="1" x14ac:dyDescent="0.25">
      <c r="D42" s="454"/>
      <c r="E42" s="455"/>
      <c r="F42" s="516"/>
      <c r="G42" s="453"/>
      <c r="H42" s="453"/>
      <c r="I42" s="518"/>
      <c r="J42" s="40"/>
      <c r="K42" s="40"/>
      <c r="L42" s="40"/>
      <c r="M42" s="40"/>
      <c r="N42" s="40"/>
      <c r="O42" s="40"/>
      <c r="P42" s="38"/>
    </row>
    <row r="43" spans="4:20" ht="12.75" customHeight="1" x14ac:dyDescent="0.3">
      <c r="D43" s="1751" t="s">
        <v>525</v>
      </c>
      <c r="E43" s="1752"/>
      <c r="F43" s="1771"/>
      <c r="G43" s="1754"/>
      <c r="H43" s="1754"/>
      <c r="I43" s="1757"/>
      <c r="J43" s="1883">
        <v>1134141.4399999999</v>
      </c>
      <c r="K43" s="1883">
        <f>SUM(K29:K42)</f>
        <v>1355577.56</v>
      </c>
      <c r="L43" s="1883">
        <f>SUM(L29:L42)</f>
        <v>1122696.53</v>
      </c>
      <c r="M43" s="1883">
        <f>SUM(M29:M42)</f>
        <v>1152490.1099999999</v>
      </c>
      <c r="N43" s="1883">
        <f>SUM(N29:N42)</f>
        <v>1182934.1568149645</v>
      </c>
      <c r="O43" s="1883">
        <f>SUM(O29:O42)</f>
        <v>1216184.76</v>
      </c>
      <c r="P43" s="38"/>
      <c r="Q43" s="37"/>
      <c r="R43" s="37"/>
      <c r="S43" s="37"/>
      <c r="T43" s="37"/>
    </row>
    <row r="44" spans="4:20" ht="12.75" customHeight="1" x14ac:dyDescent="0.25">
      <c r="D44" s="438"/>
      <c r="E44" s="455"/>
      <c r="F44" s="516"/>
      <c r="G44" s="453"/>
      <c r="H44" s="453"/>
      <c r="I44" s="453"/>
      <c r="J44" s="453"/>
      <c r="K44" s="453"/>
      <c r="L44" s="453"/>
      <c r="M44" s="453"/>
      <c r="N44" s="453"/>
      <c r="O44" s="453"/>
      <c r="P44" s="453"/>
    </row>
    <row r="45" spans="4:20" ht="12.75" customHeight="1" x14ac:dyDescent="0.25">
      <c r="D45" s="1746" t="s">
        <v>526</v>
      </c>
      <c r="E45" s="1747"/>
      <c r="F45" s="1806"/>
      <c r="G45" s="1748"/>
      <c r="H45" s="1748"/>
      <c r="I45" s="1749"/>
      <c r="J45" s="1749">
        <v>2025</v>
      </c>
      <c r="K45" s="1749">
        <v>2026</v>
      </c>
      <c r="L45" s="1749">
        <v>2027</v>
      </c>
      <c r="M45" s="1749">
        <v>2028</v>
      </c>
      <c r="N45" s="1749">
        <v>2029</v>
      </c>
      <c r="O45" s="1749">
        <v>2030</v>
      </c>
      <c r="P45" s="527"/>
    </row>
    <row r="46" spans="4:20" ht="12.75" customHeight="1" x14ac:dyDescent="0.3">
      <c r="D46" s="454" t="s">
        <v>3098</v>
      </c>
      <c r="E46" s="455"/>
      <c r="F46" s="516"/>
      <c r="G46" s="453"/>
      <c r="H46" s="453"/>
      <c r="I46" s="518"/>
      <c r="J46" s="457">
        <v>-140032</v>
      </c>
      <c r="K46" s="457">
        <f>+K127</f>
        <v>-143673</v>
      </c>
      <c r="L46" s="457">
        <f>+L127</f>
        <v>-146690</v>
      </c>
      <c r="M46" s="457">
        <f>+M127</f>
        <v>-150064</v>
      </c>
      <c r="N46" s="457">
        <f>+N127</f>
        <v>-153515</v>
      </c>
      <c r="O46" s="457">
        <f>+O127</f>
        <v>-157046</v>
      </c>
      <c r="P46" s="469"/>
      <c r="Q46" s="37"/>
      <c r="R46" s="37"/>
      <c r="S46" s="37"/>
      <c r="T46" s="37"/>
    </row>
    <row r="47" spans="4:20" ht="12.75" customHeight="1" x14ac:dyDescent="0.3">
      <c r="D47" s="454" t="s">
        <v>3095</v>
      </c>
      <c r="E47" s="455"/>
      <c r="F47" s="516"/>
      <c r="G47" s="453"/>
      <c r="H47" s="453"/>
      <c r="I47" s="518"/>
      <c r="J47" s="457">
        <v>-60</v>
      </c>
      <c r="K47" s="457">
        <f t="shared" ref="K47" si="24">+K122</f>
        <v>-60</v>
      </c>
      <c r="L47" s="457">
        <f t="shared" ref="L47:M47" si="25">+L122</f>
        <v>-61</v>
      </c>
      <c r="M47" s="457">
        <f t="shared" si="25"/>
        <v>-62</v>
      </c>
      <c r="N47" s="457">
        <f t="shared" ref="N47:O47" si="26">+N122</f>
        <v>-63</v>
      </c>
      <c r="O47" s="457">
        <f t="shared" si="26"/>
        <v>-64</v>
      </c>
      <c r="P47" s="469"/>
      <c r="Q47" s="37"/>
      <c r="R47" s="37"/>
      <c r="S47" s="37"/>
      <c r="T47" s="37"/>
    </row>
    <row r="48" spans="4:20" ht="12.75" customHeight="1" x14ac:dyDescent="0.3">
      <c r="D48" s="454"/>
      <c r="E48" s="455"/>
      <c r="F48" s="516"/>
      <c r="G48" s="453"/>
      <c r="H48" s="453"/>
      <c r="I48" s="518"/>
      <c r="J48" s="463"/>
      <c r="K48" s="463"/>
      <c r="L48" s="463"/>
      <c r="M48" s="463"/>
      <c r="N48" s="463"/>
      <c r="O48" s="463"/>
      <c r="P48" s="469"/>
      <c r="Q48" s="37"/>
      <c r="R48" s="37"/>
      <c r="S48" s="37"/>
      <c r="T48" s="37"/>
    </row>
    <row r="49" spans="1:23" ht="12.75" customHeight="1" x14ac:dyDescent="0.3">
      <c r="D49" s="454"/>
      <c r="E49" s="455"/>
      <c r="F49" s="516"/>
      <c r="G49" s="453"/>
      <c r="H49" s="453"/>
      <c r="I49" s="518"/>
      <c r="J49" s="463"/>
      <c r="K49" s="463"/>
      <c r="L49" s="463"/>
      <c r="M49" s="463"/>
      <c r="N49" s="463"/>
      <c r="O49" s="463"/>
      <c r="P49" s="469"/>
      <c r="Q49" s="37"/>
      <c r="R49" s="37"/>
      <c r="S49" s="37"/>
      <c r="T49" s="37"/>
    </row>
    <row r="50" spans="1:23" ht="12.75" customHeight="1" x14ac:dyDescent="0.3">
      <c r="D50" s="464"/>
      <c r="E50" s="465"/>
      <c r="F50" s="1015"/>
      <c r="G50" s="467"/>
      <c r="H50" s="467"/>
      <c r="I50" s="518"/>
      <c r="J50" s="463"/>
      <c r="K50" s="463"/>
      <c r="L50" s="463"/>
      <c r="M50" s="463"/>
      <c r="N50" s="463"/>
      <c r="O50" s="463"/>
      <c r="P50" s="469"/>
      <c r="Q50" s="37"/>
      <c r="R50" s="37"/>
      <c r="S50" s="37"/>
      <c r="T50" s="37"/>
    </row>
    <row r="51" spans="1:23" ht="12.75" customHeight="1" x14ac:dyDescent="0.3">
      <c r="D51" s="1751" t="s">
        <v>328</v>
      </c>
      <c r="E51" s="1752"/>
      <c r="F51" s="1771"/>
      <c r="G51" s="1754"/>
      <c r="H51" s="1754"/>
      <c r="I51" s="1757"/>
      <c r="J51" s="1883">
        <v>-140092</v>
      </c>
      <c r="K51" s="1883">
        <f>SUM(K46:K50)</f>
        <v>-143733</v>
      </c>
      <c r="L51" s="1883">
        <f>SUM(L46:L50)</f>
        <v>-146751</v>
      </c>
      <c r="M51" s="1883">
        <f>SUM(M46:M50)</f>
        <v>-150126</v>
      </c>
      <c r="N51" s="1883">
        <f>SUM(N46:N50)</f>
        <v>-153578</v>
      </c>
      <c r="O51" s="1883">
        <f>SUM(O46:O50)</f>
        <v>-157110</v>
      </c>
      <c r="P51" s="38"/>
      <c r="Q51" s="37"/>
      <c r="R51" s="37"/>
      <c r="S51" s="37"/>
      <c r="T51" s="37"/>
    </row>
    <row r="52" spans="1:23" ht="12.75" customHeight="1" x14ac:dyDescent="0.25">
      <c r="D52" s="438"/>
      <c r="E52" s="455"/>
      <c r="F52" s="516"/>
      <c r="G52" s="453"/>
      <c r="H52" s="453"/>
      <c r="I52" s="453"/>
      <c r="J52" s="469"/>
      <c r="K52" s="469"/>
      <c r="L52" s="469"/>
      <c r="M52" s="469"/>
      <c r="N52" s="469"/>
      <c r="O52" s="469"/>
      <c r="P52" s="469"/>
    </row>
    <row r="53" spans="1:23" ht="12.75" customHeight="1" x14ac:dyDescent="0.25">
      <c r="D53" s="1751" t="s">
        <v>527</v>
      </c>
      <c r="E53" s="1756"/>
      <c r="F53" s="1756"/>
      <c r="G53" s="1754"/>
      <c r="H53" s="1754"/>
      <c r="I53" s="1754"/>
      <c r="J53" s="1758">
        <v>994049.44</v>
      </c>
      <c r="K53" s="1758">
        <f>K43+K51</f>
        <v>1211844.56</v>
      </c>
      <c r="L53" s="1758">
        <f>L43+L51</f>
        <v>975945.53</v>
      </c>
      <c r="M53" s="1758">
        <f>M43+M51</f>
        <v>1002364.1099999999</v>
      </c>
      <c r="N53" s="1758">
        <f>N43+N51</f>
        <v>1029356.1568149645</v>
      </c>
      <c r="O53" s="1758">
        <f>O43+O51</f>
        <v>1059074.76</v>
      </c>
      <c r="P53" s="469"/>
    </row>
    <row r="54" spans="1:23" ht="12.75" customHeight="1" x14ac:dyDescent="0.25">
      <c r="D54" s="438"/>
      <c r="E54" s="455"/>
      <c r="F54" s="516"/>
      <c r="G54" s="453"/>
      <c r="H54" s="453"/>
      <c r="I54" s="453"/>
      <c r="J54" s="469"/>
      <c r="K54" s="469"/>
      <c r="L54" s="469"/>
      <c r="M54" s="469"/>
      <c r="N54" s="469"/>
      <c r="O54" s="469"/>
      <c r="P54" s="469"/>
    </row>
    <row r="55" spans="1:23" ht="12.75" customHeight="1" x14ac:dyDescent="0.25">
      <c r="D55" s="453"/>
      <c r="E55" s="453"/>
      <c r="F55" s="438"/>
      <c r="G55" s="453"/>
      <c r="H55" s="453"/>
      <c r="I55" s="453"/>
      <c r="J55" s="469"/>
      <c r="K55" s="469"/>
      <c r="L55" s="469"/>
      <c r="M55" s="469"/>
      <c r="N55" s="469"/>
      <c r="O55" s="469"/>
      <c r="P55" s="469"/>
    </row>
    <row r="56" spans="1:23" ht="12.75" customHeight="1" x14ac:dyDescent="0.25">
      <c r="D56" s="438"/>
      <c r="E56" s="438"/>
      <c r="F56" s="438"/>
      <c r="G56" s="453"/>
      <c r="H56" s="453"/>
      <c r="I56" s="453"/>
      <c r="J56" s="469"/>
      <c r="K56" s="469"/>
      <c r="L56" s="469"/>
      <c r="M56" s="469"/>
      <c r="N56" s="469"/>
      <c r="O56" s="469"/>
      <c r="P56" s="469"/>
    </row>
    <row r="57" spans="1:23" ht="12.75" customHeight="1" x14ac:dyDescent="0.25">
      <c r="D57" s="312" t="s">
        <v>528</v>
      </c>
      <c r="E57" s="382"/>
      <c r="F57" s="382"/>
    </row>
    <row r="59" spans="1:23" ht="12.75" customHeight="1" x14ac:dyDescent="0.25">
      <c r="A59" s="470"/>
      <c r="B59" s="453"/>
      <c r="C59" s="453"/>
      <c r="D59" s="2523" t="s">
        <v>3099</v>
      </c>
      <c r="E59" s="1761"/>
      <c r="F59" s="2523"/>
      <c r="G59" s="2525" t="s">
        <v>206</v>
      </c>
      <c r="H59" s="2525"/>
      <c r="I59" s="1773"/>
      <c r="J59" s="1763"/>
      <c r="K59" s="1763"/>
      <c r="L59" s="1763"/>
      <c r="M59" s="1763"/>
      <c r="N59" s="1763"/>
      <c r="O59" s="1763"/>
      <c r="P59" s="453"/>
      <c r="Q59" s="453"/>
      <c r="R59" s="453"/>
      <c r="S59" s="453"/>
      <c r="T59" s="453"/>
      <c r="U59" s="453"/>
      <c r="V59" s="453"/>
      <c r="W59" s="453"/>
    </row>
    <row r="60" spans="1:23" ht="12.75" customHeight="1" x14ac:dyDescent="0.25">
      <c r="A60" s="470"/>
      <c r="B60" s="453"/>
      <c r="C60" s="453"/>
      <c r="D60" s="2523"/>
      <c r="E60" s="472"/>
      <c r="F60" s="2523"/>
      <c r="G60" s="2525"/>
      <c r="H60" s="2525"/>
      <c r="I60" s="521"/>
      <c r="J60" s="1764">
        <v>2025</v>
      </c>
      <c r="K60" s="1749">
        <v>2026</v>
      </c>
      <c r="L60" s="1749">
        <v>2027</v>
      </c>
      <c r="M60" s="1749">
        <v>2028</v>
      </c>
      <c r="N60" s="1749">
        <v>2029</v>
      </c>
      <c r="O60" s="1749">
        <v>2030</v>
      </c>
      <c r="P60" s="527"/>
      <c r="Q60" s="453"/>
      <c r="R60" s="453"/>
      <c r="S60" s="453"/>
      <c r="T60" s="453"/>
      <c r="U60" s="453"/>
      <c r="V60" s="453"/>
      <c r="W60" s="453"/>
    </row>
    <row r="61" spans="1:23" ht="12.75" customHeight="1" x14ac:dyDescent="0.25">
      <c r="D61" s="352"/>
      <c r="E61" s="1884"/>
      <c r="F61" s="1772"/>
      <c r="G61" s="1774"/>
      <c r="H61" s="326"/>
      <c r="I61" s="1775"/>
      <c r="J61" s="316"/>
      <c r="K61" s="316"/>
      <c r="L61" s="316"/>
      <c r="M61" s="316"/>
      <c r="N61" s="316"/>
      <c r="O61" s="316"/>
    </row>
    <row r="62" spans="1:23" ht="12.75" customHeight="1" x14ac:dyDescent="0.25">
      <c r="A62" s="336"/>
      <c r="D62" s="333">
        <v>622001</v>
      </c>
      <c r="E62" s="330"/>
      <c r="F62" s="331"/>
      <c r="G62" s="381" t="s">
        <v>3095</v>
      </c>
      <c r="I62" s="316"/>
      <c r="J62" s="335"/>
      <c r="K62" s="335"/>
      <c r="L62" s="335"/>
      <c r="M62" s="335"/>
      <c r="N62" s="335"/>
      <c r="O62" s="335"/>
    </row>
    <row r="63" spans="1:23" ht="12.75" customHeight="1" x14ac:dyDescent="0.25">
      <c r="A63" s="336"/>
      <c r="D63" s="333"/>
      <c r="E63" s="330"/>
      <c r="F63" s="331"/>
      <c r="G63" s="383" t="s">
        <v>533</v>
      </c>
      <c r="I63" s="316"/>
      <c r="J63" s="335"/>
      <c r="K63" s="335"/>
      <c r="L63" s="335"/>
      <c r="M63" s="335"/>
      <c r="N63" s="335"/>
      <c r="O63" s="335"/>
    </row>
    <row r="64" spans="1:23" ht="12.75" customHeight="1" x14ac:dyDescent="0.25">
      <c r="A64" s="336">
        <v>622001</v>
      </c>
      <c r="B64" s="115" t="str">
        <f>G62</f>
        <v>Recognities voor vergunningen</v>
      </c>
      <c r="D64" s="337">
        <v>43301</v>
      </c>
      <c r="E64" s="343"/>
      <c r="F64" s="337"/>
      <c r="G64" s="115" t="s">
        <v>1009</v>
      </c>
      <c r="I64" s="318"/>
      <c r="J64" s="317">
        <v>1490</v>
      </c>
      <c r="K64" s="317">
        <v>1529</v>
      </c>
      <c r="L64" s="317">
        <f>+L275</f>
        <v>1561</v>
      </c>
      <c r="M64" s="317">
        <f>+M275</f>
        <v>1597</v>
      </c>
      <c r="N64" s="317">
        <f>+N275</f>
        <v>1634</v>
      </c>
      <c r="O64" s="317">
        <f>+O275</f>
        <v>1671</v>
      </c>
      <c r="P64" s="114"/>
    </row>
    <row r="65" spans="1:16" ht="12.75" customHeight="1" thickBot="1" x14ac:dyDescent="0.3">
      <c r="A65" s="336"/>
      <c r="D65" s="340"/>
      <c r="E65" s="341"/>
      <c r="F65" s="340"/>
      <c r="G65" s="115" t="s">
        <v>536</v>
      </c>
      <c r="I65" s="318"/>
      <c r="J65" s="342">
        <v>1490</v>
      </c>
      <c r="K65" s="342">
        <v>1529</v>
      </c>
      <c r="L65" s="342">
        <f>SUM(L63:L64)</f>
        <v>1561</v>
      </c>
      <c r="M65" s="342">
        <f>SUM(M63:M64)</f>
        <v>1597</v>
      </c>
      <c r="N65" s="342">
        <f>SUM(N63:N64)</f>
        <v>1634</v>
      </c>
      <c r="O65" s="342">
        <f>SUM(O63:O64)</f>
        <v>1671</v>
      </c>
      <c r="P65" s="114"/>
    </row>
    <row r="66" spans="1:16" ht="12.75" customHeight="1" thickTop="1" x14ac:dyDescent="0.25">
      <c r="D66" s="352"/>
      <c r="E66" s="623"/>
      <c r="F66" s="352"/>
      <c r="G66" s="354"/>
      <c r="H66" s="355"/>
      <c r="I66" s="316"/>
      <c r="J66" s="316"/>
      <c r="K66" s="316"/>
      <c r="L66" s="316"/>
      <c r="M66" s="316"/>
      <c r="N66" s="316"/>
      <c r="O66" s="316"/>
    </row>
    <row r="67" spans="1:16" ht="12.75" customHeight="1" x14ac:dyDescent="0.25">
      <c r="A67" s="336"/>
      <c r="D67" s="333">
        <v>622003</v>
      </c>
      <c r="E67" s="1022"/>
      <c r="F67" s="331"/>
      <c r="G67" s="332" t="s">
        <v>3100</v>
      </c>
      <c r="I67" s="318"/>
      <c r="J67" s="317"/>
      <c r="K67" s="317"/>
      <c r="L67" s="317"/>
      <c r="M67" s="317"/>
      <c r="N67" s="317"/>
      <c r="O67" s="317"/>
      <c r="P67" s="114"/>
    </row>
    <row r="68" spans="1:16" ht="12.75" customHeight="1" x14ac:dyDescent="0.25">
      <c r="A68" s="336"/>
      <c r="D68" s="333"/>
      <c r="E68" s="1022"/>
      <c r="F68" s="331"/>
      <c r="G68" s="334" t="s">
        <v>533</v>
      </c>
      <c r="I68" s="318"/>
      <c r="J68" s="317"/>
      <c r="K68" s="317"/>
      <c r="L68" s="317"/>
      <c r="M68" s="317"/>
      <c r="N68" s="317"/>
      <c r="O68" s="317"/>
      <c r="P68" s="114"/>
    </row>
    <row r="69" spans="1:16" s="305" customFormat="1" ht="12.75" customHeight="1" x14ac:dyDescent="0.25">
      <c r="A69" s="336">
        <v>622003</v>
      </c>
      <c r="B69" s="115" t="str">
        <f>G67</f>
        <v>Bevorderen ondernemersklimaat</v>
      </c>
      <c r="C69" s="115"/>
      <c r="D69" s="337">
        <v>43812</v>
      </c>
      <c r="E69" s="551"/>
      <c r="F69" s="337"/>
      <c r="G69" s="319" t="s">
        <v>535</v>
      </c>
      <c r="H69" s="115"/>
      <c r="I69" s="318"/>
      <c r="J69" s="317">
        <v>27105</v>
      </c>
      <c r="K69" s="317">
        <v>27830</v>
      </c>
      <c r="L69" s="317">
        <f>L149</f>
        <v>28441</v>
      </c>
      <c r="M69" s="317">
        <f>M149</f>
        <v>29077</v>
      </c>
      <c r="N69" s="317">
        <f>N149</f>
        <v>29718</v>
      </c>
      <c r="O69" s="317">
        <f>O149</f>
        <v>30365</v>
      </c>
      <c r="P69" s="114"/>
    </row>
    <row r="70" spans="1:16" ht="12.75" customHeight="1" thickBot="1" x14ac:dyDescent="0.3">
      <c r="A70" s="336"/>
      <c r="D70" s="340"/>
      <c r="E70" s="622"/>
      <c r="F70" s="340"/>
      <c r="G70" s="319" t="s">
        <v>536</v>
      </c>
      <c r="I70" s="318"/>
      <c r="J70" s="342">
        <v>27105</v>
      </c>
      <c r="K70" s="342">
        <v>27830</v>
      </c>
      <c r="L70" s="342">
        <f>SUM(L67:L69)</f>
        <v>28441</v>
      </c>
      <c r="M70" s="342">
        <f>SUM(M67:M69)</f>
        <v>29077</v>
      </c>
      <c r="N70" s="342">
        <f>SUM(N67:N69)</f>
        <v>29718</v>
      </c>
      <c r="O70" s="342">
        <f>SUM(O67:O69)</f>
        <v>30365</v>
      </c>
      <c r="P70" s="114"/>
    </row>
    <row r="71" spans="1:16" ht="12.75" customHeight="1" thickTop="1" x14ac:dyDescent="0.25">
      <c r="A71" s="336"/>
      <c r="D71" s="340"/>
      <c r="E71" s="622"/>
      <c r="F71" s="340"/>
      <c r="G71" s="319"/>
      <c r="I71" s="318"/>
      <c r="J71" s="317"/>
      <c r="K71" s="317"/>
      <c r="L71" s="317"/>
      <c r="M71" s="317"/>
      <c r="N71" s="317"/>
      <c r="O71" s="317"/>
      <c r="P71" s="114"/>
    </row>
    <row r="72" spans="1:16" ht="12.75" customHeight="1" x14ac:dyDescent="0.25">
      <c r="A72" s="336"/>
      <c r="D72" s="333">
        <v>622004</v>
      </c>
      <c r="E72" s="1022"/>
      <c r="F72" s="331"/>
      <c r="G72" s="332" t="s">
        <v>3101</v>
      </c>
      <c r="I72" s="318"/>
      <c r="J72" s="317"/>
      <c r="K72" s="317"/>
      <c r="L72" s="317"/>
      <c r="M72" s="317"/>
      <c r="N72" s="317"/>
      <c r="O72" s="317"/>
      <c r="P72" s="114"/>
    </row>
    <row r="73" spans="1:16" ht="12.75" customHeight="1" x14ac:dyDescent="0.25">
      <c r="A73" s="336"/>
      <c r="D73" s="340"/>
      <c r="E73" s="622"/>
      <c r="F73" s="340"/>
      <c r="G73" s="334" t="s">
        <v>533</v>
      </c>
      <c r="I73" s="318"/>
      <c r="J73" s="317"/>
      <c r="K73" s="317"/>
      <c r="L73" s="317"/>
      <c r="M73" s="317"/>
      <c r="N73" s="317"/>
      <c r="O73" s="317"/>
      <c r="P73" s="114"/>
    </row>
    <row r="74" spans="1:16" ht="12.75" customHeight="1" x14ac:dyDescent="0.25">
      <c r="A74" s="336">
        <f>D72</f>
        <v>622004</v>
      </c>
      <c r="B74" s="115" t="str">
        <f>G72</f>
        <v>Centrummanagement</v>
      </c>
      <c r="D74" s="340">
        <v>43511</v>
      </c>
      <c r="E74" s="622"/>
      <c r="F74" s="340"/>
      <c r="G74" s="319" t="s">
        <v>734</v>
      </c>
      <c r="I74" s="318"/>
      <c r="J74" s="317">
        <v>59600</v>
      </c>
      <c r="K74" s="317">
        <v>0</v>
      </c>
      <c r="L74" s="317">
        <f t="shared" ref="L74:M74" si="27">L156</f>
        <v>-200</v>
      </c>
      <c r="M74" s="317">
        <f t="shared" si="27"/>
        <v>-800</v>
      </c>
      <c r="N74" s="317">
        <f t="shared" ref="N74:O74" si="28">N156</f>
        <v>-1500</v>
      </c>
      <c r="O74" s="317">
        <f t="shared" si="28"/>
        <v>0</v>
      </c>
      <c r="P74" s="114"/>
    </row>
    <row r="75" spans="1:16" ht="12.75" customHeight="1" x14ac:dyDescent="0.25">
      <c r="A75" s="336">
        <v>622004</v>
      </c>
      <c r="B75" s="115" t="str">
        <f>G72</f>
        <v>Centrummanagement</v>
      </c>
      <c r="D75" s="337">
        <v>44380</v>
      </c>
      <c r="E75" s="551"/>
      <c r="F75" s="337"/>
      <c r="G75" s="319" t="s">
        <v>3102</v>
      </c>
      <c r="I75" s="318"/>
      <c r="J75" s="317">
        <v>31240</v>
      </c>
      <c r="K75" s="317">
        <v>0</v>
      </c>
      <c r="L75" s="317">
        <f>L165</f>
        <v>0</v>
      </c>
      <c r="M75" s="317">
        <f>M165</f>
        <v>0</v>
      </c>
      <c r="N75" s="317">
        <f>N165</f>
        <v>5.681496461329516E-2</v>
      </c>
      <c r="O75" s="317">
        <f>O165</f>
        <v>0</v>
      </c>
      <c r="P75" s="114"/>
    </row>
    <row r="76" spans="1:16" ht="12.75" customHeight="1" thickBot="1" x14ac:dyDescent="0.3">
      <c r="A76" s="336"/>
      <c r="D76" s="340"/>
      <c r="E76" s="622"/>
      <c r="F76" s="340"/>
      <c r="G76" s="319" t="s">
        <v>536</v>
      </c>
      <c r="I76" s="318"/>
      <c r="J76" s="342">
        <v>90840</v>
      </c>
      <c r="K76" s="342">
        <v>0</v>
      </c>
      <c r="L76" s="342">
        <f t="shared" ref="L76:M76" si="29">SUM(L74:L75)</f>
        <v>-200</v>
      </c>
      <c r="M76" s="342">
        <f t="shared" si="29"/>
        <v>-800</v>
      </c>
      <c r="N76" s="342">
        <f t="shared" ref="N76:O76" si="30">SUM(N74:N75)</f>
        <v>-1499.9431850353867</v>
      </c>
      <c r="O76" s="342">
        <f t="shared" si="30"/>
        <v>0</v>
      </c>
      <c r="P76" s="114"/>
    </row>
    <row r="77" spans="1:16" ht="12.75" customHeight="1" thickTop="1" x14ac:dyDescent="0.25">
      <c r="A77" s="336"/>
      <c r="D77" s="340"/>
      <c r="E77" s="622"/>
      <c r="F77" s="340"/>
      <c r="G77" s="319"/>
      <c r="I77" s="318"/>
      <c r="J77" s="317"/>
      <c r="K77" s="317"/>
      <c r="L77" s="317"/>
      <c r="M77" s="317"/>
      <c r="N77" s="317"/>
      <c r="O77" s="317"/>
      <c r="P77" s="114"/>
    </row>
    <row r="78" spans="1:16" ht="12.75" customHeight="1" x14ac:dyDescent="0.25">
      <c r="A78" s="336"/>
      <c r="D78" s="333">
        <v>622005</v>
      </c>
      <c r="E78" s="1022"/>
      <c r="F78" s="331"/>
      <c r="G78" s="332" t="s">
        <v>3103</v>
      </c>
      <c r="I78" s="318"/>
      <c r="J78" s="317"/>
      <c r="K78" s="317"/>
      <c r="L78" s="317"/>
      <c r="M78" s="317"/>
      <c r="N78" s="317"/>
      <c r="O78" s="317"/>
      <c r="P78" s="114"/>
    </row>
    <row r="79" spans="1:16" ht="12.75" customHeight="1" x14ac:dyDescent="0.25">
      <c r="A79" s="336"/>
      <c r="D79" s="340"/>
      <c r="E79" s="622"/>
      <c r="F79" s="340"/>
      <c r="G79" s="334" t="s">
        <v>533</v>
      </c>
      <c r="I79" s="318"/>
      <c r="J79" s="317"/>
      <c r="K79" s="317"/>
      <c r="L79" s="317"/>
      <c r="M79" s="317"/>
      <c r="N79" s="317"/>
      <c r="O79" s="317"/>
      <c r="P79" s="114"/>
    </row>
    <row r="80" spans="1:16" ht="12.75" customHeight="1" x14ac:dyDescent="0.25">
      <c r="A80" s="336">
        <v>622005</v>
      </c>
      <c r="B80" s="115" t="str">
        <f>G78</f>
        <v>Basisfinanciering brainport development</v>
      </c>
      <c r="D80" s="337">
        <v>44330</v>
      </c>
      <c r="E80" s="551"/>
      <c r="F80" s="337"/>
      <c r="G80" s="319" t="s">
        <v>2635</v>
      </c>
      <c r="I80" s="318"/>
      <c r="J80" s="317">
        <v>215000</v>
      </c>
      <c r="K80" s="317">
        <v>220590</v>
      </c>
      <c r="L80" s="317">
        <f>L172</f>
        <v>225222</v>
      </c>
      <c r="M80" s="317">
        <f>M172</f>
        <v>230402</v>
      </c>
      <c r="N80" s="317">
        <f>N172</f>
        <v>235701</v>
      </c>
      <c r="O80" s="317">
        <f>O172</f>
        <v>241122</v>
      </c>
      <c r="P80" s="114"/>
    </row>
    <row r="81" spans="1:16" ht="12.75" customHeight="1" x14ac:dyDescent="0.25">
      <c r="A81" s="336">
        <v>622005</v>
      </c>
      <c r="B81" s="115" t="str">
        <f>G78</f>
        <v>Basisfinanciering brainport development</v>
      </c>
      <c r="D81" s="337">
        <v>44360</v>
      </c>
      <c r="E81" s="551"/>
      <c r="F81" s="337"/>
      <c r="G81" s="319" t="s">
        <v>3104</v>
      </c>
      <c r="I81" s="318"/>
      <c r="J81" s="317">
        <v>11933</v>
      </c>
      <c r="K81" s="317">
        <v>12243</v>
      </c>
      <c r="L81" s="317">
        <f t="shared" ref="L81:M81" si="31">L186</f>
        <v>0</v>
      </c>
      <c r="M81" s="317">
        <f t="shared" si="31"/>
        <v>0</v>
      </c>
      <c r="N81" s="317">
        <f t="shared" ref="N81:O81" si="32">N186</f>
        <v>0</v>
      </c>
      <c r="O81" s="317">
        <f t="shared" si="32"/>
        <v>0</v>
      </c>
      <c r="P81" s="114"/>
    </row>
    <row r="82" spans="1:16" ht="12.75" customHeight="1" thickBot="1" x14ac:dyDescent="0.3">
      <c r="A82" s="336"/>
      <c r="D82" s="340"/>
      <c r="E82" s="622"/>
      <c r="F82" s="340"/>
      <c r="G82" s="319" t="s">
        <v>536</v>
      </c>
      <c r="I82" s="318"/>
      <c r="J82" s="342">
        <v>226933</v>
      </c>
      <c r="K82" s="342">
        <v>232833</v>
      </c>
      <c r="L82" s="342">
        <f t="shared" ref="L82:M82" si="33">SUM(L80:L81)</f>
        <v>225222</v>
      </c>
      <c r="M82" s="342">
        <f t="shared" si="33"/>
        <v>230402</v>
      </c>
      <c r="N82" s="342">
        <f t="shared" ref="N82:O82" si="34">SUM(N80:N81)</f>
        <v>235701</v>
      </c>
      <c r="O82" s="342">
        <f t="shared" si="34"/>
        <v>241122</v>
      </c>
      <c r="P82" s="114"/>
    </row>
    <row r="83" spans="1:16" ht="12.75" customHeight="1" thickTop="1" x14ac:dyDescent="0.25">
      <c r="A83" s="336"/>
      <c r="D83" s="340"/>
      <c r="E83" s="622"/>
      <c r="F83" s="340"/>
      <c r="G83" s="319"/>
      <c r="I83" s="318"/>
      <c r="J83" s="318"/>
      <c r="K83" s="318"/>
      <c r="L83" s="318"/>
      <c r="M83" s="318"/>
      <c r="N83" s="318"/>
      <c r="O83" s="318"/>
      <c r="P83" s="114"/>
    </row>
    <row r="84" spans="1:16" ht="12.75" customHeight="1" x14ac:dyDescent="0.25">
      <c r="A84" s="336"/>
      <c r="D84" s="333">
        <v>622006</v>
      </c>
      <c r="E84" s="1022"/>
      <c r="F84" s="331"/>
      <c r="G84" s="332" t="s">
        <v>3105</v>
      </c>
      <c r="H84" s="355"/>
      <c r="I84" s="316"/>
      <c r="J84" s="316"/>
      <c r="K84" s="316"/>
      <c r="L84" s="316"/>
      <c r="M84" s="316"/>
      <c r="N84" s="316"/>
      <c r="O84" s="316"/>
    </row>
    <row r="85" spans="1:16" ht="12.75" customHeight="1" x14ac:dyDescent="0.25">
      <c r="A85" s="336"/>
      <c r="D85" s="340"/>
      <c r="E85" s="622"/>
      <c r="F85" s="340"/>
      <c r="G85" s="334" t="s">
        <v>533</v>
      </c>
      <c r="H85" s="355"/>
      <c r="I85" s="316"/>
      <c r="J85" s="316"/>
      <c r="K85" s="316"/>
      <c r="L85" s="316"/>
      <c r="M85" s="316"/>
      <c r="N85" s="316"/>
      <c r="O85" s="316"/>
    </row>
    <row r="86" spans="1:16" ht="12.75" customHeight="1" x14ac:dyDescent="0.25">
      <c r="A86" s="336">
        <v>622006</v>
      </c>
      <c r="B86" s="115" t="str">
        <f>G84</f>
        <v>Internationale school Eindhoven</v>
      </c>
      <c r="D86" s="340">
        <v>44380</v>
      </c>
      <c r="E86" s="622"/>
      <c r="F86" s="340"/>
      <c r="G86" s="319" t="s">
        <v>3102</v>
      </c>
      <c r="H86" s="355"/>
      <c r="I86" s="318"/>
      <c r="J86" s="318">
        <v>30382</v>
      </c>
      <c r="K86" s="318">
        <v>31172</v>
      </c>
      <c r="L86" s="318">
        <f>L192</f>
        <v>31827</v>
      </c>
      <c r="M86" s="318">
        <f>M192</f>
        <v>32559</v>
      </c>
      <c r="N86" s="318">
        <f>N192</f>
        <v>33308</v>
      </c>
      <c r="O86" s="318">
        <f>O192</f>
        <v>34074</v>
      </c>
      <c r="P86" s="114"/>
    </row>
    <row r="87" spans="1:16" ht="12.75" customHeight="1" thickBot="1" x14ac:dyDescent="0.3">
      <c r="A87" s="336"/>
      <c r="D87" s="340"/>
      <c r="E87" s="622"/>
      <c r="F87" s="340"/>
      <c r="G87" s="319" t="s">
        <v>536</v>
      </c>
      <c r="I87" s="318"/>
      <c r="J87" s="342">
        <v>30382</v>
      </c>
      <c r="K87" s="342">
        <v>31172</v>
      </c>
      <c r="L87" s="342">
        <f>SUM(L86)</f>
        <v>31827</v>
      </c>
      <c r="M87" s="342">
        <f>SUM(M86)</f>
        <v>32559</v>
      </c>
      <c r="N87" s="342">
        <f>SUM(N86)</f>
        <v>33308</v>
      </c>
      <c r="O87" s="342">
        <f>SUM(O86)</f>
        <v>34074</v>
      </c>
      <c r="P87" s="114"/>
    </row>
    <row r="88" spans="1:16" ht="12.75" customHeight="1" thickTop="1" x14ac:dyDescent="0.25">
      <c r="A88" s="336"/>
      <c r="D88" s="340"/>
      <c r="E88" s="340"/>
      <c r="F88" s="340"/>
      <c r="G88" s="319"/>
      <c r="I88" s="318"/>
      <c r="J88" s="317"/>
      <c r="K88" s="317"/>
      <c r="L88" s="317"/>
      <c r="M88" s="317"/>
      <c r="N88" s="317"/>
      <c r="O88" s="317"/>
      <c r="P88" s="114"/>
    </row>
    <row r="89" spans="1:16" ht="12.75" customHeight="1" x14ac:dyDescent="0.25">
      <c r="A89" s="336"/>
      <c r="D89" s="347">
        <v>622009</v>
      </c>
      <c r="E89" s="476"/>
      <c r="F89" s="476"/>
      <c r="G89" s="332" t="s">
        <v>3093</v>
      </c>
      <c r="I89" s="318"/>
      <c r="J89" s="317"/>
      <c r="K89" s="317"/>
      <c r="L89" s="317"/>
      <c r="M89" s="317"/>
      <c r="N89" s="317"/>
      <c r="O89" s="317"/>
      <c r="P89" s="114"/>
    </row>
    <row r="90" spans="1:16" ht="12.75" customHeight="1" x14ac:dyDescent="0.25">
      <c r="A90" s="336"/>
      <c r="D90" s="340"/>
      <c r="E90" s="340"/>
      <c r="F90" s="340"/>
      <c r="G90" s="334" t="s">
        <v>533</v>
      </c>
      <c r="I90" s="318"/>
      <c r="J90" s="317"/>
      <c r="K90" s="317"/>
      <c r="L90" s="317"/>
      <c r="M90" s="317"/>
      <c r="N90" s="317"/>
      <c r="O90" s="317"/>
      <c r="P90" s="114"/>
    </row>
    <row r="91" spans="1:16" ht="12.75" customHeight="1" x14ac:dyDescent="0.25">
      <c r="A91" s="336">
        <v>622009</v>
      </c>
      <c r="B91" s="115" t="str">
        <f>G89</f>
        <v>Brandkranen, brandputten en brandsloten</v>
      </c>
      <c r="D91" s="340">
        <v>43803</v>
      </c>
      <c r="E91" s="340"/>
      <c r="F91" s="340"/>
      <c r="G91" s="319" t="s">
        <v>1831</v>
      </c>
      <c r="I91" s="318"/>
      <c r="J91" s="317">
        <v>980</v>
      </c>
      <c r="K91" s="317">
        <v>1005</v>
      </c>
      <c r="L91" s="317">
        <f>ROUND(K91*T$2,0)</f>
        <v>1026</v>
      </c>
      <c r="M91" s="317">
        <f>ROUND(L91*U$2,0)</f>
        <v>1050</v>
      </c>
      <c r="N91" s="317">
        <f>ROUND(M91*V$2,0)</f>
        <v>1074</v>
      </c>
      <c r="O91" s="317">
        <f>ROUND(N91*W$2,0)</f>
        <v>1099</v>
      </c>
      <c r="P91" s="114"/>
    </row>
    <row r="92" spans="1:16" ht="12.75" customHeight="1" x14ac:dyDescent="0.25">
      <c r="A92" s="336">
        <v>622009</v>
      </c>
      <c r="B92" s="115" t="str">
        <f>G89</f>
        <v>Brandkranen, brandputten en brandsloten</v>
      </c>
      <c r="D92" s="340">
        <v>43805</v>
      </c>
      <c r="E92" s="340"/>
      <c r="F92" s="340"/>
      <c r="G92" s="319" t="s">
        <v>1010</v>
      </c>
      <c r="I92" s="318"/>
      <c r="J92" s="318">
        <v>25107.5</v>
      </c>
      <c r="K92" s="318">
        <v>25764.86</v>
      </c>
      <c r="L92" s="318">
        <f>+L218</f>
        <v>26303.53</v>
      </c>
      <c r="M92" s="318">
        <f>+M218</f>
        <v>26906.11</v>
      </c>
      <c r="N92" s="318">
        <f>+N218</f>
        <v>27557.1</v>
      </c>
      <c r="O92" s="318">
        <f>+O218</f>
        <v>28187.759999999998</v>
      </c>
      <c r="P92" s="114"/>
    </row>
    <row r="93" spans="1:16" ht="12.75" customHeight="1" x14ac:dyDescent="0.25">
      <c r="A93" s="336">
        <v>622009</v>
      </c>
      <c r="B93" s="115" t="str">
        <f>G89</f>
        <v>Brandkranen, brandputten en brandsloten</v>
      </c>
      <c r="D93" s="340">
        <v>43806</v>
      </c>
      <c r="E93" s="340"/>
      <c r="F93" s="340"/>
      <c r="G93" s="319" t="s">
        <v>3106</v>
      </c>
      <c r="I93" s="318"/>
      <c r="J93" s="317">
        <v>921</v>
      </c>
      <c r="K93" s="317">
        <v>945</v>
      </c>
      <c r="L93" s="317">
        <f t="shared" ref="L93:O94" si="35">ROUND(K93*T$2,0)</f>
        <v>965</v>
      </c>
      <c r="M93" s="317">
        <f t="shared" si="35"/>
        <v>987</v>
      </c>
      <c r="N93" s="317">
        <f t="shared" si="35"/>
        <v>1010</v>
      </c>
      <c r="O93" s="317">
        <f t="shared" si="35"/>
        <v>1033</v>
      </c>
      <c r="P93" s="114"/>
    </row>
    <row r="94" spans="1:16" ht="12.75" customHeight="1" x14ac:dyDescent="0.25">
      <c r="A94" s="336">
        <v>622009</v>
      </c>
      <c r="B94" s="115" t="str">
        <f>G89</f>
        <v>Brandkranen, brandputten en brandsloten</v>
      </c>
      <c r="D94" s="337">
        <v>43812</v>
      </c>
      <c r="E94" s="337"/>
      <c r="F94" s="337"/>
      <c r="G94" s="319" t="s">
        <v>535</v>
      </c>
      <c r="I94" s="318"/>
      <c r="J94" s="317">
        <v>866</v>
      </c>
      <c r="K94" s="317">
        <v>889</v>
      </c>
      <c r="L94" s="317">
        <f t="shared" si="35"/>
        <v>908</v>
      </c>
      <c r="M94" s="317">
        <f t="shared" si="35"/>
        <v>929</v>
      </c>
      <c r="N94" s="317">
        <f t="shared" si="35"/>
        <v>950</v>
      </c>
      <c r="O94" s="317">
        <f t="shared" si="35"/>
        <v>972</v>
      </c>
      <c r="P94" s="114"/>
    </row>
    <row r="95" spans="1:16" ht="12.75" customHeight="1" thickBot="1" x14ac:dyDescent="0.3">
      <c r="A95" s="336"/>
      <c r="D95" s="340"/>
      <c r="E95" s="340"/>
      <c r="F95" s="340"/>
      <c r="G95" s="319" t="s">
        <v>536</v>
      </c>
      <c r="I95" s="318"/>
      <c r="J95" s="342">
        <v>27874.5</v>
      </c>
      <c r="K95" s="342">
        <v>28603.86</v>
      </c>
      <c r="L95" s="342">
        <f>SUM(L91:L94)</f>
        <v>29202.53</v>
      </c>
      <c r="M95" s="342">
        <f>SUM(M91:M94)</f>
        <v>29872.11</v>
      </c>
      <c r="N95" s="342">
        <f>SUM(N91:N94)</f>
        <v>30591.1</v>
      </c>
      <c r="O95" s="342">
        <f>SUM(O91:O94)</f>
        <v>31291.759999999998</v>
      </c>
      <c r="P95" s="114"/>
    </row>
    <row r="96" spans="1:16" ht="12.75" customHeight="1" thickTop="1" x14ac:dyDescent="0.25">
      <c r="A96" s="336"/>
      <c r="D96" s="340"/>
      <c r="E96" s="622"/>
      <c r="F96" s="340"/>
      <c r="G96" s="319"/>
      <c r="I96" s="318"/>
      <c r="J96" s="317"/>
      <c r="K96" s="317"/>
      <c r="L96" s="317"/>
      <c r="M96" s="317"/>
      <c r="N96" s="317"/>
      <c r="O96" s="317"/>
      <c r="P96" s="114"/>
    </row>
    <row r="97" spans="1:16" ht="12.75" customHeight="1" x14ac:dyDescent="0.25">
      <c r="A97" s="336"/>
      <c r="D97" s="333">
        <v>622012</v>
      </c>
      <c r="E97" s="1022"/>
      <c r="F97" s="331"/>
      <c r="G97" s="332" t="s">
        <v>3107</v>
      </c>
      <c r="I97" s="318"/>
      <c r="J97" s="317"/>
      <c r="K97" s="317"/>
      <c r="L97" s="317"/>
      <c r="M97" s="317"/>
      <c r="N97" s="317"/>
      <c r="O97" s="317"/>
      <c r="P97" s="114"/>
    </row>
    <row r="98" spans="1:16" ht="12.75" customHeight="1" x14ac:dyDescent="0.25">
      <c r="A98" s="336"/>
      <c r="D98" s="333"/>
      <c r="E98" s="1022"/>
      <c r="F98" s="331"/>
      <c r="G98" s="334" t="s">
        <v>533</v>
      </c>
      <c r="I98" s="318"/>
      <c r="J98" s="317"/>
      <c r="K98" s="317"/>
      <c r="L98" s="317"/>
      <c r="M98" s="317"/>
      <c r="N98" s="317"/>
      <c r="O98" s="317"/>
      <c r="P98" s="114"/>
    </row>
    <row r="99" spans="1:16" ht="12.75" customHeight="1" x14ac:dyDescent="0.25">
      <c r="A99" s="336">
        <f>D97</f>
        <v>622012</v>
      </c>
      <c r="B99" s="115" t="str">
        <f>G97</f>
        <v>overige winkelgebieden</v>
      </c>
      <c r="D99" s="337">
        <v>43812</v>
      </c>
      <c r="E99" s="551"/>
      <c r="F99" s="337"/>
      <c r="G99" s="319" t="s">
        <v>535</v>
      </c>
      <c r="I99" s="318"/>
      <c r="J99" s="317">
        <v>0</v>
      </c>
      <c r="K99" s="317">
        <v>0</v>
      </c>
      <c r="L99" s="317">
        <f>+L226</f>
        <v>0</v>
      </c>
      <c r="M99" s="317">
        <f>+M226</f>
        <v>0</v>
      </c>
      <c r="N99" s="317">
        <f t="shared" ref="N99:O99" si="36">+N226</f>
        <v>-2</v>
      </c>
      <c r="O99" s="317">
        <f t="shared" si="36"/>
        <v>-2</v>
      </c>
      <c r="P99" s="114"/>
    </row>
    <row r="100" spans="1:16" ht="12.75" customHeight="1" thickBot="1" x14ac:dyDescent="0.3">
      <c r="A100" s="336"/>
      <c r="D100" s="340"/>
      <c r="E100" s="622"/>
      <c r="F100" s="340"/>
      <c r="G100" s="319" t="s">
        <v>536</v>
      </c>
      <c r="I100" s="318"/>
      <c r="J100" s="342">
        <v>0</v>
      </c>
      <c r="K100" s="342">
        <v>0</v>
      </c>
      <c r="L100" s="342">
        <f>SUM(L97:L99)</f>
        <v>0</v>
      </c>
      <c r="M100" s="342">
        <f>SUM(M97:M99)</f>
        <v>0</v>
      </c>
      <c r="N100" s="342">
        <f>SUM(N97:N99)</f>
        <v>-2</v>
      </c>
      <c r="O100" s="342">
        <f>SUM(O97:O99)</f>
        <v>-2</v>
      </c>
      <c r="P100" s="114"/>
    </row>
    <row r="101" spans="1:16" ht="12.75" customHeight="1" thickTop="1" x14ac:dyDescent="0.25">
      <c r="A101" s="336"/>
      <c r="D101" s="340"/>
      <c r="E101" s="622"/>
      <c r="F101" s="340"/>
      <c r="G101" s="319"/>
      <c r="I101" s="318"/>
      <c r="J101" s="317"/>
      <c r="K101" s="317"/>
      <c r="L101" s="317"/>
      <c r="M101" s="317"/>
      <c r="N101" s="317"/>
      <c r="O101" s="317"/>
      <c r="P101" s="114"/>
    </row>
    <row r="102" spans="1:16" ht="12.75" customHeight="1" x14ac:dyDescent="0.25">
      <c r="A102" s="336"/>
      <c r="D102" s="333">
        <v>622013</v>
      </c>
      <c r="E102" s="1022"/>
      <c r="F102" s="331"/>
      <c r="G102" s="332" t="s">
        <v>3097</v>
      </c>
      <c r="I102" s="318"/>
      <c r="J102" s="317"/>
      <c r="K102" s="317"/>
      <c r="L102" s="317"/>
      <c r="M102" s="317"/>
      <c r="N102" s="317"/>
      <c r="O102" s="317"/>
      <c r="P102" s="114"/>
    </row>
    <row r="103" spans="1:16" ht="12.75" customHeight="1" x14ac:dyDescent="0.25">
      <c r="A103" s="336"/>
      <c r="D103" s="333"/>
      <c r="E103" s="1022"/>
      <c r="F103" s="331"/>
      <c r="G103" s="334" t="s">
        <v>533</v>
      </c>
      <c r="I103" s="318"/>
      <c r="J103" s="317"/>
      <c r="K103" s="317"/>
      <c r="L103" s="317"/>
      <c r="M103" s="317"/>
      <c r="N103" s="317"/>
      <c r="O103" s="317"/>
      <c r="P103" s="114"/>
    </row>
    <row r="104" spans="1:16" s="305" customFormat="1" ht="12.75" customHeight="1" x14ac:dyDescent="0.25">
      <c r="A104" s="336">
        <f>D102</f>
        <v>622013</v>
      </c>
      <c r="B104" s="115" t="str">
        <f>G102</f>
        <v>Verduurzamen bedrijventerreinen</v>
      </c>
      <c r="C104" s="115"/>
      <c r="D104" s="337">
        <v>43812</v>
      </c>
      <c r="E104" s="551"/>
      <c r="F104" s="337"/>
      <c r="G104" s="319" t="s">
        <v>535</v>
      </c>
      <c r="H104" s="115"/>
      <c r="I104" s="318"/>
      <c r="J104" s="317">
        <v>30840</v>
      </c>
      <c r="K104" s="317">
        <v>31642</v>
      </c>
      <c r="L104" s="317">
        <f>L230</f>
        <v>32306</v>
      </c>
      <c r="M104" s="317">
        <f>M230</f>
        <v>33049</v>
      </c>
      <c r="N104" s="317">
        <f t="shared" ref="N104:O104" si="37">N230</f>
        <v>33809</v>
      </c>
      <c r="O104" s="317">
        <f t="shared" si="37"/>
        <v>34587</v>
      </c>
      <c r="P104" s="114"/>
    </row>
    <row r="105" spans="1:16" ht="12.75" customHeight="1" thickBot="1" x14ac:dyDescent="0.3">
      <c r="A105" s="336"/>
      <c r="D105" s="340"/>
      <c r="E105" s="622"/>
      <c r="F105" s="340"/>
      <c r="G105" s="319" t="s">
        <v>536</v>
      </c>
      <c r="I105" s="318"/>
      <c r="J105" s="342">
        <v>30840</v>
      </c>
      <c r="K105" s="342">
        <v>31642</v>
      </c>
      <c r="L105" s="342">
        <f>SUM(L102:L104)</f>
        <v>32306</v>
      </c>
      <c r="M105" s="342">
        <f>SUM(M102:M104)</f>
        <v>33049</v>
      </c>
      <c r="N105" s="342">
        <f>SUM(N102:N104)</f>
        <v>33809</v>
      </c>
      <c r="O105" s="342">
        <f>SUM(O102:O104)</f>
        <v>34587</v>
      </c>
      <c r="P105" s="114"/>
    </row>
    <row r="106" spans="1:16" ht="12.75" customHeight="1" thickTop="1" x14ac:dyDescent="0.25">
      <c r="A106" s="336"/>
      <c r="D106" s="340"/>
      <c r="E106" s="384"/>
      <c r="F106" s="340"/>
      <c r="I106" s="318"/>
      <c r="J106" s="317"/>
      <c r="K106" s="317"/>
      <c r="L106" s="317"/>
      <c r="M106" s="317"/>
      <c r="N106" s="317"/>
      <c r="O106" s="317"/>
      <c r="P106" s="114"/>
    </row>
    <row r="107" spans="1:16" ht="12.75" customHeight="1" x14ac:dyDescent="0.25">
      <c r="A107" s="336"/>
      <c r="D107" s="476">
        <v>622014</v>
      </c>
      <c r="E107" s="384"/>
      <c r="F107" s="340"/>
      <c r="G107" s="381" t="s">
        <v>5361</v>
      </c>
      <c r="I107" s="318"/>
      <c r="J107" s="317"/>
      <c r="K107" s="317"/>
      <c r="L107" s="317"/>
      <c r="M107" s="317"/>
      <c r="N107" s="317"/>
      <c r="O107" s="317"/>
      <c r="P107" s="114"/>
    </row>
    <row r="108" spans="1:16" ht="12.75" customHeight="1" x14ac:dyDescent="0.25">
      <c r="A108" s="336"/>
      <c r="D108" s="340"/>
      <c r="E108" s="384"/>
      <c r="F108" s="340"/>
      <c r="G108" s="383" t="s">
        <v>533</v>
      </c>
      <c r="I108" s="318"/>
      <c r="J108" s="317"/>
      <c r="K108" s="317"/>
      <c r="L108" s="317"/>
      <c r="M108" s="317"/>
      <c r="N108" s="317"/>
      <c r="O108" s="317"/>
      <c r="P108" s="114"/>
    </row>
    <row r="109" spans="1:16" ht="12.75" customHeight="1" x14ac:dyDescent="0.25">
      <c r="A109" s="336"/>
      <c r="D109" s="340">
        <v>44380</v>
      </c>
      <c r="E109" s="384"/>
      <c r="F109" s="340"/>
      <c r="G109" s="115" t="s">
        <v>5362</v>
      </c>
      <c r="I109" s="318"/>
      <c r="J109" s="317"/>
      <c r="K109" s="317">
        <f>K197</f>
        <v>250000</v>
      </c>
      <c r="L109" s="317">
        <f t="shared" ref="L109:O109" si="38">L197</f>
        <v>0</v>
      </c>
      <c r="M109" s="317">
        <f t="shared" si="38"/>
        <v>0</v>
      </c>
      <c r="N109" s="317">
        <f t="shared" si="38"/>
        <v>0</v>
      </c>
      <c r="O109" s="317">
        <f t="shared" si="38"/>
        <v>0</v>
      </c>
      <c r="P109" s="114"/>
    </row>
    <row r="110" spans="1:16" ht="12.75" customHeight="1" thickBot="1" x14ac:dyDescent="0.3">
      <c r="A110" s="336"/>
      <c r="D110" s="340"/>
      <c r="E110" s="384"/>
      <c r="F110" s="340"/>
      <c r="G110" s="115" t="s">
        <v>536</v>
      </c>
      <c r="I110" s="318"/>
      <c r="J110" s="342">
        <f>SUM(J108:J109)</f>
        <v>0</v>
      </c>
      <c r="K110" s="342">
        <f t="shared" ref="K110:O110" si="39">SUM(K108:K109)</f>
        <v>250000</v>
      </c>
      <c r="L110" s="342">
        <f t="shared" si="39"/>
        <v>0</v>
      </c>
      <c r="M110" s="342">
        <f t="shared" si="39"/>
        <v>0</v>
      </c>
      <c r="N110" s="342">
        <f t="shared" si="39"/>
        <v>0</v>
      </c>
      <c r="O110" s="342">
        <f t="shared" si="39"/>
        <v>0</v>
      </c>
      <c r="P110" s="114"/>
    </row>
    <row r="111" spans="1:16" ht="12.75" customHeight="1" thickTop="1" x14ac:dyDescent="0.25">
      <c r="A111" s="336"/>
      <c r="D111" s="340"/>
      <c r="E111" s="384"/>
      <c r="F111" s="340"/>
      <c r="I111" s="318"/>
      <c r="J111" s="317"/>
      <c r="K111" s="317"/>
      <c r="L111" s="317"/>
      <c r="M111" s="317"/>
      <c r="N111" s="317"/>
      <c r="O111" s="317"/>
      <c r="P111" s="114"/>
    </row>
    <row r="112" spans="1:16" ht="12.75" customHeight="1" x14ac:dyDescent="0.25">
      <c r="A112" s="336"/>
      <c r="D112" s="340"/>
      <c r="E112" s="384"/>
      <c r="F112" s="340"/>
      <c r="G112" s="332" t="s">
        <v>154</v>
      </c>
      <c r="I112" s="318"/>
      <c r="J112" s="317"/>
      <c r="K112" s="317"/>
      <c r="L112" s="317"/>
      <c r="M112" s="317"/>
      <c r="N112" s="317"/>
      <c r="O112" s="317"/>
      <c r="P112" s="114"/>
    </row>
    <row r="113" spans="1:16" ht="12.75" customHeight="1" x14ac:dyDescent="0.25">
      <c r="A113" s="336"/>
      <c r="D113" s="347">
        <v>622015</v>
      </c>
      <c r="E113" s="384"/>
      <c r="F113" s="340"/>
      <c r="G113" s="334" t="s">
        <v>533</v>
      </c>
      <c r="I113" s="318"/>
      <c r="J113" s="317"/>
      <c r="K113" s="317"/>
      <c r="L113" s="317"/>
      <c r="M113" s="317"/>
      <c r="N113" s="317"/>
      <c r="O113" s="317"/>
      <c r="P113" s="114"/>
    </row>
    <row r="114" spans="1:16" ht="12.75" customHeight="1" x14ac:dyDescent="0.25">
      <c r="A114" s="336">
        <f>+D113</f>
        <v>622015</v>
      </c>
      <c r="B114" s="115" t="str">
        <f>+G112</f>
        <v>Ondernemersfonds</v>
      </c>
      <c r="D114" s="340">
        <v>44380</v>
      </c>
      <c r="E114" s="384"/>
      <c r="F114" s="340"/>
      <c r="G114" s="319" t="s">
        <v>3108</v>
      </c>
      <c r="I114" s="318"/>
      <c r="J114" s="317">
        <v>370000</v>
      </c>
      <c r="K114" s="317">
        <v>440800</v>
      </c>
      <c r="L114" s="317">
        <f>+L237</f>
        <v>450100</v>
      </c>
      <c r="M114" s="317">
        <f>+M237</f>
        <v>460500</v>
      </c>
      <c r="N114" s="317">
        <f>+N237</f>
        <v>471000</v>
      </c>
      <c r="O114" s="317">
        <f t="shared" ref="O114" si="40">+O237</f>
        <v>481500</v>
      </c>
      <c r="P114" s="114"/>
    </row>
    <row r="115" spans="1:16" ht="12.75" customHeight="1" thickBot="1" x14ac:dyDescent="0.3">
      <c r="A115" s="336"/>
      <c r="D115" s="340"/>
      <c r="E115" s="384"/>
      <c r="F115" s="340"/>
      <c r="G115" s="319" t="s">
        <v>536</v>
      </c>
      <c r="I115" s="318"/>
      <c r="J115" s="342">
        <v>370000</v>
      </c>
      <c r="K115" s="342">
        <v>440800</v>
      </c>
      <c r="L115" s="342">
        <f t="shared" ref="L115:N115" si="41">+L114</f>
        <v>450100</v>
      </c>
      <c r="M115" s="342">
        <f t="shared" si="41"/>
        <v>460500</v>
      </c>
      <c r="N115" s="342">
        <f t="shared" si="41"/>
        <v>471000</v>
      </c>
      <c r="O115" s="342">
        <f t="shared" ref="O115" si="42">+O114</f>
        <v>481500</v>
      </c>
      <c r="P115" s="114"/>
    </row>
    <row r="116" spans="1:16" ht="12.75" customHeight="1" thickTop="1" x14ac:dyDescent="0.25">
      <c r="A116" s="336"/>
      <c r="D116" s="340"/>
      <c r="E116" s="384"/>
      <c r="F116" s="340"/>
      <c r="I116" s="318"/>
      <c r="J116" s="317"/>
      <c r="K116" s="317"/>
      <c r="L116" s="317"/>
      <c r="M116" s="317"/>
      <c r="N116" s="317"/>
      <c r="O116" s="317"/>
      <c r="P116" s="114"/>
    </row>
    <row r="117" spans="1:16" ht="12.75" customHeight="1" x14ac:dyDescent="0.25">
      <c r="A117" s="336"/>
      <c r="D117" s="340"/>
      <c r="E117" s="384"/>
      <c r="F117" s="340"/>
      <c r="I117" s="318"/>
      <c r="J117" s="317"/>
      <c r="K117" s="317"/>
      <c r="L117" s="317"/>
      <c r="M117" s="317"/>
      <c r="N117" s="317"/>
      <c r="O117" s="317"/>
      <c r="P117" s="114"/>
    </row>
    <row r="118" spans="1:16" ht="12.75" customHeight="1" x14ac:dyDescent="0.25">
      <c r="A118" s="336"/>
      <c r="D118" s="333">
        <v>622001</v>
      </c>
      <c r="E118" s="330"/>
      <c r="F118" s="331"/>
      <c r="G118" s="332" t="s">
        <v>3095</v>
      </c>
      <c r="I118" s="318"/>
      <c r="J118" s="317"/>
      <c r="K118" s="317"/>
      <c r="L118" s="317"/>
      <c r="M118" s="317"/>
      <c r="N118" s="317"/>
      <c r="O118" s="317"/>
      <c r="P118" s="114"/>
    </row>
    <row r="119" spans="1:16" ht="12.75" customHeight="1" x14ac:dyDescent="0.25">
      <c r="A119" s="336"/>
      <c r="D119" s="340"/>
      <c r="E119" s="341"/>
      <c r="F119" s="340"/>
      <c r="G119" s="334" t="s">
        <v>554</v>
      </c>
      <c r="I119" s="318"/>
      <c r="J119" s="317"/>
      <c r="K119" s="317"/>
      <c r="L119" s="317"/>
      <c r="M119" s="317"/>
      <c r="N119" s="317"/>
      <c r="O119" s="317"/>
      <c r="P119" s="114"/>
    </row>
    <row r="120" spans="1:16" ht="12.75" customHeight="1" x14ac:dyDescent="0.25">
      <c r="A120" s="336">
        <v>622001</v>
      </c>
      <c r="B120" s="115" t="str">
        <f>G118</f>
        <v>Recognities voor vergunningen</v>
      </c>
      <c r="D120" s="340">
        <v>83600</v>
      </c>
      <c r="E120" s="341"/>
      <c r="F120" s="340"/>
      <c r="G120" s="319" t="s">
        <v>1010</v>
      </c>
      <c r="I120" s="318"/>
      <c r="J120" s="318">
        <v>-59</v>
      </c>
      <c r="K120" s="318">
        <v>-59</v>
      </c>
      <c r="L120" s="318">
        <f t="shared" ref="L120:M120" si="43">L282</f>
        <v>-60</v>
      </c>
      <c r="M120" s="318">
        <f t="shared" si="43"/>
        <v>-61</v>
      </c>
      <c r="N120" s="318">
        <f t="shared" ref="N120:O120" si="44">N282</f>
        <v>-62</v>
      </c>
      <c r="O120" s="318">
        <f t="shared" si="44"/>
        <v>-63</v>
      </c>
      <c r="P120" s="114"/>
    </row>
    <row r="121" spans="1:16" ht="12.75" customHeight="1" x14ac:dyDescent="0.25">
      <c r="A121" s="336">
        <v>622001</v>
      </c>
      <c r="B121" s="115" t="str">
        <f>G118</f>
        <v>Recognities voor vergunningen</v>
      </c>
      <c r="D121" s="337">
        <v>83300</v>
      </c>
      <c r="E121" s="343"/>
      <c r="F121" s="337"/>
      <c r="G121" s="319" t="s">
        <v>1009</v>
      </c>
      <c r="I121" s="318"/>
      <c r="J121" s="318">
        <v>-1</v>
      </c>
      <c r="K121" s="318">
        <v>-1</v>
      </c>
      <c r="L121" s="318">
        <f t="shared" ref="L121:M121" si="45">L285</f>
        <v>-1</v>
      </c>
      <c r="M121" s="318">
        <f t="shared" si="45"/>
        <v>-1</v>
      </c>
      <c r="N121" s="318">
        <f t="shared" ref="N121:O121" si="46">N285</f>
        <v>-1</v>
      </c>
      <c r="O121" s="318">
        <f t="shared" si="46"/>
        <v>-1</v>
      </c>
      <c r="P121" s="114"/>
    </row>
    <row r="122" spans="1:16" ht="12.75" customHeight="1" thickBot="1" x14ac:dyDescent="0.3">
      <c r="A122" s="336"/>
      <c r="D122" s="340"/>
      <c r="E122" s="341"/>
      <c r="F122" s="340"/>
      <c r="G122" s="319" t="s">
        <v>536</v>
      </c>
      <c r="I122" s="318"/>
      <c r="J122" s="342">
        <v>-60</v>
      </c>
      <c r="K122" s="342">
        <v>-60</v>
      </c>
      <c r="L122" s="342">
        <f>SUM(L119:L121)</f>
        <v>-61</v>
      </c>
      <c r="M122" s="342">
        <f>SUM(M119:M121)</f>
        <v>-62</v>
      </c>
      <c r="N122" s="342">
        <f>SUM(N119:N121)</f>
        <v>-63</v>
      </c>
      <c r="O122" s="342">
        <f>SUM(O119:O121)</f>
        <v>-64</v>
      </c>
      <c r="P122" s="114"/>
    </row>
    <row r="123" spans="1:16" ht="12.75" customHeight="1" thickTop="1" x14ac:dyDescent="0.25">
      <c r="A123" s="336"/>
      <c r="D123" s="340"/>
      <c r="E123" s="391"/>
      <c r="F123" s="340"/>
      <c r="G123" s="319"/>
      <c r="I123" s="318"/>
      <c r="J123" s="317"/>
      <c r="K123" s="317"/>
      <c r="L123" s="317"/>
      <c r="M123" s="317"/>
      <c r="N123" s="317"/>
      <c r="O123" s="317"/>
      <c r="P123" s="114"/>
    </row>
    <row r="124" spans="1:16" ht="12.75" customHeight="1" x14ac:dyDescent="0.25">
      <c r="A124" s="336"/>
      <c r="D124" s="333">
        <v>622008</v>
      </c>
      <c r="E124" s="331"/>
      <c r="F124" s="331"/>
      <c r="G124" s="332" t="s">
        <v>3098</v>
      </c>
      <c r="I124" s="318"/>
      <c r="J124" s="317"/>
      <c r="K124" s="317"/>
      <c r="L124" s="317"/>
      <c r="M124" s="317"/>
      <c r="N124" s="317"/>
      <c r="O124" s="317"/>
      <c r="P124" s="114"/>
    </row>
    <row r="125" spans="1:16" ht="12.75" customHeight="1" x14ac:dyDescent="0.25">
      <c r="A125" s="336"/>
      <c r="D125" s="340"/>
      <c r="E125" s="340"/>
      <c r="F125" s="340"/>
      <c r="G125" s="334" t="s">
        <v>554</v>
      </c>
      <c r="I125" s="318"/>
      <c r="J125" s="317"/>
      <c r="K125" s="317"/>
      <c r="L125" s="317"/>
      <c r="M125" s="317"/>
      <c r="N125" s="317"/>
      <c r="O125" s="317"/>
      <c r="P125" s="114"/>
    </row>
    <row r="126" spans="1:16" ht="12.75" customHeight="1" x14ac:dyDescent="0.25">
      <c r="A126" s="336">
        <v>622008</v>
      </c>
      <c r="B126" s="115" t="str">
        <f>G124</f>
        <v>Leges leggen van kabels en leidingen</v>
      </c>
      <c r="D126" s="337">
        <v>83700</v>
      </c>
      <c r="E126" s="337"/>
      <c r="F126" s="337"/>
      <c r="G126" s="319" t="s">
        <v>2691</v>
      </c>
      <c r="I126" s="318"/>
      <c r="J126" s="318">
        <v>-140032</v>
      </c>
      <c r="K126" s="318">
        <v>-143673</v>
      </c>
      <c r="L126" s="318">
        <f>+L267</f>
        <v>-146690</v>
      </c>
      <c r="M126" s="318">
        <f>+M267</f>
        <v>-150064</v>
      </c>
      <c r="N126" s="318">
        <f>+N267</f>
        <v>-153515</v>
      </c>
      <c r="O126" s="318">
        <f>+O267</f>
        <v>-157046</v>
      </c>
      <c r="P126" s="114"/>
    </row>
    <row r="127" spans="1:16" ht="12.75" customHeight="1" thickBot="1" x14ac:dyDescent="0.3">
      <c r="A127" s="336"/>
      <c r="D127" s="340"/>
      <c r="E127" s="340"/>
      <c r="F127" s="340"/>
      <c r="G127" s="319" t="s">
        <v>536</v>
      </c>
      <c r="I127" s="318"/>
      <c r="J127" s="342">
        <v>-140032</v>
      </c>
      <c r="K127" s="342">
        <v>-143673</v>
      </c>
      <c r="L127" s="342">
        <f>SUM(L125:L126)</f>
        <v>-146690</v>
      </c>
      <c r="M127" s="342">
        <f>SUM(M125:M126)</f>
        <v>-150064</v>
      </c>
      <c r="N127" s="342">
        <f>SUM(N125:N126)</f>
        <v>-153515</v>
      </c>
      <c r="O127" s="342">
        <f>SUM(O125:O126)</f>
        <v>-157046</v>
      </c>
      <c r="P127" s="114"/>
    </row>
    <row r="128" spans="1:16" ht="12.75" customHeight="1" thickTop="1" x14ac:dyDescent="0.25">
      <c r="A128" s="336"/>
      <c r="D128" s="340"/>
      <c r="E128" s="341"/>
      <c r="F128" s="340"/>
      <c r="G128" s="319"/>
      <c r="I128" s="316"/>
      <c r="J128" s="317"/>
      <c r="K128" s="317"/>
      <c r="L128" s="317"/>
      <c r="M128" s="317"/>
      <c r="N128" s="317"/>
      <c r="O128" s="317"/>
      <c r="P128" s="114"/>
    </row>
    <row r="129" spans="1:17" ht="12.75" customHeight="1" x14ac:dyDescent="0.25">
      <c r="A129" s="336"/>
      <c r="D129" s="333">
        <v>622901</v>
      </c>
      <c r="E129" s="1022"/>
      <c r="F129" s="331"/>
      <c r="G129" s="332" t="s">
        <v>3109</v>
      </c>
      <c r="H129" s="355"/>
      <c r="I129" s="316"/>
      <c r="J129" s="316"/>
      <c r="K129" s="316"/>
      <c r="L129" s="316"/>
      <c r="M129" s="316"/>
      <c r="N129" s="316"/>
      <c r="O129" s="316"/>
    </row>
    <row r="130" spans="1:17" ht="12.75" customHeight="1" x14ac:dyDescent="0.25">
      <c r="A130" s="336"/>
      <c r="D130" s="340"/>
      <c r="E130" s="622"/>
      <c r="F130" s="340"/>
      <c r="G130" s="334" t="s">
        <v>533</v>
      </c>
      <c r="H130" s="355"/>
      <c r="I130" s="316"/>
      <c r="J130" s="316"/>
      <c r="K130" s="316"/>
      <c r="L130" s="316"/>
      <c r="M130" s="316"/>
      <c r="N130" s="316"/>
      <c r="O130" s="316"/>
    </row>
    <row r="131" spans="1:17" ht="12.75" customHeight="1" x14ac:dyDescent="0.25">
      <c r="A131" s="336">
        <v>622901</v>
      </c>
      <c r="B131" s="115" t="str">
        <f>G129</f>
        <v>Directe toerekening economische ontwikkeling</v>
      </c>
      <c r="D131" s="340">
        <v>41100</v>
      </c>
      <c r="E131" s="622"/>
      <c r="F131" s="340"/>
      <c r="G131" s="319" t="s">
        <v>541</v>
      </c>
      <c r="H131" s="355"/>
      <c r="I131" s="318"/>
      <c r="J131" s="318">
        <v>180694</v>
      </c>
      <c r="K131" s="318">
        <v>196836.7</v>
      </c>
      <c r="L131" s="318">
        <f>L203</f>
        <v>205104</v>
      </c>
      <c r="M131" s="318">
        <f>M203</f>
        <v>212693</v>
      </c>
      <c r="N131" s="318">
        <f>N203</f>
        <v>220563</v>
      </c>
      <c r="O131" s="318">
        <f>O203</f>
        <v>228724</v>
      </c>
      <c r="P131" s="114"/>
    </row>
    <row r="132" spans="1:17" ht="12.75" customHeight="1" x14ac:dyDescent="0.25">
      <c r="A132" s="336">
        <v>622901</v>
      </c>
      <c r="B132" s="115" t="s">
        <v>3109</v>
      </c>
      <c r="D132" s="340">
        <v>47300</v>
      </c>
      <c r="E132" s="622"/>
      <c r="F132" s="340"/>
      <c r="G132" s="319" t="s">
        <v>1033</v>
      </c>
      <c r="I132" s="318"/>
      <c r="J132" s="318">
        <v>1410</v>
      </c>
      <c r="K132" s="318">
        <v>0</v>
      </c>
      <c r="L132" s="318">
        <v>0</v>
      </c>
      <c r="M132" s="318">
        <v>0</v>
      </c>
      <c r="N132" s="318">
        <v>0</v>
      </c>
      <c r="O132" s="318">
        <v>0</v>
      </c>
      <c r="P132" s="114"/>
    </row>
    <row r="133" spans="1:17" ht="12.75" customHeight="1" thickBot="1" x14ac:dyDescent="0.3">
      <c r="A133" s="336"/>
      <c r="D133" s="340"/>
      <c r="E133" s="622"/>
      <c r="F133" s="340"/>
      <c r="G133" s="319" t="s">
        <v>536</v>
      </c>
      <c r="I133" s="318"/>
      <c r="J133" s="342">
        <v>182104</v>
      </c>
      <c r="K133" s="342">
        <v>196836.7</v>
      </c>
      <c r="L133" s="342">
        <f t="shared" ref="L133:M133" si="47">SUM(L131:L132)</f>
        <v>205104</v>
      </c>
      <c r="M133" s="342">
        <f t="shared" si="47"/>
        <v>212693</v>
      </c>
      <c r="N133" s="342">
        <f t="shared" ref="N133:O133" si="48">SUM(N131:N132)</f>
        <v>220563</v>
      </c>
      <c r="O133" s="342">
        <f t="shared" si="48"/>
        <v>228724</v>
      </c>
      <c r="P133" s="114"/>
    </row>
    <row r="134" spans="1:17" ht="12.75" customHeight="1" thickTop="1" x14ac:dyDescent="0.25">
      <c r="A134" s="336"/>
      <c r="D134" s="340"/>
      <c r="E134" s="622"/>
      <c r="F134" s="340"/>
      <c r="G134" s="319"/>
      <c r="I134" s="318"/>
      <c r="J134" s="317"/>
      <c r="K134" s="317"/>
      <c r="L134" s="317"/>
      <c r="M134" s="317"/>
      <c r="N134" s="317"/>
      <c r="O134" s="317"/>
      <c r="P134" s="114"/>
    </row>
    <row r="135" spans="1:17" ht="12.75" customHeight="1" x14ac:dyDescent="0.25">
      <c r="A135" s="336"/>
      <c r="D135" s="347">
        <v>622902</v>
      </c>
      <c r="E135" s="476"/>
      <c r="F135" s="476"/>
      <c r="G135" s="332" t="s">
        <v>3094</v>
      </c>
      <c r="I135" s="318"/>
      <c r="J135" s="317"/>
      <c r="K135" s="317"/>
      <c r="L135" s="317"/>
      <c r="M135" s="317"/>
      <c r="N135" s="317"/>
      <c r="O135" s="317"/>
      <c r="P135" s="114"/>
    </row>
    <row r="136" spans="1:17" ht="12.75" customHeight="1" x14ac:dyDescent="0.25">
      <c r="A136" s="336"/>
      <c r="D136" s="340"/>
      <c r="E136" s="340"/>
      <c r="F136" s="340"/>
      <c r="G136" s="334" t="s">
        <v>533</v>
      </c>
      <c r="I136" s="318"/>
      <c r="J136" s="317"/>
      <c r="K136" s="317"/>
      <c r="L136" s="317"/>
      <c r="M136" s="317"/>
      <c r="N136" s="317"/>
      <c r="O136" s="317"/>
      <c r="P136" s="114"/>
    </row>
    <row r="137" spans="1:17" ht="12.75" customHeight="1" x14ac:dyDescent="0.25">
      <c r="A137" s="336">
        <v>622902</v>
      </c>
      <c r="B137" s="115" t="str">
        <f>G135</f>
        <v>Directe toerekening kabels e.d. (titel 1)</v>
      </c>
      <c r="D137" s="340">
        <v>41100</v>
      </c>
      <c r="E137" s="340"/>
      <c r="F137" s="340"/>
      <c r="G137" s="319" t="s">
        <v>541</v>
      </c>
      <c r="I137" s="318"/>
      <c r="J137" s="318">
        <v>146572.94</v>
      </c>
      <c r="K137" s="318">
        <v>114331</v>
      </c>
      <c r="L137" s="318">
        <f>+L259</f>
        <v>119133</v>
      </c>
      <c r="M137" s="318">
        <f>+M259</f>
        <v>123541</v>
      </c>
      <c r="N137" s="318">
        <f>+N259</f>
        <v>128112</v>
      </c>
      <c r="O137" s="318">
        <f>+O259</f>
        <v>132852</v>
      </c>
      <c r="P137" s="114"/>
      <c r="Q137" s="114"/>
    </row>
    <row r="138" spans="1:17" ht="12.75" customHeight="1" thickBot="1" x14ac:dyDescent="0.3">
      <c r="A138" s="336"/>
      <c r="D138" s="167"/>
      <c r="E138" s="167"/>
      <c r="F138" s="167"/>
      <c r="G138" s="168" t="s">
        <v>536</v>
      </c>
      <c r="H138" s="149"/>
      <c r="I138" s="156"/>
      <c r="J138" s="342">
        <v>146572.94</v>
      </c>
      <c r="K138" s="342">
        <v>114331</v>
      </c>
      <c r="L138" s="342">
        <f>SUM(L136:L137)</f>
        <v>119133</v>
      </c>
      <c r="M138" s="342">
        <f>SUM(M136:M137)</f>
        <v>123541</v>
      </c>
      <c r="N138" s="342">
        <f>SUM(N136:N137)</f>
        <v>128112</v>
      </c>
      <c r="O138" s="342">
        <f>SUM(O136:O137)</f>
        <v>132852</v>
      </c>
      <c r="P138" s="114"/>
    </row>
    <row r="139" spans="1:17" ht="12.75" customHeight="1" thickTop="1" x14ac:dyDescent="0.25">
      <c r="A139" s="336"/>
      <c r="D139" s="384"/>
      <c r="E139" s="391"/>
      <c r="F139" s="384"/>
      <c r="I139" s="114"/>
      <c r="J139" s="114"/>
      <c r="K139" s="114"/>
      <c r="L139" s="114"/>
      <c r="M139" s="114"/>
      <c r="N139" s="114"/>
      <c r="O139" s="114"/>
      <c r="P139" s="114"/>
    </row>
    <row r="140" spans="1:17" ht="12.75" customHeight="1" x14ac:dyDescent="0.25">
      <c r="A140" s="336"/>
      <c r="D140" s="384"/>
      <c r="E140" s="391"/>
      <c r="F140" s="384"/>
      <c r="I140" s="114"/>
      <c r="J140" s="114"/>
      <c r="K140" s="114"/>
      <c r="L140" s="114"/>
      <c r="M140" s="114"/>
      <c r="N140" s="114"/>
      <c r="O140" s="114"/>
      <c r="P140" s="114"/>
    </row>
    <row r="141" spans="1:17" ht="12.75" customHeight="1" x14ac:dyDescent="0.25">
      <c r="A141" s="336"/>
      <c r="D141" s="428" t="s">
        <v>561</v>
      </c>
      <c r="E141" s="1186"/>
      <c r="F141" s="1186"/>
      <c r="G141" s="1187"/>
      <c r="H141" s="355"/>
    </row>
    <row r="142" spans="1:17" ht="12.75" customHeight="1" x14ac:dyDescent="0.25">
      <c r="A142" s="336"/>
      <c r="D142" s="1188"/>
      <c r="E142" s="1186"/>
      <c r="F142" s="1186"/>
      <c r="G142" s="1187"/>
      <c r="H142" s="355"/>
    </row>
    <row r="143" spans="1:17" ht="12.75" customHeight="1" x14ac:dyDescent="0.25">
      <c r="A143" s="336"/>
      <c r="D143" s="1188"/>
      <c r="E143" s="1186"/>
      <c r="F143" s="1186"/>
      <c r="G143" s="1187"/>
      <c r="H143" s="355"/>
    </row>
    <row r="144" spans="1:17" ht="12.75" customHeight="1" x14ac:dyDescent="0.25">
      <c r="A144" s="336"/>
      <c r="D144" s="1188"/>
      <c r="E144" s="1186"/>
      <c r="F144" s="1186"/>
      <c r="G144" s="1187"/>
      <c r="H144" s="355"/>
    </row>
    <row r="145" spans="1:18" ht="12.75" customHeight="1" x14ac:dyDescent="0.25">
      <c r="D145" s="393">
        <v>622003</v>
      </c>
      <c r="E145" s="381" t="s">
        <v>3100</v>
      </c>
      <c r="F145" s="115"/>
      <c r="J145" s="154"/>
      <c r="K145" s="605">
        <v>2026</v>
      </c>
      <c r="L145" s="605">
        <v>2027</v>
      </c>
      <c r="M145" s="605">
        <v>2028</v>
      </c>
      <c r="N145" s="605">
        <v>2029</v>
      </c>
      <c r="O145" s="605">
        <v>2030</v>
      </c>
      <c r="P145" s="154"/>
    </row>
    <row r="146" spans="1:18" ht="12.75" customHeight="1" x14ac:dyDescent="0.25">
      <c r="D146" s="393"/>
      <c r="E146" s="383" t="s">
        <v>533</v>
      </c>
      <c r="F146" s="115"/>
      <c r="J146" s="154"/>
      <c r="K146" s="154"/>
      <c r="L146" s="154"/>
      <c r="M146" s="154"/>
      <c r="N146" s="154"/>
      <c r="O146" s="154"/>
      <c r="P146" s="154"/>
    </row>
    <row r="147" spans="1:18" ht="12.75" customHeight="1" x14ac:dyDescent="0.25">
      <c r="D147" s="143">
        <v>43812</v>
      </c>
      <c r="E147" s="115" t="s">
        <v>3110</v>
      </c>
      <c r="F147" s="115"/>
      <c r="J147" s="114"/>
      <c r="K147" s="114">
        <v>10030</v>
      </c>
      <c r="L147" s="114">
        <f>ROUND(K147*T$2,0)</f>
        <v>10241</v>
      </c>
      <c r="M147" s="114">
        <f>ROUND(L147*U$2,0)</f>
        <v>10477</v>
      </c>
      <c r="N147" s="114">
        <f>ROUND(M147*V$2,0)</f>
        <v>10718</v>
      </c>
      <c r="O147" s="114">
        <f>ROUND(N147*W$2,0)</f>
        <v>10965</v>
      </c>
      <c r="P147" s="114"/>
    </row>
    <row r="148" spans="1:18" ht="12.75" customHeight="1" x14ac:dyDescent="0.25">
      <c r="D148" s="143"/>
      <c r="E148" s="115" t="s">
        <v>3111</v>
      </c>
      <c r="F148" s="115"/>
      <c r="J148" s="114"/>
      <c r="K148" s="114">
        <v>17800</v>
      </c>
      <c r="L148" s="114">
        <f>ROUND(K148*T$2,-2)</f>
        <v>18200</v>
      </c>
      <c r="M148" s="114">
        <f>ROUND(L148*U$2,-2)</f>
        <v>18600</v>
      </c>
      <c r="N148" s="114">
        <f>ROUND(M148*V$2,-2)</f>
        <v>19000</v>
      </c>
      <c r="O148" s="114">
        <f>ROUND(N148*W$2,-2)</f>
        <v>19400</v>
      </c>
      <c r="P148" s="114"/>
    </row>
    <row r="149" spans="1:18" ht="12.75" customHeight="1" thickBot="1" x14ac:dyDescent="0.3">
      <c r="D149" s="143"/>
      <c r="E149" s="115" t="s">
        <v>619</v>
      </c>
      <c r="F149" s="115"/>
      <c r="J149" s="114"/>
      <c r="K149" s="1744">
        <v>27830</v>
      </c>
      <c r="L149" s="1744">
        <f t="shared" ref="L149:M149" si="49">SUM(L147:L148)</f>
        <v>28441</v>
      </c>
      <c r="M149" s="1744">
        <f t="shared" si="49"/>
        <v>29077</v>
      </c>
      <c r="N149" s="1744">
        <f t="shared" ref="N149:O149" si="50">SUM(N147:N148)</f>
        <v>29718</v>
      </c>
      <c r="O149" s="1744">
        <f t="shared" si="50"/>
        <v>30365</v>
      </c>
      <c r="P149" s="114"/>
    </row>
    <row r="150" spans="1:18" ht="12.75" customHeight="1" thickTop="1" x14ac:dyDescent="0.25">
      <c r="E150" s="115"/>
      <c r="F150" s="115"/>
      <c r="H150" s="397"/>
      <c r="I150" s="397"/>
    </row>
    <row r="151" spans="1:18" ht="12.75" customHeight="1" x14ac:dyDescent="0.25">
      <c r="D151" s="393">
        <v>622004</v>
      </c>
      <c r="E151" s="381" t="s">
        <v>3101</v>
      </c>
      <c r="F151" s="115"/>
      <c r="G151" s="397"/>
      <c r="H151" s="397"/>
      <c r="I151" s="154"/>
    </row>
    <row r="152" spans="1:18" ht="12.75" customHeight="1" x14ac:dyDescent="0.25">
      <c r="D152" s="393"/>
      <c r="E152" s="383" t="s">
        <v>533</v>
      </c>
      <c r="F152" s="115"/>
      <c r="G152" s="154"/>
      <c r="H152" s="154"/>
      <c r="I152" s="154"/>
    </row>
    <row r="153" spans="1:18" s="305" customFormat="1" ht="12.75" customHeight="1" x14ac:dyDescent="0.25">
      <c r="A153" s="306"/>
      <c r="B153" s="115"/>
      <c r="C153" s="115"/>
      <c r="D153" s="393"/>
      <c r="E153" s="308" t="s">
        <v>3112</v>
      </c>
      <c r="F153" s="115"/>
      <c r="G153" s="633"/>
      <c r="H153" s="633"/>
      <c r="I153" s="633"/>
      <c r="J153" s="151"/>
      <c r="K153" s="151">
        <v>60800</v>
      </c>
      <c r="L153" s="151">
        <f>ROUND(K153*T$3,-2)</f>
        <v>63400</v>
      </c>
      <c r="M153" s="151">
        <f>ROUND(L153*U$3,-2)</f>
        <v>65700</v>
      </c>
      <c r="N153" s="151">
        <f>ROUND(M153*V$3,-2)</f>
        <v>68100</v>
      </c>
      <c r="O153" s="151">
        <f>ROUND(N153*W$3,-2)</f>
        <v>70600</v>
      </c>
      <c r="P153" s="151"/>
      <c r="Q153" s="115"/>
      <c r="R153" s="115"/>
    </row>
    <row r="154" spans="1:18" s="305" customFormat="1" ht="12.75" customHeight="1" x14ac:dyDescent="0.25">
      <c r="A154" s="306"/>
      <c r="B154" s="115"/>
      <c r="C154" s="115"/>
      <c r="D154" s="393"/>
      <c r="E154" s="308" t="s">
        <v>3113</v>
      </c>
      <c r="F154" s="115"/>
      <c r="G154" s="633"/>
      <c r="H154" s="633"/>
      <c r="I154" s="633"/>
      <c r="J154" s="151"/>
      <c r="K154" s="151"/>
      <c r="L154" s="151"/>
      <c r="M154" s="151"/>
      <c r="N154" s="151"/>
      <c r="O154" s="151"/>
      <c r="P154" s="151"/>
      <c r="Q154" s="115"/>
      <c r="R154" s="115"/>
    </row>
    <row r="155" spans="1:18" s="305" customFormat="1" ht="12.75" customHeight="1" x14ac:dyDescent="0.25">
      <c r="A155" s="306"/>
      <c r="B155" s="115"/>
      <c r="C155" s="115"/>
      <c r="D155" s="393"/>
      <c r="E155" s="308" t="s">
        <v>3114</v>
      </c>
      <c r="F155" s="115"/>
      <c r="G155" s="115"/>
      <c r="H155" s="115"/>
      <c r="I155" s="115"/>
      <c r="J155" s="405"/>
      <c r="K155" s="269">
        <v>-60800</v>
      </c>
      <c r="L155" s="269">
        <v>-63600</v>
      </c>
      <c r="M155" s="269">
        <v>-66500</v>
      </c>
      <c r="N155" s="269">
        <v>-69600</v>
      </c>
      <c r="O155" s="269">
        <f>-O153</f>
        <v>-70600</v>
      </c>
      <c r="P155" s="151"/>
      <c r="Q155" s="115"/>
      <c r="R155" s="115"/>
    </row>
    <row r="156" spans="1:18" ht="12.75" customHeight="1" thickBot="1" x14ac:dyDescent="0.3">
      <c r="D156" s="143"/>
      <c r="E156" s="115" t="s">
        <v>619</v>
      </c>
      <c r="F156" s="115"/>
      <c r="J156" s="151"/>
      <c r="K156" s="1778">
        <v>0</v>
      </c>
      <c r="L156" s="1778">
        <f>SUM(L153:L155)</f>
        <v>-200</v>
      </c>
      <c r="M156" s="1778">
        <f>SUM(M153:M155)</f>
        <v>-800</v>
      </c>
      <c r="N156" s="1778">
        <f>SUM(N153:N155)</f>
        <v>-1500</v>
      </c>
      <c r="O156" s="1778">
        <f>SUM(O153:O155)</f>
        <v>0</v>
      </c>
      <c r="P156" s="151"/>
    </row>
    <row r="157" spans="1:18" s="305" customFormat="1" ht="12.75" customHeight="1" thickTop="1" x14ac:dyDescent="0.25">
      <c r="A157" s="306"/>
      <c r="B157" s="115"/>
      <c r="C157" s="115"/>
      <c r="D157" s="393"/>
      <c r="E157" s="115" t="s">
        <v>3115</v>
      </c>
      <c r="F157" s="115"/>
      <c r="G157" s="633"/>
      <c r="H157" s="633"/>
      <c r="I157" s="633"/>
      <c r="J157" s="115"/>
      <c r="K157" s="115"/>
      <c r="L157" s="115"/>
      <c r="M157" s="115"/>
      <c r="N157" s="115"/>
      <c r="O157" s="115"/>
      <c r="P157" s="115"/>
      <c r="Q157" s="115"/>
      <c r="R157" s="115"/>
    </row>
    <row r="158" spans="1:18" s="305" customFormat="1" ht="12.75" customHeight="1" x14ac:dyDescent="0.25">
      <c r="A158" s="306"/>
      <c r="B158" s="115"/>
      <c r="C158" s="115"/>
      <c r="D158" s="393"/>
      <c r="E158" s="115"/>
      <c r="F158" s="115"/>
      <c r="G158" s="633"/>
      <c r="H158" s="633"/>
      <c r="I158" s="633"/>
      <c r="J158" s="115"/>
      <c r="K158" s="115"/>
      <c r="L158" s="115"/>
      <c r="M158" s="115"/>
      <c r="N158" s="115"/>
      <c r="O158" s="115"/>
      <c r="P158" s="115"/>
      <c r="Q158" s="115"/>
      <c r="R158" s="115"/>
    </row>
    <row r="159" spans="1:18" s="305" customFormat="1" ht="12.75" customHeight="1" x14ac:dyDescent="0.25">
      <c r="A159" s="306"/>
      <c r="B159" s="115"/>
      <c r="C159" s="115"/>
      <c r="D159" s="393"/>
      <c r="E159" s="115"/>
      <c r="F159" s="115"/>
      <c r="G159" s="633"/>
      <c r="H159" s="633"/>
      <c r="I159" s="633"/>
      <c r="J159" s="115"/>
      <c r="K159" s="115"/>
      <c r="L159" s="115"/>
      <c r="M159" s="115"/>
      <c r="N159" s="115"/>
      <c r="O159" s="115"/>
      <c r="P159" s="115"/>
      <c r="Q159" s="115"/>
      <c r="R159" s="115"/>
    </row>
    <row r="160" spans="1:18" ht="12.75" customHeight="1" x14ac:dyDescent="0.25">
      <c r="D160" s="143">
        <v>44380</v>
      </c>
      <c r="E160" s="308" t="s">
        <v>3116</v>
      </c>
      <c r="F160" s="308"/>
      <c r="G160" s="308"/>
      <c r="H160" s="308"/>
      <c r="I160" s="308"/>
      <c r="J160" s="268"/>
      <c r="K160" s="269">
        <v>129483</v>
      </c>
      <c r="L160" s="1189">
        <v>132460</v>
      </c>
      <c r="M160" s="1189">
        <v>135506</v>
      </c>
      <c r="N160" s="1189">
        <v>138622</v>
      </c>
      <c r="O160" s="2116">
        <v>0</v>
      </c>
    </row>
    <row r="161" spans="1:18" ht="12.75" customHeight="1" x14ac:dyDescent="0.25">
      <c r="E161" s="308" t="s">
        <v>3117</v>
      </c>
      <c r="F161" s="308"/>
      <c r="G161" s="308"/>
      <c r="H161" s="308"/>
      <c r="I161" s="308"/>
      <c r="J161" s="268"/>
      <c r="K161" s="269">
        <v>-97091</v>
      </c>
      <c r="L161" s="1189">
        <v>-98900</v>
      </c>
      <c r="M161" s="1189">
        <v>-100759</v>
      </c>
      <c r="N161" s="1189">
        <v>-102652.94318503539</v>
      </c>
      <c r="O161" s="2116">
        <v>0</v>
      </c>
    </row>
    <row r="162" spans="1:18" ht="12.75" customHeight="1" x14ac:dyDescent="0.25">
      <c r="E162" s="308" t="s">
        <v>3114</v>
      </c>
      <c r="F162" s="308"/>
      <c r="G162" s="308"/>
      <c r="H162" s="308"/>
      <c r="I162" s="308"/>
      <c r="J162" s="405"/>
      <c r="K162" s="269">
        <v>-32392</v>
      </c>
      <c r="L162" s="269">
        <v>-33560</v>
      </c>
      <c r="M162" s="269">
        <v>-34747</v>
      </c>
      <c r="N162" s="269">
        <v>-35969</v>
      </c>
      <c r="O162" s="2117">
        <v>0</v>
      </c>
    </row>
    <row r="163" spans="1:18" s="305" customFormat="1" ht="12.75" customHeight="1" x14ac:dyDescent="0.25">
      <c r="A163" s="306"/>
      <c r="B163" s="115"/>
      <c r="C163" s="115"/>
      <c r="D163" s="143"/>
      <c r="E163" s="308"/>
      <c r="F163" s="115"/>
      <c r="G163" s="399"/>
      <c r="H163" s="399"/>
      <c r="I163" s="399"/>
      <c r="J163" s="114"/>
      <c r="K163" s="114"/>
      <c r="L163" s="114"/>
      <c r="M163" s="114"/>
      <c r="N163" s="114"/>
      <c r="O163" s="114"/>
      <c r="P163" s="114"/>
      <c r="Q163" s="115"/>
      <c r="R163" s="115"/>
    </row>
    <row r="164" spans="1:18" ht="12.75" customHeight="1" x14ac:dyDescent="0.25">
      <c r="E164" s="115"/>
      <c r="F164" s="115"/>
      <c r="G164" s="399"/>
      <c r="H164" s="399"/>
      <c r="I164" s="399"/>
    </row>
    <row r="165" spans="1:18" ht="12.75" customHeight="1" thickBot="1" x14ac:dyDescent="0.3">
      <c r="D165" s="115"/>
      <c r="E165" s="115" t="str">
        <f>"Totaal "&amp;D160</f>
        <v>Totaal 44380</v>
      </c>
      <c r="F165" s="115"/>
      <c r="G165" s="399"/>
      <c r="H165" s="399"/>
      <c r="I165" s="399"/>
      <c r="J165" s="114"/>
      <c r="K165" s="1744">
        <v>0</v>
      </c>
      <c r="L165" s="1744">
        <f>SUM(L160:L163)</f>
        <v>0</v>
      </c>
      <c r="M165" s="1744">
        <f>SUM(M160:M163)</f>
        <v>0</v>
      </c>
      <c r="N165" s="1744">
        <f>SUM(N160:N163)</f>
        <v>5.681496461329516E-2</v>
      </c>
      <c r="O165" s="1744">
        <f>SUM(O160:O163)</f>
        <v>0</v>
      </c>
      <c r="P165" s="114"/>
    </row>
    <row r="166" spans="1:18" ht="12.75" customHeight="1" thickTop="1" x14ac:dyDescent="0.25">
      <c r="D166" s="115"/>
      <c r="E166" s="115"/>
      <c r="F166" s="115"/>
      <c r="G166" s="399"/>
      <c r="H166" s="399"/>
      <c r="I166" s="399"/>
      <c r="J166" s="114"/>
      <c r="K166" s="114"/>
      <c r="L166" s="114"/>
      <c r="M166" s="114"/>
      <c r="N166" s="114"/>
      <c r="O166" s="114"/>
      <c r="P166" s="114"/>
    </row>
    <row r="167" spans="1:18" ht="12.75" customHeight="1" x14ac:dyDescent="0.25">
      <c r="D167" s="393">
        <v>622005</v>
      </c>
      <c r="E167" s="381" t="s">
        <v>3118</v>
      </c>
      <c r="F167" s="115"/>
      <c r="G167" s="399"/>
      <c r="H167" s="399"/>
      <c r="I167" s="399"/>
      <c r="J167" s="154"/>
      <c r="K167" s="605">
        <v>2026</v>
      </c>
      <c r="L167" s="605">
        <v>2027</v>
      </c>
      <c r="M167" s="605">
        <v>2028</v>
      </c>
      <c r="N167" s="605">
        <v>2029</v>
      </c>
      <c r="O167" s="605">
        <v>2030</v>
      </c>
      <c r="P167" s="154"/>
    </row>
    <row r="168" spans="1:18" ht="12.75" customHeight="1" x14ac:dyDescent="0.25">
      <c r="D168" s="393"/>
      <c r="E168" s="383" t="s">
        <v>533</v>
      </c>
      <c r="F168" s="115"/>
      <c r="G168" s="399"/>
      <c r="H168" s="399"/>
      <c r="I168" s="399"/>
      <c r="J168" s="154"/>
      <c r="K168" s="154"/>
      <c r="L168" s="154"/>
      <c r="M168" s="154"/>
      <c r="N168" s="154"/>
      <c r="O168" s="154"/>
      <c r="P168" s="154"/>
    </row>
    <row r="169" spans="1:18" ht="12.75" customHeight="1" x14ac:dyDescent="0.25">
      <c r="D169" s="143">
        <v>44330</v>
      </c>
      <c r="E169" s="115" t="s">
        <v>1702</v>
      </c>
      <c r="F169" s="115"/>
      <c r="G169" s="399"/>
      <c r="H169" s="399"/>
      <c r="I169" s="399"/>
    </row>
    <row r="170" spans="1:18" ht="12.75" customHeight="1" x14ac:dyDescent="0.25">
      <c r="E170" s="115" t="s">
        <v>3119</v>
      </c>
      <c r="F170" s="115"/>
      <c r="G170" s="399"/>
      <c r="H170" s="399"/>
      <c r="I170" s="399"/>
      <c r="J170" s="114"/>
      <c r="K170" s="114">
        <v>220590</v>
      </c>
      <c r="L170" s="114">
        <f>ROUND(K170*T$2,0)</f>
        <v>225222</v>
      </c>
      <c r="M170" s="114">
        <f>ROUND(L170*U$2,0)</f>
        <v>230402</v>
      </c>
      <c r="N170" s="114">
        <f>ROUND(M170*V$2,0)</f>
        <v>235701</v>
      </c>
      <c r="O170" s="114">
        <f>ROUND(N170*W$2,0)</f>
        <v>241122</v>
      </c>
      <c r="P170" s="114"/>
    </row>
    <row r="171" spans="1:18" ht="12.75" customHeight="1" x14ac:dyDescent="0.25">
      <c r="E171" s="115"/>
      <c r="F171" s="115"/>
      <c r="G171" s="399"/>
      <c r="H171" s="399"/>
      <c r="I171" s="399"/>
      <c r="J171" s="114"/>
      <c r="K171" s="114"/>
      <c r="L171" s="114"/>
      <c r="M171" s="114"/>
      <c r="N171" s="114"/>
      <c r="O171" s="114"/>
      <c r="P171" s="114"/>
    </row>
    <row r="172" spans="1:18" ht="12.75" customHeight="1" thickBot="1" x14ac:dyDescent="0.3">
      <c r="E172" s="115" t="str">
        <f>"Totaal "&amp;D169</f>
        <v>Totaal 44330</v>
      </c>
      <c r="F172" s="115"/>
      <c r="G172" s="399"/>
      <c r="H172" s="399"/>
      <c r="I172" s="399"/>
      <c r="J172" s="114"/>
      <c r="K172" s="1744">
        <v>220590</v>
      </c>
      <c r="L172" s="1744">
        <f t="shared" ref="L172:M172" si="51">L170</f>
        <v>225222</v>
      </c>
      <c r="M172" s="1744">
        <f t="shared" si="51"/>
        <v>230402</v>
      </c>
      <c r="N172" s="1744">
        <f t="shared" ref="N172:O172" si="52">N170</f>
        <v>235701</v>
      </c>
      <c r="O172" s="1744">
        <f t="shared" si="52"/>
        <v>241122</v>
      </c>
      <c r="P172" s="114"/>
    </row>
    <row r="173" spans="1:18" ht="12.75" customHeight="1" thickTop="1" x14ac:dyDescent="0.25">
      <c r="E173" s="115"/>
      <c r="F173" s="115"/>
      <c r="G173" s="399"/>
      <c r="H173" s="399"/>
      <c r="I173" s="399"/>
      <c r="J173" s="114"/>
      <c r="K173" s="114"/>
      <c r="L173" s="114"/>
      <c r="M173" s="114"/>
      <c r="N173" s="114"/>
      <c r="O173" s="114"/>
      <c r="P173" s="114"/>
    </row>
    <row r="174" spans="1:18" ht="12.75" customHeight="1" x14ac:dyDescent="0.25">
      <c r="E174" s="115"/>
      <c r="F174" s="115"/>
      <c r="G174" s="399"/>
      <c r="H174" s="399"/>
      <c r="I174" s="399"/>
      <c r="J174" s="114"/>
      <c r="K174" s="114"/>
      <c r="L174" s="114"/>
      <c r="M174" s="114"/>
      <c r="N174" s="114"/>
      <c r="O174" s="114"/>
      <c r="P174" s="114"/>
    </row>
    <row r="175" spans="1:18" ht="12.75" customHeight="1" x14ac:dyDescent="0.25">
      <c r="D175" s="301">
        <v>44360</v>
      </c>
      <c r="E175" s="115" t="s">
        <v>3120</v>
      </c>
      <c r="F175" s="115"/>
      <c r="G175" s="399"/>
      <c r="H175" s="399"/>
      <c r="I175" s="399"/>
      <c r="J175" s="114"/>
      <c r="K175" s="114"/>
      <c r="L175" s="114"/>
      <c r="M175" s="114"/>
      <c r="N175" s="114"/>
      <c r="O175" s="114"/>
      <c r="P175" s="114"/>
    </row>
    <row r="176" spans="1:18" ht="12.75" customHeight="1" x14ac:dyDescent="0.25">
      <c r="E176" s="2520" t="s">
        <v>3121</v>
      </c>
      <c r="F176" s="2520"/>
      <c r="G176" s="2520"/>
      <c r="H176" s="2520"/>
      <c r="I176" s="2520"/>
      <c r="J176" s="114"/>
      <c r="K176" s="114">
        <v>12243</v>
      </c>
      <c r="L176" s="114">
        <v>0</v>
      </c>
      <c r="M176" s="114">
        <v>0</v>
      </c>
      <c r="N176" s="114">
        <v>0</v>
      </c>
      <c r="O176" s="114">
        <v>0</v>
      </c>
      <c r="P176" s="114"/>
    </row>
    <row r="177" spans="1:18" ht="12.75" customHeight="1" x14ac:dyDescent="0.25">
      <c r="E177" s="2520"/>
      <c r="F177" s="2520"/>
      <c r="G177" s="2520"/>
      <c r="H177" s="2520"/>
      <c r="I177" s="2520"/>
      <c r="J177" s="114"/>
      <c r="K177" s="114"/>
      <c r="L177" s="114"/>
      <c r="M177" s="114"/>
      <c r="N177" s="114"/>
      <c r="O177" s="114"/>
      <c r="P177" s="114"/>
    </row>
    <row r="178" spans="1:18" ht="12.75" customHeight="1" x14ac:dyDescent="0.25">
      <c r="E178" s="2520"/>
      <c r="F178" s="2520"/>
      <c r="G178" s="2520"/>
      <c r="H178" s="2520"/>
      <c r="I178" s="2520"/>
      <c r="J178" s="114"/>
      <c r="K178" s="114"/>
      <c r="L178" s="114"/>
      <c r="M178" s="114"/>
      <c r="N178" s="114"/>
      <c r="O178" s="114"/>
      <c r="P178" s="114"/>
    </row>
    <row r="179" spans="1:18" ht="12.75" customHeight="1" x14ac:dyDescent="0.25">
      <c r="E179" s="2520"/>
      <c r="F179" s="2520"/>
      <c r="G179" s="2520"/>
      <c r="H179" s="2520"/>
      <c r="I179" s="2520"/>
      <c r="J179" s="114"/>
      <c r="K179" s="114"/>
      <c r="L179" s="114"/>
      <c r="M179" s="114"/>
      <c r="N179" s="114"/>
      <c r="O179" s="114"/>
      <c r="P179" s="114"/>
    </row>
    <row r="180" spans="1:18" ht="12.75" customHeight="1" x14ac:dyDescent="0.25">
      <c r="E180" s="2520"/>
      <c r="F180" s="2520"/>
      <c r="G180" s="2520"/>
      <c r="H180" s="2520"/>
      <c r="I180" s="2520"/>
      <c r="J180" s="114"/>
      <c r="K180" s="114"/>
      <c r="L180" s="114"/>
      <c r="M180" s="114"/>
      <c r="N180" s="114"/>
      <c r="O180" s="114"/>
      <c r="P180" s="114"/>
    </row>
    <row r="181" spans="1:18" ht="12.75" customHeight="1" x14ac:dyDescent="0.25">
      <c r="E181" s="2520"/>
      <c r="F181" s="2520"/>
      <c r="G181" s="2520"/>
      <c r="H181" s="2520"/>
      <c r="I181" s="2520"/>
      <c r="J181" s="114"/>
      <c r="K181" s="114"/>
      <c r="L181" s="114"/>
      <c r="M181" s="114"/>
      <c r="N181" s="114"/>
      <c r="O181" s="114"/>
      <c r="P181" s="114"/>
      <c r="R181" s="115">
        <f>516906+220590+12243</f>
        <v>749739</v>
      </c>
    </row>
    <row r="182" spans="1:18" ht="12.75" customHeight="1" x14ac:dyDescent="0.25">
      <c r="E182" s="2520"/>
      <c r="F182" s="2520"/>
      <c r="G182" s="2520"/>
      <c r="H182" s="2520"/>
      <c r="I182" s="2520"/>
      <c r="J182" s="114"/>
      <c r="K182" s="114"/>
      <c r="L182" s="114"/>
      <c r="M182" s="114"/>
      <c r="N182" s="114"/>
      <c r="O182" s="114"/>
      <c r="P182" s="114"/>
    </row>
    <row r="183" spans="1:18" ht="12.75" customHeight="1" x14ac:dyDescent="0.25">
      <c r="E183" s="2520"/>
      <c r="F183" s="2520"/>
      <c r="G183" s="2520"/>
      <c r="H183" s="2520"/>
      <c r="I183" s="2520"/>
      <c r="J183" s="114"/>
      <c r="K183" s="114"/>
      <c r="L183" s="114"/>
      <c r="M183" s="114"/>
      <c r="N183" s="114"/>
      <c r="O183" s="114"/>
      <c r="P183" s="114"/>
    </row>
    <row r="184" spans="1:18" ht="12.75" customHeight="1" x14ac:dyDescent="0.25">
      <c r="E184" s="2520"/>
      <c r="F184" s="2520"/>
      <c r="G184" s="2520"/>
      <c r="H184" s="2520"/>
      <c r="I184" s="2520"/>
      <c r="J184" s="114"/>
      <c r="K184" s="114"/>
      <c r="L184" s="114"/>
      <c r="M184" s="114"/>
      <c r="N184" s="114"/>
      <c r="O184" s="114"/>
      <c r="P184" s="114"/>
    </row>
    <row r="185" spans="1:18" ht="12.75" customHeight="1" x14ac:dyDescent="0.25">
      <c r="E185" s="2520"/>
      <c r="F185" s="2520"/>
      <c r="G185" s="2520"/>
      <c r="H185" s="2520"/>
      <c r="I185" s="2520"/>
      <c r="J185" s="114"/>
      <c r="K185" s="114"/>
      <c r="L185" s="114"/>
      <c r="M185" s="114"/>
      <c r="N185" s="114"/>
      <c r="O185" s="114"/>
      <c r="P185" s="114"/>
    </row>
    <row r="186" spans="1:18" ht="12.75" customHeight="1" thickBot="1" x14ac:dyDescent="0.3">
      <c r="E186" s="115" t="str">
        <f>"Totaal "&amp;D181</f>
        <v xml:space="preserve">Totaal </v>
      </c>
      <c r="F186" s="115"/>
      <c r="G186" s="399"/>
      <c r="H186" s="399"/>
      <c r="I186" s="399"/>
      <c r="J186" s="114"/>
      <c r="K186" s="1744">
        <v>12243</v>
      </c>
      <c r="L186" s="1744">
        <f>SUM(L174:L185)</f>
        <v>0</v>
      </c>
      <c r="M186" s="1744">
        <f>SUM(M174:M185)</f>
        <v>0</v>
      </c>
      <c r="N186" s="1744">
        <f>SUM(N174:N185)</f>
        <v>0</v>
      </c>
      <c r="O186" s="1744">
        <f>SUM(O174:O185)</f>
        <v>0</v>
      </c>
      <c r="P186" s="114"/>
    </row>
    <row r="187" spans="1:18" ht="12.75" customHeight="1" thickTop="1" x14ac:dyDescent="0.25">
      <c r="E187" s="115"/>
      <c r="F187" s="115"/>
      <c r="G187" s="399"/>
      <c r="H187" s="399"/>
      <c r="I187" s="399"/>
      <c r="J187" s="114"/>
      <c r="K187" s="114"/>
      <c r="L187" s="114"/>
      <c r="M187" s="114"/>
      <c r="N187" s="114"/>
      <c r="O187" s="114"/>
      <c r="P187" s="114"/>
    </row>
    <row r="188" spans="1:18" ht="12.75" customHeight="1" x14ac:dyDescent="0.25">
      <c r="E188" s="115"/>
      <c r="F188" s="115"/>
      <c r="G188" s="114"/>
      <c r="H188" s="114"/>
      <c r="I188" s="114"/>
      <c r="J188" s="114"/>
      <c r="K188" s="114"/>
      <c r="L188" s="114"/>
      <c r="M188" s="114"/>
      <c r="N188" s="114"/>
      <c r="O188" s="114"/>
      <c r="P188" s="114"/>
    </row>
    <row r="189" spans="1:18" ht="12.75" customHeight="1" x14ac:dyDescent="0.25">
      <c r="D189" s="393">
        <v>622006</v>
      </c>
      <c r="E189" s="381" t="s">
        <v>3105</v>
      </c>
      <c r="F189" s="355"/>
      <c r="G189" s="114"/>
      <c r="H189" s="114"/>
      <c r="I189" s="114"/>
      <c r="J189" s="154"/>
      <c r="K189" s="605">
        <v>2026</v>
      </c>
      <c r="L189" s="605">
        <v>2027</v>
      </c>
      <c r="M189" s="605">
        <v>2028</v>
      </c>
      <c r="N189" s="605">
        <v>2029</v>
      </c>
      <c r="O189" s="605">
        <v>2030</v>
      </c>
      <c r="P189" s="154"/>
    </row>
    <row r="190" spans="1:18" ht="12.75" customHeight="1" x14ac:dyDescent="0.25">
      <c r="D190" s="393"/>
      <c r="E190" s="383" t="s">
        <v>533</v>
      </c>
      <c r="F190" s="355"/>
      <c r="G190" s="114"/>
      <c r="H190" s="114"/>
      <c r="I190" s="114"/>
      <c r="J190" s="154"/>
      <c r="K190" s="154"/>
      <c r="L190" s="154"/>
      <c r="M190" s="154"/>
      <c r="N190" s="154"/>
      <c r="O190" s="154"/>
      <c r="P190" s="154"/>
    </row>
    <row r="191" spans="1:18" s="305" customFormat="1" ht="12.75" customHeight="1" x14ac:dyDescent="0.25">
      <c r="A191" s="306"/>
      <c r="B191" s="115"/>
      <c r="C191" s="115"/>
      <c r="D191" s="384">
        <v>44380</v>
      </c>
      <c r="E191" s="308" t="s">
        <v>3122</v>
      </c>
      <c r="F191" s="115"/>
      <c r="G191" s="114"/>
      <c r="H191" s="114"/>
      <c r="I191" s="114"/>
      <c r="J191" s="114"/>
      <c r="K191" s="114">
        <v>31172</v>
      </c>
      <c r="L191" s="114">
        <f>ROUND(K191*T$2,0)</f>
        <v>31827</v>
      </c>
      <c r="M191" s="114">
        <f>ROUND(L191*U$2,0)</f>
        <v>32559</v>
      </c>
      <c r="N191" s="114">
        <f>ROUND(M191*V$2,0)</f>
        <v>33308</v>
      </c>
      <c r="O191" s="114">
        <f>ROUND(N191*W$2,0)</f>
        <v>34074</v>
      </c>
      <c r="P191" s="114"/>
    </row>
    <row r="192" spans="1:18" ht="12.75" customHeight="1" thickBot="1" x14ac:dyDescent="0.3">
      <c r="E192" s="115" t="str">
        <f>"Totaal "&amp;D191</f>
        <v>Totaal 44380</v>
      </c>
      <c r="F192" s="115"/>
      <c r="G192" s="114"/>
      <c r="H192" s="114"/>
      <c r="I192" s="114"/>
      <c r="J192" s="114"/>
      <c r="K192" s="1744">
        <v>31172</v>
      </c>
      <c r="L192" s="1744">
        <f>SUM(L191:L191)</f>
        <v>31827</v>
      </c>
      <c r="M192" s="1744">
        <f>SUM(M191:M191)</f>
        <v>32559</v>
      </c>
      <c r="N192" s="1744">
        <f>SUM(N191:N191)</f>
        <v>33308</v>
      </c>
      <c r="O192" s="1744">
        <f>SUM(O191:O191)</f>
        <v>34074</v>
      </c>
      <c r="P192" s="114"/>
    </row>
    <row r="193" spans="1:16" ht="12.75" customHeight="1" thickTop="1" x14ac:dyDescent="0.25">
      <c r="E193" s="115"/>
      <c r="F193" s="115"/>
      <c r="G193" s="114"/>
      <c r="H193" s="114"/>
      <c r="I193" s="114"/>
    </row>
    <row r="194" spans="1:16" ht="12.75" customHeight="1" x14ac:dyDescent="0.25">
      <c r="D194" s="312">
        <v>622014</v>
      </c>
      <c r="E194" s="381" t="s">
        <v>5361</v>
      </c>
      <c r="F194" s="115"/>
      <c r="G194" s="114"/>
      <c r="H194" s="114"/>
      <c r="I194" s="114"/>
    </row>
    <row r="195" spans="1:16" ht="12.75" customHeight="1" x14ac:dyDescent="0.25">
      <c r="E195" s="383" t="s">
        <v>533</v>
      </c>
      <c r="F195" s="115"/>
      <c r="G195" s="114"/>
      <c r="H195" s="114"/>
      <c r="I195" s="114"/>
    </row>
    <row r="196" spans="1:16" ht="12.75" customHeight="1" x14ac:dyDescent="0.25">
      <c r="D196" s="301">
        <v>44380</v>
      </c>
      <c r="E196" s="1720" t="s">
        <v>5363</v>
      </c>
      <c r="F196" s="1720"/>
      <c r="G196" s="2177"/>
      <c r="H196" s="2177"/>
      <c r="I196" s="2177"/>
      <c r="J196" s="1720"/>
      <c r="K196" s="2177">
        <v>250000</v>
      </c>
      <c r="L196" s="2177"/>
      <c r="M196" s="1720"/>
      <c r="N196" s="1720"/>
      <c r="O196" s="1720"/>
    </row>
    <row r="197" spans="1:16" ht="12.75" customHeight="1" thickBot="1" x14ac:dyDescent="0.3">
      <c r="E197" s="115" t="str">
        <f>"Totaal "&amp;D196</f>
        <v>Totaal 44380</v>
      </c>
      <c r="F197" s="115"/>
      <c r="G197" s="114"/>
      <c r="H197" s="114"/>
      <c r="I197" s="114"/>
      <c r="K197" s="2269">
        <f>SUM(K194:K196)</f>
        <v>250000</v>
      </c>
      <c r="L197" s="1971">
        <f t="shared" ref="L197:O197" si="53">SUM(L194:L196)</f>
        <v>0</v>
      </c>
      <c r="M197" s="1971">
        <f t="shared" si="53"/>
        <v>0</v>
      </c>
      <c r="N197" s="1971">
        <f t="shared" si="53"/>
        <v>0</v>
      </c>
      <c r="O197" s="1971">
        <f t="shared" si="53"/>
        <v>0</v>
      </c>
    </row>
    <row r="198" spans="1:16" ht="12.75" customHeight="1" thickTop="1" x14ac:dyDescent="0.25">
      <c r="E198" s="115"/>
      <c r="F198" s="115"/>
      <c r="G198" s="114"/>
      <c r="H198" s="114"/>
      <c r="I198" s="114"/>
    </row>
    <row r="199" spans="1:16" ht="12.75" customHeight="1" x14ac:dyDescent="0.25">
      <c r="D199" s="393">
        <v>622901</v>
      </c>
      <c r="E199" s="381" t="s">
        <v>3109</v>
      </c>
      <c r="F199" s="355"/>
      <c r="G199" s="114"/>
      <c r="H199" s="114"/>
      <c r="I199" s="114"/>
      <c r="J199" s="154"/>
      <c r="K199" s="605">
        <v>2026</v>
      </c>
      <c r="L199" s="605">
        <v>2027</v>
      </c>
      <c r="M199" s="605">
        <v>2028</v>
      </c>
      <c r="N199" s="605">
        <v>2029</v>
      </c>
      <c r="O199" s="605">
        <v>2030</v>
      </c>
      <c r="P199" s="154"/>
    </row>
    <row r="200" spans="1:16" ht="12.75" customHeight="1" x14ac:dyDescent="0.25">
      <c r="D200" s="384"/>
      <c r="E200" s="383" t="s">
        <v>533</v>
      </c>
      <c r="F200" s="355"/>
      <c r="G200" s="114"/>
      <c r="H200" s="114"/>
      <c r="I200" s="114"/>
    </row>
    <row r="201" spans="1:16" ht="12.75" customHeight="1" x14ac:dyDescent="0.25">
      <c r="D201" s="384">
        <v>41100</v>
      </c>
      <c r="E201" s="115" t="s">
        <v>541</v>
      </c>
      <c r="F201" s="355"/>
      <c r="G201" s="114"/>
      <c r="H201" s="114"/>
      <c r="I201" s="114"/>
    </row>
    <row r="202" spans="1:16" ht="12.75" customHeight="1" x14ac:dyDescent="0.25">
      <c r="D202" s="384"/>
      <c r="E202" s="308" t="s">
        <v>707</v>
      </c>
      <c r="F202" s="355"/>
      <c r="G202" s="114"/>
      <c r="H202" s="114"/>
      <c r="I202" s="114"/>
      <c r="J202" s="114"/>
      <c r="K202" s="114">
        <v>196836.7</v>
      </c>
      <c r="L202" s="114">
        <f>ROUND(K202*T$3,0)</f>
        <v>205104</v>
      </c>
      <c r="M202" s="114">
        <f>ROUND(L202*U$3,0)</f>
        <v>212693</v>
      </c>
      <c r="N202" s="114">
        <f>ROUND(M202*V$3,0)</f>
        <v>220563</v>
      </c>
      <c r="O202" s="114">
        <f>ROUND(N202*W$3,0)</f>
        <v>228724</v>
      </c>
      <c r="P202" s="114"/>
    </row>
    <row r="203" spans="1:16" ht="12.75" customHeight="1" thickBot="1" x14ac:dyDescent="0.3">
      <c r="D203" s="384"/>
      <c r="E203" s="115" t="str">
        <f>"Totaal "&amp;D201</f>
        <v>Totaal 41100</v>
      </c>
      <c r="F203" s="115"/>
      <c r="G203" s="114"/>
      <c r="H203" s="114"/>
      <c r="I203" s="114"/>
      <c r="J203" s="114"/>
      <c r="K203" s="1744">
        <v>196836.7</v>
      </c>
      <c r="L203" s="1744">
        <f>+SUM(L202:L202)</f>
        <v>205104</v>
      </c>
      <c r="M203" s="1744">
        <f>+SUM(M202:M202)</f>
        <v>212693</v>
      </c>
      <c r="N203" s="1744">
        <f>+SUM(N202:N202)</f>
        <v>220563</v>
      </c>
      <c r="O203" s="1744">
        <f>+SUM(O202:O202)</f>
        <v>228724</v>
      </c>
      <c r="P203" s="114"/>
    </row>
    <row r="204" spans="1:16" ht="12.75" customHeight="1" thickTop="1" x14ac:dyDescent="0.25">
      <c r="E204" s="115"/>
      <c r="F204" s="115"/>
      <c r="G204" s="114"/>
      <c r="H204" s="114"/>
      <c r="I204" s="114"/>
    </row>
    <row r="205" spans="1:16" ht="12.75" customHeight="1" x14ac:dyDescent="0.25">
      <c r="A205" s="336"/>
      <c r="D205" s="393">
        <v>622009</v>
      </c>
      <c r="E205" s="381" t="s">
        <v>3093</v>
      </c>
      <c r="F205" s="114"/>
    </row>
    <row r="206" spans="1:16" ht="12.75" customHeight="1" x14ac:dyDescent="0.25">
      <c r="A206" s="336"/>
      <c r="D206" s="336"/>
      <c r="E206" s="115" t="s">
        <v>3123</v>
      </c>
      <c r="F206" s="114"/>
      <c r="G206" s="1190"/>
      <c r="H206" s="1190"/>
      <c r="I206" s="1190"/>
    </row>
    <row r="207" spans="1:16" ht="12.75" customHeight="1" x14ac:dyDescent="0.25">
      <c r="A207" s="336"/>
      <c r="D207" s="336"/>
      <c r="E207" s="2578" t="s">
        <v>3124</v>
      </c>
      <c r="F207" s="2578"/>
      <c r="G207" s="2578"/>
      <c r="H207" s="2578"/>
      <c r="I207" s="2578"/>
      <c r="J207" s="2578"/>
      <c r="K207" s="2578"/>
      <c r="L207" s="2578"/>
      <c r="M207" s="2578"/>
    </row>
    <row r="208" spans="1:16" ht="12.75" customHeight="1" x14ac:dyDescent="0.25">
      <c r="A208" s="336"/>
      <c r="D208" s="336"/>
      <c r="E208" s="2578"/>
      <c r="F208" s="2578"/>
      <c r="G208" s="2578"/>
      <c r="H208" s="2578"/>
      <c r="I208" s="2578"/>
      <c r="J208" s="2578"/>
      <c r="K208" s="2578"/>
      <c r="L208" s="2578"/>
      <c r="M208" s="2578"/>
    </row>
    <row r="209" spans="1:16" ht="12.75" customHeight="1" x14ac:dyDescent="0.25">
      <c r="A209" s="336"/>
      <c r="D209" s="336"/>
      <c r="E209" s="2578"/>
      <c r="F209" s="2578"/>
      <c r="G209" s="2578"/>
      <c r="H209" s="2578"/>
      <c r="I209" s="2578"/>
      <c r="J209" s="2578"/>
      <c r="K209" s="2578"/>
      <c r="L209" s="2578"/>
      <c r="M209" s="2578"/>
    </row>
    <row r="210" spans="1:16" ht="12.75" customHeight="1" x14ac:dyDescent="0.25">
      <c r="A210" s="336"/>
      <c r="D210" s="336"/>
      <c r="E210" s="2578"/>
      <c r="F210" s="2578"/>
      <c r="G210" s="2578"/>
      <c r="H210" s="2578"/>
      <c r="I210" s="2578"/>
      <c r="J210" s="2578"/>
      <c r="K210" s="2578"/>
      <c r="L210" s="2578"/>
      <c r="M210" s="2578"/>
    </row>
    <row r="211" spans="1:16" ht="12.75" customHeight="1" x14ac:dyDescent="0.25">
      <c r="A211" s="336"/>
      <c r="D211" s="336"/>
      <c r="E211" s="1191"/>
      <c r="F211" s="1191"/>
      <c r="G211" s="114"/>
      <c r="H211" s="114"/>
      <c r="I211" s="114"/>
      <c r="J211" s="1192"/>
      <c r="K211" s="605">
        <v>2026</v>
      </c>
      <c r="L211" s="605">
        <v>2027</v>
      </c>
      <c r="M211" s="605">
        <v>2028</v>
      </c>
      <c r="N211" s="605">
        <v>2029</v>
      </c>
      <c r="O211" s="605">
        <v>2030</v>
      </c>
      <c r="P211" s="154"/>
    </row>
    <row r="212" spans="1:16" ht="12.75" customHeight="1" x14ac:dyDescent="0.25">
      <c r="A212" s="336"/>
      <c r="D212" s="143">
        <v>43805</v>
      </c>
      <c r="E212" s="115" t="s">
        <v>3125</v>
      </c>
      <c r="F212" s="114"/>
      <c r="G212" s="114"/>
      <c r="H212" s="114"/>
      <c r="I212" s="114"/>
    </row>
    <row r="213" spans="1:16" ht="12.75" customHeight="1" x14ac:dyDescent="0.25">
      <c r="A213" s="336"/>
      <c r="D213" s="143"/>
      <c r="E213" s="400">
        <v>913</v>
      </c>
      <c r="F213" s="1193" t="s">
        <v>3126</v>
      </c>
      <c r="G213" s="494">
        <f>ROUND(27.5*$S$2,2)</f>
        <v>28.22</v>
      </c>
      <c r="H213" s="114"/>
      <c r="I213" s="114"/>
      <c r="J213" s="114"/>
      <c r="K213" s="114">
        <v>25764.86</v>
      </c>
      <c r="L213" s="114"/>
      <c r="M213" s="114"/>
      <c r="N213" s="114"/>
      <c r="O213" s="114"/>
      <c r="P213" s="114"/>
    </row>
    <row r="214" spans="1:16" ht="12.75" customHeight="1" x14ac:dyDescent="0.25">
      <c r="A214" s="336"/>
      <c r="D214" s="143"/>
      <c r="E214" s="400">
        <v>913</v>
      </c>
      <c r="F214" s="1193" t="s">
        <v>3126</v>
      </c>
      <c r="G214" s="494">
        <f>ROUND(G213*$T$2,2)</f>
        <v>28.81</v>
      </c>
      <c r="H214" s="114"/>
      <c r="I214" s="114"/>
      <c r="J214" s="114"/>
      <c r="K214" s="114"/>
      <c r="L214" s="114">
        <f>ROUND(E214*G214,2)</f>
        <v>26303.53</v>
      </c>
      <c r="M214" s="114"/>
      <c r="N214" s="114"/>
      <c r="O214" s="114"/>
      <c r="P214" s="114"/>
    </row>
    <row r="215" spans="1:16" ht="12.75" customHeight="1" x14ac:dyDescent="0.25">
      <c r="A215" s="336"/>
      <c r="D215" s="143"/>
      <c r="E215" s="400">
        <v>913</v>
      </c>
      <c r="F215" s="1193" t="s">
        <v>3126</v>
      </c>
      <c r="G215" s="494">
        <f>ROUND(G214*$U2,2)</f>
        <v>29.47</v>
      </c>
      <c r="H215" s="114"/>
      <c r="I215" s="114"/>
      <c r="J215" s="114"/>
      <c r="K215" s="114"/>
      <c r="L215" s="114"/>
      <c r="M215" s="114">
        <f>+E215*G215</f>
        <v>26906.11</v>
      </c>
      <c r="N215" s="114"/>
      <c r="O215" s="114"/>
      <c r="P215" s="114"/>
    </row>
    <row r="216" spans="1:16" ht="12.75" customHeight="1" x14ac:dyDescent="0.25">
      <c r="A216" s="336"/>
      <c r="D216" s="143"/>
      <c r="E216" s="400">
        <v>914</v>
      </c>
      <c r="F216" s="1193" t="s">
        <v>3126</v>
      </c>
      <c r="G216" s="494">
        <f>ROUND(G215*V$2,2)</f>
        <v>30.15</v>
      </c>
      <c r="H216" s="114"/>
      <c r="I216" s="114"/>
      <c r="J216" s="114"/>
      <c r="K216" s="114"/>
      <c r="L216" s="114"/>
      <c r="M216" s="114"/>
      <c r="N216" s="114">
        <f>E216*G216</f>
        <v>27557.1</v>
      </c>
      <c r="O216" s="114"/>
      <c r="P216" s="114"/>
    </row>
    <row r="217" spans="1:16" ht="12.75" customHeight="1" x14ac:dyDescent="0.25">
      <c r="A217" s="336"/>
      <c r="D217" s="143"/>
      <c r="E217" s="546">
        <v>914</v>
      </c>
      <c r="F217" s="2060" t="s">
        <v>3126</v>
      </c>
      <c r="G217" s="2061">
        <f>ROUND(G216*W$2,2)</f>
        <v>30.84</v>
      </c>
      <c r="H217" s="114"/>
      <c r="I217" s="114"/>
      <c r="J217" s="114"/>
      <c r="K217" s="114"/>
      <c r="L217" s="114"/>
      <c r="M217" s="114"/>
      <c r="N217" s="114"/>
      <c r="O217" s="114">
        <f>E217*G217</f>
        <v>28187.759999999998</v>
      </c>
      <c r="P217" s="114"/>
    </row>
    <row r="218" spans="1:16" ht="12.75" customHeight="1" thickBot="1" x14ac:dyDescent="0.3">
      <c r="A218" s="336"/>
      <c r="D218" s="143"/>
      <c r="E218" s="114" t="s">
        <v>1139</v>
      </c>
      <c r="F218" s="114"/>
      <c r="G218" s="114"/>
      <c r="H218" s="114"/>
      <c r="I218" s="114"/>
      <c r="J218" s="114"/>
      <c r="K218" s="1744">
        <v>25764.86</v>
      </c>
      <c r="L218" s="1744">
        <f>SUM(L213:L215)</f>
        <v>26303.53</v>
      </c>
      <c r="M218" s="1744">
        <f>SUM(M213:M215)</f>
        <v>26906.11</v>
      </c>
      <c r="N218" s="1744">
        <f>N216</f>
        <v>27557.1</v>
      </c>
      <c r="O218" s="1744">
        <f>O217</f>
        <v>28187.759999999998</v>
      </c>
      <c r="P218" s="114"/>
    </row>
    <row r="219" spans="1:16" ht="12.75" customHeight="1" thickTop="1" x14ac:dyDescent="0.25">
      <c r="A219" s="336"/>
      <c r="D219" s="143"/>
      <c r="E219" s="115"/>
      <c r="F219" s="115"/>
      <c r="G219" s="114"/>
    </row>
    <row r="220" spans="1:16" ht="12.75" customHeight="1" x14ac:dyDescent="0.25">
      <c r="A220" s="336"/>
      <c r="D220" s="143">
        <v>43812</v>
      </c>
      <c r="E220" s="114" t="s">
        <v>3127</v>
      </c>
      <c r="F220" s="114"/>
      <c r="G220" s="114"/>
      <c r="H220" s="114"/>
      <c r="I220" s="114"/>
    </row>
    <row r="221" spans="1:16" ht="12.75" customHeight="1" x14ac:dyDescent="0.25">
      <c r="A221" s="336"/>
      <c r="D221" s="143"/>
      <c r="E221" s="114"/>
      <c r="F221" s="114"/>
      <c r="G221" s="114"/>
      <c r="H221" s="114"/>
      <c r="I221" s="114"/>
    </row>
    <row r="222" spans="1:16" ht="12.75" customHeight="1" x14ac:dyDescent="0.25">
      <c r="A222" s="336"/>
      <c r="D222" s="393">
        <v>622012</v>
      </c>
      <c r="E222" s="381" t="s">
        <v>3107</v>
      </c>
      <c r="F222" s="114"/>
      <c r="H222" s="114"/>
      <c r="I222" s="114"/>
    </row>
    <row r="223" spans="1:16" s="305" customFormat="1" ht="12.75" customHeight="1" x14ac:dyDescent="0.25">
      <c r="A223" s="306"/>
      <c r="B223" s="115"/>
      <c r="C223" s="115"/>
      <c r="D223" s="143">
        <v>43812</v>
      </c>
      <c r="E223" s="308" t="s">
        <v>3128</v>
      </c>
      <c r="F223" s="115"/>
      <c r="G223" s="399"/>
      <c r="H223" s="399"/>
      <c r="I223" s="399"/>
      <c r="J223" s="114"/>
      <c r="K223" s="114">
        <v>7383</v>
      </c>
      <c r="L223" s="114">
        <f t="shared" ref="L223:M225" si="54">ROUND(K223*T$2,0)</f>
        <v>7538</v>
      </c>
      <c r="M223" s="114">
        <f t="shared" si="54"/>
        <v>7711</v>
      </c>
      <c r="N223" s="114">
        <f>ROUND(M223*V$2,0)-1</f>
        <v>7887</v>
      </c>
      <c r="O223" s="114">
        <f>ROUND(N223*W$2,0)</f>
        <v>8068</v>
      </c>
      <c r="P223" s="114"/>
    </row>
    <row r="224" spans="1:16" s="305" customFormat="1" ht="12.75" customHeight="1" x14ac:dyDescent="0.25">
      <c r="A224" s="306"/>
      <c r="B224" s="115"/>
      <c r="C224" s="115"/>
      <c r="D224" s="143">
        <v>43812</v>
      </c>
      <c r="E224" s="308" t="s">
        <v>3129</v>
      </c>
      <c r="F224" s="115"/>
      <c r="G224" s="399"/>
      <c r="H224" s="399"/>
      <c r="I224" s="399"/>
      <c r="J224" s="114"/>
      <c r="K224" s="114">
        <v>2637</v>
      </c>
      <c r="L224" s="114">
        <f t="shared" si="54"/>
        <v>2692</v>
      </c>
      <c r="M224" s="114">
        <f t="shared" si="54"/>
        <v>2754</v>
      </c>
      <c r="N224" s="114">
        <f>ROUND(M224*V$2,0)</f>
        <v>2817</v>
      </c>
      <c r="O224" s="114">
        <f>ROUND(N224*W$2,0)</f>
        <v>2882</v>
      </c>
      <c r="P224" s="114"/>
    </row>
    <row r="225" spans="1:16" s="305" customFormat="1" ht="12.75" customHeight="1" x14ac:dyDescent="0.25">
      <c r="A225" s="306"/>
      <c r="B225" s="115"/>
      <c r="C225" s="115"/>
      <c r="D225" s="143">
        <v>43812</v>
      </c>
      <c r="E225" s="308" t="s">
        <v>3130</v>
      </c>
      <c r="F225" s="115"/>
      <c r="G225" s="399"/>
      <c r="H225" s="399"/>
      <c r="I225" s="399"/>
      <c r="J225" s="114"/>
      <c r="K225" s="114">
        <v>-10020</v>
      </c>
      <c r="L225" s="114">
        <f t="shared" si="54"/>
        <v>-10230</v>
      </c>
      <c r="M225" s="114">
        <f t="shared" si="54"/>
        <v>-10465</v>
      </c>
      <c r="N225" s="114">
        <f>ROUND(M225*V$2,0)</f>
        <v>-10706</v>
      </c>
      <c r="O225" s="114">
        <f>ROUND(N225*W$2,0)</f>
        <v>-10952</v>
      </c>
      <c r="P225" s="114"/>
    </row>
    <row r="226" spans="1:16" ht="12.75" customHeight="1" thickBot="1" x14ac:dyDescent="0.3">
      <c r="A226" s="336"/>
      <c r="D226" s="143"/>
      <c r="E226" s="114"/>
      <c r="F226" s="114"/>
      <c r="G226" s="114"/>
      <c r="H226" s="114"/>
      <c r="I226" s="114"/>
      <c r="J226" s="114"/>
      <c r="K226" s="1744">
        <v>0</v>
      </c>
      <c r="L226" s="1744">
        <f>SUM(L223:L225)</f>
        <v>0</v>
      </c>
      <c r="M226" s="1744">
        <f>SUM(M223:M225)</f>
        <v>0</v>
      </c>
      <c r="N226" s="1744">
        <f>SUM(N223:N225)</f>
        <v>-2</v>
      </c>
      <c r="O226" s="1744">
        <f>SUM(O223:O225)</f>
        <v>-2</v>
      </c>
    </row>
    <row r="227" spans="1:16" ht="12.75" customHeight="1" thickTop="1" x14ac:dyDescent="0.25">
      <c r="D227" s="393">
        <v>622013</v>
      </c>
      <c r="E227" s="381" t="s">
        <v>3097</v>
      </c>
      <c r="F227" s="115"/>
      <c r="J227" s="154"/>
      <c r="K227" s="154"/>
      <c r="L227" s="154"/>
      <c r="M227" s="154"/>
      <c r="N227" s="154"/>
      <c r="O227" s="154"/>
      <c r="P227" s="154"/>
    </row>
    <row r="228" spans="1:16" ht="12.75" customHeight="1" x14ac:dyDescent="0.25">
      <c r="D228" s="393"/>
      <c r="E228" s="383" t="s">
        <v>533</v>
      </c>
      <c r="F228" s="115"/>
      <c r="J228" s="154"/>
      <c r="K228" s="154"/>
      <c r="L228" s="154"/>
      <c r="M228" s="154"/>
      <c r="N228" s="154"/>
      <c r="O228" s="154"/>
      <c r="P228" s="154"/>
    </row>
    <row r="229" spans="1:16" ht="12.75" customHeight="1" x14ac:dyDescent="0.25">
      <c r="D229" s="143">
        <v>43812</v>
      </c>
      <c r="E229" s="115" t="s">
        <v>3097</v>
      </c>
      <c r="F229" s="115"/>
      <c r="J229" s="114"/>
      <c r="K229" s="114">
        <v>31642</v>
      </c>
      <c r="L229" s="114">
        <f>ROUND(K229*T$2,0)</f>
        <v>32306</v>
      </c>
      <c r="M229" s="114">
        <f>ROUND(L229*U$2,0)</f>
        <v>33049</v>
      </c>
      <c r="N229" s="114">
        <f>ROUND(M229*V$2,0)</f>
        <v>33809</v>
      </c>
      <c r="O229" s="114">
        <f>ROUND(N229*W$2,0)</f>
        <v>34587</v>
      </c>
      <c r="P229" s="114"/>
    </row>
    <row r="230" spans="1:16" ht="12.75" customHeight="1" thickBot="1" x14ac:dyDescent="0.3">
      <c r="D230" s="143"/>
      <c r="E230" s="115" t="s">
        <v>619</v>
      </c>
      <c r="F230" s="115"/>
      <c r="J230" s="114"/>
      <c r="K230" s="1744">
        <v>31642</v>
      </c>
      <c r="L230" s="1744">
        <f>SUM(L229)</f>
        <v>32306</v>
      </c>
      <c r="M230" s="1744">
        <f>SUM(M229)</f>
        <v>33049</v>
      </c>
      <c r="N230" s="1744">
        <f>SUM(N229)</f>
        <v>33809</v>
      </c>
      <c r="O230" s="1744">
        <f>SUM(O229)</f>
        <v>34587</v>
      </c>
      <c r="P230" s="114"/>
    </row>
    <row r="231" spans="1:16" ht="12.75" customHeight="1" thickTop="1" x14ac:dyDescent="0.25">
      <c r="A231" s="336"/>
      <c r="D231" s="143"/>
      <c r="E231" s="114"/>
      <c r="F231" s="114"/>
      <c r="G231" s="114"/>
      <c r="H231" s="114"/>
      <c r="I231" s="114"/>
    </row>
    <row r="232" spans="1:16" ht="12.75" customHeight="1" x14ac:dyDescent="0.25">
      <c r="A232" s="336"/>
      <c r="D232" s="393">
        <v>622015</v>
      </c>
      <c r="E232" s="381" t="s">
        <v>154</v>
      </c>
      <c r="F232" s="115"/>
      <c r="J232" s="154"/>
      <c r="K232" s="154"/>
      <c r="L232" s="154"/>
      <c r="M232" s="154"/>
      <c r="N232" s="154"/>
      <c r="O232" s="154"/>
    </row>
    <row r="233" spans="1:16" ht="12.75" customHeight="1" x14ac:dyDescent="0.25">
      <c r="A233" s="336"/>
      <c r="D233" s="393"/>
      <c r="E233" s="383" t="s">
        <v>533</v>
      </c>
      <c r="F233" s="115"/>
      <c r="J233" s="154"/>
      <c r="K233" s="154"/>
      <c r="L233" s="154"/>
      <c r="M233" s="154"/>
      <c r="N233" s="154"/>
      <c r="O233" s="154"/>
    </row>
    <row r="234" spans="1:16" ht="12.75" customHeight="1" x14ac:dyDescent="0.25">
      <c r="A234" s="336"/>
      <c r="D234" s="393"/>
      <c r="E234" s="383" t="s">
        <v>3131</v>
      </c>
      <c r="F234" s="115"/>
      <c r="J234" s="154"/>
      <c r="K234" s="154"/>
      <c r="L234" s="154"/>
      <c r="M234" s="154"/>
      <c r="N234" s="154"/>
      <c r="O234" s="154"/>
    </row>
    <row r="235" spans="1:16" ht="12.75" customHeight="1" x14ac:dyDescent="0.25">
      <c r="A235" s="336"/>
      <c r="D235" s="143">
        <v>44380</v>
      </c>
      <c r="E235" s="115" t="s">
        <v>3132</v>
      </c>
      <c r="F235" s="115"/>
      <c r="J235" s="1194"/>
      <c r="K235" s="114">
        <v>380000</v>
      </c>
      <c r="L235" s="114">
        <f>ROUND(K235*T$2,-3)</f>
        <v>388000</v>
      </c>
      <c r="M235" s="114">
        <f>ROUND(L235*U$2,-3)</f>
        <v>397000</v>
      </c>
      <c r="N235" s="114">
        <f>ROUND(M235*V$2,-3)</f>
        <v>406000</v>
      </c>
      <c r="O235" s="114">
        <f>ROUND(N235*W$2,-3)</f>
        <v>415000</v>
      </c>
      <c r="P235" s="115" t="s">
        <v>3133</v>
      </c>
    </row>
    <row r="236" spans="1:16" ht="12.75" customHeight="1" x14ac:dyDescent="0.25">
      <c r="A236" s="336"/>
      <c r="D236" s="143">
        <v>44380</v>
      </c>
      <c r="E236" s="115" t="s">
        <v>3134</v>
      </c>
      <c r="F236" s="115"/>
      <c r="J236" s="1194"/>
      <c r="K236" s="114">
        <v>60800</v>
      </c>
      <c r="L236" s="114">
        <f>ROUND(K236*T$2,-2)</f>
        <v>62100</v>
      </c>
      <c r="M236" s="114">
        <f>ROUND(L236*U$2,-2)</f>
        <v>63500</v>
      </c>
      <c r="N236" s="114">
        <f>ROUND(M236*V$2,-2)</f>
        <v>65000</v>
      </c>
      <c r="O236" s="114">
        <f>ROUND(N236*W$2,-2)</f>
        <v>66500</v>
      </c>
    </row>
    <row r="237" spans="1:16" ht="12.75" customHeight="1" thickBot="1" x14ac:dyDescent="0.3">
      <c r="A237" s="336"/>
      <c r="D237" s="143"/>
      <c r="E237" s="115" t="s">
        <v>3135</v>
      </c>
      <c r="F237" s="115"/>
      <c r="J237" s="114"/>
      <c r="K237" s="1744">
        <v>440800</v>
      </c>
      <c r="L237" s="1744">
        <f>SUM(L235:L236)</f>
        <v>450100</v>
      </c>
      <c r="M237" s="1744">
        <f>SUM(M235:M236)</f>
        <v>460500</v>
      </c>
      <c r="N237" s="1744">
        <f>SUM(N235:N236)</f>
        <v>471000</v>
      </c>
      <c r="O237" s="1744">
        <f>SUM(O235:O236)</f>
        <v>481500</v>
      </c>
    </row>
    <row r="238" spans="1:16" ht="12.75" customHeight="1" thickTop="1" x14ac:dyDescent="0.25">
      <c r="A238" s="336"/>
      <c r="D238" s="143"/>
      <c r="E238" s="115"/>
      <c r="F238" s="115"/>
      <c r="J238" s="114"/>
      <c r="K238" s="114"/>
      <c r="L238" s="114"/>
      <c r="M238" s="114"/>
      <c r="N238" s="114"/>
      <c r="O238" s="114"/>
    </row>
    <row r="239" spans="1:16" ht="12.75" customHeight="1" x14ac:dyDescent="0.25">
      <c r="A239" s="336"/>
      <c r="D239" s="143"/>
      <c r="E239" s="2510" t="s">
        <v>3136</v>
      </c>
      <c r="F239" s="2510"/>
      <c r="G239" s="2510"/>
      <c r="H239" s="2510"/>
      <c r="I239" s="2510"/>
      <c r="J239" s="2510"/>
      <c r="K239" s="2510"/>
      <c r="L239" s="2510"/>
      <c r="M239" s="2510"/>
      <c r="N239" s="114"/>
      <c r="O239" s="114"/>
    </row>
    <row r="240" spans="1:16" ht="12.75" customHeight="1" x14ac:dyDescent="0.25">
      <c r="A240" s="336"/>
      <c r="D240" s="143"/>
      <c r="E240" s="2510"/>
      <c r="F240" s="2510"/>
      <c r="G240" s="2510"/>
      <c r="H240" s="2510"/>
      <c r="I240" s="2510"/>
      <c r="J240" s="2510"/>
      <c r="K240" s="2510"/>
      <c r="L240" s="2510"/>
      <c r="M240" s="2510"/>
      <c r="N240" s="114"/>
      <c r="O240" s="114"/>
    </row>
    <row r="241" spans="1:16" ht="12.75" customHeight="1" x14ac:dyDescent="0.25">
      <c r="A241" s="336"/>
      <c r="D241" s="143"/>
      <c r="E241" s="2510"/>
      <c r="F241" s="2510"/>
      <c r="G241" s="2510"/>
      <c r="H241" s="2510"/>
      <c r="I241" s="2510"/>
      <c r="J241" s="2510"/>
      <c r="K241" s="2510"/>
      <c r="L241" s="2510"/>
      <c r="M241" s="2510"/>
      <c r="N241" s="114"/>
      <c r="O241" s="114"/>
    </row>
    <row r="242" spans="1:16" ht="12.75" customHeight="1" x14ac:dyDescent="0.25">
      <c r="A242" s="336"/>
      <c r="D242" s="143"/>
      <c r="E242" s="2510"/>
      <c r="F242" s="2510"/>
      <c r="G242" s="2510"/>
      <c r="H242" s="2510"/>
      <c r="I242" s="2510"/>
      <c r="J242" s="2510"/>
      <c r="K242" s="2510"/>
      <c r="L242" s="2510"/>
      <c r="M242" s="2510"/>
    </row>
    <row r="243" spans="1:16" ht="12.75" customHeight="1" x14ac:dyDescent="0.25">
      <c r="A243" s="336"/>
      <c r="D243" s="143"/>
      <c r="E243" s="2510"/>
      <c r="F243" s="2510"/>
      <c r="G243" s="2510"/>
      <c r="H243" s="2510"/>
      <c r="I243" s="2510"/>
      <c r="J243" s="2510"/>
      <c r="K243" s="2510"/>
      <c r="L243" s="2510"/>
      <c r="M243" s="2510"/>
    </row>
    <row r="244" spans="1:16" ht="12.75" customHeight="1" x14ac:dyDescent="0.25">
      <c r="A244" s="336"/>
      <c r="D244" s="143"/>
      <c r="E244" s="1195" t="s">
        <v>3137</v>
      </c>
      <c r="G244" s="143"/>
      <c r="K244" s="397"/>
      <c r="L244" s="397"/>
      <c r="M244" s="397"/>
      <c r="N244" s="397"/>
      <c r="O244" s="397"/>
      <c r="P244" s="397"/>
    </row>
    <row r="245" spans="1:16" ht="12.75" customHeight="1" x14ac:dyDescent="0.25">
      <c r="A245" s="336"/>
      <c r="D245" s="143"/>
      <c r="E245" s="2572"/>
      <c r="F245" s="2572"/>
      <c r="G245" s="2572"/>
      <c r="H245" s="2572"/>
      <c r="I245" s="2572"/>
      <c r="J245" s="2572"/>
      <c r="K245" s="2572"/>
      <c r="L245" s="2572"/>
      <c r="M245" s="2572"/>
      <c r="N245" s="2572"/>
      <c r="O245" s="1196"/>
      <c r="P245" s="1196"/>
    </row>
    <row r="246" spans="1:16" ht="12.75" customHeight="1" x14ac:dyDescent="0.25">
      <c r="A246" s="336"/>
      <c r="D246" s="143"/>
      <c r="E246" s="2511" t="s">
        <v>3138</v>
      </c>
      <c r="F246" s="2511"/>
      <c r="G246" s="2511"/>
      <c r="H246" s="2511"/>
      <c r="I246" s="2511"/>
      <c r="J246" s="2511"/>
      <c r="K246" s="2511"/>
      <c r="L246" s="2511"/>
      <c r="M246" s="2511"/>
      <c r="N246" s="2511"/>
      <c r="O246" s="2023"/>
      <c r="P246" s="1197"/>
    </row>
    <row r="247" spans="1:16" ht="12.75" customHeight="1" x14ac:dyDescent="0.25">
      <c r="A247" s="336"/>
      <c r="D247" s="143"/>
      <c r="E247" s="2511"/>
      <c r="F247" s="2511"/>
      <c r="G247" s="2511"/>
      <c r="H247" s="2511"/>
      <c r="I247" s="2511"/>
      <c r="J247" s="2511"/>
      <c r="K247" s="2511"/>
      <c r="L247" s="2511"/>
      <c r="M247" s="2511"/>
      <c r="N247" s="2511"/>
      <c r="O247" s="2023"/>
      <c r="P247" s="1197"/>
    </row>
    <row r="248" spans="1:16" ht="12.75" customHeight="1" x14ac:dyDescent="0.25">
      <c r="A248" s="336"/>
      <c r="D248" s="143"/>
      <c r="E248" s="2511"/>
      <c r="F248" s="2511"/>
      <c r="G248" s="2511"/>
      <c r="H248" s="2511"/>
      <c r="I248" s="2511"/>
      <c r="J248" s="2511"/>
      <c r="K248" s="2511"/>
      <c r="L248" s="2511"/>
      <c r="M248" s="2511"/>
      <c r="N248" s="2511"/>
      <c r="O248" s="2023"/>
      <c r="P248" s="114"/>
    </row>
    <row r="249" spans="1:16" ht="12.75" customHeight="1" x14ac:dyDescent="0.25">
      <c r="A249" s="336"/>
      <c r="D249" s="143"/>
      <c r="E249" s="301" t="s">
        <v>3139</v>
      </c>
      <c r="G249" s="143"/>
      <c r="K249" s="114"/>
      <c r="L249" s="114"/>
      <c r="M249" s="114"/>
      <c r="N249" s="114"/>
      <c r="O249" s="114"/>
      <c r="P249" s="114"/>
    </row>
    <row r="250" spans="1:16" ht="12.75" customHeight="1" x14ac:dyDescent="0.3">
      <c r="A250" s="336"/>
      <c r="D250" s="143"/>
      <c r="E250" s="2576" t="s">
        <v>3140</v>
      </c>
      <c r="F250" s="2577"/>
      <c r="G250" s="2577"/>
      <c r="H250" s="2577"/>
      <c r="I250" s="2577"/>
      <c r="J250" s="2577"/>
      <c r="K250" s="2577"/>
      <c r="L250" s="2577"/>
      <c r="M250" s="2577"/>
      <c r="N250" s="2577"/>
      <c r="O250" s="603"/>
      <c r="P250" s="114"/>
    </row>
    <row r="251" spans="1:16" ht="12.75" customHeight="1" x14ac:dyDescent="0.3">
      <c r="A251" s="336"/>
      <c r="D251" s="143"/>
      <c r="E251" s="2577"/>
      <c r="F251" s="2577"/>
      <c r="G251" s="2577"/>
      <c r="H251" s="2577"/>
      <c r="I251" s="2577"/>
      <c r="J251" s="2577"/>
      <c r="K251" s="2577"/>
      <c r="L251" s="2577"/>
      <c r="M251" s="2577"/>
      <c r="N251" s="2577"/>
      <c r="O251" s="603"/>
      <c r="P251" s="114"/>
    </row>
    <row r="252" spans="1:16" ht="12.75" customHeight="1" x14ac:dyDescent="0.25">
      <c r="A252" s="336"/>
      <c r="D252" s="143"/>
      <c r="E252" s="301" t="s">
        <v>3141</v>
      </c>
      <c r="G252" s="143"/>
    </row>
    <row r="253" spans="1:16" ht="12.75" customHeight="1" x14ac:dyDescent="0.25">
      <c r="A253" s="336"/>
      <c r="D253" s="143"/>
      <c r="E253" s="114"/>
      <c r="F253" s="114"/>
      <c r="G253" s="114"/>
      <c r="H253" s="114"/>
      <c r="I253" s="114"/>
    </row>
    <row r="254" spans="1:16" ht="12.75" customHeight="1" x14ac:dyDescent="0.25">
      <c r="A254" s="336"/>
      <c r="D254" s="433">
        <v>622902</v>
      </c>
      <c r="E254" s="381" t="s">
        <v>3094</v>
      </c>
      <c r="F254" s="115"/>
      <c r="G254" s="114"/>
      <c r="H254" s="114"/>
      <c r="I254" s="114"/>
      <c r="J254" s="1192"/>
      <c r="K254" s="605">
        <v>2026</v>
      </c>
      <c r="L254" s="605">
        <v>2027</v>
      </c>
      <c r="M254" s="605">
        <v>2028</v>
      </c>
      <c r="N254" s="605">
        <v>2029</v>
      </c>
      <c r="O254" s="605">
        <v>2030</v>
      </c>
      <c r="P254" s="154"/>
    </row>
    <row r="255" spans="1:16" ht="12.75" customHeight="1" x14ac:dyDescent="0.25">
      <c r="A255" s="336"/>
      <c r="D255" s="384">
        <v>41100</v>
      </c>
      <c r="E255" s="115" t="s">
        <v>541</v>
      </c>
      <c r="F255" s="115"/>
      <c r="G255" s="114"/>
      <c r="H255" s="114"/>
      <c r="I255" s="114"/>
    </row>
    <row r="256" spans="1:16" ht="12.75" customHeight="1" x14ac:dyDescent="0.25">
      <c r="A256" s="336"/>
      <c r="D256" s="384"/>
      <c r="E256" s="308" t="s">
        <v>3142</v>
      </c>
      <c r="F256" s="115"/>
      <c r="G256" s="114"/>
      <c r="H256" s="114"/>
      <c r="I256" s="114"/>
      <c r="J256" s="114"/>
      <c r="K256" s="114">
        <v>88825</v>
      </c>
      <c r="L256" s="114">
        <f t="shared" ref="L256:O257" si="55">ROUND(K256*T$3,0)</f>
        <v>92556</v>
      </c>
      <c r="M256" s="114">
        <f t="shared" si="55"/>
        <v>95981</v>
      </c>
      <c r="N256" s="114">
        <f t="shared" si="55"/>
        <v>99532</v>
      </c>
      <c r="O256" s="114">
        <f t="shared" si="55"/>
        <v>103215</v>
      </c>
      <c r="P256" s="114"/>
    </row>
    <row r="257" spans="1:16" ht="12.75" customHeight="1" x14ac:dyDescent="0.25">
      <c r="A257" s="336"/>
      <c r="D257" s="384"/>
      <c r="E257" s="308" t="s">
        <v>3089</v>
      </c>
      <c r="F257" s="115"/>
      <c r="G257" s="114"/>
      <c r="H257" s="114"/>
      <c r="I257" s="114"/>
      <c r="J257" s="114"/>
      <c r="K257" s="114">
        <v>25506</v>
      </c>
      <c r="L257" s="114">
        <f t="shared" si="55"/>
        <v>26577</v>
      </c>
      <c r="M257" s="114">
        <f t="shared" si="55"/>
        <v>27560</v>
      </c>
      <c r="N257" s="114">
        <f t="shared" si="55"/>
        <v>28580</v>
      </c>
      <c r="O257" s="114">
        <f t="shared" si="55"/>
        <v>29637</v>
      </c>
      <c r="P257" s="114"/>
    </row>
    <row r="258" spans="1:16" ht="12.75" customHeight="1" x14ac:dyDescent="0.25">
      <c r="A258" s="336"/>
      <c r="D258" s="384"/>
      <c r="E258" s="308"/>
      <c r="F258" s="115"/>
      <c r="G258" s="114"/>
      <c r="H258" s="114"/>
      <c r="I258" s="114"/>
      <c r="J258" s="114"/>
      <c r="K258" s="114"/>
      <c r="L258" s="114"/>
      <c r="M258" s="114"/>
      <c r="N258" s="114"/>
      <c r="O258" s="114"/>
      <c r="P258" s="114"/>
    </row>
    <row r="259" spans="1:16" ht="12.75" customHeight="1" thickBot="1" x14ac:dyDescent="0.3">
      <c r="A259" s="336"/>
      <c r="D259" s="384"/>
      <c r="E259" s="115" t="str">
        <f>"Totaal "&amp;D255</f>
        <v>Totaal 41100</v>
      </c>
      <c r="F259" s="115"/>
      <c r="G259" s="114"/>
      <c r="H259" s="114"/>
      <c r="I259" s="114"/>
      <c r="J259" s="114"/>
      <c r="K259" s="1744">
        <v>114331</v>
      </c>
      <c r="L259" s="1744">
        <f t="shared" ref="L259:M259" si="56">SUM(L256:L258)</f>
        <v>119133</v>
      </c>
      <c r="M259" s="1744">
        <f t="shared" si="56"/>
        <v>123541</v>
      </c>
      <c r="N259" s="1744">
        <f t="shared" ref="N259:O259" si="57">SUM(N256:N258)</f>
        <v>128112</v>
      </c>
      <c r="O259" s="1744">
        <f t="shared" si="57"/>
        <v>132852</v>
      </c>
      <c r="P259" s="114"/>
    </row>
    <row r="260" spans="1:16" ht="12.75" customHeight="1" thickTop="1" x14ac:dyDescent="0.25">
      <c r="A260" s="336"/>
      <c r="D260" s="384"/>
      <c r="E260" s="115"/>
      <c r="F260" s="115"/>
      <c r="G260" s="114"/>
      <c r="H260" s="114"/>
      <c r="I260" s="114"/>
    </row>
    <row r="261" spans="1:16" ht="12.75" customHeight="1" x14ac:dyDescent="0.25">
      <c r="D261" s="393">
        <v>622008</v>
      </c>
      <c r="E261" s="381" t="s">
        <v>3098</v>
      </c>
      <c r="F261" s="115"/>
    </row>
    <row r="262" spans="1:16" ht="12.75" customHeight="1" x14ac:dyDescent="0.25">
      <c r="D262" s="557">
        <v>83700</v>
      </c>
      <c r="E262" s="2501" t="s">
        <v>3143</v>
      </c>
      <c r="F262" s="2501"/>
      <c r="G262" s="2501"/>
      <c r="H262" s="2501"/>
      <c r="I262" s="2501"/>
      <c r="J262" s="2501"/>
      <c r="K262" s="2501"/>
    </row>
    <row r="263" spans="1:16" ht="12.75" customHeight="1" x14ac:dyDescent="0.25">
      <c r="D263" s="557"/>
      <c r="E263" s="2501"/>
      <c r="F263" s="2501"/>
      <c r="G263" s="2501"/>
      <c r="H263" s="2501"/>
      <c r="I263" s="2501"/>
      <c r="J263" s="2501"/>
      <c r="K263" s="2501"/>
    </row>
    <row r="264" spans="1:16" ht="12.75" customHeight="1" x14ac:dyDescent="0.25">
      <c r="D264" s="557"/>
      <c r="E264" s="2501"/>
      <c r="F264" s="2501"/>
      <c r="G264" s="2501"/>
      <c r="H264" s="2501"/>
      <c r="I264" s="2501"/>
      <c r="J264" s="2501"/>
      <c r="K264" s="2501"/>
    </row>
    <row r="265" spans="1:16" ht="12.75" customHeight="1" x14ac:dyDescent="0.25">
      <c r="D265" s="557"/>
      <c r="E265" s="2501"/>
      <c r="F265" s="2501"/>
      <c r="G265" s="2501"/>
      <c r="H265" s="2501"/>
      <c r="I265" s="2501"/>
      <c r="J265" s="2501"/>
      <c r="K265" s="2501"/>
      <c r="L265" s="399"/>
      <c r="M265" s="399"/>
      <c r="N265" s="399"/>
      <c r="O265" s="399"/>
      <c r="P265" s="399"/>
    </row>
    <row r="266" spans="1:16" ht="12.75" customHeight="1" x14ac:dyDescent="0.25">
      <c r="D266" s="557"/>
      <c r="E266" s="115" t="s">
        <v>2691</v>
      </c>
      <c r="F266" s="399"/>
      <c r="G266" s="399"/>
      <c r="H266" s="399"/>
      <c r="I266" s="399"/>
      <c r="J266" s="114"/>
      <c r="K266" s="114">
        <v>-143673</v>
      </c>
      <c r="L266" s="114">
        <f>ROUND(K266*T$2,0)</f>
        <v>-146690</v>
      </c>
      <c r="M266" s="114">
        <f>ROUND(L266*U$2,0)</f>
        <v>-150064</v>
      </c>
      <c r="N266" s="114">
        <f>ROUND(M266*V$2,0)</f>
        <v>-153515</v>
      </c>
      <c r="O266" s="114">
        <f>ROUND(N266*W$2,0)</f>
        <v>-157046</v>
      </c>
      <c r="P266" s="114"/>
    </row>
    <row r="267" spans="1:16" ht="12.75" customHeight="1" thickBot="1" x14ac:dyDescent="0.3">
      <c r="D267" s="419"/>
      <c r="E267" s="399"/>
      <c r="F267" s="399"/>
      <c r="G267" s="414"/>
      <c r="H267" s="414"/>
      <c r="I267" s="414"/>
      <c r="J267" s="1198"/>
      <c r="K267" s="1885">
        <v>-143673</v>
      </c>
      <c r="L267" s="1885">
        <f t="shared" ref="L267:M267" si="58">SUM(L266:L266)</f>
        <v>-146690</v>
      </c>
      <c r="M267" s="1885">
        <f t="shared" si="58"/>
        <v>-150064</v>
      </c>
      <c r="N267" s="1885">
        <f t="shared" ref="N267:O267" si="59">SUM(N266:N266)</f>
        <v>-153515</v>
      </c>
      <c r="O267" s="1885">
        <f t="shared" si="59"/>
        <v>-157046</v>
      </c>
      <c r="P267" s="1198"/>
    </row>
    <row r="268" spans="1:16" ht="12.75" customHeight="1" thickTop="1" x14ac:dyDescent="0.25">
      <c r="A268" s="336"/>
      <c r="D268" s="393">
        <v>622001</v>
      </c>
      <c r="E268" s="381" t="s">
        <v>3095</v>
      </c>
      <c r="F268" s="115"/>
      <c r="G268" s="114"/>
      <c r="H268" s="114"/>
      <c r="I268" s="114"/>
    </row>
    <row r="269" spans="1:16" ht="12.75" customHeight="1" x14ac:dyDescent="0.25">
      <c r="A269" s="336"/>
      <c r="D269" s="393"/>
      <c r="E269" s="383" t="s">
        <v>533</v>
      </c>
      <c r="F269" s="115"/>
      <c r="G269" s="114"/>
      <c r="H269" s="114"/>
      <c r="I269" s="114"/>
    </row>
    <row r="270" spans="1:16" ht="12.75" customHeight="1" x14ac:dyDescent="0.25">
      <c r="A270" s="336"/>
      <c r="D270" s="143">
        <v>43301</v>
      </c>
      <c r="E270" s="115" t="s">
        <v>1293</v>
      </c>
      <c r="F270" s="115"/>
      <c r="G270" s="114"/>
      <c r="H270" s="114"/>
      <c r="I270" s="114"/>
    </row>
    <row r="271" spans="1:16" ht="12.75" customHeight="1" x14ac:dyDescent="0.25">
      <c r="A271" s="336"/>
      <c r="E271" s="115" t="s">
        <v>3144</v>
      </c>
      <c r="F271" s="115"/>
      <c r="G271" s="114"/>
      <c r="H271" s="114"/>
      <c r="I271" s="114"/>
    </row>
    <row r="272" spans="1:16" ht="12.75" customHeight="1" x14ac:dyDescent="0.25">
      <c r="A272" s="336"/>
      <c r="E272" s="115" t="s">
        <v>3145</v>
      </c>
      <c r="F272" s="115"/>
      <c r="G272" s="114"/>
      <c r="H272" s="114"/>
      <c r="I272" s="114"/>
      <c r="J272" s="114"/>
      <c r="K272" s="114">
        <v>709</v>
      </c>
      <c r="L272" s="114">
        <f>ROUND(K272*T$2,0)</f>
        <v>724</v>
      </c>
      <c r="M272" s="114">
        <f>ROUND(L272*U$2,0)</f>
        <v>741</v>
      </c>
      <c r="N272" s="114">
        <f>ROUND(M272*V$2,0)</f>
        <v>758</v>
      </c>
      <c r="O272" s="114">
        <f>ROUND(N272*W$2,0)</f>
        <v>775</v>
      </c>
      <c r="P272" s="114"/>
    </row>
    <row r="273" spans="1:19" ht="12.75" customHeight="1" x14ac:dyDescent="0.25">
      <c r="A273" s="336"/>
      <c r="E273" s="115" t="s">
        <v>3146</v>
      </c>
      <c r="F273" s="115"/>
      <c r="G273" s="114"/>
      <c r="H273" s="114"/>
      <c r="I273" s="114"/>
      <c r="J273" s="114"/>
      <c r="K273" s="114"/>
      <c r="L273" s="114"/>
      <c r="M273" s="114"/>
      <c r="N273" s="114"/>
      <c r="O273" s="114"/>
      <c r="P273" s="114"/>
    </row>
    <row r="274" spans="1:19" ht="12.75" customHeight="1" x14ac:dyDescent="0.25">
      <c r="A274" s="336"/>
      <c r="E274" s="308" t="s">
        <v>3147</v>
      </c>
      <c r="F274" s="115"/>
      <c r="G274" s="114"/>
      <c r="H274" s="114"/>
      <c r="I274" s="114"/>
      <c r="J274" s="114"/>
      <c r="K274" s="114">
        <v>820</v>
      </c>
      <c r="L274" s="114">
        <f>ROUND(K274*T$2,0)</f>
        <v>837</v>
      </c>
      <c r="M274" s="114">
        <f>ROUND(L274*U$2,0)</f>
        <v>856</v>
      </c>
      <c r="N274" s="114">
        <f>ROUND(M274*V$2,0)</f>
        <v>876</v>
      </c>
      <c r="O274" s="114">
        <f>ROUND(N274*W$2,0)</f>
        <v>896</v>
      </c>
      <c r="P274" s="114"/>
    </row>
    <row r="275" spans="1:19" ht="12.75" customHeight="1" x14ac:dyDescent="0.25">
      <c r="A275" s="336"/>
      <c r="E275" s="381" t="str">
        <f>"Totaal "&amp;D270</f>
        <v>Totaal 43301</v>
      </c>
      <c r="F275" s="115"/>
      <c r="G275" s="114"/>
      <c r="H275" s="114"/>
      <c r="I275" s="114"/>
      <c r="J275" s="114"/>
      <c r="K275" s="1799">
        <v>1529</v>
      </c>
      <c r="L275" s="1799">
        <f t="shared" ref="L275:M275" si="60">SUM(L272:L274)</f>
        <v>1561</v>
      </c>
      <c r="M275" s="1799">
        <f t="shared" si="60"/>
        <v>1597</v>
      </c>
      <c r="N275" s="1799">
        <f t="shared" ref="N275:O275" si="61">SUM(N272:N274)</f>
        <v>1634</v>
      </c>
      <c r="O275" s="1799">
        <f t="shared" si="61"/>
        <v>1671</v>
      </c>
      <c r="P275" s="114"/>
    </row>
    <row r="276" spans="1:19" ht="12.75" customHeight="1" x14ac:dyDescent="0.25">
      <c r="E276" s="115"/>
      <c r="F276" s="115"/>
    </row>
    <row r="277" spans="1:19" ht="12.75" customHeight="1" x14ac:dyDescent="0.25">
      <c r="D277" s="393">
        <v>622001</v>
      </c>
      <c r="E277" s="381" t="s">
        <v>3095</v>
      </c>
      <c r="F277" s="115"/>
    </row>
    <row r="278" spans="1:19" ht="12.75" customHeight="1" x14ac:dyDescent="0.25">
      <c r="D278" s="384">
        <v>83600</v>
      </c>
      <c r="E278" s="115" t="s">
        <v>3148</v>
      </c>
      <c r="F278" s="115"/>
      <c r="J278" s="114"/>
      <c r="K278" s="114">
        <v>-7</v>
      </c>
      <c r="L278" s="114">
        <f t="shared" ref="L278:O281" si="62">ROUND(K278*T$2,0)</f>
        <v>-7</v>
      </c>
      <c r="M278" s="114">
        <f t="shared" si="62"/>
        <v>-7</v>
      </c>
      <c r="N278" s="114">
        <f t="shared" si="62"/>
        <v>-7</v>
      </c>
      <c r="O278" s="114">
        <f t="shared" si="62"/>
        <v>-7</v>
      </c>
      <c r="P278" s="114"/>
    </row>
    <row r="279" spans="1:19" ht="12.75" customHeight="1" x14ac:dyDescent="0.25">
      <c r="D279" s="384">
        <v>83600</v>
      </c>
      <c r="E279" s="115" t="s">
        <v>3149</v>
      </c>
      <c r="F279" s="115"/>
      <c r="J279" s="114"/>
      <c r="K279" s="114">
        <v>-1</v>
      </c>
      <c r="L279" s="114">
        <f t="shared" si="62"/>
        <v>-1</v>
      </c>
      <c r="M279" s="114">
        <f t="shared" si="62"/>
        <v>-1</v>
      </c>
      <c r="N279" s="114">
        <f t="shared" si="62"/>
        <v>-1</v>
      </c>
      <c r="O279" s="114">
        <f t="shared" si="62"/>
        <v>-1</v>
      </c>
      <c r="P279" s="114"/>
    </row>
    <row r="280" spans="1:19" ht="12.75" customHeight="1" x14ac:dyDescent="0.25">
      <c r="D280" s="384">
        <v>83600</v>
      </c>
      <c r="E280" s="115" t="s">
        <v>3150</v>
      </c>
      <c r="F280" s="115"/>
      <c r="J280" s="114"/>
      <c r="K280" s="114">
        <v>-1</v>
      </c>
      <c r="L280" s="114">
        <f t="shared" si="62"/>
        <v>-1</v>
      </c>
      <c r="M280" s="114">
        <f t="shared" si="62"/>
        <v>-1</v>
      </c>
      <c r="N280" s="114">
        <f t="shared" si="62"/>
        <v>-1</v>
      </c>
      <c r="O280" s="114">
        <f t="shared" si="62"/>
        <v>-1</v>
      </c>
      <c r="P280" s="114"/>
    </row>
    <row r="281" spans="1:19" ht="12.75" customHeight="1" x14ac:dyDescent="0.25">
      <c r="D281" s="384">
        <v>83600</v>
      </c>
      <c r="E281" s="115" t="s">
        <v>3151</v>
      </c>
      <c r="F281" s="115"/>
      <c r="J281" s="114"/>
      <c r="K281" s="114">
        <v>-50</v>
      </c>
      <c r="L281" s="114">
        <f t="shared" si="62"/>
        <v>-51</v>
      </c>
      <c r="M281" s="114">
        <f t="shared" si="62"/>
        <v>-52</v>
      </c>
      <c r="N281" s="114">
        <f t="shared" si="62"/>
        <v>-53</v>
      </c>
      <c r="O281" s="114">
        <f t="shared" si="62"/>
        <v>-54</v>
      </c>
      <c r="P281" s="114"/>
    </row>
    <row r="282" spans="1:19" ht="12.75" customHeight="1" thickBot="1" x14ac:dyDescent="0.3">
      <c r="A282" s="336"/>
      <c r="B282" s="575"/>
      <c r="C282" s="575"/>
      <c r="D282" s="384"/>
      <c r="E282" s="381" t="str">
        <f>"Totaal "&amp;D279</f>
        <v>Totaal 83600</v>
      </c>
      <c r="F282" s="115"/>
      <c r="G282" s="114"/>
      <c r="H282" s="114"/>
      <c r="I282" s="114"/>
      <c r="J282" s="114"/>
      <c r="K282" s="1744">
        <v>-59</v>
      </c>
      <c r="L282" s="1744">
        <f>SUM(L278:L281)</f>
        <v>-60</v>
      </c>
      <c r="M282" s="1744">
        <f>SUM(M278:M281)</f>
        <v>-61</v>
      </c>
      <c r="N282" s="1744">
        <f>SUM(N278:N281)</f>
        <v>-62</v>
      </c>
      <c r="O282" s="1744">
        <f>SUM(O278:O281)</f>
        <v>-63</v>
      </c>
      <c r="P282" s="114"/>
      <c r="Q282" s="1199"/>
      <c r="R282" s="575"/>
    </row>
    <row r="283" spans="1:19" ht="12.75" customHeight="1" thickTop="1" x14ac:dyDescent="0.25">
      <c r="A283" s="336"/>
      <c r="B283" s="575"/>
      <c r="C283" s="575"/>
      <c r="D283" s="384"/>
      <c r="E283" s="115"/>
      <c r="F283" s="115"/>
      <c r="G283" s="114"/>
      <c r="H283" s="114"/>
      <c r="I283" s="114"/>
      <c r="J283" s="114"/>
      <c r="K283" s="114"/>
      <c r="L283" s="114"/>
      <c r="M283" s="114"/>
      <c r="N283" s="114"/>
      <c r="O283" s="114"/>
      <c r="P283" s="114"/>
      <c r="Q283" s="1199"/>
      <c r="R283" s="575"/>
    </row>
    <row r="284" spans="1:19" ht="12.75" customHeight="1" x14ac:dyDescent="0.25">
      <c r="A284" s="336"/>
      <c r="B284" s="575"/>
      <c r="C284" s="575"/>
      <c r="D284" s="384">
        <v>83300</v>
      </c>
      <c r="E284" s="115" t="s">
        <v>3152</v>
      </c>
      <c r="F284" s="115"/>
      <c r="G284" s="114"/>
      <c r="H284" s="114"/>
      <c r="I284" s="114"/>
      <c r="J284" s="114"/>
      <c r="K284" s="114">
        <v>-1</v>
      </c>
      <c r="L284" s="114">
        <f t="shared" ref="L284:O284" si="63">-1</f>
        <v>-1</v>
      </c>
      <c r="M284" s="114">
        <f t="shared" si="63"/>
        <v>-1</v>
      </c>
      <c r="N284" s="114">
        <f t="shared" si="63"/>
        <v>-1</v>
      </c>
      <c r="O284" s="114">
        <f t="shared" si="63"/>
        <v>-1</v>
      </c>
      <c r="P284" s="114"/>
      <c r="Q284" s="1199"/>
      <c r="R284" s="575"/>
    </row>
    <row r="285" spans="1:19" ht="12.75" customHeight="1" thickBot="1" x14ac:dyDescent="0.3">
      <c r="A285" s="336"/>
      <c r="B285" s="575"/>
      <c r="C285" s="575"/>
      <c r="E285" s="381" t="str">
        <f>"Totaal "&amp;D284</f>
        <v>Totaal 83300</v>
      </c>
      <c r="F285" s="115"/>
      <c r="G285" s="114"/>
      <c r="H285" s="114"/>
      <c r="I285" s="114"/>
      <c r="J285" s="114"/>
      <c r="K285" s="1744">
        <v>-1</v>
      </c>
      <c r="L285" s="1744">
        <f t="shared" ref="L285:M285" si="64">SUM(L284)</f>
        <v>-1</v>
      </c>
      <c r="M285" s="1744">
        <f t="shared" si="64"/>
        <v>-1</v>
      </c>
      <c r="N285" s="1744">
        <f t="shared" ref="N285:O285" si="65">SUM(N284)</f>
        <v>-1</v>
      </c>
      <c r="O285" s="1744">
        <f t="shared" si="65"/>
        <v>-1</v>
      </c>
      <c r="P285" s="114"/>
      <c r="Q285" s="1199"/>
      <c r="R285" s="575"/>
    </row>
    <row r="286" spans="1:19" ht="12.75" customHeight="1" thickTop="1" x14ac:dyDescent="0.25">
      <c r="A286" s="336"/>
      <c r="B286" s="575"/>
      <c r="C286" s="575"/>
      <c r="D286" s="648"/>
      <c r="E286" s="381"/>
      <c r="F286" s="115"/>
      <c r="H286" s="114"/>
      <c r="I286" s="114"/>
      <c r="J286" s="1199"/>
      <c r="K286" s="1199"/>
      <c r="L286" s="1199"/>
      <c r="M286" s="1199"/>
      <c r="N286" s="1199"/>
      <c r="O286" s="1199"/>
      <c r="P286" s="1199"/>
    </row>
    <row r="287" spans="1:19" ht="12.75" customHeight="1" x14ac:dyDescent="0.25">
      <c r="A287" s="336"/>
      <c r="B287" s="575"/>
      <c r="C287" s="575"/>
      <c r="D287" s="648"/>
      <c r="E287" s="381"/>
      <c r="F287" s="115"/>
      <c r="H287" s="114"/>
      <c r="I287" s="114"/>
      <c r="J287" s="1199"/>
      <c r="K287" s="1199"/>
      <c r="L287" s="1199"/>
      <c r="M287" s="1199"/>
      <c r="N287" s="1199"/>
      <c r="O287" s="1199"/>
      <c r="P287" s="1199"/>
    </row>
    <row r="288" spans="1:19" ht="12.75" customHeight="1" x14ac:dyDescent="0.25">
      <c r="D288" s="1200" t="s">
        <v>2782</v>
      </c>
      <c r="E288" s="1200"/>
      <c r="F288" s="1200"/>
      <c r="G288" s="1201"/>
      <c r="H288" s="1201"/>
      <c r="J288" s="1202"/>
      <c r="K288" s="1202"/>
      <c r="L288" s="1202"/>
      <c r="M288" s="1202"/>
      <c r="N288" s="1202"/>
      <c r="O288" s="1202"/>
      <c r="P288" s="1202"/>
      <c r="Q288" s="1203"/>
      <c r="R288" s="1203"/>
      <c r="S288" s="1201"/>
    </row>
    <row r="289" spans="4:22" ht="12.75" customHeight="1" x14ac:dyDescent="0.25">
      <c r="D289" s="1204"/>
      <c r="E289" s="1204"/>
      <c r="F289" s="1204"/>
      <c r="G289" s="1201"/>
      <c r="H289" s="1201"/>
      <c r="J289" s="486"/>
      <c r="K289" s="605">
        <v>2026</v>
      </c>
      <c r="L289" s="605">
        <v>2027</v>
      </c>
      <c r="M289" s="605">
        <v>2028</v>
      </c>
      <c r="N289" s="605">
        <v>2029</v>
      </c>
      <c r="O289" s="605">
        <v>2030</v>
      </c>
      <c r="P289" s="154"/>
      <c r="Q289" s="1205"/>
      <c r="R289" s="1201"/>
    </row>
    <row r="290" spans="4:22" ht="12.75" customHeight="1" x14ac:dyDescent="0.25">
      <c r="D290" s="1206" t="s">
        <v>3153</v>
      </c>
      <c r="E290" s="1206"/>
      <c r="F290" s="1206"/>
      <c r="G290" s="1201"/>
      <c r="H290" s="1201"/>
      <c r="J290" s="1202"/>
      <c r="K290" s="1202"/>
      <c r="L290" s="1202"/>
      <c r="M290" s="1202"/>
      <c r="N290" s="1202"/>
      <c r="O290" s="1202"/>
      <c r="P290" s="1202"/>
      <c r="Q290" s="1205"/>
      <c r="R290" s="1201"/>
    </row>
    <row r="291" spans="4:22" ht="12.75" customHeight="1" x14ac:dyDescent="0.25">
      <c r="D291" s="1204" t="s">
        <v>2784</v>
      </c>
      <c r="E291" s="1204"/>
      <c r="F291" s="1204"/>
      <c r="G291" s="1201"/>
      <c r="H291" s="1201"/>
      <c r="J291" s="1202"/>
      <c r="K291" s="1202">
        <v>114331</v>
      </c>
      <c r="L291" s="1202">
        <f>L137</f>
        <v>119133</v>
      </c>
      <c r="M291" s="1202">
        <f>M137</f>
        <v>123541</v>
      </c>
      <c r="N291" s="1202">
        <f>N137</f>
        <v>128112</v>
      </c>
      <c r="O291" s="1202">
        <f>O137</f>
        <v>132852</v>
      </c>
      <c r="P291" s="1202"/>
      <c r="Q291" s="1205"/>
      <c r="R291" s="1201"/>
    </row>
    <row r="292" spans="4:22" ht="12.75" customHeight="1" x14ac:dyDescent="0.25">
      <c r="D292" s="1204"/>
      <c r="E292" s="1204"/>
      <c r="F292" s="1204"/>
      <c r="G292" s="1201"/>
      <c r="H292" s="1201"/>
      <c r="J292" s="1202"/>
      <c r="K292" s="1207"/>
      <c r="L292" s="1207"/>
      <c r="M292" s="1207"/>
      <c r="N292" s="1207"/>
      <c r="O292" s="1207"/>
      <c r="P292" s="1202"/>
      <c r="Q292" s="1205"/>
      <c r="R292" s="1201"/>
    </row>
    <row r="293" spans="4:22" ht="12.75" customHeight="1" x14ac:dyDescent="0.25">
      <c r="D293" s="1204" t="s">
        <v>2785</v>
      </c>
      <c r="E293" s="1204"/>
      <c r="F293" s="1204"/>
      <c r="G293" s="1201"/>
      <c r="H293" s="1201"/>
      <c r="I293" s="1202"/>
      <c r="J293" s="1202"/>
      <c r="K293" s="1202">
        <v>114331</v>
      </c>
      <c r="L293" s="1202">
        <f t="shared" ref="L293:M293" si="66">SUM(L291:L292)</f>
        <v>119133</v>
      </c>
      <c r="M293" s="1202">
        <f t="shared" si="66"/>
        <v>123541</v>
      </c>
      <c r="N293" s="1202">
        <f t="shared" ref="N293:O293" si="67">SUM(N291:N292)</f>
        <v>128112</v>
      </c>
      <c r="O293" s="1202">
        <f t="shared" si="67"/>
        <v>132852</v>
      </c>
      <c r="P293" s="1202"/>
      <c r="Q293" s="1205"/>
      <c r="R293" s="1201"/>
    </row>
    <row r="294" spans="4:22" ht="12.75" customHeight="1" x14ac:dyDescent="0.25">
      <c r="D294" s="1204"/>
      <c r="E294" s="1204"/>
      <c r="F294" s="1204"/>
      <c r="G294" s="1201"/>
      <c r="H294" s="1208"/>
      <c r="I294" s="1202"/>
      <c r="J294" s="1202"/>
      <c r="K294" s="1202"/>
      <c r="L294" s="1202"/>
      <c r="M294" s="1202"/>
      <c r="N294" s="1202"/>
      <c r="O294" s="1202"/>
      <c r="P294" s="1202"/>
      <c r="Q294" s="1205"/>
      <c r="R294" s="1201"/>
    </row>
    <row r="295" spans="4:22" ht="12.75" customHeight="1" x14ac:dyDescent="0.25">
      <c r="D295" s="1206" t="s">
        <v>2786</v>
      </c>
      <c r="E295" s="1206"/>
      <c r="F295" s="1206"/>
      <c r="G295" s="1201"/>
      <c r="H295" s="1201"/>
      <c r="I295" s="1202"/>
      <c r="J295" s="1202"/>
      <c r="K295" s="1202"/>
      <c r="L295" s="1202"/>
      <c r="M295" s="1202"/>
      <c r="N295" s="1202"/>
      <c r="O295" s="1202"/>
      <c r="P295" s="1202"/>
      <c r="Q295" s="1205"/>
      <c r="R295" s="1201"/>
    </row>
    <row r="296" spans="4:22" ht="12.75" customHeight="1" x14ac:dyDescent="0.25">
      <c r="D296" s="1204"/>
      <c r="E296" s="1204"/>
      <c r="F296" s="1204"/>
      <c r="G296" s="1201"/>
      <c r="H296" s="1201"/>
      <c r="I296" s="1202"/>
      <c r="J296" s="1202"/>
      <c r="K296" s="1202"/>
      <c r="L296" s="1202"/>
      <c r="M296" s="1202"/>
      <c r="N296" s="1202"/>
      <c r="O296" s="1202"/>
      <c r="P296" s="1202"/>
      <c r="Q296" s="1205"/>
      <c r="R296" s="1201"/>
    </row>
    <row r="297" spans="4:22" ht="12.75" customHeight="1" x14ac:dyDescent="0.25">
      <c r="D297" s="1209" t="s">
        <v>2787</v>
      </c>
      <c r="E297" s="1209"/>
      <c r="F297" s="1209"/>
      <c r="G297" s="1201"/>
      <c r="H297" s="1201"/>
      <c r="I297" s="1202"/>
      <c r="J297" s="1202"/>
      <c r="K297" s="1202"/>
      <c r="L297" s="1202"/>
      <c r="M297" s="1202"/>
      <c r="N297" s="1202"/>
      <c r="O297" s="1202"/>
      <c r="P297" s="1202"/>
      <c r="Q297" s="1205"/>
      <c r="R297" s="1205"/>
      <c r="S297" s="1201"/>
    </row>
    <row r="298" spans="4:22" ht="12.75" customHeight="1" x14ac:dyDescent="0.25">
      <c r="D298" s="1210" t="s">
        <v>2788</v>
      </c>
      <c r="E298" s="1210"/>
      <c r="F298" s="1210"/>
      <c r="G298" s="1210"/>
      <c r="H298" s="1210"/>
      <c r="I298" s="1211"/>
      <c r="J298" s="1211"/>
      <c r="K298" s="1211">
        <v>114331</v>
      </c>
      <c r="L298" s="1211">
        <f t="shared" ref="L298:M298" si="68">L293</f>
        <v>119133</v>
      </c>
      <c r="M298" s="1211">
        <f t="shared" si="68"/>
        <v>123541</v>
      </c>
      <c r="N298" s="1211">
        <f t="shared" ref="N298:O298" si="69">N293</f>
        <v>128112</v>
      </c>
      <c r="O298" s="1211">
        <f t="shared" si="69"/>
        <v>132852</v>
      </c>
      <c r="P298" s="1211"/>
      <c r="R298" s="1212"/>
      <c r="S298" s="1212"/>
      <c r="T298" s="1212"/>
      <c r="U298" s="1212"/>
      <c r="V298" s="1212"/>
    </row>
    <row r="299" spans="4:22" ht="12.75" customHeight="1" x14ac:dyDescent="0.25">
      <c r="D299" s="1210"/>
      <c r="E299" s="1210"/>
      <c r="F299" s="1210"/>
      <c r="G299" s="1201"/>
      <c r="H299" s="1201"/>
      <c r="I299" s="510"/>
      <c r="J299" s="510"/>
      <c r="K299" s="510"/>
      <c r="L299" s="510"/>
      <c r="M299" s="510"/>
      <c r="N299" s="510"/>
      <c r="O299" s="510"/>
      <c r="P299" s="510"/>
      <c r="R299" s="668">
        <v>2026</v>
      </c>
      <c r="S299" s="668">
        <v>2027</v>
      </c>
      <c r="T299" s="668">
        <v>2028</v>
      </c>
      <c r="U299" s="668">
        <v>2029</v>
      </c>
      <c r="V299" s="2091">
        <v>2030</v>
      </c>
    </row>
    <row r="300" spans="4:22" ht="12.75" customHeight="1" x14ac:dyDescent="0.3">
      <c r="D300" s="507" t="s">
        <v>945</v>
      </c>
      <c r="E300" s="115"/>
      <c r="F300" s="115"/>
      <c r="I300" s="508"/>
      <c r="J300" s="508"/>
      <c r="K300" s="508"/>
      <c r="L300" s="151"/>
      <c r="M300" s="151"/>
      <c r="N300" s="151"/>
      <c r="O300" s="151"/>
      <c r="P300" s="151"/>
      <c r="R300" s="1213"/>
      <c r="V300" s="358"/>
    </row>
    <row r="301" spans="4:22" ht="12.75" customHeight="1" x14ac:dyDescent="0.3">
      <c r="D301" s="507"/>
      <c r="E301" s="115"/>
      <c r="F301" s="115"/>
      <c r="I301" s="508"/>
      <c r="J301" s="508"/>
      <c r="K301" s="508"/>
      <c r="L301" s="151"/>
      <c r="M301" s="151"/>
      <c r="N301" s="151"/>
      <c r="O301" s="151"/>
      <c r="P301" s="151"/>
      <c r="R301" s="1203"/>
      <c r="S301" s="1203"/>
      <c r="V301" s="358"/>
    </row>
    <row r="302" spans="4:22" ht="12.75" customHeight="1" x14ac:dyDescent="0.3">
      <c r="D302" s="115" t="s">
        <v>946</v>
      </c>
      <c r="E302" s="115"/>
      <c r="F302" s="115"/>
      <c r="I302" s="359"/>
      <c r="J302" s="151"/>
      <c r="K302" s="151">
        <v>10305.79806982938</v>
      </c>
      <c r="L302" s="151">
        <f t="shared" ref="L302:O309" si="70">L$293*S302</f>
        <v>11212.327533373105</v>
      </c>
      <c r="M302" s="151">
        <f t="shared" si="70"/>
        <v>12266.633968668044</v>
      </c>
      <c r="N302" s="151">
        <f t="shared" si="70"/>
        <v>13373.364971129626</v>
      </c>
      <c r="O302" s="547">
        <f t="shared" si="70"/>
        <v>13868.164443178726</v>
      </c>
      <c r="P302" s="151"/>
      <c r="R302" s="509">
        <v>9.0140015130011811E-2</v>
      </c>
      <c r="S302" s="509">
        <v>9.4116051248378754E-2</v>
      </c>
      <c r="T302" s="509">
        <v>9.9292008067508306E-2</v>
      </c>
      <c r="U302" s="509">
        <v>0.10438807427196223</v>
      </c>
      <c r="V302" s="2083">
        <v>0.10438807427196223</v>
      </c>
    </row>
    <row r="303" spans="4:22" ht="12.75" customHeight="1" x14ac:dyDescent="0.3">
      <c r="D303" s="115" t="s">
        <v>947</v>
      </c>
      <c r="E303" s="115"/>
      <c r="F303" s="115"/>
      <c r="I303" s="359"/>
      <c r="J303" s="151"/>
      <c r="K303" s="151">
        <v>250.15298400479955</v>
      </c>
      <c r="L303" s="151">
        <f t="shared" si="70"/>
        <v>259.81358813600917</v>
      </c>
      <c r="M303" s="151">
        <f t="shared" si="70"/>
        <v>268.5566347174202</v>
      </c>
      <c r="N303" s="151">
        <f t="shared" si="70"/>
        <v>277.59008879020269</v>
      </c>
      <c r="O303" s="547">
        <f t="shared" si="70"/>
        <v>287.86061005960414</v>
      </c>
      <c r="P303" s="151"/>
      <c r="R303" s="509">
        <v>2.1879716262850806E-3</v>
      </c>
      <c r="S303" s="509">
        <v>2.1808700203638722E-3</v>
      </c>
      <c r="T303" s="509">
        <v>2.1738259745138874E-3</v>
      </c>
      <c r="U303" s="509">
        <v>2.1667766391142334E-3</v>
      </c>
      <c r="V303" s="2083">
        <v>2.1667766391142334E-3</v>
      </c>
    </row>
    <row r="304" spans="4:22" ht="12.75" customHeight="1" x14ac:dyDescent="0.3">
      <c r="D304" s="115" t="s">
        <v>948</v>
      </c>
      <c r="E304" s="115"/>
      <c r="F304" s="115"/>
      <c r="I304" s="359"/>
      <c r="J304" s="151"/>
      <c r="K304" s="151">
        <v>19994.967362767042</v>
      </c>
      <c r="L304" s="151">
        <f t="shared" si="70"/>
        <v>20775.190244304275</v>
      </c>
      <c r="M304" s="151">
        <f t="shared" si="70"/>
        <v>21482.272472798435</v>
      </c>
      <c r="N304" s="151">
        <f t="shared" si="70"/>
        <v>22213.401969400791</v>
      </c>
      <c r="O304" s="547">
        <f t="shared" si="70"/>
        <v>23035.272874038605</v>
      </c>
      <c r="P304" s="151"/>
      <c r="R304" s="509">
        <v>0.17488666558297436</v>
      </c>
      <c r="S304" s="509">
        <v>0.17438652803424973</v>
      </c>
      <c r="T304" s="509">
        <v>0.17388779816254066</v>
      </c>
      <c r="U304" s="509">
        <v>0.17339048621050948</v>
      </c>
      <c r="V304" s="2083">
        <v>0.17339048621050948</v>
      </c>
    </row>
    <row r="305" spans="4:22" ht="12.75" customHeight="1" x14ac:dyDescent="0.3">
      <c r="D305" s="115" t="s">
        <v>949</v>
      </c>
      <c r="E305" s="115"/>
      <c r="F305" s="115"/>
      <c r="I305" s="359"/>
      <c r="J305" s="151"/>
      <c r="K305" s="151">
        <v>25952.679676</v>
      </c>
      <c r="L305" s="151">
        <f t="shared" si="70"/>
        <v>26464.085486999997</v>
      </c>
      <c r="M305" s="151">
        <f t="shared" si="70"/>
        <v>27257.097912000001</v>
      </c>
      <c r="N305" s="151">
        <f t="shared" si="70"/>
        <v>28073.054448000003</v>
      </c>
      <c r="O305" s="547">
        <f t="shared" si="70"/>
        <v>29111.725908000004</v>
      </c>
      <c r="P305" s="151"/>
      <c r="R305" s="509">
        <v>0.226996</v>
      </c>
      <c r="S305" s="509">
        <v>0.22213899999999998</v>
      </c>
      <c r="T305" s="509">
        <v>0.22063199999999999</v>
      </c>
      <c r="U305" s="509">
        <v>0.21912900000000002</v>
      </c>
      <c r="V305" s="2083">
        <v>0.21912900000000002</v>
      </c>
    </row>
    <row r="306" spans="4:22" ht="12.75" customHeight="1" x14ac:dyDescent="0.3">
      <c r="D306" s="308" t="s">
        <v>950</v>
      </c>
      <c r="E306" s="115"/>
      <c r="F306" s="115"/>
      <c r="I306" s="359"/>
      <c r="J306" s="151"/>
      <c r="K306" s="151">
        <v>3532.2580493733863</v>
      </c>
      <c r="L306" s="151">
        <f t="shared" si="70"/>
        <v>3665.2956477469252</v>
      </c>
      <c r="M306" s="151">
        <f t="shared" si="70"/>
        <v>3785.1851961689176</v>
      </c>
      <c r="N306" s="151">
        <f t="shared" si="70"/>
        <v>3909.1103980380849</v>
      </c>
      <c r="O306" s="547">
        <f t="shared" si="70"/>
        <v>4053.7430888609629</v>
      </c>
      <c r="P306" s="151"/>
      <c r="R306" s="509">
        <v>3.0895015782013507E-2</v>
      </c>
      <c r="S306" s="509">
        <v>3.0766417766252215E-2</v>
      </c>
      <c r="T306" s="509">
        <v>3.0639101158068314E-2</v>
      </c>
      <c r="U306" s="509">
        <v>3.051322591199954E-2</v>
      </c>
      <c r="V306" s="2083">
        <v>3.051322591199954E-2</v>
      </c>
    </row>
    <row r="307" spans="4:22" ht="12.75" customHeight="1" x14ac:dyDescent="0.3">
      <c r="D307" s="308" t="s">
        <v>951</v>
      </c>
      <c r="E307" s="115"/>
      <c r="F307" s="115"/>
      <c r="I307" s="359"/>
      <c r="J307" s="151"/>
      <c r="K307" s="151">
        <v>0</v>
      </c>
      <c r="L307" s="151">
        <f t="shared" si="70"/>
        <v>0</v>
      </c>
      <c r="M307" s="151">
        <f t="shared" si="70"/>
        <v>0</v>
      </c>
      <c r="N307" s="151">
        <f t="shared" si="70"/>
        <v>0</v>
      </c>
      <c r="O307" s="547">
        <f t="shared" si="70"/>
        <v>0</v>
      </c>
      <c r="P307" s="151"/>
      <c r="R307" s="509">
        <v>0</v>
      </c>
      <c r="S307" s="509">
        <v>0</v>
      </c>
      <c r="T307" s="509">
        <v>0</v>
      </c>
      <c r="U307" s="509">
        <v>0</v>
      </c>
      <c r="V307" s="2083">
        <v>0</v>
      </c>
    </row>
    <row r="308" spans="4:22" ht="12.75" customHeight="1" x14ac:dyDescent="0.3">
      <c r="D308" s="308" t="s">
        <v>952</v>
      </c>
      <c r="E308" s="115"/>
      <c r="F308" s="115"/>
      <c r="I308" s="359"/>
      <c r="J308" s="151"/>
      <c r="K308" s="151">
        <v>14406.495761774575</v>
      </c>
      <c r="L308" s="151">
        <f t="shared" si="70"/>
        <v>13300.071797460601</v>
      </c>
      <c r="M308" s="151">
        <f t="shared" si="70"/>
        <v>13792.186892757722</v>
      </c>
      <c r="N308" s="151">
        <f t="shared" si="70"/>
        <v>14302.509618370214</v>
      </c>
      <c r="O308" s="547">
        <f t="shared" si="70"/>
        <v>14831.686397993315</v>
      </c>
      <c r="P308" s="151"/>
      <c r="R308" s="509">
        <v>0.12600690767835998</v>
      </c>
      <c r="S308" s="509">
        <v>0.11164053450732041</v>
      </c>
      <c r="T308" s="509">
        <v>0.11164056380276767</v>
      </c>
      <c r="U308" s="509">
        <v>0.11164067080656155</v>
      </c>
      <c r="V308" s="2083">
        <v>0.11164067080656155</v>
      </c>
    </row>
    <row r="309" spans="4:22" ht="12.75" customHeight="1" x14ac:dyDescent="0.3">
      <c r="D309" s="308" t="s">
        <v>953</v>
      </c>
      <c r="E309" s="115"/>
      <c r="F309" s="115"/>
      <c r="I309" s="359"/>
      <c r="J309" s="151"/>
      <c r="K309" s="151">
        <v>0</v>
      </c>
      <c r="L309" s="151">
        <f t="shared" si="70"/>
        <v>0</v>
      </c>
      <c r="M309" s="151">
        <f t="shared" si="70"/>
        <v>0</v>
      </c>
      <c r="N309" s="151">
        <f t="shared" si="70"/>
        <v>0</v>
      </c>
      <c r="O309" s="547">
        <f t="shared" si="70"/>
        <v>0</v>
      </c>
      <c r="P309" s="151"/>
      <c r="R309" s="509">
        <v>0</v>
      </c>
      <c r="S309" s="509">
        <v>0</v>
      </c>
      <c r="T309" s="509">
        <v>0</v>
      </c>
      <c r="U309" s="509">
        <v>0</v>
      </c>
      <c r="V309" s="2083">
        <v>0</v>
      </c>
    </row>
    <row r="310" spans="4:22" ht="12.75" customHeight="1" x14ac:dyDescent="0.25">
      <c r="D310" s="115"/>
      <c r="E310" s="115"/>
      <c r="F310" s="115"/>
      <c r="I310" s="359"/>
      <c r="J310" s="359"/>
      <c r="K310" s="359"/>
      <c r="L310" s="151"/>
      <c r="M310" s="151"/>
      <c r="N310" s="151"/>
      <c r="O310" s="547"/>
      <c r="P310" s="151"/>
      <c r="R310" s="508"/>
      <c r="S310" s="508"/>
      <c r="T310" s="508"/>
      <c r="U310" s="508"/>
      <c r="V310" s="2090"/>
    </row>
    <row r="311" spans="4:22" ht="12.75" customHeight="1" x14ac:dyDescent="0.3">
      <c r="D311" s="507" t="s">
        <v>954</v>
      </c>
      <c r="E311" s="115"/>
      <c r="F311" s="115"/>
      <c r="I311" s="359"/>
      <c r="J311" s="359"/>
      <c r="K311" s="359"/>
      <c r="L311" s="151"/>
      <c r="M311" s="151"/>
      <c r="N311" s="151"/>
      <c r="O311" s="547"/>
      <c r="P311" s="151"/>
      <c r="R311" s="508"/>
      <c r="S311" s="508"/>
      <c r="T311" s="508"/>
      <c r="U311" s="508"/>
      <c r="V311" s="2090"/>
    </row>
    <row r="312" spans="4:22" ht="12.75" customHeight="1" x14ac:dyDescent="0.25">
      <c r="D312" s="115"/>
      <c r="E312" s="115"/>
      <c r="F312" s="115"/>
      <c r="I312" s="359"/>
      <c r="J312" s="359"/>
      <c r="K312" s="359"/>
      <c r="L312" s="151"/>
      <c r="M312" s="151"/>
      <c r="N312" s="151"/>
      <c r="O312" s="547"/>
      <c r="P312" s="151"/>
      <c r="R312" s="508"/>
      <c r="S312" s="508"/>
      <c r="T312" s="508"/>
      <c r="U312" s="508"/>
      <c r="V312" s="2090"/>
    </row>
    <row r="313" spans="4:22" ht="12.75" customHeight="1" x14ac:dyDescent="0.3">
      <c r="D313" s="115" t="s">
        <v>955</v>
      </c>
      <c r="E313" s="115"/>
      <c r="F313" s="115"/>
      <c r="I313" s="359"/>
      <c r="J313" s="151"/>
      <c r="K313" s="151">
        <v>3688.7133875688337</v>
      </c>
      <c r="L313" s="151">
        <f t="shared" ref="L313:O314" si="71">L$293*S313</f>
        <v>5668.2785591621878</v>
      </c>
      <c r="M313" s="151">
        <f t="shared" si="71"/>
        <v>5634.4415486003927</v>
      </c>
      <c r="N313" s="151">
        <f t="shared" si="71"/>
        <v>5661.0909132112838</v>
      </c>
      <c r="O313" s="547">
        <f t="shared" si="71"/>
        <v>5870.5449138405884</v>
      </c>
      <c r="P313" s="151"/>
      <c r="R313" s="509">
        <v>3.2263457746095403E-2</v>
      </c>
      <c r="S313" s="509">
        <v>4.7579415939850316E-2</v>
      </c>
      <c r="T313" s="509">
        <v>4.5607867417297838E-2</v>
      </c>
      <c r="U313" s="509">
        <v>4.4188607727701418E-2</v>
      </c>
      <c r="V313" s="2083">
        <v>4.4188607727701418E-2</v>
      </c>
    </row>
    <row r="314" spans="4:22" ht="12.75" customHeight="1" x14ac:dyDescent="0.3">
      <c r="D314" s="115" t="s">
        <v>956</v>
      </c>
      <c r="E314" s="115"/>
      <c r="F314" s="115"/>
      <c r="I314" s="359"/>
      <c r="J314" s="151"/>
      <c r="K314" s="151">
        <v>19229.102228</v>
      </c>
      <c r="L314" s="151">
        <f t="shared" si="71"/>
        <v>19272.860208000002</v>
      </c>
      <c r="M314" s="151">
        <f t="shared" si="71"/>
        <v>16124.941943</v>
      </c>
      <c r="N314" s="151">
        <f t="shared" si="71"/>
        <v>16095.351119999999</v>
      </c>
      <c r="O314" s="547">
        <f t="shared" si="71"/>
        <v>16690.86102</v>
      </c>
      <c r="P314" s="151"/>
      <c r="R314" s="509">
        <v>0.168188</v>
      </c>
      <c r="S314" s="509">
        <v>0.16177600000000003</v>
      </c>
      <c r="T314" s="509">
        <v>0.130523</v>
      </c>
      <c r="U314" s="509">
        <v>0.125635</v>
      </c>
      <c r="V314" s="2083">
        <v>0.125635</v>
      </c>
    </row>
    <row r="315" spans="4:22" ht="12.75" customHeight="1" x14ac:dyDescent="0.25">
      <c r="D315" s="411"/>
      <c r="E315" s="301"/>
      <c r="F315" s="301"/>
      <c r="G315" s="359"/>
      <c r="H315" s="359"/>
      <c r="I315" s="510"/>
      <c r="J315" s="151"/>
      <c r="K315" s="151"/>
      <c r="L315" s="151"/>
      <c r="M315" s="151"/>
      <c r="N315" s="151"/>
      <c r="O315" s="547"/>
      <c r="P315" s="151"/>
      <c r="R315" s="149"/>
      <c r="S315" s="149"/>
      <c r="T315" s="149"/>
      <c r="U315" s="149"/>
      <c r="V315" s="2112"/>
    </row>
    <row r="316" spans="4:22" ht="12.75" customHeight="1" thickBot="1" x14ac:dyDescent="0.3">
      <c r="D316" s="301" t="s">
        <v>957</v>
      </c>
      <c r="E316" s="301"/>
      <c r="F316" s="301"/>
      <c r="G316" s="359"/>
      <c r="H316" s="359"/>
      <c r="I316" s="510"/>
      <c r="J316" s="503"/>
      <c r="K316" s="1745">
        <v>97360.167519318013</v>
      </c>
      <c r="L316" s="1745">
        <f t="shared" ref="L316:M316" si="72">SUM(L302:L315)</f>
        <v>100617.9230651831</v>
      </c>
      <c r="M316" s="1745">
        <f t="shared" si="72"/>
        <v>100611.31656871094</v>
      </c>
      <c r="N316" s="1745">
        <f t="shared" ref="N316:O316" si="73">SUM(N302:N315)</f>
        <v>103905.47352694022</v>
      </c>
      <c r="O316" s="2110">
        <f t="shared" si="73"/>
        <v>107749.85925597179</v>
      </c>
      <c r="P316" s="503"/>
      <c r="V316" s="358"/>
    </row>
    <row r="317" spans="4:22" ht="12.75" customHeight="1" thickTop="1" x14ac:dyDescent="0.25">
      <c r="E317" s="301"/>
      <c r="F317" s="301"/>
      <c r="G317" s="359"/>
      <c r="H317" s="359"/>
      <c r="I317" s="510"/>
      <c r="J317" s="503"/>
      <c r="K317" s="503"/>
      <c r="L317" s="503"/>
      <c r="M317" s="503"/>
      <c r="N317" s="503"/>
      <c r="O317" s="503"/>
      <c r="P317" s="1214" t="s">
        <v>958</v>
      </c>
      <c r="R317" s="514">
        <f t="shared" ref="R317:U317" si="74">SUM(R300:R316)</f>
        <v>0.85156403354574006</v>
      </c>
      <c r="S317" s="514">
        <f t="shared" si="74"/>
        <v>0.84458481751641523</v>
      </c>
      <c r="T317" s="514">
        <f t="shared" si="74"/>
        <v>0.8143961645826967</v>
      </c>
      <c r="U317" s="514">
        <f t="shared" si="74"/>
        <v>0.81105184156784849</v>
      </c>
      <c r="V317" s="2087">
        <f t="shared" ref="V317" si="75">SUM(V300:V316)</f>
        <v>0.81105184156784849</v>
      </c>
    </row>
    <row r="318" spans="4:22" ht="12.75" customHeight="1" x14ac:dyDescent="0.25">
      <c r="D318" s="301" t="s">
        <v>959</v>
      </c>
      <c r="E318" s="301"/>
      <c r="F318" s="301"/>
      <c r="G318" s="359"/>
      <c r="H318" s="359"/>
      <c r="I318" s="510"/>
      <c r="J318" s="503"/>
      <c r="K318" s="503">
        <v>114331</v>
      </c>
      <c r="L318" s="503">
        <f>L293</f>
        <v>119133</v>
      </c>
      <c r="M318" s="503">
        <f>M293</f>
        <v>123541</v>
      </c>
      <c r="N318" s="503">
        <f>N293</f>
        <v>128112</v>
      </c>
      <c r="O318" s="503">
        <f>O293</f>
        <v>132852</v>
      </c>
      <c r="P318" s="503"/>
    </row>
    <row r="319" spans="4:22" ht="12.75" customHeight="1" x14ac:dyDescent="0.25">
      <c r="D319" s="301" t="s">
        <v>960</v>
      </c>
      <c r="E319" s="301"/>
      <c r="F319" s="301"/>
      <c r="G319" s="359"/>
      <c r="H319" s="359"/>
      <c r="I319" s="510"/>
      <c r="J319" s="503"/>
      <c r="K319" s="503">
        <v>97360.167519318013</v>
      </c>
      <c r="L319" s="503">
        <f t="shared" ref="L319:M319" si="76">L316</f>
        <v>100617.9230651831</v>
      </c>
      <c r="M319" s="503">
        <f t="shared" si="76"/>
        <v>100611.31656871094</v>
      </c>
      <c r="N319" s="503">
        <f t="shared" ref="N319:O319" si="77">N316</f>
        <v>103905.47352694022</v>
      </c>
      <c r="O319" s="503">
        <f t="shared" si="77"/>
        <v>107749.85925597179</v>
      </c>
      <c r="P319" s="503"/>
    </row>
    <row r="320" spans="4:22" ht="12.75" customHeight="1" x14ac:dyDescent="0.25">
      <c r="D320" s="301" t="s">
        <v>961</v>
      </c>
      <c r="E320" s="301"/>
      <c r="F320" s="301"/>
      <c r="G320" s="359"/>
      <c r="H320" s="359"/>
      <c r="I320" s="510"/>
      <c r="J320" s="503"/>
      <c r="K320" s="511">
        <v>-143673</v>
      </c>
      <c r="L320" s="511">
        <f>L127</f>
        <v>-146690</v>
      </c>
      <c r="M320" s="511">
        <f>M127</f>
        <v>-150064</v>
      </c>
      <c r="N320" s="511">
        <f>N127</f>
        <v>-153515</v>
      </c>
      <c r="O320" s="511">
        <f>O127</f>
        <v>-157046</v>
      </c>
      <c r="P320" s="503"/>
    </row>
    <row r="321" spans="4:16" ht="12.75" customHeight="1" x14ac:dyDescent="0.25">
      <c r="E321" s="301"/>
      <c r="F321" s="301"/>
      <c r="G321" s="359"/>
      <c r="H321" s="359"/>
      <c r="I321" s="510"/>
      <c r="J321" s="503"/>
      <c r="K321" s="503"/>
      <c r="L321" s="503"/>
      <c r="M321" s="503"/>
      <c r="N321" s="503"/>
      <c r="O321" s="503"/>
      <c r="P321" s="503"/>
    </row>
    <row r="322" spans="4:16" ht="12.75" customHeight="1" x14ac:dyDescent="0.25">
      <c r="E322" s="301"/>
      <c r="F322" s="301"/>
      <c r="G322" s="359"/>
      <c r="H322" s="359"/>
      <c r="I322" s="510"/>
      <c r="J322" s="503"/>
      <c r="K322" s="503"/>
      <c r="L322" s="503"/>
      <c r="M322" s="503"/>
      <c r="N322" s="503"/>
      <c r="O322" s="503"/>
      <c r="P322" s="503"/>
    </row>
    <row r="323" spans="4:16" ht="12.75" customHeight="1" x14ac:dyDescent="0.25">
      <c r="D323" s="301" t="s">
        <v>962</v>
      </c>
      <c r="E323" s="301"/>
      <c r="F323" s="301"/>
      <c r="G323" s="359"/>
      <c r="H323" s="359"/>
      <c r="I323" s="510"/>
      <c r="J323" s="510"/>
      <c r="K323" s="510">
        <v>68018.167519317998</v>
      </c>
      <c r="L323" s="510">
        <f t="shared" ref="L323:M323" si="78">SUM(L318:L322)</f>
        <v>73060.923065183102</v>
      </c>
      <c r="M323" s="510">
        <f t="shared" si="78"/>
        <v>74088.316568710958</v>
      </c>
      <c r="N323" s="510">
        <f t="shared" ref="N323:O323" si="79">SUM(N318:N322)</f>
        <v>78502.473526940215</v>
      </c>
      <c r="O323" s="510">
        <f t="shared" si="79"/>
        <v>83555.859255971794</v>
      </c>
      <c r="P323" s="510"/>
    </row>
    <row r="324" spans="4:16" ht="12.75" customHeight="1" x14ac:dyDescent="0.25">
      <c r="D324" s="301" t="s">
        <v>963</v>
      </c>
      <c r="E324" s="301"/>
      <c r="F324" s="301"/>
      <c r="G324" s="359"/>
      <c r="H324" s="359"/>
      <c r="I324" s="512"/>
      <c r="J324" s="512"/>
      <c r="K324" s="512">
        <v>0.67869151879890799</v>
      </c>
      <c r="L324" s="512">
        <f t="shared" ref="L324:M324" si="80">IF((-L320/(L318+L319))&gt;0,-L320/(L318+L319),L320/(L318+L319))</f>
        <v>0.6675284815822522</v>
      </c>
      <c r="M324" s="512">
        <f t="shared" si="80"/>
        <v>0.66947333981266188</v>
      </c>
      <c r="N324" s="512">
        <f t="shared" ref="N324:O324" si="81">IF((-N320/(N318+N319))&gt;0,-N320/(N318+N319),N320/(N318+N319))</f>
        <v>0.66165275255518607</v>
      </c>
      <c r="O324" s="512">
        <f t="shared" si="81"/>
        <v>0.65272147308272344</v>
      </c>
      <c r="P324" s="1215"/>
    </row>
    <row r="325" spans="4:16" ht="12.75" customHeight="1" x14ac:dyDescent="0.25">
      <c r="D325" s="1204"/>
      <c r="E325" s="1204"/>
      <c r="F325" s="1204"/>
      <c r="G325" s="1201"/>
      <c r="H325" s="1201"/>
      <c r="I325" s="1202"/>
      <c r="J325" s="1202"/>
      <c r="K325" s="1202"/>
      <c r="L325" s="1202"/>
      <c r="M325" s="1202"/>
      <c r="N325" s="1202"/>
      <c r="O325" s="1202"/>
      <c r="P325" s="1202"/>
    </row>
    <row r="326" spans="4:16" ht="12.75" customHeight="1" x14ac:dyDescent="0.25">
      <c r="D326" s="1210"/>
      <c r="E326" s="1210"/>
      <c r="F326" s="1210"/>
      <c r="G326" s="1201"/>
      <c r="H326" s="1201"/>
      <c r="I326" s="1202"/>
      <c r="J326" s="1202"/>
      <c r="K326" s="1202"/>
      <c r="L326" s="1202"/>
      <c r="M326" s="1202"/>
      <c r="N326" s="1202"/>
      <c r="O326" s="1202"/>
      <c r="P326" s="1202"/>
    </row>
    <row r="327" spans="4:16" ht="12.75" customHeight="1" x14ac:dyDescent="0.25">
      <c r="D327" s="1210"/>
      <c r="E327" s="1210"/>
      <c r="F327" s="1210"/>
      <c r="G327" s="1201"/>
      <c r="H327" s="1201"/>
      <c r="I327" s="1202"/>
      <c r="J327" s="1202"/>
      <c r="K327" s="1202"/>
      <c r="L327" s="1202"/>
      <c r="M327" s="1202"/>
      <c r="N327" s="1202"/>
      <c r="O327" s="1202"/>
      <c r="P327" s="1202"/>
    </row>
    <row r="328" spans="4:16" ht="12.75" customHeight="1" x14ac:dyDescent="0.25">
      <c r="D328" s="1210"/>
      <c r="E328" s="1210"/>
      <c r="F328" s="1210"/>
      <c r="G328" s="1201"/>
      <c r="H328" s="1201"/>
      <c r="I328" s="1202"/>
      <c r="J328" s="1202"/>
      <c r="K328" s="1202"/>
      <c r="L328" s="1202"/>
      <c r="M328" s="1202"/>
      <c r="N328" s="1202"/>
      <c r="O328" s="1202"/>
      <c r="P328" s="1202"/>
    </row>
    <row r="329" spans="4:16" ht="12.75" customHeight="1" x14ac:dyDescent="0.25">
      <c r="D329" s="1204"/>
      <c r="E329" s="1204"/>
      <c r="F329" s="1204"/>
      <c r="G329" s="1201"/>
      <c r="H329" s="1201"/>
      <c r="I329" s="1202"/>
      <c r="J329" s="1202"/>
      <c r="K329" s="1202"/>
      <c r="L329" s="1202"/>
      <c r="M329" s="1202"/>
      <c r="N329" s="1202"/>
      <c r="O329" s="1202"/>
      <c r="P329" s="1202"/>
    </row>
    <row r="330" spans="4:16" ht="12.75" customHeight="1" x14ac:dyDescent="0.25">
      <c r="D330" s="1210"/>
      <c r="E330" s="1210"/>
      <c r="F330" s="1210"/>
      <c r="G330" s="1201"/>
      <c r="H330" s="1201"/>
      <c r="I330" s="1202"/>
      <c r="J330" s="1202"/>
      <c r="K330" s="1202"/>
      <c r="L330" s="1202"/>
      <c r="M330" s="1202"/>
      <c r="N330" s="1202"/>
      <c r="O330" s="1202"/>
      <c r="P330" s="1202"/>
    </row>
    <row r="331" spans="4:16" ht="12.75" customHeight="1" x14ac:dyDescent="0.25">
      <c r="D331" s="1210"/>
      <c r="E331" s="1210"/>
      <c r="F331" s="1210"/>
      <c r="G331" s="1201"/>
      <c r="H331" s="1201"/>
      <c r="I331" s="512"/>
      <c r="J331" s="512"/>
      <c r="K331" s="512"/>
      <c r="L331" s="512"/>
      <c r="M331" s="512"/>
      <c r="N331" s="512"/>
      <c r="O331" s="512"/>
      <c r="P331" s="512"/>
    </row>
    <row r="332" spans="4:16" ht="12.75" customHeight="1" x14ac:dyDescent="0.25">
      <c r="E332" s="301"/>
      <c r="F332" s="301"/>
    </row>
  </sheetData>
  <mergeCells count="10">
    <mergeCell ref="D59:D60"/>
    <mergeCell ref="F59:F60"/>
    <mergeCell ref="G59:H60"/>
    <mergeCell ref="E176:I185"/>
    <mergeCell ref="E207:M210"/>
    <mergeCell ref="E239:M243"/>
    <mergeCell ref="E245:N245"/>
    <mergeCell ref="E250:N251"/>
    <mergeCell ref="E246:N248"/>
    <mergeCell ref="E262:K265"/>
  </mergeCells>
  <phoneticPr fontId="52" type="noConversion"/>
  <hyperlinks>
    <hyperlink ref="A1" location="Inhoudsopgave!A1" display="Inhoudsopgave" xr:uid="{720CE510-B387-45AC-9F60-0AC98E78D609}"/>
  </hyperlinks>
  <pageMargins left="0.59055118110236227" right="0.39370078740157483" top="0.39370078740157483" bottom="0.39370078740157483" header="0.51181102362204722" footer="0.51181102362204722"/>
  <pageSetup paperSize="9" scale="65" orientation="portrait" useFirstPageNumber="1" r:id="rId1"/>
  <headerFooter alignWithMargins="0"/>
  <rowBreaks count="4" manualBreakCount="4">
    <brk id="56" max="16383" man="1"/>
    <brk id="140" max="16383" man="1"/>
    <brk id="198" max="16383" man="1"/>
    <brk id="285" min="3" max="14" man="1"/>
  </rowBreaks>
  <colBreaks count="1" manualBreakCount="1">
    <brk id="3" max="1048575" man="1"/>
  </colBreaks>
  <ignoredErrors>
    <ignoredError sqref="L92:N92" formula="1"/>
  </ignoredError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CADB-BFB9-47F5-B381-07AB326D5D62}">
  <sheetPr codeName="Blad21"/>
  <dimension ref="A1:W184"/>
  <sheetViews>
    <sheetView showGridLines="0" view="pageBreakPreview" topLeftCell="A37" zoomScaleNormal="100" zoomScaleSheetLayoutView="100" workbookViewId="0"/>
  </sheetViews>
  <sheetFormatPr defaultColWidth="9.109375" defaultRowHeight="12.75" customHeight="1" x14ac:dyDescent="0.25"/>
  <cols>
    <col min="1" max="1" width="12.5546875" style="115" customWidth="1"/>
    <col min="2" max="2" width="16.6640625" style="115" customWidth="1"/>
    <col min="3" max="3" width="8" style="115" customWidth="1"/>
    <col min="4" max="4" width="9.6640625" style="301" customWidth="1"/>
    <col min="5" max="6" width="9.6640625" style="143" customWidth="1"/>
    <col min="7" max="9" width="12.6640625" style="115" customWidth="1"/>
    <col min="10" max="15" width="11.6640625" style="115" customWidth="1"/>
    <col min="16" max="16" width="10.6640625" style="115" customWidth="1"/>
    <col min="17" max="19" width="11.6640625" style="115" customWidth="1"/>
    <col min="20" max="20" width="10.88671875" style="115" customWidth="1"/>
    <col min="21" max="24" width="11.33203125" style="115" customWidth="1"/>
    <col min="25"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3091</v>
      </c>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3154</v>
      </c>
    </row>
    <row r="28" spans="4:16" ht="12.75" customHeight="1" x14ac:dyDescent="0.25">
      <c r="D28" s="452" t="s">
        <v>507</v>
      </c>
      <c r="E28" s="438"/>
      <c r="F28" s="438"/>
      <c r="G28" s="453"/>
      <c r="H28" s="453"/>
      <c r="I28" s="453"/>
      <c r="J28" s="453"/>
      <c r="K28" s="453"/>
      <c r="L28" s="453"/>
      <c r="M28" s="453"/>
      <c r="N28" s="453"/>
      <c r="O28" s="453"/>
    </row>
    <row r="29" spans="4:16" ht="12.75" customHeight="1" x14ac:dyDescent="0.25">
      <c r="D29" s="438"/>
      <c r="E29" s="438"/>
      <c r="F29" s="438"/>
      <c r="G29" s="453"/>
      <c r="H29" s="453"/>
      <c r="I29" s="453"/>
      <c r="J29" s="453"/>
      <c r="K29" s="453"/>
      <c r="L29" s="453"/>
      <c r="M29" s="453"/>
      <c r="N29" s="453"/>
      <c r="O29" s="453"/>
    </row>
    <row r="30" spans="4:16" ht="12.75" customHeight="1" x14ac:dyDescent="0.25">
      <c r="D30" s="1746" t="s">
        <v>508</v>
      </c>
      <c r="E30" s="1747"/>
      <c r="F30" s="1747"/>
      <c r="G30" s="1748"/>
      <c r="H30" s="1748"/>
      <c r="I30" s="1749"/>
      <c r="J30" s="1749">
        <v>2025</v>
      </c>
      <c r="K30" s="1749">
        <v>2026</v>
      </c>
      <c r="L30" s="1749">
        <v>2027</v>
      </c>
      <c r="M30" s="1749">
        <v>2028</v>
      </c>
      <c r="N30" s="1749">
        <v>2029</v>
      </c>
      <c r="O30" s="1749">
        <v>2030</v>
      </c>
    </row>
    <row r="31" spans="4:16" ht="12.75" customHeight="1" x14ac:dyDescent="0.25">
      <c r="D31" s="454" t="str">
        <f>G56</f>
        <v>Markten</v>
      </c>
      <c r="E31" s="455"/>
      <c r="F31" s="456"/>
      <c r="G31" s="453"/>
      <c r="H31" s="453"/>
      <c r="I31" s="518"/>
      <c r="J31" s="457">
        <v>3995</v>
      </c>
      <c r="K31" s="457">
        <v>4099</v>
      </c>
      <c r="L31" s="457">
        <f>L60</f>
        <v>4185</v>
      </c>
      <c r="M31" s="457">
        <f>M60</f>
        <v>4282</v>
      </c>
      <c r="N31" s="457">
        <f>N60</f>
        <v>4380</v>
      </c>
      <c r="O31" s="457">
        <f>O60</f>
        <v>4480</v>
      </c>
    </row>
    <row r="32" spans="4:16" ht="12.75" customHeight="1" x14ac:dyDescent="0.25">
      <c r="D32" s="454" t="str">
        <f>G67</f>
        <v>Directe toerekening bedrijfsloket e.d.</v>
      </c>
      <c r="E32" s="455"/>
      <c r="F32" s="456"/>
      <c r="G32" s="453"/>
      <c r="H32" s="453"/>
      <c r="I32" s="518"/>
      <c r="J32" s="457">
        <v>27399.62</v>
      </c>
      <c r="K32" s="457">
        <v>32097</v>
      </c>
      <c r="L32" s="457">
        <f>L70</f>
        <v>33445</v>
      </c>
      <c r="M32" s="457">
        <f>M70</f>
        <v>34683</v>
      </c>
      <c r="N32" s="457">
        <f>N70</f>
        <v>35966</v>
      </c>
      <c r="O32" s="457">
        <f>O70</f>
        <v>37297</v>
      </c>
      <c r="P32" s="115" t="s">
        <v>3155</v>
      </c>
    </row>
    <row r="33" spans="4:15" ht="12.75" customHeight="1" x14ac:dyDescent="0.25">
      <c r="D33" s="454" t="s">
        <v>3156</v>
      </c>
      <c r="E33" s="455"/>
      <c r="F33" s="456"/>
      <c r="G33" s="453"/>
      <c r="H33" s="453"/>
      <c r="I33" s="518"/>
      <c r="J33" s="41">
        <v>5689</v>
      </c>
      <c r="K33" s="41">
        <v>5780.0240000000003</v>
      </c>
      <c r="L33" s="41">
        <f t="shared" ref="L33:M33" si="0">+L65</f>
        <v>5872.5043840000008</v>
      </c>
      <c r="M33" s="41">
        <f t="shared" si="0"/>
        <v>5966.4644541440011</v>
      </c>
      <c r="N33" s="41">
        <f t="shared" ref="N33:O33" si="1">+N65</f>
        <v>6061.927885410305</v>
      </c>
      <c r="O33" s="41">
        <f t="shared" si="1"/>
        <v>6158.9187315768695</v>
      </c>
    </row>
    <row r="34" spans="4:15" ht="12.75" customHeight="1" x14ac:dyDescent="0.25">
      <c r="D34" s="454"/>
      <c r="E34" s="455"/>
      <c r="F34" s="456"/>
      <c r="G34" s="453"/>
      <c r="H34" s="453"/>
      <c r="I34" s="518"/>
      <c r="J34" s="41"/>
      <c r="K34" s="41"/>
      <c r="L34" s="41"/>
      <c r="M34" s="41"/>
      <c r="N34" s="41"/>
      <c r="O34" s="41"/>
    </row>
    <row r="35" spans="4:15" ht="12.75" customHeight="1" x14ac:dyDescent="0.25">
      <c r="D35" s="454"/>
      <c r="E35" s="455"/>
      <c r="F35" s="456"/>
      <c r="G35" s="453"/>
      <c r="H35" s="453"/>
      <c r="I35" s="518"/>
      <c r="J35" s="41"/>
      <c r="K35" s="41"/>
      <c r="L35" s="41"/>
      <c r="M35" s="41"/>
      <c r="N35" s="41"/>
      <c r="O35" s="41"/>
    </row>
    <row r="36" spans="4:15" ht="12.75" customHeight="1" x14ac:dyDescent="0.25">
      <c r="D36" s="454"/>
      <c r="E36" s="455"/>
      <c r="F36" s="456"/>
      <c r="G36" s="453"/>
      <c r="H36" s="453"/>
      <c r="I36" s="518"/>
      <c r="J36" s="41"/>
      <c r="K36" s="41"/>
      <c r="L36" s="41"/>
      <c r="M36" s="41"/>
      <c r="N36" s="41"/>
      <c r="O36" s="41"/>
    </row>
    <row r="37" spans="4:15" ht="12.75" customHeight="1" x14ac:dyDescent="0.25">
      <c r="D37" s="454"/>
      <c r="E37" s="455"/>
      <c r="F37" s="456"/>
      <c r="G37" s="453"/>
      <c r="H37" s="453"/>
      <c r="I37" s="518"/>
      <c r="J37" s="41"/>
      <c r="K37" s="41"/>
      <c r="L37" s="41"/>
      <c r="M37" s="41"/>
      <c r="N37" s="41"/>
      <c r="O37" s="41"/>
    </row>
    <row r="38" spans="4:15" ht="12.75" customHeight="1" x14ac:dyDescent="0.25">
      <c r="D38" s="454"/>
      <c r="E38" s="455"/>
      <c r="F38" s="456"/>
      <c r="G38" s="453"/>
      <c r="H38" s="453"/>
      <c r="I38" s="518"/>
      <c r="J38" s="42"/>
      <c r="K38" s="42"/>
      <c r="L38" s="42"/>
      <c r="M38" s="42"/>
      <c r="N38" s="42"/>
      <c r="O38" s="42"/>
    </row>
    <row r="39" spans="4:15" ht="12.75" customHeight="1" x14ac:dyDescent="0.25">
      <c r="D39" s="1751" t="s">
        <v>525</v>
      </c>
      <c r="E39" s="1752"/>
      <c r="F39" s="1753"/>
      <c r="G39" s="1754"/>
      <c r="H39" s="1754"/>
      <c r="I39" s="1757"/>
      <c r="J39" s="1886">
        <v>37083.619999999995</v>
      </c>
      <c r="K39" s="1886">
        <v>41976.023999999998</v>
      </c>
      <c r="L39" s="1886">
        <f>SUM(L31:L38)</f>
        <v>43502.504384</v>
      </c>
      <c r="M39" s="1886">
        <f>SUM(M31:M38)</f>
        <v>44931.464454143999</v>
      </c>
      <c r="N39" s="1886">
        <f>SUM(N31:N38)</f>
        <v>46407.927885410303</v>
      </c>
      <c r="O39" s="1886">
        <f>SUM(O31:O38)</f>
        <v>47935.918731576872</v>
      </c>
    </row>
    <row r="40" spans="4:15" ht="12.75" customHeight="1" x14ac:dyDescent="0.25">
      <c r="D40" s="438"/>
      <c r="E40" s="455"/>
      <c r="F40" s="456"/>
      <c r="G40" s="453"/>
      <c r="H40" s="453"/>
      <c r="I40" s="453"/>
      <c r="J40" s="453"/>
      <c r="K40" s="453"/>
      <c r="L40" s="453"/>
      <c r="M40" s="453"/>
      <c r="N40" s="453"/>
      <c r="O40" s="453"/>
    </row>
    <row r="41" spans="4:15" ht="12.75" customHeight="1" x14ac:dyDescent="0.25">
      <c r="D41" s="1746" t="s">
        <v>526</v>
      </c>
      <c r="E41" s="1747"/>
      <c r="F41" s="1747"/>
      <c r="G41" s="1748"/>
      <c r="H41" s="1748"/>
      <c r="I41" s="1749"/>
      <c r="J41" s="1749">
        <v>2025</v>
      </c>
      <c r="K41" s="1749">
        <v>2026</v>
      </c>
      <c r="L41" s="1749">
        <v>2027</v>
      </c>
      <c r="M41" s="1749">
        <v>2028</v>
      </c>
      <c r="N41" s="1749">
        <v>2029</v>
      </c>
      <c r="O41" s="1749">
        <v>2030</v>
      </c>
    </row>
    <row r="42" spans="4:15" ht="12.75" customHeight="1" x14ac:dyDescent="0.25">
      <c r="D42" s="1808" t="str">
        <f>G73</f>
        <v>Markten</v>
      </c>
      <c r="E42" s="616"/>
      <c r="F42" s="617"/>
      <c r="G42" s="618"/>
      <c r="H42" s="618"/>
      <c r="I42" s="518"/>
      <c r="J42" s="457">
        <v>-28133</v>
      </c>
      <c r="K42" s="457">
        <v>-28660</v>
      </c>
      <c r="L42" s="457">
        <f>L76</f>
        <v>-28708</v>
      </c>
      <c r="M42" s="457">
        <f>M76</f>
        <v>-29718</v>
      </c>
      <c r="N42" s="457">
        <f>N76</f>
        <v>-29769</v>
      </c>
      <c r="O42" s="457">
        <f>O76</f>
        <v>-29821</v>
      </c>
    </row>
    <row r="43" spans="4:15" ht="12.75" customHeight="1" x14ac:dyDescent="0.25">
      <c r="D43" s="454"/>
      <c r="E43" s="455"/>
      <c r="F43" s="456"/>
      <c r="G43" s="453"/>
      <c r="H43" s="453"/>
      <c r="I43" s="518"/>
      <c r="J43" s="463"/>
      <c r="K43" s="463"/>
      <c r="L43" s="463"/>
      <c r="M43" s="463"/>
      <c r="N43" s="463"/>
      <c r="O43" s="463"/>
    </row>
    <row r="44" spans="4:15" ht="12.75" customHeight="1" x14ac:dyDescent="0.25">
      <c r="D44" s="454"/>
      <c r="E44" s="455"/>
      <c r="F44" s="456"/>
      <c r="G44" s="453"/>
      <c r="H44" s="453"/>
      <c r="I44" s="518"/>
      <c r="J44" s="463"/>
      <c r="K44" s="463"/>
      <c r="L44" s="463"/>
      <c r="M44" s="463"/>
      <c r="N44" s="463"/>
      <c r="O44" s="463"/>
    </row>
    <row r="45" spans="4:15" ht="12.75" customHeight="1" x14ac:dyDescent="0.25">
      <c r="D45" s="464"/>
      <c r="E45" s="465"/>
      <c r="F45" s="466"/>
      <c r="G45" s="467"/>
      <c r="H45" s="467"/>
      <c r="I45" s="518"/>
      <c r="J45" s="463"/>
      <c r="K45" s="463"/>
      <c r="L45" s="463"/>
      <c r="M45" s="463"/>
      <c r="N45" s="463"/>
      <c r="O45" s="463"/>
    </row>
    <row r="46" spans="4:15" ht="12.75" customHeight="1" x14ac:dyDescent="0.25">
      <c r="D46" s="1751" t="s">
        <v>328</v>
      </c>
      <c r="E46" s="1752"/>
      <c r="F46" s="1753"/>
      <c r="G46" s="1754"/>
      <c r="H46" s="1754"/>
      <c r="I46" s="1757"/>
      <c r="J46" s="1886">
        <v>-28133</v>
      </c>
      <c r="K46" s="1886">
        <v>-28660</v>
      </c>
      <c r="L46" s="1886">
        <f>SUM(L42:L45)</f>
        <v>-28708</v>
      </c>
      <c r="M46" s="1886">
        <f>SUM(M42:M45)</f>
        <v>-29718</v>
      </c>
      <c r="N46" s="1886">
        <f>SUM(N42:N45)</f>
        <v>-29769</v>
      </c>
      <c r="O46" s="1886">
        <f>SUM(O42:O45)</f>
        <v>-29821</v>
      </c>
    </row>
    <row r="47" spans="4:15" ht="12.75" customHeight="1" x14ac:dyDescent="0.25">
      <c r="D47" s="438"/>
      <c r="E47" s="455"/>
      <c r="F47" s="456"/>
      <c r="G47" s="453"/>
      <c r="H47" s="453"/>
      <c r="I47" s="453"/>
      <c r="J47" s="469"/>
      <c r="K47" s="469"/>
      <c r="L47" s="469"/>
      <c r="M47" s="469"/>
      <c r="N47" s="469"/>
      <c r="O47" s="469"/>
    </row>
    <row r="48" spans="4:15" ht="12.75" customHeight="1" x14ac:dyDescent="0.25">
      <c r="D48" s="1751" t="s">
        <v>527</v>
      </c>
      <c r="E48" s="1756"/>
      <c r="F48" s="1756"/>
      <c r="G48" s="1754"/>
      <c r="H48" s="1754"/>
      <c r="I48" s="1754"/>
      <c r="J48" s="1758">
        <v>8950.6199999999953</v>
      </c>
      <c r="K48" s="1758">
        <v>13316.023999999998</v>
      </c>
      <c r="L48" s="1758">
        <f>L39+L46</f>
        <v>14794.504384</v>
      </c>
      <c r="M48" s="1758">
        <f>M39+M46</f>
        <v>15213.464454143999</v>
      </c>
      <c r="N48" s="1758">
        <f>N39+N46</f>
        <v>16638.927885410303</v>
      </c>
      <c r="O48" s="1758">
        <f>O39+O46</f>
        <v>18114.918731576872</v>
      </c>
    </row>
    <row r="49" spans="1:23" ht="12.75" customHeight="1" x14ac:dyDescent="0.25">
      <c r="D49" s="438"/>
      <c r="E49" s="455"/>
      <c r="F49" s="456"/>
      <c r="G49" s="453"/>
      <c r="H49" s="453"/>
      <c r="I49" s="453"/>
      <c r="J49" s="469"/>
      <c r="K49" s="469"/>
      <c r="L49" s="469"/>
      <c r="M49" s="469"/>
      <c r="N49" s="469"/>
      <c r="O49" s="469"/>
    </row>
    <row r="50" spans="1:23" ht="12.75" customHeight="1" x14ac:dyDescent="0.25">
      <c r="D50" s="438"/>
      <c r="E50" s="455"/>
      <c r="F50" s="456"/>
      <c r="G50" s="453"/>
      <c r="H50" s="453"/>
      <c r="I50" s="453"/>
      <c r="J50" s="469"/>
      <c r="K50" s="469"/>
      <c r="L50" s="469"/>
      <c r="M50" s="469"/>
      <c r="N50" s="469"/>
      <c r="O50" s="469"/>
    </row>
    <row r="51" spans="1:23" ht="12.75" customHeight="1" x14ac:dyDescent="0.25">
      <c r="D51" s="749"/>
      <c r="E51" s="749"/>
      <c r="F51" s="749"/>
      <c r="G51" s="618"/>
      <c r="H51" s="618"/>
      <c r="I51" s="618"/>
      <c r="J51" s="751"/>
      <c r="K51" s="751"/>
      <c r="L51" s="751"/>
      <c r="M51" s="751"/>
      <c r="N51" s="751"/>
      <c r="O51" s="751"/>
    </row>
    <row r="52" spans="1:23" ht="12.75" customHeight="1" x14ac:dyDescent="0.25">
      <c r="D52" s="312" t="s">
        <v>528</v>
      </c>
      <c r="E52" s="382"/>
      <c r="F52" s="382"/>
    </row>
    <row r="54" spans="1:23" ht="12.75" customHeight="1" x14ac:dyDescent="0.25">
      <c r="A54" s="470"/>
      <c r="B54" s="453"/>
      <c r="C54" s="453"/>
      <c r="D54" s="2523" t="s">
        <v>529</v>
      </c>
      <c r="E54" s="1761" t="s">
        <v>530</v>
      </c>
      <c r="F54" s="2552" t="s">
        <v>531</v>
      </c>
      <c r="G54" s="1887" t="s">
        <v>206</v>
      </c>
      <c r="H54" s="748"/>
      <c r="I54" s="1773"/>
      <c r="J54" s="1763"/>
      <c r="K54" s="1763"/>
      <c r="L54" s="1763"/>
      <c r="M54" s="1763"/>
      <c r="N54" s="1763"/>
      <c r="O54" s="1763"/>
      <c r="P54" s="453"/>
      <c r="Q54" s="453"/>
      <c r="R54" s="453"/>
      <c r="S54" s="453"/>
      <c r="T54" s="453"/>
      <c r="U54" s="453"/>
      <c r="V54" s="453"/>
      <c r="W54" s="453"/>
    </row>
    <row r="55" spans="1:23" ht="12.75" customHeight="1" x14ac:dyDescent="0.25">
      <c r="A55" s="470"/>
      <c r="B55" s="453"/>
      <c r="C55" s="453"/>
      <c r="D55" s="2524"/>
      <c r="E55" s="472" t="s">
        <v>532</v>
      </c>
      <c r="F55" s="2553"/>
      <c r="G55" s="1178"/>
      <c r="H55" s="1179"/>
      <c r="I55" s="521"/>
      <c r="J55" s="1764">
        <v>2025</v>
      </c>
      <c r="K55" s="1764">
        <v>2026</v>
      </c>
      <c r="L55" s="1764">
        <v>2027</v>
      </c>
      <c r="M55" s="1764">
        <v>2028</v>
      </c>
      <c r="N55" s="1764">
        <v>2029</v>
      </c>
      <c r="O55" s="1764">
        <v>2030</v>
      </c>
      <c r="P55" s="453"/>
      <c r="Q55" s="453"/>
      <c r="R55" s="453"/>
      <c r="S55" s="453"/>
      <c r="T55" s="453"/>
      <c r="U55" s="453"/>
      <c r="V55" s="453"/>
      <c r="W55" s="453"/>
    </row>
    <row r="56" spans="1:23" ht="12.75" customHeight="1" x14ac:dyDescent="0.25">
      <c r="A56" s="301"/>
      <c r="D56" s="1780">
        <v>624001</v>
      </c>
      <c r="E56" s="1809"/>
      <c r="F56" s="1809"/>
      <c r="G56" s="1781" t="s">
        <v>3157</v>
      </c>
      <c r="H56" s="322"/>
      <c r="I56" s="1775"/>
      <c r="J56" s="1776"/>
      <c r="K56" s="1776"/>
      <c r="L56" s="1776"/>
      <c r="M56" s="1776"/>
      <c r="N56" s="1776"/>
      <c r="O56" s="1776"/>
    </row>
    <row r="57" spans="1:23" ht="12.75" customHeight="1" x14ac:dyDescent="0.25">
      <c r="A57" s="301"/>
      <c r="D57" s="333"/>
      <c r="E57" s="331"/>
      <c r="F57" s="331"/>
      <c r="G57" s="334" t="s">
        <v>533</v>
      </c>
      <c r="I57" s="316"/>
      <c r="J57" s="335"/>
      <c r="K57" s="335"/>
      <c r="L57" s="335"/>
      <c r="M57" s="335"/>
      <c r="N57" s="335"/>
      <c r="O57" s="335"/>
    </row>
    <row r="58" spans="1:23" ht="12.75" customHeight="1" x14ac:dyDescent="0.25">
      <c r="A58" s="336">
        <f>+D56</f>
        <v>624001</v>
      </c>
      <c r="B58" s="115" t="str">
        <f>G56</f>
        <v>Markten</v>
      </c>
      <c r="D58" s="337">
        <v>43802</v>
      </c>
      <c r="E58" s="337"/>
      <c r="F58" s="337"/>
      <c r="G58" s="319" t="s">
        <v>991</v>
      </c>
      <c r="I58" s="318"/>
      <c r="J58" s="317">
        <v>2852</v>
      </c>
      <c r="K58" s="317">
        <v>2926</v>
      </c>
      <c r="L58" s="317">
        <f>ROUND(K58*T$2,0)</f>
        <v>2987</v>
      </c>
      <c r="M58" s="317">
        <f>ROUND(L58*U$2,0)</f>
        <v>3056</v>
      </c>
      <c r="N58" s="317">
        <f>ROUND(M58*V$2,0)</f>
        <v>3126</v>
      </c>
      <c r="O58" s="317">
        <f>ROUND(N58*W$2,0)</f>
        <v>3198</v>
      </c>
    </row>
    <row r="59" spans="1:23" ht="12.75" customHeight="1" x14ac:dyDescent="0.25">
      <c r="A59" s="336">
        <f>+D56</f>
        <v>624001</v>
      </c>
      <c r="B59" s="115" t="str">
        <f>G56</f>
        <v>Markten</v>
      </c>
      <c r="D59" s="337">
        <v>43812</v>
      </c>
      <c r="E59" s="340"/>
      <c r="F59" s="337"/>
      <c r="G59" s="319" t="s">
        <v>535</v>
      </c>
      <c r="I59" s="318"/>
      <c r="J59" s="318">
        <v>1143</v>
      </c>
      <c r="K59" s="318">
        <v>1173</v>
      </c>
      <c r="L59" s="318">
        <f>L92</f>
        <v>1198</v>
      </c>
      <c r="M59" s="318">
        <f>M92</f>
        <v>1226</v>
      </c>
      <c r="N59" s="318">
        <f>N92</f>
        <v>1254</v>
      </c>
      <c r="O59" s="318">
        <f>O92</f>
        <v>1282</v>
      </c>
    </row>
    <row r="60" spans="1:23" ht="12.75" customHeight="1" thickBot="1" x14ac:dyDescent="0.3">
      <c r="A60" s="301"/>
      <c r="D60" s="340"/>
      <c r="E60" s="340"/>
      <c r="F60" s="340"/>
      <c r="G60" s="319" t="s">
        <v>536</v>
      </c>
      <c r="I60" s="318"/>
      <c r="J60" s="342">
        <v>3995</v>
      </c>
      <c r="K60" s="342">
        <v>4099</v>
      </c>
      <c r="L60" s="342">
        <f>SUM(L57:L59)</f>
        <v>4185</v>
      </c>
      <c r="M60" s="342">
        <f>SUM(M57:M59)</f>
        <v>4282</v>
      </c>
      <c r="N60" s="342">
        <f>SUM(N57:N59)</f>
        <v>4380</v>
      </c>
      <c r="O60" s="342">
        <f>SUM(O57:O59)</f>
        <v>4480</v>
      </c>
    </row>
    <row r="61" spans="1:23" ht="12.75" customHeight="1" thickTop="1" x14ac:dyDescent="0.25">
      <c r="A61" s="301"/>
      <c r="D61" s="340"/>
      <c r="E61" s="340"/>
      <c r="F61" s="340"/>
      <c r="G61" s="319"/>
      <c r="I61" s="318"/>
      <c r="J61" s="317"/>
      <c r="K61" s="317"/>
      <c r="L61" s="317"/>
      <c r="M61" s="317"/>
      <c r="N61" s="317"/>
      <c r="O61" s="317"/>
    </row>
    <row r="62" spans="1:23" ht="12.75" customHeight="1" x14ac:dyDescent="0.25">
      <c r="A62" s="301"/>
      <c r="D62" s="340"/>
      <c r="E62" s="340"/>
      <c r="F62" s="340"/>
      <c r="G62" s="319"/>
      <c r="I62" s="318"/>
      <c r="J62" s="317"/>
      <c r="K62" s="317"/>
      <c r="L62" s="317"/>
      <c r="M62" s="317"/>
      <c r="N62" s="317"/>
      <c r="O62" s="317"/>
    </row>
    <row r="63" spans="1:23" ht="12.75" customHeight="1" x14ac:dyDescent="0.25">
      <c r="A63" s="301"/>
      <c r="D63" s="476">
        <v>624003</v>
      </c>
      <c r="E63" s="340"/>
      <c r="F63" s="340"/>
      <c r="G63" s="332" t="s">
        <v>3156</v>
      </c>
      <c r="I63" s="318"/>
      <c r="J63" s="317"/>
      <c r="K63" s="317"/>
      <c r="L63" s="317"/>
      <c r="M63" s="317"/>
      <c r="N63" s="317"/>
      <c r="O63" s="317"/>
    </row>
    <row r="64" spans="1:23" ht="12.75" customHeight="1" x14ac:dyDescent="0.25">
      <c r="A64" s="336">
        <f>D63</f>
        <v>624003</v>
      </c>
      <c r="B64" s="115" t="str">
        <f>G63</f>
        <v>Standplaats</v>
      </c>
      <c r="D64" s="337">
        <v>43802</v>
      </c>
      <c r="E64" s="337"/>
      <c r="F64" s="337"/>
      <c r="G64" s="319" t="s">
        <v>991</v>
      </c>
      <c r="I64" s="318"/>
      <c r="J64" s="317">
        <v>5689</v>
      </c>
      <c r="K64" s="317">
        <v>5780.0240000000003</v>
      </c>
      <c r="L64" s="317">
        <f>1.016*K64</f>
        <v>5872.5043840000008</v>
      </c>
      <c r="M64" s="317">
        <f>1.016*L64</f>
        <v>5966.4644541440011</v>
      </c>
      <c r="N64" s="317">
        <f>1.016*M64</f>
        <v>6061.927885410305</v>
      </c>
      <c r="O64" s="317">
        <f>1.016*N64</f>
        <v>6158.9187315768695</v>
      </c>
    </row>
    <row r="65" spans="1:15" ht="12.75" customHeight="1" thickBot="1" x14ac:dyDescent="0.3">
      <c r="A65" s="301"/>
      <c r="D65" s="340"/>
      <c r="E65" s="340"/>
      <c r="F65" s="340"/>
      <c r="G65" s="319"/>
      <c r="I65" s="318"/>
      <c r="J65" s="342">
        <v>5689</v>
      </c>
      <c r="K65" s="342">
        <v>5780.0240000000003</v>
      </c>
      <c r="L65" s="342">
        <f>SUM(L62:L64)</f>
        <v>5872.5043840000008</v>
      </c>
      <c r="M65" s="342">
        <f>SUM(M62:M64)</f>
        <v>5966.4644541440011</v>
      </c>
      <c r="N65" s="342">
        <f>SUM(N62:N64)</f>
        <v>6061.927885410305</v>
      </c>
      <c r="O65" s="342">
        <f>SUM(O62:O64)</f>
        <v>6158.9187315768695</v>
      </c>
    </row>
    <row r="66" spans="1:15" ht="12.75" customHeight="1" thickTop="1" x14ac:dyDescent="0.25">
      <c r="A66" s="301"/>
      <c r="D66" s="340"/>
      <c r="E66" s="340"/>
      <c r="F66" s="340"/>
      <c r="G66" s="319"/>
      <c r="I66" s="318"/>
      <c r="J66" s="317"/>
      <c r="K66" s="317"/>
      <c r="L66" s="317"/>
      <c r="M66" s="317"/>
      <c r="N66" s="317"/>
      <c r="O66" s="317"/>
    </row>
    <row r="67" spans="1:15" ht="12.75" customHeight="1" x14ac:dyDescent="0.25">
      <c r="A67" s="301"/>
      <c r="D67" s="347">
        <v>624901</v>
      </c>
      <c r="E67" s="476"/>
      <c r="F67" s="476"/>
      <c r="G67" s="332" t="s">
        <v>3158</v>
      </c>
      <c r="I67" s="318"/>
      <c r="J67" s="317"/>
      <c r="K67" s="317"/>
      <c r="L67" s="317"/>
      <c r="M67" s="317"/>
      <c r="N67" s="317"/>
      <c r="O67" s="317"/>
    </row>
    <row r="68" spans="1:15" ht="12.75" customHeight="1" x14ac:dyDescent="0.25">
      <c r="A68" s="301"/>
      <c r="D68" s="340"/>
      <c r="E68" s="340"/>
      <c r="F68" s="340"/>
      <c r="G68" s="334" t="s">
        <v>533</v>
      </c>
      <c r="I68" s="318"/>
      <c r="J68" s="317"/>
      <c r="K68" s="317"/>
      <c r="L68" s="317"/>
      <c r="M68" s="317"/>
      <c r="N68" s="317"/>
      <c r="O68" s="317"/>
    </row>
    <row r="69" spans="1:15" ht="12.75" customHeight="1" x14ac:dyDescent="0.25">
      <c r="A69" s="336">
        <f>+D67</f>
        <v>624901</v>
      </c>
      <c r="B69" s="115" t="str">
        <f>G67</f>
        <v>Directe toerekening bedrijfsloket e.d.</v>
      </c>
      <c r="D69" s="340">
        <v>41100</v>
      </c>
      <c r="E69" s="340"/>
      <c r="F69" s="340"/>
      <c r="G69" s="319" t="s">
        <v>541</v>
      </c>
      <c r="I69" s="318"/>
      <c r="J69" s="317">
        <v>27399.62</v>
      </c>
      <c r="K69" s="317">
        <v>32097</v>
      </c>
      <c r="L69" s="317">
        <f>L101</f>
        <v>33445</v>
      </c>
      <c r="M69" s="317">
        <f>M101</f>
        <v>34683</v>
      </c>
      <c r="N69" s="317">
        <f>N101</f>
        <v>35966</v>
      </c>
      <c r="O69" s="317">
        <f>O101</f>
        <v>37297</v>
      </c>
    </row>
    <row r="70" spans="1:15" ht="12.75" customHeight="1" thickBot="1" x14ac:dyDescent="0.3">
      <c r="A70" s="301"/>
      <c r="D70" s="340"/>
      <c r="E70" s="340"/>
      <c r="F70" s="340"/>
      <c r="G70" s="319" t="s">
        <v>536</v>
      </c>
      <c r="I70" s="318"/>
      <c r="J70" s="480">
        <v>27399.62</v>
      </c>
      <c r="K70" s="480">
        <v>32097</v>
      </c>
      <c r="L70" s="480">
        <f>SUM(L68:L69)</f>
        <v>33445</v>
      </c>
      <c r="M70" s="480">
        <f>SUM(M68:M69)</f>
        <v>34683</v>
      </c>
      <c r="N70" s="480">
        <f>SUM(N68:N69)</f>
        <v>35966</v>
      </c>
      <c r="O70" s="480">
        <f>SUM(O68:O69)</f>
        <v>37297</v>
      </c>
    </row>
    <row r="71" spans="1:15" ht="12.75" customHeight="1" thickTop="1" x14ac:dyDescent="0.25">
      <c r="A71" s="301"/>
      <c r="D71" s="340"/>
      <c r="E71" s="340"/>
      <c r="F71" s="340"/>
      <c r="G71" s="319"/>
      <c r="I71" s="318"/>
      <c r="J71" s="317"/>
      <c r="K71" s="317"/>
      <c r="L71" s="317"/>
      <c r="M71" s="317"/>
      <c r="N71" s="317"/>
      <c r="O71" s="317"/>
    </row>
    <row r="72" spans="1:15" ht="12.75" customHeight="1" x14ac:dyDescent="0.25">
      <c r="A72" s="301"/>
      <c r="D72" s="340"/>
      <c r="E72" s="340"/>
      <c r="F72" s="340"/>
      <c r="I72" s="316"/>
      <c r="J72" s="317"/>
      <c r="K72" s="317"/>
      <c r="L72" s="317"/>
      <c r="M72" s="317"/>
      <c r="N72" s="317"/>
      <c r="O72" s="317"/>
    </row>
    <row r="73" spans="1:15" ht="12.75" customHeight="1" x14ac:dyDescent="0.25">
      <c r="A73" s="301"/>
      <c r="D73" s="333">
        <v>624001</v>
      </c>
      <c r="E73" s="331"/>
      <c r="F73" s="331"/>
      <c r="G73" s="332" t="s">
        <v>3157</v>
      </c>
      <c r="I73" s="318"/>
      <c r="J73" s="317"/>
      <c r="K73" s="317"/>
      <c r="L73" s="317"/>
      <c r="M73" s="317"/>
      <c r="N73" s="317"/>
      <c r="O73" s="317"/>
    </row>
    <row r="74" spans="1:15" ht="12.75" customHeight="1" x14ac:dyDescent="0.25">
      <c r="A74" s="301"/>
      <c r="D74" s="340"/>
      <c r="E74" s="340"/>
      <c r="F74" s="340"/>
      <c r="G74" s="334" t="s">
        <v>554</v>
      </c>
      <c r="I74" s="318"/>
      <c r="J74" s="317"/>
      <c r="K74" s="317"/>
      <c r="L74" s="317"/>
      <c r="M74" s="317"/>
      <c r="N74" s="317"/>
      <c r="O74" s="317"/>
    </row>
    <row r="75" spans="1:15" ht="12.75" customHeight="1" x14ac:dyDescent="0.25">
      <c r="A75" s="336">
        <f>+D73</f>
        <v>624001</v>
      </c>
      <c r="B75" s="115" t="str">
        <f>G73</f>
        <v>Markten</v>
      </c>
      <c r="D75" s="337">
        <v>83700</v>
      </c>
      <c r="E75" s="337"/>
      <c r="F75" s="337"/>
      <c r="G75" s="319" t="s">
        <v>2691</v>
      </c>
      <c r="I75" s="318"/>
      <c r="J75" s="317">
        <v>-28133</v>
      </c>
      <c r="K75" s="317">
        <v>-28660</v>
      </c>
      <c r="L75" s="317">
        <f>L137</f>
        <v>-28708</v>
      </c>
      <c r="M75" s="317">
        <f>M137</f>
        <v>-29718</v>
      </c>
      <c r="N75" s="317">
        <f>N137</f>
        <v>-29769</v>
      </c>
      <c r="O75" s="317">
        <f>O137</f>
        <v>-29821</v>
      </c>
    </row>
    <row r="76" spans="1:15" ht="12.75" customHeight="1" thickBot="1" x14ac:dyDescent="0.3">
      <c r="A76" s="301"/>
      <c r="D76" s="340"/>
      <c r="E76" s="340"/>
      <c r="F76" s="340"/>
      <c r="G76" s="319" t="s">
        <v>536</v>
      </c>
      <c r="I76" s="318"/>
      <c r="J76" s="342">
        <v>-28133</v>
      </c>
      <c r="K76" s="342">
        <v>-28660</v>
      </c>
      <c r="L76" s="342">
        <f>SUM(L74:L75)</f>
        <v>-28708</v>
      </c>
      <c r="M76" s="342">
        <f>SUM(M74:M75)</f>
        <v>-29718</v>
      </c>
      <c r="N76" s="342">
        <f>SUM(N74:N75)</f>
        <v>-29769</v>
      </c>
      <c r="O76" s="342">
        <f>SUM(O74:O75)</f>
        <v>-29821</v>
      </c>
    </row>
    <row r="77" spans="1:15" ht="12.75" customHeight="1" thickTop="1" x14ac:dyDescent="0.25">
      <c r="A77" s="301"/>
      <c r="D77" s="340"/>
      <c r="E77" s="340"/>
      <c r="F77" s="340"/>
      <c r="G77" s="319"/>
      <c r="I77" s="318"/>
      <c r="J77" s="317"/>
      <c r="K77" s="317"/>
      <c r="L77" s="317"/>
      <c r="M77" s="317"/>
      <c r="N77" s="317"/>
      <c r="O77" s="317"/>
    </row>
    <row r="78" spans="1:15" ht="12.75" customHeight="1" x14ac:dyDescent="0.25">
      <c r="A78" s="301"/>
      <c r="D78" s="167"/>
      <c r="E78" s="167"/>
      <c r="F78" s="167"/>
      <c r="G78" s="168"/>
      <c r="H78" s="149"/>
      <c r="I78" s="156"/>
      <c r="J78" s="142"/>
      <c r="K78" s="142"/>
      <c r="L78" s="142"/>
      <c r="M78" s="142"/>
      <c r="N78" s="142"/>
      <c r="O78" s="142"/>
    </row>
    <row r="79" spans="1:15" ht="12.75" customHeight="1" x14ac:dyDescent="0.25">
      <c r="D79" s="384"/>
      <c r="E79" s="384"/>
      <c r="F79" s="384"/>
      <c r="I79" s="114"/>
    </row>
    <row r="80" spans="1:15" ht="12.75" customHeight="1" x14ac:dyDescent="0.25">
      <c r="D80" s="384"/>
      <c r="E80" s="384"/>
      <c r="F80" s="384"/>
      <c r="H80" s="394"/>
      <c r="I80" s="43"/>
    </row>
    <row r="81" spans="4:15" ht="12.75" customHeight="1" x14ac:dyDescent="0.25">
      <c r="D81" s="384"/>
      <c r="E81" s="384"/>
      <c r="F81" s="384"/>
    </row>
    <row r="82" spans="4:15" ht="12.75" customHeight="1" x14ac:dyDescent="0.25">
      <c r="D82" s="428" t="s">
        <v>561</v>
      </c>
      <c r="E82" s="384"/>
      <c r="F82" s="384"/>
      <c r="G82" s="381"/>
      <c r="H82" s="381"/>
      <c r="I82" s="381"/>
    </row>
    <row r="83" spans="4:15" ht="12.75" customHeight="1" x14ac:dyDescent="0.25">
      <c r="D83" s="384"/>
      <c r="E83" s="384"/>
      <c r="F83" s="384"/>
    </row>
    <row r="84" spans="4:15" ht="12.75" customHeight="1" x14ac:dyDescent="0.25">
      <c r="D84" s="393">
        <v>624001</v>
      </c>
      <c r="E84" s="410" t="s">
        <v>3157</v>
      </c>
      <c r="F84" s="115"/>
      <c r="G84" s="531"/>
      <c r="H84" s="531"/>
      <c r="I84" s="531"/>
      <c r="J84" s="407">
        <v>2025</v>
      </c>
      <c r="K84" s="407">
        <v>2026</v>
      </c>
      <c r="L84" s="407">
        <v>2027</v>
      </c>
      <c r="M84" s="407">
        <v>2028</v>
      </c>
      <c r="N84" s="407">
        <v>2029</v>
      </c>
      <c r="O84" s="407">
        <v>2030</v>
      </c>
    </row>
    <row r="85" spans="4:15" ht="12.75" customHeight="1" x14ac:dyDescent="0.25">
      <c r="D85" s="393"/>
      <c r="E85" s="410"/>
      <c r="F85" s="115"/>
      <c r="G85" s="531"/>
      <c r="H85" s="531"/>
      <c r="I85" s="531"/>
      <c r="J85" s="531"/>
      <c r="K85" s="531"/>
      <c r="L85" s="531"/>
      <c r="M85" s="531"/>
      <c r="N85" s="531"/>
      <c r="O85" s="531"/>
    </row>
    <row r="86" spans="4:15" ht="12.75" customHeight="1" x14ac:dyDescent="0.25">
      <c r="D86" s="143">
        <v>43812</v>
      </c>
      <c r="E86" s="115" t="s">
        <v>1702</v>
      </c>
      <c r="F86" s="115"/>
      <c r="G86" s="114"/>
      <c r="H86" s="114"/>
      <c r="I86" s="114"/>
      <c r="J86" s="114"/>
      <c r="K86" s="114"/>
      <c r="L86" s="114"/>
      <c r="M86" s="114"/>
      <c r="N86" s="114"/>
      <c r="O86" s="114"/>
    </row>
    <row r="87" spans="4:15" ht="12.75" customHeight="1" x14ac:dyDescent="0.25">
      <c r="D87" s="143"/>
      <c r="E87" s="308" t="s">
        <v>3159</v>
      </c>
      <c r="F87" s="115"/>
      <c r="G87" s="114"/>
      <c r="H87" s="114"/>
      <c r="I87" s="114"/>
      <c r="J87" s="114">
        <v>138</v>
      </c>
      <c r="K87" s="114">
        <v>142</v>
      </c>
      <c r="L87" s="114">
        <f t="shared" ref="L87:O90" si="2">ROUND(K87*T$2,0)</f>
        <v>145</v>
      </c>
      <c r="M87" s="114">
        <f t="shared" si="2"/>
        <v>148</v>
      </c>
      <c r="N87" s="114">
        <f t="shared" si="2"/>
        <v>151</v>
      </c>
      <c r="O87" s="114">
        <f t="shared" si="2"/>
        <v>154</v>
      </c>
    </row>
    <row r="88" spans="4:15" ht="12.75" customHeight="1" x14ac:dyDescent="0.25">
      <c r="D88" s="384"/>
      <c r="E88" s="308" t="s">
        <v>3160</v>
      </c>
      <c r="F88" s="115"/>
      <c r="G88" s="114"/>
      <c r="H88" s="114"/>
      <c r="I88" s="114"/>
      <c r="J88" s="114">
        <v>75</v>
      </c>
      <c r="K88" s="114">
        <v>77</v>
      </c>
      <c r="L88" s="114">
        <f t="shared" si="2"/>
        <v>79</v>
      </c>
      <c r="M88" s="114">
        <f t="shared" si="2"/>
        <v>81</v>
      </c>
      <c r="N88" s="114">
        <f t="shared" si="2"/>
        <v>83</v>
      </c>
      <c r="O88" s="114">
        <f t="shared" si="2"/>
        <v>85</v>
      </c>
    </row>
    <row r="89" spans="4:15" ht="12.75" customHeight="1" x14ac:dyDescent="0.25">
      <c r="D89" s="384"/>
      <c r="E89" s="308" t="s">
        <v>3161</v>
      </c>
      <c r="F89" s="115"/>
      <c r="G89" s="114"/>
      <c r="H89" s="114"/>
      <c r="I89" s="114"/>
      <c r="J89" s="114">
        <v>572</v>
      </c>
      <c r="K89" s="114">
        <v>587</v>
      </c>
      <c r="L89" s="114">
        <f t="shared" si="2"/>
        <v>599</v>
      </c>
      <c r="M89" s="114">
        <f t="shared" si="2"/>
        <v>613</v>
      </c>
      <c r="N89" s="114">
        <f t="shared" si="2"/>
        <v>627</v>
      </c>
      <c r="O89" s="114">
        <f t="shared" si="2"/>
        <v>641</v>
      </c>
    </row>
    <row r="90" spans="4:15" ht="12.75" customHeight="1" x14ac:dyDescent="0.25">
      <c r="D90" s="384"/>
      <c r="E90" s="308" t="s">
        <v>3162</v>
      </c>
      <c r="F90" s="115"/>
      <c r="G90" s="114"/>
      <c r="H90" s="114"/>
      <c r="I90" s="114"/>
      <c r="J90" s="114">
        <v>358</v>
      </c>
      <c r="K90" s="114">
        <v>367</v>
      </c>
      <c r="L90" s="114">
        <f t="shared" si="2"/>
        <v>375</v>
      </c>
      <c r="M90" s="114">
        <f t="shared" si="2"/>
        <v>384</v>
      </c>
      <c r="N90" s="114">
        <f t="shared" si="2"/>
        <v>393</v>
      </c>
      <c r="O90" s="114">
        <f t="shared" si="2"/>
        <v>402</v>
      </c>
    </row>
    <row r="91" spans="4:15" ht="12.75" customHeight="1" x14ac:dyDescent="0.25">
      <c r="D91" s="384"/>
      <c r="E91" s="308"/>
      <c r="F91" s="115"/>
      <c r="G91" s="114"/>
      <c r="H91" s="114"/>
      <c r="I91" s="114"/>
      <c r="J91" s="114"/>
      <c r="K91" s="114"/>
      <c r="L91" s="114"/>
      <c r="M91" s="114"/>
      <c r="N91" s="114"/>
      <c r="O91" s="114"/>
    </row>
    <row r="92" spans="4:15" ht="12.75" customHeight="1" thickBot="1" x14ac:dyDescent="0.3">
      <c r="D92" s="384"/>
      <c r="E92" s="115" t="str">
        <f>"Totaal "&amp;D86</f>
        <v>Totaal 43812</v>
      </c>
      <c r="F92" s="115"/>
      <c r="G92" s="114"/>
      <c r="H92" s="114"/>
      <c r="I92" s="114"/>
      <c r="J92" s="1744">
        <v>1143</v>
      </c>
      <c r="K92" s="1744">
        <v>1173</v>
      </c>
      <c r="L92" s="1744">
        <f>SUM(L87:L90)</f>
        <v>1198</v>
      </c>
      <c r="M92" s="1744">
        <f>SUM(M87:M90)</f>
        <v>1226</v>
      </c>
      <c r="N92" s="1744">
        <f>SUM(N87:N90)</f>
        <v>1254</v>
      </c>
      <c r="O92" s="1744">
        <f>SUM(O87:O90)</f>
        <v>1282</v>
      </c>
    </row>
    <row r="93" spans="4:15" ht="12.75" customHeight="1" thickTop="1" x14ac:dyDescent="0.25">
      <c r="D93" s="143"/>
      <c r="E93" s="115"/>
      <c r="F93" s="115"/>
      <c r="G93" s="114"/>
      <c r="I93" s="114"/>
      <c r="J93" s="114"/>
      <c r="K93" s="114"/>
      <c r="L93" s="114"/>
      <c r="M93" s="114"/>
      <c r="N93" s="114"/>
      <c r="O93" s="114"/>
    </row>
    <row r="94" spans="4:15" ht="12.75" customHeight="1" x14ac:dyDescent="0.25">
      <c r="D94" s="433">
        <v>624901</v>
      </c>
      <c r="E94" s="381" t="s">
        <v>3158</v>
      </c>
      <c r="F94" s="115"/>
      <c r="G94" s="114"/>
      <c r="H94" s="114"/>
      <c r="I94" s="114"/>
      <c r="J94" s="114"/>
      <c r="K94" s="114"/>
      <c r="L94" s="114"/>
      <c r="M94" s="114"/>
      <c r="N94" s="114"/>
      <c r="O94" s="114"/>
    </row>
    <row r="95" spans="4:15" ht="12.75" customHeight="1" x14ac:dyDescent="0.25">
      <c r="D95" s="433"/>
      <c r="E95" s="381"/>
      <c r="F95" s="115"/>
      <c r="G95" s="114"/>
      <c r="H95" s="114"/>
      <c r="I95" s="114"/>
      <c r="J95" s="114"/>
      <c r="K95" s="114"/>
      <c r="L95" s="114"/>
      <c r="M95" s="114"/>
      <c r="N95" s="114"/>
      <c r="O95" s="114"/>
    </row>
    <row r="96" spans="4:15" ht="12.75" customHeight="1" x14ac:dyDescent="0.25">
      <c r="D96" s="384">
        <v>41100</v>
      </c>
      <c r="E96" s="115" t="s">
        <v>541</v>
      </c>
      <c r="F96" s="115"/>
    </row>
    <row r="97" spans="4:20" ht="12.75" customHeight="1" x14ac:dyDescent="0.25">
      <c r="D97" s="143"/>
      <c r="E97" s="308" t="s">
        <v>3163</v>
      </c>
      <c r="F97" s="115"/>
      <c r="G97" s="114"/>
      <c r="H97" s="114"/>
      <c r="I97" s="114"/>
      <c r="J97" s="114">
        <v>0</v>
      </c>
      <c r="K97" s="114">
        <v>981</v>
      </c>
      <c r="L97" s="114">
        <f t="shared" ref="L97:O100" si="3">ROUND(K97*T$3,0)</f>
        <v>1022</v>
      </c>
      <c r="M97" s="114">
        <f t="shared" si="3"/>
        <v>1060</v>
      </c>
      <c r="N97" s="114">
        <f t="shared" si="3"/>
        <v>1099</v>
      </c>
      <c r="O97" s="114">
        <f t="shared" si="3"/>
        <v>1140</v>
      </c>
      <c r="P97" s="114"/>
      <c r="Q97" s="114"/>
      <c r="R97" s="114"/>
      <c r="S97" s="114"/>
      <c r="T97" s="114"/>
    </row>
    <row r="98" spans="4:20" ht="12.75" customHeight="1" x14ac:dyDescent="0.25">
      <c r="D98" s="143"/>
      <c r="E98" s="308" t="s">
        <v>3164</v>
      </c>
      <c r="F98" s="115"/>
      <c r="G98" s="114"/>
      <c r="H98" s="1180"/>
      <c r="I98" s="114"/>
      <c r="J98" s="114">
        <v>0</v>
      </c>
      <c r="K98" s="114">
        <v>0</v>
      </c>
      <c r="L98" s="114">
        <f t="shared" si="3"/>
        <v>0</v>
      </c>
      <c r="M98" s="114">
        <f t="shared" si="3"/>
        <v>0</v>
      </c>
      <c r="N98" s="114">
        <f t="shared" si="3"/>
        <v>0</v>
      </c>
      <c r="O98" s="114">
        <f t="shared" si="3"/>
        <v>0</v>
      </c>
    </row>
    <row r="99" spans="4:20" ht="12.75" customHeight="1" x14ac:dyDescent="0.25">
      <c r="D99" s="143"/>
      <c r="E99" s="308" t="s">
        <v>3165</v>
      </c>
      <c r="F99" s="115"/>
      <c r="G99" s="114"/>
      <c r="H99" s="114"/>
      <c r="I99" s="114"/>
      <c r="J99" s="114">
        <v>0</v>
      </c>
      <c r="K99" s="114">
        <v>0</v>
      </c>
      <c r="L99" s="114">
        <f t="shared" si="3"/>
        <v>0</v>
      </c>
      <c r="M99" s="114">
        <f t="shared" si="3"/>
        <v>0</v>
      </c>
      <c r="N99" s="114">
        <f t="shared" si="3"/>
        <v>0</v>
      </c>
      <c r="O99" s="114">
        <f t="shared" si="3"/>
        <v>0</v>
      </c>
      <c r="P99" s="114"/>
      <c r="Q99" s="114"/>
      <c r="R99" s="114"/>
      <c r="S99" s="114"/>
    </row>
    <row r="100" spans="4:20" ht="12.75" customHeight="1" x14ac:dyDescent="0.25">
      <c r="D100" s="143"/>
      <c r="E100" s="308" t="s">
        <v>3166</v>
      </c>
      <c r="F100" s="115"/>
      <c r="G100" s="114"/>
      <c r="H100" s="114"/>
      <c r="I100" s="114"/>
      <c r="J100" s="114">
        <v>27399.62</v>
      </c>
      <c r="K100" s="114">
        <v>31116</v>
      </c>
      <c r="L100" s="114">
        <f t="shared" si="3"/>
        <v>32423</v>
      </c>
      <c r="M100" s="114">
        <f t="shared" si="3"/>
        <v>33623</v>
      </c>
      <c r="N100" s="114">
        <f t="shared" si="3"/>
        <v>34867</v>
      </c>
      <c r="O100" s="114">
        <f t="shared" si="3"/>
        <v>36157</v>
      </c>
      <c r="P100" s="114"/>
      <c r="Q100" s="114"/>
      <c r="R100" s="114"/>
      <c r="S100" s="114"/>
    </row>
    <row r="101" spans="4:20" ht="12.75" customHeight="1" thickBot="1" x14ac:dyDescent="0.3">
      <c r="D101" s="143"/>
      <c r="E101" s="115" t="str">
        <f>"Totaal "&amp;D96</f>
        <v>Totaal 41100</v>
      </c>
      <c r="F101" s="115"/>
      <c r="G101" s="114"/>
      <c r="H101" s="114"/>
      <c r="I101" s="114"/>
      <c r="J101" s="1744">
        <v>27399.62</v>
      </c>
      <c r="K101" s="1744">
        <v>32097</v>
      </c>
      <c r="L101" s="1744">
        <f t="shared" ref="L101:M101" si="4">SUM(L97:L100)</f>
        <v>33445</v>
      </c>
      <c r="M101" s="1744">
        <f t="shared" si="4"/>
        <v>34683</v>
      </c>
      <c r="N101" s="1744">
        <f t="shared" ref="N101:O101" si="5">SUM(N97:N100)</f>
        <v>35966</v>
      </c>
      <c r="O101" s="1744">
        <f t="shared" si="5"/>
        <v>37297</v>
      </c>
    </row>
    <row r="102" spans="4:20" ht="12.75" customHeight="1" thickTop="1" x14ac:dyDescent="0.25">
      <c r="D102" s="143"/>
      <c r="E102" s="115"/>
      <c r="F102" s="115"/>
      <c r="G102" s="114"/>
      <c r="H102" s="114"/>
      <c r="I102" s="114"/>
      <c r="J102" s="114"/>
      <c r="K102" s="114"/>
      <c r="L102" s="114"/>
      <c r="M102" s="114"/>
      <c r="N102" s="114"/>
      <c r="O102" s="114"/>
    </row>
    <row r="103" spans="4:20" ht="12.75" customHeight="1" x14ac:dyDescent="0.25">
      <c r="D103" s="143"/>
      <c r="E103" s="115"/>
      <c r="F103" s="115"/>
      <c r="G103" s="114"/>
      <c r="H103" s="114"/>
      <c r="I103" s="114"/>
      <c r="J103" s="114"/>
      <c r="K103" s="114"/>
      <c r="L103" s="114"/>
      <c r="M103" s="114"/>
      <c r="N103" s="114"/>
      <c r="O103" s="114"/>
    </row>
    <row r="104" spans="4:20" ht="12.75" customHeight="1" x14ac:dyDescent="0.25">
      <c r="D104" s="393">
        <v>624001</v>
      </c>
      <c r="E104" s="410" t="s">
        <v>3157</v>
      </c>
      <c r="F104" s="115"/>
      <c r="G104" s="114"/>
      <c r="H104" s="114"/>
      <c r="I104" s="114"/>
      <c r="J104" s="407">
        <v>2025</v>
      </c>
      <c r="K104" s="407">
        <v>2026</v>
      </c>
      <c r="L104" s="407">
        <v>2027</v>
      </c>
      <c r="M104" s="407">
        <v>2028</v>
      </c>
      <c r="N104" s="407">
        <v>2029</v>
      </c>
      <c r="O104" s="407">
        <v>2030</v>
      </c>
    </row>
    <row r="105" spans="4:20" ht="12.75" customHeight="1" x14ac:dyDescent="0.25">
      <c r="D105" s="393"/>
      <c r="E105" s="410"/>
      <c r="F105" s="115"/>
      <c r="G105" s="114"/>
      <c r="H105" s="114"/>
      <c r="I105" s="114"/>
      <c r="J105" s="486"/>
      <c r="K105" s="486"/>
      <c r="L105" s="486"/>
      <c r="M105" s="486"/>
      <c r="N105" s="486"/>
      <c r="O105" s="486"/>
    </row>
    <row r="106" spans="4:20" ht="12.75" customHeight="1" x14ac:dyDescent="0.25">
      <c r="D106" s="143">
        <v>83700</v>
      </c>
      <c r="E106" s="405" t="s">
        <v>3167</v>
      </c>
      <c r="F106" s="405"/>
      <c r="G106" s="405"/>
      <c r="H106" s="405"/>
      <c r="I106" s="405"/>
      <c r="J106" s="405"/>
      <c r="K106" s="405"/>
      <c r="L106" s="405"/>
      <c r="M106" s="405"/>
      <c r="N106" s="405"/>
      <c r="O106" s="405"/>
    </row>
    <row r="107" spans="4:20" ht="12.75" customHeight="1" x14ac:dyDescent="0.25">
      <c r="D107" s="384"/>
      <c r="E107" s="308"/>
      <c r="F107" s="115"/>
      <c r="G107" s="531"/>
      <c r="H107" s="531"/>
      <c r="I107" s="531"/>
    </row>
    <row r="108" spans="4:20" ht="12.75" customHeight="1" x14ac:dyDescent="0.25">
      <c r="D108" s="115"/>
      <c r="E108" s="115" t="s">
        <v>3168</v>
      </c>
      <c r="F108" s="115"/>
    </row>
    <row r="109" spans="4:20" ht="12.75" customHeight="1" x14ac:dyDescent="0.25">
      <c r="D109" s="115"/>
      <c r="E109" s="115" t="s">
        <v>3169</v>
      </c>
      <c r="F109" s="115"/>
      <c r="G109" s="1038"/>
      <c r="I109" s="1038">
        <v>2.15</v>
      </c>
    </row>
    <row r="110" spans="4:20" ht="12.75" customHeight="1" x14ac:dyDescent="0.25">
      <c r="D110" s="115"/>
      <c r="E110" s="115" t="s">
        <v>3170</v>
      </c>
      <c r="F110" s="115"/>
      <c r="G110" s="1038"/>
      <c r="I110" s="1038">
        <v>2.2000000000000002</v>
      </c>
      <c r="J110" s="394" t="s">
        <v>1916</v>
      </c>
      <c r="K110" s="394"/>
      <c r="L110" s="394"/>
      <c r="M110" s="394"/>
      <c r="N110" s="394"/>
      <c r="O110" s="394"/>
    </row>
    <row r="111" spans="4:20" ht="12.75" customHeight="1" x14ac:dyDescent="0.25">
      <c r="D111" s="115"/>
      <c r="E111" s="115" t="s">
        <v>3171</v>
      </c>
      <c r="F111" s="115"/>
      <c r="G111" s="1038"/>
      <c r="I111" s="1038">
        <v>2.25</v>
      </c>
      <c r="J111" s="394"/>
      <c r="K111" s="394" t="s">
        <v>1916</v>
      </c>
      <c r="L111" s="394"/>
      <c r="M111" s="394"/>
      <c r="N111" s="394"/>
      <c r="O111" s="394"/>
    </row>
    <row r="112" spans="4:20" ht="12.75" customHeight="1" x14ac:dyDescent="0.25">
      <c r="D112" s="115"/>
      <c r="E112" s="115" t="s">
        <v>3172</v>
      </c>
      <c r="F112" s="115"/>
      <c r="G112" s="1038"/>
      <c r="I112" s="1038">
        <v>2.25</v>
      </c>
      <c r="J112" s="394"/>
      <c r="K112" s="394"/>
      <c r="L112" s="394" t="s">
        <v>1916</v>
      </c>
    </row>
    <row r="113" spans="4:15" ht="12.75" customHeight="1" x14ac:dyDescent="0.25">
      <c r="D113" s="115"/>
      <c r="E113" s="115" t="s">
        <v>3173</v>
      </c>
      <c r="F113" s="115"/>
      <c r="G113" s="1038"/>
      <c r="I113" s="1038">
        <v>3.25</v>
      </c>
      <c r="J113" s="394"/>
      <c r="K113" s="394"/>
      <c r="L113" s="394"/>
      <c r="M113" s="394" t="s">
        <v>1916</v>
      </c>
    </row>
    <row r="114" spans="4:15" ht="12.75" customHeight="1" x14ac:dyDescent="0.25">
      <c r="D114" s="115"/>
      <c r="E114" s="358" t="s">
        <v>5274</v>
      </c>
      <c r="F114" s="358"/>
      <c r="G114" s="2062"/>
      <c r="H114" s="358"/>
      <c r="I114" s="2062">
        <v>3.25</v>
      </c>
      <c r="J114" s="394"/>
      <c r="K114" s="394"/>
      <c r="L114" s="394"/>
      <c r="M114" s="394"/>
      <c r="N114" s="394" t="s">
        <v>1916</v>
      </c>
      <c r="O114" s="394"/>
    </row>
    <row r="115" spans="4:15" ht="12.75" customHeight="1" x14ac:dyDescent="0.25">
      <c r="D115" s="115"/>
      <c r="E115" s="358" t="s">
        <v>5275</v>
      </c>
      <c r="F115" s="358"/>
      <c r="G115" s="2062"/>
      <c r="H115" s="358"/>
      <c r="I115" s="2062">
        <v>3.25</v>
      </c>
      <c r="J115" s="394"/>
      <c r="K115" s="394"/>
      <c r="L115" s="394"/>
      <c r="M115" s="394"/>
      <c r="N115" s="394"/>
      <c r="O115" s="394" t="s">
        <v>1916</v>
      </c>
    </row>
    <row r="116" spans="4:15" ht="12.75" customHeight="1" x14ac:dyDescent="0.25">
      <c r="D116" s="115"/>
      <c r="E116" s="115"/>
      <c r="F116" s="115"/>
      <c r="G116" s="394"/>
      <c r="I116" s="394"/>
    </row>
    <row r="117" spans="4:15" ht="12.75" customHeight="1" x14ac:dyDescent="0.25">
      <c r="D117" s="115"/>
      <c r="E117" s="115" t="s">
        <v>3174</v>
      </c>
      <c r="F117" s="115"/>
      <c r="G117" s="114"/>
      <c r="I117" s="114"/>
      <c r="J117" s="114"/>
      <c r="K117" s="114"/>
      <c r="L117" s="114"/>
      <c r="M117" s="114"/>
      <c r="N117" s="114"/>
      <c r="O117" s="114"/>
    </row>
    <row r="118" spans="4:15" ht="12.75" customHeight="1" x14ac:dyDescent="0.25">
      <c r="D118" s="115"/>
      <c r="E118" s="115" t="s">
        <v>3175</v>
      </c>
      <c r="F118" s="115"/>
      <c r="G118" s="1038"/>
      <c r="I118" s="1038">
        <v>18.600000000000001</v>
      </c>
      <c r="J118" s="114"/>
      <c r="K118" s="114"/>
      <c r="L118" s="114"/>
      <c r="M118" s="114"/>
      <c r="N118" s="114"/>
      <c r="O118" s="114"/>
    </row>
    <row r="119" spans="4:15" ht="12.75" customHeight="1" x14ac:dyDescent="0.25">
      <c r="D119" s="115"/>
      <c r="E119" s="115" t="s">
        <v>3176</v>
      </c>
      <c r="F119" s="115"/>
      <c r="G119" s="1038"/>
      <c r="I119" s="1038">
        <v>18.850000000000001</v>
      </c>
      <c r="J119" s="114">
        <v>-15080</v>
      </c>
      <c r="K119" s="114"/>
      <c r="L119" s="114"/>
      <c r="M119" s="114"/>
      <c r="N119" s="114"/>
      <c r="O119" s="114"/>
    </row>
    <row r="120" spans="4:15" ht="12.75" customHeight="1" x14ac:dyDescent="0.25">
      <c r="D120" s="115"/>
      <c r="E120" s="115" t="s">
        <v>3177</v>
      </c>
      <c r="F120" s="115"/>
      <c r="G120" s="1038"/>
      <c r="I120" s="1038">
        <v>19.100000000000001</v>
      </c>
      <c r="J120" s="114"/>
      <c r="K120" s="114">
        <v>-15280</v>
      </c>
      <c r="L120" s="114"/>
      <c r="M120" s="114"/>
      <c r="N120" s="114"/>
      <c r="O120" s="114"/>
    </row>
    <row r="121" spans="4:15" ht="12.75" customHeight="1" x14ac:dyDescent="0.25">
      <c r="D121" s="115"/>
      <c r="E121" s="115" t="s">
        <v>3178</v>
      </c>
      <c r="F121" s="115"/>
      <c r="G121" s="1038"/>
      <c r="I121" s="1038">
        <v>19.100000000000001</v>
      </c>
      <c r="J121" s="114"/>
      <c r="K121" s="114"/>
      <c r="L121" s="114">
        <f>-ROUND(200*4*$I121,0)</f>
        <v>-15280</v>
      </c>
      <c r="M121" s="114"/>
      <c r="N121" s="114"/>
      <c r="O121" s="114"/>
    </row>
    <row r="122" spans="4:15" ht="12.75" customHeight="1" x14ac:dyDescent="0.25">
      <c r="D122" s="115"/>
      <c r="E122" s="115" t="s">
        <v>3179</v>
      </c>
      <c r="F122" s="115"/>
      <c r="G122" s="1038"/>
      <c r="I122" s="1038">
        <v>20.100000000000001</v>
      </c>
      <c r="J122" s="114"/>
      <c r="K122" s="114"/>
      <c r="L122" s="114"/>
      <c r="M122" s="114">
        <f>-ROUND(200*4*$I122,0)</f>
        <v>-16080</v>
      </c>
      <c r="N122" s="114"/>
      <c r="O122" s="114"/>
    </row>
    <row r="123" spans="4:15" ht="12.75" customHeight="1" x14ac:dyDescent="0.25">
      <c r="D123" s="115"/>
      <c r="E123" s="358" t="s">
        <v>5276</v>
      </c>
      <c r="F123" s="358"/>
      <c r="G123" s="2062"/>
      <c r="H123" s="358"/>
      <c r="I123" s="2062">
        <v>20.100000000000001</v>
      </c>
      <c r="J123" s="114"/>
      <c r="K123" s="114"/>
      <c r="L123" s="114"/>
      <c r="M123" s="114"/>
      <c r="N123" s="114">
        <f>-ROUND(200*4*$I123,0)</f>
        <v>-16080</v>
      </c>
      <c r="O123" s="114"/>
    </row>
    <row r="124" spans="4:15" ht="12.75" customHeight="1" x14ac:dyDescent="0.25">
      <c r="D124" s="115"/>
      <c r="E124" s="358" t="s">
        <v>5285</v>
      </c>
      <c r="F124" s="358"/>
      <c r="G124" s="2062"/>
      <c r="H124" s="358"/>
      <c r="I124" s="2062">
        <v>20.100000000000001</v>
      </c>
      <c r="J124" s="114"/>
      <c r="K124" s="114"/>
      <c r="L124" s="114"/>
      <c r="M124" s="114"/>
      <c r="N124" s="114"/>
      <c r="O124" s="114">
        <f>-ROUND(200*4*$I124,0)</f>
        <v>-16080</v>
      </c>
    </row>
    <row r="125" spans="4:15" ht="12.75" customHeight="1" x14ac:dyDescent="0.25">
      <c r="D125" s="115"/>
      <c r="E125" s="115"/>
      <c r="F125" s="115"/>
      <c r="G125" s="1038"/>
      <c r="I125" s="1038"/>
      <c r="J125" s="114"/>
      <c r="K125" s="114"/>
      <c r="L125" s="114"/>
      <c r="M125" s="114"/>
      <c r="N125" s="114"/>
      <c r="O125" s="114"/>
    </row>
    <row r="126" spans="4:15" ht="12.75" customHeight="1" x14ac:dyDescent="0.25">
      <c r="D126" s="115"/>
      <c r="E126" s="115" t="s">
        <v>3180</v>
      </c>
      <c r="F126" s="115"/>
      <c r="G126" s="114"/>
      <c r="I126" s="114"/>
      <c r="J126" s="114"/>
      <c r="K126" s="114"/>
      <c r="L126" s="114"/>
      <c r="M126" s="114"/>
      <c r="N126" s="114"/>
      <c r="O126" s="114"/>
    </row>
    <row r="127" spans="4:15" ht="12.75" customHeight="1" x14ac:dyDescent="0.25">
      <c r="D127" s="115"/>
      <c r="E127" s="115" t="s">
        <v>3181</v>
      </c>
      <c r="F127" s="115"/>
      <c r="G127" s="1038"/>
      <c r="I127" s="1038">
        <v>69.25</v>
      </c>
      <c r="J127" s="114"/>
      <c r="K127" s="114"/>
      <c r="L127" s="114"/>
      <c r="M127" s="114"/>
      <c r="N127" s="114"/>
      <c r="O127" s="114"/>
    </row>
    <row r="128" spans="4:15" ht="12.75" customHeight="1" x14ac:dyDescent="0.25">
      <c r="D128" s="115"/>
      <c r="E128" s="115" t="s">
        <v>3182</v>
      </c>
      <c r="F128" s="115"/>
      <c r="G128" s="1038"/>
      <c r="I128" s="1038">
        <v>70.25</v>
      </c>
      <c r="J128" s="114">
        <v>-11240</v>
      </c>
      <c r="K128" s="114"/>
      <c r="L128" s="114"/>
      <c r="M128" s="114"/>
      <c r="N128" s="114"/>
      <c r="O128" s="114"/>
    </row>
    <row r="129" spans="4:17" ht="12.75" customHeight="1" x14ac:dyDescent="0.25">
      <c r="D129" s="115"/>
      <c r="E129" s="115" t="s">
        <v>3183</v>
      </c>
      <c r="F129" s="115"/>
      <c r="G129" s="1038"/>
      <c r="I129" s="1038">
        <v>72</v>
      </c>
      <c r="J129" s="114"/>
      <c r="K129" s="114">
        <v>-11520</v>
      </c>
      <c r="L129" s="114"/>
      <c r="M129" s="114"/>
      <c r="N129" s="114"/>
      <c r="O129" s="114"/>
    </row>
    <row r="130" spans="4:17" ht="12.75" customHeight="1" x14ac:dyDescent="0.25">
      <c r="D130" s="115"/>
      <c r="E130" s="115" t="s">
        <v>3184</v>
      </c>
      <c r="F130" s="115"/>
      <c r="G130" s="1038"/>
      <c r="I130" s="1038">
        <v>72</v>
      </c>
      <c r="J130" s="114"/>
      <c r="K130" s="114"/>
      <c r="L130" s="114">
        <f>-ROUND(160*$I130,0)</f>
        <v>-11520</v>
      </c>
      <c r="M130" s="114"/>
      <c r="N130" s="114"/>
      <c r="O130" s="114"/>
    </row>
    <row r="131" spans="4:17" ht="12.75" customHeight="1" x14ac:dyDescent="0.25">
      <c r="D131" s="115"/>
      <c r="E131" s="115" t="s">
        <v>3185</v>
      </c>
      <c r="F131" s="115"/>
      <c r="G131" s="1038"/>
      <c r="I131" s="1038">
        <v>73</v>
      </c>
      <c r="J131" s="114"/>
      <c r="K131" s="114"/>
      <c r="L131" s="114"/>
      <c r="M131" s="114">
        <f>-ROUND(160*$I131,0)</f>
        <v>-11680</v>
      </c>
      <c r="N131" s="114"/>
      <c r="O131" s="114"/>
    </row>
    <row r="132" spans="4:17" ht="12.75" customHeight="1" x14ac:dyDescent="0.25">
      <c r="D132" s="115"/>
      <c r="E132" s="358" t="s">
        <v>5277</v>
      </c>
      <c r="F132" s="358"/>
      <c r="G132" s="2062"/>
      <c r="H132" s="358"/>
      <c r="I132" s="2062">
        <v>73</v>
      </c>
      <c r="J132" s="114"/>
      <c r="K132" s="114"/>
      <c r="L132" s="114"/>
      <c r="M132" s="114"/>
      <c r="N132" s="114">
        <f>-ROUND(160*$I132,0)</f>
        <v>-11680</v>
      </c>
      <c r="O132" s="114"/>
    </row>
    <row r="133" spans="4:17" ht="12.75" customHeight="1" x14ac:dyDescent="0.25">
      <c r="D133" s="115"/>
      <c r="E133" s="358" t="s">
        <v>5278</v>
      </c>
      <c r="F133" s="358"/>
      <c r="G133" s="2062"/>
      <c r="H133" s="358"/>
      <c r="I133" s="2062">
        <v>73</v>
      </c>
      <c r="J133" s="114"/>
      <c r="K133" s="114"/>
      <c r="L133" s="114"/>
      <c r="M133" s="114"/>
      <c r="N133" s="114"/>
      <c r="O133" s="114">
        <f>-ROUND(160*$I133,0)</f>
        <v>-11680</v>
      </c>
    </row>
    <row r="134" spans="4:17" ht="12.75" customHeight="1" x14ac:dyDescent="0.25">
      <c r="D134" s="115"/>
      <c r="E134" s="115"/>
      <c r="F134" s="114"/>
      <c r="G134" s="114"/>
      <c r="H134" s="114"/>
      <c r="I134" s="114"/>
      <c r="J134" s="114"/>
      <c r="K134" s="114"/>
      <c r="L134" s="114"/>
      <c r="M134" s="114"/>
      <c r="N134" s="114"/>
      <c r="O134" s="114"/>
    </row>
    <row r="135" spans="4:17" ht="12.75" customHeight="1" x14ac:dyDescent="0.25">
      <c r="D135" s="115"/>
      <c r="E135" s="115" t="s">
        <v>3186</v>
      </c>
      <c r="F135" s="114"/>
      <c r="G135" s="114"/>
      <c r="H135" s="114"/>
      <c r="I135" s="114"/>
      <c r="J135" s="114">
        <v>-1813</v>
      </c>
      <c r="K135" s="114">
        <v>-1860</v>
      </c>
      <c r="L135" s="114">
        <f>ROUND(K135*$S$2,0)</f>
        <v>-1908</v>
      </c>
      <c r="M135" s="114">
        <f>ROUND(L135*$S$2,0)</f>
        <v>-1958</v>
      </c>
      <c r="N135" s="114">
        <f>ROUND(M135*$S$2,0)</f>
        <v>-2009</v>
      </c>
      <c r="O135" s="114">
        <f>ROUND(N135*$S$2,0)</f>
        <v>-2061</v>
      </c>
    </row>
    <row r="136" spans="4:17" ht="12.75" customHeight="1" x14ac:dyDescent="0.25">
      <c r="D136" s="384"/>
      <c r="E136" s="115"/>
      <c r="F136" s="115"/>
      <c r="G136" s="114"/>
      <c r="H136" s="114"/>
      <c r="I136" s="114"/>
      <c r="J136" s="114"/>
      <c r="K136" s="114"/>
      <c r="L136" s="114"/>
      <c r="M136" s="114"/>
      <c r="N136" s="114"/>
      <c r="O136" s="114"/>
    </row>
    <row r="137" spans="4:17" ht="12.75" customHeight="1" thickBot="1" x14ac:dyDescent="0.3">
      <c r="D137" s="384"/>
      <c r="E137" s="115" t="str">
        <f>"Totaal "&amp;D106</f>
        <v>Totaal 83700</v>
      </c>
      <c r="F137" s="115"/>
      <c r="G137" s="114"/>
      <c r="H137" s="114"/>
      <c r="I137" s="114"/>
      <c r="J137" s="1744">
        <v>-28133</v>
      </c>
      <c r="K137" s="1744">
        <v>-28660</v>
      </c>
      <c r="L137" s="1744">
        <f>SUM(L108:L136)</f>
        <v>-28708</v>
      </c>
      <c r="M137" s="1744">
        <f>SUM(M108:M136)</f>
        <v>-29718</v>
      </c>
      <c r="N137" s="1744">
        <f>SUM(N108:N136)</f>
        <v>-29769</v>
      </c>
      <c r="O137" s="1744">
        <f>SUM(O108:O136)</f>
        <v>-29821</v>
      </c>
    </row>
    <row r="138" spans="4:17" ht="12.75" customHeight="1" thickTop="1" x14ac:dyDescent="0.25">
      <c r="D138" s="384"/>
      <c r="E138" s="384"/>
      <c r="F138" s="384"/>
      <c r="G138" s="308"/>
      <c r="I138" s="114"/>
      <c r="J138" s="114"/>
      <c r="K138" s="114"/>
      <c r="L138" s="114"/>
      <c r="M138" s="114"/>
      <c r="N138" s="114"/>
      <c r="O138" s="114"/>
    </row>
    <row r="140" spans="4:17" ht="12.75" customHeight="1" x14ac:dyDescent="0.25">
      <c r="D140" s="384"/>
      <c r="E140" s="384"/>
      <c r="F140" s="384"/>
      <c r="G140" s="308"/>
      <c r="I140" s="114"/>
      <c r="J140" s="114"/>
      <c r="K140" s="114"/>
      <c r="L140" s="114"/>
      <c r="M140" s="114"/>
      <c r="N140" s="114"/>
      <c r="O140" s="114"/>
    </row>
    <row r="141" spans="4:17" ht="12.75" customHeight="1" x14ac:dyDescent="0.25">
      <c r="D141" s="384"/>
      <c r="E141" s="384"/>
      <c r="F141" s="384"/>
      <c r="G141" s="308"/>
      <c r="I141" s="114"/>
      <c r="J141" s="114"/>
      <c r="K141" s="114"/>
      <c r="L141" s="114"/>
      <c r="M141" s="114"/>
      <c r="N141" s="114"/>
      <c r="O141" s="114"/>
    </row>
    <row r="142" spans="4:17" s="359" customFormat="1" ht="12.75" customHeight="1" x14ac:dyDescent="0.25">
      <c r="D142" s="500" t="s">
        <v>3187</v>
      </c>
      <c r="E142" s="566"/>
      <c r="F142" s="566"/>
      <c r="I142" s="510"/>
      <c r="J142" s="407">
        <v>2025</v>
      </c>
      <c r="K142" s="407">
        <v>2026</v>
      </c>
      <c r="L142" s="407">
        <v>2027</v>
      </c>
      <c r="M142" s="407">
        <v>2028</v>
      </c>
      <c r="N142" s="407">
        <v>2029</v>
      </c>
      <c r="O142" s="407">
        <v>2030</v>
      </c>
      <c r="P142" s="572"/>
      <c r="Q142" s="572"/>
    </row>
    <row r="143" spans="4:17" s="359" customFormat="1" ht="12.75" customHeight="1" x14ac:dyDescent="0.25">
      <c r="D143" s="502"/>
      <c r="E143" s="567"/>
      <c r="F143" s="567"/>
      <c r="I143" s="510"/>
      <c r="J143" s="510"/>
      <c r="K143" s="510"/>
      <c r="L143" s="510"/>
      <c r="M143" s="510"/>
      <c r="N143" s="510"/>
      <c r="O143" s="510"/>
      <c r="P143" s="1069"/>
      <c r="Q143" s="1069"/>
    </row>
    <row r="144" spans="4:17" s="359" customFormat="1" ht="12.75" customHeight="1" x14ac:dyDescent="0.25">
      <c r="D144" s="504" t="s">
        <v>3188</v>
      </c>
      <c r="E144" s="569"/>
      <c r="F144" s="569"/>
      <c r="I144" s="510"/>
      <c r="J144" s="510"/>
      <c r="K144" s="510"/>
      <c r="L144" s="510"/>
      <c r="M144" s="510"/>
      <c r="N144" s="510"/>
      <c r="O144" s="510"/>
      <c r="P144" s="1069"/>
      <c r="Q144" s="1069"/>
    </row>
    <row r="145" spans="1:23" s="359" customFormat="1" ht="12.75" customHeight="1" x14ac:dyDescent="0.25">
      <c r="D145" s="502" t="s">
        <v>3189</v>
      </c>
      <c r="E145" s="567"/>
      <c r="F145" s="567"/>
      <c r="J145" s="510">
        <v>27399.62</v>
      </c>
      <c r="K145" s="510">
        <v>27947.612399999998</v>
      </c>
      <c r="L145" s="510">
        <f>K145*T$3</f>
        <v>29121.4121208</v>
      </c>
      <c r="M145" s="510">
        <f t="shared" ref="M145:O145" si="6">L145*U$3</f>
        <v>30198.904369269596</v>
      </c>
      <c r="N145" s="510">
        <f t="shared" si="6"/>
        <v>31316.26383093257</v>
      </c>
      <c r="O145" s="510">
        <f t="shared" si="6"/>
        <v>32474.965592677072</v>
      </c>
      <c r="P145" s="1069"/>
      <c r="Q145" s="1069"/>
    </row>
    <row r="146" spans="1:23" s="359" customFormat="1" ht="12.75" customHeight="1" x14ac:dyDescent="0.25">
      <c r="D146" s="502" t="s">
        <v>3190</v>
      </c>
      <c r="E146" s="567"/>
      <c r="F146" s="567"/>
      <c r="J146" s="510"/>
      <c r="K146" s="510">
        <v>0</v>
      </c>
      <c r="L146" s="510">
        <f t="shared" ref="L146:O146" si="7">K146*$S$3</f>
        <v>0</v>
      </c>
      <c r="M146" s="510">
        <f t="shared" si="7"/>
        <v>0</v>
      </c>
      <c r="N146" s="510">
        <f t="shared" si="7"/>
        <v>0</v>
      </c>
      <c r="O146" s="510">
        <f t="shared" si="7"/>
        <v>0</v>
      </c>
      <c r="P146" s="1069"/>
      <c r="Q146" s="1069"/>
    </row>
    <row r="147" spans="1:23" s="359" customFormat="1" ht="12.75" customHeight="1" x14ac:dyDescent="0.25">
      <c r="D147" s="502"/>
      <c r="E147" s="567"/>
      <c r="F147" s="567"/>
      <c r="J147" s="570"/>
      <c r="K147" s="570"/>
      <c r="L147" s="570"/>
      <c r="M147" s="570"/>
      <c r="N147" s="570"/>
      <c r="O147" s="570"/>
      <c r="P147" s="1069"/>
      <c r="Q147" s="1069"/>
    </row>
    <row r="148" spans="1:23" s="359" customFormat="1" ht="12.75" customHeight="1" x14ac:dyDescent="0.25">
      <c r="D148" s="502"/>
      <c r="E148" s="567"/>
      <c r="F148" s="567"/>
      <c r="J148" s="510"/>
      <c r="K148" s="510"/>
      <c r="L148" s="510"/>
      <c r="M148" s="510"/>
      <c r="N148" s="510"/>
      <c r="O148" s="510"/>
      <c r="P148" s="1069"/>
      <c r="Q148" s="1069"/>
    </row>
    <row r="149" spans="1:23" s="359" customFormat="1" ht="12.75" customHeight="1" x14ac:dyDescent="0.25">
      <c r="D149" s="502" t="s">
        <v>2038</v>
      </c>
      <c r="E149" s="567"/>
      <c r="F149" s="567"/>
      <c r="J149" s="510">
        <v>27399.62</v>
      </c>
      <c r="K149" s="510">
        <v>27947.612399999998</v>
      </c>
      <c r="L149" s="510">
        <f t="shared" ref="L149:M149" si="8">SUM(L145:L148)</f>
        <v>29121.4121208</v>
      </c>
      <c r="M149" s="510">
        <f t="shared" si="8"/>
        <v>30198.904369269596</v>
      </c>
      <c r="N149" s="510">
        <f t="shared" ref="N149:O149" si="9">SUM(N145:N148)</f>
        <v>31316.26383093257</v>
      </c>
      <c r="O149" s="510">
        <f t="shared" si="9"/>
        <v>32474.965592677072</v>
      </c>
      <c r="P149" s="1069"/>
      <c r="Q149" s="1069"/>
    </row>
    <row r="150" spans="1:23" s="359" customFormat="1" ht="12.75" customHeight="1" x14ac:dyDescent="0.25">
      <c r="D150" s="502" t="s">
        <v>3191</v>
      </c>
      <c r="E150" s="567"/>
      <c r="F150" s="567"/>
      <c r="J150" s="570">
        <v>3995</v>
      </c>
      <c r="K150" s="570">
        <v>4099</v>
      </c>
      <c r="L150" s="570">
        <f>L60</f>
        <v>4185</v>
      </c>
      <c r="M150" s="570">
        <f>M60</f>
        <v>4282</v>
      </c>
      <c r="N150" s="570">
        <f>N60</f>
        <v>4380</v>
      </c>
      <c r="O150" s="570">
        <f>O60</f>
        <v>4480</v>
      </c>
      <c r="P150" s="1069"/>
      <c r="Q150" s="1069"/>
    </row>
    <row r="151" spans="1:23" s="359" customFormat="1" ht="12.75" customHeight="1" x14ac:dyDescent="0.25">
      <c r="D151" s="502" t="s">
        <v>2785</v>
      </c>
      <c r="E151" s="567"/>
      <c r="F151" s="567"/>
      <c r="J151" s="510">
        <v>31394.62</v>
      </c>
      <c r="K151" s="510">
        <v>32046.612399999998</v>
      </c>
      <c r="L151" s="510">
        <f t="shared" ref="L151:M151" si="10">SUM(L149:L150)</f>
        <v>33306.4121208</v>
      </c>
      <c r="M151" s="510">
        <f t="shared" si="10"/>
        <v>34480.9043692696</v>
      </c>
      <c r="N151" s="510">
        <f t="shared" ref="N151:O151" si="11">SUM(N149:N150)</f>
        <v>35696.26383093257</v>
      </c>
      <c r="O151" s="510">
        <f t="shared" si="11"/>
        <v>36954.965592677072</v>
      </c>
      <c r="P151" s="1069"/>
      <c r="Q151" s="1069"/>
    </row>
    <row r="152" spans="1:23" s="359" customFormat="1" ht="12.75" customHeight="1" x14ac:dyDescent="0.25">
      <c r="D152" s="502"/>
      <c r="E152" s="567"/>
      <c r="F152" s="567"/>
      <c r="J152" s="510"/>
      <c r="K152" s="510"/>
      <c r="L152" s="510"/>
      <c r="M152" s="510"/>
      <c r="N152" s="510"/>
      <c r="O152" s="510"/>
      <c r="P152" s="1069"/>
      <c r="Q152" s="1069"/>
    </row>
    <row r="153" spans="1:23" s="359" customFormat="1" ht="12.75" customHeight="1" x14ac:dyDescent="0.25">
      <c r="D153" s="502"/>
      <c r="E153" s="567"/>
      <c r="F153" s="567"/>
      <c r="J153" s="510"/>
      <c r="K153" s="510"/>
      <c r="L153" s="510"/>
      <c r="M153" s="510"/>
      <c r="N153" s="510"/>
      <c r="O153" s="510"/>
      <c r="P153" s="1069"/>
      <c r="Q153" s="1069"/>
    </row>
    <row r="154" spans="1:23" s="359" customFormat="1" ht="12.75" customHeight="1" x14ac:dyDescent="0.25">
      <c r="D154" s="504" t="s">
        <v>3192</v>
      </c>
      <c r="E154" s="569"/>
      <c r="F154" s="569"/>
      <c r="J154" s="407">
        <v>2025</v>
      </c>
      <c r="K154" s="407">
        <v>2026</v>
      </c>
      <c r="L154" s="407">
        <v>2027</v>
      </c>
      <c r="M154" s="407">
        <v>2028</v>
      </c>
      <c r="N154" s="407">
        <v>2028</v>
      </c>
      <c r="O154" s="407">
        <v>2028</v>
      </c>
      <c r="P154" s="1069"/>
      <c r="Q154" s="1069"/>
    </row>
    <row r="155" spans="1:23" s="359" customFormat="1" ht="12.75" customHeight="1" x14ac:dyDescent="0.25">
      <c r="D155" s="502"/>
      <c r="E155" s="567"/>
      <c r="F155" s="567"/>
      <c r="J155" s="510"/>
      <c r="K155" s="510"/>
      <c r="L155" s="510"/>
      <c r="M155" s="510"/>
      <c r="N155" s="510"/>
      <c r="O155" s="510"/>
      <c r="P155" s="1069"/>
      <c r="Q155" s="1069"/>
    </row>
    <row r="156" spans="1:23" s="359" customFormat="1" ht="12.75" customHeight="1" x14ac:dyDescent="0.25">
      <c r="D156" s="396" t="s">
        <v>2787</v>
      </c>
      <c r="E156" s="531"/>
      <c r="F156" s="531"/>
      <c r="J156" s="510"/>
      <c r="K156" s="510"/>
      <c r="L156" s="510"/>
      <c r="M156" s="510"/>
      <c r="N156" s="510"/>
      <c r="O156" s="510"/>
      <c r="P156" s="1180"/>
      <c r="R156" s="1069"/>
    </row>
    <row r="157" spans="1:23" s="359" customFormat="1" ht="12.75" customHeight="1" x14ac:dyDescent="0.25">
      <c r="B157" s="301"/>
      <c r="C157" s="301"/>
      <c r="D157" s="301" t="s">
        <v>2788</v>
      </c>
      <c r="E157" s="143"/>
      <c r="F157" s="143"/>
      <c r="G157" s="301"/>
      <c r="H157" s="301"/>
      <c r="J157" s="114">
        <v>31394.62</v>
      </c>
      <c r="K157" s="114">
        <v>32046.612399999998</v>
      </c>
      <c r="L157" s="114">
        <f>L151</f>
        <v>33306.4121208</v>
      </c>
      <c r="M157" s="114">
        <f>M151</f>
        <v>34480.9043692696</v>
      </c>
      <c r="N157" s="114">
        <f>N151</f>
        <v>35696.26383093257</v>
      </c>
      <c r="O157" s="114">
        <f>O151</f>
        <v>36954.965592677072</v>
      </c>
      <c r="P157" s="506"/>
      <c r="R157" s="506" t="s">
        <v>940</v>
      </c>
      <c r="S157" s="506" t="s">
        <v>941</v>
      </c>
      <c r="T157" s="506" t="s">
        <v>942</v>
      </c>
      <c r="U157" s="506" t="s">
        <v>943</v>
      </c>
      <c r="V157" s="506" t="s">
        <v>944</v>
      </c>
      <c r="W157" s="2118" t="s">
        <v>5284</v>
      </c>
    </row>
    <row r="158" spans="1:23" s="359" customFormat="1" ht="12.75" customHeight="1" x14ac:dyDescent="0.25">
      <c r="B158" s="301"/>
      <c r="C158" s="301"/>
      <c r="D158" s="301"/>
      <c r="E158" s="143"/>
      <c r="F158" s="143"/>
      <c r="G158" s="301"/>
      <c r="H158" s="301"/>
      <c r="J158" s="114"/>
      <c r="K158" s="114"/>
      <c r="L158" s="114"/>
      <c r="M158" s="114"/>
      <c r="N158" s="114"/>
      <c r="O158" s="114"/>
      <c r="W158" s="358"/>
    </row>
    <row r="159" spans="1:23" ht="12.75" customHeight="1" x14ac:dyDescent="0.25">
      <c r="A159" s="301"/>
      <c r="B159" s="577"/>
      <c r="C159" s="577"/>
      <c r="D159" s="1181" t="s">
        <v>3193</v>
      </c>
      <c r="E159" s="1182"/>
      <c r="F159" s="1182"/>
      <c r="G159" s="577"/>
      <c r="H159" s="577"/>
      <c r="J159" s="1183"/>
      <c r="K159" s="1183"/>
      <c r="L159" s="1183"/>
      <c r="M159" s="1183"/>
      <c r="N159" s="1183"/>
      <c r="O159" s="1183"/>
      <c r="W159" s="358"/>
    </row>
    <row r="160" spans="1:23" ht="12.75" customHeight="1" x14ac:dyDescent="0.3">
      <c r="A160" s="301"/>
      <c r="B160" s="575"/>
      <c r="C160" s="575"/>
      <c r="D160" s="507" t="s">
        <v>945</v>
      </c>
      <c r="E160" s="115"/>
      <c r="F160" s="115"/>
      <c r="I160" s="508"/>
      <c r="J160" s="508"/>
      <c r="K160" s="508"/>
      <c r="L160" s="151"/>
      <c r="M160" s="151"/>
      <c r="N160" s="151"/>
      <c r="O160" s="151"/>
      <c r="P160" s="1184"/>
      <c r="W160" s="358"/>
    </row>
    <row r="161" spans="1:23" ht="12.75" customHeight="1" x14ac:dyDescent="0.3">
      <c r="A161" s="301"/>
      <c r="B161" s="575"/>
      <c r="C161" s="575"/>
      <c r="D161" s="507"/>
      <c r="E161" s="115"/>
      <c r="F161" s="115"/>
      <c r="I161" s="508"/>
      <c r="J161" s="508"/>
      <c r="K161" s="508"/>
      <c r="L161" s="151"/>
      <c r="M161" s="151"/>
      <c r="N161" s="151"/>
      <c r="O161" s="151"/>
      <c r="P161" s="1184"/>
      <c r="R161" s="97">
        <v>2025</v>
      </c>
      <c r="S161" s="97">
        <v>2026</v>
      </c>
      <c r="T161" s="97">
        <v>2027</v>
      </c>
      <c r="U161" s="97">
        <v>2028</v>
      </c>
      <c r="V161" s="97">
        <v>2029</v>
      </c>
      <c r="W161" s="2119">
        <v>2029</v>
      </c>
    </row>
    <row r="162" spans="1:23" ht="12.75" customHeight="1" x14ac:dyDescent="0.3">
      <c r="A162" s="301"/>
      <c r="B162" s="575"/>
      <c r="C162" s="575"/>
      <c r="D162" s="115" t="s">
        <v>946</v>
      </c>
      <c r="E162" s="115"/>
      <c r="F162" s="115"/>
      <c r="I162" s="359"/>
      <c r="J162" s="151">
        <v>4148.2764940956131</v>
      </c>
      <c r="K162" s="151">
        <v>2519.1982045837053</v>
      </c>
      <c r="L162" s="151">
        <f>L$149*T162</f>
        <v>2740.7923155863709</v>
      </c>
      <c r="M162" s="151">
        <f>M$149*U162</f>
        <v>2998.5098562634284</v>
      </c>
      <c r="N162" s="151">
        <f>N$149*V162</f>
        <v>3269.0444747037536</v>
      </c>
      <c r="O162" s="547">
        <f>O$149*W162</f>
        <v>3389.999120267792</v>
      </c>
      <c r="P162" s="151"/>
      <c r="R162" s="508">
        <v>0.10002862957699615</v>
      </c>
      <c r="S162" s="509">
        <v>9.0140015130011811E-2</v>
      </c>
      <c r="T162" s="509">
        <v>9.4116051248378754E-2</v>
      </c>
      <c r="U162" s="509">
        <v>9.9292008067508306E-2</v>
      </c>
      <c r="V162" s="509">
        <v>0.10438807427196223</v>
      </c>
      <c r="W162" s="2083">
        <v>0.10438807427196223</v>
      </c>
    </row>
    <row r="163" spans="1:23" ht="12.75" customHeight="1" x14ac:dyDescent="0.3">
      <c r="A163" s="301"/>
      <c r="B163" s="575"/>
      <c r="C163" s="575"/>
      <c r="D163" s="115" t="s">
        <v>947</v>
      </c>
      <c r="E163" s="115"/>
      <c r="F163" s="115"/>
      <c r="I163" s="359"/>
      <c r="J163" s="151">
        <v>96.654794614843297</v>
      </c>
      <c r="K163" s="151">
        <v>61.148582953613079</v>
      </c>
      <c r="L163" s="151">
        <f t="shared" ref="L163:L169" si="12">L$149*T163</f>
        <v>63.510014644913809</v>
      </c>
      <c r="M163" s="151">
        <f t="shared" ref="M163:M169" si="13">M$149*U163</f>
        <v>65.647162719779175</v>
      </c>
      <c r="N163" s="151">
        <f t="shared" ref="N163:O169" si="14">N$149*V163</f>
        <v>67.855348893202702</v>
      </c>
      <c r="O163" s="547">
        <f t="shared" si="14"/>
        <v>70.365996802251189</v>
      </c>
      <c r="P163" s="1185"/>
      <c r="R163" s="508">
        <v>2.3306659189979155E-3</v>
      </c>
      <c r="S163" s="509">
        <v>2.1879716262850806E-3</v>
      </c>
      <c r="T163" s="509">
        <v>2.1808700203638722E-3</v>
      </c>
      <c r="U163" s="509">
        <v>2.1738259745138874E-3</v>
      </c>
      <c r="V163" s="509">
        <v>2.1667766391142334E-3</v>
      </c>
      <c r="W163" s="2083">
        <v>2.1667766391142334E-3</v>
      </c>
    </row>
    <row r="164" spans="1:23" ht="12.75" customHeight="1" x14ac:dyDescent="0.3">
      <c r="A164" s="301"/>
      <c r="B164" s="575"/>
      <c r="C164" s="575"/>
      <c r="D164" s="115" t="s">
        <v>948</v>
      </c>
      <c r="E164" s="115"/>
      <c r="F164" s="115"/>
      <c r="I164" s="359"/>
      <c r="J164" s="151">
        <v>7935.7389992216822</v>
      </c>
      <c r="K164" s="151">
        <v>4887.6647436413868</v>
      </c>
      <c r="L164" s="151">
        <f t="shared" si="12"/>
        <v>5078.3819512008286</v>
      </c>
      <c r="M164" s="151">
        <f t="shared" si="13"/>
        <v>5251.2209876934185</v>
      </c>
      <c r="N164" s="151">
        <f t="shared" si="14"/>
        <v>5429.9422119419905</v>
      </c>
      <c r="O164" s="547">
        <f t="shared" si="14"/>
        <v>5630.850073783844</v>
      </c>
      <c r="P164" s="1185"/>
      <c r="R164" s="508">
        <v>0.19135684371635128</v>
      </c>
      <c r="S164" s="509">
        <v>0.17488666558297436</v>
      </c>
      <c r="T164" s="509">
        <v>0.17438652803424973</v>
      </c>
      <c r="U164" s="509">
        <v>0.17388779816254066</v>
      </c>
      <c r="V164" s="509">
        <v>0.17339048621050948</v>
      </c>
      <c r="W164" s="2083">
        <v>0.17339048621050948</v>
      </c>
    </row>
    <row r="165" spans="1:23" ht="12.75" customHeight="1" x14ac:dyDescent="0.3">
      <c r="A165" s="301"/>
      <c r="B165" s="575"/>
      <c r="C165" s="575"/>
      <c r="D165" s="115" t="s">
        <v>949</v>
      </c>
      <c r="E165" s="115"/>
      <c r="F165" s="115"/>
      <c r="I165" s="359"/>
      <c r="J165" s="151">
        <v>10525.585035836275</v>
      </c>
      <c r="K165" s="151">
        <v>6343.9962243503996</v>
      </c>
      <c r="L165" s="151">
        <f t="shared" si="12"/>
        <v>6469.0013671023908</v>
      </c>
      <c r="M165" s="151">
        <f t="shared" si="13"/>
        <v>6662.8446688006898</v>
      </c>
      <c r="N165" s="151">
        <f t="shared" si="14"/>
        <v>6862.3015770084239</v>
      </c>
      <c r="O165" s="547">
        <f t="shared" si="14"/>
        <v>7116.2067353577349</v>
      </c>
      <c r="P165" s="1185"/>
      <c r="R165" s="508">
        <v>0.2538065744000943</v>
      </c>
      <c r="S165" s="509">
        <v>0.226996</v>
      </c>
      <c r="T165" s="509">
        <v>0.22213899999999998</v>
      </c>
      <c r="U165" s="509">
        <v>0.22063199999999999</v>
      </c>
      <c r="V165" s="509">
        <v>0.21912900000000002</v>
      </c>
      <c r="W165" s="2083">
        <v>0.21912900000000002</v>
      </c>
    </row>
    <row r="166" spans="1:23" ht="12.75" customHeight="1" x14ac:dyDescent="0.3">
      <c r="A166" s="301"/>
      <c r="B166" s="575"/>
      <c r="C166" s="575"/>
      <c r="D166" s="308" t="s">
        <v>950</v>
      </c>
      <c r="E166" s="115"/>
      <c r="F166" s="115"/>
      <c r="I166" s="359"/>
      <c r="J166" s="151">
        <v>1457.1636873969537</v>
      </c>
      <c r="K166" s="151">
        <v>863.44192616759631</v>
      </c>
      <c r="L166" s="151">
        <f t="shared" si="12"/>
        <v>895.96153125173373</v>
      </c>
      <c r="M166" s="151">
        <f t="shared" si="13"/>
        <v>925.26728583288229</v>
      </c>
      <c r="N166" s="151">
        <f t="shared" si="14"/>
        <v>955.56023299302569</v>
      </c>
      <c r="O166" s="547">
        <f t="shared" si="14"/>
        <v>990.91596161376754</v>
      </c>
      <c r="P166" s="1185"/>
      <c r="R166" s="508">
        <v>3.513702303285287E-2</v>
      </c>
      <c r="S166" s="509">
        <v>3.0895015782013507E-2</v>
      </c>
      <c r="T166" s="509">
        <v>3.0766417766252215E-2</v>
      </c>
      <c r="U166" s="509">
        <v>3.0639101158068314E-2</v>
      </c>
      <c r="V166" s="509">
        <v>3.051322591199954E-2</v>
      </c>
      <c r="W166" s="2083">
        <v>3.051322591199954E-2</v>
      </c>
    </row>
    <row r="167" spans="1:23" ht="12.75" customHeight="1" x14ac:dyDescent="0.3">
      <c r="A167" s="301"/>
      <c r="B167" s="575"/>
      <c r="C167" s="575"/>
      <c r="D167" s="308" t="s">
        <v>951</v>
      </c>
      <c r="E167" s="115"/>
      <c r="F167" s="115"/>
      <c r="I167" s="359"/>
      <c r="J167" s="151">
        <v>0</v>
      </c>
      <c r="K167" s="151">
        <v>0</v>
      </c>
      <c r="L167" s="151">
        <f t="shared" si="12"/>
        <v>0</v>
      </c>
      <c r="M167" s="151">
        <f t="shared" si="13"/>
        <v>0</v>
      </c>
      <c r="N167" s="151">
        <f t="shared" si="14"/>
        <v>0</v>
      </c>
      <c r="O167" s="547">
        <f t="shared" si="14"/>
        <v>0</v>
      </c>
      <c r="P167" s="1185"/>
      <c r="R167" s="508">
        <v>0</v>
      </c>
      <c r="S167" s="509">
        <v>0</v>
      </c>
      <c r="T167" s="509">
        <v>0</v>
      </c>
      <c r="U167" s="509">
        <v>0</v>
      </c>
      <c r="V167" s="509">
        <v>0</v>
      </c>
      <c r="W167" s="2083">
        <v>0</v>
      </c>
    </row>
    <row r="168" spans="1:23" ht="12.75" customHeight="1" x14ac:dyDescent="0.3">
      <c r="A168" s="301"/>
      <c r="D168" s="308" t="s">
        <v>952</v>
      </c>
      <c r="E168" s="115"/>
      <c r="F168" s="115"/>
      <c r="I168" s="359"/>
      <c r="J168" s="151">
        <v>4653.6009401587362</v>
      </c>
      <c r="K168" s="151">
        <v>3521.5922155173885</v>
      </c>
      <c r="L168" s="151">
        <f t="shared" si="12"/>
        <v>3251.1300147740712</v>
      </c>
      <c r="M168" s="151">
        <f t="shared" si="13"/>
        <v>3371.4227100111216</v>
      </c>
      <c r="N168" s="151">
        <f t="shared" si="14"/>
        <v>3496.1687012405732</v>
      </c>
      <c r="O168" s="547">
        <f t="shared" si="14"/>
        <v>3625.526943186474</v>
      </c>
      <c r="R168" s="508">
        <v>0.11221366881037274</v>
      </c>
      <c r="S168" s="509">
        <v>0.12600690767835998</v>
      </c>
      <c r="T168" s="509">
        <v>0.11164053450732041</v>
      </c>
      <c r="U168" s="509">
        <v>0.11164056380276767</v>
      </c>
      <c r="V168" s="509">
        <v>0.11164067080656155</v>
      </c>
      <c r="W168" s="2083">
        <v>0.11164067080656155</v>
      </c>
    </row>
    <row r="169" spans="1:23" ht="12.75" customHeight="1" x14ac:dyDescent="0.3">
      <c r="D169" s="308" t="s">
        <v>953</v>
      </c>
      <c r="E169" s="115"/>
      <c r="F169" s="115"/>
      <c r="I169" s="359"/>
      <c r="J169" s="151">
        <v>0</v>
      </c>
      <c r="K169" s="151">
        <v>0</v>
      </c>
      <c r="L169" s="151">
        <f t="shared" si="12"/>
        <v>0</v>
      </c>
      <c r="M169" s="151">
        <f t="shared" si="13"/>
        <v>0</v>
      </c>
      <c r="N169" s="151">
        <f t="shared" si="14"/>
        <v>0</v>
      </c>
      <c r="O169" s="547">
        <f t="shared" si="14"/>
        <v>0</v>
      </c>
      <c r="R169" s="508">
        <v>0</v>
      </c>
      <c r="S169" s="509">
        <v>0</v>
      </c>
      <c r="T169" s="509">
        <v>0</v>
      </c>
      <c r="U169" s="509">
        <v>0</v>
      </c>
      <c r="V169" s="509">
        <v>0</v>
      </c>
      <c r="W169" s="2083">
        <v>0</v>
      </c>
    </row>
    <row r="170" spans="1:23" ht="12.75" customHeight="1" x14ac:dyDescent="0.25">
      <c r="D170" s="115"/>
      <c r="E170" s="115"/>
      <c r="F170" s="115"/>
      <c r="I170" s="359"/>
      <c r="J170" s="359"/>
      <c r="K170" s="151"/>
      <c r="L170" s="151"/>
      <c r="M170" s="151"/>
      <c r="N170" s="151"/>
      <c r="O170" s="547"/>
      <c r="R170" s="508"/>
      <c r="S170" s="508"/>
      <c r="T170" s="508"/>
      <c r="U170" s="508"/>
      <c r="V170" s="508"/>
      <c r="W170" s="2090"/>
    </row>
    <row r="171" spans="1:23" ht="12.75" customHeight="1" x14ac:dyDescent="0.3">
      <c r="D171" s="507" t="s">
        <v>954</v>
      </c>
      <c r="E171" s="115"/>
      <c r="F171" s="115"/>
      <c r="I171" s="359"/>
      <c r="J171" s="359"/>
      <c r="K171" s="151"/>
      <c r="L171" s="151"/>
      <c r="M171" s="151"/>
      <c r="N171" s="151"/>
      <c r="O171" s="547"/>
      <c r="R171" s="508"/>
      <c r="S171" s="508"/>
      <c r="T171" s="508"/>
      <c r="U171" s="508"/>
      <c r="V171" s="508"/>
      <c r="W171" s="2090"/>
    </row>
    <row r="172" spans="1:23" ht="12.75" customHeight="1" x14ac:dyDescent="0.25">
      <c r="D172" s="115"/>
      <c r="E172" s="115"/>
      <c r="F172" s="115"/>
      <c r="I172" s="359"/>
      <c r="J172" s="359"/>
      <c r="K172" s="151"/>
      <c r="L172" s="151"/>
      <c r="M172" s="151"/>
      <c r="N172" s="151"/>
      <c r="O172" s="547"/>
      <c r="R172" s="508"/>
      <c r="S172" s="508"/>
      <c r="T172" s="508"/>
      <c r="U172" s="508"/>
      <c r="V172" s="508"/>
      <c r="W172" s="2090"/>
    </row>
    <row r="173" spans="1:23" ht="12.75" customHeight="1" x14ac:dyDescent="0.3">
      <c r="D173" s="115" t="s">
        <v>955</v>
      </c>
      <c r="E173" s="115"/>
      <c r="F173" s="115"/>
      <c r="I173" s="359"/>
      <c r="J173" s="151">
        <v>1694.353866951406</v>
      </c>
      <c r="K173" s="151">
        <v>901.68661177165188</v>
      </c>
      <c r="L173" s="151">
        <f t="shared" ref="L173:L174" si="15">L$149*T173</f>
        <v>1385.5797800513417</v>
      </c>
      <c r="M173" s="151">
        <f t="shared" ref="M173:M174" si="16">M$149*U173</f>
        <v>1377.3076266213041</v>
      </c>
      <c r="N173" s="151">
        <f t="shared" ref="N173:O174" si="17">N$149*V173</f>
        <v>1383.8220979222833</v>
      </c>
      <c r="O173" s="547">
        <f t="shared" si="17"/>
        <v>1435.0235155454077</v>
      </c>
      <c r="R173" s="508">
        <v>4.085646064597323E-2</v>
      </c>
      <c r="S173" s="509">
        <v>3.2263457746095403E-2</v>
      </c>
      <c r="T173" s="509">
        <v>4.7579415939850316E-2</v>
      </c>
      <c r="U173" s="509">
        <v>4.5607867417297838E-2</v>
      </c>
      <c r="V173" s="509">
        <v>4.4188607727701418E-2</v>
      </c>
      <c r="W173" s="2083">
        <v>4.4188607727701418E-2</v>
      </c>
    </row>
    <row r="174" spans="1:23" ht="12.75" customHeight="1" x14ac:dyDescent="0.3">
      <c r="D174" s="115" t="s">
        <v>956</v>
      </c>
      <c r="E174" s="115"/>
      <c r="F174" s="115"/>
      <c r="I174" s="359"/>
      <c r="J174" s="151">
        <v>6911.6066946527417</v>
      </c>
      <c r="K174" s="151">
        <v>4700.4530343311999</v>
      </c>
      <c r="L174" s="151">
        <f t="shared" si="15"/>
        <v>4711.1455672545417</v>
      </c>
      <c r="M174" s="151">
        <f t="shared" si="16"/>
        <v>3941.6515949901755</v>
      </c>
      <c r="N174" s="151">
        <f t="shared" si="17"/>
        <v>3934.4188063992133</v>
      </c>
      <c r="O174" s="547">
        <f t="shared" si="17"/>
        <v>4079.992302235984</v>
      </c>
      <c r="R174" s="508">
        <v>0.16666163569987213</v>
      </c>
      <c r="S174" s="509">
        <v>0.168188</v>
      </c>
      <c r="T174" s="509">
        <v>0.16177600000000003</v>
      </c>
      <c r="U174" s="509">
        <v>0.130523</v>
      </c>
      <c r="V174" s="509">
        <v>0.125635</v>
      </c>
      <c r="W174" s="2083">
        <v>0.125635</v>
      </c>
    </row>
    <row r="175" spans="1:23" ht="12.75" customHeight="1" x14ac:dyDescent="0.25">
      <c r="D175" s="411"/>
      <c r="E175" s="301"/>
      <c r="F175" s="301"/>
      <c r="G175" s="359"/>
      <c r="H175" s="359"/>
      <c r="I175" s="510"/>
      <c r="J175" s="151"/>
      <c r="K175" s="151"/>
      <c r="L175" s="151"/>
      <c r="M175" s="151"/>
      <c r="N175" s="151"/>
      <c r="O175" s="547"/>
      <c r="R175" s="149"/>
      <c r="S175" s="149"/>
      <c r="T175" s="149"/>
      <c r="U175" s="149"/>
      <c r="V175" s="149"/>
      <c r="W175" s="2112"/>
    </row>
    <row r="176" spans="1:23" ht="12.75" customHeight="1" thickBot="1" x14ac:dyDescent="0.3">
      <c r="D176" s="301" t="s">
        <v>957</v>
      </c>
      <c r="E176" s="301"/>
      <c r="F176" s="301"/>
      <c r="G176" s="359"/>
      <c r="H176" s="359"/>
      <c r="I176" s="510"/>
      <c r="J176" s="1745">
        <v>37422.980512928247</v>
      </c>
      <c r="K176" s="1745">
        <v>23799.181543316943</v>
      </c>
      <c r="L176" s="1745">
        <f t="shared" ref="L176:M176" si="18">SUM(L162:L175)</f>
        <v>24595.502541866193</v>
      </c>
      <c r="M176" s="1745">
        <f t="shared" si="18"/>
        <v>24593.871892932799</v>
      </c>
      <c r="N176" s="1745">
        <f t="shared" ref="N176:O176" si="19">SUM(N162:N175)</f>
        <v>25399.113451102465</v>
      </c>
      <c r="O176" s="2110">
        <f t="shared" si="19"/>
        <v>26338.880648793252</v>
      </c>
      <c r="W176" s="358"/>
    </row>
    <row r="177" spans="4:23" ht="12.75" customHeight="1" thickTop="1" x14ac:dyDescent="0.25">
      <c r="E177" s="301"/>
      <c r="F177" s="301"/>
      <c r="G177" s="359"/>
      <c r="H177" s="359"/>
      <c r="I177" s="510"/>
      <c r="J177" s="503"/>
      <c r="K177" s="503"/>
      <c r="L177" s="503"/>
      <c r="M177" s="503"/>
      <c r="N177" s="503"/>
      <c r="O177" s="503"/>
      <c r="P177" s="381" t="s">
        <v>958</v>
      </c>
      <c r="R177" s="514">
        <f>SUM(R162:R175)</f>
        <v>0.90239150180151062</v>
      </c>
      <c r="S177" s="514">
        <f t="shared" ref="S177:V177" si="20">SUM(S162:S175)</f>
        <v>0.85156403354574006</v>
      </c>
      <c r="T177" s="514">
        <f t="shared" si="20"/>
        <v>0.84458481751641523</v>
      </c>
      <c r="U177" s="514">
        <f t="shared" si="20"/>
        <v>0.8143961645826967</v>
      </c>
      <c r="V177" s="514">
        <f t="shared" si="20"/>
        <v>0.81105184156784849</v>
      </c>
      <c r="W177" s="2087">
        <f t="shared" ref="W177" si="21">SUM(W162:W175)</f>
        <v>0.81105184156784849</v>
      </c>
    </row>
    <row r="178" spans="4:23" ht="12.75" customHeight="1" x14ac:dyDescent="0.25">
      <c r="D178" s="301" t="s">
        <v>959</v>
      </c>
      <c r="E178" s="301"/>
      <c r="F178" s="301"/>
      <c r="G178" s="359"/>
      <c r="H178" s="359"/>
      <c r="I178" s="510"/>
      <c r="J178" s="503">
        <v>31394.62</v>
      </c>
      <c r="K178" s="503">
        <v>32046.612399999998</v>
      </c>
      <c r="L178" s="503">
        <f>L151</f>
        <v>33306.4121208</v>
      </c>
      <c r="M178" s="503">
        <f>M151</f>
        <v>34480.9043692696</v>
      </c>
      <c r="N178" s="503">
        <f>N151</f>
        <v>35696.26383093257</v>
      </c>
      <c r="O178" s="503">
        <f>O151</f>
        <v>36954.965592677072</v>
      </c>
    </row>
    <row r="179" spans="4:23" ht="12.75" customHeight="1" x14ac:dyDescent="0.25">
      <c r="D179" s="301" t="s">
        <v>960</v>
      </c>
      <c r="E179" s="301"/>
      <c r="F179" s="301"/>
      <c r="G179" s="359"/>
      <c r="H179" s="359"/>
      <c r="I179" s="510"/>
      <c r="J179" s="503">
        <v>37422.980512928247</v>
      </c>
      <c r="K179" s="503">
        <v>23799.181543316943</v>
      </c>
      <c r="L179" s="503">
        <f t="shared" ref="L179:M179" si="22">L176</f>
        <v>24595.502541866193</v>
      </c>
      <c r="M179" s="503">
        <f t="shared" si="22"/>
        <v>24593.871892932799</v>
      </c>
      <c r="N179" s="503">
        <f t="shared" ref="N179:O179" si="23">N176</f>
        <v>25399.113451102465</v>
      </c>
      <c r="O179" s="503">
        <f t="shared" si="23"/>
        <v>26338.880648793252</v>
      </c>
    </row>
    <row r="180" spans="4:23" ht="12.75" customHeight="1" x14ac:dyDescent="0.25">
      <c r="D180" s="301" t="s">
        <v>961</v>
      </c>
      <c r="E180" s="301"/>
      <c r="F180" s="301"/>
      <c r="G180" s="359"/>
      <c r="H180" s="359"/>
      <c r="I180" s="510"/>
      <c r="J180" s="511">
        <v>-28133</v>
      </c>
      <c r="K180" s="511">
        <v>-28660</v>
      </c>
      <c r="L180" s="511">
        <f>L76</f>
        <v>-28708</v>
      </c>
      <c r="M180" s="511">
        <f>M76</f>
        <v>-29718</v>
      </c>
      <c r="N180" s="511">
        <f>N76</f>
        <v>-29769</v>
      </c>
      <c r="O180" s="511">
        <f>O76</f>
        <v>-29821</v>
      </c>
    </row>
    <row r="181" spans="4:23" ht="12.75" customHeight="1" x14ac:dyDescent="0.25">
      <c r="E181" s="301"/>
      <c r="F181" s="301"/>
      <c r="G181" s="359"/>
      <c r="H181" s="359"/>
      <c r="I181" s="510"/>
      <c r="J181" s="503"/>
      <c r="K181" s="503"/>
      <c r="L181" s="503"/>
      <c r="M181" s="503"/>
      <c r="N181" s="503"/>
      <c r="O181" s="503"/>
    </row>
    <row r="182" spans="4:23" ht="12.75" customHeight="1" x14ac:dyDescent="0.25">
      <c r="E182" s="301"/>
      <c r="F182" s="301"/>
      <c r="G182" s="359"/>
      <c r="H182" s="359"/>
      <c r="I182" s="510"/>
      <c r="J182" s="503"/>
      <c r="K182" s="503"/>
      <c r="L182" s="503"/>
      <c r="M182" s="503"/>
      <c r="N182" s="503"/>
      <c r="O182" s="503"/>
    </row>
    <row r="183" spans="4:23" ht="12.75" customHeight="1" x14ac:dyDescent="0.25">
      <c r="D183" s="301" t="s">
        <v>962</v>
      </c>
      <c r="E183" s="301"/>
      <c r="F183" s="301"/>
      <c r="G183" s="359"/>
      <c r="H183" s="359"/>
      <c r="I183" s="510"/>
      <c r="J183" s="510">
        <v>40684.600512928242</v>
      </c>
      <c r="K183" s="510">
        <v>27185.793943316938</v>
      </c>
      <c r="L183" s="510">
        <f t="shared" ref="L183:M183" si="24">SUM(L178:L182)</f>
        <v>29193.914662666197</v>
      </c>
      <c r="M183" s="510">
        <f t="shared" si="24"/>
        <v>29356.776262202402</v>
      </c>
      <c r="N183" s="510">
        <f t="shared" ref="N183:O183" si="25">SUM(N178:N182)</f>
        <v>31326.377282035035</v>
      </c>
      <c r="O183" s="510">
        <f t="shared" si="25"/>
        <v>33472.846241470324</v>
      </c>
    </row>
    <row r="184" spans="4:23" ht="12.75" customHeight="1" x14ac:dyDescent="0.25">
      <c r="D184" s="301" t="s">
        <v>963</v>
      </c>
      <c r="E184" s="301"/>
      <c r="F184" s="301"/>
      <c r="G184" s="359"/>
      <c r="H184" s="359"/>
      <c r="I184" s="512"/>
      <c r="J184" s="512">
        <v>0.4088053025724846</v>
      </c>
      <c r="K184" s="512">
        <v>0.51319889961793153</v>
      </c>
      <c r="L184" s="512">
        <f t="shared" ref="L184:M184" si="26">IF((-L180/(L178+L179))&gt;0,-L180/(L178+L179),L180/(L178+L179))</f>
        <v>0.49580398450122837</v>
      </c>
      <c r="M184" s="512">
        <f t="shared" si="26"/>
        <v>0.50305734325758855</v>
      </c>
      <c r="N184" s="512">
        <f t="shared" ref="N184:O184" si="27">IF((-N180/(N178+N179))&gt;0,-N180/(N178+N179),N180/(N178+N179))</f>
        <v>0.48725454075808633</v>
      </c>
      <c r="O184" s="512">
        <f t="shared" si="27"/>
        <v>0.47115164855412417</v>
      </c>
    </row>
  </sheetData>
  <mergeCells count="2">
    <mergeCell ref="D54:D55"/>
    <mergeCell ref="F54:F55"/>
  </mergeCells>
  <phoneticPr fontId="52" type="noConversion"/>
  <hyperlinks>
    <hyperlink ref="A1" location="Inhoudsopgave!A1" display="Inhoudsopgave" xr:uid="{FFF032E3-6D80-4785-A52D-C30375F8FDB0}"/>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81" min="3" max="14" man="1"/>
    <brk id="140" min="3"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7B9E-6B32-4320-B454-9742AC1D9493}">
  <sheetPr codeName="Blad22"/>
  <dimension ref="A1:W289"/>
  <sheetViews>
    <sheetView showGridLines="0" view="pageBreakPreview" topLeftCell="A95" zoomScaleNormal="100" zoomScaleSheetLayoutView="100" workbookViewId="0">
      <selection activeCell="N206" sqref="N206"/>
    </sheetView>
  </sheetViews>
  <sheetFormatPr defaultColWidth="9.109375" defaultRowHeight="12.75" customHeight="1" x14ac:dyDescent="0.25"/>
  <cols>
    <col min="1" max="1" width="12.5546875" style="115" customWidth="1"/>
    <col min="2" max="2" width="16.6640625" style="115" customWidth="1"/>
    <col min="3" max="3" width="8" style="115" customWidth="1"/>
    <col min="4" max="4" width="9.6640625" style="301" customWidth="1"/>
    <col min="5" max="6" width="9.6640625" style="143" customWidth="1"/>
    <col min="7" max="9" width="12.6640625" style="115" customWidth="1"/>
    <col min="10" max="15" width="11.6640625" style="115" customWidth="1"/>
    <col min="16" max="16" width="10.6640625" style="115" customWidth="1"/>
    <col min="17" max="19" width="11.6640625" style="115" customWidth="1"/>
    <col min="20" max="21" width="10.88671875" style="115" customWidth="1"/>
    <col min="22" max="22" width="11.5546875" style="115" customWidth="1"/>
    <col min="23" max="23" width="11.109375" style="115" bestFit="1" customWidth="1"/>
    <col min="24"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3091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24</v>
      </c>
    </row>
    <row r="33" spans="4:21" ht="12.75" customHeight="1" x14ac:dyDescent="0.25">
      <c r="U33" s="115">
        <f>8683000+83500+452500</f>
        <v>9219000</v>
      </c>
    </row>
    <row r="34" spans="4:21" ht="12.75" customHeight="1" x14ac:dyDescent="0.25">
      <c r="U34" s="115">
        <f>9660000+86300+455200</f>
        <v>10201500</v>
      </c>
    </row>
    <row r="37" spans="4:21" ht="12.75" customHeight="1" x14ac:dyDescent="0.25">
      <c r="D37" s="452" t="s">
        <v>507</v>
      </c>
      <c r="E37" s="438"/>
      <c r="F37" s="438"/>
      <c r="G37" s="453"/>
      <c r="H37" s="453"/>
      <c r="I37" s="453"/>
      <c r="J37" s="453"/>
      <c r="K37" s="453"/>
      <c r="L37" s="453"/>
      <c r="M37" s="453"/>
      <c r="N37" s="453"/>
      <c r="O37" s="453"/>
    </row>
    <row r="38" spans="4:21" ht="12.75" customHeight="1" x14ac:dyDescent="0.25">
      <c r="D38" s="438"/>
      <c r="E38" s="438"/>
      <c r="F38" s="438"/>
      <c r="G38" s="453"/>
      <c r="H38" s="453"/>
      <c r="I38" s="453"/>
      <c r="J38" s="453"/>
      <c r="K38" s="453"/>
      <c r="L38" s="453"/>
      <c r="M38" s="453"/>
      <c r="N38" s="453"/>
      <c r="O38" s="453"/>
    </row>
    <row r="39" spans="4:21" ht="12.75" customHeight="1" x14ac:dyDescent="0.25">
      <c r="D39" s="1746" t="s">
        <v>508</v>
      </c>
      <c r="E39" s="1747"/>
      <c r="F39" s="1747"/>
      <c r="G39" s="1748"/>
      <c r="H39" s="1748"/>
      <c r="I39" s="1749"/>
      <c r="J39" s="1749">
        <v>2025</v>
      </c>
      <c r="K39" s="1749">
        <v>2026</v>
      </c>
      <c r="L39" s="1749">
        <v>2027</v>
      </c>
      <c r="M39" s="1749">
        <v>2028</v>
      </c>
      <c r="N39" s="1749">
        <v>2029</v>
      </c>
      <c r="O39" s="1749">
        <v>2030</v>
      </c>
    </row>
    <row r="40" spans="4:21" ht="12.75" customHeight="1" x14ac:dyDescent="0.25">
      <c r="D40" s="454" t="str">
        <f>G83</f>
        <v>Kermis en kermisterrein</v>
      </c>
      <c r="E40" s="455"/>
      <c r="F40" s="456"/>
      <c r="G40" s="453"/>
      <c r="H40" s="453"/>
      <c r="I40" s="518"/>
      <c r="J40" s="44">
        <v>331577</v>
      </c>
      <c r="K40" s="44">
        <v>333495.74699999997</v>
      </c>
      <c r="L40" s="44">
        <f t="shared" ref="L40:M40" si="0">L89</f>
        <v>335282.76418100001</v>
      </c>
      <c r="M40" s="44">
        <f t="shared" si="0"/>
        <v>337220.58675716299</v>
      </c>
      <c r="N40" s="44">
        <f t="shared" ref="N40:O40" si="1">N89</f>
        <v>339162.7622525777</v>
      </c>
      <c r="O40" s="44">
        <f t="shared" si="1"/>
        <v>341150.85078438703</v>
      </c>
      <c r="P40" s="115" t="s">
        <v>3195</v>
      </c>
    </row>
    <row r="41" spans="4:21" ht="12.75" customHeight="1" x14ac:dyDescent="0.25">
      <c r="D41" s="454" t="s">
        <v>3196</v>
      </c>
      <c r="E41" s="455"/>
      <c r="F41" s="456"/>
      <c r="G41" s="453"/>
      <c r="H41" s="453"/>
      <c r="I41" s="518"/>
      <c r="J41" s="44">
        <v>0</v>
      </c>
      <c r="K41" s="44">
        <v>26011.08</v>
      </c>
      <c r="L41" s="44">
        <f t="shared" ref="L41:M41" si="2">+L94</f>
        <v>27104</v>
      </c>
      <c r="M41" s="44">
        <f t="shared" si="2"/>
        <v>28107</v>
      </c>
      <c r="N41" s="44">
        <f t="shared" ref="N41:O41" si="3">+N94</f>
        <v>29147</v>
      </c>
      <c r="O41" s="44">
        <f t="shared" si="3"/>
        <v>30225</v>
      </c>
    </row>
    <row r="42" spans="4:21" ht="12.75" customHeight="1" x14ac:dyDescent="0.25">
      <c r="D42" s="454" t="s">
        <v>3197</v>
      </c>
      <c r="E42" s="455"/>
      <c r="F42" s="456"/>
      <c r="G42" s="453"/>
      <c r="H42" s="453"/>
      <c r="I42" s="518"/>
      <c r="J42" s="44">
        <v>142055.76999999999</v>
      </c>
      <c r="K42" s="44">
        <v>154759</v>
      </c>
      <c r="L42" s="44">
        <f t="shared" ref="L42:M42" si="4">L99</f>
        <v>161363</v>
      </c>
      <c r="M42" s="44">
        <f t="shared" si="4"/>
        <v>167444</v>
      </c>
      <c r="N42" s="44">
        <f t="shared" ref="N42:O42" si="5">N99</f>
        <v>173754</v>
      </c>
      <c r="O42" s="44">
        <f t="shared" si="5"/>
        <v>180183</v>
      </c>
      <c r="P42" s="115" t="s">
        <v>3198</v>
      </c>
    </row>
    <row r="43" spans="4:21" ht="12.75" customHeight="1" x14ac:dyDescent="0.25">
      <c r="D43" s="454" t="str">
        <f>G101</f>
        <v>Culturele activiteiten</v>
      </c>
      <c r="E43" s="455"/>
      <c r="F43" s="456"/>
      <c r="G43" s="453"/>
      <c r="H43" s="453"/>
      <c r="I43" s="518"/>
      <c r="J43" s="457">
        <v>3058</v>
      </c>
      <c r="K43" s="457">
        <v>3137</v>
      </c>
      <c r="L43" s="457">
        <f t="shared" ref="L43:M43" si="6">L105</f>
        <v>3203</v>
      </c>
      <c r="M43" s="457">
        <f t="shared" si="6"/>
        <v>3276</v>
      </c>
      <c r="N43" s="457">
        <f t="shared" ref="N43:O43" si="7">N105</f>
        <v>3351</v>
      </c>
      <c r="O43" s="457">
        <f t="shared" si="7"/>
        <v>3429</v>
      </c>
      <c r="P43" s="115" t="s">
        <v>3199</v>
      </c>
    </row>
    <row r="44" spans="4:21" ht="12.75" customHeight="1" x14ac:dyDescent="0.25">
      <c r="D44" s="454"/>
      <c r="E44" s="455"/>
      <c r="F44" s="456"/>
      <c r="G44" s="453"/>
      <c r="H44" s="453"/>
      <c r="I44" s="518"/>
      <c r="J44" s="44"/>
      <c r="K44" s="44"/>
      <c r="L44" s="44"/>
      <c r="M44" s="44"/>
      <c r="N44" s="44"/>
      <c r="O44" s="44"/>
    </row>
    <row r="45" spans="4:21" ht="12.75" customHeight="1" x14ac:dyDescent="0.25">
      <c r="D45" s="454"/>
      <c r="E45" s="455"/>
      <c r="F45" s="456"/>
      <c r="G45" s="453"/>
      <c r="H45" s="453"/>
      <c r="I45" s="518"/>
      <c r="J45" s="44"/>
      <c r="K45" s="44"/>
      <c r="L45" s="44"/>
      <c r="M45" s="44"/>
      <c r="N45" s="44"/>
      <c r="O45" s="44"/>
    </row>
    <row r="46" spans="4:21" ht="12.75" customHeight="1" x14ac:dyDescent="0.25">
      <c r="D46" s="454"/>
      <c r="E46" s="455"/>
      <c r="F46" s="456"/>
      <c r="G46" s="453"/>
      <c r="H46" s="453"/>
      <c r="I46" s="518"/>
      <c r="J46" s="44"/>
      <c r="K46" s="44"/>
      <c r="L46" s="44"/>
      <c r="M46" s="44"/>
      <c r="N46" s="44"/>
      <c r="O46" s="44"/>
    </row>
    <row r="47" spans="4:21" ht="12.75" customHeight="1" x14ac:dyDescent="0.25">
      <c r="D47" s="454"/>
      <c r="E47" s="455"/>
      <c r="F47" s="456"/>
      <c r="G47" s="453"/>
      <c r="H47" s="453"/>
      <c r="I47" s="518"/>
      <c r="J47" s="44"/>
      <c r="K47" s="44"/>
      <c r="L47" s="44"/>
      <c r="M47" s="44"/>
      <c r="N47" s="44"/>
      <c r="O47" s="44"/>
    </row>
    <row r="48" spans="4:21" ht="12.75" customHeight="1" x14ac:dyDescent="0.25">
      <c r="D48" s="454"/>
      <c r="E48" s="455"/>
      <c r="F48" s="456"/>
      <c r="G48" s="453"/>
      <c r="H48" s="453"/>
      <c r="I48" s="518"/>
      <c r="J48" s="41"/>
      <c r="K48" s="41"/>
      <c r="L48" s="41"/>
      <c r="M48" s="41"/>
      <c r="N48" s="41"/>
      <c r="O48" s="41"/>
    </row>
    <row r="49" spans="4:17" ht="12.75" customHeight="1" x14ac:dyDescent="0.25">
      <c r="D49" s="454"/>
      <c r="E49" s="455"/>
      <c r="F49" s="456"/>
      <c r="G49" s="453"/>
      <c r="H49" s="453"/>
      <c r="I49" s="518"/>
      <c r="J49" s="41"/>
      <c r="K49" s="41"/>
      <c r="L49" s="41"/>
      <c r="M49" s="41"/>
      <c r="N49" s="41"/>
      <c r="O49" s="41"/>
    </row>
    <row r="50" spans="4:17" ht="12.75" customHeight="1" x14ac:dyDescent="0.25">
      <c r="D50" s="454"/>
      <c r="E50" s="455"/>
      <c r="F50" s="456"/>
      <c r="G50" s="453"/>
      <c r="H50" s="453"/>
      <c r="I50" s="518"/>
      <c r="J50" s="41"/>
      <c r="K50" s="41"/>
      <c r="L50" s="41"/>
      <c r="M50" s="41"/>
      <c r="N50" s="41"/>
      <c r="O50" s="41"/>
    </row>
    <row r="51" spans="4:17" ht="12.75" customHeight="1" x14ac:dyDescent="0.25">
      <c r="D51" s="454"/>
      <c r="E51" s="455"/>
      <c r="F51" s="456"/>
      <c r="G51" s="453"/>
      <c r="H51" s="453"/>
      <c r="I51" s="518"/>
      <c r="J51" s="41"/>
      <c r="K51" s="41"/>
      <c r="L51" s="41"/>
      <c r="M51" s="41"/>
      <c r="N51" s="41"/>
      <c r="O51" s="41"/>
    </row>
    <row r="52" spans="4:17" ht="12.75" customHeight="1" x14ac:dyDescent="0.25">
      <c r="D52" s="454"/>
      <c r="E52" s="455"/>
      <c r="F52" s="456"/>
      <c r="G52" s="453"/>
      <c r="H52" s="453"/>
      <c r="I52" s="518"/>
      <c r="J52" s="41"/>
      <c r="K52" s="41"/>
      <c r="L52" s="41"/>
      <c r="M52" s="41"/>
      <c r="N52" s="41"/>
      <c r="O52" s="41"/>
    </row>
    <row r="53" spans="4:17" ht="12.75" customHeight="1" x14ac:dyDescent="0.25">
      <c r="D53" s="454"/>
      <c r="E53" s="455"/>
      <c r="F53" s="456"/>
      <c r="G53" s="453"/>
      <c r="H53" s="453"/>
      <c r="I53" s="518"/>
      <c r="J53" s="41"/>
      <c r="K53" s="41"/>
      <c r="L53" s="41"/>
      <c r="M53" s="41"/>
      <c r="N53" s="41"/>
      <c r="O53" s="41"/>
    </row>
    <row r="54" spans="4:17" ht="12.75" customHeight="1" x14ac:dyDescent="0.25">
      <c r="D54" s="454"/>
      <c r="E54" s="455"/>
      <c r="F54" s="456"/>
      <c r="G54" s="453"/>
      <c r="H54" s="453"/>
      <c r="I54" s="518"/>
      <c r="J54" s="42"/>
      <c r="K54" s="42"/>
      <c r="L54" s="42"/>
      <c r="M54" s="42"/>
      <c r="N54" s="42"/>
      <c r="O54" s="42"/>
    </row>
    <row r="55" spans="4:17" ht="12.75" customHeight="1" x14ac:dyDescent="0.25">
      <c r="D55" s="1751" t="s">
        <v>525</v>
      </c>
      <c r="E55" s="1752"/>
      <c r="F55" s="1753"/>
      <c r="G55" s="1754"/>
      <c r="H55" s="1754"/>
      <c r="I55" s="1757"/>
      <c r="J55" s="1886">
        <v>476690.77</v>
      </c>
      <c r="K55" s="1886">
        <v>517402.82699999999</v>
      </c>
      <c r="L55" s="1886">
        <f>SUM(L40:L54)</f>
        <v>526952.76418099995</v>
      </c>
      <c r="M55" s="1886">
        <f>SUM(M40:M54)</f>
        <v>536047.58675716305</v>
      </c>
      <c r="N55" s="1886">
        <f>SUM(N40:N54)</f>
        <v>545414.7622525777</v>
      </c>
      <c r="O55" s="1886">
        <f>SUM(O40:O54)</f>
        <v>554987.85078438697</v>
      </c>
    </row>
    <row r="56" spans="4:17" ht="12.75" customHeight="1" x14ac:dyDescent="0.25">
      <c r="D56" s="438"/>
      <c r="E56" s="455"/>
      <c r="F56" s="456"/>
      <c r="G56" s="453"/>
      <c r="H56" s="453"/>
      <c r="I56" s="453"/>
      <c r="J56" s="453"/>
      <c r="K56" s="453"/>
      <c r="L56" s="453"/>
      <c r="M56" s="453"/>
      <c r="N56" s="453"/>
      <c r="O56" s="453"/>
    </row>
    <row r="57" spans="4:17" ht="12.75" customHeight="1" x14ac:dyDescent="0.25">
      <c r="D57" s="1746" t="s">
        <v>526</v>
      </c>
      <c r="E57" s="1747"/>
      <c r="F57" s="1747"/>
      <c r="G57" s="1748"/>
      <c r="H57" s="1748"/>
      <c r="I57" s="1749"/>
      <c r="J57" s="1749">
        <v>2025</v>
      </c>
      <c r="K57" s="1749">
        <v>2026</v>
      </c>
      <c r="L57" s="1749">
        <v>2027</v>
      </c>
      <c r="M57" s="1749">
        <v>2028</v>
      </c>
      <c r="N57" s="1749">
        <v>2029</v>
      </c>
      <c r="O57" s="1749">
        <v>2030</v>
      </c>
    </row>
    <row r="58" spans="4:17" ht="12.75" customHeight="1" x14ac:dyDescent="0.25">
      <c r="D58" s="454" t="str">
        <f>G108</f>
        <v>Kermis en kermisterrein</v>
      </c>
      <c r="E58" s="455"/>
      <c r="F58" s="456"/>
      <c r="G58" s="453"/>
      <c r="H58" s="453"/>
      <c r="I58" s="518"/>
      <c r="J58" s="457">
        <v>-409200</v>
      </c>
      <c r="K58" s="457">
        <v>-419839</v>
      </c>
      <c r="L58" s="457">
        <f t="shared" ref="L58:M58" si="8">L111</f>
        <v>-428656</v>
      </c>
      <c r="M58" s="457">
        <f t="shared" si="8"/>
        <v>-438515</v>
      </c>
      <c r="N58" s="457">
        <f t="shared" ref="N58:O58" si="9">N111</f>
        <v>-448601</v>
      </c>
      <c r="O58" s="457">
        <f t="shared" si="9"/>
        <v>-458919</v>
      </c>
    </row>
    <row r="59" spans="4:17" ht="12.75" customHeight="1" x14ac:dyDescent="0.25">
      <c r="D59" s="454" t="str">
        <f>+G113</f>
        <v>Toeristenbelasting</v>
      </c>
      <c r="E59" s="455"/>
      <c r="F59" s="456"/>
      <c r="G59" s="453"/>
      <c r="H59" s="453"/>
      <c r="I59" s="518"/>
      <c r="J59" s="457">
        <v>-452499</v>
      </c>
      <c r="K59" s="457">
        <v>-455180</v>
      </c>
      <c r="L59" s="457">
        <f t="shared" ref="L59:M59" si="10">+L116</f>
        <v>-459041</v>
      </c>
      <c r="M59" s="457">
        <f t="shared" si="10"/>
        <v>-462815</v>
      </c>
      <c r="N59" s="457">
        <f t="shared" ref="N59:O59" si="11">+N116</f>
        <v>-466703</v>
      </c>
      <c r="O59" s="457">
        <f t="shared" si="11"/>
        <v>-470709</v>
      </c>
    </row>
    <row r="60" spans="4:17" ht="12.75" customHeight="1" x14ac:dyDescent="0.25">
      <c r="D60" s="454"/>
      <c r="E60" s="455"/>
      <c r="F60" s="456"/>
      <c r="G60" s="453"/>
      <c r="H60" s="453"/>
      <c r="I60" s="518"/>
      <c r="J60" s="457"/>
      <c r="K60" s="457"/>
      <c r="L60" s="457"/>
      <c r="M60" s="457"/>
      <c r="N60" s="457"/>
      <c r="O60" s="457"/>
      <c r="Q60" s="115">
        <v>117864</v>
      </c>
    </row>
    <row r="61" spans="4:17" ht="12.75" customHeight="1" x14ac:dyDescent="0.25">
      <c r="D61" s="454"/>
      <c r="E61" s="455"/>
      <c r="F61" s="456"/>
      <c r="G61" s="453"/>
      <c r="H61" s="453"/>
      <c r="I61" s="518"/>
      <c r="J61" s="457"/>
      <c r="K61" s="457"/>
      <c r="L61" s="457"/>
      <c r="M61" s="457"/>
      <c r="N61" s="457"/>
      <c r="O61" s="457"/>
      <c r="Q61" s="115">
        <v>44715</v>
      </c>
    </row>
    <row r="62" spans="4:17" ht="12.75" customHeight="1" x14ac:dyDescent="0.25">
      <c r="D62" s="454"/>
      <c r="E62" s="455"/>
      <c r="F62" s="456"/>
      <c r="G62" s="453"/>
      <c r="H62" s="453"/>
      <c r="I62" s="518"/>
      <c r="J62" s="457"/>
      <c r="K62" s="457"/>
      <c r="L62" s="457"/>
      <c r="M62" s="457"/>
      <c r="N62" s="457"/>
      <c r="O62" s="457"/>
      <c r="Q62" s="115">
        <f>+Q60+Q61</f>
        <v>162579</v>
      </c>
    </row>
    <row r="63" spans="4:17" ht="12.75" customHeight="1" x14ac:dyDescent="0.25">
      <c r="D63" s="454"/>
      <c r="E63" s="455"/>
      <c r="F63" s="456"/>
      <c r="G63" s="453"/>
      <c r="H63" s="453"/>
      <c r="I63" s="518"/>
      <c r="J63" s="463"/>
      <c r="K63" s="463"/>
      <c r="L63" s="463"/>
      <c r="M63" s="463"/>
      <c r="N63" s="463"/>
      <c r="O63" s="463"/>
    </row>
    <row r="64" spans="4:17" ht="12.75" customHeight="1" x14ac:dyDescent="0.25">
      <c r="D64" s="454"/>
      <c r="E64" s="455"/>
      <c r="F64" s="456"/>
      <c r="G64" s="453"/>
      <c r="H64" s="453"/>
      <c r="I64" s="518"/>
      <c r="J64" s="463"/>
      <c r="K64" s="463"/>
      <c r="L64" s="463"/>
      <c r="M64" s="463"/>
      <c r="N64" s="463"/>
      <c r="O64" s="463"/>
    </row>
    <row r="65" spans="1:23" ht="12.75" customHeight="1" x14ac:dyDescent="0.25">
      <c r="D65" s="454"/>
      <c r="E65" s="455"/>
      <c r="F65" s="456"/>
      <c r="G65" s="453"/>
      <c r="H65" s="453"/>
      <c r="I65" s="518"/>
      <c r="J65" s="463"/>
      <c r="K65" s="463"/>
      <c r="L65" s="463"/>
      <c r="M65" s="463"/>
      <c r="N65" s="463"/>
      <c r="O65" s="463"/>
    </row>
    <row r="66" spans="1:23" ht="12.75" customHeight="1" x14ac:dyDescent="0.25">
      <c r="D66" s="454"/>
      <c r="E66" s="455"/>
      <c r="F66" s="456"/>
      <c r="G66" s="453"/>
      <c r="H66" s="453"/>
      <c r="I66" s="518"/>
      <c r="J66" s="463"/>
      <c r="K66" s="463"/>
      <c r="L66" s="463"/>
      <c r="M66" s="463"/>
      <c r="N66" s="463"/>
      <c r="O66" s="463"/>
    </row>
    <row r="67" spans="1:23" ht="12.75" customHeight="1" x14ac:dyDescent="0.25">
      <c r="D67" s="454"/>
      <c r="E67" s="455"/>
      <c r="F67" s="456"/>
      <c r="G67" s="453"/>
      <c r="H67" s="453"/>
      <c r="I67" s="518"/>
      <c r="J67" s="463"/>
      <c r="K67" s="463"/>
      <c r="L67" s="463"/>
      <c r="M67" s="463"/>
      <c r="N67" s="463"/>
      <c r="O67" s="463"/>
    </row>
    <row r="68" spans="1:23" ht="12.75" customHeight="1" x14ac:dyDescent="0.25">
      <c r="D68" s="454"/>
      <c r="E68" s="455"/>
      <c r="F68" s="456"/>
      <c r="G68" s="453"/>
      <c r="H68" s="453"/>
      <c r="I68" s="518"/>
      <c r="J68" s="463"/>
      <c r="K68" s="463"/>
      <c r="L68" s="463"/>
      <c r="M68" s="463"/>
      <c r="N68" s="463"/>
      <c r="O68" s="463"/>
    </row>
    <row r="69" spans="1:23" ht="12.75" customHeight="1" x14ac:dyDescent="0.25">
      <c r="D69" s="454"/>
      <c r="E69" s="455"/>
      <c r="F69" s="456"/>
      <c r="G69" s="453"/>
      <c r="H69" s="453"/>
      <c r="I69" s="518"/>
      <c r="J69" s="463"/>
      <c r="K69" s="463"/>
      <c r="L69" s="463"/>
      <c r="M69" s="463"/>
      <c r="N69" s="463"/>
      <c r="O69" s="463"/>
    </row>
    <row r="70" spans="1:23" ht="12.75" customHeight="1" x14ac:dyDescent="0.25">
      <c r="D70" s="454"/>
      <c r="E70" s="455"/>
      <c r="F70" s="456"/>
      <c r="G70" s="453"/>
      <c r="H70" s="453"/>
      <c r="I70" s="518"/>
      <c r="J70" s="463"/>
      <c r="K70" s="463"/>
      <c r="L70" s="463"/>
      <c r="M70" s="463"/>
      <c r="N70" s="463"/>
      <c r="O70" s="463"/>
    </row>
    <row r="71" spans="1:23" ht="12.75" customHeight="1" x14ac:dyDescent="0.25">
      <c r="D71" s="454"/>
      <c r="E71" s="455"/>
      <c r="F71" s="456"/>
      <c r="G71" s="453"/>
      <c r="H71" s="453"/>
      <c r="I71" s="518"/>
      <c r="J71" s="463"/>
      <c r="K71" s="463"/>
      <c r="L71" s="463"/>
      <c r="M71" s="463"/>
      <c r="N71" s="463"/>
      <c r="O71" s="463"/>
    </row>
    <row r="72" spans="1:23" ht="12.75" customHeight="1" x14ac:dyDescent="0.25">
      <c r="D72" s="464"/>
      <c r="E72" s="465"/>
      <c r="F72" s="466"/>
      <c r="G72" s="467"/>
      <c r="H72" s="467"/>
      <c r="I72" s="518"/>
      <c r="J72" s="463"/>
      <c r="K72" s="463"/>
      <c r="L72" s="463"/>
      <c r="M72" s="463"/>
      <c r="N72" s="463"/>
      <c r="O72" s="463"/>
    </row>
    <row r="73" spans="1:23" ht="12.75" customHeight="1" x14ac:dyDescent="0.25">
      <c r="D73" s="1751" t="s">
        <v>328</v>
      </c>
      <c r="E73" s="1752"/>
      <c r="F73" s="1753"/>
      <c r="G73" s="1754"/>
      <c r="H73" s="1754"/>
      <c r="I73" s="1757"/>
      <c r="J73" s="1886">
        <v>-861699</v>
      </c>
      <c r="K73" s="1886">
        <v>-875019</v>
      </c>
      <c r="L73" s="1886">
        <f>SUM(L58:L72)</f>
        <v>-887697</v>
      </c>
      <c r="M73" s="1886">
        <f>SUM(M58:M72)</f>
        <v>-901330</v>
      </c>
      <c r="N73" s="1886">
        <f>SUM(N58:N72)</f>
        <v>-915304</v>
      </c>
      <c r="O73" s="1886">
        <f>SUM(O58:O72)</f>
        <v>-929628</v>
      </c>
    </row>
    <row r="74" spans="1:23" ht="12.75" customHeight="1" x14ac:dyDescent="0.25">
      <c r="D74" s="438"/>
      <c r="E74" s="455"/>
      <c r="F74" s="456"/>
      <c r="G74" s="453"/>
      <c r="H74" s="453"/>
      <c r="I74" s="453"/>
      <c r="J74" s="469"/>
      <c r="K74" s="469"/>
      <c r="L74" s="469"/>
      <c r="M74" s="469"/>
      <c r="N74" s="469"/>
      <c r="O74" s="469"/>
    </row>
    <row r="75" spans="1:23" ht="12.75" customHeight="1" x14ac:dyDescent="0.25">
      <c r="D75" s="1751" t="s">
        <v>527</v>
      </c>
      <c r="E75" s="1756"/>
      <c r="F75" s="1756"/>
      <c r="G75" s="1754"/>
      <c r="H75" s="1754"/>
      <c r="I75" s="1754"/>
      <c r="J75" s="1758">
        <v>-385008.23</v>
      </c>
      <c r="K75" s="1758">
        <v>-357616.17300000001</v>
      </c>
      <c r="L75" s="1758">
        <f>L55+L73</f>
        <v>-360744.23581900005</v>
      </c>
      <c r="M75" s="1758">
        <f>M55+M73</f>
        <v>-365282.41324283695</v>
      </c>
      <c r="N75" s="1758">
        <f>N55+N73</f>
        <v>-369889.2377474223</v>
      </c>
      <c r="O75" s="1758">
        <f>O55+O73</f>
        <v>-374640.14921561303</v>
      </c>
    </row>
    <row r="76" spans="1:23" ht="12.75" customHeight="1" x14ac:dyDescent="0.25">
      <c r="D76" s="438"/>
      <c r="E76" s="455"/>
      <c r="F76" s="456"/>
      <c r="G76" s="453"/>
      <c r="H76" s="453"/>
      <c r="I76" s="453"/>
      <c r="J76" s="469"/>
      <c r="K76" s="469"/>
      <c r="L76" s="469"/>
      <c r="M76" s="469"/>
      <c r="N76" s="469"/>
      <c r="O76" s="469"/>
    </row>
    <row r="77" spans="1:23" ht="12.75" customHeight="1" x14ac:dyDescent="0.25">
      <c r="D77" s="438"/>
      <c r="E77" s="438"/>
      <c r="F77" s="438"/>
      <c r="G77" s="453"/>
      <c r="H77" s="453"/>
      <c r="I77" s="453"/>
      <c r="J77" s="469"/>
      <c r="K77" s="469"/>
      <c r="L77" s="469"/>
      <c r="M77" s="469"/>
      <c r="N77" s="469"/>
      <c r="O77" s="469"/>
    </row>
    <row r="78" spans="1:23" ht="12.75" customHeight="1" x14ac:dyDescent="0.25">
      <c r="D78" s="312" t="s">
        <v>528</v>
      </c>
      <c r="E78" s="382"/>
      <c r="F78" s="382"/>
    </row>
    <row r="80" spans="1:23" ht="12.75" customHeight="1" x14ac:dyDescent="0.25">
      <c r="A80" s="470"/>
      <c r="B80" s="453"/>
      <c r="C80" s="453"/>
      <c r="D80" s="2523" t="s">
        <v>529</v>
      </c>
      <c r="E80" s="1761" t="s">
        <v>530</v>
      </c>
      <c r="F80" s="2552" t="s">
        <v>531</v>
      </c>
      <c r="G80" s="2525" t="s">
        <v>206</v>
      </c>
      <c r="H80" s="2526"/>
      <c r="I80" s="1773"/>
      <c r="J80" s="1763"/>
      <c r="K80" s="1763"/>
      <c r="L80" s="1763"/>
      <c r="M80" s="1763"/>
      <c r="N80" s="1763"/>
      <c r="O80" s="1763"/>
      <c r="P80" s="453"/>
      <c r="Q80" s="453"/>
      <c r="R80" s="453"/>
      <c r="S80" s="453"/>
      <c r="T80" s="453"/>
      <c r="U80" s="453"/>
      <c r="V80" s="453"/>
      <c r="W80" s="453"/>
    </row>
    <row r="81" spans="1:23" ht="12.75" customHeight="1" x14ac:dyDescent="0.25">
      <c r="A81" s="470"/>
      <c r="B81" s="453"/>
      <c r="C81" s="453"/>
      <c r="D81" s="2524"/>
      <c r="E81" s="472" t="s">
        <v>532</v>
      </c>
      <c r="F81" s="2553"/>
      <c r="G81" s="2527"/>
      <c r="H81" s="2528"/>
      <c r="I81" s="521"/>
      <c r="J81" s="1764">
        <v>2025</v>
      </c>
      <c r="K81" s="1749">
        <v>2026</v>
      </c>
      <c r="L81" s="1749">
        <v>2027</v>
      </c>
      <c r="M81" s="1749">
        <v>2028</v>
      </c>
      <c r="N81" s="1749">
        <v>2029</v>
      </c>
      <c r="O81" s="1749">
        <v>2030</v>
      </c>
      <c r="P81" s="453"/>
      <c r="Q81" s="453"/>
      <c r="R81" s="453"/>
      <c r="S81" s="453"/>
      <c r="T81" s="453"/>
      <c r="U81" s="453"/>
      <c r="V81" s="453"/>
      <c r="W81" s="453"/>
    </row>
    <row r="82" spans="1:23" ht="12.75" customHeight="1" x14ac:dyDescent="0.25">
      <c r="A82" s="301"/>
      <c r="D82" s="340"/>
      <c r="E82" s="340"/>
      <c r="F82" s="340"/>
      <c r="G82" s="319"/>
      <c r="I82" s="318"/>
      <c r="J82" s="317"/>
      <c r="K82" s="317"/>
      <c r="L82" s="317"/>
      <c r="M82" s="317"/>
      <c r="N82" s="317"/>
      <c r="O82" s="317"/>
    </row>
    <row r="83" spans="1:23" ht="12.75" customHeight="1" x14ac:dyDescent="0.25">
      <c r="D83" s="333">
        <v>625001</v>
      </c>
      <c r="E83" s="331"/>
      <c r="F83" s="331"/>
      <c r="G83" s="381" t="s">
        <v>3200</v>
      </c>
      <c r="I83" s="316"/>
      <c r="J83" s="1776"/>
      <c r="K83" s="1776"/>
      <c r="L83" s="1776"/>
      <c r="M83" s="1776"/>
      <c r="N83" s="1776"/>
      <c r="O83" s="1776"/>
    </row>
    <row r="84" spans="1:23" ht="12.75" customHeight="1" x14ac:dyDescent="0.25">
      <c r="D84" s="333"/>
      <c r="E84" s="331"/>
      <c r="F84" s="331"/>
      <c r="G84" s="383" t="s">
        <v>533</v>
      </c>
      <c r="I84" s="316"/>
      <c r="J84" s="335"/>
      <c r="K84" s="335"/>
      <c r="L84" s="335"/>
      <c r="M84" s="335"/>
      <c r="N84" s="335"/>
      <c r="O84" s="335"/>
    </row>
    <row r="85" spans="1:23" ht="12.75" customHeight="1" x14ac:dyDescent="0.25">
      <c r="A85" s="336">
        <f>+D83</f>
        <v>625001</v>
      </c>
      <c r="B85" s="115" t="str">
        <f>G83</f>
        <v>Kermis en kermisterrein</v>
      </c>
      <c r="D85" s="337">
        <v>43511</v>
      </c>
      <c r="E85" s="337"/>
      <c r="F85" s="337"/>
      <c r="G85" s="115" t="s">
        <v>560</v>
      </c>
      <c r="I85" s="318"/>
      <c r="J85" s="318">
        <v>33401</v>
      </c>
      <c r="K85" s="318">
        <v>34269</v>
      </c>
      <c r="L85" s="318">
        <f>L126</f>
        <v>34989</v>
      </c>
      <c r="M85" s="318">
        <f>M126</f>
        <v>35794</v>
      </c>
      <c r="N85" s="318">
        <f>N126</f>
        <v>36616</v>
      </c>
      <c r="O85" s="318">
        <f>O126</f>
        <v>37458</v>
      </c>
    </row>
    <row r="86" spans="1:23" ht="12.75" customHeight="1" x14ac:dyDescent="0.25">
      <c r="A86" s="336">
        <f>+D83</f>
        <v>625001</v>
      </c>
      <c r="B86" s="115" t="str">
        <f>G83</f>
        <v>Kermis en kermisterrein</v>
      </c>
      <c r="D86" s="337">
        <v>43802</v>
      </c>
      <c r="E86" s="337"/>
      <c r="F86" s="337"/>
      <c r="G86" s="319" t="s">
        <v>991</v>
      </c>
      <c r="I86" s="318"/>
      <c r="J86" s="317">
        <v>948</v>
      </c>
      <c r="K86" s="317">
        <v>973</v>
      </c>
      <c r="L86" s="317">
        <f>ROUND(K86*T$2,0)</f>
        <v>993</v>
      </c>
      <c r="M86" s="317">
        <f>ROUND(L86*U$2,0)</f>
        <v>1016</v>
      </c>
      <c r="N86" s="317">
        <f>ROUND(M86*V$2,0)</f>
        <v>1039</v>
      </c>
      <c r="O86" s="317">
        <f>ROUND(N86*W$2,0)</f>
        <v>1063</v>
      </c>
    </row>
    <row r="87" spans="1:23" ht="12.75" customHeight="1" x14ac:dyDescent="0.25">
      <c r="A87" s="336">
        <f>+D83</f>
        <v>625001</v>
      </c>
      <c r="B87" s="115" t="str">
        <f>G83</f>
        <v>Kermis en kermisterrein</v>
      </c>
      <c r="D87" s="337">
        <v>43812</v>
      </c>
      <c r="E87" s="337"/>
      <c r="F87" s="337"/>
      <c r="G87" s="319" t="s">
        <v>535</v>
      </c>
      <c r="I87" s="318"/>
      <c r="J87" s="318">
        <v>296673</v>
      </c>
      <c r="K87" s="318">
        <v>297684.74699999997</v>
      </c>
      <c r="L87" s="318">
        <f>L184</f>
        <v>298719.76418100001</v>
      </c>
      <c r="M87" s="318">
        <f>M184</f>
        <v>299816.58675716299</v>
      </c>
      <c r="N87" s="318">
        <f>N184</f>
        <v>300899.7622525777</v>
      </c>
      <c r="O87" s="318">
        <f>O184</f>
        <v>302007.85078438703</v>
      </c>
    </row>
    <row r="88" spans="1:23" ht="12.75" customHeight="1" x14ac:dyDescent="0.25">
      <c r="A88" s="336">
        <f>+D83</f>
        <v>625001</v>
      </c>
      <c r="B88" s="115" t="str">
        <f>G83</f>
        <v>Kermis en kermisterrein</v>
      </c>
      <c r="D88" s="337">
        <v>43812</v>
      </c>
      <c r="E88" s="337"/>
      <c r="F88" s="337"/>
      <c r="G88" s="115" t="s">
        <v>1579</v>
      </c>
      <c r="I88" s="318"/>
      <c r="J88" s="317">
        <v>555</v>
      </c>
      <c r="K88" s="317">
        <v>569</v>
      </c>
      <c r="L88" s="317">
        <f>ROUND(K88*T$2,0)</f>
        <v>581</v>
      </c>
      <c r="M88" s="317">
        <f>ROUND(L88*U$2,0)</f>
        <v>594</v>
      </c>
      <c r="N88" s="317">
        <f>ROUND(M88*V$2,0)</f>
        <v>608</v>
      </c>
      <c r="O88" s="317">
        <f>ROUND(N88*W$2,0)</f>
        <v>622</v>
      </c>
    </row>
    <row r="89" spans="1:23" ht="12.75" customHeight="1" thickBot="1" x14ac:dyDescent="0.3">
      <c r="D89" s="340"/>
      <c r="E89" s="340"/>
      <c r="F89" s="340"/>
      <c r="G89" s="115" t="s">
        <v>536</v>
      </c>
      <c r="I89" s="318"/>
      <c r="J89" s="342">
        <v>331577</v>
      </c>
      <c r="K89" s="342">
        <v>333495.74699999997</v>
      </c>
      <c r="L89" s="342">
        <f>SUM(L84:L88)</f>
        <v>335282.76418100001</v>
      </c>
      <c r="M89" s="342">
        <f>SUM(M84:M88)</f>
        <v>337220.58675716299</v>
      </c>
      <c r="N89" s="342">
        <f>SUM(N84:N88)</f>
        <v>339162.7622525777</v>
      </c>
      <c r="O89" s="342">
        <f>SUM(O84:O88)</f>
        <v>341150.85078438703</v>
      </c>
    </row>
    <row r="90" spans="1:23" ht="12.75" customHeight="1" thickTop="1" x14ac:dyDescent="0.25">
      <c r="D90" s="340"/>
      <c r="E90" s="340"/>
      <c r="F90" s="340"/>
      <c r="I90" s="318"/>
      <c r="J90" s="317"/>
      <c r="K90" s="317"/>
      <c r="L90" s="317"/>
      <c r="M90" s="317"/>
      <c r="N90" s="317"/>
      <c r="O90" s="317"/>
    </row>
    <row r="91" spans="1:23" ht="12.75" customHeight="1" x14ac:dyDescent="0.25">
      <c r="D91" s="333">
        <v>625901</v>
      </c>
      <c r="E91" s="331"/>
      <c r="F91" s="331"/>
      <c r="G91" s="381" t="s">
        <v>3196</v>
      </c>
      <c r="I91" s="318"/>
      <c r="J91" s="317"/>
      <c r="K91" s="317"/>
      <c r="L91" s="317"/>
      <c r="M91" s="317"/>
      <c r="N91" s="317"/>
      <c r="O91" s="317"/>
    </row>
    <row r="92" spans="1:23" ht="12.75" customHeight="1" x14ac:dyDescent="0.25">
      <c r="D92" s="333"/>
      <c r="E92" s="331"/>
      <c r="F92" s="331"/>
      <c r="G92" s="383" t="s">
        <v>533</v>
      </c>
      <c r="I92" s="318"/>
      <c r="J92" s="317"/>
      <c r="K92" s="317"/>
      <c r="L92" s="317"/>
      <c r="M92" s="317"/>
      <c r="N92" s="317"/>
      <c r="O92" s="317"/>
    </row>
    <row r="93" spans="1:23" ht="12.75" customHeight="1" x14ac:dyDescent="0.25">
      <c r="A93" s="336">
        <f>+D91</f>
        <v>625901</v>
      </c>
      <c r="B93" s="115" t="str">
        <f>G96</f>
        <v>Directe toerekening incl kermis</v>
      </c>
      <c r="D93" s="337">
        <v>41100</v>
      </c>
      <c r="E93" s="337"/>
      <c r="F93" s="337"/>
      <c r="G93" s="115" t="s">
        <v>541</v>
      </c>
      <c r="I93" s="318"/>
      <c r="J93" s="318">
        <v>0</v>
      </c>
      <c r="K93" s="318">
        <v>26011.08</v>
      </c>
      <c r="L93" s="318">
        <f t="shared" ref="L93:M93" si="12">+L193</f>
        <v>27104</v>
      </c>
      <c r="M93" s="318">
        <f t="shared" si="12"/>
        <v>28107</v>
      </c>
      <c r="N93" s="318">
        <f t="shared" ref="N93:O93" si="13">+N193</f>
        <v>29147</v>
      </c>
      <c r="O93" s="318">
        <f t="shared" si="13"/>
        <v>30225</v>
      </c>
    </row>
    <row r="94" spans="1:23" ht="12.75" customHeight="1" thickBot="1" x14ac:dyDescent="0.3">
      <c r="D94" s="333"/>
      <c r="E94" s="331"/>
      <c r="F94" s="331"/>
      <c r="G94" s="115" t="s">
        <v>536</v>
      </c>
      <c r="I94" s="318"/>
      <c r="J94" s="480">
        <v>0</v>
      </c>
      <c r="K94" s="480">
        <v>26011.08</v>
      </c>
      <c r="L94" s="480">
        <f>SUM(L93:L93)</f>
        <v>27104</v>
      </c>
      <c r="M94" s="480">
        <f>SUM(M93:M93)</f>
        <v>28107</v>
      </c>
      <c r="N94" s="480">
        <f>SUM(N93:N93)</f>
        <v>29147</v>
      </c>
      <c r="O94" s="480">
        <f>SUM(O93:O93)</f>
        <v>30225</v>
      </c>
    </row>
    <row r="95" spans="1:23" ht="12.75" customHeight="1" thickTop="1" x14ac:dyDescent="0.25">
      <c r="D95" s="340"/>
      <c r="E95" s="340"/>
      <c r="F95" s="340"/>
      <c r="I95" s="318"/>
      <c r="J95" s="344"/>
      <c r="K95" s="344"/>
      <c r="L95" s="344"/>
      <c r="M95" s="344"/>
      <c r="N95" s="344"/>
      <c r="O95" s="344"/>
    </row>
    <row r="96" spans="1:23" ht="12.75" customHeight="1" x14ac:dyDescent="0.25">
      <c r="D96" s="333">
        <v>625902</v>
      </c>
      <c r="E96" s="331"/>
      <c r="F96" s="331"/>
      <c r="G96" s="381" t="s">
        <v>3201</v>
      </c>
      <c r="I96" s="318"/>
      <c r="J96" s="317"/>
      <c r="K96" s="317"/>
      <c r="L96" s="317"/>
      <c r="M96" s="317"/>
      <c r="N96" s="317"/>
      <c r="O96" s="317"/>
    </row>
    <row r="97" spans="1:17" ht="12.75" customHeight="1" x14ac:dyDescent="0.25">
      <c r="D97" s="333"/>
      <c r="E97" s="331"/>
      <c r="F97" s="331"/>
      <c r="G97" s="383" t="s">
        <v>533</v>
      </c>
      <c r="I97" s="318"/>
      <c r="J97" s="317"/>
      <c r="K97" s="317"/>
      <c r="L97" s="317"/>
      <c r="M97" s="317"/>
      <c r="N97" s="317"/>
      <c r="O97" s="317"/>
    </row>
    <row r="98" spans="1:17" ht="12.75" customHeight="1" x14ac:dyDescent="0.25">
      <c r="A98" s="336">
        <f>+D96</f>
        <v>625902</v>
      </c>
      <c r="B98" s="115" t="str">
        <f>G91</f>
        <v>Directe toerekening evenementen</v>
      </c>
      <c r="D98" s="337">
        <v>41100</v>
      </c>
      <c r="E98" s="337"/>
      <c r="F98" s="337"/>
      <c r="G98" s="115" t="s">
        <v>541</v>
      </c>
      <c r="I98" s="318"/>
      <c r="J98" s="318">
        <v>142055.76999999999</v>
      </c>
      <c r="K98" s="318">
        <v>154759</v>
      </c>
      <c r="L98" s="318">
        <f t="shared" ref="L98:M98" si="14">+L206</f>
        <v>161363</v>
      </c>
      <c r="M98" s="318">
        <f t="shared" si="14"/>
        <v>167444</v>
      </c>
      <c r="N98" s="318">
        <f t="shared" ref="N98:O98" si="15">+N206</f>
        <v>173754</v>
      </c>
      <c r="O98" s="318">
        <f t="shared" si="15"/>
        <v>180183</v>
      </c>
    </row>
    <row r="99" spans="1:17" ht="12.75" customHeight="1" thickBot="1" x14ac:dyDescent="0.3">
      <c r="D99" s="333"/>
      <c r="E99" s="331"/>
      <c r="F99" s="331"/>
      <c r="G99" s="115" t="s">
        <v>536</v>
      </c>
      <c r="I99" s="318"/>
      <c r="J99" s="480">
        <v>142055.76999999999</v>
      </c>
      <c r="K99" s="480">
        <v>154759</v>
      </c>
      <c r="L99" s="480">
        <f>SUM(L98:L98)</f>
        <v>161363</v>
      </c>
      <c r="M99" s="480">
        <f>SUM(M98:M98)</f>
        <v>167444</v>
      </c>
      <c r="N99" s="480">
        <f>SUM(N98:N98)</f>
        <v>173754</v>
      </c>
      <c r="O99" s="480">
        <f>SUM(O98:O98)</f>
        <v>180183</v>
      </c>
    </row>
    <row r="100" spans="1:17" ht="12.75" customHeight="1" thickTop="1" x14ac:dyDescent="0.25">
      <c r="A100" s="301"/>
      <c r="D100" s="340"/>
      <c r="E100" s="340"/>
      <c r="F100" s="340"/>
      <c r="G100" s="319"/>
      <c r="I100" s="318"/>
      <c r="J100" s="317"/>
      <c r="K100" s="317"/>
      <c r="L100" s="317"/>
      <c r="M100" s="317"/>
      <c r="N100" s="317"/>
      <c r="O100" s="317"/>
    </row>
    <row r="101" spans="1:17" ht="12.75" customHeight="1" x14ac:dyDescent="0.25">
      <c r="A101" s="301"/>
      <c r="D101" s="333">
        <v>625002</v>
      </c>
      <c r="E101" s="331"/>
      <c r="F101" s="331"/>
      <c r="G101" s="381" t="s">
        <v>3202</v>
      </c>
      <c r="J101" s="1776"/>
      <c r="K101" s="1776"/>
      <c r="L101" s="1776"/>
      <c r="M101" s="1776"/>
      <c r="N101" s="1776"/>
      <c r="O101" s="1776"/>
    </row>
    <row r="102" spans="1:17" ht="12.75" customHeight="1" x14ac:dyDescent="0.25">
      <c r="A102" s="301"/>
      <c r="D102" s="333"/>
      <c r="E102" s="331"/>
      <c r="F102" s="331"/>
      <c r="G102" s="383" t="s">
        <v>533</v>
      </c>
      <c r="J102" s="335"/>
      <c r="K102" s="335"/>
      <c r="L102" s="335"/>
      <c r="M102" s="335"/>
      <c r="N102" s="335"/>
      <c r="O102" s="335"/>
    </row>
    <row r="103" spans="1:17" ht="12.75" customHeight="1" x14ac:dyDescent="0.25">
      <c r="A103" s="336">
        <f>+D101</f>
        <v>625002</v>
      </c>
      <c r="B103" s="115" t="str">
        <f>G101</f>
        <v>Culturele activiteiten</v>
      </c>
      <c r="D103" s="337">
        <v>43802</v>
      </c>
      <c r="E103" s="337"/>
      <c r="F103" s="337"/>
      <c r="G103" s="115" t="s">
        <v>991</v>
      </c>
      <c r="J103" s="317">
        <v>1966</v>
      </c>
      <c r="K103" s="317">
        <v>2017</v>
      </c>
      <c r="L103" s="317">
        <f>ROUND(K103*T$2,0)</f>
        <v>2059</v>
      </c>
      <c r="M103" s="317">
        <f>ROUND(L103*U$2,0)</f>
        <v>2106</v>
      </c>
      <c r="N103" s="317">
        <f>ROUND(M103*V$2,0)</f>
        <v>2154</v>
      </c>
      <c r="O103" s="317">
        <f>ROUND(N103*W$2,0)</f>
        <v>2204</v>
      </c>
    </row>
    <row r="104" spans="1:17" ht="12.75" customHeight="1" x14ac:dyDescent="0.25">
      <c r="A104" s="336">
        <f>+D101</f>
        <v>625002</v>
      </c>
      <c r="B104" s="115" t="str">
        <f>G101</f>
        <v>Culturele activiteiten</v>
      </c>
      <c r="D104" s="337">
        <v>43812</v>
      </c>
      <c r="E104" s="337"/>
      <c r="F104" s="337"/>
      <c r="G104" s="319" t="s">
        <v>535</v>
      </c>
      <c r="J104" s="317">
        <v>1092</v>
      </c>
      <c r="K104" s="318">
        <v>1120</v>
      </c>
      <c r="L104" s="318">
        <f>L212</f>
        <v>1144</v>
      </c>
      <c r="M104" s="318">
        <f>M212</f>
        <v>1170</v>
      </c>
      <c r="N104" s="318">
        <f>N212</f>
        <v>1197</v>
      </c>
      <c r="O104" s="318">
        <f>O212</f>
        <v>1225</v>
      </c>
    </row>
    <row r="105" spans="1:17" ht="12.75" customHeight="1" thickBot="1" x14ac:dyDescent="0.3">
      <c r="A105" s="301"/>
      <c r="D105" s="340"/>
      <c r="E105" s="340"/>
      <c r="F105" s="340"/>
      <c r="G105" s="115" t="s">
        <v>536</v>
      </c>
      <c r="J105" s="342">
        <v>3058</v>
      </c>
      <c r="K105" s="342">
        <v>3137</v>
      </c>
      <c r="L105" s="342">
        <f t="shared" ref="L105:M105" si="16">SUM(L102:L104)</f>
        <v>3203</v>
      </c>
      <c r="M105" s="342">
        <f t="shared" si="16"/>
        <v>3276</v>
      </c>
      <c r="N105" s="342">
        <f t="shared" ref="N105:O105" si="17">SUM(N102:N104)</f>
        <v>3351</v>
      </c>
      <c r="O105" s="342">
        <f t="shared" si="17"/>
        <v>3429</v>
      </c>
    </row>
    <row r="106" spans="1:17" ht="12.75" customHeight="1" thickTop="1" x14ac:dyDescent="0.25">
      <c r="A106" s="301"/>
      <c r="D106" s="340"/>
      <c r="E106" s="340"/>
      <c r="F106" s="340"/>
      <c r="J106" s="344"/>
      <c r="K106" s="344"/>
      <c r="L106" s="344"/>
      <c r="M106" s="344"/>
      <c r="N106" s="344"/>
      <c r="O106" s="344"/>
    </row>
    <row r="107" spans="1:17" ht="12.75" customHeight="1" x14ac:dyDescent="0.25">
      <c r="A107" s="301"/>
      <c r="D107" s="340"/>
      <c r="E107" s="340"/>
      <c r="F107" s="340"/>
      <c r="J107" s="317"/>
      <c r="K107" s="317"/>
      <c r="L107" s="317"/>
      <c r="M107" s="317"/>
      <c r="N107" s="317"/>
      <c r="O107" s="317"/>
    </row>
    <row r="108" spans="1:17" ht="12.75" customHeight="1" x14ac:dyDescent="0.25">
      <c r="D108" s="333">
        <v>625001</v>
      </c>
      <c r="E108" s="331"/>
      <c r="F108" s="331"/>
      <c r="G108" s="381" t="s">
        <v>3200</v>
      </c>
      <c r="I108" s="114"/>
      <c r="J108" s="317"/>
      <c r="K108" s="317"/>
      <c r="L108" s="317"/>
      <c r="M108" s="317"/>
      <c r="N108" s="317"/>
      <c r="O108" s="317"/>
    </row>
    <row r="109" spans="1:17" ht="12.75" customHeight="1" x14ac:dyDescent="0.25">
      <c r="D109" s="340"/>
      <c r="E109" s="340"/>
      <c r="F109" s="340"/>
      <c r="G109" s="383" t="s">
        <v>554</v>
      </c>
      <c r="I109" s="318"/>
      <c r="J109" s="317"/>
      <c r="K109" s="317"/>
      <c r="L109" s="317"/>
      <c r="M109" s="317"/>
      <c r="N109" s="317"/>
      <c r="O109" s="317"/>
    </row>
    <row r="110" spans="1:17" ht="12.75" customHeight="1" x14ac:dyDescent="0.25">
      <c r="A110" s="336">
        <f>+D108</f>
        <v>625001</v>
      </c>
      <c r="B110" s="115" t="str">
        <f>G108</f>
        <v>Kermis en kermisterrein</v>
      </c>
      <c r="D110" s="337">
        <v>83700</v>
      </c>
      <c r="E110" s="337"/>
      <c r="F110" s="337"/>
      <c r="G110" s="115" t="s">
        <v>3203</v>
      </c>
      <c r="I110" s="318"/>
      <c r="J110" s="318">
        <v>-409200</v>
      </c>
      <c r="K110" s="318">
        <v>-419839</v>
      </c>
      <c r="L110" s="318">
        <f t="shared" ref="L110:M110" si="18">L222</f>
        <v>-428656</v>
      </c>
      <c r="M110" s="318">
        <f t="shared" si="18"/>
        <v>-438515</v>
      </c>
      <c r="N110" s="318">
        <f t="shared" ref="N110:O110" si="19">N222</f>
        <v>-448601</v>
      </c>
      <c r="O110" s="318">
        <f t="shared" si="19"/>
        <v>-458919</v>
      </c>
    </row>
    <row r="111" spans="1:17" ht="12.75" customHeight="1" thickBot="1" x14ac:dyDescent="0.3">
      <c r="D111" s="340"/>
      <c r="E111" s="340"/>
      <c r="F111" s="340"/>
      <c r="G111" s="115" t="s">
        <v>536</v>
      </c>
      <c r="I111" s="318"/>
      <c r="J111" s="342">
        <v>-409200</v>
      </c>
      <c r="K111" s="342">
        <v>-419839</v>
      </c>
      <c r="L111" s="342">
        <f>SUM(L110:L110)</f>
        <v>-428656</v>
      </c>
      <c r="M111" s="342">
        <f>SUM(M110:M110)</f>
        <v>-438515</v>
      </c>
      <c r="N111" s="342">
        <f>SUM(N110:N110)</f>
        <v>-448601</v>
      </c>
      <c r="O111" s="342">
        <f>SUM(O110:O110)</f>
        <v>-458919</v>
      </c>
      <c r="Q111" s="114"/>
    </row>
    <row r="112" spans="1:17" ht="12.75" customHeight="1" thickTop="1" x14ac:dyDescent="0.25">
      <c r="A112" s="301"/>
      <c r="D112" s="340"/>
      <c r="E112" s="340"/>
      <c r="F112" s="340"/>
      <c r="J112" s="317"/>
      <c r="K112" s="317"/>
      <c r="L112" s="317"/>
      <c r="M112" s="317"/>
      <c r="N112" s="317"/>
      <c r="O112" s="317"/>
    </row>
    <row r="113" spans="1:15" ht="12.75" customHeight="1" x14ac:dyDescent="0.3">
      <c r="A113" s="27"/>
      <c r="D113" s="333">
        <v>625003</v>
      </c>
      <c r="E113" s="331"/>
      <c r="F113" s="331"/>
      <c r="G113" s="332" t="s">
        <v>3204</v>
      </c>
      <c r="I113" s="318"/>
      <c r="J113" s="317"/>
      <c r="K113" s="317"/>
      <c r="L113" s="317"/>
      <c r="M113" s="317"/>
      <c r="N113" s="317"/>
      <c r="O113" s="317"/>
    </row>
    <row r="114" spans="1:15" ht="12.75" customHeight="1" x14ac:dyDescent="0.3">
      <c r="A114" s="27"/>
      <c r="D114" s="340"/>
      <c r="E114" s="340"/>
      <c r="F114" s="340"/>
      <c r="G114" s="334" t="s">
        <v>554</v>
      </c>
      <c r="I114" s="318"/>
      <c r="J114" s="317"/>
      <c r="K114" s="317"/>
      <c r="L114" s="317"/>
      <c r="M114" s="317"/>
      <c r="N114" s="317"/>
      <c r="O114" s="317"/>
    </row>
    <row r="115" spans="1:15" ht="12.75" customHeight="1" x14ac:dyDescent="0.25">
      <c r="A115" s="229">
        <f>+D113</f>
        <v>625003</v>
      </c>
      <c r="B115" s="115" t="str">
        <f>G113</f>
        <v>Toeristenbelasting</v>
      </c>
      <c r="D115" s="337">
        <v>82210</v>
      </c>
      <c r="E115" s="337"/>
      <c r="F115" s="337"/>
      <c r="G115" s="319" t="s">
        <v>1964</v>
      </c>
      <c r="I115" s="318"/>
      <c r="J115" s="317">
        <v>-452499</v>
      </c>
      <c r="K115" s="317">
        <v>-455180</v>
      </c>
      <c r="L115" s="317">
        <f t="shared" ref="L115:M115" si="20">L230</f>
        <v>-459041</v>
      </c>
      <c r="M115" s="317">
        <f t="shared" si="20"/>
        <v>-462815</v>
      </c>
      <c r="N115" s="317">
        <f t="shared" ref="N115:O115" si="21">N230</f>
        <v>-466703</v>
      </c>
      <c r="O115" s="317">
        <f t="shared" si="21"/>
        <v>-470709</v>
      </c>
    </row>
    <row r="116" spans="1:15" ht="12.75" customHeight="1" thickBot="1" x14ac:dyDescent="0.35">
      <c r="A116" s="27"/>
      <c r="D116" s="340"/>
      <c r="E116" s="340"/>
      <c r="F116" s="340"/>
      <c r="G116" s="319" t="s">
        <v>536</v>
      </c>
      <c r="I116" s="318"/>
      <c r="J116" s="342">
        <v>-452499</v>
      </c>
      <c r="K116" s="342">
        <v>-455180</v>
      </c>
      <c r="L116" s="342">
        <f>SUM(L114:L115)</f>
        <v>-459041</v>
      </c>
      <c r="M116" s="342">
        <f>SUM(M114:M115)</f>
        <v>-462815</v>
      </c>
      <c r="N116" s="342">
        <f>SUM(N114:N115)</f>
        <v>-466703</v>
      </c>
      <c r="O116" s="342">
        <f>SUM(O114:O115)</f>
        <v>-470709</v>
      </c>
    </row>
    <row r="117" spans="1:15" ht="12.75" customHeight="1" thickTop="1" x14ac:dyDescent="0.3">
      <c r="A117" s="27"/>
      <c r="D117" s="167"/>
      <c r="E117" s="167"/>
      <c r="F117" s="167"/>
      <c r="G117" s="168"/>
      <c r="H117" s="149"/>
      <c r="I117" s="156"/>
      <c r="J117" s="142"/>
      <c r="K117" s="142"/>
      <c r="L117" s="142"/>
      <c r="M117" s="142"/>
      <c r="N117" s="142"/>
      <c r="O117" s="142"/>
    </row>
    <row r="118" spans="1:15" ht="12.75" customHeight="1" x14ac:dyDescent="0.25">
      <c r="D118" s="384"/>
      <c r="E118" s="384"/>
      <c r="F118" s="384"/>
      <c r="I118" s="114"/>
    </row>
    <row r="119" spans="1:15" ht="12.75" customHeight="1" x14ac:dyDescent="0.25">
      <c r="D119" s="384"/>
      <c r="E119" s="384"/>
      <c r="F119" s="384"/>
      <c r="H119" s="394"/>
      <c r="I119" s="43"/>
    </row>
    <row r="120" spans="1:15" ht="12.75" customHeight="1" x14ac:dyDescent="0.25">
      <c r="D120" s="143"/>
      <c r="I120" s="114"/>
      <c r="J120" s="114"/>
      <c r="K120" s="114"/>
      <c r="L120" s="114"/>
      <c r="M120" s="114"/>
      <c r="N120" s="114"/>
      <c r="O120" s="114"/>
    </row>
    <row r="121" spans="1:15" ht="12.75" customHeight="1" x14ac:dyDescent="0.25">
      <c r="D121" s="393">
        <v>625001</v>
      </c>
      <c r="E121" s="410" t="s">
        <v>3200</v>
      </c>
      <c r="F121" s="115"/>
      <c r="G121" s="114"/>
      <c r="H121" s="114"/>
      <c r="I121" s="114"/>
      <c r="J121" s="407">
        <v>2025</v>
      </c>
      <c r="K121" s="407">
        <v>2026</v>
      </c>
      <c r="L121" s="407">
        <v>2027</v>
      </c>
      <c r="M121" s="407">
        <v>2028</v>
      </c>
      <c r="N121" s="407">
        <v>2029</v>
      </c>
      <c r="O121" s="407">
        <v>2030</v>
      </c>
    </row>
    <row r="122" spans="1:15" ht="12.75" customHeight="1" x14ac:dyDescent="0.25">
      <c r="D122" s="143">
        <v>43511</v>
      </c>
      <c r="E122" s="114" t="s">
        <v>3205</v>
      </c>
      <c r="F122" s="115"/>
      <c r="G122" s="114"/>
      <c r="H122" s="114"/>
      <c r="I122" s="114"/>
      <c r="J122" s="486"/>
      <c r="K122" s="486"/>
      <c r="L122" s="486"/>
      <c r="M122" s="486"/>
      <c r="N122" s="486"/>
      <c r="O122" s="486"/>
    </row>
    <row r="123" spans="1:15" ht="12.75" customHeight="1" x14ac:dyDescent="0.25">
      <c r="D123" s="115"/>
      <c r="E123" s="115" t="s">
        <v>3206</v>
      </c>
      <c r="F123" s="115"/>
      <c r="G123" s="114"/>
      <c r="H123" s="114"/>
      <c r="I123" s="114"/>
      <c r="J123" s="114">
        <v>2332</v>
      </c>
      <c r="K123" s="114">
        <v>2393</v>
      </c>
      <c r="L123" s="114">
        <f t="shared" ref="L123:O125" si="22">ROUND(K123*T$2,0)</f>
        <v>2443</v>
      </c>
      <c r="M123" s="114">
        <f t="shared" si="22"/>
        <v>2499</v>
      </c>
      <c r="N123" s="114">
        <f t="shared" si="22"/>
        <v>2556</v>
      </c>
      <c r="O123" s="114">
        <f t="shared" si="22"/>
        <v>2615</v>
      </c>
    </row>
    <row r="124" spans="1:15" ht="12.75" customHeight="1" x14ac:dyDescent="0.25">
      <c r="D124" s="143"/>
      <c r="E124" s="115" t="s">
        <v>3207</v>
      </c>
      <c r="F124" s="115"/>
      <c r="G124" s="114"/>
      <c r="H124" s="114"/>
      <c r="I124" s="114"/>
      <c r="J124" s="114">
        <v>5051</v>
      </c>
      <c r="K124" s="114">
        <v>5182</v>
      </c>
      <c r="L124" s="114">
        <f t="shared" si="22"/>
        <v>5291</v>
      </c>
      <c r="M124" s="114">
        <f t="shared" si="22"/>
        <v>5413</v>
      </c>
      <c r="N124" s="114">
        <f t="shared" si="22"/>
        <v>5537</v>
      </c>
      <c r="O124" s="114">
        <f t="shared" si="22"/>
        <v>5664</v>
      </c>
    </row>
    <row r="125" spans="1:15" ht="12.75" customHeight="1" x14ac:dyDescent="0.25">
      <c r="D125" s="143"/>
      <c r="E125" s="115" t="s">
        <v>3208</v>
      </c>
      <c r="F125" s="115"/>
      <c r="G125" s="114"/>
      <c r="H125" s="114"/>
      <c r="I125" s="114"/>
      <c r="J125" s="114">
        <v>26018</v>
      </c>
      <c r="K125" s="114">
        <v>26694</v>
      </c>
      <c r="L125" s="114">
        <f t="shared" si="22"/>
        <v>27255</v>
      </c>
      <c r="M125" s="114">
        <f t="shared" si="22"/>
        <v>27882</v>
      </c>
      <c r="N125" s="114">
        <f t="shared" si="22"/>
        <v>28523</v>
      </c>
      <c r="O125" s="114">
        <f t="shared" si="22"/>
        <v>29179</v>
      </c>
    </row>
    <row r="126" spans="1:15" ht="12.75" customHeight="1" thickBot="1" x14ac:dyDescent="0.3">
      <c r="D126" s="143"/>
      <c r="E126" s="115" t="str">
        <f>"Totaal "&amp;D122</f>
        <v>Totaal 43511</v>
      </c>
      <c r="F126" s="115"/>
      <c r="G126" s="114"/>
      <c r="H126" s="114"/>
      <c r="I126" s="114"/>
      <c r="J126" s="1744">
        <v>33401</v>
      </c>
      <c r="K126" s="1744">
        <v>34269</v>
      </c>
      <c r="L126" s="1744">
        <f>SUM(L123:L125)</f>
        <v>34989</v>
      </c>
      <c r="M126" s="1744">
        <f>SUM(M123:M125)</f>
        <v>35794</v>
      </c>
      <c r="N126" s="1744">
        <f>SUM(N123:N125)</f>
        <v>36616</v>
      </c>
      <c r="O126" s="1744">
        <f>SUM(O123:O125)</f>
        <v>37458</v>
      </c>
    </row>
    <row r="127" spans="1:15" ht="12.75" customHeight="1" thickTop="1" x14ac:dyDescent="0.25">
      <c r="D127" s="143"/>
      <c r="E127" s="115"/>
      <c r="F127" s="115"/>
      <c r="G127" s="114"/>
      <c r="H127" s="114"/>
      <c r="I127" s="114"/>
      <c r="J127" s="151"/>
      <c r="K127" s="151"/>
      <c r="L127" s="151"/>
      <c r="M127" s="151"/>
      <c r="N127" s="151"/>
      <c r="O127" s="151"/>
    </row>
    <row r="128" spans="1:15" ht="12.75" customHeight="1" x14ac:dyDescent="0.25">
      <c r="D128" s="143"/>
      <c r="E128" s="115"/>
      <c r="F128" s="115"/>
      <c r="G128" s="114"/>
      <c r="H128" s="114"/>
      <c r="I128" s="114"/>
      <c r="J128" s="114"/>
      <c r="K128" s="114"/>
      <c r="L128" s="114"/>
      <c r="M128" s="114"/>
      <c r="N128" s="114"/>
      <c r="O128" s="114"/>
    </row>
    <row r="129" spans="5:15" ht="12.75" customHeight="1" x14ac:dyDescent="0.25">
      <c r="E129" s="308" t="s">
        <v>3209</v>
      </c>
      <c r="F129" s="115"/>
      <c r="J129" s="394"/>
      <c r="K129" s="394"/>
      <c r="L129" s="394"/>
      <c r="M129" s="394"/>
      <c r="N129" s="394"/>
      <c r="O129" s="394"/>
    </row>
    <row r="130" spans="5:15" ht="12.75" customHeight="1" x14ac:dyDescent="0.25">
      <c r="E130" s="308" t="s">
        <v>3210</v>
      </c>
      <c r="F130" s="115"/>
      <c r="J130" s="394">
        <v>53100</v>
      </c>
      <c r="K130" s="394">
        <v>53100</v>
      </c>
      <c r="L130" s="394">
        <v>53100</v>
      </c>
      <c r="M130" s="394">
        <v>53101</v>
      </c>
      <c r="N130" s="394">
        <v>53101</v>
      </c>
      <c r="O130" s="394">
        <v>53101</v>
      </c>
    </row>
    <row r="131" spans="5:15" ht="12.75" customHeight="1" x14ac:dyDescent="0.25">
      <c r="E131" s="308" t="s">
        <v>3211</v>
      </c>
      <c r="F131" s="115"/>
      <c r="J131" s="394">
        <v>52144</v>
      </c>
      <c r="K131" s="394">
        <v>52144</v>
      </c>
      <c r="L131" s="394">
        <v>52144</v>
      </c>
      <c r="M131" s="394">
        <v>52145</v>
      </c>
      <c r="N131" s="394">
        <v>52145</v>
      </c>
      <c r="O131" s="394">
        <v>52145</v>
      </c>
    </row>
    <row r="132" spans="5:15" ht="12.75" customHeight="1" x14ac:dyDescent="0.25">
      <c r="E132" s="308" t="s">
        <v>3212</v>
      </c>
      <c r="F132" s="115"/>
      <c r="J132" s="394"/>
      <c r="K132" s="394"/>
      <c r="L132" s="394"/>
      <c r="M132" s="394"/>
      <c r="N132" s="394"/>
      <c r="O132" s="394"/>
    </row>
    <row r="133" spans="5:15" ht="12.75" customHeight="1" x14ac:dyDescent="0.25">
      <c r="E133" s="308" t="s">
        <v>3213</v>
      </c>
      <c r="F133" s="115"/>
      <c r="J133" s="394">
        <v>26333</v>
      </c>
      <c r="K133" s="394">
        <v>26333</v>
      </c>
      <c r="L133" s="394">
        <v>26333</v>
      </c>
      <c r="M133" s="394">
        <v>26334</v>
      </c>
      <c r="N133" s="394">
        <v>26334</v>
      </c>
      <c r="O133" s="394">
        <v>26334</v>
      </c>
    </row>
    <row r="134" spans="5:15" ht="12.75" customHeight="1" x14ac:dyDescent="0.25">
      <c r="E134" s="308" t="s">
        <v>3214</v>
      </c>
      <c r="F134" s="115"/>
      <c r="J134" s="394"/>
      <c r="K134" s="394"/>
      <c r="L134" s="394"/>
      <c r="M134" s="394"/>
      <c r="N134" s="394"/>
      <c r="O134" s="394"/>
    </row>
    <row r="135" spans="5:15" ht="12.75" customHeight="1" x14ac:dyDescent="0.25">
      <c r="E135" s="308" t="s">
        <v>3215</v>
      </c>
      <c r="F135" s="115"/>
      <c r="J135" s="394">
        <v>9005</v>
      </c>
      <c r="K135" s="394">
        <v>9005</v>
      </c>
      <c r="L135" s="394">
        <v>9005</v>
      </c>
      <c r="M135" s="394">
        <v>9006</v>
      </c>
      <c r="N135" s="394">
        <v>9006</v>
      </c>
      <c r="O135" s="394">
        <v>9006</v>
      </c>
    </row>
    <row r="136" spans="5:15" ht="12.75" customHeight="1" x14ac:dyDescent="0.25">
      <c r="E136" s="308" t="s">
        <v>3216</v>
      </c>
      <c r="F136" s="115"/>
      <c r="J136" s="394"/>
      <c r="K136" s="394"/>
      <c r="L136" s="394"/>
      <c r="M136" s="394"/>
      <c r="N136" s="394"/>
      <c r="O136" s="394"/>
    </row>
    <row r="137" spans="5:15" ht="12.75" customHeight="1" x14ac:dyDescent="0.25">
      <c r="E137" s="308" t="s">
        <v>3217</v>
      </c>
      <c r="F137" s="115"/>
      <c r="J137" s="394">
        <v>0</v>
      </c>
      <c r="K137" s="394">
        <v>0</v>
      </c>
      <c r="L137" s="394">
        <v>0</v>
      </c>
      <c r="M137" s="394">
        <v>1</v>
      </c>
      <c r="N137" s="394">
        <v>1</v>
      </c>
      <c r="O137" s="394">
        <v>1</v>
      </c>
    </row>
    <row r="138" spans="5:15" ht="12.75" customHeight="1" x14ac:dyDescent="0.25">
      <c r="E138" s="308" t="s">
        <v>3218</v>
      </c>
      <c r="F138" s="115"/>
      <c r="J138" s="394">
        <v>0</v>
      </c>
      <c r="K138" s="394">
        <v>0</v>
      </c>
      <c r="L138" s="394">
        <v>0</v>
      </c>
      <c r="M138" s="394">
        <v>1</v>
      </c>
      <c r="N138" s="394">
        <v>1</v>
      </c>
      <c r="O138" s="394">
        <v>1</v>
      </c>
    </row>
    <row r="139" spans="5:15" ht="12.75" customHeight="1" x14ac:dyDescent="0.25">
      <c r="E139" s="308" t="s">
        <v>3219</v>
      </c>
      <c r="F139" s="115"/>
      <c r="J139" s="394">
        <v>0</v>
      </c>
      <c r="K139" s="394">
        <v>0</v>
      </c>
      <c r="L139" s="394">
        <v>0</v>
      </c>
      <c r="M139" s="394">
        <v>1</v>
      </c>
      <c r="N139" s="394">
        <v>1</v>
      </c>
      <c r="O139" s="394">
        <v>1</v>
      </c>
    </row>
    <row r="140" spans="5:15" ht="12.75" customHeight="1" x14ac:dyDescent="0.25">
      <c r="E140" s="308" t="s">
        <v>3220</v>
      </c>
      <c r="F140" s="115"/>
      <c r="J140" s="394"/>
      <c r="K140" s="394"/>
      <c r="L140" s="394"/>
      <c r="M140" s="394"/>
      <c r="N140" s="394"/>
      <c r="O140" s="394"/>
    </row>
    <row r="141" spans="5:15" ht="12.75" customHeight="1" x14ac:dyDescent="0.25">
      <c r="E141" s="308" t="s">
        <v>3221</v>
      </c>
      <c r="F141" s="115"/>
      <c r="J141" s="394">
        <v>14305</v>
      </c>
      <c r="K141" s="394">
        <v>14305</v>
      </c>
      <c r="L141" s="394">
        <v>14305</v>
      </c>
      <c r="M141" s="394">
        <v>14306</v>
      </c>
      <c r="N141" s="394">
        <v>14306</v>
      </c>
      <c r="O141" s="394">
        <v>14306</v>
      </c>
    </row>
    <row r="142" spans="5:15" ht="12.75" customHeight="1" x14ac:dyDescent="0.25">
      <c r="E142" s="308" t="s">
        <v>3222</v>
      </c>
      <c r="F142" s="115"/>
      <c r="J142" s="394">
        <v>500</v>
      </c>
      <c r="K142" s="394">
        <v>500</v>
      </c>
      <c r="L142" s="394">
        <v>500</v>
      </c>
      <c r="M142" s="394">
        <v>501</v>
      </c>
      <c r="N142" s="394">
        <v>501</v>
      </c>
      <c r="O142" s="394">
        <v>501</v>
      </c>
    </row>
    <row r="143" spans="5:15" ht="12.75" customHeight="1" x14ac:dyDescent="0.25">
      <c r="E143" s="308" t="s">
        <v>3223</v>
      </c>
      <c r="F143" s="115"/>
      <c r="J143" s="394"/>
      <c r="K143" s="394"/>
      <c r="L143" s="394"/>
      <c r="M143" s="394"/>
      <c r="N143" s="394"/>
      <c r="O143" s="394"/>
    </row>
    <row r="144" spans="5:15" ht="12.75" customHeight="1" x14ac:dyDescent="0.25">
      <c r="E144" s="308" t="s">
        <v>3224</v>
      </c>
      <c r="F144" s="115"/>
      <c r="J144" s="394">
        <v>5310</v>
      </c>
      <c r="K144" s="394">
        <v>5310</v>
      </c>
      <c r="L144" s="394">
        <v>5310</v>
      </c>
      <c r="M144" s="394">
        <v>5311</v>
      </c>
      <c r="N144" s="394">
        <v>5311</v>
      </c>
      <c r="O144" s="394">
        <v>5311</v>
      </c>
    </row>
    <row r="145" spans="5:15" ht="12.75" customHeight="1" x14ac:dyDescent="0.25">
      <c r="E145" s="308" t="s">
        <v>3225</v>
      </c>
      <c r="F145" s="115"/>
      <c r="J145" s="394">
        <v>1526</v>
      </c>
      <c r="K145" s="394">
        <v>1526</v>
      </c>
      <c r="L145" s="394">
        <v>1526</v>
      </c>
      <c r="M145" s="394">
        <v>1527</v>
      </c>
      <c r="N145" s="394">
        <v>1527</v>
      </c>
      <c r="O145" s="394">
        <v>1527</v>
      </c>
    </row>
    <row r="146" spans="5:15" ht="12.75" customHeight="1" x14ac:dyDescent="0.25">
      <c r="E146" s="308" t="s">
        <v>3226</v>
      </c>
      <c r="F146" s="115"/>
      <c r="J146" s="394">
        <v>450</v>
      </c>
      <c r="K146" s="394">
        <v>450</v>
      </c>
      <c r="L146" s="394">
        <v>450</v>
      </c>
      <c r="M146" s="394">
        <v>451</v>
      </c>
      <c r="N146" s="394">
        <v>451</v>
      </c>
      <c r="O146" s="394">
        <v>451</v>
      </c>
    </row>
    <row r="147" spans="5:15" ht="12.75" customHeight="1" x14ac:dyDescent="0.25">
      <c r="E147" s="308" t="s">
        <v>3227</v>
      </c>
      <c r="F147" s="115"/>
      <c r="J147" s="394"/>
      <c r="K147" s="394"/>
      <c r="L147" s="394"/>
      <c r="M147" s="394"/>
      <c r="N147" s="394"/>
      <c r="O147" s="394"/>
    </row>
    <row r="148" spans="5:15" ht="12.75" customHeight="1" x14ac:dyDescent="0.25">
      <c r="E148" s="308" t="s">
        <v>3228</v>
      </c>
      <c r="F148" s="115"/>
      <c r="J148" s="394">
        <v>2837.5</v>
      </c>
      <c r="K148" s="394">
        <v>2837.5</v>
      </c>
      <c r="L148" s="394">
        <v>2837.5</v>
      </c>
      <c r="M148" s="394">
        <v>2838.5</v>
      </c>
      <c r="N148" s="394">
        <v>2838.5</v>
      </c>
      <c r="O148" s="394">
        <v>2838.5</v>
      </c>
    </row>
    <row r="149" spans="5:15" ht="12.75" customHeight="1" x14ac:dyDescent="0.25">
      <c r="E149" s="308" t="s">
        <v>3229</v>
      </c>
      <c r="F149" s="115"/>
      <c r="J149" s="394"/>
      <c r="K149" s="394"/>
      <c r="L149" s="394"/>
      <c r="M149" s="394"/>
      <c r="N149" s="394"/>
      <c r="O149" s="394"/>
    </row>
    <row r="150" spans="5:15" ht="12.75" customHeight="1" x14ac:dyDescent="0.25">
      <c r="E150" s="308" t="s">
        <v>3230</v>
      </c>
      <c r="F150" s="115"/>
      <c r="J150" s="394"/>
      <c r="K150" s="394"/>
      <c r="L150" s="394"/>
      <c r="M150" s="394"/>
      <c r="N150" s="394"/>
      <c r="O150" s="394"/>
    </row>
    <row r="151" spans="5:15" ht="12.75" customHeight="1" x14ac:dyDescent="0.25">
      <c r="E151" s="308" t="s">
        <v>1869</v>
      </c>
      <c r="F151" s="115"/>
      <c r="J151" s="394">
        <v>11138</v>
      </c>
      <c r="K151" s="394">
        <v>11138</v>
      </c>
      <c r="L151" s="394">
        <v>11138</v>
      </c>
      <c r="M151" s="394">
        <v>11139</v>
      </c>
      <c r="N151" s="394">
        <v>11139</v>
      </c>
      <c r="O151" s="394">
        <v>11139</v>
      </c>
    </row>
    <row r="152" spans="5:15" ht="12.75" customHeight="1" x14ac:dyDescent="0.25">
      <c r="E152" s="308" t="s">
        <v>3231</v>
      </c>
      <c r="F152" s="115"/>
      <c r="J152" s="394">
        <v>2095</v>
      </c>
      <c r="K152" s="394">
        <v>2095</v>
      </c>
      <c r="L152" s="394">
        <v>2095</v>
      </c>
      <c r="M152" s="394">
        <v>2096</v>
      </c>
      <c r="N152" s="394">
        <v>2096</v>
      </c>
      <c r="O152" s="394">
        <v>2096</v>
      </c>
    </row>
    <row r="153" spans="5:15" ht="12.75" customHeight="1" x14ac:dyDescent="0.25">
      <c r="E153" s="308" t="s">
        <v>3232</v>
      </c>
      <c r="F153" s="115"/>
      <c r="J153" s="394"/>
      <c r="K153" s="394"/>
      <c r="L153" s="394"/>
      <c r="M153" s="394"/>
      <c r="N153" s="394"/>
      <c r="O153" s="394"/>
    </row>
    <row r="154" spans="5:15" ht="12.75" customHeight="1" x14ac:dyDescent="0.25">
      <c r="E154" s="308" t="s">
        <v>3233</v>
      </c>
      <c r="F154" s="115"/>
      <c r="J154" s="394">
        <v>2359</v>
      </c>
      <c r="K154" s="394">
        <v>2359</v>
      </c>
      <c r="L154" s="394">
        <v>2359</v>
      </c>
      <c r="M154" s="394">
        <v>2360</v>
      </c>
      <c r="N154" s="394">
        <v>2360</v>
      </c>
      <c r="O154" s="394">
        <v>2360</v>
      </c>
    </row>
    <row r="155" spans="5:15" ht="12.75" customHeight="1" x14ac:dyDescent="0.25">
      <c r="E155" s="308" t="s">
        <v>3234</v>
      </c>
      <c r="F155" s="115"/>
      <c r="J155" s="394">
        <v>2158</v>
      </c>
      <c r="K155" s="394">
        <v>2158</v>
      </c>
      <c r="L155" s="394">
        <v>2158</v>
      </c>
      <c r="M155" s="394">
        <v>2159</v>
      </c>
      <c r="N155" s="394">
        <v>2159</v>
      </c>
      <c r="O155" s="394">
        <v>2159</v>
      </c>
    </row>
    <row r="156" spans="5:15" ht="12.75" customHeight="1" x14ac:dyDescent="0.25">
      <c r="E156" s="308" t="s">
        <v>3235</v>
      </c>
      <c r="F156" s="115"/>
      <c r="J156" s="394">
        <v>5611</v>
      </c>
      <c r="K156" s="394">
        <v>5611</v>
      </c>
      <c r="L156" s="394">
        <v>5611</v>
      </c>
      <c r="M156" s="394">
        <v>5612</v>
      </c>
      <c r="N156" s="394">
        <v>5612</v>
      </c>
      <c r="O156" s="394">
        <v>5612</v>
      </c>
    </row>
    <row r="157" spans="5:15" ht="12.75" customHeight="1" x14ac:dyDescent="0.25">
      <c r="E157" s="308" t="s">
        <v>3236</v>
      </c>
      <c r="F157" s="115"/>
      <c r="J157" s="394">
        <v>3400</v>
      </c>
      <c r="K157" s="394">
        <v>3400</v>
      </c>
      <c r="L157" s="394">
        <v>3400</v>
      </c>
      <c r="M157" s="394">
        <v>3401</v>
      </c>
      <c r="N157" s="394">
        <v>3401</v>
      </c>
      <c r="O157" s="394">
        <v>3401</v>
      </c>
    </row>
    <row r="158" spans="5:15" ht="12.75" customHeight="1" x14ac:dyDescent="0.25">
      <c r="E158" s="308" t="s">
        <v>3237</v>
      </c>
      <c r="F158" s="115"/>
      <c r="J158" s="394">
        <v>1500</v>
      </c>
      <c r="K158" s="394">
        <v>1500</v>
      </c>
      <c r="L158" s="394">
        <v>1500</v>
      </c>
      <c r="M158" s="394">
        <v>1501</v>
      </c>
      <c r="N158" s="394">
        <v>1501</v>
      </c>
      <c r="O158" s="394">
        <v>1501</v>
      </c>
    </row>
    <row r="159" spans="5:15" ht="12.75" customHeight="1" x14ac:dyDescent="0.25">
      <c r="E159" s="308" t="s">
        <v>3238</v>
      </c>
      <c r="F159" s="115"/>
      <c r="J159" s="394">
        <v>7000</v>
      </c>
      <c r="K159" s="394">
        <v>7000</v>
      </c>
      <c r="L159" s="394">
        <v>7000</v>
      </c>
      <c r="M159" s="394">
        <v>7001</v>
      </c>
      <c r="N159" s="394">
        <v>7001</v>
      </c>
      <c r="O159" s="394">
        <v>7001</v>
      </c>
    </row>
    <row r="160" spans="5:15" ht="12.75" customHeight="1" x14ac:dyDescent="0.25">
      <c r="E160" s="308" t="s">
        <v>3239</v>
      </c>
      <c r="F160" s="115"/>
      <c r="J160" s="394">
        <v>573</v>
      </c>
      <c r="K160" s="394">
        <v>573</v>
      </c>
      <c r="L160" s="394">
        <v>573</v>
      </c>
      <c r="M160" s="394">
        <v>574</v>
      </c>
      <c r="N160" s="394">
        <v>574</v>
      </c>
      <c r="O160" s="394">
        <v>574</v>
      </c>
    </row>
    <row r="161" spans="5:15" ht="12.75" customHeight="1" x14ac:dyDescent="0.25">
      <c r="E161" s="308" t="s">
        <v>3240</v>
      </c>
      <c r="F161" s="115"/>
      <c r="J161" s="394">
        <v>1353</v>
      </c>
      <c r="K161" s="394">
        <v>1353</v>
      </c>
      <c r="L161" s="394">
        <v>1353</v>
      </c>
      <c r="M161" s="394">
        <v>1354</v>
      </c>
      <c r="N161" s="394">
        <v>1354</v>
      </c>
      <c r="O161" s="394">
        <v>1354</v>
      </c>
    </row>
    <row r="162" spans="5:15" ht="12.75" customHeight="1" x14ac:dyDescent="0.25">
      <c r="E162" s="308" t="s">
        <v>3241</v>
      </c>
      <c r="F162" s="115"/>
      <c r="J162" s="394">
        <v>2295</v>
      </c>
      <c r="K162" s="394">
        <v>2295</v>
      </c>
      <c r="L162" s="394">
        <v>2295</v>
      </c>
      <c r="M162" s="394">
        <v>2296</v>
      </c>
      <c r="N162" s="394">
        <v>2296</v>
      </c>
      <c r="O162" s="394">
        <v>2296</v>
      </c>
    </row>
    <row r="163" spans="5:15" ht="12.75" customHeight="1" x14ac:dyDescent="0.25">
      <c r="E163" s="308" t="s">
        <v>3242</v>
      </c>
      <c r="F163" s="115"/>
      <c r="J163" s="394">
        <v>3172.55</v>
      </c>
      <c r="K163" s="394">
        <v>3172.55</v>
      </c>
      <c r="L163" s="394">
        <v>3172.55</v>
      </c>
      <c r="M163" s="394">
        <v>3173.55</v>
      </c>
      <c r="N163" s="394">
        <v>3173.55</v>
      </c>
      <c r="O163" s="394">
        <v>3173.55</v>
      </c>
    </row>
    <row r="164" spans="5:15" ht="12.75" customHeight="1" x14ac:dyDescent="0.25">
      <c r="E164" s="308" t="s">
        <v>3243</v>
      </c>
      <c r="F164" s="115"/>
      <c r="J164" s="394">
        <v>2329</v>
      </c>
      <c r="K164" s="394">
        <v>2329</v>
      </c>
      <c r="L164" s="394">
        <v>2329</v>
      </c>
      <c r="M164" s="394">
        <v>2330</v>
      </c>
      <c r="N164" s="394">
        <v>2330</v>
      </c>
      <c r="O164" s="394">
        <v>2330</v>
      </c>
    </row>
    <row r="165" spans="5:15" ht="12.75" customHeight="1" x14ac:dyDescent="0.25">
      <c r="E165" s="308" t="s">
        <v>3244</v>
      </c>
      <c r="F165" s="115"/>
      <c r="J165" s="394">
        <v>1235</v>
      </c>
      <c r="K165" s="394">
        <v>1235</v>
      </c>
      <c r="L165" s="394">
        <v>1235</v>
      </c>
      <c r="M165" s="394">
        <v>1236</v>
      </c>
      <c r="N165" s="394">
        <v>1236</v>
      </c>
      <c r="O165" s="394">
        <v>1236</v>
      </c>
    </row>
    <row r="166" spans="5:15" ht="12.75" customHeight="1" x14ac:dyDescent="0.25">
      <c r="E166" s="308" t="s">
        <v>3245</v>
      </c>
      <c r="F166" s="115"/>
      <c r="J166" s="394">
        <v>655</v>
      </c>
      <c r="K166" s="394">
        <v>655</v>
      </c>
      <c r="L166" s="394">
        <v>655</v>
      </c>
      <c r="M166" s="394">
        <v>656</v>
      </c>
      <c r="N166" s="394">
        <v>656</v>
      </c>
      <c r="O166" s="394">
        <v>656</v>
      </c>
    </row>
    <row r="167" spans="5:15" ht="12.75" customHeight="1" x14ac:dyDescent="0.25">
      <c r="E167" s="308" t="s">
        <v>3246</v>
      </c>
      <c r="F167" s="115"/>
      <c r="J167" s="394"/>
      <c r="K167" s="394"/>
      <c r="L167" s="394"/>
      <c r="M167" s="394"/>
      <c r="N167" s="394"/>
      <c r="O167" s="394"/>
    </row>
    <row r="168" spans="5:15" ht="12.75" customHeight="1" x14ac:dyDescent="0.25">
      <c r="E168" s="308" t="s">
        <v>3247</v>
      </c>
      <c r="F168" s="115"/>
      <c r="J168" s="394"/>
      <c r="K168" s="394"/>
      <c r="L168" s="394"/>
      <c r="M168" s="394"/>
      <c r="N168" s="394"/>
      <c r="O168" s="394"/>
    </row>
    <row r="169" spans="5:15" ht="12.75" customHeight="1" x14ac:dyDescent="0.25">
      <c r="E169" s="308" t="s">
        <v>3248</v>
      </c>
      <c r="F169" s="115"/>
      <c r="J169" s="394">
        <v>21000</v>
      </c>
      <c r="K169" s="394">
        <v>21000</v>
      </c>
      <c r="L169" s="394">
        <v>21000</v>
      </c>
      <c r="M169" s="394">
        <v>21001</v>
      </c>
      <c r="N169" s="394">
        <v>21001</v>
      </c>
      <c r="O169" s="394">
        <v>21001</v>
      </c>
    </row>
    <row r="170" spans="5:15" ht="12.75" customHeight="1" x14ac:dyDescent="0.25">
      <c r="E170" s="308" t="s">
        <v>3249</v>
      </c>
      <c r="F170" s="115"/>
      <c r="J170" s="394"/>
      <c r="K170" s="394"/>
      <c r="L170" s="394"/>
      <c r="M170" s="394"/>
      <c r="N170" s="394"/>
      <c r="O170" s="394"/>
    </row>
    <row r="171" spans="5:15" ht="12.75" customHeight="1" x14ac:dyDescent="0.25">
      <c r="E171" s="308" t="s">
        <v>3250</v>
      </c>
      <c r="F171" s="115"/>
      <c r="J171" s="394">
        <v>2516.48</v>
      </c>
      <c r="K171" s="394">
        <v>2516.48</v>
      </c>
      <c r="L171" s="394">
        <v>2516.48</v>
      </c>
      <c r="M171" s="394">
        <v>2517.48</v>
      </c>
      <c r="N171" s="394">
        <v>2517.48</v>
      </c>
      <c r="O171" s="394">
        <v>2517.48</v>
      </c>
    </row>
    <row r="172" spans="5:15" ht="12.75" customHeight="1" x14ac:dyDescent="0.25">
      <c r="E172" s="308" t="s">
        <v>3251</v>
      </c>
      <c r="F172" s="115"/>
      <c r="J172" s="394"/>
      <c r="K172" s="394"/>
      <c r="L172" s="394"/>
      <c r="M172" s="394"/>
      <c r="N172" s="394"/>
      <c r="O172" s="394"/>
    </row>
    <row r="173" spans="5:15" ht="12.75" customHeight="1" x14ac:dyDescent="0.25">
      <c r="E173" s="308" t="s">
        <v>3252</v>
      </c>
      <c r="F173" s="115"/>
      <c r="J173" s="394">
        <v>5969.88</v>
      </c>
      <c r="K173" s="394">
        <v>5969.88</v>
      </c>
      <c r="L173" s="394">
        <v>5969.88</v>
      </c>
      <c r="M173" s="394">
        <v>5970.88</v>
      </c>
      <c r="N173" s="394">
        <v>5970.88</v>
      </c>
      <c r="O173" s="394">
        <v>5970.88</v>
      </c>
    </row>
    <row r="174" spans="5:15" ht="12.75" customHeight="1" x14ac:dyDescent="0.25">
      <c r="E174" s="308" t="s">
        <v>595</v>
      </c>
      <c r="F174" s="115"/>
      <c r="J174" s="394"/>
      <c r="K174" s="394"/>
      <c r="L174" s="394"/>
      <c r="M174" s="394"/>
      <c r="N174" s="394"/>
      <c r="O174" s="394"/>
    </row>
    <row r="175" spans="5:15" ht="12.75" customHeight="1" x14ac:dyDescent="0.25">
      <c r="E175" s="308" t="s">
        <v>3253</v>
      </c>
      <c r="F175" s="115"/>
      <c r="J175" s="394">
        <v>632.5</v>
      </c>
      <c r="K175" s="394">
        <v>632.5</v>
      </c>
      <c r="L175" s="394">
        <v>632.5</v>
      </c>
      <c r="M175" s="394">
        <v>633.5</v>
      </c>
      <c r="N175" s="394">
        <v>633.5</v>
      </c>
      <c r="O175" s="394">
        <v>633.5</v>
      </c>
    </row>
    <row r="176" spans="5:15" ht="12.75" customHeight="1" x14ac:dyDescent="0.25">
      <c r="E176" s="308" t="s">
        <v>3254</v>
      </c>
      <c r="F176" s="115"/>
      <c r="J176" s="394">
        <v>1700</v>
      </c>
      <c r="K176" s="394">
        <v>1700</v>
      </c>
      <c r="L176" s="394">
        <v>1700</v>
      </c>
      <c r="M176" s="394">
        <v>1701</v>
      </c>
      <c r="N176" s="394">
        <v>1701</v>
      </c>
      <c r="O176" s="394">
        <v>1701</v>
      </c>
    </row>
    <row r="177" spans="4:18" ht="12.75" customHeight="1" x14ac:dyDescent="0.25">
      <c r="E177" s="308" t="s">
        <v>3255</v>
      </c>
      <c r="F177" s="115"/>
      <c r="J177" s="394">
        <v>350</v>
      </c>
      <c r="K177" s="394">
        <v>350</v>
      </c>
      <c r="L177" s="394">
        <v>350</v>
      </c>
      <c r="M177" s="394">
        <v>351</v>
      </c>
      <c r="N177" s="394">
        <v>351</v>
      </c>
      <c r="O177" s="394">
        <v>351</v>
      </c>
    </row>
    <row r="178" spans="4:18" ht="12.75" customHeight="1" x14ac:dyDescent="0.25">
      <c r="E178" s="308" t="s">
        <v>3256</v>
      </c>
      <c r="F178" s="115"/>
      <c r="J178" s="394">
        <v>900</v>
      </c>
      <c r="K178" s="394">
        <v>900</v>
      </c>
      <c r="L178" s="394">
        <v>900</v>
      </c>
      <c r="M178" s="394">
        <v>901</v>
      </c>
      <c r="N178" s="394">
        <v>901</v>
      </c>
      <c r="O178" s="394">
        <v>901</v>
      </c>
      <c r="R178" s="115">
        <v>435000</v>
      </c>
    </row>
    <row r="179" spans="4:18" ht="12.75" customHeight="1" x14ac:dyDescent="0.25">
      <c r="E179" s="308" t="s">
        <v>3257</v>
      </c>
      <c r="F179" s="115"/>
      <c r="J179" s="394">
        <v>117.5</v>
      </c>
      <c r="K179" s="394">
        <v>117.5</v>
      </c>
      <c r="L179" s="394">
        <v>117.5</v>
      </c>
      <c r="M179" s="394">
        <v>118.5</v>
      </c>
      <c r="N179" s="394">
        <v>118.5</v>
      </c>
      <c r="O179" s="394">
        <v>118.5</v>
      </c>
      <c r="R179" s="115">
        <v>141000</v>
      </c>
    </row>
    <row r="180" spans="4:18" ht="12.75" customHeight="1" x14ac:dyDescent="0.25">
      <c r="E180" s="308" t="s">
        <v>3258</v>
      </c>
      <c r="F180" s="115"/>
      <c r="J180" s="394">
        <v>7000</v>
      </c>
      <c r="K180" s="394">
        <v>7000</v>
      </c>
      <c r="L180" s="394">
        <v>7000</v>
      </c>
      <c r="M180" s="394">
        <v>7001</v>
      </c>
      <c r="N180" s="394">
        <v>7001</v>
      </c>
      <c r="O180" s="394">
        <v>7001</v>
      </c>
    </row>
    <row r="181" spans="4:18" ht="12.75" customHeight="1" x14ac:dyDescent="0.25">
      <c r="E181" s="308" t="s">
        <v>3259</v>
      </c>
      <c r="F181" s="115"/>
      <c r="J181" s="394">
        <v>113.59</v>
      </c>
      <c r="K181" s="394">
        <v>113.59</v>
      </c>
      <c r="L181" s="394">
        <v>113.59</v>
      </c>
      <c r="M181" s="394">
        <v>114.59</v>
      </c>
      <c r="N181" s="394">
        <v>114.59</v>
      </c>
      <c r="O181" s="394">
        <v>114.59</v>
      </c>
      <c r="R181" s="115">
        <f>+R178-R179</f>
        <v>294000</v>
      </c>
    </row>
    <row r="182" spans="4:18" ht="12.75" customHeight="1" x14ac:dyDescent="0.25">
      <c r="E182" s="308" t="s">
        <v>3260</v>
      </c>
      <c r="F182" s="115"/>
      <c r="J182" s="394">
        <v>43988.999999999993</v>
      </c>
      <c r="K182" s="394">
        <v>45000.746999999988</v>
      </c>
      <c r="L182" s="394">
        <f t="shared" ref="L182:O182" si="23">+K182*1.023</f>
        <v>46035.764180999984</v>
      </c>
      <c r="M182" s="394">
        <f t="shared" si="23"/>
        <v>47094.586757162979</v>
      </c>
      <c r="N182" s="394">
        <f t="shared" si="23"/>
        <v>48177.762252577726</v>
      </c>
      <c r="O182" s="394">
        <f t="shared" si="23"/>
        <v>49285.85078438701</v>
      </c>
    </row>
    <row r="183" spans="4:18" ht="12.75" customHeight="1" x14ac:dyDescent="0.25">
      <c r="E183" s="308"/>
      <c r="F183" s="115"/>
      <c r="J183" s="394"/>
      <c r="K183" s="394"/>
      <c r="L183" s="394"/>
      <c r="M183" s="394"/>
      <c r="N183" s="394"/>
      <c r="O183" s="394"/>
    </row>
    <row r="184" spans="4:18" ht="12.75" customHeight="1" thickBot="1" x14ac:dyDescent="0.3">
      <c r="E184" s="115"/>
      <c r="F184" s="115"/>
      <c r="J184" s="1768">
        <v>296673</v>
      </c>
      <c r="K184" s="1768">
        <v>297684.74699999997</v>
      </c>
      <c r="L184" s="1768">
        <f t="shared" ref="L184:M184" si="24">SUM(L130:L182)</f>
        <v>298719.76418100001</v>
      </c>
      <c r="M184" s="1768">
        <f t="shared" si="24"/>
        <v>299816.58675716299</v>
      </c>
      <c r="N184" s="1768">
        <f t="shared" ref="N184:O184" si="25">SUM(N130:N182)</f>
        <v>300899.7622525777</v>
      </c>
      <c r="O184" s="1768">
        <f t="shared" si="25"/>
        <v>302007.85078438703</v>
      </c>
    </row>
    <row r="185" spans="4:18" ht="12.75" customHeight="1" thickTop="1" x14ac:dyDescent="0.25">
      <c r="E185" s="115"/>
      <c r="F185" s="115"/>
      <c r="G185" s="151"/>
      <c r="H185" s="151"/>
      <c r="I185" s="151"/>
      <c r="J185" s="151"/>
      <c r="K185" s="151"/>
      <c r="L185" s="151"/>
      <c r="M185" s="151"/>
      <c r="N185" s="151"/>
      <c r="O185" s="151"/>
    </row>
    <row r="186" spans="4:18" ht="12.75" customHeight="1" x14ac:dyDescent="0.25">
      <c r="D186" s="143"/>
      <c r="E186" s="115"/>
      <c r="F186" s="115"/>
      <c r="G186" s="114"/>
      <c r="H186" s="114"/>
      <c r="I186" s="114"/>
      <c r="J186" s="114"/>
      <c r="K186" s="114"/>
      <c r="L186" s="114"/>
      <c r="M186" s="114"/>
      <c r="N186" s="114"/>
      <c r="O186" s="114"/>
    </row>
    <row r="187" spans="4:18" ht="12.75" customHeight="1" x14ac:dyDescent="0.25">
      <c r="D187" s="393">
        <v>625901</v>
      </c>
      <c r="E187" s="381" t="s">
        <v>3196</v>
      </c>
      <c r="F187" s="115"/>
      <c r="G187" s="151"/>
      <c r="H187" s="151"/>
      <c r="I187" s="151"/>
      <c r="J187" s="407">
        <v>2025</v>
      </c>
      <c r="K187" s="407">
        <v>2026</v>
      </c>
      <c r="L187" s="407">
        <v>2027</v>
      </c>
      <c r="M187" s="407">
        <v>2028</v>
      </c>
      <c r="N187" s="407">
        <v>2029</v>
      </c>
      <c r="O187" s="407">
        <v>2030</v>
      </c>
    </row>
    <row r="188" spans="4:18" ht="12.75" customHeight="1" x14ac:dyDescent="0.25">
      <c r="D188" s="453"/>
      <c r="E188" s="453"/>
      <c r="F188" s="453"/>
      <c r="G188" s="469"/>
      <c r="H188" s="469"/>
      <c r="I188" s="469"/>
      <c r="J188" s="453"/>
      <c r="K188" s="453"/>
      <c r="L188" s="453"/>
      <c r="M188" s="453"/>
      <c r="N188" s="453"/>
      <c r="O188" s="453"/>
    </row>
    <row r="189" spans="4:18" ht="12.75" customHeight="1" x14ac:dyDescent="0.25">
      <c r="D189" s="143">
        <v>41100</v>
      </c>
      <c r="E189" s="308" t="s">
        <v>3261</v>
      </c>
      <c r="F189" s="115"/>
      <c r="G189" s="151"/>
      <c r="H189" s="151"/>
      <c r="I189" s="151"/>
      <c r="J189" s="558">
        <v>0</v>
      </c>
      <c r="K189" s="558">
        <v>26011.08</v>
      </c>
      <c r="L189" s="558">
        <f t="shared" ref="L189:O191" si="26">ROUND(K189*T$3,0)</f>
        <v>27104</v>
      </c>
      <c r="M189" s="558">
        <f t="shared" si="26"/>
        <v>28107</v>
      </c>
      <c r="N189" s="558">
        <f t="shared" si="26"/>
        <v>29147</v>
      </c>
      <c r="O189" s="558">
        <f t="shared" si="26"/>
        <v>30225</v>
      </c>
      <c r="P189" s="115" t="s">
        <v>3262</v>
      </c>
    </row>
    <row r="190" spans="4:18" ht="12.75" customHeight="1" x14ac:dyDescent="0.25">
      <c r="D190" s="143">
        <v>41100</v>
      </c>
      <c r="E190" s="787" t="s">
        <v>3263</v>
      </c>
      <c r="F190" s="453"/>
      <c r="G190" s="469"/>
      <c r="H190" s="469"/>
      <c r="I190" s="469"/>
      <c r="J190" s="558">
        <v>0</v>
      </c>
      <c r="K190" s="558">
        <v>0</v>
      </c>
      <c r="L190" s="558">
        <f t="shared" si="26"/>
        <v>0</v>
      </c>
      <c r="M190" s="558">
        <f t="shared" si="26"/>
        <v>0</v>
      </c>
      <c r="N190" s="558">
        <f t="shared" si="26"/>
        <v>0</v>
      </c>
      <c r="O190" s="558">
        <f t="shared" si="26"/>
        <v>0</v>
      </c>
    </row>
    <row r="191" spans="4:18" ht="12.75" customHeight="1" x14ac:dyDescent="0.25">
      <c r="D191" s="143">
        <v>41100</v>
      </c>
      <c r="E191" s="496" t="s">
        <v>3264</v>
      </c>
      <c r="F191" s="453"/>
      <c r="G191" s="469"/>
      <c r="H191" s="469"/>
      <c r="I191" s="469"/>
      <c r="J191" s="558">
        <v>0</v>
      </c>
      <c r="K191" s="558">
        <v>0</v>
      </c>
      <c r="L191" s="558">
        <f t="shared" si="26"/>
        <v>0</v>
      </c>
      <c r="M191" s="558">
        <f t="shared" si="26"/>
        <v>0</v>
      </c>
      <c r="N191" s="558">
        <f t="shared" si="26"/>
        <v>0</v>
      </c>
      <c r="O191" s="558">
        <f t="shared" si="26"/>
        <v>0</v>
      </c>
    </row>
    <row r="192" spans="4:18" ht="12.75" customHeight="1" x14ac:dyDescent="0.25">
      <c r="E192" s="453"/>
      <c r="F192" s="453"/>
      <c r="G192" s="469"/>
      <c r="H192" s="469"/>
      <c r="I192" s="469"/>
      <c r="J192" s="453"/>
      <c r="K192" s="453"/>
      <c r="L192" s="453"/>
      <c r="M192" s="453"/>
      <c r="N192" s="453"/>
      <c r="O192" s="453"/>
    </row>
    <row r="193" spans="4:15" ht="12.75" customHeight="1" thickBot="1" x14ac:dyDescent="0.3">
      <c r="E193" s="115" t="str">
        <f>"Totaal "&amp;D189</f>
        <v>Totaal 41100</v>
      </c>
      <c r="F193" s="115"/>
      <c r="G193" s="151"/>
      <c r="H193" s="151"/>
      <c r="I193" s="151"/>
      <c r="J193" s="1768">
        <v>0</v>
      </c>
      <c r="K193" s="1768">
        <v>26011.08</v>
      </c>
      <c r="L193" s="1768">
        <f t="shared" ref="L193:M193" si="27">SUM(L189:L192)</f>
        <v>27104</v>
      </c>
      <c r="M193" s="1768">
        <f t="shared" si="27"/>
        <v>28107</v>
      </c>
      <c r="N193" s="1768">
        <f t="shared" ref="N193:O193" si="28">SUM(N189:N192)</f>
        <v>29147</v>
      </c>
      <c r="O193" s="1768">
        <f t="shared" si="28"/>
        <v>30225</v>
      </c>
    </row>
    <row r="194" spans="4:15" ht="12.75" customHeight="1" thickTop="1" x14ac:dyDescent="0.25"/>
    <row r="196" spans="4:15" ht="12.75" customHeight="1" x14ac:dyDescent="0.25">
      <c r="D196" s="393">
        <v>625902</v>
      </c>
      <c r="E196" s="381" t="s">
        <v>3197</v>
      </c>
      <c r="F196" s="115"/>
      <c r="G196" s="151"/>
      <c r="H196" s="151"/>
      <c r="I196" s="151"/>
      <c r="J196" s="407">
        <v>2025</v>
      </c>
      <c r="K196" s="407">
        <v>2026</v>
      </c>
      <c r="L196" s="407">
        <v>2027</v>
      </c>
      <c r="M196" s="407">
        <v>2028</v>
      </c>
      <c r="N196" s="407">
        <v>2029</v>
      </c>
      <c r="O196" s="407">
        <v>2030</v>
      </c>
    </row>
    <row r="197" spans="4:15" ht="12.75" customHeight="1" x14ac:dyDescent="0.25">
      <c r="D197" s="393"/>
      <c r="E197" s="383" t="s">
        <v>533</v>
      </c>
      <c r="F197" s="115"/>
      <c r="G197" s="151"/>
      <c r="H197" s="151"/>
      <c r="I197" s="151"/>
      <c r="J197" s="114"/>
      <c r="K197" s="114"/>
      <c r="L197" s="114"/>
      <c r="M197" s="114"/>
      <c r="N197" s="114"/>
      <c r="O197" s="114"/>
    </row>
    <row r="198" spans="4:15" ht="12.75" customHeight="1" x14ac:dyDescent="0.25">
      <c r="D198" s="143">
        <v>41100</v>
      </c>
      <c r="E198" s="115" t="s">
        <v>541</v>
      </c>
      <c r="F198" s="115"/>
      <c r="G198" s="151"/>
      <c r="H198" s="151"/>
      <c r="I198" s="151"/>
    </row>
    <row r="199" spans="4:15" ht="12.75" customHeight="1" x14ac:dyDescent="0.25">
      <c r="E199" s="308" t="s">
        <v>3265</v>
      </c>
      <c r="F199" s="115"/>
      <c r="G199" s="151"/>
      <c r="H199" s="151"/>
      <c r="I199" s="151"/>
      <c r="J199" s="558">
        <v>0</v>
      </c>
      <c r="K199" s="558">
        <v>0</v>
      </c>
      <c r="L199" s="558">
        <f>ROUND(K199*T$3,0)</f>
        <v>0</v>
      </c>
      <c r="M199" s="558">
        <f>ROUND(L199*U$3,0)</f>
        <v>0</v>
      </c>
      <c r="N199" s="558">
        <f>ROUND(M199*V$3,0)</f>
        <v>0</v>
      </c>
      <c r="O199" s="558">
        <f>ROUND(N199*W$3,0)</f>
        <v>0</v>
      </c>
    </row>
    <row r="200" spans="4:15" ht="12.75" customHeight="1" x14ac:dyDescent="0.25">
      <c r="E200" s="308" t="s">
        <v>3266</v>
      </c>
      <c r="F200" s="115"/>
      <c r="G200" s="151"/>
      <c r="H200" s="151"/>
      <c r="I200" s="151"/>
      <c r="J200" s="558">
        <v>0</v>
      </c>
      <c r="K200" s="558">
        <v>0</v>
      </c>
      <c r="L200" s="558">
        <f>ROUND(K200*$R$3,0)</f>
        <v>0</v>
      </c>
      <c r="M200" s="558">
        <f>ROUND(L200*$R$3,0)</f>
        <v>0</v>
      </c>
      <c r="N200" s="558">
        <f>ROUND(M200*$R$3,0)</f>
        <v>0</v>
      </c>
      <c r="O200" s="558">
        <f>ROUND(N200*$R$3,0)</f>
        <v>0</v>
      </c>
    </row>
    <row r="201" spans="4:15" ht="12.75" customHeight="1" x14ac:dyDescent="0.25">
      <c r="E201" s="308" t="s">
        <v>3267</v>
      </c>
      <c r="F201" s="115"/>
      <c r="G201" s="151"/>
      <c r="H201" s="151"/>
      <c r="I201" s="151"/>
      <c r="J201" s="558">
        <v>0</v>
      </c>
      <c r="K201" s="558">
        <v>0</v>
      </c>
      <c r="L201" s="558">
        <f t="shared" ref="L201:O202" si="29">ROUND(K201*T$3,0)</f>
        <v>0</v>
      </c>
      <c r="M201" s="558">
        <f t="shared" si="29"/>
        <v>0</v>
      </c>
      <c r="N201" s="558">
        <f t="shared" si="29"/>
        <v>0</v>
      </c>
      <c r="O201" s="558">
        <f t="shared" si="29"/>
        <v>0</v>
      </c>
    </row>
    <row r="202" spans="4:15" ht="12.75" customHeight="1" x14ac:dyDescent="0.25">
      <c r="E202" s="434" t="s">
        <v>3142</v>
      </c>
      <c r="F202" s="336"/>
      <c r="J202" s="558">
        <v>105760.84</v>
      </c>
      <c r="K202" s="558">
        <v>119933</v>
      </c>
      <c r="L202" s="558">
        <f t="shared" si="29"/>
        <v>124970</v>
      </c>
      <c r="M202" s="558">
        <f t="shared" si="29"/>
        <v>129594</v>
      </c>
      <c r="N202" s="558">
        <f t="shared" si="29"/>
        <v>134389</v>
      </c>
      <c r="O202" s="558">
        <f t="shared" si="29"/>
        <v>139361</v>
      </c>
    </row>
    <row r="203" spans="4:15" ht="12.75" customHeight="1" x14ac:dyDescent="0.25">
      <c r="D203" s="143">
        <v>41100</v>
      </c>
      <c r="E203" s="115" t="s">
        <v>3268</v>
      </c>
      <c r="F203" s="115"/>
      <c r="G203" s="151"/>
      <c r="H203" s="151"/>
      <c r="I203" s="151"/>
    </row>
    <row r="204" spans="4:15" ht="12.75" customHeight="1" x14ac:dyDescent="0.25">
      <c r="E204" s="308" t="s">
        <v>3269</v>
      </c>
      <c r="F204" s="115"/>
      <c r="G204" s="151"/>
      <c r="H204" s="151"/>
      <c r="I204" s="151"/>
      <c r="J204" s="558">
        <v>0</v>
      </c>
      <c r="K204" s="558">
        <v>0</v>
      </c>
      <c r="L204" s="558">
        <f t="shared" ref="L204:O204" si="30">ROUND(K204*$R$3,0)</f>
        <v>0</v>
      </c>
      <c r="M204" s="558">
        <f t="shared" si="30"/>
        <v>0</v>
      </c>
      <c r="N204" s="558">
        <f t="shared" si="30"/>
        <v>0</v>
      </c>
      <c r="O204" s="558">
        <f t="shared" si="30"/>
        <v>0</v>
      </c>
    </row>
    <row r="205" spans="4:15" ht="12.75" customHeight="1" x14ac:dyDescent="0.25">
      <c r="D205" s="336"/>
      <c r="E205" s="434" t="s">
        <v>3089</v>
      </c>
      <c r="J205" s="558">
        <v>36294.93</v>
      </c>
      <c r="K205" s="558">
        <v>34826</v>
      </c>
      <c r="L205" s="2149">
        <f>ROUND(K205*T$3,0)+104</f>
        <v>36393</v>
      </c>
      <c r="M205" s="2149">
        <f>ROUND(L205*U$3,0)+110</f>
        <v>37850</v>
      </c>
      <c r="N205" s="2149">
        <f>ROUND(M205*V$3,0)+115</f>
        <v>39365</v>
      </c>
      <c r="O205" s="558">
        <f t="shared" ref="O205" si="31">ROUND(N205*W$3,0)</f>
        <v>40822</v>
      </c>
    </row>
    <row r="206" spans="4:15" ht="12.75" customHeight="1" thickBot="1" x14ac:dyDescent="0.3">
      <c r="E206" s="115" t="str">
        <f>"Totaal "&amp;D203</f>
        <v>Totaal 41100</v>
      </c>
      <c r="F206" s="115"/>
      <c r="G206" s="151"/>
      <c r="H206" s="151"/>
      <c r="I206" s="151"/>
      <c r="J206" s="1768">
        <v>142055.76999999999</v>
      </c>
      <c r="K206" s="1768">
        <v>154759</v>
      </c>
      <c r="L206" s="1768">
        <f t="shared" ref="L206:M206" si="32">SUM(L199:L205)</f>
        <v>161363</v>
      </c>
      <c r="M206" s="1768">
        <f t="shared" si="32"/>
        <v>167444</v>
      </c>
      <c r="N206" s="1768">
        <f t="shared" ref="N206:O206" si="33">SUM(N199:N205)</f>
        <v>173754</v>
      </c>
      <c r="O206" s="1768">
        <f t="shared" si="33"/>
        <v>180183</v>
      </c>
    </row>
    <row r="207" spans="4:15" ht="12.75" customHeight="1" thickTop="1" x14ac:dyDescent="0.25">
      <c r="D207" s="453"/>
      <c r="E207" s="453"/>
      <c r="F207" s="453"/>
      <c r="G207" s="469"/>
      <c r="H207" s="469"/>
      <c r="I207" s="469"/>
      <c r="J207" s="453"/>
      <c r="K207" s="453"/>
      <c r="L207" s="453"/>
      <c r="M207" s="453"/>
      <c r="N207" s="453"/>
      <c r="O207" s="453"/>
    </row>
    <row r="208" spans="4:15" ht="12.75" customHeight="1" x14ac:dyDescent="0.25">
      <c r="D208" s="453"/>
      <c r="E208" s="453"/>
      <c r="F208" s="453"/>
      <c r="G208" s="469"/>
      <c r="H208" s="469"/>
      <c r="I208" s="469"/>
      <c r="J208" s="453"/>
      <c r="K208" s="453"/>
      <c r="L208" s="453"/>
      <c r="M208" s="453"/>
      <c r="N208" s="453"/>
      <c r="O208" s="453"/>
    </row>
    <row r="209" spans="4:15" ht="12.75" customHeight="1" x14ac:dyDescent="0.25">
      <c r="D209" s="771">
        <v>625002</v>
      </c>
      <c r="E209" s="772" t="s">
        <v>3270</v>
      </c>
      <c r="F209" s="453"/>
      <c r="G209" s="469"/>
      <c r="H209" s="469"/>
      <c r="I209" s="469"/>
      <c r="J209" s="407">
        <v>2025</v>
      </c>
      <c r="K209" s="407">
        <v>2026</v>
      </c>
      <c r="L209" s="407">
        <v>2027</v>
      </c>
      <c r="M209" s="407">
        <v>2028</v>
      </c>
      <c r="N209" s="407">
        <v>2029</v>
      </c>
      <c r="O209" s="407">
        <v>2030</v>
      </c>
    </row>
    <row r="210" spans="4:15" ht="12.75" customHeight="1" x14ac:dyDescent="0.25">
      <c r="D210" s="771"/>
      <c r="E210" s="772"/>
      <c r="F210" s="453"/>
      <c r="G210" s="469"/>
      <c r="H210" s="469"/>
      <c r="I210" s="469"/>
      <c r="J210" s="453"/>
      <c r="K210" s="453"/>
      <c r="L210" s="453"/>
      <c r="M210" s="453"/>
      <c r="N210" s="453"/>
      <c r="O210" s="453"/>
    </row>
    <row r="211" spans="4:15" ht="12.75" customHeight="1" x14ac:dyDescent="0.25">
      <c r="D211" s="516">
        <v>43812</v>
      </c>
      <c r="E211" s="789" t="s">
        <v>3271</v>
      </c>
      <c r="F211" s="453"/>
      <c r="G211" s="469"/>
      <c r="H211" s="469"/>
      <c r="I211" s="469"/>
      <c r="J211" s="394">
        <v>1092</v>
      </c>
      <c r="K211" s="394">
        <v>1120</v>
      </c>
      <c r="L211" s="394">
        <f>ROUND(K211*T$2,0)</f>
        <v>1144</v>
      </c>
      <c r="M211" s="394">
        <f>ROUND(L211*U$2,0)</f>
        <v>1170</v>
      </c>
      <c r="N211" s="394">
        <f>ROUND(M211*V$2,0)</f>
        <v>1197</v>
      </c>
      <c r="O211" s="394">
        <f>ROUND(N211*W$2,0)</f>
        <v>1225</v>
      </c>
    </row>
    <row r="212" spans="4:15" ht="12.75" customHeight="1" thickBot="1" x14ac:dyDescent="0.3">
      <c r="D212" s="470"/>
      <c r="E212" s="469" t="s">
        <v>619</v>
      </c>
      <c r="F212" s="453"/>
      <c r="G212" s="469"/>
      <c r="H212" s="469"/>
      <c r="I212" s="469"/>
      <c r="J212" s="1779">
        <v>1092</v>
      </c>
      <c r="K212" s="1779">
        <v>1120</v>
      </c>
      <c r="L212" s="1779">
        <f t="shared" ref="L212:M212" si="34">SUM(L210:L211)</f>
        <v>1144</v>
      </c>
      <c r="M212" s="1779">
        <f t="shared" si="34"/>
        <v>1170</v>
      </c>
      <c r="N212" s="1779">
        <f t="shared" ref="N212:O212" si="35">SUM(N210:N211)</f>
        <v>1197</v>
      </c>
      <c r="O212" s="1779">
        <f t="shared" si="35"/>
        <v>1225</v>
      </c>
    </row>
    <row r="213" spans="4:15" ht="12.75" customHeight="1" thickTop="1" x14ac:dyDescent="0.25">
      <c r="D213" s="470"/>
      <c r="E213" s="469"/>
      <c r="F213" s="453"/>
      <c r="G213" s="469"/>
      <c r="H213" s="469"/>
      <c r="I213" s="469"/>
      <c r="J213" s="469"/>
      <c r="K213" s="469"/>
      <c r="L213" s="469"/>
      <c r="M213" s="469"/>
      <c r="N213" s="469"/>
      <c r="O213" s="469"/>
    </row>
    <row r="214" spans="4:15" ht="12.75" customHeight="1" x14ac:dyDescent="0.25">
      <c r="D214" s="516">
        <v>43511</v>
      </c>
      <c r="E214" s="787" t="s">
        <v>3272</v>
      </c>
      <c r="F214" s="453"/>
      <c r="G214" s="469"/>
      <c r="H214" s="469"/>
      <c r="I214" s="469"/>
      <c r="J214" s="781"/>
      <c r="K214" s="781"/>
      <c r="L214" s="781"/>
      <c r="M214" s="781"/>
      <c r="N214" s="781"/>
      <c r="O214" s="781"/>
    </row>
    <row r="215" spans="4:15" ht="12.75" customHeight="1" thickBot="1" x14ac:dyDescent="0.3">
      <c r="D215" s="453"/>
      <c r="E215" s="453" t="s">
        <v>711</v>
      </c>
      <c r="F215" s="453"/>
      <c r="G215" s="469"/>
      <c r="H215" s="469"/>
      <c r="I215" s="469"/>
      <c r="J215" s="1888">
        <v>0</v>
      </c>
      <c r="K215" s="1888">
        <v>0</v>
      </c>
      <c r="L215" s="1888">
        <v>0</v>
      </c>
      <c r="M215" s="1888">
        <v>1</v>
      </c>
      <c r="N215" s="1888">
        <v>1</v>
      </c>
      <c r="O215" s="1888">
        <v>1</v>
      </c>
    </row>
    <row r="216" spans="4:15" ht="12.75" customHeight="1" thickTop="1" x14ac:dyDescent="0.25">
      <c r="D216" s="453"/>
      <c r="E216" s="453"/>
      <c r="F216" s="453"/>
      <c r="G216" s="469"/>
      <c r="H216" s="469"/>
      <c r="I216" s="469"/>
      <c r="J216" s="469"/>
      <c r="K216" s="469"/>
      <c r="L216" s="469"/>
      <c r="M216" s="469"/>
      <c r="N216" s="469"/>
      <c r="O216" s="469"/>
    </row>
    <row r="217" spans="4:15" ht="12.75" customHeight="1" x14ac:dyDescent="0.25">
      <c r="D217" s="384"/>
      <c r="E217" s="308"/>
      <c r="F217" s="115"/>
      <c r="G217" s="114"/>
      <c r="H217" s="114"/>
      <c r="I217" s="114"/>
      <c r="J217" s="114"/>
      <c r="K217" s="114"/>
      <c r="L217" s="114"/>
      <c r="M217" s="114"/>
      <c r="N217" s="114"/>
      <c r="O217" s="114"/>
    </row>
    <row r="218" spans="4:15" ht="12.75" customHeight="1" x14ac:dyDescent="0.25">
      <c r="D218" s="393">
        <v>625001</v>
      </c>
      <c r="E218" s="381" t="s">
        <v>3200</v>
      </c>
      <c r="F218" s="115"/>
      <c r="G218" s="151"/>
      <c r="H218" s="151"/>
      <c r="I218" s="151"/>
      <c r="J218" s="407">
        <v>2025</v>
      </c>
      <c r="K218" s="407">
        <v>2026</v>
      </c>
      <c r="L218" s="407">
        <v>2027</v>
      </c>
      <c r="M218" s="407">
        <v>2028</v>
      </c>
      <c r="N218" s="407">
        <v>2029</v>
      </c>
      <c r="O218" s="407">
        <v>2030</v>
      </c>
    </row>
    <row r="219" spans="4:15" ht="12.75" customHeight="1" x14ac:dyDescent="0.25">
      <c r="D219" s="393"/>
      <c r="E219" s="381"/>
      <c r="F219" s="115"/>
      <c r="G219" s="151"/>
      <c r="H219" s="151"/>
      <c r="I219" s="151"/>
      <c r="J219" s="400"/>
      <c r="K219" s="400"/>
      <c r="L219" s="400"/>
      <c r="M219" s="400"/>
      <c r="N219" s="400"/>
      <c r="O219" s="400"/>
    </row>
    <row r="220" spans="4:15" ht="12.75" customHeight="1" x14ac:dyDescent="0.25">
      <c r="D220" s="143">
        <v>83700</v>
      </c>
      <c r="E220" s="308" t="s">
        <v>3273</v>
      </c>
      <c r="F220" s="115"/>
      <c r="G220" s="151"/>
      <c r="H220" s="151"/>
      <c r="I220" s="151"/>
      <c r="J220" s="114">
        <v>-409200</v>
      </c>
      <c r="K220" s="114">
        <v>-419839</v>
      </c>
      <c r="L220" s="114">
        <f>ROUND(K220*T2,0)</f>
        <v>-428656</v>
      </c>
      <c r="M220" s="114">
        <f>ROUND(L220*U2,0)</f>
        <v>-438515</v>
      </c>
      <c r="N220" s="114">
        <f>ROUND(M220*V2,0)</f>
        <v>-448601</v>
      </c>
      <c r="O220" s="114">
        <f>ROUND(N220*W2,0)</f>
        <v>-458919</v>
      </c>
    </row>
    <row r="221" spans="4:15" ht="12.75" customHeight="1" x14ac:dyDescent="0.25">
      <c r="D221" s="143"/>
      <c r="E221" s="308"/>
      <c r="F221" s="115"/>
      <c r="G221" s="151"/>
      <c r="H221" s="151"/>
      <c r="I221" s="151"/>
      <c r="J221" s="114"/>
      <c r="K221" s="114"/>
      <c r="L221" s="114"/>
      <c r="M221" s="114"/>
      <c r="N221" s="114"/>
      <c r="O221" s="114"/>
    </row>
    <row r="222" spans="4:15" ht="12.75" customHeight="1" thickBot="1" x14ac:dyDescent="0.3">
      <c r="E222" s="115" t="str">
        <f>"Totaal "&amp;D220</f>
        <v>Totaal 83700</v>
      </c>
      <c r="F222" s="115"/>
      <c r="G222" s="151"/>
      <c r="H222" s="151"/>
      <c r="I222" s="151"/>
      <c r="J222" s="1744">
        <v>-409200</v>
      </c>
      <c r="K222" s="1744">
        <v>-419839</v>
      </c>
      <c r="L222" s="1744">
        <f>SUM(L220:L221)</f>
        <v>-428656</v>
      </c>
      <c r="M222" s="1744">
        <f>SUM(M220:M221)</f>
        <v>-438515</v>
      </c>
      <c r="N222" s="1744">
        <f>SUM(N220:N221)</f>
        <v>-448601</v>
      </c>
      <c r="O222" s="1744">
        <f>SUM(O220:O221)</f>
        <v>-458919</v>
      </c>
    </row>
    <row r="223" spans="4:15" ht="12.75" customHeight="1" thickTop="1" x14ac:dyDescent="0.25">
      <c r="D223" s="384"/>
      <c r="E223" s="308"/>
      <c r="F223" s="115"/>
      <c r="G223" s="114"/>
      <c r="H223" s="114"/>
      <c r="I223" s="114"/>
    </row>
    <row r="224" spans="4:15" ht="12.75" customHeight="1" x14ac:dyDescent="0.25">
      <c r="D224" s="433">
        <v>625003</v>
      </c>
      <c r="E224" s="1089" t="s">
        <v>3204</v>
      </c>
      <c r="F224" s="115"/>
      <c r="G224" s="114"/>
      <c r="H224" s="114" t="s">
        <v>3274</v>
      </c>
      <c r="I224" s="114"/>
    </row>
    <row r="225" spans="1:19" ht="12.75" customHeight="1" x14ac:dyDescent="0.25">
      <c r="D225" s="384"/>
      <c r="E225" s="2529" t="s">
        <v>3275</v>
      </c>
      <c r="F225" s="2529"/>
      <c r="G225" s="2529"/>
      <c r="H225" s="2529"/>
      <c r="I225" s="2529"/>
      <c r="J225" s="114"/>
      <c r="K225" s="114"/>
      <c r="L225" s="114"/>
      <c r="M225" s="114"/>
      <c r="N225" s="114"/>
      <c r="O225" s="114"/>
    </row>
    <row r="226" spans="1:19" ht="12.75" customHeight="1" x14ac:dyDescent="0.25">
      <c r="D226" s="384">
        <v>82210</v>
      </c>
      <c r="E226" s="434" t="s">
        <v>3276</v>
      </c>
      <c r="F226" s="384"/>
      <c r="G226" s="308"/>
      <c r="I226" s="114"/>
      <c r="J226" s="114">
        <v>-88486</v>
      </c>
      <c r="K226" s="114">
        <v>-90505</v>
      </c>
      <c r="L226" s="114">
        <f t="shared" ref="L226:O227" si="36">ROUND(K226*T$4,0)</f>
        <v>-93413</v>
      </c>
      <c r="M226" s="114">
        <f t="shared" si="36"/>
        <v>-96255</v>
      </c>
      <c r="N226" s="114">
        <f t="shared" si="36"/>
        <v>-99183</v>
      </c>
      <c r="O226" s="114">
        <f t="shared" si="36"/>
        <v>-102200</v>
      </c>
    </row>
    <row r="227" spans="1:19" ht="12.75" customHeight="1" x14ac:dyDescent="0.25">
      <c r="D227" s="384"/>
      <c r="E227" s="434" t="s">
        <v>3277</v>
      </c>
      <c r="F227" s="384"/>
      <c r="G227" s="308"/>
      <c r="I227" s="114"/>
      <c r="J227" s="114">
        <v>-29013</v>
      </c>
      <c r="K227" s="114">
        <v>-29675</v>
      </c>
      <c r="L227" s="114">
        <f t="shared" si="36"/>
        <v>-30628</v>
      </c>
      <c r="M227" s="114">
        <f t="shared" si="36"/>
        <v>-31560</v>
      </c>
      <c r="N227" s="114">
        <f t="shared" si="36"/>
        <v>-32520</v>
      </c>
      <c r="O227" s="114">
        <f t="shared" si="36"/>
        <v>-33509</v>
      </c>
    </row>
    <row r="228" spans="1:19" ht="12.75" customHeight="1" x14ac:dyDescent="0.25">
      <c r="D228" s="384"/>
      <c r="E228" s="434" t="s">
        <v>3278</v>
      </c>
      <c r="F228" s="384"/>
      <c r="G228" s="308"/>
      <c r="I228" s="114"/>
      <c r="J228" s="114">
        <v>-135000</v>
      </c>
      <c r="K228" s="114">
        <v>-135000</v>
      </c>
      <c r="L228" s="114">
        <v>-135000</v>
      </c>
      <c r="M228" s="114">
        <v>-135000</v>
      </c>
      <c r="N228" s="114">
        <v>-135000</v>
      </c>
      <c r="O228" s="114">
        <v>-135000</v>
      </c>
    </row>
    <row r="229" spans="1:19" ht="12.75" customHeight="1" x14ac:dyDescent="0.25">
      <c r="D229" s="384"/>
      <c r="E229" s="434" t="s">
        <v>3279</v>
      </c>
      <c r="F229" s="384"/>
      <c r="G229" s="308"/>
      <c r="I229" s="114"/>
      <c r="J229" s="114">
        <v>-200000</v>
      </c>
      <c r="K229" s="114">
        <v>-200000</v>
      </c>
      <c r="L229" s="114">
        <v>-200000</v>
      </c>
      <c r="M229" s="114">
        <v>-200000</v>
      </c>
      <c r="N229" s="114">
        <v>-200000</v>
      </c>
      <c r="O229" s="114">
        <v>-200000</v>
      </c>
    </row>
    <row r="230" spans="1:19" ht="12.75" customHeight="1" thickBot="1" x14ac:dyDescent="0.3">
      <c r="D230" s="384"/>
      <c r="E230" s="115" t="str">
        <f>"Totaal "&amp;D226</f>
        <v>Totaal 82210</v>
      </c>
      <c r="F230" s="384"/>
      <c r="G230" s="308"/>
      <c r="I230" s="114"/>
      <c r="J230" s="1744">
        <v>-452499</v>
      </c>
      <c r="K230" s="1744">
        <v>-455180</v>
      </c>
      <c r="L230" s="1744">
        <f t="shared" ref="L230:N230" si="37">SUM(L226:L229)</f>
        <v>-459041</v>
      </c>
      <c r="M230" s="1744">
        <f t="shared" si="37"/>
        <v>-462815</v>
      </c>
      <c r="N230" s="1744">
        <f t="shared" si="37"/>
        <v>-466703</v>
      </c>
      <c r="O230" s="1744">
        <f t="shared" ref="O230" si="38">SUM(O226:O229)</f>
        <v>-470709</v>
      </c>
      <c r="S230" s="115" t="e">
        <f>+#REF!/I230</f>
        <v>#REF!</v>
      </c>
    </row>
    <row r="231" spans="1:19" ht="12.75" customHeight="1" thickTop="1" x14ac:dyDescent="0.25">
      <c r="D231" s="384"/>
      <c r="E231" s="384"/>
      <c r="F231" s="384"/>
      <c r="G231" s="308"/>
      <c r="I231" s="114"/>
      <c r="J231" s="114"/>
      <c r="K231" s="114"/>
      <c r="L231" s="114"/>
      <c r="M231" s="114"/>
      <c r="N231" s="114"/>
      <c r="O231" s="114"/>
    </row>
    <row r="232" spans="1:19" ht="12.75" customHeight="1" x14ac:dyDescent="0.25">
      <c r="A232" s="301"/>
    </row>
    <row r="233" spans="1:19" ht="12.75" customHeight="1" x14ac:dyDescent="0.25">
      <c r="D233" s="500" t="s">
        <v>3280</v>
      </c>
      <c r="E233" s="500"/>
      <c r="F233" s="500"/>
      <c r="G233" s="359"/>
      <c r="H233" s="359"/>
      <c r="I233" s="359"/>
      <c r="J233" s="501">
        <v>2025</v>
      </c>
      <c r="K233" s="407">
        <v>2026</v>
      </c>
      <c r="L233" s="407">
        <v>2027</v>
      </c>
      <c r="M233" s="407">
        <v>2028</v>
      </c>
      <c r="N233" s="407">
        <v>2028</v>
      </c>
      <c r="O233" s="407">
        <v>2028</v>
      </c>
    </row>
    <row r="234" spans="1:19" ht="12.75" customHeight="1" x14ac:dyDescent="0.25">
      <c r="D234" s="502"/>
      <c r="E234" s="502"/>
      <c r="F234" s="502"/>
      <c r="G234" s="359"/>
      <c r="H234" s="359"/>
      <c r="I234" s="510"/>
      <c r="J234" s="503"/>
      <c r="K234" s="503"/>
      <c r="L234" s="503"/>
      <c r="M234" s="503"/>
      <c r="N234" s="503"/>
      <c r="O234" s="503"/>
    </row>
    <row r="235" spans="1:19" ht="12.75" customHeight="1" x14ac:dyDescent="0.25">
      <c r="D235" s="504" t="s">
        <v>935</v>
      </c>
      <c r="E235" s="504"/>
      <c r="F235" s="504"/>
      <c r="G235" s="359"/>
      <c r="H235" s="359"/>
      <c r="I235" s="510"/>
      <c r="J235" s="503"/>
      <c r="K235" s="503"/>
      <c r="L235" s="503"/>
      <c r="M235" s="503"/>
      <c r="N235" s="503"/>
      <c r="O235" s="503"/>
      <c r="S235" s="653"/>
    </row>
    <row r="236" spans="1:19" ht="12.75" customHeight="1" x14ac:dyDescent="0.25">
      <c r="D236" s="502" t="s">
        <v>936</v>
      </c>
      <c r="E236" s="502"/>
      <c r="F236" s="502"/>
      <c r="G236" s="359"/>
      <c r="H236" s="359"/>
      <c r="I236" s="510"/>
      <c r="J236" s="503">
        <v>142055.76999999999</v>
      </c>
      <c r="K236" s="503">
        <v>154759</v>
      </c>
      <c r="L236" s="503">
        <f>L98</f>
        <v>161363</v>
      </c>
      <c r="M236" s="503">
        <f>M98</f>
        <v>167444</v>
      </c>
      <c r="N236" s="503">
        <f>N98</f>
        <v>173754</v>
      </c>
      <c r="O236" s="503">
        <f>O98</f>
        <v>180183</v>
      </c>
      <c r="S236" s="653"/>
    </row>
    <row r="237" spans="1:19" ht="12.75" customHeight="1" x14ac:dyDescent="0.25">
      <c r="D237" s="502" t="s">
        <v>965</v>
      </c>
      <c r="E237" s="502"/>
      <c r="F237" s="502"/>
      <c r="G237" s="359"/>
      <c r="H237" s="359"/>
      <c r="I237" s="510"/>
      <c r="J237" s="503">
        <v>0</v>
      </c>
      <c r="K237" s="503">
        <v>0</v>
      </c>
      <c r="L237" s="503">
        <v>0</v>
      </c>
      <c r="M237" s="503">
        <v>0</v>
      </c>
      <c r="N237" s="503">
        <v>0</v>
      </c>
      <c r="O237" s="503">
        <v>0</v>
      </c>
      <c r="S237" s="653"/>
    </row>
    <row r="238" spans="1:19" ht="12.75" customHeight="1" x14ac:dyDescent="0.25">
      <c r="D238" s="115" t="s">
        <v>937</v>
      </c>
      <c r="E238" s="115"/>
      <c r="F238" s="114"/>
      <c r="G238" s="114"/>
      <c r="H238" s="114"/>
      <c r="I238" s="114"/>
      <c r="J238" s="503">
        <v>331577</v>
      </c>
      <c r="K238" s="503">
        <v>333495.74699999997</v>
      </c>
      <c r="L238" s="503">
        <f>L89</f>
        <v>335282.76418100001</v>
      </c>
      <c r="M238" s="503">
        <f>M89</f>
        <v>337220.58675716299</v>
      </c>
      <c r="N238" s="503">
        <f>N89</f>
        <v>339162.7622525777</v>
      </c>
      <c r="O238" s="503">
        <f>O89</f>
        <v>341150.85078438703</v>
      </c>
      <c r="S238" s="653"/>
    </row>
    <row r="239" spans="1:19" ht="12.75" customHeight="1" thickBot="1" x14ac:dyDescent="0.3">
      <c r="D239" s="502" t="s">
        <v>938</v>
      </c>
      <c r="E239" s="502"/>
      <c r="F239" s="502"/>
      <c r="G239" s="359"/>
      <c r="H239" s="359"/>
      <c r="I239" s="510"/>
      <c r="J239" s="1745">
        <v>473632.77</v>
      </c>
      <c r="K239" s="1745">
        <v>488254.74699999997</v>
      </c>
      <c r="L239" s="1745">
        <f>SUM(L236:L238)</f>
        <v>496645.76418100001</v>
      </c>
      <c r="M239" s="1745">
        <f>SUM(M236:M238)</f>
        <v>504664.58675716299</v>
      </c>
      <c r="N239" s="1745">
        <f>SUM(N236:N238)</f>
        <v>512916.7622525777</v>
      </c>
      <c r="O239" s="1745">
        <f>SUM(O236:O238)</f>
        <v>521333.85078438703</v>
      </c>
      <c r="S239" s="653"/>
    </row>
    <row r="240" spans="1:19" ht="12.75" customHeight="1" thickTop="1" x14ac:dyDescent="0.25">
      <c r="D240" s="502"/>
      <c r="E240" s="502"/>
      <c r="F240" s="502"/>
      <c r="G240" s="359"/>
      <c r="H240" s="359"/>
      <c r="I240" s="510"/>
      <c r="J240" s="503"/>
      <c r="K240" s="503"/>
      <c r="L240" s="503"/>
      <c r="M240" s="503"/>
      <c r="N240" s="503"/>
      <c r="O240" s="503"/>
      <c r="S240" s="653"/>
    </row>
    <row r="241" spans="4:23" ht="12.75" customHeight="1" x14ac:dyDescent="0.25">
      <c r="E241" s="301"/>
      <c r="F241" s="301"/>
      <c r="G241" s="301"/>
      <c r="H241" s="301"/>
      <c r="I241" s="114"/>
      <c r="J241" s="151"/>
      <c r="K241" s="151"/>
      <c r="L241" s="151"/>
      <c r="M241" s="151"/>
      <c r="N241" s="151"/>
      <c r="O241" s="151"/>
    </row>
    <row r="242" spans="4:23" ht="12.75" customHeight="1" x14ac:dyDescent="0.25">
      <c r="D242" s="505" t="s">
        <v>939</v>
      </c>
      <c r="E242" s="396"/>
      <c r="F242" s="396"/>
      <c r="G242" s="301"/>
      <c r="H242" s="301"/>
      <c r="I242" s="114"/>
      <c r="J242" s="151"/>
      <c r="K242" s="151"/>
      <c r="L242" s="151"/>
      <c r="M242" s="151"/>
      <c r="N242" s="151"/>
      <c r="O242" s="151"/>
      <c r="P242" s="571"/>
    </row>
    <row r="243" spans="4:23" ht="12.75" customHeight="1" x14ac:dyDescent="0.25">
      <c r="D243" s="301" t="s">
        <v>3036</v>
      </c>
      <c r="E243" s="396"/>
      <c r="F243" s="396"/>
      <c r="G243" s="301"/>
      <c r="H243" s="301"/>
      <c r="I243" s="114"/>
      <c r="J243" s="151"/>
      <c r="K243" s="151"/>
      <c r="L243" s="151"/>
      <c r="M243" s="151"/>
      <c r="N243" s="151"/>
      <c r="O243" s="151"/>
      <c r="P243" s="571"/>
      <c r="R243" s="571"/>
    </row>
    <row r="244" spans="4:23" ht="12.75" customHeight="1" x14ac:dyDescent="0.25">
      <c r="D244" s="411" t="s">
        <v>3037</v>
      </c>
      <c r="E244" s="396"/>
      <c r="F244" s="396"/>
      <c r="G244" s="301"/>
      <c r="H244" s="301"/>
      <c r="I244" s="114"/>
      <c r="J244" s="151">
        <v>0</v>
      </c>
      <c r="K244" s="151">
        <v>0</v>
      </c>
      <c r="L244" s="151">
        <f>L236*T244</f>
        <v>0</v>
      </c>
      <c r="M244" s="151">
        <f>M236*U244</f>
        <v>0</v>
      </c>
      <c r="N244" s="151">
        <f>N236*V244</f>
        <v>0</v>
      </c>
      <c r="O244" s="151">
        <f>O236*W244</f>
        <v>0</v>
      </c>
      <c r="P244" s="610"/>
      <c r="R244" s="610"/>
      <c r="S244" s="610"/>
      <c r="T244" s="610"/>
      <c r="U244" s="610"/>
    </row>
    <row r="245" spans="4:23" ht="12.75" customHeight="1" x14ac:dyDescent="0.3">
      <c r="D245" s="411" t="s">
        <v>3038</v>
      </c>
      <c r="E245" s="396"/>
      <c r="F245" s="396"/>
      <c r="G245" s="301"/>
      <c r="H245" s="301"/>
      <c r="I245" s="114"/>
      <c r="J245" s="151">
        <v>0</v>
      </c>
      <c r="K245" s="151">
        <v>0</v>
      </c>
      <c r="L245" s="151">
        <f>L236*T245</f>
        <v>0</v>
      </c>
      <c r="M245" s="151">
        <f>M236*U245</f>
        <v>0</v>
      </c>
      <c r="N245" s="151">
        <f>N236*V245</f>
        <v>0</v>
      </c>
      <c r="O245" s="151">
        <f>O236*W245</f>
        <v>0</v>
      </c>
      <c r="P245" s="1175"/>
      <c r="R245" s="1175"/>
      <c r="S245" s="1175"/>
      <c r="T245" s="1175"/>
      <c r="U245" s="1175"/>
    </row>
    <row r="246" spans="4:23" ht="12.75" customHeight="1" x14ac:dyDescent="0.3">
      <c r="D246" s="411" t="s">
        <v>3039</v>
      </c>
      <c r="E246" s="396"/>
      <c r="F246" s="396"/>
      <c r="G246" s="301"/>
      <c r="H246" s="301"/>
      <c r="I246" s="114"/>
      <c r="J246" s="151">
        <v>0</v>
      </c>
      <c r="K246" s="151">
        <v>0</v>
      </c>
      <c r="L246" s="151">
        <f>L236*T246</f>
        <v>0</v>
      </c>
      <c r="M246" s="151">
        <f>M236*U246</f>
        <v>0</v>
      </c>
      <c r="N246" s="151">
        <f>N236*V246</f>
        <v>0</v>
      </c>
      <c r="O246" s="151">
        <f>O236*W246</f>
        <v>0</v>
      </c>
      <c r="P246" s="1175"/>
      <c r="R246" s="1175"/>
      <c r="S246" s="1175"/>
      <c r="T246" s="1175"/>
      <c r="U246" s="1175"/>
    </row>
    <row r="247" spans="4:23" ht="12.75" customHeight="1" x14ac:dyDescent="0.3">
      <c r="D247" s="411" t="s">
        <v>3041</v>
      </c>
      <c r="E247" s="396"/>
      <c r="F247" s="396"/>
      <c r="G247" s="301"/>
      <c r="H247" s="301"/>
      <c r="I247" s="114"/>
      <c r="J247" s="151">
        <v>0</v>
      </c>
      <c r="K247" s="151">
        <v>0</v>
      </c>
      <c r="L247" s="151">
        <f>L236*T247</f>
        <v>0</v>
      </c>
      <c r="M247" s="151">
        <f>M236*U247</f>
        <v>0</v>
      </c>
      <c r="N247" s="151">
        <f>N236*V247</f>
        <v>0</v>
      </c>
      <c r="O247" s="151">
        <f>O236*W247</f>
        <v>0</v>
      </c>
      <c r="P247" s="1175"/>
      <c r="R247" s="1175"/>
      <c r="S247" s="1175"/>
      <c r="T247" s="1175"/>
      <c r="U247" s="1175"/>
    </row>
    <row r="248" spans="4:23" ht="12.75" customHeight="1" x14ac:dyDescent="0.3">
      <c r="D248" s="411" t="s">
        <v>3042</v>
      </c>
      <c r="E248" s="301"/>
      <c r="F248" s="301"/>
      <c r="G248" s="359"/>
      <c r="H248" s="359"/>
      <c r="I248" s="510"/>
      <c r="J248" s="503">
        <v>0</v>
      </c>
      <c r="K248" s="503">
        <v>0</v>
      </c>
      <c r="L248" s="503">
        <f>L236*T248</f>
        <v>0</v>
      </c>
      <c r="M248" s="503">
        <f>M236*U248</f>
        <v>0</v>
      </c>
      <c r="N248" s="503">
        <f>N236*V248</f>
        <v>0</v>
      </c>
      <c r="O248" s="503">
        <f>O236*W248</f>
        <v>0</v>
      </c>
      <c r="P248" s="1175"/>
      <c r="R248" s="1175"/>
      <c r="S248" s="1175"/>
      <c r="T248" s="610"/>
      <c r="U248" s="610"/>
    </row>
    <row r="249" spans="4:23" ht="12.75" customHeight="1" x14ac:dyDescent="0.25">
      <c r="D249" s="411"/>
      <c r="E249" s="301"/>
      <c r="F249" s="301"/>
      <c r="G249" s="359"/>
      <c r="H249" s="359"/>
      <c r="I249" s="510"/>
      <c r="J249" s="503"/>
      <c r="K249" s="503"/>
      <c r="L249" s="503"/>
      <c r="M249" s="503"/>
      <c r="N249" s="503"/>
      <c r="O249" s="503"/>
      <c r="P249" s="513"/>
      <c r="S249" s="653"/>
    </row>
    <row r="250" spans="4:23" ht="12.75" customHeight="1" x14ac:dyDescent="0.25">
      <c r="D250" s="411" t="s">
        <v>3043</v>
      </c>
      <c r="E250" s="301"/>
      <c r="F250" s="301"/>
      <c r="G250" s="359"/>
      <c r="H250" s="359"/>
      <c r="I250" s="510"/>
      <c r="J250" s="503"/>
      <c r="K250" s="503"/>
      <c r="L250" s="503"/>
      <c r="M250" s="503"/>
      <c r="N250" s="503"/>
      <c r="O250" s="503"/>
      <c r="P250" s="513"/>
      <c r="R250" s="571"/>
      <c r="S250" s="571"/>
      <c r="T250" s="571"/>
      <c r="U250" s="571"/>
      <c r="V250" s="571"/>
    </row>
    <row r="251" spans="4:23" ht="12.75" customHeight="1" x14ac:dyDescent="0.25">
      <c r="D251" s="411" t="s">
        <v>3044</v>
      </c>
      <c r="E251" s="301"/>
      <c r="F251" s="301"/>
      <c r="G251" s="359"/>
      <c r="H251" s="359"/>
      <c r="I251" s="510"/>
      <c r="J251" s="1176">
        <v>0</v>
      </c>
      <c r="K251" s="1176">
        <v>0</v>
      </c>
      <c r="L251" s="1176">
        <v>0</v>
      </c>
      <c r="M251" s="1176">
        <v>0</v>
      </c>
      <c r="N251" s="1176">
        <v>0</v>
      </c>
      <c r="O251" s="1176">
        <v>0</v>
      </c>
      <c r="P251" s="1176"/>
      <c r="R251" s="1177"/>
      <c r="S251" s="1177"/>
      <c r="T251" s="1177"/>
      <c r="U251" s="1177"/>
      <c r="V251" s="1177"/>
    </row>
    <row r="252" spans="4:23" ht="12.75" customHeight="1" x14ac:dyDescent="0.25">
      <c r="D252" s="411" t="s">
        <v>3045</v>
      </c>
      <c r="E252" s="301"/>
      <c r="F252" s="301"/>
      <c r="G252" s="359"/>
      <c r="H252" s="359"/>
      <c r="I252" s="510"/>
      <c r="J252" s="1176">
        <v>0</v>
      </c>
      <c r="K252" s="1176">
        <v>0</v>
      </c>
      <c r="L252" s="1176">
        <v>0</v>
      </c>
      <c r="M252" s="1176">
        <v>0</v>
      </c>
      <c r="N252" s="1176">
        <v>0</v>
      </c>
      <c r="O252" s="1176">
        <v>0</v>
      </c>
      <c r="P252" s="1176"/>
      <c r="R252" s="513"/>
      <c r="S252" s="513"/>
      <c r="T252" s="513"/>
      <c r="U252" s="513"/>
      <c r="V252" s="513"/>
    </row>
    <row r="253" spans="4:23" ht="12.75" customHeight="1" x14ac:dyDescent="0.3">
      <c r="D253" s="411" t="s">
        <v>3046</v>
      </c>
      <c r="E253" s="301"/>
      <c r="F253" s="301"/>
      <c r="G253" s="359"/>
      <c r="H253" s="359"/>
      <c r="I253" s="510"/>
      <c r="J253" s="742">
        <v>0</v>
      </c>
      <c r="K253" s="742">
        <v>0</v>
      </c>
      <c r="L253" s="742">
        <f>L236*T253</f>
        <v>0</v>
      </c>
      <c r="M253" s="742">
        <f>M236*U253</f>
        <v>0</v>
      </c>
      <c r="N253" s="742">
        <f>N236*V253</f>
        <v>0</v>
      </c>
      <c r="O253" s="742">
        <f>O236*W253</f>
        <v>0</v>
      </c>
      <c r="P253" s="742"/>
      <c r="R253" s="1175"/>
      <c r="S253" s="1175"/>
      <c r="T253" s="1175"/>
      <c r="U253" s="1175"/>
      <c r="V253" s="1175"/>
    </row>
    <row r="254" spans="4:23" ht="12.75" customHeight="1" x14ac:dyDescent="0.25">
      <c r="D254" s="411" t="s">
        <v>3047</v>
      </c>
      <c r="E254" s="301"/>
      <c r="F254" s="301"/>
      <c r="G254" s="359"/>
      <c r="H254" s="359"/>
      <c r="I254" s="510"/>
      <c r="J254" s="1176">
        <v>0</v>
      </c>
      <c r="K254" s="742">
        <v>0</v>
      </c>
      <c r="L254" s="1176">
        <v>1</v>
      </c>
      <c r="M254" s="742">
        <f>M237*U254</f>
        <v>0</v>
      </c>
      <c r="N254" s="742">
        <f>N237*V254</f>
        <v>0</v>
      </c>
      <c r="O254" s="742">
        <f>O237*W254</f>
        <v>0</v>
      </c>
      <c r="P254" s="1176"/>
      <c r="R254" s="513"/>
      <c r="S254" s="513"/>
      <c r="T254" s="513"/>
    </row>
    <row r="255" spans="4:23" ht="12.75" customHeight="1" x14ac:dyDescent="0.3">
      <c r="D255" s="507" t="s">
        <v>945</v>
      </c>
      <c r="E255" s="115"/>
      <c r="F255" s="115"/>
      <c r="I255" s="508"/>
      <c r="J255" s="508"/>
      <c r="K255" s="508"/>
      <c r="L255" s="151"/>
      <c r="M255" s="151"/>
      <c r="N255" s="151"/>
      <c r="O255" s="151"/>
      <c r="R255" s="381">
        <v>2025</v>
      </c>
      <c r="S255" s="381">
        <v>2026</v>
      </c>
      <c r="T255" s="381">
        <v>2027</v>
      </c>
      <c r="U255" s="381">
        <v>2028</v>
      </c>
      <c r="V255" s="381">
        <v>2029</v>
      </c>
      <c r="W255" s="2111">
        <v>2030</v>
      </c>
    </row>
    <row r="256" spans="4:23" ht="12.75" customHeight="1" x14ac:dyDescent="0.3">
      <c r="D256" s="507"/>
      <c r="E256" s="115"/>
      <c r="F256" s="115"/>
      <c r="I256" s="508"/>
      <c r="J256" s="508"/>
      <c r="K256" s="508"/>
      <c r="L256" s="151"/>
      <c r="M256" s="151"/>
      <c r="N256" s="151"/>
      <c r="O256" s="151"/>
      <c r="W256" s="358"/>
    </row>
    <row r="257" spans="4:23" ht="12.75" customHeight="1" x14ac:dyDescent="0.3">
      <c r="D257" s="115" t="s">
        <v>946</v>
      </c>
      <c r="E257" s="115"/>
      <c r="F257" s="115"/>
      <c r="I257" s="359"/>
      <c r="J257" s="151">
        <v>14209.643996604962</v>
      </c>
      <c r="K257" s="151">
        <v>13949.978601505498</v>
      </c>
      <c r="L257" s="151">
        <f>L$236*T257</f>
        <v>15186.848377592141</v>
      </c>
      <c r="M257" s="151">
        <f>M$236*U257</f>
        <v>16625.850998855862</v>
      </c>
      <c r="N257" s="151">
        <f>N$236*V257</f>
        <v>18137.845457050524</v>
      </c>
      <c r="O257" s="547">
        <f>O$236*W257</f>
        <v>18808.956386544971</v>
      </c>
      <c r="R257" s="508">
        <v>0.10002862957699615</v>
      </c>
      <c r="S257" s="509">
        <v>9.0140015130011811E-2</v>
      </c>
      <c r="T257" s="509">
        <v>9.4116051248378754E-2</v>
      </c>
      <c r="U257" s="509">
        <v>9.9292008067508306E-2</v>
      </c>
      <c r="V257" s="509">
        <v>0.10438807427196223</v>
      </c>
      <c r="W257" s="2083">
        <v>0.10438807427196223</v>
      </c>
    </row>
    <row r="258" spans="4:23" ht="12.75" customHeight="1" x14ac:dyDescent="0.3">
      <c r="D258" s="115" t="s">
        <v>947</v>
      </c>
      <c r="E258" s="115"/>
      <c r="F258" s="115"/>
      <c r="I258" s="359"/>
      <c r="J258" s="151">
        <v>331.08454173600649</v>
      </c>
      <c r="K258" s="151">
        <v>338.60830091225279</v>
      </c>
      <c r="L258" s="151">
        <f t="shared" ref="L258:L264" si="39">L$236*T258</f>
        <v>351.91172909597549</v>
      </c>
      <c r="M258" s="151">
        <f t="shared" ref="M258:M264" si="40">M$236*U258</f>
        <v>363.99411647650339</v>
      </c>
      <c r="N258" s="151">
        <f t="shared" ref="N258:O264" si="41">N$236*V258</f>
        <v>376.48610815265448</v>
      </c>
      <c r="O258" s="547">
        <f t="shared" si="41"/>
        <v>390.4163151655199</v>
      </c>
      <c r="R258" s="508">
        <v>2.3306659189979155E-3</v>
      </c>
      <c r="S258" s="509">
        <v>2.1879716262850806E-3</v>
      </c>
      <c r="T258" s="509">
        <v>2.1808700203638722E-3</v>
      </c>
      <c r="U258" s="509">
        <v>2.1738259745138874E-3</v>
      </c>
      <c r="V258" s="509">
        <v>2.1667766391142334E-3</v>
      </c>
      <c r="W258" s="2083">
        <v>2.1667766391142334E-3</v>
      </c>
    </row>
    <row r="259" spans="4:23" ht="12.75" customHeight="1" x14ac:dyDescent="0.3">
      <c r="D259" s="115" t="s">
        <v>948</v>
      </c>
      <c r="E259" s="115"/>
      <c r="F259" s="115"/>
      <c r="I259" s="359"/>
      <c r="J259" s="151">
        <v>27183.343778895942</v>
      </c>
      <c r="K259" s="151">
        <v>27065.285478955528</v>
      </c>
      <c r="L259" s="151">
        <f t="shared" si="39"/>
        <v>28139.533323190637</v>
      </c>
      <c r="M259" s="151">
        <f t="shared" si="40"/>
        <v>29116.468475528458</v>
      </c>
      <c r="N259" s="151">
        <f t="shared" si="41"/>
        <v>30127.290541020866</v>
      </c>
      <c r="O259" s="547">
        <f t="shared" si="41"/>
        <v>31242.017976868228</v>
      </c>
      <c r="R259" s="508">
        <v>0.19135684371635128</v>
      </c>
      <c r="S259" s="509">
        <v>0.17488666558297436</v>
      </c>
      <c r="T259" s="509">
        <v>0.17438652803424973</v>
      </c>
      <c r="U259" s="509">
        <v>0.17388779816254066</v>
      </c>
      <c r="V259" s="509">
        <v>0.17339048621050948</v>
      </c>
      <c r="W259" s="2083">
        <v>0.17339048621050948</v>
      </c>
    </row>
    <row r="260" spans="4:23" ht="12.75" customHeight="1" x14ac:dyDescent="0.3">
      <c r="D260" s="115" t="s">
        <v>949</v>
      </c>
      <c r="E260" s="115"/>
      <c r="F260" s="115"/>
      <c r="I260" s="359"/>
      <c r="J260" s="151">
        <v>36054.688357467683</v>
      </c>
      <c r="K260" s="151">
        <v>35129.673964000001</v>
      </c>
      <c r="L260" s="151">
        <f t="shared" si="39"/>
        <v>35845.015456999994</v>
      </c>
      <c r="M260" s="151">
        <f t="shared" si="40"/>
        <v>36943.504607999996</v>
      </c>
      <c r="N260" s="151">
        <f t="shared" si="41"/>
        <v>38074.540266000004</v>
      </c>
      <c r="O260" s="547">
        <f t="shared" si="41"/>
        <v>39483.320607000001</v>
      </c>
      <c r="R260" s="508">
        <v>0.2538065744000943</v>
      </c>
      <c r="S260" s="509">
        <v>0.226996</v>
      </c>
      <c r="T260" s="509">
        <v>0.22213899999999998</v>
      </c>
      <c r="U260" s="509">
        <v>0.22063199999999999</v>
      </c>
      <c r="V260" s="509">
        <v>0.21912900000000002</v>
      </c>
      <c r="W260" s="2083">
        <v>0.21912900000000002</v>
      </c>
    </row>
    <row r="261" spans="4:23" ht="12.75" customHeight="1" x14ac:dyDescent="0.3">
      <c r="D261" s="308" t="s">
        <v>950</v>
      </c>
      <c r="E261" s="115"/>
      <c r="F261" s="115"/>
      <c r="I261" s="359"/>
      <c r="J261" s="151">
        <v>4991.4168624396489</v>
      </c>
      <c r="K261" s="151">
        <v>4781.2817474086287</v>
      </c>
      <c r="L261" s="151">
        <f t="shared" si="39"/>
        <v>4964.5614700157566</v>
      </c>
      <c r="M261" s="151">
        <f t="shared" si="40"/>
        <v>5130.3336543115911</v>
      </c>
      <c r="N261" s="151">
        <f t="shared" si="41"/>
        <v>5301.7950551135682</v>
      </c>
      <c r="O261" s="547">
        <f t="shared" si="41"/>
        <v>5497.9645845018131</v>
      </c>
      <c r="R261" s="508">
        <v>3.513702303285287E-2</v>
      </c>
      <c r="S261" s="509">
        <v>3.0895015782013507E-2</v>
      </c>
      <c r="T261" s="509">
        <v>3.0766417766252215E-2</v>
      </c>
      <c r="U261" s="509">
        <v>3.0639101158068314E-2</v>
      </c>
      <c r="V261" s="509">
        <v>3.051322591199954E-2</v>
      </c>
      <c r="W261" s="2083">
        <v>3.051322591199954E-2</v>
      </c>
    </row>
    <row r="262" spans="4:23" ht="12.75" customHeight="1" x14ac:dyDescent="0.3">
      <c r="D262" s="308" t="s">
        <v>951</v>
      </c>
      <c r="E262" s="115"/>
      <c r="F262" s="115"/>
      <c r="I262" s="359"/>
      <c r="J262" s="151">
        <v>0</v>
      </c>
      <c r="K262" s="151">
        <v>0</v>
      </c>
      <c r="L262" s="151">
        <f t="shared" si="39"/>
        <v>0</v>
      </c>
      <c r="M262" s="151">
        <f t="shared" si="40"/>
        <v>0</v>
      </c>
      <c r="N262" s="151">
        <f t="shared" si="41"/>
        <v>0</v>
      </c>
      <c r="O262" s="547">
        <f t="shared" si="41"/>
        <v>0</v>
      </c>
      <c r="R262" s="508">
        <v>0</v>
      </c>
      <c r="S262" s="509">
        <v>0</v>
      </c>
      <c r="T262" s="509">
        <v>0</v>
      </c>
      <c r="U262" s="509">
        <v>0</v>
      </c>
      <c r="V262" s="509">
        <v>0</v>
      </c>
      <c r="W262" s="2083">
        <v>0</v>
      </c>
    </row>
    <row r="263" spans="4:23" ht="12.75" customHeight="1" x14ac:dyDescent="0.3">
      <c r="D263" s="308" t="s">
        <v>952</v>
      </c>
      <c r="E263" s="115"/>
      <c r="F263" s="115"/>
      <c r="I263" s="359"/>
      <c r="J263" s="151">
        <v>15940.599127382482</v>
      </c>
      <c r="K263" s="151">
        <v>19500.703025395313</v>
      </c>
      <c r="L263" s="151">
        <f t="shared" si="39"/>
        <v>18014.651569704743</v>
      </c>
      <c r="M263" s="151">
        <f t="shared" si="40"/>
        <v>18693.542565390631</v>
      </c>
      <c r="N263" s="151">
        <f t="shared" si="41"/>
        <v>19398.013115323294</v>
      </c>
      <c r="O263" s="547">
        <f t="shared" si="41"/>
        <v>20115.750987938682</v>
      </c>
      <c r="R263" s="508">
        <v>0.11221366881037274</v>
      </c>
      <c r="S263" s="509">
        <v>0.12600690767835998</v>
      </c>
      <c r="T263" s="509">
        <v>0.11164053450732041</v>
      </c>
      <c r="U263" s="509">
        <v>0.11164056380276767</v>
      </c>
      <c r="V263" s="509">
        <v>0.11164067080656155</v>
      </c>
      <c r="W263" s="2083">
        <v>0.11164067080656155</v>
      </c>
    </row>
    <row r="264" spans="4:23" ht="12.75" customHeight="1" x14ac:dyDescent="0.3">
      <c r="D264" s="308" t="s">
        <v>953</v>
      </c>
      <c r="E264" s="115"/>
      <c r="F264" s="115"/>
      <c r="I264" s="359"/>
      <c r="J264" s="151">
        <v>0</v>
      </c>
      <c r="K264" s="151">
        <v>0</v>
      </c>
      <c r="L264" s="151">
        <f t="shared" si="39"/>
        <v>0</v>
      </c>
      <c r="M264" s="151">
        <f t="shared" si="40"/>
        <v>0</v>
      </c>
      <c r="N264" s="151">
        <f t="shared" si="41"/>
        <v>0</v>
      </c>
      <c r="O264" s="547">
        <f t="shared" si="41"/>
        <v>0</v>
      </c>
      <c r="R264" s="508">
        <v>0</v>
      </c>
      <c r="S264" s="509">
        <v>0</v>
      </c>
      <c r="T264" s="509">
        <v>0</v>
      </c>
      <c r="U264" s="509">
        <v>0</v>
      </c>
      <c r="V264" s="509">
        <v>0</v>
      </c>
      <c r="W264" s="2083">
        <v>0</v>
      </c>
    </row>
    <row r="265" spans="4:23" ht="12.75" customHeight="1" x14ac:dyDescent="0.25">
      <c r="D265" s="115"/>
      <c r="E265" s="115"/>
      <c r="F265" s="115"/>
      <c r="I265" s="359"/>
      <c r="J265" s="359"/>
      <c r="K265" s="359"/>
      <c r="L265" s="151"/>
      <c r="M265" s="151"/>
      <c r="N265" s="151"/>
      <c r="O265" s="547"/>
      <c r="R265" s="508"/>
      <c r="S265" s="508"/>
      <c r="T265" s="508"/>
      <c r="U265" s="508"/>
      <c r="V265" s="508"/>
      <c r="W265" s="2090"/>
    </row>
    <row r="266" spans="4:23" ht="12.75" customHeight="1" x14ac:dyDescent="0.3">
      <c r="D266" s="507" t="s">
        <v>954</v>
      </c>
      <c r="E266" s="115"/>
      <c r="F266" s="115"/>
      <c r="I266" s="359"/>
      <c r="J266" s="359"/>
      <c r="K266" s="359"/>
      <c r="L266" s="151"/>
      <c r="M266" s="151"/>
      <c r="N266" s="151"/>
      <c r="O266" s="547"/>
      <c r="R266" s="508"/>
      <c r="S266" s="508"/>
      <c r="T266" s="508"/>
      <c r="U266" s="508"/>
      <c r="V266" s="508"/>
      <c r="W266" s="2090"/>
    </row>
    <row r="267" spans="4:23" ht="12.75" customHeight="1" x14ac:dyDescent="0.25">
      <c r="D267" s="115"/>
      <c r="E267" s="115"/>
      <c r="F267" s="115"/>
      <c r="I267" s="359"/>
      <c r="J267" s="359"/>
      <c r="K267" s="359"/>
      <c r="L267" s="151"/>
      <c r="M267" s="151"/>
      <c r="N267" s="151"/>
      <c r="O267" s="547"/>
      <c r="R267" s="508"/>
      <c r="S267" s="508"/>
      <c r="T267" s="508"/>
      <c r="U267" s="508"/>
      <c r="V267" s="508"/>
      <c r="W267" s="2090"/>
    </row>
    <row r="268" spans="4:23" ht="12.75" customHeight="1" x14ac:dyDescent="0.3">
      <c r="D268" s="115" t="s">
        <v>955</v>
      </c>
      <c r="E268" s="115"/>
      <c r="F268" s="115"/>
      <c r="I268" s="359"/>
      <c r="J268" s="151">
        <v>5803.8959765384243</v>
      </c>
      <c r="K268" s="151">
        <v>4993.0604573279788</v>
      </c>
      <c r="L268" s="151">
        <f t="shared" ref="L268:L269" si="42">L$236*T268</f>
        <v>7677.5572943020661</v>
      </c>
      <c r="M268" s="151">
        <f t="shared" ref="M268:M269" si="43">M$236*U268</f>
        <v>7636.763751822019</v>
      </c>
      <c r="N268" s="151">
        <f t="shared" ref="N268:O269" si="44">N$236*V268</f>
        <v>7677.9473471190322</v>
      </c>
      <c r="O268" s="547">
        <f t="shared" si="44"/>
        <v>7962.0359062004245</v>
      </c>
      <c r="R268" s="508">
        <v>4.085646064597323E-2</v>
      </c>
      <c r="S268" s="509">
        <v>3.2263457746095403E-2</v>
      </c>
      <c r="T268" s="509">
        <v>4.7579415939850316E-2</v>
      </c>
      <c r="U268" s="509">
        <v>4.5607867417297838E-2</v>
      </c>
      <c r="V268" s="509">
        <v>4.4188607727701418E-2</v>
      </c>
      <c r="W268" s="2083">
        <v>4.4188607727701418E-2</v>
      </c>
    </row>
    <row r="269" spans="4:23" ht="12.75" customHeight="1" x14ac:dyDescent="0.3">
      <c r="D269" s="115" t="s">
        <v>956</v>
      </c>
      <c r="E269" s="115"/>
      <c r="F269" s="115"/>
      <c r="I269" s="359"/>
      <c r="J269" s="151">
        <v>23675.246988804822</v>
      </c>
      <c r="K269" s="151">
        <v>26028.606692000001</v>
      </c>
      <c r="L269" s="151">
        <f t="shared" si="42"/>
        <v>26104.660688000004</v>
      </c>
      <c r="M269" s="151">
        <f t="shared" si="43"/>
        <v>21855.293212</v>
      </c>
      <c r="N269" s="151">
        <f t="shared" si="44"/>
        <v>21829.583790000001</v>
      </c>
      <c r="O269" s="547">
        <f t="shared" si="44"/>
        <v>22637.291204999998</v>
      </c>
      <c r="R269" s="508">
        <v>0.16666163569987213</v>
      </c>
      <c r="S269" s="509">
        <v>0.168188</v>
      </c>
      <c r="T269" s="509">
        <v>0.16177600000000003</v>
      </c>
      <c r="U269" s="509">
        <v>0.130523</v>
      </c>
      <c r="V269" s="509">
        <v>0.125635</v>
      </c>
      <c r="W269" s="2083">
        <v>0.125635</v>
      </c>
    </row>
    <row r="270" spans="4:23" ht="12.75" customHeight="1" x14ac:dyDescent="0.25">
      <c r="D270" s="411"/>
      <c r="E270" s="301"/>
      <c r="F270" s="301"/>
      <c r="G270" s="359"/>
      <c r="H270" s="359"/>
      <c r="I270" s="510"/>
      <c r="J270" s="151"/>
      <c r="K270" s="151"/>
      <c r="L270" s="151"/>
      <c r="M270" s="151"/>
      <c r="N270" s="151"/>
      <c r="O270" s="547"/>
      <c r="R270" s="149"/>
      <c r="S270" s="149"/>
      <c r="T270" s="149"/>
      <c r="U270" s="149"/>
      <c r="V270" s="149"/>
      <c r="W270" s="2112"/>
    </row>
    <row r="271" spans="4:23" ht="12.75" customHeight="1" thickBot="1" x14ac:dyDescent="0.3">
      <c r="D271" s="301" t="s">
        <v>957</v>
      </c>
      <c r="E271" s="301"/>
      <c r="F271" s="301"/>
      <c r="G271" s="359"/>
      <c r="H271" s="359"/>
      <c r="I271" s="510"/>
      <c r="J271" s="1745">
        <v>128189.91962986997</v>
      </c>
      <c r="K271" s="1745">
        <v>131787.19826750521</v>
      </c>
      <c r="L271" s="1745">
        <f t="shared" ref="L271:M271" si="45">SUM(L257:L270)</f>
        <v>136284.73990890133</v>
      </c>
      <c r="M271" s="1745">
        <f t="shared" si="45"/>
        <v>136365.75138238506</v>
      </c>
      <c r="N271" s="1745">
        <f t="shared" ref="N271:O271" si="46">SUM(N257:N270)</f>
        <v>140923.50167977993</v>
      </c>
      <c r="O271" s="2110">
        <f t="shared" si="46"/>
        <v>146137.75396921963</v>
      </c>
      <c r="W271" s="358"/>
    </row>
    <row r="272" spans="4:23" ht="12.75" customHeight="1" thickTop="1" x14ac:dyDescent="0.25">
      <c r="E272" s="301"/>
      <c r="F272" s="301"/>
      <c r="G272" s="359"/>
      <c r="H272" s="359"/>
      <c r="I272" s="510"/>
      <c r="J272" s="503"/>
      <c r="K272" s="503"/>
      <c r="L272" s="503"/>
      <c r="M272" s="503"/>
      <c r="N272" s="503"/>
      <c r="O272" s="503"/>
      <c r="P272" s="381" t="s">
        <v>958</v>
      </c>
      <c r="Q272" s="381"/>
      <c r="R272" s="514">
        <f>SUM(R257:R271)</f>
        <v>0.90239150180151062</v>
      </c>
      <c r="S272" s="514">
        <f t="shared" ref="S272:U272" si="47">SUM(S257:S271)</f>
        <v>0.85156403354574006</v>
      </c>
      <c r="T272" s="514">
        <f t="shared" si="47"/>
        <v>0.84458481751641523</v>
      </c>
      <c r="U272" s="514">
        <f t="shared" si="47"/>
        <v>0.8143961645826967</v>
      </c>
      <c r="V272" s="514">
        <f t="shared" ref="V272:W272" si="48">SUM(V257:V271)</f>
        <v>0.81105184156784849</v>
      </c>
      <c r="W272" s="2087">
        <f t="shared" si="48"/>
        <v>0.81105184156784849</v>
      </c>
    </row>
    <row r="273" spans="4:15" ht="12.75" customHeight="1" x14ac:dyDescent="0.25">
      <c r="D273" s="301" t="s">
        <v>959</v>
      </c>
      <c r="E273" s="301"/>
      <c r="F273" s="301"/>
      <c r="G273" s="359"/>
      <c r="H273" s="359"/>
      <c r="I273" s="510"/>
      <c r="J273" s="503">
        <v>473632.77</v>
      </c>
      <c r="K273" s="503">
        <v>488254.74699999997</v>
      </c>
      <c r="L273" s="503">
        <f t="shared" ref="L273:M273" si="49">L239</f>
        <v>496645.76418100001</v>
      </c>
      <c r="M273" s="503">
        <f t="shared" si="49"/>
        <v>504664.58675716299</v>
      </c>
      <c r="N273" s="503">
        <f t="shared" ref="N273:O273" si="50">N239</f>
        <v>512916.7622525777</v>
      </c>
      <c r="O273" s="503">
        <f t="shared" si="50"/>
        <v>521333.85078438703</v>
      </c>
    </row>
    <row r="274" spans="4:15" ht="12.75" customHeight="1" x14ac:dyDescent="0.25">
      <c r="D274" s="301" t="s">
        <v>960</v>
      </c>
      <c r="E274" s="301"/>
      <c r="F274" s="301"/>
      <c r="G274" s="359"/>
      <c r="H274" s="359"/>
      <c r="I274" s="510"/>
      <c r="J274" s="503">
        <v>128189.91962986997</v>
      </c>
      <c r="K274" s="503">
        <v>131787.19826750521</v>
      </c>
      <c r="L274" s="503">
        <f t="shared" ref="L274:M274" si="51">L271</f>
        <v>136284.73990890133</v>
      </c>
      <c r="M274" s="503">
        <f t="shared" si="51"/>
        <v>136365.75138238506</v>
      </c>
      <c r="N274" s="503">
        <f t="shared" ref="N274:O274" si="52">N271</f>
        <v>140923.50167977993</v>
      </c>
      <c r="O274" s="503">
        <f t="shared" si="52"/>
        <v>146137.75396921963</v>
      </c>
    </row>
    <row r="275" spans="4:15" ht="12.75" customHeight="1" x14ac:dyDescent="0.25">
      <c r="D275" s="301" t="s">
        <v>961</v>
      </c>
      <c r="E275" s="301"/>
      <c r="F275" s="301"/>
      <c r="G275" s="359"/>
      <c r="H275" s="359"/>
      <c r="I275" s="510"/>
      <c r="J275" s="511">
        <v>-409200</v>
      </c>
      <c r="K275" s="511">
        <v>-419839</v>
      </c>
      <c r="L275" s="511">
        <f>L111</f>
        <v>-428656</v>
      </c>
      <c r="M275" s="511">
        <f>M111</f>
        <v>-438515</v>
      </c>
      <c r="N275" s="511">
        <f>N111</f>
        <v>-448601</v>
      </c>
      <c r="O275" s="511">
        <f>O111</f>
        <v>-458919</v>
      </c>
    </row>
    <row r="276" spans="4:15" ht="12.75" customHeight="1" x14ac:dyDescent="0.25">
      <c r="E276" s="301"/>
      <c r="F276" s="301"/>
      <c r="G276" s="359"/>
      <c r="H276" s="359"/>
      <c r="I276" s="510"/>
      <c r="J276" s="503"/>
      <c r="K276" s="503"/>
      <c r="L276" s="503"/>
      <c r="M276" s="503"/>
      <c r="N276" s="503"/>
      <c r="O276" s="503"/>
    </row>
    <row r="277" spans="4:15" ht="12.75" customHeight="1" x14ac:dyDescent="0.25">
      <c r="E277" s="301"/>
      <c r="F277" s="301"/>
      <c r="G277" s="359"/>
      <c r="H277" s="359"/>
      <c r="I277" s="510"/>
      <c r="J277" s="503"/>
      <c r="K277" s="503"/>
      <c r="L277" s="503"/>
      <c r="M277" s="503"/>
      <c r="N277" s="503"/>
      <c r="O277" s="503"/>
    </row>
    <row r="278" spans="4:15" ht="12.75" customHeight="1" x14ac:dyDescent="0.25">
      <c r="D278" s="301" t="s">
        <v>962</v>
      </c>
      <c r="E278" s="301"/>
      <c r="F278" s="301"/>
      <c r="G278" s="359"/>
      <c r="H278" s="359"/>
      <c r="I278" s="510"/>
      <c r="J278" s="510">
        <v>192622.68962987</v>
      </c>
      <c r="K278" s="510">
        <v>200202.94526750525</v>
      </c>
      <c r="L278" s="510">
        <f t="shared" ref="L278:M278" si="53">SUM(L273:L277)</f>
        <v>204274.50408990134</v>
      </c>
      <c r="M278" s="510">
        <f t="shared" si="53"/>
        <v>202515.33813954808</v>
      </c>
      <c r="N278" s="510">
        <f t="shared" ref="N278:O278" si="54">SUM(N273:N277)</f>
        <v>205239.26393235766</v>
      </c>
      <c r="O278" s="510">
        <f t="shared" si="54"/>
        <v>208552.60475360672</v>
      </c>
    </row>
    <row r="279" spans="4:15" ht="12.75" customHeight="1" x14ac:dyDescent="0.25">
      <c r="D279" s="301" t="s">
        <v>963</v>
      </c>
      <c r="E279" s="301"/>
      <c r="F279" s="301"/>
      <c r="G279" s="359"/>
      <c r="H279" s="359"/>
      <c r="I279" s="512"/>
      <c r="J279" s="512">
        <v>0.67993448411136537</v>
      </c>
      <c r="K279" s="512">
        <v>0.67711386818978592</v>
      </c>
      <c r="L279" s="512">
        <f t="shared" ref="L279:M279" si="55">IF((-L275/(L273+L274))&gt;0,-L275/(L273+L274),L275/(L273+L274))</f>
        <v>0.67725602926401818</v>
      </c>
      <c r="M279" s="512">
        <f t="shared" si="55"/>
        <v>0.68407838741719296</v>
      </c>
      <c r="N279" s="512">
        <f t="shared" ref="N279:O279" si="56">IF((-N275/(N273+N274))&gt;0,-N275/(N273+N274),N275/(N273+N274))</f>
        <v>0.68610182753506521</v>
      </c>
      <c r="O279" s="512">
        <f t="shared" si="56"/>
        <v>0.68754834922064934</v>
      </c>
    </row>
    <row r="280" spans="4:15" ht="12.75" customHeight="1" x14ac:dyDescent="0.25">
      <c r="E280" s="301"/>
      <c r="F280" s="301"/>
      <c r="G280" s="359"/>
      <c r="H280" s="359"/>
      <c r="I280" s="510"/>
      <c r="J280" s="503"/>
      <c r="K280" s="503"/>
      <c r="L280" s="503"/>
      <c r="M280" s="503"/>
      <c r="N280" s="503"/>
      <c r="O280" s="503"/>
    </row>
    <row r="281" spans="4:15" ht="12.75" customHeight="1" x14ac:dyDescent="0.25">
      <c r="E281" s="301"/>
      <c r="F281" s="301"/>
      <c r="G281" s="359"/>
      <c r="H281" s="359"/>
      <c r="I281" s="510"/>
      <c r="J281" s="503"/>
      <c r="K281" s="503"/>
      <c r="L281" s="503"/>
      <c r="M281" s="503"/>
      <c r="N281" s="503"/>
      <c r="O281" s="503"/>
    </row>
    <row r="282" spans="4:15" ht="12.75" customHeight="1" x14ac:dyDescent="0.25">
      <c r="E282" s="301"/>
      <c r="F282" s="301"/>
      <c r="G282" s="359"/>
      <c r="H282" s="359"/>
      <c r="I282" s="510"/>
      <c r="J282" s="503"/>
      <c r="K282" s="503"/>
      <c r="L282" s="503"/>
      <c r="M282" s="503"/>
      <c r="N282" s="503"/>
      <c r="O282" s="503"/>
    </row>
    <row r="283" spans="4:15" ht="12.75" customHeight="1" x14ac:dyDescent="0.25">
      <c r="E283" s="301"/>
      <c r="F283" s="301"/>
      <c r="G283" s="359"/>
      <c r="H283" s="359"/>
      <c r="I283" s="510"/>
      <c r="J283" s="503"/>
      <c r="K283" s="503"/>
      <c r="L283" s="503"/>
      <c r="M283" s="503"/>
      <c r="N283" s="503"/>
      <c r="O283" s="503"/>
    </row>
    <row r="284" spans="4:15" ht="12.75" customHeight="1" x14ac:dyDescent="0.25">
      <c r="E284" s="301"/>
      <c r="F284" s="301"/>
      <c r="G284" s="359"/>
      <c r="H284" s="359"/>
      <c r="I284" s="510"/>
      <c r="J284" s="503"/>
      <c r="K284" s="503"/>
      <c r="L284" s="503"/>
      <c r="M284" s="503"/>
      <c r="N284" s="503"/>
      <c r="O284" s="503"/>
    </row>
    <row r="285" spans="4:15" ht="12.75" customHeight="1" x14ac:dyDescent="0.25">
      <c r="E285" s="301"/>
      <c r="F285" s="301"/>
      <c r="G285" s="359"/>
      <c r="H285" s="359"/>
      <c r="I285" s="510"/>
      <c r="J285" s="503"/>
      <c r="K285" s="503"/>
      <c r="L285" s="503"/>
      <c r="M285" s="503"/>
      <c r="N285" s="503"/>
      <c r="O285" s="503"/>
    </row>
    <row r="286" spans="4:15" ht="12.75" customHeight="1" x14ac:dyDescent="0.25">
      <c r="E286" s="301"/>
      <c r="F286" s="301"/>
      <c r="G286" s="359"/>
      <c r="H286" s="359"/>
      <c r="I286" s="510"/>
      <c r="J286" s="503"/>
      <c r="K286" s="503"/>
      <c r="L286" s="503"/>
      <c r="M286" s="503"/>
      <c r="N286" s="503"/>
      <c r="O286" s="503"/>
    </row>
    <row r="287" spans="4:15" ht="12.75" customHeight="1" x14ac:dyDescent="0.25">
      <c r="E287" s="301"/>
      <c r="F287" s="301"/>
      <c r="G287" s="359"/>
      <c r="H287" s="359"/>
      <c r="I287" s="510"/>
      <c r="J287" s="503"/>
      <c r="K287" s="503"/>
      <c r="L287" s="503"/>
      <c r="M287" s="503"/>
      <c r="N287" s="503"/>
      <c r="O287" s="503"/>
    </row>
    <row r="288" spans="4:15" ht="12.75" customHeight="1" x14ac:dyDescent="0.25">
      <c r="E288" s="301"/>
      <c r="F288" s="301"/>
      <c r="G288" s="359"/>
      <c r="H288" s="359"/>
      <c r="I288" s="512"/>
      <c r="J288" s="512"/>
      <c r="K288" s="512"/>
      <c r="L288" s="512"/>
      <c r="M288" s="512"/>
      <c r="N288" s="512"/>
      <c r="O288" s="512"/>
    </row>
    <row r="289" spans="4:15" ht="12.75" customHeight="1" x14ac:dyDescent="0.25">
      <c r="D289" s="115"/>
      <c r="E289" s="115"/>
      <c r="F289" s="115"/>
      <c r="J289" s="503"/>
      <c r="K289" s="503"/>
      <c r="L289" s="503"/>
      <c r="M289" s="503"/>
      <c r="N289" s="503"/>
      <c r="O289" s="503"/>
    </row>
  </sheetData>
  <mergeCells count="4">
    <mergeCell ref="D80:D81"/>
    <mergeCell ref="F80:F81"/>
    <mergeCell ref="G80:H81"/>
    <mergeCell ref="E225:I225"/>
  </mergeCells>
  <phoneticPr fontId="52" type="noConversion"/>
  <hyperlinks>
    <hyperlink ref="A1" location="Inhoudsopgave!A1" display="Inhoudsopgave" xr:uid="{EF3DDC2D-1E2B-4B73-8280-3F9F943C9637}"/>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4" manualBreakCount="4">
    <brk id="77" min="3" max="14" man="1"/>
    <brk id="119" min="3" max="14" man="1"/>
    <brk id="185" min="3" max="14" man="1"/>
    <brk id="265" min="3" max="14" man="1"/>
  </rowBreaks>
  <ignoredErrors>
    <ignoredError sqref="L87:N87 L200:N200" formula="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2949-FA5A-4A3D-B6E5-F822C436BBD3}">
  <sheetPr codeName="Blad23"/>
  <dimension ref="A1:W415"/>
  <sheetViews>
    <sheetView showGridLines="0" view="pageBreakPreview" topLeftCell="D248" zoomScaleNormal="90" zoomScaleSheetLayoutView="100" workbookViewId="0">
      <selection activeCell="L276" sqref="L276"/>
    </sheetView>
  </sheetViews>
  <sheetFormatPr defaultColWidth="9.109375" defaultRowHeight="12.75" customHeight="1" x14ac:dyDescent="0.25"/>
  <cols>
    <col min="1" max="1" width="8.88671875" style="453" bestFit="1" customWidth="1"/>
    <col min="2" max="3" width="10.44140625" style="453" customWidth="1"/>
    <col min="4" max="4" width="9.6640625" style="438" customWidth="1"/>
    <col min="5" max="6" width="9.6640625" style="516" customWidth="1"/>
    <col min="7" max="9" width="12.6640625" style="453" customWidth="1"/>
    <col min="10" max="15" width="11.6640625" style="453" customWidth="1"/>
    <col min="16" max="16" width="12.88671875" style="453" customWidth="1"/>
    <col min="17" max="17" width="10.5546875" style="453" customWidth="1"/>
    <col min="18" max="18" width="11.44140625" style="453" customWidth="1"/>
    <col min="19" max="19" width="10.44140625" style="453" customWidth="1"/>
    <col min="20" max="20" width="11.33203125" style="453" bestFit="1" customWidth="1"/>
    <col min="21" max="23" width="10.33203125" style="453" bestFit="1" customWidth="1"/>
    <col min="24" max="16384" width="9.109375" style="453"/>
  </cols>
  <sheetData>
    <row r="1" spans="1:23" ht="12.75" customHeight="1" x14ac:dyDescent="0.3">
      <c r="A1" s="157" t="s">
        <v>0</v>
      </c>
      <c r="P1" s="451"/>
      <c r="Q1" s="451">
        <v>2024</v>
      </c>
      <c r="R1" s="451">
        <v>2025</v>
      </c>
      <c r="S1" s="451">
        <v>2026</v>
      </c>
      <c r="T1" s="451">
        <v>2027</v>
      </c>
      <c r="U1" s="451">
        <v>2028</v>
      </c>
      <c r="V1" s="451">
        <v>2029</v>
      </c>
      <c r="W1" s="451">
        <v>2030</v>
      </c>
    </row>
    <row r="2" spans="1:23" ht="12.75" customHeight="1" x14ac:dyDescent="0.3">
      <c r="D2" s="438" t="s">
        <v>504</v>
      </c>
      <c r="H2" s="453" t="s">
        <v>3281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438" t="s">
        <v>66</v>
      </c>
      <c r="H6" s="453" t="s">
        <v>3282</v>
      </c>
    </row>
    <row r="23" spans="4:20" ht="12.75" customHeight="1" x14ac:dyDescent="0.25">
      <c r="D23" s="452" t="s">
        <v>507</v>
      </c>
      <c r="E23" s="438"/>
      <c r="F23" s="438"/>
    </row>
    <row r="24" spans="4:20" ht="12.75" customHeight="1" x14ac:dyDescent="0.25">
      <c r="E24" s="438"/>
      <c r="F24" s="438"/>
    </row>
    <row r="25" spans="4:20" ht="12.75" customHeight="1" x14ac:dyDescent="0.25">
      <c r="D25" s="1746" t="s">
        <v>508</v>
      </c>
      <c r="E25" s="1747"/>
      <c r="F25" s="1747"/>
      <c r="G25" s="1748"/>
      <c r="H25" s="1748"/>
      <c r="I25" s="1749"/>
      <c r="J25" s="1749">
        <v>2025</v>
      </c>
      <c r="K25" s="1749">
        <v>2026</v>
      </c>
      <c r="L25" s="1750">
        <v>2027</v>
      </c>
      <c r="M25" s="1750">
        <v>2028</v>
      </c>
      <c r="N25" s="1750">
        <v>2029</v>
      </c>
      <c r="O25" s="1750">
        <v>2030</v>
      </c>
      <c r="P25" s="45"/>
      <c r="Q25" s="45"/>
      <c r="R25" s="45"/>
      <c r="S25" s="45"/>
      <c r="T25" s="45"/>
    </row>
    <row r="26" spans="4:20" ht="12.75" customHeight="1" x14ac:dyDescent="0.3">
      <c r="D26" s="454" t="str">
        <f>G74</f>
        <v>Schoolvastgoed algemeen</v>
      </c>
      <c r="E26" s="455"/>
      <c r="F26" s="456"/>
      <c r="I26" s="518"/>
      <c r="J26" s="457">
        <v>77100</v>
      </c>
      <c r="K26" s="1869">
        <f>K77</f>
        <v>0</v>
      </c>
      <c r="L26" s="1869">
        <f>L77</f>
        <v>-79</v>
      </c>
      <c r="M26" s="1869">
        <f>M77</f>
        <v>0</v>
      </c>
      <c r="N26" s="1869">
        <f>N77</f>
        <v>82</v>
      </c>
      <c r="O26" s="1869">
        <f>O77</f>
        <v>0</v>
      </c>
      <c r="P26" s="37"/>
      <c r="Q26" s="37"/>
      <c r="R26" s="37"/>
      <c r="S26" s="37"/>
      <c r="T26" s="37"/>
    </row>
    <row r="27" spans="4:20" ht="12.75" customHeight="1" x14ac:dyDescent="0.3">
      <c r="D27" s="454" t="str">
        <f>G79</f>
        <v>Glasschade scholen</v>
      </c>
      <c r="E27" s="455"/>
      <c r="F27" s="456"/>
      <c r="I27" s="518"/>
      <c r="J27" s="457">
        <v>6512</v>
      </c>
      <c r="K27" s="457">
        <f>K82</f>
        <v>6681</v>
      </c>
      <c r="L27" s="457">
        <f>L82</f>
        <v>6821</v>
      </c>
      <c r="M27" s="457">
        <f>M82</f>
        <v>6978</v>
      </c>
      <c r="N27" s="457">
        <f>N82</f>
        <v>7138</v>
      </c>
      <c r="O27" s="457">
        <f>O82</f>
        <v>7302</v>
      </c>
      <c r="P27" s="37"/>
      <c r="Q27" s="37"/>
      <c r="R27" s="37"/>
      <c r="S27" s="37"/>
      <c r="T27" s="37"/>
    </row>
    <row r="28" spans="4:20" ht="12.75" customHeight="1" x14ac:dyDescent="0.3">
      <c r="D28" s="454" t="str">
        <f>G84</f>
        <v>Schoolwoningen onverdeeld</v>
      </c>
      <c r="E28" s="455"/>
      <c r="F28" s="456"/>
      <c r="I28" s="518"/>
      <c r="J28" s="469">
        <v>45825.004000000001</v>
      </c>
      <c r="K28" s="463">
        <f>K88</f>
        <v>47129.7153246784</v>
      </c>
      <c r="L28" s="463">
        <f>L88</f>
        <v>48289.310791691496</v>
      </c>
      <c r="M28" s="463">
        <f>M88</f>
        <v>49554.469290984081</v>
      </c>
      <c r="N28" s="463">
        <f>N88</f>
        <v>50854.729654750496</v>
      </c>
      <c r="O28" s="463">
        <f>O88</f>
        <v>39889</v>
      </c>
      <c r="P28" s="37"/>
      <c r="Q28" s="37"/>
      <c r="R28" s="37"/>
      <c r="S28" s="37"/>
      <c r="T28" s="37"/>
    </row>
    <row r="29" spans="4:20" ht="12.75" customHeight="1" x14ac:dyDescent="0.3">
      <c r="D29" s="454" t="str">
        <f>G90</f>
        <v>Gymnastiekonderwijs</v>
      </c>
      <c r="E29" s="455"/>
      <c r="F29" s="456"/>
      <c r="I29" s="518"/>
      <c r="J29" s="15">
        <v>83190</v>
      </c>
      <c r="K29" s="15">
        <f>K94</f>
        <v>85320</v>
      </c>
      <c r="L29" s="15">
        <f>L94</f>
        <v>87090</v>
      </c>
      <c r="M29" s="15">
        <f>M94</f>
        <v>89070</v>
      </c>
      <c r="N29" s="15">
        <f>N94</f>
        <v>91100</v>
      </c>
      <c r="O29" s="15">
        <f>O94</f>
        <v>93160</v>
      </c>
      <c r="P29" s="37"/>
      <c r="Q29" s="37"/>
      <c r="R29" s="37"/>
      <c r="S29" s="37"/>
      <c r="T29" s="37"/>
    </row>
    <row r="30" spans="4:20" ht="12.75" customHeight="1" x14ac:dyDescent="0.3">
      <c r="D30" s="454" t="str">
        <f>G192</f>
        <v>Directe toerekening onderwijs</v>
      </c>
      <c r="E30" s="455"/>
      <c r="F30" s="456"/>
      <c r="I30" s="518"/>
      <c r="J30" s="15">
        <v>667718.61300000001</v>
      </c>
      <c r="K30" s="15">
        <f>K196</f>
        <v>1418643.64</v>
      </c>
      <c r="L30" s="15">
        <f>L196</f>
        <v>1417414</v>
      </c>
      <c r="M30" s="15">
        <f>M196</f>
        <v>2443810</v>
      </c>
      <c r="N30" s="15">
        <f>N196</f>
        <v>2697332</v>
      </c>
      <c r="O30" s="15">
        <f>O196</f>
        <v>68440</v>
      </c>
      <c r="P30" s="37"/>
      <c r="Q30" s="37"/>
      <c r="R30" s="37"/>
      <c r="S30" s="37"/>
      <c r="T30" s="37"/>
    </row>
    <row r="31" spans="4:20" ht="12.75" customHeight="1" x14ac:dyDescent="0.3">
      <c r="D31" s="454" t="str">
        <f>G96</f>
        <v>Paardenhei 7 (school)</v>
      </c>
      <c r="E31" s="455"/>
      <c r="F31" s="456"/>
      <c r="I31" s="518"/>
      <c r="J31" s="15">
        <v>0</v>
      </c>
      <c r="K31" s="15">
        <f>K100</f>
        <v>11951</v>
      </c>
      <c r="L31" s="15">
        <f>L100</f>
        <v>12216</v>
      </c>
      <c r="M31" s="15">
        <f>M100</f>
        <v>12512</v>
      </c>
      <c r="N31" s="15">
        <f>N100</f>
        <v>12815</v>
      </c>
      <c r="O31" s="15">
        <f>O100</f>
        <v>13109</v>
      </c>
      <c r="P31" s="37"/>
      <c r="Q31" s="37"/>
      <c r="R31" s="37"/>
      <c r="S31" s="37"/>
      <c r="T31" s="37"/>
    </row>
    <row r="32" spans="4:20" ht="12.75" customHeight="1" x14ac:dyDescent="0.3">
      <c r="D32" s="454" t="str">
        <f>G102</f>
        <v>Vlinderhei 14 (school)</v>
      </c>
      <c r="E32" s="455"/>
      <c r="F32" s="456"/>
      <c r="I32" s="518"/>
      <c r="J32" s="15">
        <v>0</v>
      </c>
      <c r="K32" s="15">
        <f>K106</f>
        <v>15170</v>
      </c>
      <c r="L32" s="15">
        <f>L106</f>
        <v>15489</v>
      </c>
      <c r="M32" s="15">
        <f>M106</f>
        <v>15845</v>
      </c>
      <c r="N32" s="15">
        <f>N106</f>
        <v>16209</v>
      </c>
      <c r="O32" s="15">
        <f>O106</f>
        <v>16582</v>
      </c>
      <c r="P32" s="37"/>
      <c r="Q32" s="37"/>
      <c r="R32" s="37"/>
      <c r="S32" s="37"/>
      <c r="T32" s="37"/>
    </row>
    <row r="33" spans="4:20" ht="12.75" customHeight="1" x14ac:dyDescent="0.3">
      <c r="D33" s="454" t="str">
        <f>G108</f>
        <v>Secr Jansenstraat 5 (school)</v>
      </c>
      <c r="E33" s="455"/>
      <c r="F33" s="456"/>
      <c r="I33" s="518"/>
      <c r="J33" s="15">
        <v>5555</v>
      </c>
      <c r="K33" s="15">
        <f>K112</f>
        <v>11801</v>
      </c>
      <c r="L33" s="15">
        <f>L112</f>
        <v>12049</v>
      </c>
      <c r="M33" s="15">
        <f>M112</f>
        <v>12326</v>
      </c>
      <c r="N33" s="15">
        <f>N112</f>
        <v>12610</v>
      </c>
      <c r="O33" s="15">
        <f>O112</f>
        <v>12900</v>
      </c>
      <c r="P33" s="37"/>
      <c r="Q33" s="37"/>
      <c r="R33" s="37"/>
      <c r="S33" s="37"/>
      <c r="T33" s="37"/>
    </row>
    <row r="34" spans="4:20" ht="12.75" customHeight="1" x14ac:dyDescent="0.3">
      <c r="D34" s="454" t="str">
        <f>G114</f>
        <v>Mgr. Zwijssenstraat 85 (school)</v>
      </c>
      <c r="E34" s="455"/>
      <c r="F34" s="456"/>
      <c r="I34" s="518"/>
      <c r="J34" s="15">
        <v>4234</v>
      </c>
      <c r="K34" s="15">
        <f>K118</f>
        <v>15353</v>
      </c>
      <c r="L34" s="15">
        <f>L118</f>
        <v>15675</v>
      </c>
      <c r="M34" s="15">
        <f>M118</f>
        <v>16035</v>
      </c>
      <c r="N34" s="15">
        <f>N118</f>
        <v>16404</v>
      </c>
      <c r="O34" s="15">
        <f>O118</f>
        <v>16781</v>
      </c>
      <c r="P34" s="37"/>
      <c r="Q34" s="37"/>
      <c r="R34" s="37"/>
      <c r="S34" s="37"/>
      <c r="T34" s="37"/>
    </row>
    <row r="35" spans="4:20" ht="12.75" customHeight="1" x14ac:dyDescent="0.3">
      <c r="D35" s="454" t="str">
        <f>G121</f>
        <v>Max de Bossustraat 8 (school)</v>
      </c>
      <c r="E35" s="455"/>
      <c r="F35" s="456"/>
      <c r="I35" s="518"/>
      <c r="J35" s="15">
        <v>4131</v>
      </c>
      <c r="K35" s="15">
        <f>K125</f>
        <v>8950</v>
      </c>
      <c r="L35" s="15">
        <f>L125</f>
        <v>9138</v>
      </c>
      <c r="M35" s="15">
        <f>M125</f>
        <v>9349</v>
      </c>
      <c r="N35" s="15">
        <f>N125</f>
        <v>9564</v>
      </c>
      <c r="O35" s="15">
        <f>O125</f>
        <v>9784</v>
      </c>
      <c r="P35" s="37"/>
      <c r="Q35" s="37"/>
      <c r="R35" s="37"/>
      <c r="S35" s="37"/>
      <c r="T35" s="37"/>
    </row>
    <row r="36" spans="4:20" ht="12.75" customHeight="1" x14ac:dyDescent="0.3">
      <c r="D36" s="454" t="str">
        <f>G127</f>
        <v>Van Lumeystraat 1 (school)</v>
      </c>
      <c r="E36" s="455"/>
      <c r="F36" s="456"/>
      <c r="I36" s="518"/>
      <c r="J36" s="15">
        <v>2388</v>
      </c>
      <c r="K36" s="15">
        <f>K130</f>
        <v>1633</v>
      </c>
      <c r="L36" s="15">
        <f>L130</f>
        <v>1673</v>
      </c>
      <c r="M36" s="15">
        <f>M130</f>
        <v>1718</v>
      </c>
      <c r="N36" s="15">
        <f>N130</f>
        <v>1765</v>
      </c>
      <c r="O36" s="15">
        <f>O130</f>
        <v>1806</v>
      </c>
      <c r="P36" s="37"/>
      <c r="Q36" s="37"/>
      <c r="R36" s="37"/>
      <c r="S36" s="37"/>
      <c r="T36" s="37"/>
    </row>
    <row r="37" spans="4:20" ht="12.75" customHeight="1" x14ac:dyDescent="0.3">
      <c r="D37" s="454" t="str">
        <f>G132</f>
        <v>Paardenhei 1 (school)</v>
      </c>
      <c r="E37" s="455"/>
      <c r="F37" s="456"/>
      <c r="I37" s="518"/>
      <c r="J37" s="15">
        <v>3631</v>
      </c>
      <c r="K37" s="15">
        <f>K136</f>
        <v>9593</v>
      </c>
      <c r="L37" s="15">
        <f>L136</f>
        <v>9794</v>
      </c>
      <c r="M37" s="15">
        <f>M136</f>
        <v>10019</v>
      </c>
      <c r="N37" s="15">
        <f>N136</f>
        <v>10250</v>
      </c>
      <c r="O37" s="15">
        <f>O136</f>
        <v>10486</v>
      </c>
      <c r="P37" s="37"/>
      <c r="Q37" s="37"/>
      <c r="R37" s="37"/>
      <c r="S37" s="37"/>
      <c r="T37" s="37"/>
    </row>
    <row r="38" spans="4:20" ht="12.75" customHeight="1" x14ac:dyDescent="0.3">
      <c r="D38" s="454" t="str">
        <f>G138</f>
        <v>Joh Verleunstraat 29 (school)</v>
      </c>
      <c r="E38" s="455"/>
      <c r="F38" s="456"/>
      <c r="I38" s="518"/>
      <c r="J38" s="15">
        <v>3934</v>
      </c>
      <c r="K38" s="15">
        <f>K142</f>
        <v>6165</v>
      </c>
      <c r="L38" s="15">
        <f>L142</f>
        <v>6295</v>
      </c>
      <c r="M38" s="15">
        <f>M142</f>
        <v>6439</v>
      </c>
      <c r="N38" s="15">
        <f>N142</f>
        <v>6587</v>
      </c>
      <c r="O38" s="15">
        <f>O142</f>
        <v>6738</v>
      </c>
      <c r="P38" s="37"/>
      <c r="Q38" s="37"/>
      <c r="R38" s="37"/>
      <c r="S38" s="37"/>
      <c r="T38" s="37"/>
    </row>
    <row r="39" spans="4:20" ht="12.75" customHeight="1" x14ac:dyDescent="0.3">
      <c r="D39" s="454" t="str">
        <f>G144</f>
        <v>Haktol 1 (school)</v>
      </c>
      <c r="E39" s="455"/>
      <c r="F39" s="456"/>
      <c r="I39" s="518"/>
      <c r="J39" s="15">
        <v>3097</v>
      </c>
      <c r="K39" s="15">
        <f>K148</f>
        <v>11296</v>
      </c>
      <c r="L39" s="15">
        <f>L148</f>
        <v>11564</v>
      </c>
      <c r="M39" s="15">
        <f>M148</f>
        <v>11862</v>
      </c>
      <c r="N39" s="15">
        <f>N148</f>
        <v>12167</v>
      </c>
      <c r="O39" s="15">
        <f>O148</f>
        <v>12447</v>
      </c>
      <c r="P39" s="37"/>
      <c r="Q39" s="37"/>
      <c r="R39" s="37"/>
      <c r="S39" s="37"/>
      <c r="T39" s="37"/>
    </row>
    <row r="40" spans="4:20" ht="12.75" customHeight="1" x14ac:dyDescent="0.3">
      <c r="D40" s="454" t="str">
        <f>G150</f>
        <v>Burg Notermansstraat 29 (school)</v>
      </c>
      <c r="E40" s="455"/>
      <c r="F40" s="456"/>
      <c r="I40" s="518"/>
      <c r="J40" s="15">
        <v>2235</v>
      </c>
      <c r="K40" s="15">
        <f>K153</f>
        <v>0</v>
      </c>
      <c r="L40" s="15">
        <f>L153</f>
        <v>0</v>
      </c>
      <c r="M40" s="15">
        <f>M153</f>
        <v>0</v>
      </c>
      <c r="N40" s="15">
        <f>N153</f>
        <v>0</v>
      </c>
      <c r="O40" s="15">
        <f>O153</f>
        <v>0</v>
      </c>
      <c r="P40" s="37"/>
      <c r="Q40" s="37"/>
      <c r="R40" s="37"/>
      <c r="S40" s="37"/>
      <c r="T40" s="37"/>
    </row>
    <row r="41" spans="4:20" ht="12.75" customHeight="1" x14ac:dyDescent="0.3">
      <c r="D41" s="454" t="str">
        <f>G155</f>
        <v>IKC Dijkstraten (MFA) Maatstok 1</v>
      </c>
      <c r="E41" s="455"/>
      <c r="F41" s="456"/>
      <c r="I41" s="518"/>
      <c r="J41" s="15">
        <v>0</v>
      </c>
      <c r="K41" s="15">
        <f>K159</f>
        <v>24168</v>
      </c>
      <c r="L41" s="15">
        <f>L159</f>
        <v>24676</v>
      </c>
      <c r="M41" s="15">
        <f>M159</f>
        <v>25243</v>
      </c>
      <c r="N41" s="15">
        <f>N159</f>
        <v>25824</v>
      </c>
      <c r="O41" s="15">
        <f>O159</f>
        <v>26418</v>
      </c>
      <c r="P41" s="37"/>
      <c r="Q41" s="37"/>
      <c r="R41" s="37"/>
      <c r="S41" s="37"/>
      <c r="T41" s="37"/>
    </row>
    <row r="42" spans="4:20" ht="12.75" customHeight="1" x14ac:dyDescent="0.3">
      <c r="D42" s="454" t="str">
        <f>G161</f>
        <v>Willem de Zwijgerweg 148-150 (Heerbeeckcollege)</v>
      </c>
      <c r="E42" s="455"/>
      <c r="F42" s="456"/>
      <c r="I42" s="518"/>
      <c r="J42" s="15">
        <v>48708</v>
      </c>
      <c r="K42" s="15">
        <f>K166</f>
        <v>49975</v>
      </c>
      <c r="L42" s="15">
        <f>L166</f>
        <v>51025</v>
      </c>
      <c r="M42" s="15">
        <f>M166</f>
        <v>52199</v>
      </c>
      <c r="N42" s="15">
        <f>N166</f>
        <v>53399</v>
      </c>
      <c r="O42" s="15">
        <f>O166</f>
        <v>54627</v>
      </c>
      <c r="P42" s="37"/>
      <c r="Q42" s="37"/>
      <c r="R42" s="37"/>
      <c r="S42" s="37"/>
      <c r="T42" s="37"/>
    </row>
    <row r="43" spans="4:20" ht="12.75" customHeight="1" x14ac:dyDescent="0.3">
      <c r="D43" s="454" t="str">
        <f>G168</f>
        <v>Den Dries 7 (school, IKC)</v>
      </c>
      <c r="E43" s="455"/>
      <c r="F43" s="456"/>
      <c r="I43" s="518"/>
      <c r="J43" s="15">
        <v>0</v>
      </c>
      <c r="K43" s="1155">
        <f>K172</f>
        <v>11496</v>
      </c>
      <c r="L43" s="1155">
        <f>L172</f>
        <v>11738</v>
      </c>
      <c r="M43" s="1155">
        <f>M172</f>
        <v>12008</v>
      </c>
      <c r="N43" s="1155">
        <f>N172</f>
        <v>12284</v>
      </c>
      <c r="O43" s="1155">
        <f>O172</f>
        <v>12566</v>
      </c>
      <c r="P43" s="37"/>
      <c r="Q43" s="37"/>
      <c r="R43" s="37"/>
      <c r="S43" s="37"/>
      <c r="T43" s="37"/>
    </row>
    <row r="44" spans="4:20" ht="12.75" customHeight="1" x14ac:dyDescent="0.3">
      <c r="D44" s="461" t="s">
        <v>5353</v>
      </c>
      <c r="E44" s="455"/>
      <c r="F44" s="456"/>
      <c r="I44" s="518"/>
      <c r="J44" s="15">
        <f>J178</f>
        <v>0</v>
      </c>
      <c r="K44" s="15">
        <f t="shared" ref="K44:O44" si="0">K178</f>
        <v>0</v>
      </c>
      <c r="L44" s="15">
        <f t="shared" si="0"/>
        <v>0</v>
      </c>
      <c r="M44" s="15">
        <f t="shared" si="0"/>
        <v>384333</v>
      </c>
      <c r="N44" s="15">
        <f t="shared" si="0"/>
        <v>384333</v>
      </c>
      <c r="O44" s="15">
        <f t="shared" si="0"/>
        <v>0</v>
      </c>
      <c r="P44" s="37"/>
      <c r="Q44" s="37"/>
      <c r="R44" s="37"/>
      <c r="S44" s="37"/>
      <c r="T44" s="37"/>
    </row>
    <row r="45" spans="4:20" ht="12.75" customHeight="1" x14ac:dyDescent="0.3">
      <c r="D45" s="454"/>
      <c r="E45" s="455"/>
      <c r="F45" s="456"/>
      <c r="I45" s="518"/>
      <c r="J45" s="39"/>
      <c r="K45" s="38"/>
      <c r="L45" s="15"/>
      <c r="M45" s="15"/>
      <c r="N45" s="15"/>
      <c r="O45" s="15"/>
      <c r="P45" s="37"/>
      <c r="Q45" s="37"/>
      <c r="R45" s="37"/>
      <c r="S45" s="37"/>
      <c r="T45" s="37"/>
    </row>
    <row r="46" spans="4:20" ht="12.75" customHeight="1" x14ac:dyDescent="0.3">
      <c r="D46" s="454"/>
      <c r="E46" s="455"/>
      <c r="F46" s="456"/>
      <c r="I46" s="518"/>
      <c r="J46" s="39"/>
      <c r="K46" s="38"/>
      <c r="L46" s="15"/>
      <c r="M46" s="15"/>
      <c r="N46" s="15"/>
      <c r="O46" s="15"/>
      <c r="P46" s="37"/>
      <c r="Q46" s="37"/>
      <c r="R46" s="37"/>
      <c r="S46" s="37"/>
      <c r="T46" s="37"/>
    </row>
    <row r="47" spans="4:20" ht="12.75" customHeight="1" x14ac:dyDescent="0.3">
      <c r="D47" s="454"/>
      <c r="E47" s="455"/>
      <c r="F47" s="456"/>
      <c r="I47" s="518"/>
      <c r="J47" s="39"/>
      <c r="K47" s="38"/>
      <c r="L47" s="15"/>
      <c r="M47" s="15"/>
      <c r="N47" s="15"/>
      <c r="O47" s="15"/>
      <c r="P47" s="37"/>
      <c r="Q47" s="37"/>
      <c r="R47" s="37"/>
      <c r="S47" s="37"/>
      <c r="T47" s="37"/>
    </row>
    <row r="48" spans="4:20" ht="12.75" customHeight="1" x14ac:dyDescent="0.3">
      <c r="D48" s="454"/>
      <c r="E48" s="455"/>
      <c r="F48" s="456"/>
      <c r="I48" s="518"/>
      <c r="J48" s="39"/>
      <c r="K48" s="38"/>
      <c r="L48" s="15"/>
      <c r="M48" s="15"/>
      <c r="N48" s="15"/>
      <c r="O48" s="15"/>
      <c r="P48" s="37"/>
      <c r="Q48" s="37"/>
      <c r="R48" s="37"/>
      <c r="S48" s="37"/>
      <c r="T48" s="37"/>
    </row>
    <row r="49" spans="4:20" ht="12.75" customHeight="1" x14ac:dyDescent="0.3">
      <c r="D49" s="454"/>
      <c r="E49" s="455"/>
      <c r="F49" s="456"/>
      <c r="I49" s="518"/>
      <c r="J49" s="39"/>
      <c r="K49" s="38"/>
      <c r="L49" s="15"/>
      <c r="M49" s="15"/>
      <c r="N49" s="15"/>
      <c r="O49" s="15"/>
      <c r="P49" s="37"/>
      <c r="Q49" s="37"/>
      <c r="R49" s="37"/>
      <c r="S49" s="37"/>
      <c r="T49" s="37"/>
    </row>
    <row r="50" spans="4:20" ht="12.75" customHeight="1" x14ac:dyDescent="0.3">
      <c r="D50" s="454"/>
      <c r="E50" s="455"/>
      <c r="F50" s="456"/>
      <c r="I50" s="518"/>
      <c r="J50" s="39"/>
      <c r="K50" s="38"/>
      <c r="L50" s="15"/>
      <c r="M50" s="15"/>
      <c r="N50" s="15"/>
      <c r="O50" s="15"/>
      <c r="P50" s="37"/>
      <c r="Q50" s="37"/>
      <c r="R50" s="37"/>
      <c r="S50" s="37"/>
      <c r="T50" s="37"/>
    </row>
    <row r="51" spans="4:20" ht="12.75" customHeight="1" x14ac:dyDescent="0.3">
      <c r="D51" s="454"/>
      <c r="E51" s="455"/>
      <c r="F51" s="456"/>
      <c r="I51" s="518"/>
      <c r="J51" s="39"/>
      <c r="K51" s="38"/>
      <c r="L51" s="15"/>
      <c r="M51" s="15"/>
      <c r="N51" s="15"/>
      <c r="O51" s="15"/>
      <c r="P51" s="37"/>
      <c r="Q51" s="37"/>
      <c r="R51" s="37"/>
      <c r="S51" s="37"/>
      <c r="T51" s="37"/>
    </row>
    <row r="52" spans="4:20" ht="12.75" customHeight="1" x14ac:dyDescent="0.3">
      <c r="D52" s="454"/>
      <c r="E52" s="455"/>
      <c r="F52" s="456"/>
      <c r="I52" s="518"/>
      <c r="J52" s="40"/>
      <c r="K52" s="38"/>
      <c r="L52" s="46"/>
      <c r="M52" s="46"/>
      <c r="N52" s="46"/>
      <c r="O52" s="46"/>
      <c r="P52" s="37"/>
      <c r="Q52" s="37"/>
      <c r="R52" s="37"/>
      <c r="S52" s="37"/>
      <c r="T52" s="37"/>
    </row>
    <row r="53" spans="4:20" ht="12.75" customHeight="1" x14ac:dyDescent="0.3">
      <c r="D53" s="1751" t="s">
        <v>525</v>
      </c>
      <c r="E53" s="1752"/>
      <c r="F53" s="1753"/>
      <c r="G53" s="1754"/>
      <c r="H53" s="1754"/>
      <c r="I53" s="1757"/>
      <c r="J53" s="1883">
        <v>958258.61699999997</v>
      </c>
      <c r="K53" s="1883">
        <f>SUM(K26:K52)</f>
        <v>1735325.3553246784</v>
      </c>
      <c r="L53" s="1883">
        <f t="shared" ref="L53:O53" si="1">SUM(L26:L52)</f>
        <v>1740867.3107916915</v>
      </c>
      <c r="M53" s="1883">
        <f t="shared" si="1"/>
        <v>3159300.4692909839</v>
      </c>
      <c r="N53" s="1883">
        <f t="shared" si="1"/>
        <v>3420717.7296547503</v>
      </c>
      <c r="O53" s="1883">
        <f t="shared" si="1"/>
        <v>403035</v>
      </c>
      <c r="P53" s="37"/>
      <c r="Q53" s="37"/>
      <c r="R53" s="37"/>
      <c r="S53" s="37"/>
      <c r="T53" s="37"/>
    </row>
    <row r="54" spans="4:20" ht="12.75" customHeight="1" x14ac:dyDescent="0.3">
      <c r="E54" s="455"/>
      <c r="F54" s="456"/>
      <c r="P54" s="37"/>
      <c r="Q54" s="37"/>
      <c r="R54" s="45"/>
      <c r="S54" s="47"/>
      <c r="T54" s="48"/>
    </row>
    <row r="55" spans="4:20" ht="12.75" customHeight="1" x14ac:dyDescent="0.3">
      <c r="D55" s="1746" t="s">
        <v>526</v>
      </c>
      <c r="E55" s="1747"/>
      <c r="F55" s="1747"/>
      <c r="G55" s="1748"/>
      <c r="H55" s="1748"/>
      <c r="I55" s="1749"/>
      <c r="J55" s="1749">
        <v>2025</v>
      </c>
      <c r="K55" s="1749">
        <v>2026</v>
      </c>
      <c r="L55" s="1750">
        <v>2027</v>
      </c>
      <c r="M55" s="1750">
        <v>2028</v>
      </c>
      <c r="N55" s="1750">
        <v>2028</v>
      </c>
      <c r="O55" s="1750">
        <v>2028</v>
      </c>
      <c r="P55" s="37"/>
      <c r="Q55" s="236"/>
      <c r="R55" s="37"/>
      <c r="S55" s="37"/>
      <c r="T55" s="37"/>
    </row>
    <row r="56" spans="4:20" ht="12.75" customHeight="1" x14ac:dyDescent="0.3">
      <c r="D56" s="1808" t="str">
        <f>G180</f>
        <v>Schoolvastgoed algemeen</v>
      </c>
      <c r="E56" s="616"/>
      <c r="F56" s="617"/>
      <c r="G56" s="618"/>
      <c r="H56" s="618"/>
      <c r="I56" s="518"/>
      <c r="J56" s="457">
        <v>-50113</v>
      </c>
      <c r="K56" s="457">
        <f>K183</f>
        <v>-51766</v>
      </c>
      <c r="L56" s="457">
        <f>L183</f>
        <v>-53214</v>
      </c>
      <c r="M56" s="457">
        <f>M183</f>
        <v>-54440</v>
      </c>
      <c r="N56" s="457">
        <f>N183</f>
        <v>-55690</v>
      </c>
      <c r="O56" s="457">
        <f>O183</f>
        <v>-56970</v>
      </c>
      <c r="P56" s="37"/>
      <c r="Q56" s="236"/>
      <c r="R56" s="37"/>
      <c r="S56" s="37"/>
      <c r="T56" s="37"/>
    </row>
    <row r="57" spans="4:20" ht="12.75" customHeight="1" x14ac:dyDescent="0.3">
      <c r="D57" s="461" t="s">
        <v>3283</v>
      </c>
      <c r="E57" s="455"/>
      <c r="F57" s="456"/>
      <c r="I57" s="518"/>
      <c r="J57" s="463">
        <v>0</v>
      </c>
      <c r="K57" s="463" t="e">
        <f>#REF!</f>
        <v>#REF!</v>
      </c>
      <c r="L57" s="463" t="e">
        <f>#REF!</f>
        <v>#REF!</v>
      </c>
      <c r="M57" s="463" t="e">
        <f>#REF!</f>
        <v>#REF!</v>
      </c>
      <c r="N57" s="463" t="e">
        <f>#REF!</f>
        <v>#REF!</v>
      </c>
      <c r="O57" s="463" t="e">
        <f>#REF!</f>
        <v>#REF!</v>
      </c>
      <c r="P57" s="37"/>
      <c r="Q57" s="37"/>
      <c r="R57" s="37"/>
      <c r="S57" s="37"/>
      <c r="T57" s="37"/>
    </row>
    <row r="58" spans="4:20" ht="12.75" customHeight="1" x14ac:dyDescent="0.3">
      <c r="D58" s="461" t="s">
        <v>5353</v>
      </c>
      <c r="E58" s="455"/>
      <c r="F58" s="456"/>
      <c r="I58" s="518"/>
      <c r="J58" s="463"/>
      <c r="K58" s="463"/>
      <c r="L58" s="457">
        <f>+L190</f>
        <v>0</v>
      </c>
      <c r="M58" s="457">
        <f t="shared" ref="M58:O58" si="2">+M190</f>
        <v>-550290</v>
      </c>
      <c r="N58" s="457">
        <f t="shared" si="2"/>
        <v>-550290</v>
      </c>
      <c r="O58" s="457">
        <f t="shared" si="2"/>
        <v>0</v>
      </c>
      <c r="P58" s="37"/>
      <c r="Q58" s="37"/>
      <c r="R58" s="37"/>
      <c r="S58" s="37"/>
      <c r="T58" s="37"/>
    </row>
    <row r="59" spans="4:20" ht="12.75" customHeight="1" x14ac:dyDescent="0.3">
      <c r="D59" s="454" t="e">
        <f>+#REF!</f>
        <v>#REF!</v>
      </c>
      <c r="E59" s="455"/>
      <c r="F59" s="456"/>
      <c r="I59" s="518"/>
      <c r="J59" s="463"/>
      <c r="K59" s="463"/>
      <c r="L59" s="457" t="e">
        <f>+#REF!</f>
        <v>#REF!</v>
      </c>
      <c r="M59" s="457" t="e">
        <f>+#REF!</f>
        <v>#REF!</v>
      </c>
      <c r="N59" s="457" t="e">
        <f>+#REF!</f>
        <v>#REF!</v>
      </c>
      <c r="O59" s="457" t="e">
        <f>+#REF!</f>
        <v>#REF!</v>
      </c>
      <c r="P59" s="37"/>
      <c r="Q59" s="37"/>
      <c r="R59" s="37"/>
      <c r="S59" s="37"/>
      <c r="T59" s="37"/>
    </row>
    <row r="60" spans="4:20" ht="12.75" customHeight="1" x14ac:dyDescent="0.3">
      <c r="D60" s="454"/>
      <c r="E60" s="455"/>
      <c r="F60" s="456"/>
      <c r="I60" s="518"/>
      <c r="J60" s="463"/>
      <c r="K60" s="463"/>
      <c r="L60" s="457"/>
      <c r="M60" s="457"/>
      <c r="N60" s="457"/>
      <c r="O60" s="457"/>
      <c r="P60" s="37"/>
      <c r="Q60" s="37"/>
      <c r="R60" s="37"/>
      <c r="S60" s="37"/>
      <c r="T60" s="37"/>
    </row>
    <row r="61" spans="4:20" ht="12.75" customHeight="1" x14ac:dyDescent="0.3">
      <c r="D61" s="464"/>
      <c r="E61" s="465"/>
      <c r="F61" s="466"/>
      <c r="G61" s="467"/>
      <c r="H61" s="467"/>
      <c r="I61" s="518"/>
      <c r="J61" s="463"/>
      <c r="K61" s="463"/>
      <c r="L61" s="468"/>
      <c r="M61" s="468"/>
      <c r="N61" s="468"/>
      <c r="O61" s="468"/>
      <c r="P61" s="37"/>
      <c r="Q61" s="37"/>
      <c r="R61" s="37"/>
      <c r="S61" s="37"/>
      <c r="T61" s="37"/>
    </row>
    <row r="62" spans="4:20" ht="12.75" customHeight="1" x14ac:dyDescent="0.3">
      <c r="D62" s="1751" t="s">
        <v>328</v>
      </c>
      <c r="E62" s="1752"/>
      <c r="F62" s="1753"/>
      <c r="G62" s="1754"/>
      <c r="H62" s="1754"/>
      <c r="I62" s="1757"/>
      <c r="J62" s="1883">
        <v>-50113</v>
      </c>
      <c r="K62" s="1883" t="e">
        <f>SUM(K56:K61)</f>
        <v>#REF!</v>
      </c>
      <c r="L62" s="1883" t="e">
        <f>SUM(L56:L61)</f>
        <v>#REF!</v>
      </c>
      <c r="M62" s="1883" t="e">
        <f>SUM(M56:M61)</f>
        <v>#REF!</v>
      </c>
      <c r="N62" s="1883" t="e">
        <f>SUM(N56:N61)</f>
        <v>#REF!</v>
      </c>
      <c r="O62" s="1883" t="e">
        <f>SUM(O56:O61)</f>
        <v>#REF!</v>
      </c>
      <c r="P62" s="37"/>
      <c r="Q62" s="37"/>
      <c r="R62" s="37"/>
      <c r="S62" s="37"/>
      <c r="T62" s="37"/>
    </row>
    <row r="63" spans="4:20" ht="12.75" customHeight="1" x14ac:dyDescent="0.3">
      <c r="E63" s="455"/>
      <c r="F63" s="456"/>
      <c r="J63" s="469"/>
      <c r="K63" s="469"/>
      <c r="L63" s="469"/>
      <c r="M63" s="469"/>
      <c r="N63" s="469"/>
      <c r="O63" s="469"/>
      <c r="P63" s="37"/>
      <c r="Q63" s="37"/>
      <c r="R63" s="37"/>
      <c r="S63" s="37"/>
      <c r="T63" s="37"/>
    </row>
    <row r="64" spans="4:20" ht="12.75" customHeight="1" x14ac:dyDescent="0.25">
      <c r="D64" s="1751" t="s">
        <v>527</v>
      </c>
      <c r="E64" s="1756"/>
      <c r="F64" s="1756"/>
      <c r="G64" s="1754"/>
      <c r="H64" s="1754"/>
      <c r="I64" s="1754"/>
      <c r="J64" s="1758">
        <v>908145.61700000009</v>
      </c>
      <c r="K64" s="1758" t="e">
        <f>K53+K62</f>
        <v>#REF!</v>
      </c>
      <c r="L64" s="1758" t="e">
        <f>L53+L62</f>
        <v>#REF!</v>
      </c>
      <c r="M64" s="1758" t="e">
        <f>M53+M62</f>
        <v>#REF!</v>
      </c>
      <c r="N64" s="1758" t="e">
        <f>N53+N62</f>
        <v>#REF!</v>
      </c>
      <c r="O64" s="1758" t="e">
        <f>O53+O62</f>
        <v>#REF!</v>
      </c>
    </row>
    <row r="65" spans="1:15" ht="12.75" customHeight="1" x14ac:dyDescent="0.25">
      <c r="E65" s="455"/>
      <c r="F65" s="456"/>
      <c r="J65" s="469"/>
      <c r="K65" s="469"/>
      <c r="L65" s="469"/>
      <c r="M65" s="469"/>
      <c r="N65" s="469"/>
      <c r="O65" s="469"/>
    </row>
    <row r="66" spans="1:15" ht="12.75" customHeight="1" x14ac:dyDescent="0.25">
      <c r="E66" s="455"/>
      <c r="F66" s="456"/>
      <c r="J66" s="469"/>
      <c r="K66" s="469"/>
      <c r="L66" s="469"/>
      <c r="M66" s="469"/>
      <c r="N66" s="469"/>
      <c r="O66" s="469"/>
    </row>
    <row r="67" spans="1:15" ht="12.75" customHeight="1" x14ac:dyDescent="0.25">
      <c r="D67" s="453"/>
      <c r="E67" s="453"/>
      <c r="F67" s="453"/>
      <c r="J67" s="469"/>
      <c r="K67" s="469"/>
      <c r="L67" s="469"/>
      <c r="M67" s="469"/>
      <c r="N67" s="469"/>
      <c r="O67" s="469"/>
    </row>
    <row r="68" spans="1:15" ht="12.75" customHeight="1" x14ac:dyDescent="0.25">
      <c r="D68" s="453"/>
      <c r="E68" s="453"/>
      <c r="F68" s="453"/>
      <c r="J68" s="469"/>
      <c r="K68" s="469"/>
      <c r="L68" s="469"/>
      <c r="M68" s="469"/>
      <c r="N68" s="469"/>
      <c r="O68" s="469"/>
    </row>
    <row r="69" spans="1:15" ht="12.75" customHeight="1" x14ac:dyDescent="0.25">
      <c r="D69" s="452" t="s">
        <v>528</v>
      </c>
      <c r="E69" s="752"/>
      <c r="F69" s="752"/>
    </row>
    <row r="71" spans="1:15" ht="12.75" customHeight="1" x14ac:dyDescent="0.25">
      <c r="A71" s="470"/>
      <c r="D71" s="2523" t="s">
        <v>529</v>
      </c>
      <c r="E71" s="1761" t="s">
        <v>530</v>
      </c>
      <c r="F71" s="2552" t="s">
        <v>531</v>
      </c>
      <c r="G71" s="2525" t="s">
        <v>206</v>
      </c>
      <c r="H71" s="2526"/>
      <c r="I71" s="1773"/>
      <c r="J71" s="1763"/>
      <c r="K71" s="1763"/>
      <c r="L71" s="1764"/>
      <c r="M71" s="1764"/>
      <c r="N71" s="1764"/>
      <c r="O71" s="1764"/>
    </row>
    <row r="72" spans="1:15" ht="12.75" customHeight="1" x14ac:dyDescent="0.25">
      <c r="A72" s="470"/>
      <c r="D72" s="2524"/>
      <c r="E72" s="472" t="s">
        <v>532</v>
      </c>
      <c r="F72" s="2553"/>
      <c r="G72" s="2527"/>
      <c r="H72" s="2528"/>
      <c r="I72" s="521"/>
      <c r="J72" s="1764">
        <v>2025</v>
      </c>
      <c r="K72" s="1749">
        <v>2026</v>
      </c>
      <c r="L72" s="1750">
        <v>2027</v>
      </c>
      <c r="M72" s="1750">
        <v>2028</v>
      </c>
      <c r="N72" s="1750">
        <v>2029</v>
      </c>
      <c r="O72" s="1750">
        <v>2030</v>
      </c>
    </row>
    <row r="73" spans="1:15" ht="12.75" customHeight="1" x14ac:dyDescent="0.25">
      <c r="D73" s="1889"/>
      <c r="E73" s="1889"/>
      <c r="F73" s="1889"/>
      <c r="G73" s="1762"/>
      <c r="H73" s="471"/>
      <c r="I73" s="518"/>
      <c r="J73" s="1763"/>
      <c r="K73" s="1763"/>
      <c r="L73" s="1767"/>
      <c r="M73" s="1767"/>
      <c r="N73" s="1767"/>
      <c r="O73" s="1767"/>
    </row>
    <row r="74" spans="1:15" ht="12.75" customHeight="1" x14ac:dyDescent="0.25">
      <c r="A74" s="438"/>
      <c r="D74" s="1125">
        <v>627001</v>
      </c>
      <c r="E74" s="1126"/>
      <c r="F74" s="1126"/>
      <c r="G74" s="756" t="s">
        <v>3284</v>
      </c>
      <c r="I74" s="518"/>
      <c r="J74" s="529"/>
      <c r="K74" s="529"/>
      <c r="L74" s="529"/>
      <c r="M74" s="529"/>
      <c r="N74" s="529"/>
      <c r="O74" s="529"/>
    </row>
    <row r="75" spans="1:15" ht="12.75" customHeight="1" x14ac:dyDescent="0.25">
      <c r="D75" s="1125"/>
      <c r="E75" s="1126"/>
      <c r="F75" s="1126"/>
      <c r="G75" s="759" t="s">
        <v>533</v>
      </c>
      <c r="I75" s="518"/>
      <c r="J75" s="529"/>
      <c r="K75" s="529"/>
      <c r="L75" s="529"/>
      <c r="M75" s="529"/>
      <c r="N75" s="529"/>
      <c r="O75" s="529"/>
    </row>
    <row r="76" spans="1:15" s="527" customFormat="1" ht="12.75" customHeight="1" x14ac:dyDescent="0.25">
      <c r="A76" s="470">
        <f>+D74</f>
        <v>627001</v>
      </c>
      <c r="B76" s="453" t="str">
        <f>G74</f>
        <v>Schoolvastgoed algemeen</v>
      </c>
      <c r="C76" s="453"/>
      <c r="D76" s="763">
        <v>44360</v>
      </c>
      <c r="E76" s="763"/>
      <c r="F76" s="763"/>
      <c r="G76" s="761" t="s">
        <v>3285</v>
      </c>
      <c r="H76" s="453"/>
      <c r="I76" s="463"/>
      <c r="J76" s="457">
        <v>77100</v>
      </c>
      <c r="K76" s="457">
        <v>0</v>
      </c>
      <c r="L76" s="457">
        <f>L209</f>
        <v>-79</v>
      </c>
      <c r="M76" s="457">
        <f>M209</f>
        <v>0</v>
      </c>
      <c r="N76" s="457">
        <f>N209</f>
        <v>82</v>
      </c>
      <c r="O76" s="457">
        <f>O209</f>
        <v>0</v>
      </c>
    </row>
    <row r="77" spans="1:15" ht="12.75" customHeight="1" thickBot="1" x14ac:dyDescent="0.3">
      <c r="A77" s="438"/>
      <c r="D77" s="758"/>
      <c r="E77" s="758"/>
      <c r="F77" s="758"/>
      <c r="G77" s="761" t="s">
        <v>536</v>
      </c>
      <c r="I77" s="463"/>
      <c r="J77" s="1085">
        <v>77100</v>
      </c>
      <c r="K77" s="1085">
        <v>0</v>
      </c>
      <c r="L77" s="1085">
        <f>SUM(L76:L76)</f>
        <v>-79</v>
      </c>
      <c r="M77" s="1085">
        <f>SUM(M76:M76)</f>
        <v>0</v>
      </c>
      <c r="N77" s="1085">
        <f>SUM(N76:N76)</f>
        <v>82</v>
      </c>
      <c r="O77" s="1085">
        <f>SUM(O76:O76)</f>
        <v>0</v>
      </c>
    </row>
    <row r="78" spans="1:15" ht="12.75" customHeight="1" thickTop="1" x14ac:dyDescent="0.25">
      <c r="A78" s="438"/>
      <c r="D78" s="758"/>
      <c r="E78" s="758"/>
      <c r="F78" s="758"/>
      <c r="G78" s="761"/>
      <c r="I78" s="463"/>
      <c r="J78" s="1132"/>
      <c r="K78" s="1132"/>
      <c r="L78" s="457"/>
      <c r="M78" s="457"/>
      <c r="N78" s="457"/>
      <c r="O78" s="457"/>
    </row>
    <row r="79" spans="1:15" ht="12.75" customHeight="1" x14ac:dyDescent="0.25">
      <c r="A79" s="438"/>
      <c r="D79" s="1125">
        <v>627002</v>
      </c>
      <c r="E79" s="1126"/>
      <c r="F79" s="1126"/>
      <c r="G79" s="1156" t="s">
        <v>3286</v>
      </c>
      <c r="I79" s="463"/>
      <c r="J79" s="457"/>
      <c r="K79" s="457"/>
      <c r="L79" s="457"/>
      <c r="M79" s="457"/>
      <c r="N79" s="457"/>
      <c r="O79" s="457"/>
    </row>
    <row r="80" spans="1:15" ht="12.75" customHeight="1" x14ac:dyDescent="0.25">
      <c r="A80" s="438"/>
      <c r="D80" s="758"/>
      <c r="E80" s="758"/>
      <c r="F80" s="758"/>
      <c r="G80" s="759" t="s">
        <v>533</v>
      </c>
      <c r="I80" s="463"/>
      <c r="J80" s="457"/>
      <c r="K80" s="457"/>
      <c r="L80" s="457"/>
      <c r="M80" s="457"/>
      <c r="N80" s="457"/>
      <c r="O80" s="457"/>
    </row>
    <row r="81" spans="1:19" ht="12.75" customHeight="1" x14ac:dyDescent="0.25">
      <c r="A81" s="470">
        <f>+D79</f>
        <v>627002</v>
      </c>
      <c r="B81" s="453" t="str">
        <f>G79</f>
        <v>Glasschade scholen</v>
      </c>
      <c r="D81" s="763">
        <v>43812</v>
      </c>
      <c r="E81" s="763"/>
      <c r="F81" s="763"/>
      <c r="G81" s="761" t="s">
        <v>535</v>
      </c>
      <c r="I81" s="463"/>
      <c r="J81" s="457">
        <v>6512</v>
      </c>
      <c r="K81" s="457">
        <v>6681</v>
      </c>
      <c r="L81" s="457">
        <f>ROUND(K81*T$2,0)</f>
        <v>6821</v>
      </c>
      <c r="M81" s="457">
        <f>ROUND(L81*U$2,0)</f>
        <v>6978</v>
      </c>
      <c r="N81" s="457">
        <f>ROUND(M81*V$2,0)</f>
        <v>7138</v>
      </c>
      <c r="O81" s="457">
        <f>ROUND(N81*W$2,0)</f>
        <v>7302</v>
      </c>
    </row>
    <row r="82" spans="1:19" ht="12.75" customHeight="1" thickBot="1" x14ac:dyDescent="0.3">
      <c r="A82" s="438"/>
      <c r="D82" s="758"/>
      <c r="E82" s="758"/>
      <c r="F82" s="758"/>
      <c r="G82" s="761" t="s">
        <v>536</v>
      </c>
      <c r="I82" s="463"/>
      <c r="J82" s="762">
        <v>6512</v>
      </c>
      <c r="K82" s="762">
        <v>6681</v>
      </c>
      <c r="L82" s="762">
        <f>SUM(L80:L81)</f>
        <v>6821</v>
      </c>
      <c r="M82" s="762">
        <f>SUM(M80:M81)</f>
        <v>6978</v>
      </c>
      <c r="N82" s="762">
        <f>SUM(N80:N81)</f>
        <v>7138</v>
      </c>
      <c r="O82" s="762">
        <f>SUM(O80:O81)</f>
        <v>7302</v>
      </c>
    </row>
    <row r="83" spans="1:19" ht="12.75" customHeight="1" thickTop="1" x14ac:dyDescent="0.25">
      <c r="A83" s="438"/>
      <c r="D83" s="758"/>
      <c r="E83" s="758"/>
      <c r="F83" s="758"/>
      <c r="G83" s="761"/>
      <c r="I83" s="463"/>
      <c r="J83" s="463"/>
      <c r="K83" s="463"/>
      <c r="L83" s="463"/>
      <c r="M83" s="463"/>
      <c r="N83" s="463"/>
      <c r="O83" s="463"/>
      <c r="P83" s="782"/>
      <c r="Q83" s="782"/>
      <c r="R83" s="782"/>
      <c r="S83" s="782"/>
    </row>
    <row r="84" spans="1:19" ht="12.75" customHeight="1" x14ac:dyDescent="0.25">
      <c r="A84" s="438"/>
      <c r="D84" s="1125">
        <v>627003</v>
      </c>
      <c r="E84" s="1126"/>
      <c r="F84" s="1126"/>
      <c r="G84" s="756" t="s">
        <v>3287</v>
      </c>
      <c r="I84" s="463"/>
      <c r="J84" s="463"/>
      <c r="K84" s="463"/>
      <c r="L84" s="463"/>
      <c r="M84" s="463"/>
      <c r="N84" s="463"/>
      <c r="O84" s="463"/>
      <c r="P84" s="782"/>
      <c r="Q84" s="782"/>
      <c r="R84" s="782"/>
      <c r="S84" s="782"/>
    </row>
    <row r="85" spans="1:19" ht="12.75" customHeight="1" x14ac:dyDescent="0.25">
      <c r="A85" s="438"/>
      <c r="D85" s="758"/>
      <c r="E85" s="758"/>
      <c r="F85" s="758"/>
      <c r="G85" s="759" t="s">
        <v>533</v>
      </c>
      <c r="I85" s="463"/>
      <c r="J85" s="463"/>
      <c r="K85" s="463"/>
      <c r="L85" s="463"/>
      <c r="M85" s="463"/>
      <c r="N85" s="463"/>
      <c r="O85" s="463"/>
      <c r="P85" s="782"/>
      <c r="Q85" s="782"/>
      <c r="R85" s="782"/>
      <c r="S85" s="782"/>
    </row>
    <row r="86" spans="1:19" ht="12.75" customHeight="1" x14ac:dyDescent="0.3">
      <c r="A86" s="470">
        <f>+D84</f>
        <v>627003</v>
      </c>
      <c r="B86" s="453" t="str">
        <f>G84</f>
        <v>Schoolwoningen onverdeeld</v>
      </c>
      <c r="D86" s="763">
        <v>43817</v>
      </c>
      <c r="E86" s="763"/>
      <c r="F86" s="997"/>
      <c r="G86" s="998" t="s">
        <v>1002</v>
      </c>
      <c r="H86" s="999"/>
      <c r="I86" s="463"/>
      <c r="J86" s="457">
        <v>35567</v>
      </c>
      <c r="K86" s="457">
        <v>36492</v>
      </c>
      <c r="L86" s="457">
        <f>ROUND(K86*T$2,0)</f>
        <v>37258</v>
      </c>
      <c r="M86" s="457">
        <f>ROUND(L86*U$2,0)</f>
        <v>38115</v>
      </c>
      <c r="N86" s="457">
        <f>ROUND(M86*V$2,0)</f>
        <v>38992</v>
      </c>
      <c r="O86" s="457">
        <f>ROUND(N86*W$2,0)</f>
        <v>39889</v>
      </c>
    </row>
    <row r="87" spans="1:19" ht="12.75" customHeight="1" x14ac:dyDescent="0.25">
      <c r="A87" s="470">
        <f>+D84</f>
        <v>627003</v>
      </c>
      <c r="B87" s="453" t="str">
        <f>G84</f>
        <v>Schoolwoningen onverdeeld</v>
      </c>
      <c r="D87" s="763">
        <v>47201</v>
      </c>
      <c r="E87" s="763"/>
      <c r="F87" s="763"/>
      <c r="G87" s="761" t="s">
        <v>3288</v>
      </c>
      <c r="I87" s="463"/>
      <c r="J87" s="457">
        <v>10258.003999999999</v>
      </c>
      <c r="K87" s="457">
        <v>10637.715324678398</v>
      </c>
      <c r="L87" s="457">
        <v>11031.310791691498</v>
      </c>
      <c r="M87" s="457">
        <v>11439.469290984081</v>
      </c>
      <c r="N87" s="457">
        <v>11862.729654750492</v>
      </c>
      <c r="O87" s="2120">
        <v>0</v>
      </c>
    </row>
    <row r="88" spans="1:19" ht="12.75" customHeight="1" thickBot="1" x14ac:dyDescent="0.3">
      <c r="A88" s="438"/>
      <c r="D88" s="758"/>
      <c r="E88" s="758"/>
      <c r="F88" s="758"/>
      <c r="G88" s="761" t="s">
        <v>536</v>
      </c>
      <c r="I88" s="463"/>
      <c r="J88" s="1085">
        <v>45825.004000000001</v>
      </c>
      <c r="K88" s="1085">
        <v>47129.7153246784</v>
      </c>
      <c r="L88" s="1085">
        <f>SUM(L86:L87)</f>
        <v>48289.310791691496</v>
      </c>
      <c r="M88" s="1085">
        <f>SUM(M86:M87)</f>
        <v>49554.469290984081</v>
      </c>
      <c r="N88" s="1085">
        <f>SUM(N86:N87)</f>
        <v>50854.729654750496</v>
      </c>
      <c r="O88" s="1085">
        <f>SUM(O86:O87)</f>
        <v>39889</v>
      </c>
    </row>
    <row r="89" spans="1:19" ht="12.75" customHeight="1" thickTop="1" x14ac:dyDescent="0.25">
      <c r="A89" s="438"/>
      <c r="D89" s="758"/>
      <c r="E89" s="758"/>
      <c r="F89" s="758"/>
      <c r="G89" s="761"/>
      <c r="I89" s="463"/>
      <c r="J89" s="1132"/>
      <c r="K89" s="1132"/>
      <c r="L89" s="1132"/>
      <c r="M89" s="1132"/>
      <c r="N89" s="1132"/>
      <c r="O89" s="1132"/>
    </row>
    <row r="90" spans="1:19" ht="12.75" customHeight="1" x14ac:dyDescent="0.25">
      <c r="A90" s="438"/>
      <c r="D90" s="1133">
        <v>627004</v>
      </c>
      <c r="E90" s="755"/>
      <c r="F90" s="755"/>
      <c r="G90" s="756" t="s">
        <v>3289</v>
      </c>
      <c r="I90" s="463"/>
      <c r="J90" s="457"/>
      <c r="K90" s="457"/>
      <c r="L90" s="457"/>
      <c r="M90" s="457"/>
      <c r="N90" s="457"/>
      <c r="O90" s="457"/>
    </row>
    <row r="91" spans="1:19" ht="12.75" customHeight="1" x14ac:dyDescent="0.25">
      <c r="A91" s="438"/>
      <c r="D91" s="758"/>
      <c r="E91" s="758"/>
      <c r="F91" s="758"/>
      <c r="G91" s="759" t="s">
        <v>533</v>
      </c>
      <c r="I91" s="463"/>
      <c r="J91" s="457"/>
      <c r="K91" s="457"/>
      <c r="L91" s="457"/>
      <c r="M91" s="457"/>
      <c r="N91" s="457"/>
      <c r="O91" s="457"/>
    </row>
    <row r="92" spans="1:19" ht="12.75" customHeight="1" x14ac:dyDescent="0.25">
      <c r="A92" s="470">
        <f>+D90</f>
        <v>627004</v>
      </c>
      <c r="B92" s="453" t="str">
        <f>G90</f>
        <v>Gymnastiekonderwijs</v>
      </c>
      <c r="D92" s="763">
        <v>43805</v>
      </c>
      <c r="E92" s="763"/>
      <c r="F92" s="763"/>
      <c r="G92" s="761" t="s">
        <v>730</v>
      </c>
      <c r="I92" s="463"/>
      <c r="J92" s="457">
        <v>82190</v>
      </c>
      <c r="K92" s="457">
        <v>84320</v>
      </c>
      <c r="L92" s="457">
        <f>L239</f>
        <v>86090</v>
      </c>
      <c r="M92" s="457">
        <f>M239</f>
        <v>88070</v>
      </c>
      <c r="N92" s="457">
        <f>N239</f>
        <v>90100</v>
      </c>
      <c r="O92" s="457">
        <f>O239</f>
        <v>92160</v>
      </c>
    </row>
    <row r="93" spans="1:19" ht="12.75" customHeight="1" x14ac:dyDescent="0.25">
      <c r="A93" s="470">
        <f>+D90</f>
        <v>627004</v>
      </c>
      <c r="B93" s="453" t="str">
        <f>G90</f>
        <v>Gymnastiekonderwijs</v>
      </c>
      <c r="D93" s="763">
        <v>44360</v>
      </c>
      <c r="E93" s="763"/>
      <c r="F93" s="763"/>
      <c r="G93" s="761" t="s">
        <v>3285</v>
      </c>
      <c r="I93" s="463"/>
      <c r="J93" s="457">
        <v>1000</v>
      </c>
      <c r="K93" s="457">
        <v>1000</v>
      </c>
      <c r="L93" s="457">
        <f>L242</f>
        <v>1000</v>
      </c>
      <c r="M93" s="457">
        <f>M242</f>
        <v>1000</v>
      </c>
      <c r="N93" s="457">
        <f>N242</f>
        <v>1000</v>
      </c>
      <c r="O93" s="457">
        <v>1000</v>
      </c>
    </row>
    <row r="94" spans="1:19" ht="12.75" customHeight="1" thickBot="1" x14ac:dyDescent="0.3">
      <c r="A94" s="438"/>
      <c r="D94" s="758"/>
      <c r="E94" s="758"/>
      <c r="F94" s="758"/>
      <c r="G94" s="761" t="s">
        <v>536</v>
      </c>
      <c r="I94" s="463"/>
      <c r="J94" s="762">
        <v>83190</v>
      </c>
      <c r="K94" s="762">
        <v>85320</v>
      </c>
      <c r="L94" s="762">
        <f>SUM(L92:L93)</f>
        <v>87090</v>
      </c>
      <c r="M94" s="762">
        <f>SUM(M92:M93)</f>
        <v>89070</v>
      </c>
      <c r="N94" s="762">
        <f>SUM(N92:N93)</f>
        <v>91100</v>
      </c>
      <c r="O94" s="762">
        <f>SUM(O92:O93)</f>
        <v>93160</v>
      </c>
    </row>
    <row r="95" spans="1:19" ht="12.75" customHeight="1" thickTop="1" x14ac:dyDescent="0.25">
      <c r="A95" s="438"/>
      <c r="D95" s="758"/>
      <c r="E95" s="758"/>
      <c r="F95" s="758"/>
      <c r="G95" s="761"/>
      <c r="I95" s="463"/>
      <c r="J95" s="457"/>
      <c r="K95" s="457"/>
      <c r="L95" s="457"/>
      <c r="M95" s="457"/>
      <c r="N95" s="457"/>
      <c r="O95" s="457"/>
    </row>
    <row r="96" spans="1:19" ht="12.75" customHeight="1" x14ac:dyDescent="0.25">
      <c r="A96" s="438"/>
      <c r="D96" s="1125">
        <v>627006</v>
      </c>
      <c r="E96" s="1126"/>
      <c r="F96" s="1126"/>
      <c r="G96" s="756" t="s">
        <v>3290</v>
      </c>
      <c r="I96" s="463"/>
      <c r="J96" s="457"/>
      <c r="K96" s="457"/>
      <c r="L96" s="457"/>
      <c r="M96" s="457"/>
      <c r="N96" s="457"/>
      <c r="O96" s="457"/>
    </row>
    <row r="97" spans="1:22" ht="12.75" customHeight="1" x14ac:dyDescent="0.25">
      <c r="A97" s="438"/>
      <c r="D97" s="758"/>
      <c r="E97" s="758"/>
      <c r="F97" s="758"/>
      <c r="G97" s="759" t="s">
        <v>533</v>
      </c>
      <c r="I97" s="463"/>
      <c r="J97" s="457"/>
      <c r="K97" s="457"/>
      <c r="L97" s="457"/>
      <c r="M97" s="457"/>
      <c r="N97" s="457"/>
      <c r="O97" s="457"/>
    </row>
    <row r="98" spans="1:22" ht="12.75" customHeight="1" x14ac:dyDescent="0.25">
      <c r="A98" s="1157">
        <f>+D96</f>
        <v>627006</v>
      </c>
      <c r="B98" s="453" t="str">
        <f>G96</f>
        <v>Paardenhei 7 (school)</v>
      </c>
      <c r="D98" s="1158">
        <v>42100</v>
      </c>
      <c r="E98" s="1159"/>
      <c r="F98" s="1159"/>
      <c r="G98" s="1128" t="s">
        <v>978</v>
      </c>
      <c r="I98" s="463"/>
      <c r="J98" s="457">
        <v>0</v>
      </c>
      <c r="K98" s="457">
        <v>8396</v>
      </c>
      <c r="L98" s="457">
        <f>ROUND(K98*T$2,0)</f>
        <v>8572</v>
      </c>
      <c r="M98" s="457">
        <f>ROUND(L98*U$2,0)</f>
        <v>8769</v>
      </c>
      <c r="N98" s="457">
        <f>ROUND(M98*V$2,0)</f>
        <v>8971</v>
      </c>
      <c r="O98" s="457">
        <f>ROUND(N98*W$2,0)</f>
        <v>9177</v>
      </c>
    </row>
    <row r="99" spans="1:22" ht="12.75" customHeight="1" x14ac:dyDescent="0.25">
      <c r="A99" s="470">
        <f>+D96</f>
        <v>627006</v>
      </c>
      <c r="B99" s="453" t="str">
        <f>G96</f>
        <v>Paardenhei 7 (school)</v>
      </c>
      <c r="C99" s="470"/>
      <c r="D99" s="763">
        <v>43806</v>
      </c>
      <c r="E99" s="763"/>
      <c r="F99" s="763"/>
      <c r="G99" s="761" t="s">
        <v>3291</v>
      </c>
      <c r="I99" s="463"/>
      <c r="J99" s="457">
        <v>0</v>
      </c>
      <c r="K99" s="457">
        <v>3555</v>
      </c>
      <c r="L99" s="2120">
        <f>ROUND(K99*T$2,0)+14</f>
        <v>3644</v>
      </c>
      <c r="M99" s="2120">
        <f>ROUND(L99*U$2,0)+15</f>
        <v>3743</v>
      </c>
      <c r="N99" s="2120">
        <f>ROUND(M99*V$2,0)+15</f>
        <v>3844</v>
      </c>
      <c r="O99" s="457">
        <f t="shared" ref="O99" si="3">ROUND(N99*W$2,0)</f>
        <v>3932</v>
      </c>
    </row>
    <row r="100" spans="1:22" ht="12.75" customHeight="1" thickBot="1" x14ac:dyDescent="0.3">
      <c r="A100" s="438"/>
      <c r="D100" s="758"/>
      <c r="E100" s="758"/>
      <c r="F100" s="758"/>
      <c r="G100" s="761" t="s">
        <v>536</v>
      </c>
      <c r="I100" s="463"/>
      <c r="J100" s="1085">
        <v>0</v>
      </c>
      <c r="K100" s="1085">
        <v>11951</v>
      </c>
      <c r="L100" s="1085">
        <f>SUM(L98:L99)</f>
        <v>12216</v>
      </c>
      <c r="M100" s="1085">
        <f>SUM(M98:M99)</f>
        <v>12512</v>
      </c>
      <c r="N100" s="1085">
        <f>SUM(N98:N99)</f>
        <v>12815</v>
      </c>
      <c r="O100" s="1085">
        <f>SUM(O98:O99)</f>
        <v>13109</v>
      </c>
    </row>
    <row r="101" spans="1:22" ht="12.75" customHeight="1" thickTop="1" x14ac:dyDescent="0.25">
      <c r="A101" s="438"/>
      <c r="D101" s="758"/>
      <c r="E101" s="758"/>
      <c r="F101" s="758"/>
      <c r="G101" s="761"/>
      <c r="I101" s="463"/>
      <c r="J101" s="457"/>
      <c r="K101" s="457"/>
      <c r="L101" s="457"/>
      <c r="M101" s="457"/>
      <c r="N101" s="457"/>
      <c r="O101" s="457"/>
    </row>
    <row r="102" spans="1:22" ht="12.75" customHeight="1" x14ac:dyDescent="0.25">
      <c r="A102" s="438"/>
      <c r="D102" s="1125">
        <v>627007</v>
      </c>
      <c r="E102" s="1126"/>
      <c r="F102" s="1126"/>
      <c r="G102" s="756" t="s">
        <v>3292</v>
      </c>
      <c r="I102" s="463"/>
      <c r="J102" s="457"/>
      <c r="K102" s="457"/>
      <c r="L102" s="457"/>
      <c r="M102" s="457"/>
      <c r="N102" s="457"/>
      <c r="O102" s="457"/>
    </row>
    <row r="103" spans="1:22" ht="12.75" customHeight="1" x14ac:dyDescent="0.25">
      <c r="A103" s="438"/>
      <c r="D103" s="758"/>
      <c r="E103" s="758"/>
      <c r="F103" s="758"/>
      <c r="G103" s="759" t="s">
        <v>533</v>
      </c>
      <c r="I103" s="463"/>
      <c r="J103" s="457"/>
      <c r="K103" s="457"/>
      <c r="L103" s="457"/>
      <c r="M103" s="457"/>
      <c r="N103" s="457"/>
      <c r="O103" s="457"/>
    </row>
    <row r="104" spans="1:22" ht="12.75" customHeight="1" x14ac:dyDescent="0.25">
      <c r="A104" s="1157">
        <f>+D102</f>
        <v>627007</v>
      </c>
      <c r="B104" s="166" t="str">
        <f>G102</f>
        <v>Vlinderhei 14 (school)</v>
      </c>
      <c r="C104" s="166"/>
      <c r="D104" s="1158">
        <v>42100</v>
      </c>
      <c r="E104" s="1159"/>
      <c r="F104" s="1159"/>
      <c r="G104" s="1128" t="s">
        <v>978</v>
      </c>
      <c r="H104" s="166"/>
      <c r="I104" s="1160"/>
      <c r="J104" s="1161">
        <v>0</v>
      </c>
      <c r="K104" s="1161">
        <v>15170</v>
      </c>
      <c r="L104" s="1161">
        <f>ROUND(K104*T$2,0)</f>
        <v>15489</v>
      </c>
      <c r="M104" s="1161">
        <f>ROUND(L104*U$2,0)</f>
        <v>15845</v>
      </c>
      <c r="N104" s="1161">
        <f>ROUND(M104*V$2,0)</f>
        <v>16209</v>
      </c>
      <c r="O104" s="1161">
        <f>ROUND(N104*W$2,0)</f>
        <v>16582</v>
      </c>
      <c r="P104" s="166"/>
      <c r="Q104" s="166"/>
      <c r="R104" s="166"/>
      <c r="S104" s="166"/>
      <c r="T104" s="166"/>
      <c r="U104" s="166"/>
      <c r="V104" s="166"/>
    </row>
    <row r="105" spans="1:22" ht="12.75" customHeight="1" x14ac:dyDescent="0.25">
      <c r="A105" s="470">
        <f>+D102</f>
        <v>627007</v>
      </c>
      <c r="B105" s="453" t="str">
        <f>G102</f>
        <v>Vlinderhei 14 (school)</v>
      </c>
      <c r="C105" s="470"/>
      <c r="D105" s="763">
        <v>43806</v>
      </c>
      <c r="E105" s="763"/>
      <c r="F105" s="763"/>
      <c r="G105" s="761" t="s">
        <v>3291</v>
      </c>
      <c r="I105" s="463"/>
      <c r="J105" s="457">
        <v>0</v>
      </c>
      <c r="K105" s="457">
        <v>0</v>
      </c>
      <c r="L105" s="457">
        <f>ROUND(K105*T$2,0)</f>
        <v>0</v>
      </c>
      <c r="M105" s="457">
        <f t="shared" ref="M105:O105" si="4">ROUND(L105*U$2,0)</f>
        <v>0</v>
      </c>
      <c r="N105" s="457">
        <f t="shared" si="4"/>
        <v>0</v>
      </c>
      <c r="O105" s="457">
        <f t="shared" si="4"/>
        <v>0</v>
      </c>
    </row>
    <row r="106" spans="1:22" ht="12.75" customHeight="1" thickBot="1" x14ac:dyDescent="0.3">
      <c r="A106" s="470"/>
      <c r="C106" s="470"/>
      <c r="D106" s="758"/>
      <c r="E106" s="758"/>
      <c r="F106" s="758"/>
      <c r="G106" s="761" t="s">
        <v>536</v>
      </c>
      <c r="I106" s="463"/>
      <c r="J106" s="1085">
        <v>0</v>
      </c>
      <c r="K106" s="1085">
        <v>15170</v>
      </c>
      <c r="L106" s="1085">
        <f>SUM(L104:L105)</f>
        <v>15489</v>
      </c>
      <c r="M106" s="1085">
        <f>SUM(M104:M105)</f>
        <v>15845</v>
      </c>
      <c r="N106" s="1890">
        <f>SUM(N104:N105)</f>
        <v>16209</v>
      </c>
      <c r="O106" s="1890">
        <f>SUM(O104:O105)</f>
        <v>16582</v>
      </c>
    </row>
    <row r="107" spans="1:22" ht="12.75" customHeight="1" thickTop="1" x14ac:dyDescent="0.25">
      <c r="A107" s="438"/>
      <c r="D107" s="758"/>
      <c r="E107" s="758"/>
      <c r="F107" s="758"/>
      <c r="G107" s="761"/>
      <c r="I107" s="463"/>
      <c r="J107" s="457"/>
      <c r="K107" s="457"/>
      <c r="L107" s="469"/>
      <c r="M107" s="1162"/>
      <c r="N107" s="1162"/>
      <c r="O107" s="1162"/>
    </row>
    <row r="108" spans="1:22" ht="12.75" customHeight="1" x14ac:dyDescent="0.25">
      <c r="A108" s="438"/>
      <c r="D108" s="1125">
        <v>627008</v>
      </c>
      <c r="E108" s="1126"/>
      <c r="F108" s="1126"/>
      <c r="G108" s="756" t="s">
        <v>3293</v>
      </c>
      <c r="I108" s="463"/>
      <c r="J108" s="457"/>
      <c r="K108" s="457"/>
      <c r="L108" s="457"/>
      <c r="M108" s="457"/>
      <c r="N108" s="457"/>
      <c r="O108" s="457"/>
    </row>
    <row r="109" spans="1:22" ht="12.75" customHeight="1" x14ac:dyDescent="0.25">
      <c r="A109" s="438"/>
      <c r="D109" s="758"/>
      <c r="E109" s="758"/>
      <c r="F109" s="758"/>
      <c r="G109" s="759" t="s">
        <v>533</v>
      </c>
      <c r="I109" s="463"/>
      <c r="J109" s="457"/>
      <c r="K109" s="457"/>
      <c r="L109" s="457"/>
      <c r="M109" s="457"/>
      <c r="N109" s="457"/>
      <c r="O109" s="457"/>
    </row>
    <row r="110" spans="1:22" ht="12.75" customHeight="1" x14ac:dyDescent="0.25">
      <c r="A110" s="1157">
        <f>+D108</f>
        <v>627008</v>
      </c>
      <c r="B110" s="166" t="str">
        <f>G108</f>
        <v>Secr Jansenstraat 5 (school)</v>
      </c>
      <c r="C110" s="166"/>
      <c r="D110" s="1158">
        <v>42100</v>
      </c>
      <c r="E110" s="1159"/>
      <c r="F110" s="1159"/>
      <c r="G110" s="1128" t="s">
        <v>978</v>
      </c>
      <c r="H110" s="166"/>
      <c r="I110" s="1160"/>
      <c r="J110" s="1161">
        <v>0</v>
      </c>
      <c r="K110" s="1161">
        <v>8014</v>
      </c>
      <c r="L110" s="1161">
        <f t="shared" ref="L110:O111" si="5">ROUND(K110*T$2,0)</f>
        <v>8182</v>
      </c>
      <c r="M110" s="1161">
        <f t="shared" si="5"/>
        <v>8370</v>
      </c>
      <c r="N110" s="1161">
        <f t="shared" si="5"/>
        <v>8563</v>
      </c>
      <c r="O110" s="1161">
        <f t="shared" si="5"/>
        <v>8760</v>
      </c>
      <c r="P110" s="166"/>
      <c r="Q110" s="166"/>
      <c r="R110" s="166"/>
      <c r="S110" s="166"/>
      <c r="T110" s="166"/>
      <c r="U110" s="166"/>
      <c r="V110" s="166"/>
    </row>
    <row r="111" spans="1:22" ht="12.75" customHeight="1" x14ac:dyDescent="0.25">
      <c r="A111" s="470">
        <f>+D108</f>
        <v>627008</v>
      </c>
      <c r="B111" s="453" t="str">
        <f>G108</f>
        <v>Secr Jansenstraat 5 (school)</v>
      </c>
      <c r="C111" s="470"/>
      <c r="D111" s="763">
        <v>43806</v>
      </c>
      <c r="E111" s="763"/>
      <c r="F111" s="763"/>
      <c r="G111" s="761" t="s">
        <v>980</v>
      </c>
      <c r="I111" s="463"/>
      <c r="J111" s="457">
        <v>5555</v>
      </c>
      <c r="K111" s="457">
        <v>3787</v>
      </c>
      <c r="L111" s="457">
        <f t="shared" si="5"/>
        <v>3867</v>
      </c>
      <c r="M111" s="457">
        <f t="shared" si="5"/>
        <v>3956</v>
      </c>
      <c r="N111" s="457">
        <f t="shared" si="5"/>
        <v>4047</v>
      </c>
      <c r="O111" s="457">
        <f t="shared" si="5"/>
        <v>4140</v>
      </c>
      <c r="P111" s="469"/>
    </row>
    <row r="112" spans="1:22" ht="12.75" customHeight="1" thickBot="1" x14ac:dyDescent="0.3">
      <c r="A112" s="438"/>
      <c r="D112" s="758"/>
      <c r="E112" s="758"/>
      <c r="F112" s="758"/>
      <c r="G112" s="761" t="s">
        <v>536</v>
      </c>
      <c r="I112" s="463"/>
      <c r="J112" s="1085">
        <v>5555</v>
      </c>
      <c r="K112" s="1085">
        <v>11801</v>
      </c>
      <c r="L112" s="1085">
        <f>SUM(L110:L111)</f>
        <v>12049</v>
      </c>
      <c r="M112" s="1085">
        <f>SUM(M110:M111)</f>
        <v>12326</v>
      </c>
      <c r="N112" s="1085">
        <f>SUM(N110:N111)</f>
        <v>12610</v>
      </c>
      <c r="O112" s="1085">
        <f>SUM(O110:O111)</f>
        <v>12900</v>
      </c>
    </row>
    <row r="113" spans="1:22" ht="12.75" customHeight="1" thickTop="1" x14ac:dyDescent="0.25">
      <c r="A113" s="438"/>
      <c r="D113" s="758"/>
      <c r="E113" s="758"/>
      <c r="F113" s="758"/>
      <c r="G113" s="761"/>
      <c r="I113" s="463"/>
      <c r="J113" s="457"/>
      <c r="K113" s="457"/>
      <c r="L113" s="457"/>
      <c r="M113" s="457"/>
      <c r="N113" s="457"/>
      <c r="O113" s="457"/>
    </row>
    <row r="114" spans="1:22" ht="12.75" customHeight="1" x14ac:dyDescent="0.25">
      <c r="A114" s="438"/>
      <c r="D114" s="1125">
        <v>627009</v>
      </c>
      <c r="E114" s="1126"/>
      <c r="F114" s="1126"/>
      <c r="G114" s="756" t="s">
        <v>3294</v>
      </c>
      <c r="I114" s="463"/>
      <c r="J114" s="457"/>
      <c r="K114" s="457"/>
      <c r="L114" s="457"/>
      <c r="M114" s="457"/>
      <c r="N114" s="457"/>
      <c r="O114" s="457"/>
    </row>
    <row r="115" spans="1:22" ht="12.75" customHeight="1" x14ac:dyDescent="0.25">
      <c r="A115" s="438"/>
      <c r="D115" s="758"/>
      <c r="E115" s="758"/>
      <c r="F115" s="758"/>
      <c r="G115" s="759" t="s">
        <v>533</v>
      </c>
      <c r="I115" s="463"/>
      <c r="J115" s="457"/>
      <c r="K115" s="457"/>
      <c r="L115" s="457"/>
      <c r="M115" s="457"/>
      <c r="N115" s="457"/>
      <c r="O115" s="457"/>
    </row>
    <row r="116" spans="1:22" ht="12.75" customHeight="1" x14ac:dyDescent="0.25">
      <c r="A116" s="1157">
        <f>+D114</f>
        <v>627009</v>
      </c>
      <c r="B116" s="166" t="str">
        <f>G114</f>
        <v>Mgr. Zwijssenstraat 85 (school)</v>
      </c>
      <c r="C116" s="166"/>
      <c r="D116" s="1158">
        <v>42100</v>
      </c>
      <c r="E116" s="1159"/>
      <c r="F116" s="1159"/>
      <c r="G116" s="1128" t="s">
        <v>978</v>
      </c>
      <c r="H116" s="166"/>
      <c r="I116" s="1160"/>
      <c r="J116" s="1161">
        <v>0</v>
      </c>
      <c r="K116" s="1161">
        <v>12452</v>
      </c>
      <c r="L116" s="1161">
        <f t="shared" ref="L116:O117" si="6">ROUND(K116*T$2,0)</f>
        <v>12713</v>
      </c>
      <c r="M116" s="1161">
        <f t="shared" si="6"/>
        <v>13005</v>
      </c>
      <c r="N116" s="1161">
        <f t="shared" si="6"/>
        <v>13304</v>
      </c>
      <c r="O116" s="1161">
        <f t="shared" si="6"/>
        <v>13610</v>
      </c>
      <c r="P116" s="166"/>
      <c r="Q116" s="166"/>
      <c r="R116" s="166"/>
      <c r="S116" s="166"/>
      <c r="T116" s="166"/>
      <c r="U116" s="166"/>
      <c r="V116" s="166"/>
    </row>
    <row r="117" spans="1:22" ht="12.75" customHeight="1" x14ac:dyDescent="0.25">
      <c r="A117" s="470">
        <f>+D114</f>
        <v>627009</v>
      </c>
      <c r="B117" s="453" t="str">
        <f>G114</f>
        <v>Mgr. Zwijssenstraat 85 (school)</v>
      </c>
      <c r="C117" s="470"/>
      <c r="D117" s="763">
        <v>43806</v>
      </c>
      <c r="E117" s="763"/>
      <c r="F117" s="763"/>
      <c r="G117" s="761" t="s">
        <v>980</v>
      </c>
      <c r="I117" s="463"/>
      <c r="J117" s="457">
        <v>4234</v>
      </c>
      <c r="K117" s="457">
        <v>2901</v>
      </c>
      <c r="L117" s="457">
        <f t="shared" si="6"/>
        <v>2962</v>
      </c>
      <c r="M117" s="457">
        <f t="shared" si="6"/>
        <v>3030</v>
      </c>
      <c r="N117" s="457">
        <f t="shared" si="6"/>
        <v>3100</v>
      </c>
      <c r="O117" s="457">
        <f t="shared" si="6"/>
        <v>3171</v>
      </c>
      <c r="P117" s="469"/>
    </row>
    <row r="118" spans="1:22" ht="12.75" customHeight="1" thickBot="1" x14ac:dyDescent="0.3">
      <c r="A118" s="438"/>
      <c r="D118" s="758"/>
      <c r="E118" s="758"/>
      <c r="F118" s="758"/>
      <c r="G118" s="761" t="s">
        <v>536</v>
      </c>
      <c r="I118" s="463"/>
      <c r="J118" s="1085">
        <v>4234</v>
      </c>
      <c r="K118" s="1085">
        <v>15353</v>
      </c>
      <c r="L118" s="1085">
        <f>SUM(L116:L117)</f>
        <v>15675</v>
      </c>
      <c r="M118" s="1085">
        <f>SUM(M116:M117)</f>
        <v>16035</v>
      </c>
      <c r="N118" s="1085">
        <f>SUM(N116:N117)</f>
        <v>16404</v>
      </c>
      <c r="O118" s="1085">
        <f>SUM(O116:O117)</f>
        <v>16781</v>
      </c>
    </row>
    <row r="119" spans="1:22" ht="12.75" customHeight="1" thickTop="1" x14ac:dyDescent="0.25">
      <c r="A119" s="438"/>
      <c r="D119" s="758"/>
      <c r="E119" s="758"/>
      <c r="F119" s="758"/>
      <c r="G119" s="761"/>
      <c r="I119" s="463"/>
      <c r="J119" s="457"/>
      <c r="K119" s="457"/>
      <c r="L119" s="457"/>
      <c r="M119" s="457"/>
      <c r="N119" s="457"/>
      <c r="O119" s="457"/>
    </row>
    <row r="120" spans="1:22" ht="12.75" customHeight="1" x14ac:dyDescent="0.25">
      <c r="A120" s="438"/>
      <c r="D120" s="758"/>
      <c r="E120" s="758"/>
      <c r="F120" s="758"/>
      <c r="G120" s="761"/>
      <c r="I120" s="463"/>
      <c r="J120" s="457"/>
      <c r="K120" s="457"/>
      <c r="L120" s="457"/>
      <c r="M120" s="457"/>
      <c r="N120" s="457"/>
      <c r="O120" s="457"/>
    </row>
    <row r="121" spans="1:22" ht="12.75" customHeight="1" x14ac:dyDescent="0.25">
      <c r="A121" s="438"/>
      <c r="D121" s="1125">
        <v>627011</v>
      </c>
      <c r="E121" s="1126"/>
      <c r="F121" s="1126"/>
      <c r="G121" s="756" t="s">
        <v>3295</v>
      </c>
      <c r="I121" s="463"/>
      <c r="J121" s="457"/>
      <c r="K121" s="457"/>
      <c r="L121" s="457"/>
      <c r="M121" s="457"/>
      <c r="N121" s="457"/>
      <c r="O121" s="457"/>
    </row>
    <row r="122" spans="1:22" ht="12.75" customHeight="1" x14ac:dyDescent="0.25">
      <c r="A122" s="438"/>
      <c r="D122" s="758"/>
      <c r="E122" s="758"/>
      <c r="F122" s="758"/>
      <c r="G122" s="759" t="s">
        <v>533</v>
      </c>
      <c r="I122" s="463"/>
      <c r="J122" s="457"/>
      <c r="K122" s="457"/>
      <c r="L122" s="1161"/>
      <c r="M122" s="1161"/>
      <c r="N122" s="1161"/>
      <c r="O122" s="1161"/>
    </row>
    <row r="123" spans="1:22" ht="12.75" customHeight="1" x14ac:dyDescent="0.25">
      <c r="A123" s="1157">
        <f>+D121</f>
        <v>627011</v>
      </c>
      <c r="B123" s="166" t="str">
        <f>G121</f>
        <v>Max de Bossustraat 8 (school)</v>
      </c>
      <c r="C123" s="166"/>
      <c r="D123" s="1158">
        <v>42100</v>
      </c>
      <c r="E123" s="1159"/>
      <c r="F123" s="1159"/>
      <c r="G123" s="1128" t="s">
        <v>978</v>
      </c>
      <c r="H123" s="166"/>
      <c r="I123" s="1160"/>
      <c r="J123" s="1161">
        <v>0</v>
      </c>
      <c r="K123" s="1161">
        <v>6154</v>
      </c>
      <c r="L123" s="1161">
        <f t="shared" ref="L123:O124" si="7">ROUND(K123*T$2,0)</f>
        <v>6283</v>
      </c>
      <c r="M123" s="1161">
        <f t="shared" si="7"/>
        <v>6428</v>
      </c>
      <c r="N123" s="1161">
        <f t="shared" si="7"/>
        <v>6576</v>
      </c>
      <c r="O123" s="1161">
        <f t="shared" si="7"/>
        <v>6727</v>
      </c>
      <c r="P123" s="166"/>
      <c r="Q123" s="166"/>
      <c r="R123" s="166"/>
      <c r="S123" s="166"/>
      <c r="T123" s="166"/>
      <c r="U123" s="166"/>
      <c r="V123" s="166"/>
    </row>
    <row r="124" spans="1:22" ht="12.75" customHeight="1" x14ac:dyDescent="0.25">
      <c r="A124" s="470">
        <f>+D121</f>
        <v>627011</v>
      </c>
      <c r="B124" s="453" t="str">
        <f>G121</f>
        <v>Max de Bossustraat 8 (school)</v>
      </c>
      <c r="C124" s="470"/>
      <c r="D124" s="763">
        <v>43806</v>
      </c>
      <c r="E124" s="763"/>
      <c r="F124" s="763"/>
      <c r="G124" s="761" t="s">
        <v>980</v>
      </c>
      <c r="I124" s="463"/>
      <c r="J124" s="457">
        <v>4131</v>
      </c>
      <c r="K124" s="457">
        <v>2796</v>
      </c>
      <c r="L124" s="1161">
        <f t="shared" si="7"/>
        <v>2855</v>
      </c>
      <c r="M124" s="1161">
        <f t="shared" si="7"/>
        <v>2921</v>
      </c>
      <c r="N124" s="1161">
        <f t="shared" si="7"/>
        <v>2988</v>
      </c>
      <c r="O124" s="1161">
        <f t="shared" si="7"/>
        <v>3057</v>
      </c>
      <c r="P124" s="469"/>
    </row>
    <row r="125" spans="1:22" ht="12.75" customHeight="1" thickBot="1" x14ac:dyDescent="0.3">
      <c r="A125" s="438"/>
      <c r="D125" s="758"/>
      <c r="E125" s="758"/>
      <c r="F125" s="758"/>
      <c r="G125" s="761" t="s">
        <v>536</v>
      </c>
      <c r="I125" s="463"/>
      <c r="J125" s="762">
        <v>4131</v>
      </c>
      <c r="K125" s="762">
        <v>8950</v>
      </c>
      <c r="L125" s="1169">
        <f>SUM(L123:L124)</f>
        <v>9138</v>
      </c>
      <c r="M125" s="1169">
        <f>SUM(M123:M124)</f>
        <v>9349</v>
      </c>
      <c r="N125" s="1169">
        <f>SUM(N123:N124)</f>
        <v>9564</v>
      </c>
      <c r="O125" s="1169">
        <f>SUM(O123:O124)</f>
        <v>9784</v>
      </c>
    </row>
    <row r="126" spans="1:22" ht="12.75" customHeight="1" thickTop="1" x14ac:dyDescent="0.25">
      <c r="A126" s="438"/>
      <c r="D126" s="758"/>
      <c r="E126" s="758"/>
      <c r="F126" s="758"/>
      <c r="G126" s="761"/>
      <c r="I126" s="463"/>
      <c r="J126" s="457"/>
      <c r="K126" s="457"/>
      <c r="L126" s="1161"/>
      <c r="M126" s="1161"/>
      <c r="N126" s="1161"/>
      <c r="O126" s="1161"/>
    </row>
    <row r="127" spans="1:22" ht="12.75" customHeight="1" x14ac:dyDescent="0.25">
      <c r="A127" s="438"/>
      <c r="D127" s="1125">
        <v>627012</v>
      </c>
      <c r="E127" s="1126"/>
      <c r="F127" s="1126"/>
      <c r="G127" s="756" t="s">
        <v>3296</v>
      </c>
      <c r="I127" s="463"/>
      <c r="J127" s="457"/>
      <c r="K127" s="457"/>
      <c r="L127" s="1161"/>
      <c r="M127" s="1161"/>
      <c r="N127" s="1161"/>
      <c r="O127" s="1161"/>
    </row>
    <row r="128" spans="1:22" ht="12.75" customHeight="1" x14ac:dyDescent="0.25">
      <c r="A128" s="438"/>
      <c r="D128" s="758"/>
      <c r="E128" s="758"/>
      <c r="F128" s="758"/>
      <c r="G128" s="759" t="s">
        <v>533</v>
      </c>
      <c r="I128" s="463"/>
      <c r="J128" s="457"/>
      <c r="K128" s="457"/>
      <c r="L128" s="1161"/>
      <c r="M128" s="1161"/>
      <c r="N128" s="1161"/>
      <c r="O128" s="1161"/>
    </row>
    <row r="129" spans="1:22" ht="12.75" customHeight="1" x14ac:dyDescent="0.25">
      <c r="A129" s="470">
        <f>+D127</f>
        <v>627012</v>
      </c>
      <c r="B129" s="453" t="str">
        <f>G127</f>
        <v>Van Lumeystraat 1 (school)</v>
      </c>
      <c r="C129" s="470"/>
      <c r="D129" s="763">
        <v>43806</v>
      </c>
      <c r="E129" s="763"/>
      <c r="F129" s="763"/>
      <c r="G129" s="761" t="s">
        <v>980</v>
      </c>
      <c r="I129" s="463"/>
      <c r="J129" s="457">
        <v>2388</v>
      </c>
      <c r="K129" s="457">
        <v>1633</v>
      </c>
      <c r="L129" s="1161">
        <f>ROUND(K129*T$2,0)+6</f>
        <v>1673</v>
      </c>
      <c r="M129" s="1161">
        <f>ROUND(L129*U$2,0)+7</f>
        <v>1718</v>
      </c>
      <c r="N129" s="1161">
        <f>ROUND(M129*V$2,0)+7</f>
        <v>1765</v>
      </c>
      <c r="O129" s="1161">
        <f t="shared" ref="O129" si="8">ROUND(N129*W$2,0)</f>
        <v>1806</v>
      </c>
      <c r="P129" s="469"/>
    </row>
    <row r="130" spans="1:22" ht="12.75" customHeight="1" thickBot="1" x14ac:dyDescent="0.3">
      <c r="A130" s="438"/>
      <c r="D130" s="758"/>
      <c r="E130" s="758"/>
      <c r="F130" s="758"/>
      <c r="G130" s="761" t="s">
        <v>536</v>
      </c>
      <c r="I130" s="463"/>
      <c r="J130" s="762">
        <v>2388</v>
      </c>
      <c r="K130" s="762">
        <v>1633</v>
      </c>
      <c r="L130" s="1169">
        <f>SUM(L129:L129)</f>
        <v>1673</v>
      </c>
      <c r="M130" s="1169">
        <f>SUM(M129:M129)</f>
        <v>1718</v>
      </c>
      <c r="N130" s="1169">
        <f>SUM(N129:N129)</f>
        <v>1765</v>
      </c>
      <c r="O130" s="1169">
        <f>SUM(O129:O129)</f>
        <v>1806</v>
      </c>
    </row>
    <row r="131" spans="1:22" ht="12.75" customHeight="1" thickTop="1" x14ac:dyDescent="0.25">
      <c r="A131" s="438"/>
      <c r="D131" s="758"/>
      <c r="E131" s="758"/>
      <c r="F131" s="758"/>
      <c r="G131" s="761"/>
      <c r="I131" s="463"/>
      <c r="J131" s="457"/>
      <c r="K131" s="457"/>
      <c r="L131" s="1161"/>
      <c r="M131" s="1161"/>
      <c r="N131" s="1161"/>
      <c r="O131" s="1161"/>
    </row>
    <row r="132" spans="1:22" ht="12.75" customHeight="1" x14ac:dyDescent="0.25">
      <c r="A132" s="438"/>
      <c r="D132" s="1125">
        <v>627013</v>
      </c>
      <c r="E132" s="1126"/>
      <c r="F132" s="1126"/>
      <c r="G132" s="756" t="s">
        <v>3297</v>
      </c>
      <c r="I132" s="463"/>
      <c r="J132" s="457"/>
      <c r="K132" s="457"/>
      <c r="L132" s="1161"/>
      <c r="M132" s="1161"/>
      <c r="N132" s="1161"/>
      <c r="O132" s="1161"/>
    </row>
    <row r="133" spans="1:22" ht="12.75" customHeight="1" x14ac:dyDescent="0.25">
      <c r="A133" s="438"/>
      <c r="D133" s="758"/>
      <c r="E133" s="758"/>
      <c r="F133" s="758"/>
      <c r="G133" s="759" t="s">
        <v>533</v>
      </c>
      <c r="I133" s="463"/>
      <c r="J133" s="457"/>
      <c r="K133" s="457"/>
      <c r="L133" s="1161"/>
      <c r="M133" s="1161"/>
      <c r="N133" s="1161"/>
      <c r="O133" s="1161"/>
    </row>
    <row r="134" spans="1:22" ht="12.75" customHeight="1" x14ac:dyDescent="0.25">
      <c r="A134" s="1157">
        <f>+D132</f>
        <v>627013</v>
      </c>
      <c r="B134" s="166" t="str">
        <f>G132</f>
        <v>Paardenhei 1 (school)</v>
      </c>
      <c r="C134" s="166"/>
      <c r="D134" s="1158">
        <v>42100</v>
      </c>
      <c r="E134" s="1159"/>
      <c r="F134" s="1159"/>
      <c r="G134" s="1128" t="s">
        <v>978</v>
      </c>
      <c r="H134" s="166"/>
      <c r="I134" s="1160"/>
      <c r="J134" s="1161">
        <v>0</v>
      </c>
      <c r="K134" s="1161">
        <v>7107</v>
      </c>
      <c r="L134" s="1161">
        <f t="shared" ref="L134:O135" si="9">ROUND(K134*T$2,0)</f>
        <v>7256</v>
      </c>
      <c r="M134" s="1161">
        <f t="shared" si="9"/>
        <v>7423</v>
      </c>
      <c r="N134" s="1161">
        <f t="shared" si="9"/>
        <v>7594</v>
      </c>
      <c r="O134" s="1161">
        <f t="shared" si="9"/>
        <v>7769</v>
      </c>
      <c r="P134" s="166"/>
      <c r="Q134" s="166"/>
      <c r="R134" s="166"/>
      <c r="S134" s="166"/>
      <c r="T134" s="166"/>
      <c r="U134" s="166"/>
      <c r="V134" s="166"/>
    </row>
    <row r="135" spans="1:22" ht="12.75" customHeight="1" x14ac:dyDescent="0.25">
      <c r="A135" s="470">
        <f>+D132</f>
        <v>627013</v>
      </c>
      <c r="B135" s="453" t="str">
        <f>G132</f>
        <v>Paardenhei 1 (school)</v>
      </c>
      <c r="C135" s="470"/>
      <c r="D135" s="763">
        <v>43806</v>
      </c>
      <c r="E135" s="763"/>
      <c r="F135" s="763"/>
      <c r="G135" s="761" t="s">
        <v>980</v>
      </c>
      <c r="I135" s="463"/>
      <c r="J135" s="457">
        <v>3631</v>
      </c>
      <c r="K135" s="457">
        <v>2486</v>
      </c>
      <c r="L135" s="1161">
        <f t="shared" si="9"/>
        <v>2538</v>
      </c>
      <c r="M135" s="1161">
        <f t="shared" si="9"/>
        <v>2596</v>
      </c>
      <c r="N135" s="1161">
        <f t="shared" si="9"/>
        <v>2656</v>
      </c>
      <c r="O135" s="1161">
        <f t="shared" si="9"/>
        <v>2717</v>
      </c>
      <c r="P135" s="469"/>
    </row>
    <row r="136" spans="1:22" ht="12.75" customHeight="1" thickBot="1" x14ac:dyDescent="0.3">
      <c r="A136" s="470"/>
      <c r="C136" s="470"/>
      <c r="D136" s="758"/>
      <c r="E136" s="758"/>
      <c r="F136" s="758"/>
      <c r="G136" s="761" t="s">
        <v>536</v>
      </c>
      <c r="I136" s="463"/>
      <c r="J136" s="762">
        <v>3631</v>
      </c>
      <c r="K136" s="762">
        <v>9593</v>
      </c>
      <c r="L136" s="1169">
        <f>SUM(L134:L135)</f>
        <v>9794</v>
      </c>
      <c r="M136" s="1169">
        <f>SUM(M134:M135)</f>
        <v>10019</v>
      </c>
      <c r="N136" s="1169">
        <f>SUM(N134:N135)</f>
        <v>10250</v>
      </c>
      <c r="O136" s="1169">
        <f>SUM(O134:O135)</f>
        <v>10486</v>
      </c>
    </row>
    <row r="137" spans="1:22" ht="12.75" customHeight="1" thickTop="1" x14ac:dyDescent="0.25">
      <c r="A137" s="438"/>
      <c r="D137" s="758"/>
      <c r="E137" s="758"/>
      <c r="F137" s="758"/>
      <c r="G137" s="761"/>
      <c r="I137" s="463"/>
      <c r="J137" s="457"/>
      <c r="K137" s="581"/>
      <c r="L137" s="2258"/>
      <c r="M137" s="2258"/>
      <c r="N137" s="2258"/>
      <c r="O137" s="2258"/>
    </row>
    <row r="138" spans="1:22" ht="12.75" customHeight="1" x14ac:dyDescent="0.25">
      <c r="A138" s="438"/>
      <c r="D138" s="1125">
        <v>627014</v>
      </c>
      <c r="E138" s="1126"/>
      <c r="F138" s="1126"/>
      <c r="G138" s="756" t="s">
        <v>3298</v>
      </c>
      <c r="I138" s="463"/>
      <c r="J138" s="581"/>
      <c r="K138" s="581"/>
      <c r="L138" s="1161"/>
      <c r="M138" s="1161"/>
      <c r="N138" s="1161"/>
      <c r="O138" s="1161"/>
      <c r="R138" s="1163"/>
      <c r="T138" s="1016"/>
    </row>
    <row r="139" spans="1:22" ht="12.75" customHeight="1" x14ac:dyDescent="0.25">
      <c r="A139" s="438"/>
      <c r="D139" s="758"/>
      <c r="E139" s="758"/>
      <c r="F139" s="758"/>
      <c r="G139" s="759" t="s">
        <v>533</v>
      </c>
      <c r="I139" s="463"/>
      <c r="J139" s="581"/>
      <c r="K139" s="581"/>
      <c r="L139" s="1161"/>
      <c r="M139" s="1161"/>
      <c r="N139" s="1161"/>
      <c r="O139" s="1161"/>
      <c r="R139" s="1163"/>
      <c r="T139" s="1016"/>
    </row>
    <row r="140" spans="1:22" ht="12.75" customHeight="1" x14ac:dyDescent="0.25">
      <c r="A140" s="1157">
        <f>+D138</f>
        <v>627014</v>
      </c>
      <c r="B140" s="166" t="str">
        <f>G138</f>
        <v>Joh Verleunstraat 29 (school)</v>
      </c>
      <c r="C140" s="166"/>
      <c r="D140" s="1158">
        <v>42100</v>
      </c>
      <c r="E140" s="1159"/>
      <c r="F140" s="1159"/>
      <c r="G140" s="1128" t="s">
        <v>978</v>
      </c>
      <c r="H140" s="166"/>
      <c r="I140" s="1160"/>
      <c r="J140" s="1161">
        <v>0</v>
      </c>
      <c r="K140" s="1161">
        <v>3505</v>
      </c>
      <c r="L140" s="1161">
        <f t="shared" ref="L140:O141" si="10">ROUND(K140*T$2,0)</f>
        <v>3579</v>
      </c>
      <c r="M140" s="1161">
        <f t="shared" si="10"/>
        <v>3661</v>
      </c>
      <c r="N140" s="1161">
        <f t="shared" si="10"/>
        <v>3745</v>
      </c>
      <c r="O140" s="1161">
        <f t="shared" si="10"/>
        <v>3831</v>
      </c>
      <c r="P140" s="166"/>
      <c r="Q140" s="166"/>
      <c r="R140" s="166"/>
      <c r="S140" s="166"/>
      <c r="T140" s="166"/>
      <c r="U140" s="166"/>
      <c r="V140" s="166"/>
    </row>
    <row r="141" spans="1:22" ht="12.75" customHeight="1" x14ac:dyDescent="0.25">
      <c r="A141" s="470">
        <f>+D138</f>
        <v>627014</v>
      </c>
      <c r="B141" s="453" t="str">
        <f>G138</f>
        <v>Joh Verleunstraat 29 (school)</v>
      </c>
      <c r="D141" s="763">
        <v>43806</v>
      </c>
      <c r="E141" s="763"/>
      <c r="F141" s="763"/>
      <c r="G141" s="761" t="s">
        <v>980</v>
      </c>
      <c r="I141" s="463"/>
      <c r="J141" s="457">
        <v>3934</v>
      </c>
      <c r="K141" s="457">
        <v>2660</v>
      </c>
      <c r="L141" s="1161">
        <f t="shared" si="10"/>
        <v>2716</v>
      </c>
      <c r="M141" s="1161">
        <f t="shared" si="10"/>
        <v>2778</v>
      </c>
      <c r="N141" s="1161">
        <f t="shared" si="10"/>
        <v>2842</v>
      </c>
      <c r="O141" s="1161">
        <f t="shared" si="10"/>
        <v>2907</v>
      </c>
      <c r="P141" s="469"/>
      <c r="R141" s="1163"/>
    </row>
    <row r="142" spans="1:22" ht="12.75" customHeight="1" thickBot="1" x14ac:dyDescent="0.3">
      <c r="A142" s="438"/>
      <c r="D142" s="758"/>
      <c r="E142" s="758"/>
      <c r="F142" s="758"/>
      <c r="G142" s="761" t="s">
        <v>536</v>
      </c>
      <c r="I142" s="463"/>
      <c r="J142" s="762">
        <v>3934</v>
      </c>
      <c r="K142" s="762">
        <v>6165</v>
      </c>
      <c r="L142" s="1169">
        <f>SUM(L140:L141)</f>
        <v>6295</v>
      </c>
      <c r="M142" s="1169">
        <f>SUM(M140:M141)</f>
        <v>6439</v>
      </c>
      <c r="N142" s="1169">
        <f>SUM(N140:N141)</f>
        <v>6587</v>
      </c>
      <c r="O142" s="1169">
        <f>SUM(O140:O141)</f>
        <v>6738</v>
      </c>
      <c r="P142" s="469"/>
      <c r="R142" s="1163"/>
      <c r="T142" s="1016"/>
    </row>
    <row r="143" spans="1:22" ht="12.75" customHeight="1" thickTop="1" x14ac:dyDescent="0.25">
      <c r="A143" s="438"/>
      <c r="D143" s="758"/>
      <c r="E143" s="758"/>
      <c r="F143" s="758"/>
      <c r="G143" s="761"/>
      <c r="I143" s="463"/>
      <c r="J143" s="581"/>
      <c r="K143" s="581"/>
      <c r="L143" s="2258"/>
      <c r="M143" s="2258"/>
      <c r="N143" s="2258"/>
      <c r="O143" s="2258"/>
      <c r="R143" s="1163"/>
      <c r="T143" s="1016"/>
    </row>
    <row r="144" spans="1:22" ht="12.75" customHeight="1" x14ac:dyDescent="0.25">
      <c r="A144" s="438"/>
      <c r="D144" s="1125">
        <v>627015</v>
      </c>
      <c r="E144" s="1126"/>
      <c r="F144" s="1126"/>
      <c r="G144" s="756" t="s">
        <v>3299</v>
      </c>
      <c r="I144" s="463"/>
      <c r="J144" s="581"/>
      <c r="K144" s="581"/>
      <c r="L144" s="1161"/>
      <c r="M144" s="1161"/>
      <c r="N144" s="1161"/>
      <c r="O144" s="1161"/>
      <c r="R144" s="1163"/>
    </row>
    <row r="145" spans="1:22" ht="12.75" customHeight="1" x14ac:dyDescent="0.25">
      <c r="A145" s="438"/>
      <c r="D145" s="758"/>
      <c r="E145" s="758"/>
      <c r="F145" s="758"/>
      <c r="G145" s="759" t="s">
        <v>533</v>
      </c>
      <c r="I145" s="463"/>
      <c r="J145" s="581"/>
      <c r="K145" s="581"/>
      <c r="L145" s="1161"/>
      <c r="M145" s="1161"/>
      <c r="N145" s="1161"/>
      <c r="O145" s="1161"/>
      <c r="R145" s="1164"/>
    </row>
    <row r="146" spans="1:22" ht="12.75" customHeight="1" x14ac:dyDescent="0.25">
      <c r="A146" s="1157">
        <f>+D144</f>
        <v>627015</v>
      </c>
      <c r="B146" s="166" t="str">
        <f>G144</f>
        <v>Haktol 1 (school)</v>
      </c>
      <c r="C146" s="1157"/>
      <c r="D146" s="1158">
        <v>42100</v>
      </c>
      <c r="E146" s="1159"/>
      <c r="F146" s="1159"/>
      <c r="G146" s="1128" t="s">
        <v>978</v>
      </c>
      <c r="H146" s="166"/>
      <c r="I146" s="1160"/>
      <c r="J146" s="1165">
        <v>0</v>
      </c>
      <c r="K146" s="1161">
        <v>6156</v>
      </c>
      <c r="L146" s="1161">
        <f>ROUND(K146*T$2,0)</f>
        <v>6285</v>
      </c>
      <c r="M146" s="1161">
        <f>ROUND(L146*U$2,0)</f>
        <v>6430</v>
      </c>
      <c r="N146" s="1161">
        <f>ROUND(M146*V$2,0)</f>
        <v>6578</v>
      </c>
      <c r="O146" s="1161">
        <f>ROUND(N146*W$2,0)</f>
        <v>6729</v>
      </c>
      <c r="P146" s="166"/>
      <c r="Q146" s="166"/>
      <c r="R146" s="1164"/>
      <c r="S146" s="166"/>
      <c r="T146" s="166"/>
      <c r="U146" s="166"/>
      <c r="V146" s="166"/>
    </row>
    <row r="147" spans="1:22" ht="12.75" customHeight="1" x14ac:dyDescent="0.25">
      <c r="A147" s="470">
        <f>+D144</f>
        <v>627015</v>
      </c>
      <c r="B147" s="453" t="str">
        <f>G144</f>
        <v>Haktol 1 (school)</v>
      </c>
      <c r="C147" s="470"/>
      <c r="D147" s="763">
        <v>43806</v>
      </c>
      <c r="E147" s="763"/>
      <c r="F147" s="763"/>
      <c r="G147" s="761" t="s">
        <v>980</v>
      </c>
      <c r="I147" s="463"/>
      <c r="J147" s="457">
        <v>3097</v>
      </c>
      <c r="K147" s="457">
        <v>5140</v>
      </c>
      <c r="L147" s="1161">
        <f>ROUND(K147*T2,0)+31</f>
        <v>5279</v>
      </c>
      <c r="M147" s="1161">
        <f>ROUND(L147*U2,0)+32</f>
        <v>5432</v>
      </c>
      <c r="N147" s="1161">
        <f>ROUND(M147*V2,0)+32</f>
        <v>5589</v>
      </c>
      <c r="O147" s="1161">
        <f t="shared" ref="O147" si="11">ROUND(N147*W2,0)</f>
        <v>5718</v>
      </c>
      <c r="P147" s="469"/>
    </row>
    <row r="148" spans="1:22" ht="12.75" customHeight="1" thickBot="1" x14ac:dyDescent="0.3">
      <c r="A148" s="438"/>
      <c r="D148" s="758"/>
      <c r="E148" s="758"/>
      <c r="F148" s="758"/>
      <c r="G148" s="761" t="s">
        <v>536</v>
      </c>
      <c r="I148" s="463"/>
      <c r="J148" s="762">
        <v>3097</v>
      </c>
      <c r="K148" s="762">
        <v>11296</v>
      </c>
      <c r="L148" s="1169">
        <f>SUM(L146:L147)</f>
        <v>11564</v>
      </c>
      <c r="M148" s="1169">
        <f>SUM(M146:M147)</f>
        <v>11862</v>
      </c>
      <c r="N148" s="1169">
        <f>SUM(N146:N147)</f>
        <v>12167</v>
      </c>
      <c r="O148" s="1169">
        <f>SUM(O146:O147)</f>
        <v>12447</v>
      </c>
    </row>
    <row r="149" spans="1:22" ht="12.75" customHeight="1" thickTop="1" x14ac:dyDescent="0.25">
      <c r="A149" s="438"/>
      <c r="D149" s="758"/>
      <c r="E149" s="758"/>
      <c r="F149" s="758"/>
      <c r="G149" s="761"/>
      <c r="I149" s="463"/>
      <c r="J149" s="581"/>
      <c r="K149" s="581"/>
      <c r="L149" s="1161"/>
      <c r="M149" s="1161"/>
      <c r="N149" s="1161"/>
      <c r="O149" s="1161"/>
    </row>
    <row r="150" spans="1:22" ht="12.75" customHeight="1" x14ac:dyDescent="0.25">
      <c r="A150" s="438"/>
      <c r="D150" s="1125">
        <v>627016</v>
      </c>
      <c r="E150" s="1126"/>
      <c r="F150" s="1126"/>
      <c r="G150" s="756" t="s">
        <v>3300</v>
      </c>
      <c r="I150" s="463"/>
      <c r="J150" s="581"/>
      <c r="K150" s="581"/>
      <c r="L150" s="1161"/>
      <c r="M150" s="1161"/>
      <c r="N150" s="1161"/>
      <c r="O150" s="1161"/>
      <c r="P150" s="453" t="s">
        <v>3301</v>
      </c>
    </row>
    <row r="151" spans="1:22" ht="12.75" customHeight="1" x14ac:dyDescent="0.25">
      <c r="A151" s="438"/>
      <c r="D151" s="758"/>
      <c r="E151" s="758"/>
      <c r="F151" s="758"/>
      <c r="G151" s="759" t="s">
        <v>533</v>
      </c>
      <c r="I151" s="463"/>
      <c r="J151" s="581"/>
      <c r="K151" s="581"/>
      <c r="L151" s="1161"/>
      <c r="M151" s="1161"/>
      <c r="N151" s="1161"/>
      <c r="O151" s="1161"/>
      <c r="P151" s="1166"/>
      <c r="R151" s="1163"/>
      <c r="T151" s="1016"/>
    </row>
    <row r="152" spans="1:22" ht="12.75" customHeight="1" x14ac:dyDescent="0.25">
      <c r="A152" s="470">
        <f>+D150</f>
        <v>627016</v>
      </c>
      <c r="B152" s="453" t="str">
        <f>G150</f>
        <v>Burg Notermansstraat 29 (school)</v>
      </c>
      <c r="C152" s="470"/>
      <c r="D152" s="763">
        <v>43806</v>
      </c>
      <c r="E152" s="763"/>
      <c r="F152" s="763"/>
      <c r="G152" s="761" t="s">
        <v>546</v>
      </c>
      <c r="I152" s="463"/>
      <c r="J152" s="457">
        <v>2235</v>
      </c>
      <c r="K152" s="457">
        <v>0</v>
      </c>
      <c r="L152" s="1161">
        <f>ROUND(K152*T$2,0)</f>
        <v>0</v>
      </c>
      <c r="M152" s="1161">
        <f>ROUND(L152*U$2,0)</f>
        <v>0</v>
      </c>
      <c r="N152" s="1161">
        <f>ROUND(M152*V$2,0)</f>
        <v>0</v>
      </c>
      <c r="O152" s="1161">
        <f>ROUND(N152*W$2,0)</f>
        <v>0</v>
      </c>
      <c r="P152" s="1166"/>
      <c r="R152" s="1163"/>
      <c r="T152" s="1016"/>
    </row>
    <row r="153" spans="1:22" ht="12.75" customHeight="1" thickBot="1" x14ac:dyDescent="0.3">
      <c r="A153" s="470"/>
      <c r="C153" s="470"/>
      <c r="D153" s="758"/>
      <c r="E153" s="758"/>
      <c r="F153" s="758"/>
      <c r="G153" s="761" t="s">
        <v>536</v>
      </c>
      <c r="I153" s="463"/>
      <c r="J153" s="762">
        <v>2235</v>
      </c>
      <c r="K153" s="762">
        <v>0</v>
      </c>
      <c r="L153" s="1169">
        <f t="shared" ref="L153:M153" si="12">SUM(L152)</f>
        <v>0</v>
      </c>
      <c r="M153" s="1169">
        <f t="shared" si="12"/>
        <v>0</v>
      </c>
      <c r="N153" s="1169">
        <f t="shared" ref="N153:O153" si="13">SUM(N152)</f>
        <v>0</v>
      </c>
      <c r="O153" s="1169">
        <f t="shared" si="13"/>
        <v>0</v>
      </c>
    </row>
    <row r="154" spans="1:22" ht="12.75" customHeight="1" thickTop="1" x14ac:dyDescent="0.25">
      <c r="A154" s="438"/>
      <c r="D154" s="758"/>
      <c r="E154" s="758"/>
      <c r="F154" s="758"/>
      <c r="G154" s="761"/>
      <c r="I154" s="463"/>
      <c r="J154" s="581"/>
      <c r="K154" s="581"/>
      <c r="L154" s="1161"/>
      <c r="M154" s="1161"/>
      <c r="N154" s="1161"/>
      <c r="O154" s="1161"/>
      <c r="R154" s="1164"/>
    </row>
    <row r="155" spans="1:22" ht="12.75" customHeight="1" x14ac:dyDescent="0.25">
      <c r="A155" s="438"/>
      <c r="D155" s="1125">
        <v>627017</v>
      </c>
      <c r="E155" s="1126"/>
      <c r="F155" s="1126"/>
      <c r="G155" s="756" t="s">
        <v>3302</v>
      </c>
      <c r="I155" s="463"/>
      <c r="J155" s="581"/>
      <c r="K155" s="581"/>
      <c r="L155" s="1161"/>
      <c r="M155" s="1161"/>
      <c r="N155" s="1161"/>
      <c r="O155" s="1161"/>
    </row>
    <row r="156" spans="1:22" ht="12.75" customHeight="1" x14ac:dyDescent="0.25">
      <c r="A156" s="438"/>
      <c r="D156" s="758"/>
      <c r="E156" s="758"/>
      <c r="F156" s="758"/>
      <c r="G156" s="759" t="s">
        <v>533</v>
      </c>
      <c r="I156" s="463"/>
      <c r="J156" s="581"/>
      <c r="K156" s="581"/>
      <c r="L156" s="1165"/>
      <c r="M156" s="1165"/>
      <c r="N156" s="1165"/>
      <c r="O156" s="1165"/>
      <c r="P156" s="761"/>
    </row>
    <row r="157" spans="1:22" ht="12.75" customHeight="1" x14ac:dyDescent="0.25">
      <c r="A157" s="1157">
        <f>+D155</f>
        <v>627017</v>
      </c>
      <c r="B157" s="166" t="str">
        <f>G155</f>
        <v>IKC Dijkstraten (MFA) Maatstok 1</v>
      </c>
      <c r="C157" s="1157"/>
      <c r="D157" s="1158">
        <v>42100</v>
      </c>
      <c r="E157" s="1159"/>
      <c r="F157" s="1159"/>
      <c r="G157" s="1128" t="s">
        <v>978</v>
      </c>
      <c r="H157" s="166"/>
      <c r="I157" s="1160"/>
      <c r="J157" s="1165">
        <v>0</v>
      </c>
      <c r="K157" s="1161">
        <v>19178</v>
      </c>
      <c r="L157" s="1161">
        <f t="shared" ref="L157:O158" si="14">ROUND(K157*T$2,0)</f>
        <v>19581</v>
      </c>
      <c r="M157" s="1161">
        <f t="shared" si="14"/>
        <v>20031</v>
      </c>
      <c r="N157" s="1161">
        <f t="shared" si="14"/>
        <v>20492</v>
      </c>
      <c r="O157" s="1161">
        <f t="shared" si="14"/>
        <v>20963</v>
      </c>
      <c r="P157" s="166"/>
      <c r="Q157" s="166"/>
      <c r="R157" s="1164"/>
      <c r="S157" s="166"/>
      <c r="T157" s="166"/>
      <c r="U157" s="166"/>
      <c r="V157" s="166"/>
    </row>
    <row r="158" spans="1:22" ht="12.75" customHeight="1" x14ac:dyDescent="0.25">
      <c r="A158" s="1157">
        <f>+D155</f>
        <v>627017</v>
      </c>
      <c r="B158" s="166" t="str">
        <f>G155</f>
        <v>IKC Dijkstraten (MFA) Maatstok 1</v>
      </c>
      <c r="C158" s="1157"/>
      <c r="D158" s="1158">
        <v>43806</v>
      </c>
      <c r="E158" s="1159"/>
      <c r="F158" s="1159"/>
      <c r="G158" s="1128" t="s">
        <v>980</v>
      </c>
      <c r="H158" s="166"/>
      <c r="I158" s="1160"/>
      <c r="J158" s="1161">
        <v>0</v>
      </c>
      <c r="K158" s="1161">
        <v>4990</v>
      </c>
      <c r="L158" s="1161">
        <f t="shared" si="14"/>
        <v>5095</v>
      </c>
      <c r="M158" s="1161">
        <f t="shared" si="14"/>
        <v>5212</v>
      </c>
      <c r="N158" s="1161">
        <f t="shared" si="14"/>
        <v>5332</v>
      </c>
      <c r="O158" s="1161">
        <f t="shared" si="14"/>
        <v>5455</v>
      </c>
      <c r="P158" s="782"/>
      <c r="Q158" s="166"/>
      <c r="R158" s="166"/>
      <c r="S158" s="166"/>
      <c r="T158" s="166"/>
      <c r="U158" s="166"/>
      <c r="V158" s="166"/>
    </row>
    <row r="159" spans="1:22" ht="12.75" customHeight="1" thickBot="1" x14ac:dyDescent="0.3">
      <c r="A159" s="438"/>
      <c r="D159" s="758"/>
      <c r="E159" s="758"/>
      <c r="F159" s="758"/>
      <c r="G159" s="761" t="s">
        <v>536</v>
      </c>
      <c r="I159" s="463"/>
      <c r="J159" s="762">
        <v>0</v>
      </c>
      <c r="K159" s="762">
        <v>24168</v>
      </c>
      <c r="L159" s="1169">
        <f>SUM(L157:L158)</f>
        <v>24676</v>
      </c>
      <c r="M159" s="1169">
        <f>SUM(M157:M158)</f>
        <v>25243</v>
      </c>
      <c r="N159" s="1169">
        <f>SUM(N157:N158)</f>
        <v>25824</v>
      </c>
      <c r="O159" s="1169">
        <f>SUM(O157:O158)</f>
        <v>26418</v>
      </c>
    </row>
    <row r="160" spans="1:22" ht="12.75" customHeight="1" thickTop="1" x14ac:dyDescent="0.25">
      <c r="A160" s="438"/>
      <c r="D160" s="758"/>
      <c r="E160" s="758"/>
      <c r="F160" s="758"/>
      <c r="G160" s="761"/>
      <c r="I160" s="463"/>
      <c r="J160" s="581"/>
      <c r="K160" s="581"/>
      <c r="L160" s="1161"/>
      <c r="M160" s="1161"/>
      <c r="N160" s="1161"/>
      <c r="O160" s="1161"/>
    </row>
    <row r="161" spans="1:22" ht="12.75" customHeight="1" x14ac:dyDescent="0.25">
      <c r="A161" s="438"/>
      <c r="D161" s="1125">
        <v>627018</v>
      </c>
      <c r="E161" s="1126"/>
      <c r="F161" s="1126"/>
      <c r="G161" s="756" t="s">
        <v>3303</v>
      </c>
      <c r="I161" s="463"/>
      <c r="J161" s="581"/>
      <c r="K161" s="581"/>
      <c r="L161" s="1161"/>
      <c r="M161" s="1161"/>
      <c r="N161" s="1161"/>
      <c r="O161" s="1161"/>
    </row>
    <row r="162" spans="1:22" ht="12.75" customHeight="1" x14ac:dyDescent="0.25">
      <c r="A162" s="438"/>
      <c r="D162" s="1125"/>
      <c r="E162" s="1126"/>
      <c r="F162" s="1126"/>
      <c r="G162" s="759" t="s">
        <v>533</v>
      </c>
      <c r="I162" s="463"/>
      <c r="J162" s="581"/>
      <c r="K162" s="581"/>
      <c r="L162" s="1161"/>
      <c r="M162" s="1161"/>
      <c r="N162" s="1161"/>
      <c r="O162" s="1161"/>
    </row>
    <row r="163" spans="1:22" ht="12.75" customHeight="1" x14ac:dyDescent="0.25">
      <c r="A163" s="470">
        <f>+D161</f>
        <v>627018</v>
      </c>
      <c r="B163" s="453" t="str">
        <f>G161</f>
        <v>Willem de Zwijgerweg 148-150 (Heerbeeckcollege)</v>
      </c>
      <c r="C163" s="518"/>
      <c r="D163" s="763">
        <v>42100</v>
      </c>
      <c r="E163" s="763"/>
      <c r="F163" s="763"/>
      <c r="G163" s="761" t="s">
        <v>978</v>
      </c>
      <c r="I163" s="463"/>
      <c r="J163" s="457">
        <v>47476</v>
      </c>
      <c r="K163" s="457">
        <v>48710</v>
      </c>
      <c r="L163" s="1161">
        <f t="shared" ref="L163:O165" si="15">ROUND(K163*T$2,0)</f>
        <v>49733</v>
      </c>
      <c r="M163" s="1161">
        <f t="shared" si="15"/>
        <v>50877</v>
      </c>
      <c r="N163" s="1161">
        <f t="shared" si="15"/>
        <v>52047</v>
      </c>
      <c r="O163" s="1161">
        <f t="shared" si="15"/>
        <v>53244</v>
      </c>
    </row>
    <row r="164" spans="1:22" ht="12.75" customHeight="1" x14ac:dyDescent="0.25">
      <c r="A164" s="470">
        <f>+D161</f>
        <v>627018</v>
      </c>
      <c r="B164" s="453" t="str">
        <f>G161</f>
        <v>Willem de Zwijgerweg 148-150 (Heerbeeckcollege)</v>
      </c>
      <c r="C164" s="518"/>
      <c r="D164" s="763">
        <v>42100</v>
      </c>
      <c r="E164" s="763"/>
      <c r="F164" s="763"/>
      <c r="G164" s="761" t="s">
        <v>1578</v>
      </c>
      <c r="I164" s="463"/>
      <c r="J164" s="457">
        <v>905</v>
      </c>
      <c r="K164" s="457">
        <v>929</v>
      </c>
      <c r="L164" s="1161">
        <f t="shared" si="15"/>
        <v>949</v>
      </c>
      <c r="M164" s="1161">
        <f t="shared" si="15"/>
        <v>971</v>
      </c>
      <c r="N164" s="1161">
        <f t="shared" si="15"/>
        <v>993</v>
      </c>
      <c r="O164" s="1161">
        <f t="shared" si="15"/>
        <v>1016</v>
      </c>
    </row>
    <row r="165" spans="1:22" ht="12.75" customHeight="1" x14ac:dyDescent="0.25">
      <c r="A165" s="470">
        <f>+D161</f>
        <v>627018</v>
      </c>
      <c r="B165" s="453" t="str">
        <f>G161</f>
        <v>Willem de Zwijgerweg 148-150 (Heerbeeckcollege)</v>
      </c>
      <c r="C165" s="518"/>
      <c r="D165" s="763">
        <v>43806</v>
      </c>
      <c r="E165" s="763"/>
      <c r="F165" s="763"/>
      <c r="G165" s="761" t="s">
        <v>980</v>
      </c>
      <c r="I165" s="463"/>
      <c r="J165" s="457">
        <v>327</v>
      </c>
      <c r="K165" s="457">
        <v>336</v>
      </c>
      <c r="L165" s="1161">
        <f t="shared" si="15"/>
        <v>343</v>
      </c>
      <c r="M165" s="1161">
        <f t="shared" si="15"/>
        <v>351</v>
      </c>
      <c r="N165" s="1161">
        <f t="shared" si="15"/>
        <v>359</v>
      </c>
      <c r="O165" s="1161">
        <f t="shared" si="15"/>
        <v>367</v>
      </c>
    </row>
    <row r="166" spans="1:22" ht="12.75" customHeight="1" thickBot="1" x14ac:dyDescent="0.3">
      <c r="A166" s="438"/>
      <c r="D166" s="758"/>
      <c r="E166" s="758"/>
      <c r="F166" s="758"/>
      <c r="G166" s="761" t="s">
        <v>536</v>
      </c>
      <c r="I166" s="463"/>
      <c r="J166" s="762">
        <v>48708</v>
      </c>
      <c r="K166" s="1167">
        <v>49975</v>
      </c>
      <c r="L166" s="1169">
        <f t="shared" ref="L166:M166" si="16">SUM(L163:L165)</f>
        <v>51025</v>
      </c>
      <c r="M166" s="1169">
        <f t="shared" si="16"/>
        <v>52199</v>
      </c>
      <c r="N166" s="1169">
        <f t="shared" ref="N166:O166" si="17">SUM(N163:N165)</f>
        <v>53399</v>
      </c>
      <c r="O166" s="1169">
        <f t="shared" si="17"/>
        <v>54627</v>
      </c>
    </row>
    <row r="167" spans="1:22" ht="12.75" customHeight="1" thickTop="1" x14ac:dyDescent="0.25">
      <c r="A167" s="1168"/>
      <c r="B167" s="166"/>
      <c r="C167" s="166"/>
      <c r="D167" s="1159"/>
      <c r="E167" s="1159"/>
      <c r="F167" s="1159"/>
      <c r="G167" s="1128"/>
      <c r="H167" s="166"/>
      <c r="I167" s="1160"/>
      <c r="J167" s="1165"/>
      <c r="K167" s="1165"/>
      <c r="L167" s="1161"/>
      <c r="M167" s="1161"/>
      <c r="N167" s="1161"/>
      <c r="O167" s="1161"/>
      <c r="P167" s="166"/>
      <c r="Q167" s="166"/>
      <c r="R167" s="1164"/>
      <c r="S167" s="166"/>
      <c r="T167" s="166"/>
      <c r="U167" s="166"/>
      <c r="V167" s="166"/>
    </row>
    <row r="168" spans="1:22" ht="12.75" customHeight="1" x14ac:dyDescent="0.25">
      <c r="A168" s="1168"/>
      <c r="B168" s="166"/>
      <c r="C168" s="166"/>
      <c r="D168" s="1125">
        <v>627019</v>
      </c>
      <c r="E168" s="755"/>
      <c r="F168" s="755"/>
      <c r="G168" s="756" t="s">
        <v>3304</v>
      </c>
      <c r="H168" s="166"/>
      <c r="I168" s="1160"/>
      <c r="J168" s="1165"/>
      <c r="K168" s="1165"/>
      <c r="L168" s="1161"/>
      <c r="M168" s="1161"/>
      <c r="N168" s="1161"/>
      <c r="O168" s="1161"/>
      <c r="P168" s="166"/>
      <c r="Q168" s="166"/>
      <c r="R168" s="166"/>
      <c r="S168" s="166"/>
      <c r="T168" s="166"/>
      <c r="U168" s="166"/>
      <c r="V168" s="166"/>
    </row>
    <row r="169" spans="1:22" ht="12.75" customHeight="1" x14ac:dyDescent="0.25">
      <c r="A169" s="1168"/>
      <c r="B169" s="166"/>
      <c r="C169" s="166"/>
      <c r="D169" s="1159"/>
      <c r="E169" s="1159"/>
      <c r="F169" s="1159"/>
      <c r="G169" s="759" t="s">
        <v>533</v>
      </c>
      <c r="H169" s="166"/>
      <c r="I169" s="1160"/>
      <c r="J169" s="1165"/>
      <c r="K169" s="1165"/>
      <c r="L169" s="1165"/>
      <c r="M169" s="1165"/>
      <c r="N169" s="1165"/>
      <c r="O169" s="1165"/>
      <c r="P169" s="1128"/>
      <c r="Q169" s="166"/>
      <c r="R169" s="166"/>
      <c r="S169" s="166"/>
      <c r="T169" s="166"/>
      <c r="U169" s="166"/>
      <c r="V169" s="166"/>
    </row>
    <row r="170" spans="1:22" ht="12.75" customHeight="1" x14ac:dyDescent="0.25">
      <c r="A170" s="1157">
        <f>+D168</f>
        <v>627019</v>
      </c>
      <c r="B170" s="166" t="str">
        <f>G168</f>
        <v>Den Dries 7 (school, IKC)</v>
      </c>
      <c r="C170" s="1157"/>
      <c r="D170" s="1158">
        <v>42100</v>
      </c>
      <c r="E170" s="1159"/>
      <c r="F170" s="1159"/>
      <c r="G170" s="1128" t="s">
        <v>978</v>
      </c>
      <c r="H170" s="166"/>
      <c r="I170" s="1160"/>
      <c r="J170" s="1165">
        <v>0</v>
      </c>
      <c r="K170" s="1161">
        <v>6366</v>
      </c>
      <c r="L170" s="1161">
        <f t="shared" ref="L170:O171" si="18">ROUND(K170*T$2,0)</f>
        <v>6500</v>
      </c>
      <c r="M170" s="1161">
        <f t="shared" si="18"/>
        <v>6650</v>
      </c>
      <c r="N170" s="1161">
        <f t="shared" si="18"/>
        <v>6803</v>
      </c>
      <c r="O170" s="1161">
        <f t="shared" si="18"/>
        <v>6959</v>
      </c>
      <c r="P170" s="166"/>
      <c r="Q170" s="166"/>
      <c r="R170" s="1164"/>
      <c r="S170" s="166"/>
      <c r="T170" s="166"/>
      <c r="U170" s="166"/>
      <c r="V170" s="166"/>
    </row>
    <row r="171" spans="1:22" ht="12.75" customHeight="1" x14ac:dyDescent="0.25">
      <c r="A171" s="1157">
        <f>+D168</f>
        <v>627019</v>
      </c>
      <c r="B171" s="166" t="str">
        <f>G168</f>
        <v>Den Dries 7 (school, IKC)</v>
      </c>
      <c r="C171" s="1157"/>
      <c r="D171" s="1158">
        <v>43806</v>
      </c>
      <c r="E171" s="1159"/>
      <c r="F171" s="1159"/>
      <c r="G171" s="1128" t="s">
        <v>980</v>
      </c>
      <c r="H171" s="166"/>
      <c r="I171" s="1160"/>
      <c r="J171" s="1161">
        <v>0</v>
      </c>
      <c r="K171" s="1161">
        <v>5130</v>
      </c>
      <c r="L171" s="1161">
        <f t="shared" si="18"/>
        <v>5238</v>
      </c>
      <c r="M171" s="1161">
        <f t="shared" si="18"/>
        <v>5358</v>
      </c>
      <c r="N171" s="1161">
        <f t="shared" si="18"/>
        <v>5481</v>
      </c>
      <c r="O171" s="1161">
        <f t="shared" si="18"/>
        <v>5607</v>
      </c>
      <c r="P171" s="782"/>
      <c r="Q171" s="166"/>
      <c r="R171" s="166"/>
      <c r="S171" s="166"/>
      <c r="T171" s="166"/>
      <c r="U171" s="166"/>
      <c r="V171" s="166"/>
    </row>
    <row r="172" spans="1:22" ht="12.75" customHeight="1" thickBot="1" x14ac:dyDescent="0.3">
      <c r="A172" s="1168"/>
      <c r="B172" s="166"/>
      <c r="C172" s="166"/>
      <c r="D172" s="1159"/>
      <c r="E172" s="1159"/>
      <c r="F172" s="1159"/>
      <c r="G172" s="1128" t="s">
        <v>536</v>
      </c>
      <c r="H172" s="166"/>
      <c r="I172" s="1160"/>
      <c r="J172" s="1169">
        <v>0</v>
      </c>
      <c r="K172" s="1169">
        <v>11496</v>
      </c>
      <c r="L172" s="1169">
        <f>SUM(L170:L171)</f>
        <v>11738</v>
      </c>
      <c r="M172" s="1169">
        <f>SUM(M170:M171)</f>
        <v>12008</v>
      </c>
      <c r="N172" s="1169">
        <f>SUM(N170:N171)</f>
        <v>12284</v>
      </c>
      <c r="O172" s="1169">
        <f>SUM(O170:O171)</f>
        <v>12566</v>
      </c>
      <c r="P172" s="166"/>
      <c r="Q172" s="166"/>
      <c r="R172" s="166"/>
      <c r="S172" s="166"/>
      <c r="T172" s="166"/>
      <c r="U172" s="166"/>
      <c r="V172" s="166"/>
    </row>
    <row r="173" spans="1:22" ht="12.75" customHeight="1" thickTop="1" x14ac:dyDescent="0.25">
      <c r="A173" s="438"/>
      <c r="D173" s="758"/>
      <c r="E173" s="758"/>
      <c r="F173" s="758"/>
      <c r="G173" s="761"/>
      <c r="I173" s="463"/>
      <c r="J173" s="581"/>
      <c r="K173" s="581"/>
      <c r="L173" s="1860"/>
      <c r="M173" s="1860"/>
      <c r="N173" s="1860"/>
      <c r="O173" s="1860"/>
    </row>
    <row r="174" spans="1:22" ht="12.75" customHeight="1" x14ac:dyDescent="0.25">
      <c r="A174" s="438"/>
      <c r="D174" s="1125">
        <v>627020</v>
      </c>
      <c r="E174" s="755"/>
      <c r="F174" s="755"/>
      <c r="G174" s="756" t="s">
        <v>5352</v>
      </c>
      <c r="H174" s="166"/>
      <c r="I174" s="1160"/>
      <c r="J174" s="581"/>
      <c r="K174" s="581"/>
      <c r="L174" s="1161"/>
      <c r="M174" s="1161"/>
      <c r="N174" s="1161"/>
      <c r="O174" s="1161"/>
    </row>
    <row r="175" spans="1:22" ht="12.75" customHeight="1" x14ac:dyDescent="0.25">
      <c r="A175" s="438"/>
      <c r="D175" s="1159"/>
      <c r="E175" s="1159"/>
      <c r="F175" s="1159"/>
      <c r="G175" s="759" t="s">
        <v>533</v>
      </c>
      <c r="H175" s="166"/>
      <c r="I175" s="1160"/>
      <c r="J175" s="581"/>
      <c r="K175" s="581"/>
      <c r="L175" s="1161"/>
      <c r="M175" s="1161"/>
      <c r="N175" s="1161"/>
      <c r="O175" s="1161"/>
    </row>
    <row r="176" spans="1:22" ht="12.75" customHeight="1" x14ac:dyDescent="0.25">
      <c r="A176" s="438">
        <f>D174</f>
        <v>627020</v>
      </c>
      <c r="B176" s="438" t="str">
        <f>G174</f>
        <v>MFA Bricks</v>
      </c>
      <c r="D176" s="1158">
        <v>43812</v>
      </c>
      <c r="E176" s="1159"/>
      <c r="F176" s="1159"/>
      <c r="G176" s="1128" t="s">
        <v>535</v>
      </c>
      <c r="H176" s="166"/>
      <c r="I176" s="1160"/>
      <c r="J176" s="581"/>
      <c r="K176" s="581">
        <f>K251</f>
        <v>0</v>
      </c>
      <c r="L176" s="1165">
        <f t="shared" ref="L176:O176" si="19">L251</f>
        <v>0</v>
      </c>
      <c r="M176" s="1165">
        <f t="shared" si="19"/>
        <v>384333</v>
      </c>
      <c r="N176" s="1165">
        <f t="shared" si="19"/>
        <v>384333</v>
      </c>
      <c r="O176" s="1165">
        <f t="shared" si="19"/>
        <v>0</v>
      </c>
    </row>
    <row r="177" spans="1:15" ht="12.75" customHeight="1" x14ac:dyDescent="0.25">
      <c r="A177" s="438"/>
      <c r="D177" s="1158"/>
      <c r="E177" s="1159"/>
      <c r="F177" s="1159"/>
      <c r="G177" s="1128"/>
      <c r="H177" s="166"/>
      <c r="I177" s="1160"/>
      <c r="J177" s="581"/>
      <c r="K177" s="581"/>
      <c r="L177" s="1161"/>
      <c r="M177" s="1161"/>
      <c r="N177" s="1161"/>
      <c r="O177" s="1161"/>
    </row>
    <row r="178" spans="1:15" ht="12.75" customHeight="1" thickBot="1" x14ac:dyDescent="0.3">
      <c r="A178" s="438"/>
      <c r="D178" s="1159"/>
      <c r="E178" s="1159"/>
      <c r="F178" s="1159"/>
      <c r="G178" s="1128" t="s">
        <v>536</v>
      </c>
      <c r="H178" s="166"/>
      <c r="I178" s="1160"/>
      <c r="J178" s="1167">
        <f>SUM(J175:J177)</f>
        <v>0</v>
      </c>
      <c r="K178" s="1167">
        <f t="shared" ref="K178:O178" si="20">SUM(K175:K177)</f>
        <v>0</v>
      </c>
      <c r="L178" s="2259">
        <f t="shared" si="20"/>
        <v>0</v>
      </c>
      <c r="M178" s="2259">
        <f t="shared" si="20"/>
        <v>384333</v>
      </c>
      <c r="N178" s="2259">
        <f t="shared" si="20"/>
        <v>384333</v>
      </c>
      <c r="O178" s="2259">
        <f t="shared" si="20"/>
        <v>0</v>
      </c>
    </row>
    <row r="179" spans="1:15" ht="12.75" customHeight="1" thickTop="1" x14ac:dyDescent="0.25">
      <c r="A179" s="438"/>
      <c r="D179" s="1159"/>
      <c r="E179" s="1159"/>
      <c r="F179" s="1159"/>
      <c r="G179" s="1128"/>
      <c r="H179" s="166"/>
      <c r="I179" s="1160"/>
      <c r="J179" s="581"/>
      <c r="K179" s="581"/>
      <c r="L179" s="1161"/>
      <c r="M179" s="1161"/>
      <c r="N179" s="1161"/>
      <c r="O179" s="1161"/>
    </row>
    <row r="180" spans="1:15" ht="12.75" customHeight="1" x14ac:dyDescent="0.25">
      <c r="A180" s="438"/>
      <c r="D180" s="1125">
        <v>627001</v>
      </c>
      <c r="E180" s="1126"/>
      <c r="F180" s="1126"/>
      <c r="G180" s="2489" t="s">
        <v>3284</v>
      </c>
      <c r="H180" s="2490"/>
      <c r="I180" s="2491"/>
      <c r="J180" s="457"/>
      <c r="K180" s="581"/>
      <c r="L180" s="1161"/>
      <c r="M180" s="1161"/>
      <c r="N180" s="1161"/>
      <c r="O180" s="1161"/>
    </row>
    <row r="181" spans="1:15" ht="12.75" customHeight="1" x14ac:dyDescent="0.25">
      <c r="A181" s="438"/>
      <c r="D181" s="758"/>
      <c r="E181" s="758"/>
      <c r="F181" s="758"/>
      <c r="G181" s="759" t="s">
        <v>554</v>
      </c>
      <c r="I181" s="463"/>
      <c r="J181" s="457"/>
      <c r="K181" s="581"/>
      <c r="L181" s="1161"/>
      <c r="M181" s="1161"/>
      <c r="N181" s="1161"/>
      <c r="O181" s="1161"/>
    </row>
    <row r="182" spans="1:15" ht="12.75" customHeight="1" x14ac:dyDescent="0.25">
      <c r="A182" s="470">
        <f>+D180</f>
        <v>627001</v>
      </c>
      <c r="B182" s="453" t="str">
        <f>G180</f>
        <v>Schoolvastgoed algemeen</v>
      </c>
      <c r="D182" s="763">
        <v>83600</v>
      </c>
      <c r="E182" s="763"/>
      <c r="F182" s="763"/>
      <c r="G182" s="761" t="s">
        <v>1010</v>
      </c>
      <c r="I182" s="463"/>
      <c r="J182" s="457">
        <v>-50113</v>
      </c>
      <c r="K182" s="581">
        <v>-51766</v>
      </c>
      <c r="L182" s="1339">
        <f>L278</f>
        <v>-53214</v>
      </c>
      <c r="M182" s="1339">
        <f>M278</f>
        <v>-54440</v>
      </c>
      <c r="N182" s="1339">
        <f>N278</f>
        <v>-55690</v>
      </c>
      <c r="O182" s="1339">
        <f>O278</f>
        <v>-56970</v>
      </c>
    </row>
    <row r="183" spans="1:15" ht="12.75" customHeight="1" thickBot="1" x14ac:dyDescent="0.3">
      <c r="A183" s="438"/>
      <c r="D183" s="758"/>
      <c r="E183" s="758"/>
      <c r="F183" s="758"/>
      <c r="G183" s="761" t="s">
        <v>536</v>
      </c>
      <c r="I183" s="463"/>
      <c r="J183" s="762">
        <v>-50113</v>
      </c>
      <c r="K183" s="762">
        <v>-51766</v>
      </c>
      <c r="L183" s="1169">
        <f>SUM(L182:L182)</f>
        <v>-53214</v>
      </c>
      <c r="M183" s="1169">
        <f>SUM(M182:M182)</f>
        <v>-54440</v>
      </c>
      <c r="N183" s="1169">
        <f>SUM(N182:N182)</f>
        <v>-55690</v>
      </c>
      <c r="O183" s="1169">
        <f>SUM(O182:O182)</f>
        <v>-56970</v>
      </c>
    </row>
    <row r="184" spans="1:15" ht="12.75" customHeight="1" thickTop="1" x14ac:dyDescent="0.25">
      <c r="A184" s="438"/>
      <c r="D184" s="758"/>
      <c r="E184" s="758"/>
      <c r="F184" s="758"/>
      <c r="G184" s="761"/>
      <c r="I184" s="463"/>
      <c r="J184" s="457"/>
      <c r="K184" s="457"/>
      <c r="L184" s="1161"/>
      <c r="M184" s="1161"/>
      <c r="N184" s="1161"/>
      <c r="O184" s="1161"/>
    </row>
    <row r="185" spans="1:15" ht="12.75" customHeight="1" x14ac:dyDescent="0.25">
      <c r="A185" s="438"/>
      <c r="D185" s="758"/>
      <c r="E185" s="758"/>
      <c r="F185" s="758"/>
      <c r="G185" s="761"/>
      <c r="I185" s="463"/>
      <c r="J185" s="457"/>
      <c r="K185" s="457"/>
      <c r="L185" s="1161"/>
      <c r="M185" s="1161"/>
      <c r="N185" s="1161"/>
      <c r="O185" s="1161"/>
    </row>
    <row r="186" spans="1:15" ht="12.75" customHeight="1" x14ac:dyDescent="0.25">
      <c r="A186" s="438"/>
      <c r="D186" s="1125">
        <v>627020</v>
      </c>
      <c r="E186" s="755"/>
      <c r="F186" s="755"/>
      <c r="G186" s="2489" t="s">
        <v>5352</v>
      </c>
      <c r="H186" s="2492"/>
      <c r="I186" s="2493"/>
      <c r="J186" s="581"/>
      <c r="K186" s="581"/>
      <c r="L186" s="1161"/>
      <c r="M186" s="1161"/>
      <c r="N186" s="1161"/>
      <c r="O186" s="1161"/>
    </row>
    <row r="187" spans="1:15" ht="12.75" customHeight="1" x14ac:dyDescent="0.25">
      <c r="A187" s="438"/>
      <c r="D187" s="1159"/>
      <c r="E187" s="1159"/>
      <c r="F187" s="1159"/>
      <c r="G187" s="759" t="s">
        <v>1127</v>
      </c>
      <c r="H187" s="166"/>
      <c r="I187" s="1160"/>
      <c r="J187" s="581"/>
      <c r="K187" s="581"/>
      <c r="L187" s="1161"/>
      <c r="M187" s="1161"/>
      <c r="N187" s="1161"/>
      <c r="O187" s="1161"/>
    </row>
    <row r="188" spans="1:15" ht="12.75" customHeight="1" x14ac:dyDescent="0.25">
      <c r="A188" s="438">
        <f>D186</f>
        <v>627020</v>
      </c>
      <c r="B188" s="438" t="str">
        <f>G186</f>
        <v>MFA Bricks</v>
      </c>
      <c r="D188" s="1158">
        <v>83600</v>
      </c>
      <c r="E188" s="1159"/>
      <c r="F188" s="1159"/>
      <c r="G188" s="1128" t="s">
        <v>1010</v>
      </c>
      <c r="H188" s="166"/>
      <c r="I188" s="1160"/>
      <c r="J188" s="581"/>
      <c r="K188" s="581">
        <f>K256</f>
        <v>0</v>
      </c>
      <c r="L188" s="1165">
        <f t="shared" ref="L188:O188" si="21">L256</f>
        <v>0</v>
      </c>
      <c r="M188" s="1165">
        <f t="shared" si="21"/>
        <v>-550290</v>
      </c>
      <c r="N188" s="1165">
        <f t="shared" si="21"/>
        <v>-550290</v>
      </c>
      <c r="O188" s="1165">
        <f t="shared" si="21"/>
        <v>0</v>
      </c>
    </row>
    <row r="189" spans="1:15" ht="12.75" customHeight="1" x14ac:dyDescent="0.25">
      <c r="A189" s="438"/>
      <c r="D189" s="1158"/>
      <c r="E189" s="1159"/>
      <c r="F189" s="1159"/>
      <c r="G189" s="1128"/>
      <c r="H189" s="166"/>
      <c r="I189" s="1160"/>
      <c r="J189" s="581"/>
      <c r="K189" s="581"/>
      <c r="L189" s="1161"/>
      <c r="M189" s="1161"/>
      <c r="N189" s="1161"/>
      <c r="O189" s="1161"/>
    </row>
    <row r="190" spans="1:15" ht="12.75" customHeight="1" thickBot="1" x14ac:dyDescent="0.3">
      <c r="A190" s="438"/>
      <c r="D190" s="1159"/>
      <c r="E190" s="1159"/>
      <c r="F190" s="1159"/>
      <c r="G190" s="1128" t="s">
        <v>536</v>
      </c>
      <c r="H190" s="166"/>
      <c r="I190" s="1160"/>
      <c r="J190" s="1167">
        <f>SUM(J187:J189)</f>
        <v>0</v>
      </c>
      <c r="K190" s="1167">
        <f t="shared" ref="K190" si="22">SUM(K187:K189)</f>
        <v>0</v>
      </c>
      <c r="L190" s="2259">
        <f t="shared" ref="L190" si="23">SUM(L187:L189)</f>
        <v>0</v>
      </c>
      <c r="M190" s="2259">
        <f t="shared" ref="M190" si="24">SUM(M187:M189)</f>
        <v>-550290</v>
      </c>
      <c r="N190" s="2259">
        <f t="shared" ref="N190" si="25">SUM(N187:N189)</f>
        <v>-550290</v>
      </c>
      <c r="O190" s="2259">
        <f t="shared" ref="O190" si="26">SUM(O187:O189)</f>
        <v>0</v>
      </c>
    </row>
    <row r="191" spans="1:15" ht="12.75" customHeight="1" thickTop="1" x14ac:dyDescent="0.25">
      <c r="A191" s="438"/>
      <c r="D191" s="1159"/>
      <c r="E191" s="1159"/>
      <c r="F191" s="1159"/>
      <c r="G191" s="1128"/>
      <c r="H191" s="166"/>
      <c r="I191" s="1160"/>
      <c r="J191" s="581"/>
      <c r="K191" s="581"/>
      <c r="L191" s="1165"/>
      <c r="M191" s="1165"/>
      <c r="N191" s="1165"/>
      <c r="O191" s="1165"/>
    </row>
    <row r="192" spans="1:15" ht="12.75" customHeight="1" x14ac:dyDescent="0.25">
      <c r="A192" s="438"/>
      <c r="D192" s="1125">
        <v>627901</v>
      </c>
      <c r="E192" s="1126"/>
      <c r="F192" s="1126"/>
      <c r="G192" s="756" t="s">
        <v>3305</v>
      </c>
      <c r="I192" s="463"/>
      <c r="J192" s="457"/>
      <c r="K192" s="457"/>
      <c r="L192" s="1161"/>
      <c r="M192" s="1161"/>
      <c r="N192" s="1161"/>
      <c r="O192" s="1161"/>
    </row>
    <row r="193" spans="1:15" ht="12.75" customHeight="1" x14ac:dyDescent="0.25">
      <c r="A193" s="438"/>
      <c r="D193" s="1125"/>
      <c r="E193" s="1126"/>
      <c r="F193" s="1126"/>
      <c r="G193" s="759" t="s">
        <v>533</v>
      </c>
      <c r="I193" s="463"/>
      <c r="J193" s="457"/>
      <c r="K193" s="457"/>
      <c r="L193" s="1161"/>
      <c r="M193" s="1161"/>
      <c r="N193" s="1161"/>
      <c r="O193" s="1161"/>
    </row>
    <row r="194" spans="1:15" ht="12.75" customHeight="1" x14ac:dyDescent="0.25">
      <c r="A194" s="470">
        <f>+D192</f>
        <v>627901</v>
      </c>
      <c r="B194" s="453" t="str">
        <f>G192</f>
        <v>Directe toerekening onderwijs</v>
      </c>
      <c r="D194" s="763">
        <v>41100</v>
      </c>
      <c r="E194" s="763"/>
      <c r="F194" s="763"/>
      <c r="G194" s="761" t="s">
        <v>541</v>
      </c>
      <c r="I194" s="463"/>
      <c r="J194" s="457">
        <v>72527.612999999998</v>
      </c>
      <c r="K194" s="457">
        <v>58898.64</v>
      </c>
      <c r="L194" s="1161">
        <f t="shared" ref="L194:M194" si="27">+L269</f>
        <v>61372</v>
      </c>
      <c r="M194" s="1161">
        <f t="shared" si="27"/>
        <v>63643</v>
      </c>
      <c r="N194" s="1161">
        <f t="shared" ref="N194:O194" si="28">+N269</f>
        <v>65998</v>
      </c>
      <c r="O194" s="1161">
        <f t="shared" si="28"/>
        <v>68440</v>
      </c>
    </row>
    <row r="195" spans="1:15" ht="12.75" customHeight="1" x14ac:dyDescent="0.25">
      <c r="A195" s="470">
        <f>+D192</f>
        <v>627901</v>
      </c>
      <c r="B195" s="453" t="str">
        <f>+G192</f>
        <v>Directe toerekening onderwijs</v>
      </c>
      <c r="C195" s="470"/>
      <c r="D195" s="2303">
        <v>47300</v>
      </c>
      <c r="E195" s="2303"/>
      <c r="F195" s="2303"/>
      <c r="G195" s="2304" t="s">
        <v>1033</v>
      </c>
      <c r="H195" s="2162"/>
      <c r="I195" s="2305"/>
      <c r="J195" s="2305">
        <v>595191</v>
      </c>
      <c r="K195" s="2305">
        <v>1359745</v>
      </c>
      <c r="L195" s="2302">
        <v>1356042</v>
      </c>
      <c r="M195" s="2302">
        <f>2080167+300000</f>
        <v>2380167</v>
      </c>
      <c r="N195" s="2302">
        <f>2192834+438500</f>
        <v>2631334</v>
      </c>
      <c r="O195" s="1160">
        <v>0</v>
      </c>
    </row>
    <row r="196" spans="1:15" ht="12.75" customHeight="1" thickBot="1" x14ac:dyDescent="0.3">
      <c r="A196" s="470"/>
      <c r="D196" s="758"/>
      <c r="E196" s="758"/>
      <c r="F196" s="758"/>
      <c r="G196" s="761" t="s">
        <v>536</v>
      </c>
      <c r="I196" s="463"/>
      <c r="J196" s="762">
        <v>667718.61300000001</v>
      </c>
      <c r="K196" s="762">
        <v>1418643.64</v>
      </c>
      <c r="L196" s="1169">
        <f t="shared" ref="L196:M196" si="29">SUM(L194:L195)</f>
        <v>1417414</v>
      </c>
      <c r="M196" s="1169">
        <f t="shared" si="29"/>
        <v>2443810</v>
      </c>
      <c r="N196" s="1169">
        <f t="shared" ref="N196:O196" si="30">SUM(N194:N195)</f>
        <v>2697332</v>
      </c>
      <c r="O196" s="1169">
        <f t="shared" si="30"/>
        <v>68440</v>
      </c>
    </row>
    <row r="197" spans="1:15" ht="12.75" customHeight="1" thickTop="1" x14ac:dyDescent="0.25">
      <c r="A197" s="470"/>
      <c r="D197" s="758"/>
      <c r="E197" s="758"/>
      <c r="F197" s="758"/>
      <c r="G197" s="761"/>
      <c r="I197" s="463"/>
      <c r="J197" s="457"/>
      <c r="K197" s="457"/>
      <c r="L197" s="782"/>
      <c r="M197" s="782"/>
      <c r="N197" s="782"/>
      <c r="O197" s="782"/>
    </row>
    <row r="198" spans="1:15" ht="12.75" customHeight="1" x14ac:dyDescent="0.25">
      <c r="D198" s="769"/>
      <c r="E198" s="769"/>
      <c r="F198" s="769"/>
      <c r="I198" s="469"/>
      <c r="J198" s="469"/>
      <c r="K198" s="469"/>
      <c r="L198" s="782"/>
      <c r="M198" s="782"/>
      <c r="N198" s="782"/>
      <c r="O198" s="782"/>
    </row>
    <row r="199" spans="1:15" ht="12.75" customHeight="1" x14ac:dyDescent="0.25">
      <c r="D199" s="769"/>
      <c r="E199" s="769"/>
      <c r="F199" s="769"/>
      <c r="I199" s="469"/>
      <c r="J199" s="469"/>
      <c r="K199" s="469"/>
      <c r="L199" s="469"/>
      <c r="M199" s="469"/>
      <c r="N199" s="469"/>
      <c r="O199" s="469"/>
    </row>
    <row r="200" spans="1:15" ht="12.75" customHeight="1" x14ac:dyDescent="0.25">
      <c r="D200" s="770" t="s">
        <v>561</v>
      </c>
      <c r="E200" s="769"/>
      <c r="F200" s="769"/>
      <c r="G200" s="747"/>
      <c r="I200" s="469"/>
      <c r="J200" s="469"/>
      <c r="K200" s="469"/>
      <c r="L200" s="469"/>
      <c r="M200" s="469"/>
      <c r="N200" s="469"/>
      <c r="O200" s="469"/>
    </row>
    <row r="201" spans="1:15" ht="12.75" customHeight="1" x14ac:dyDescent="0.25">
      <c r="D201" s="769"/>
      <c r="E201" s="769"/>
      <c r="F201" s="769"/>
      <c r="I201" s="469"/>
      <c r="J201" s="469"/>
      <c r="K201" s="469"/>
      <c r="L201" s="469"/>
      <c r="M201" s="469"/>
      <c r="N201" s="469"/>
      <c r="O201" s="469"/>
    </row>
    <row r="202" spans="1:15" ht="12.75" customHeight="1" x14ac:dyDescent="0.25">
      <c r="D202" s="769"/>
      <c r="E202" s="769"/>
      <c r="F202" s="769"/>
      <c r="I202" s="469"/>
      <c r="J202" s="469"/>
      <c r="K202" s="469"/>
      <c r="L202" s="469"/>
      <c r="M202" s="469"/>
      <c r="N202" s="469"/>
      <c r="O202" s="469"/>
    </row>
    <row r="203" spans="1:15" ht="12.75" customHeight="1" x14ac:dyDescent="0.25">
      <c r="D203" s="1061">
        <v>627001</v>
      </c>
      <c r="E203" s="747" t="s">
        <v>3284</v>
      </c>
      <c r="F203" s="1062"/>
      <c r="I203" s="158"/>
      <c r="J203" s="158"/>
      <c r="K203" s="773">
        <v>2026</v>
      </c>
      <c r="L203" s="773">
        <v>2027</v>
      </c>
      <c r="M203" s="773">
        <v>2028</v>
      </c>
      <c r="N203" s="773">
        <v>2029</v>
      </c>
      <c r="O203" s="773">
        <v>2030</v>
      </c>
    </row>
    <row r="204" spans="1:15" ht="12.75" customHeight="1" x14ac:dyDescent="0.25">
      <c r="D204" s="1061"/>
      <c r="E204" s="527" t="s">
        <v>533</v>
      </c>
      <c r="F204" s="1062"/>
    </row>
    <row r="205" spans="1:15" ht="12.75" customHeight="1" x14ac:dyDescent="0.25">
      <c r="D205" s="516"/>
      <c r="E205" s="527"/>
      <c r="I205" s="469"/>
      <c r="J205" s="469"/>
      <c r="K205" s="469"/>
      <c r="L205" s="469"/>
      <c r="M205" s="469"/>
      <c r="N205" s="469"/>
      <c r="O205" s="469"/>
    </row>
    <row r="206" spans="1:15" ht="12.75" customHeight="1" x14ac:dyDescent="0.25">
      <c r="D206" s="516"/>
      <c r="E206" s="453"/>
      <c r="I206" s="469"/>
      <c r="J206" s="469"/>
      <c r="K206" s="469"/>
      <c r="L206" s="469"/>
      <c r="M206" s="469"/>
      <c r="N206" s="469"/>
      <c r="O206" s="469"/>
    </row>
    <row r="207" spans="1:15" ht="12.75" customHeight="1" x14ac:dyDescent="0.25">
      <c r="D207" s="516">
        <v>44360</v>
      </c>
      <c r="E207" s="453" t="s">
        <v>3306</v>
      </c>
      <c r="I207" s="469"/>
      <c r="J207" s="469"/>
      <c r="K207" s="469">
        <v>79105</v>
      </c>
      <c r="L207" s="469">
        <f>ROUND(K207*T$2,0)</f>
        <v>80766</v>
      </c>
      <c r="M207" s="469">
        <f>ROUND(L207*U$2,0)</f>
        <v>82624</v>
      </c>
      <c r="N207" s="469">
        <f>ROUND(M207*V$2,0)</f>
        <v>84524</v>
      </c>
      <c r="O207" s="469">
        <f>ROUND(N207*W$2,0)</f>
        <v>86468</v>
      </c>
    </row>
    <row r="208" spans="1:15" ht="12.75" customHeight="1" x14ac:dyDescent="0.25">
      <c r="D208" s="516"/>
      <c r="E208" s="453" t="s">
        <v>3307</v>
      </c>
      <c r="I208" s="469"/>
      <c r="J208" s="469"/>
      <c r="K208" s="469">
        <v>-79105</v>
      </c>
      <c r="L208" s="469">
        <v>-80845</v>
      </c>
      <c r="M208" s="469">
        <v>-82624</v>
      </c>
      <c r="N208" s="469">
        <v>-84442</v>
      </c>
      <c r="O208" s="469">
        <f>-O207</f>
        <v>-86468</v>
      </c>
    </row>
    <row r="209" spans="4:15" ht="12.75" customHeight="1" thickBot="1" x14ac:dyDescent="0.3">
      <c r="D209" s="516"/>
      <c r="E209" s="453" t="str">
        <f>"Totaal "&amp;D207</f>
        <v>Totaal 44360</v>
      </c>
      <c r="I209" s="469"/>
      <c r="J209" s="469"/>
      <c r="K209" s="1888">
        <v>0</v>
      </c>
      <c r="L209" s="1888">
        <f>SUM(L207:L208)</f>
        <v>-79</v>
      </c>
      <c r="M209" s="1888">
        <f>SUM(M207:M208)</f>
        <v>0</v>
      </c>
      <c r="N209" s="1888">
        <f>SUM(N207:N208)</f>
        <v>82</v>
      </c>
      <c r="O209" s="1888">
        <f>SUM(O207:O208)</f>
        <v>0</v>
      </c>
    </row>
    <row r="210" spans="4:15" ht="12.75" customHeight="1" thickTop="1" x14ac:dyDescent="0.25">
      <c r="D210" s="516"/>
      <c r="G210" s="527"/>
      <c r="I210" s="469"/>
      <c r="J210" s="469"/>
      <c r="K210" s="469"/>
      <c r="L210" s="469"/>
      <c r="M210" s="469"/>
      <c r="N210" s="469"/>
      <c r="O210" s="469"/>
    </row>
    <row r="211" spans="4:15" ht="12.75" customHeight="1" x14ac:dyDescent="0.25">
      <c r="D211" s="516"/>
      <c r="E211" s="527" t="s">
        <v>3308</v>
      </c>
      <c r="I211" s="469"/>
      <c r="J211" s="469"/>
      <c r="K211" s="469"/>
      <c r="L211" s="469"/>
      <c r="M211" s="469"/>
      <c r="N211" s="469"/>
      <c r="O211" s="469"/>
    </row>
    <row r="212" spans="4:15" ht="12.75" customHeight="1" x14ac:dyDescent="0.25">
      <c r="D212" s="516"/>
      <c r="E212" s="453" t="s">
        <v>3309</v>
      </c>
      <c r="I212" s="469"/>
      <c r="J212" s="469"/>
      <c r="K212" s="469"/>
      <c r="L212" s="469"/>
      <c r="M212" s="469"/>
      <c r="N212" s="469"/>
      <c r="O212" s="469"/>
    </row>
    <row r="213" spans="4:15" ht="12.75" customHeight="1" x14ac:dyDescent="0.25">
      <c r="D213" s="516"/>
      <c r="E213" s="453" t="s">
        <v>3310</v>
      </c>
      <c r="I213" s="469"/>
      <c r="J213" s="469"/>
      <c r="K213" s="469"/>
      <c r="L213" s="469"/>
      <c r="M213" s="469"/>
      <c r="N213" s="469"/>
      <c r="O213" s="469"/>
    </row>
    <row r="214" spans="4:15" ht="12.75" customHeight="1" x14ac:dyDescent="0.25">
      <c r="D214" s="516"/>
      <c r="E214" s="453" t="s">
        <v>3311</v>
      </c>
      <c r="I214" s="469"/>
      <c r="J214" s="469"/>
      <c r="K214" s="469"/>
      <c r="L214" s="469"/>
      <c r="M214" s="469"/>
      <c r="N214" s="469"/>
      <c r="O214" s="469"/>
    </row>
    <row r="215" spans="4:15" ht="12.75" customHeight="1" x14ac:dyDescent="0.25">
      <c r="D215" s="516"/>
      <c r="E215" s="453" t="s">
        <v>3312</v>
      </c>
      <c r="I215" s="469"/>
      <c r="J215" s="469"/>
      <c r="K215" s="469"/>
      <c r="L215" s="469"/>
      <c r="M215" s="469"/>
      <c r="N215" s="469"/>
      <c r="O215" s="469"/>
    </row>
    <row r="216" spans="4:15" ht="12.75" customHeight="1" x14ac:dyDescent="0.25">
      <c r="D216" s="516"/>
      <c r="E216" s="453" t="s">
        <v>3313</v>
      </c>
      <c r="I216" s="469"/>
      <c r="J216" s="469"/>
      <c r="K216" s="469"/>
      <c r="L216" s="469"/>
      <c r="M216" s="469"/>
      <c r="N216" s="469"/>
      <c r="O216" s="469"/>
    </row>
    <row r="217" spans="4:15" ht="12.75" customHeight="1" x14ac:dyDescent="0.25">
      <c r="D217" s="516"/>
      <c r="E217" s="453" t="s">
        <v>3314</v>
      </c>
      <c r="I217" s="469"/>
      <c r="J217" s="469"/>
      <c r="K217" s="469"/>
      <c r="L217" s="469"/>
      <c r="M217" s="469"/>
      <c r="N217" s="469"/>
      <c r="O217" s="469"/>
    </row>
    <row r="218" spans="4:15" ht="12.75" customHeight="1" x14ac:dyDescent="0.25">
      <c r="D218" s="516"/>
      <c r="E218" s="453" t="s">
        <v>3315</v>
      </c>
      <c r="I218" s="469"/>
      <c r="J218" s="469"/>
      <c r="K218" s="469"/>
      <c r="L218" s="469"/>
      <c r="M218" s="469"/>
      <c r="N218" s="469"/>
      <c r="O218" s="469"/>
    </row>
    <row r="219" spans="4:15" ht="12.75" customHeight="1" x14ac:dyDescent="0.25">
      <c r="D219" s="516"/>
      <c r="I219" s="469"/>
      <c r="J219" s="469"/>
      <c r="K219" s="469"/>
      <c r="L219" s="469"/>
      <c r="M219" s="469"/>
      <c r="N219" s="469"/>
      <c r="O219" s="469"/>
    </row>
    <row r="220" spans="4:15" ht="12.75" customHeight="1" x14ac:dyDescent="0.25">
      <c r="D220" s="516"/>
      <c r="I220" s="469"/>
      <c r="J220" s="469"/>
      <c r="K220" s="469"/>
      <c r="L220" s="469"/>
      <c r="M220" s="469"/>
      <c r="N220" s="469"/>
      <c r="O220" s="469"/>
    </row>
    <row r="221" spans="4:15" ht="12.75" customHeight="1" x14ac:dyDescent="0.25">
      <c r="D221" s="771">
        <v>627002</v>
      </c>
      <c r="E221" s="772" t="s">
        <v>3316</v>
      </c>
      <c r="F221" s="752"/>
      <c r="I221" s="469"/>
      <c r="J221" s="469"/>
      <c r="K221" s="469"/>
      <c r="L221" s="469"/>
      <c r="M221" s="469"/>
      <c r="N221" s="469"/>
      <c r="O221" s="469"/>
    </row>
    <row r="222" spans="4:15" ht="12.75" customHeight="1" x14ac:dyDescent="0.25">
      <c r="D222" s="771"/>
      <c r="E222" s="527" t="s">
        <v>533</v>
      </c>
      <c r="F222" s="752"/>
      <c r="I222" s="469"/>
      <c r="J222" s="469"/>
      <c r="K222" s="469"/>
      <c r="L222" s="469"/>
      <c r="M222" s="469"/>
      <c r="N222" s="469"/>
      <c r="O222" s="469"/>
    </row>
    <row r="223" spans="4:15" ht="12.75" customHeight="1" x14ac:dyDescent="0.25">
      <c r="D223" s="516">
        <v>43812</v>
      </c>
      <c r="E223" s="2580" t="s">
        <v>3317</v>
      </c>
      <c r="F223" s="2580"/>
      <c r="G223" s="2580"/>
      <c r="H223" s="2580"/>
      <c r="I223" s="2580"/>
      <c r="J223" s="2580"/>
      <c r="K223" s="2580"/>
      <c r="L223" s="2580"/>
      <c r="M223" s="2580"/>
      <c r="N223" s="1170"/>
      <c r="O223" s="1170"/>
    </row>
    <row r="224" spans="4:15" ht="12.75" customHeight="1" x14ac:dyDescent="0.25">
      <c r="D224" s="771"/>
      <c r="E224" s="2580"/>
      <c r="F224" s="2580"/>
      <c r="G224" s="2580"/>
      <c r="H224" s="2580"/>
      <c r="I224" s="2580"/>
      <c r="J224" s="2580"/>
      <c r="K224" s="2580"/>
      <c r="L224" s="2580"/>
      <c r="M224" s="2580"/>
      <c r="N224" s="1170"/>
      <c r="O224" s="1170"/>
    </row>
    <row r="225" spans="4:17" ht="12.75" customHeight="1" x14ac:dyDescent="0.25">
      <c r="D225" s="771"/>
      <c r="E225" s="2580"/>
      <c r="F225" s="2580"/>
      <c r="G225" s="2580"/>
      <c r="H225" s="2580"/>
      <c r="I225" s="2580"/>
      <c r="J225" s="2580"/>
      <c r="K225" s="2580"/>
      <c r="L225" s="2580"/>
      <c r="M225" s="2580"/>
      <c r="N225" s="1170"/>
      <c r="O225" s="1170"/>
    </row>
    <row r="226" spans="4:17" ht="12.75" customHeight="1" x14ac:dyDescent="0.25">
      <c r="D226" s="771"/>
      <c r="E226" s="752"/>
      <c r="F226" s="752"/>
      <c r="G226" s="772"/>
      <c r="I226" s="469"/>
      <c r="J226" s="469"/>
      <c r="K226" s="469"/>
      <c r="L226" s="469"/>
      <c r="M226" s="469"/>
      <c r="N226" s="469"/>
      <c r="O226" s="469"/>
    </row>
    <row r="227" spans="4:17" ht="12.75" customHeight="1" x14ac:dyDescent="0.25">
      <c r="D227" s="771">
        <v>627004</v>
      </c>
      <c r="E227" s="747" t="s">
        <v>3289</v>
      </c>
      <c r="F227" s="752"/>
      <c r="I227" s="469"/>
      <c r="J227" s="158"/>
      <c r="K227" s="773">
        <v>2026</v>
      </c>
      <c r="L227" s="773">
        <v>2027</v>
      </c>
      <c r="M227" s="773">
        <v>2028</v>
      </c>
      <c r="N227" s="773">
        <v>2029</v>
      </c>
      <c r="O227" s="773">
        <v>2030</v>
      </c>
    </row>
    <row r="228" spans="4:17" ht="12.75" customHeight="1" x14ac:dyDescent="0.25">
      <c r="D228" s="771"/>
      <c r="E228" s="527" t="s">
        <v>533</v>
      </c>
      <c r="F228" s="752"/>
      <c r="I228" s="469"/>
      <c r="J228" s="469"/>
      <c r="K228" s="469"/>
      <c r="L228" s="469"/>
      <c r="M228" s="469"/>
      <c r="N228" s="469"/>
      <c r="O228" s="469"/>
    </row>
    <row r="229" spans="4:17" ht="12.75" customHeight="1" x14ac:dyDescent="0.25">
      <c r="D229" s="516">
        <v>43805</v>
      </c>
      <c r="E229" s="2579" t="s">
        <v>3318</v>
      </c>
      <c r="F229" s="2579"/>
      <c r="G229" s="2579"/>
      <c r="H229" s="2579"/>
      <c r="I229" s="2579"/>
      <c r="J229" s="2579"/>
      <c r="K229" s="1171"/>
      <c r="L229" s="1171"/>
      <c r="M229" s="1171"/>
      <c r="N229" s="1171"/>
      <c r="O229" s="1171"/>
    </row>
    <row r="230" spans="4:17" ht="12.75" customHeight="1" x14ac:dyDescent="0.25">
      <c r="D230" s="516"/>
      <c r="E230" s="2579"/>
      <c r="F230" s="2579"/>
      <c r="G230" s="2579"/>
      <c r="H230" s="2579"/>
      <c r="I230" s="2579"/>
      <c r="J230" s="2579"/>
      <c r="K230" s="1171"/>
      <c r="L230" s="1171"/>
      <c r="M230" s="1171"/>
      <c r="N230" s="1171"/>
      <c r="O230" s="1171"/>
    </row>
    <row r="231" spans="4:17" ht="12.75" customHeight="1" x14ac:dyDescent="0.25">
      <c r="D231" s="516"/>
      <c r="E231" s="2579"/>
      <c r="F231" s="2579"/>
      <c r="G231" s="2579"/>
      <c r="H231" s="2579"/>
      <c r="I231" s="2579"/>
      <c r="J231" s="2579"/>
      <c r="K231" s="1171"/>
      <c r="L231" s="1171"/>
      <c r="M231" s="1171"/>
      <c r="N231" s="1171"/>
      <c r="O231" s="1171"/>
    </row>
    <row r="232" spans="4:17" ht="12.75" customHeight="1" x14ac:dyDescent="0.25">
      <c r="D232" s="769"/>
      <c r="E232" s="769"/>
      <c r="F232" s="769"/>
      <c r="G232" s="1172">
        <v>820</v>
      </c>
      <c r="H232" s="453" t="s">
        <v>3319</v>
      </c>
      <c r="I232" s="1139"/>
      <c r="J232" s="469"/>
      <c r="K232" s="469">
        <v>12790</v>
      </c>
      <c r="L232" s="469">
        <f t="shared" ref="L232:O237" si="31">ROUND(K232*T$2,-1)</f>
        <v>13060</v>
      </c>
      <c r="M232" s="469">
        <f t="shared" si="31"/>
        <v>13360</v>
      </c>
      <c r="N232" s="469">
        <f t="shared" si="31"/>
        <v>13670</v>
      </c>
      <c r="O232" s="469">
        <f t="shared" si="31"/>
        <v>13980</v>
      </c>
      <c r="Q232" s="1173"/>
    </row>
    <row r="233" spans="4:17" ht="12.75" customHeight="1" x14ac:dyDescent="0.25">
      <c r="D233" s="769"/>
      <c r="E233" s="769"/>
      <c r="F233" s="769"/>
      <c r="G233" s="1172">
        <v>525</v>
      </c>
      <c r="H233" s="453" t="s">
        <v>3320</v>
      </c>
      <c r="I233" s="1139"/>
      <c r="J233" s="469"/>
      <c r="K233" s="469">
        <v>8200</v>
      </c>
      <c r="L233" s="469">
        <f t="shared" si="31"/>
        <v>8370</v>
      </c>
      <c r="M233" s="469">
        <f t="shared" si="31"/>
        <v>8560</v>
      </c>
      <c r="N233" s="469">
        <f t="shared" si="31"/>
        <v>8760</v>
      </c>
      <c r="O233" s="469">
        <f t="shared" si="31"/>
        <v>8960</v>
      </c>
    </row>
    <row r="234" spans="4:17" ht="12.75" customHeight="1" x14ac:dyDescent="0.25">
      <c r="D234" s="769"/>
      <c r="E234" s="769"/>
      <c r="F234" s="769"/>
      <c r="G234" s="1172">
        <v>325</v>
      </c>
      <c r="H234" s="453" t="s">
        <v>3321</v>
      </c>
      <c r="I234" s="1139"/>
      <c r="J234" s="469"/>
      <c r="K234" s="469">
        <v>5070</v>
      </c>
      <c r="L234" s="469">
        <f t="shared" si="31"/>
        <v>5180</v>
      </c>
      <c r="M234" s="469">
        <f t="shared" si="31"/>
        <v>5300</v>
      </c>
      <c r="N234" s="469">
        <f t="shared" si="31"/>
        <v>5420</v>
      </c>
      <c r="O234" s="469">
        <f t="shared" si="31"/>
        <v>5540</v>
      </c>
    </row>
    <row r="235" spans="4:17" ht="12.75" customHeight="1" x14ac:dyDescent="0.25">
      <c r="D235" s="769"/>
      <c r="E235" s="769"/>
      <c r="F235" s="769"/>
      <c r="G235" s="1172">
        <v>2500</v>
      </c>
      <c r="H235" s="453" t="s">
        <v>3322</v>
      </c>
      <c r="I235" s="1139"/>
      <c r="J235" s="469"/>
      <c r="K235" s="469">
        <v>39070</v>
      </c>
      <c r="L235" s="469">
        <f t="shared" si="31"/>
        <v>39890</v>
      </c>
      <c r="M235" s="469">
        <f t="shared" si="31"/>
        <v>40810</v>
      </c>
      <c r="N235" s="469">
        <f t="shared" si="31"/>
        <v>41750</v>
      </c>
      <c r="O235" s="469">
        <f t="shared" si="31"/>
        <v>42710</v>
      </c>
    </row>
    <row r="236" spans="4:17" ht="12.75" customHeight="1" x14ac:dyDescent="0.25">
      <c r="D236" s="516"/>
      <c r="G236" s="1172">
        <v>325</v>
      </c>
      <c r="H236" s="453" t="s">
        <v>3322</v>
      </c>
      <c r="I236" s="1139"/>
      <c r="J236" s="469"/>
      <c r="K236" s="469">
        <v>5260</v>
      </c>
      <c r="L236" s="469">
        <f t="shared" si="31"/>
        <v>5370</v>
      </c>
      <c r="M236" s="469">
        <f t="shared" si="31"/>
        <v>5490</v>
      </c>
      <c r="N236" s="469">
        <f t="shared" si="31"/>
        <v>5620</v>
      </c>
      <c r="O236" s="469">
        <f t="shared" si="31"/>
        <v>5750</v>
      </c>
    </row>
    <row r="237" spans="4:17" ht="12.75" customHeight="1" x14ac:dyDescent="0.25">
      <c r="D237" s="769"/>
      <c r="E237" s="769"/>
      <c r="F237" s="769"/>
      <c r="G237" s="1172">
        <v>900</v>
      </c>
      <c r="H237" s="453" t="s">
        <v>3323</v>
      </c>
      <c r="I237" s="1139"/>
      <c r="J237" s="469"/>
      <c r="K237" s="469">
        <v>13930</v>
      </c>
      <c r="L237" s="469">
        <f t="shared" si="31"/>
        <v>14220</v>
      </c>
      <c r="M237" s="469">
        <f t="shared" si="31"/>
        <v>14550</v>
      </c>
      <c r="N237" s="469">
        <f t="shared" si="31"/>
        <v>14880</v>
      </c>
      <c r="O237" s="469">
        <f t="shared" si="31"/>
        <v>15220</v>
      </c>
    </row>
    <row r="238" spans="4:17" ht="12.75" customHeight="1" x14ac:dyDescent="0.25">
      <c r="D238" s="769"/>
      <c r="E238" s="1172"/>
      <c r="F238" s="769"/>
      <c r="I238" s="1139"/>
      <c r="J238" s="469"/>
      <c r="K238" s="469"/>
      <c r="L238" s="469"/>
      <c r="M238" s="469"/>
      <c r="N238" s="469"/>
      <c r="O238" s="469"/>
    </row>
    <row r="239" spans="4:17" ht="12.75" customHeight="1" thickBot="1" x14ac:dyDescent="0.3">
      <c r="D239" s="769"/>
      <c r="E239" s="453" t="str">
        <f>"Totaal "&amp;D229</f>
        <v>Totaal 43805</v>
      </c>
      <c r="F239" s="769"/>
      <c r="I239" s="1139"/>
      <c r="J239" s="469"/>
      <c r="K239" s="1888">
        <v>84320</v>
      </c>
      <c r="L239" s="1888">
        <f>SUM(L232:L237)</f>
        <v>86090</v>
      </c>
      <c r="M239" s="1888">
        <f>SUM(M232:M237)</f>
        <v>88070</v>
      </c>
      <c r="N239" s="1888">
        <f>SUM(N232:N237)</f>
        <v>90100</v>
      </c>
      <c r="O239" s="1888">
        <f>SUM(O232:O237)</f>
        <v>92160</v>
      </c>
    </row>
    <row r="240" spans="4:17" ht="12.75" customHeight="1" thickTop="1" x14ac:dyDescent="0.25">
      <c r="D240" s="769"/>
      <c r="E240" s="453"/>
      <c r="F240" s="769"/>
      <c r="I240" s="1139"/>
      <c r="J240" s="469"/>
      <c r="K240" s="469"/>
      <c r="L240" s="469"/>
      <c r="M240" s="469"/>
      <c r="N240" s="469"/>
      <c r="O240" s="469"/>
    </row>
    <row r="241" spans="4:15" ht="12.75" customHeight="1" x14ac:dyDescent="0.25">
      <c r="D241" s="516">
        <v>44360</v>
      </c>
      <c r="E241" s="453" t="s">
        <v>3324</v>
      </c>
      <c r="F241" s="769"/>
      <c r="I241" s="1139"/>
      <c r="J241" s="469"/>
      <c r="K241" s="469">
        <v>1000</v>
      </c>
      <c r="L241" s="469">
        <v>1000</v>
      </c>
      <c r="M241" s="469">
        <v>1000</v>
      </c>
      <c r="N241" s="469">
        <v>1000</v>
      </c>
      <c r="O241" s="469">
        <v>1000</v>
      </c>
    </row>
    <row r="242" spans="4:15" ht="12.75" customHeight="1" thickBot="1" x14ac:dyDescent="0.3">
      <c r="D242" s="769"/>
      <c r="E242" s="453" t="str">
        <f>"Totaal "&amp;D241</f>
        <v>Totaal 44360</v>
      </c>
      <c r="F242" s="769"/>
      <c r="I242" s="1139"/>
      <c r="J242" s="469"/>
      <c r="K242" s="1888">
        <v>1000</v>
      </c>
      <c r="L242" s="1888">
        <f>SUM(L240:L241)</f>
        <v>1000</v>
      </c>
      <c r="M242" s="1888">
        <f>SUM(M240:M241)</f>
        <v>1000</v>
      </c>
      <c r="N242" s="1888">
        <f>SUM(N240:N241)</f>
        <v>1000</v>
      </c>
      <c r="O242" s="1888">
        <f>SUM(O240:O241)</f>
        <v>1000</v>
      </c>
    </row>
    <row r="243" spans="4:15" ht="12.75" customHeight="1" thickTop="1" x14ac:dyDescent="0.25">
      <c r="D243" s="769"/>
      <c r="E243" s="453"/>
      <c r="F243" s="769"/>
      <c r="I243" s="1139"/>
      <c r="J243" s="469"/>
      <c r="K243" s="469"/>
      <c r="L243" s="469"/>
      <c r="M243" s="469"/>
      <c r="N243" s="469"/>
      <c r="O243" s="469"/>
    </row>
    <row r="244" spans="4:15" ht="12.75" customHeight="1" x14ac:dyDescent="0.25">
      <c r="D244" s="769"/>
      <c r="E244" s="453" t="s">
        <v>3325</v>
      </c>
      <c r="F244" s="769"/>
      <c r="I244" s="469"/>
      <c r="J244" s="469"/>
      <c r="K244" s="469"/>
      <c r="L244" s="469"/>
      <c r="M244" s="469"/>
      <c r="N244" s="469"/>
      <c r="O244" s="469"/>
    </row>
    <row r="245" spans="4:15" ht="12.75" customHeight="1" x14ac:dyDescent="0.25">
      <c r="D245" s="769"/>
      <c r="E245" s="453" t="s">
        <v>3326</v>
      </c>
      <c r="F245" s="769"/>
      <c r="I245" s="469"/>
      <c r="J245" s="469"/>
      <c r="K245" s="469"/>
      <c r="L245" s="469"/>
      <c r="M245" s="469"/>
      <c r="N245" s="469"/>
      <c r="O245" s="469"/>
    </row>
    <row r="246" spans="4:15" ht="12.75" customHeight="1" x14ac:dyDescent="0.25">
      <c r="D246" s="769"/>
      <c r="E246" s="453" t="s">
        <v>3327</v>
      </c>
      <c r="F246" s="769"/>
      <c r="I246" s="469"/>
      <c r="J246" s="469"/>
      <c r="K246" s="469"/>
      <c r="L246" s="469"/>
      <c r="M246" s="469"/>
      <c r="N246" s="469"/>
      <c r="O246" s="469"/>
    </row>
    <row r="247" spans="4:15" ht="12.75" customHeight="1" x14ac:dyDescent="0.25">
      <c r="D247" s="769"/>
      <c r="E247" s="769"/>
      <c r="F247" s="769"/>
      <c r="I247" s="469"/>
      <c r="J247" s="469"/>
      <c r="K247" s="469"/>
      <c r="L247" s="469"/>
      <c r="M247" s="469"/>
      <c r="N247" s="469"/>
      <c r="O247" s="469"/>
    </row>
    <row r="248" spans="4:15" ht="12.75" customHeight="1" x14ac:dyDescent="0.25">
      <c r="D248" s="1062">
        <v>627020</v>
      </c>
      <c r="E248" s="1062" t="s">
        <v>5353</v>
      </c>
      <c r="F248" s="769"/>
      <c r="I248" s="469"/>
      <c r="J248" s="469"/>
      <c r="K248" s="469"/>
      <c r="L248" s="469"/>
      <c r="M248" s="469"/>
      <c r="N248" s="469"/>
      <c r="O248" s="469"/>
    </row>
    <row r="249" spans="4:15" ht="12.75" customHeight="1" x14ac:dyDescent="0.25">
      <c r="D249" s="769"/>
      <c r="E249" s="2253" t="s">
        <v>533</v>
      </c>
      <c r="F249" s="769"/>
      <c r="I249" s="469"/>
      <c r="J249" s="469"/>
      <c r="K249" s="469"/>
      <c r="L249" s="469"/>
      <c r="M249" s="469"/>
      <c r="N249" s="469"/>
      <c r="O249" s="469"/>
    </row>
    <row r="250" spans="4:15" ht="12.75" customHeight="1" x14ac:dyDescent="0.25">
      <c r="D250" s="2255">
        <v>43812</v>
      </c>
      <c r="E250" s="2256" t="s">
        <v>5354</v>
      </c>
      <c r="F250" s="2255"/>
      <c r="G250" s="2162"/>
      <c r="H250" s="2162"/>
      <c r="I250" s="2166"/>
      <c r="J250" s="2166"/>
      <c r="K250" s="2166"/>
      <c r="L250" s="2166"/>
      <c r="M250" s="2166">
        <v>384333</v>
      </c>
      <c r="N250" s="2166">
        <v>384333</v>
      </c>
      <c r="O250" s="2254"/>
    </row>
    <row r="251" spans="4:15" ht="12.75" customHeight="1" thickBot="1" x14ac:dyDescent="0.3">
      <c r="D251" s="769"/>
      <c r="E251" s="2252" t="s">
        <v>619</v>
      </c>
      <c r="F251" s="769"/>
      <c r="I251" s="469"/>
      <c r="J251" s="469"/>
      <c r="K251" s="2257">
        <f>SUM(K248:K250)</f>
        <v>0</v>
      </c>
      <c r="L251" s="2257">
        <f t="shared" ref="L251:O251" si="32">SUM(L248:L250)</f>
        <v>0</v>
      </c>
      <c r="M251" s="2257">
        <f t="shared" si="32"/>
        <v>384333</v>
      </c>
      <c r="N251" s="2257">
        <f t="shared" si="32"/>
        <v>384333</v>
      </c>
      <c r="O251" s="2257">
        <f t="shared" si="32"/>
        <v>0</v>
      </c>
    </row>
    <row r="252" spans="4:15" ht="12.75" customHeight="1" thickTop="1" x14ac:dyDescent="0.25">
      <c r="D252" s="769"/>
      <c r="E252" s="769"/>
      <c r="F252" s="769"/>
      <c r="I252" s="469"/>
      <c r="J252" s="469"/>
      <c r="K252" s="469"/>
      <c r="L252" s="469"/>
      <c r="M252" s="469"/>
      <c r="N252" s="469"/>
      <c r="O252" s="469"/>
    </row>
    <row r="253" spans="4:15" ht="12.75" customHeight="1" x14ac:dyDescent="0.25">
      <c r="D253" s="1062">
        <v>627020</v>
      </c>
      <c r="E253" s="1062" t="s">
        <v>5353</v>
      </c>
      <c r="F253" s="769"/>
      <c r="I253" s="469"/>
      <c r="J253" s="469"/>
      <c r="K253" s="469"/>
      <c r="L253" s="469"/>
      <c r="M253" s="469"/>
      <c r="N253" s="469"/>
      <c r="O253" s="469"/>
    </row>
    <row r="254" spans="4:15" ht="12.75" customHeight="1" x14ac:dyDescent="0.25">
      <c r="D254" s="769"/>
      <c r="E254" s="2253" t="s">
        <v>554</v>
      </c>
      <c r="F254" s="769"/>
      <c r="I254" s="469"/>
      <c r="J254" s="469"/>
      <c r="K254" s="469"/>
      <c r="L254" s="469"/>
      <c r="M254" s="469"/>
      <c r="N254" s="469"/>
      <c r="O254" s="469"/>
    </row>
    <row r="255" spans="4:15" ht="12.75" customHeight="1" x14ac:dyDescent="0.25">
      <c r="D255" s="2255">
        <v>83600</v>
      </c>
      <c r="E255" s="2256" t="s">
        <v>5355</v>
      </c>
      <c r="F255" s="2255"/>
      <c r="G255" s="2162"/>
      <c r="H255" s="2162"/>
      <c r="I255" s="2166"/>
      <c r="J255" s="2166"/>
      <c r="K255" s="2166"/>
      <c r="L255" s="2166"/>
      <c r="M255" s="2166">
        <v>-550290</v>
      </c>
      <c r="N255" s="2166">
        <v>-550290</v>
      </c>
      <c r="O255" s="2254"/>
    </row>
    <row r="256" spans="4:15" ht="12.75" customHeight="1" thickBot="1" x14ac:dyDescent="0.3">
      <c r="D256" s="769"/>
      <c r="E256" s="2252" t="s">
        <v>1078</v>
      </c>
      <c r="F256" s="769"/>
      <c r="I256" s="469"/>
      <c r="J256" s="469"/>
      <c r="K256" s="2257">
        <f>SUM(K253:K255)</f>
        <v>0</v>
      </c>
      <c r="L256" s="2257">
        <f t="shared" ref="L256" si="33">SUM(L253:L255)</f>
        <v>0</v>
      </c>
      <c r="M256" s="2257">
        <f t="shared" ref="M256" si="34">SUM(M253:M255)</f>
        <v>-550290</v>
      </c>
      <c r="N256" s="2257">
        <f t="shared" ref="N256" si="35">SUM(N253:N255)</f>
        <v>-550290</v>
      </c>
      <c r="O256" s="2257">
        <f t="shared" ref="O256" si="36">SUM(O253:O255)</f>
        <v>0</v>
      </c>
    </row>
    <row r="257" spans="4:16" ht="12.75" customHeight="1" thickTop="1" x14ac:dyDescent="0.25">
      <c r="D257" s="769"/>
      <c r="E257" s="769"/>
      <c r="F257" s="769"/>
      <c r="I257" s="469"/>
      <c r="J257" s="469"/>
      <c r="K257" s="469"/>
      <c r="L257" s="469"/>
      <c r="M257" s="469"/>
      <c r="N257" s="469"/>
      <c r="O257" s="469"/>
    </row>
    <row r="258" spans="4:16" ht="12.75" customHeight="1" x14ac:dyDescent="0.25">
      <c r="D258" s="769"/>
      <c r="E258" s="769"/>
      <c r="F258" s="769"/>
      <c r="I258" s="469"/>
      <c r="J258" s="469"/>
      <c r="K258" s="469"/>
      <c r="L258" s="469"/>
      <c r="M258" s="469"/>
      <c r="N258" s="469"/>
      <c r="O258" s="469"/>
    </row>
    <row r="259" spans="4:16" ht="12.75" customHeight="1" x14ac:dyDescent="0.25">
      <c r="D259" s="769"/>
      <c r="E259" s="769"/>
      <c r="F259" s="769"/>
      <c r="I259" s="469"/>
      <c r="J259" s="469"/>
      <c r="K259" s="469"/>
      <c r="L259" s="469"/>
      <c r="M259" s="469"/>
      <c r="N259" s="469"/>
      <c r="O259" s="469"/>
    </row>
    <row r="260" spans="4:16" ht="12.75" customHeight="1" x14ac:dyDescent="0.25">
      <c r="D260" s="771">
        <v>627901</v>
      </c>
      <c r="E260" s="1174" t="s">
        <v>3305</v>
      </c>
      <c r="F260" s="752"/>
      <c r="I260" s="469"/>
      <c r="J260" s="158"/>
      <c r="K260" s="773">
        <v>2026</v>
      </c>
      <c r="L260" s="773">
        <v>2027</v>
      </c>
      <c r="M260" s="773">
        <v>2028</v>
      </c>
      <c r="N260" s="773">
        <v>2029</v>
      </c>
      <c r="O260" s="773">
        <v>2030</v>
      </c>
    </row>
    <row r="261" spans="4:16" ht="12.75" customHeight="1" x14ac:dyDescent="0.25">
      <c r="D261" s="771"/>
      <c r="E261" s="453"/>
      <c r="F261" s="752"/>
      <c r="I261" s="469"/>
      <c r="J261" s="469"/>
      <c r="K261" s="469"/>
      <c r="L261" s="469"/>
      <c r="M261" s="469"/>
      <c r="N261" s="469"/>
      <c r="O261" s="469"/>
    </row>
    <row r="262" spans="4:16" ht="12.75" customHeight="1" x14ac:dyDescent="0.25">
      <c r="D262" s="453"/>
      <c r="E262" s="453" t="s">
        <v>533</v>
      </c>
      <c r="I262" s="469"/>
    </row>
    <row r="263" spans="4:16" ht="12.75" customHeight="1" x14ac:dyDescent="0.25">
      <c r="D263" s="516">
        <v>41100</v>
      </c>
      <c r="E263" s="787" t="s">
        <v>3328</v>
      </c>
      <c r="F263" s="1062"/>
      <c r="I263" s="469"/>
      <c r="J263" s="469"/>
      <c r="K263" s="469">
        <v>43277.64</v>
      </c>
      <c r="L263" s="469">
        <f t="shared" ref="L263:L268" si="37">ROUND(K263*T$3,0)</f>
        <v>45095</v>
      </c>
      <c r="M263" s="469">
        <f t="shared" ref="M263:M268" si="38">ROUND(L263*U$3,0)</f>
        <v>46764</v>
      </c>
      <c r="N263" s="469">
        <f t="shared" ref="N263:O268" si="39">ROUND(M263*V$3,0)</f>
        <v>48494</v>
      </c>
      <c r="O263" s="469">
        <f t="shared" si="39"/>
        <v>50288</v>
      </c>
    </row>
    <row r="264" spans="4:16" ht="12.75" customHeight="1" x14ac:dyDescent="0.25">
      <c r="D264" s="769">
        <v>41100</v>
      </c>
      <c r="E264" s="1137" t="s">
        <v>1028</v>
      </c>
      <c r="F264" s="1062"/>
      <c r="I264" s="469"/>
      <c r="J264" s="469"/>
      <c r="K264" s="469">
        <v>1122</v>
      </c>
      <c r="L264" s="469">
        <f t="shared" si="37"/>
        <v>1169</v>
      </c>
      <c r="M264" s="469">
        <f t="shared" si="38"/>
        <v>1212</v>
      </c>
      <c r="N264" s="469">
        <f t="shared" si="39"/>
        <v>1257</v>
      </c>
      <c r="O264" s="469">
        <f t="shared" si="39"/>
        <v>1304</v>
      </c>
    </row>
    <row r="265" spans="4:16" ht="12.75" customHeight="1" x14ac:dyDescent="0.25">
      <c r="D265" s="769">
        <v>41100</v>
      </c>
      <c r="E265" s="787" t="s">
        <v>1029</v>
      </c>
      <c r="F265" s="1062"/>
      <c r="I265" s="469"/>
      <c r="J265" s="469"/>
      <c r="K265" s="469">
        <v>5574</v>
      </c>
      <c r="L265" s="469">
        <f t="shared" si="37"/>
        <v>5808</v>
      </c>
      <c r="M265" s="469">
        <f t="shared" si="38"/>
        <v>6023</v>
      </c>
      <c r="N265" s="469">
        <f t="shared" si="39"/>
        <v>6246</v>
      </c>
      <c r="O265" s="469">
        <f t="shared" si="39"/>
        <v>6477</v>
      </c>
    </row>
    <row r="266" spans="4:16" ht="12.75" customHeight="1" x14ac:dyDescent="0.25">
      <c r="D266" s="769">
        <v>41100</v>
      </c>
      <c r="E266" s="787" t="s">
        <v>3089</v>
      </c>
      <c r="F266" s="1062"/>
      <c r="I266" s="469"/>
      <c r="J266" s="469"/>
      <c r="K266" s="469">
        <v>5886</v>
      </c>
      <c r="L266" s="469">
        <f t="shared" si="37"/>
        <v>6133</v>
      </c>
      <c r="M266" s="469">
        <f t="shared" si="38"/>
        <v>6360</v>
      </c>
      <c r="N266" s="469">
        <f t="shared" si="39"/>
        <v>6595</v>
      </c>
      <c r="O266" s="469">
        <f t="shared" si="39"/>
        <v>6839</v>
      </c>
    </row>
    <row r="267" spans="4:16" ht="12.75" customHeight="1" x14ac:dyDescent="0.25">
      <c r="D267" s="769">
        <v>41100</v>
      </c>
      <c r="E267" s="787" t="s">
        <v>1027</v>
      </c>
      <c r="F267" s="1062"/>
      <c r="I267" s="469"/>
      <c r="J267" s="469"/>
      <c r="K267" s="469">
        <v>3039</v>
      </c>
      <c r="L267" s="469">
        <f t="shared" si="37"/>
        <v>3167</v>
      </c>
      <c r="M267" s="469">
        <f t="shared" si="38"/>
        <v>3284</v>
      </c>
      <c r="N267" s="469">
        <f t="shared" si="39"/>
        <v>3406</v>
      </c>
      <c r="O267" s="469">
        <f t="shared" si="39"/>
        <v>3532</v>
      </c>
    </row>
    <row r="268" spans="4:16" ht="12.75" customHeight="1" x14ac:dyDescent="0.25">
      <c r="D268" s="769">
        <v>41100</v>
      </c>
      <c r="E268" s="787" t="s">
        <v>3261</v>
      </c>
      <c r="F268" s="1062"/>
      <c r="I268" s="469"/>
      <c r="J268" s="469"/>
      <c r="K268" s="469">
        <v>0</v>
      </c>
      <c r="L268" s="469">
        <f t="shared" si="37"/>
        <v>0</v>
      </c>
      <c r="M268" s="469">
        <f t="shared" si="38"/>
        <v>0</v>
      </c>
      <c r="N268" s="469">
        <f t="shared" si="39"/>
        <v>0</v>
      </c>
      <c r="O268" s="469">
        <f t="shared" si="39"/>
        <v>0</v>
      </c>
      <c r="P268" s="166" t="s">
        <v>3329</v>
      </c>
    </row>
    <row r="269" spans="4:16" ht="12.75" customHeight="1" thickBot="1" x14ac:dyDescent="0.3">
      <c r="D269" s="1061"/>
      <c r="E269" s="166" t="str">
        <f>"Totaal "&amp;D268</f>
        <v>Totaal 41100</v>
      </c>
      <c r="F269" s="1062"/>
      <c r="I269" s="469"/>
      <c r="J269" s="469"/>
      <c r="K269" s="1888">
        <v>58898.64</v>
      </c>
      <c r="L269" s="1888">
        <f>SUM(L263:L268)</f>
        <v>61372</v>
      </c>
      <c r="M269" s="1888">
        <f>SUM(M263:M268)</f>
        <v>63643</v>
      </c>
      <c r="N269" s="1888">
        <f>SUM(N263:N268)</f>
        <v>65998</v>
      </c>
      <c r="O269" s="1888">
        <f>SUM(O263:O268)</f>
        <v>68440</v>
      </c>
    </row>
    <row r="270" spans="4:16" ht="12.75" customHeight="1" thickTop="1" x14ac:dyDescent="0.25">
      <c r="D270" s="1061"/>
      <c r="E270" s="1062"/>
      <c r="F270" s="1062"/>
      <c r="I270" s="469"/>
      <c r="J270" s="469"/>
      <c r="K270" s="469"/>
      <c r="L270" s="469"/>
      <c r="M270" s="469"/>
      <c r="N270" s="469"/>
      <c r="O270" s="469"/>
    </row>
    <row r="271" spans="4:16" ht="12.75" customHeight="1" x14ac:dyDescent="0.25">
      <c r="G271" s="527"/>
      <c r="J271" s="158"/>
      <c r="K271" s="158"/>
      <c r="L271" s="158"/>
      <c r="M271" s="158"/>
      <c r="N271" s="158"/>
      <c r="O271" s="158"/>
    </row>
    <row r="273" spans="4:15" ht="12.75" customHeight="1" x14ac:dyDescent="0.25">
      <c r="D273" s="771">
        <v>627001</v>
      </c>
      <c r="E273" s="747" t="s">
        <v>3330</v>
      </c>
      <c r="F273" s="752"/>
      <c r="I273" s="469"/>
      <c r="J273" s="158"/>
      <c r="K273" s="773">
        <v>2026</v>
      </c>
      <c r="L273" s="773">
        <v>2027</v>
      </c>
      <c r="M273" s="773">
        <v>2028</v>
      </c>
      <c r="N273" s="773">
        <v>2029</v>
      </c>
      <c r="O273" s="773">
        <v>2030</v>
      </c>
    </row>
    <row r="274" spans="4:15" ht="12.75" customHeight="1" x14ac:dyDescent="0.25">
      <c r="D274" s="771"/>
      <c r="E274" s="527" t="s">
        <v>554</v>
      </c>
      <c r="F274" s="752"/>
    </row>
    <row r="275" spans="4:15" ht="12.75" customHeight="1" x14ac:dyDescent="0.25">
      <c r="D275" s="774">
        <v>83600</v>
      </c>
      <c r="E275" s="2579" t="s">
        <v>3331</v>
      </c>
      <c r="F275" s="2579"/>
      <c r="G275" s="2579"/>
      <c r="H275" s="2579"/>
      <c r="I275" s="2579"/>
      <c r="J275" s="2579"/>
    </row>
    <row r="276" spans="4:15" ht="12.75" customHeight="1" x14ac:dyDescent="0.25">
      <c r="D276" s="516"/>
      <c r="E276" s="453" t="s">
        <v>3332</v>
      </c>
      <c r="J276" s="469"/>
      <c r="K276" s="469">
        <v>-51766</v>
      </c>
      <c r="L276" s="469">
        <v>-53214</v>
      </c>
      <c r="M276" s="469">
        <f t="shared" ref="L276:O277" si="40">ROUND(L276*U$2,-1)</f>
        <v>-54440</v>
      </c>
      <c r="N276" s="469">
        <f t="shared" si="40"/>
        <v>-55690</v>
      </c>
      <c r="O276" s="469">
        <f t="shared" si="40"/>
        <v>-56970</v>
      </c>
    </row>
    <row r="277" spans="4:15" ht="12.75" customHeight="1" x14ac:dyDescent="0.25">
      <c r="D277" s="516"/>
      <c r="E277" s="453" t="s">
        <v>3333</v>
      </c>
      <c r="J277" s="469"/>
      <c r="K277" s="469">
        <v>0</v>
      </c>
      <c r="L277" s="469">
        <f t="shared" si="40"/>
        <v>0</v>
      </c>
      <c r="M277" s="469">
        <f t="shared" si="40"/>
        <v>0</v>
      </c>
      <c r="N277" s="469">
        <f t="shared" si="40"/>
        <v>0</v>
      </c>
      <c r="O277" s="469">
        <f t="shared" si="40"/>
        <v>0</v>
      </c>
    </row>
    <row r="278" spans="4:15" ht="12.75" customHeight="1" thickBot="1" x14ac:dyDescent="0.3">
      <c r="D278" s="516"/>
      <c r="E278" s="453" t="str">
        <f>"Totaal "&amp;D275</f>
        <v>Totaal 83600</v>
      </c>
      <c r="J278" s="469"/>
      <c r="K278" s="1888">
        <v>-51766</v>
      </c>
      <c r="L278" s="1888">
        <f>SUM(L276:L277)</f>
        <v>-53214</v>
      </c>
      <c r="M278" s="1888">
        <f>SUM(M276:M277)</f>
        <v>-54440</v>
      </c>
      <c r="N278" s="1888">
        <f>SUM(N276:N277)</f>
        <v>-55690</v>
      </c>
      <c r="O278" s="1888">
        <f>SUM(O276:O277)</f>
        <v>-56970</v>
      </c>
    </row>
    <row r="279" spans="4:15" ht="12.75" customHeight="1" thickTop="1" x14ac:dyDescent="0.25"/>
    <row r="415" spans="9:9" ht="12.75" customHeight="1" x14ac:dyDescent="0.25">
      <c r="I415" s="166"/>
    </row>
  </sheetData>
  <mergeCells count="6">
    <mergeCell ref="D71:D72"/>
    <mergeCell ref="F71:F72"/>
    <mergeCell ref="G71:H72"/>
    <mergeCell ref="E229:J231"/>
    <mergeCell ref="E275:J275"/>
    <mergeCell ref="E223:M225"/>
  </mergeCells>
  <dataValidations disablePrompts="1" count="1">
    <dataValidation type="textLength" operator="lessThanOrEqual" allowBlank="1" showInputMessage="1" showErrorMessage="1" errorTitle="Ho" error="Te lang eikel, bietje minder kan ok wel!" sqref="G192 E260" xr:uid="{C310BCE8-A86F-4BE8-B3BE-52475715BB73}">
      <formula1>36</formula1>
    </dataValidation>
  </dataValidations>
  <hyperlinks>
    <hyperlink ref="A1" location="Inhoudsopgave!A1" display="Inhoudsopgave" xr:uid="{EDF06D4C-0E98-45C0-8B39-289B334E350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4" manualBreakCount="4">
    <brk id="68" min="3" max="14" man="1"/>
    <brk id="137" min="3" max="14" man="1"/>
    <brk id="199" min="3" max="14" man="1"/>
    <brk id="279" min="3" max="1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7DF0-7666-4229-8C24-688CA400484A}">
  <sheetPr codeName="Blad24"/>
  <dimension ref="A1:W398"/>
  <sheetViews>
    <sheetView showGridLines="0" view="pageBreakPreview" topLeftCell="A154" zoomScaleNormal="90" zoomScaleSheetLayoutView="100" workbookViewId="0">
      <selection activeCell="M155" sqref="M155"/>
    </sheetView>
  </sheetViews>
  <sheetFormatPr defaultColWidth="9.109375" defaultRowHeight="12.75" customHeight="1" x14ac:dyDescent="0.25"/>
  <cols>
    <col min="1" max="1" width="8.88671875" style="1122" bestFit="1" customWidth="1"/>
    <col min="2" max="3" width="10.44140625" style="453" customWidth="1"/>
    <col min="4" max="4" width="9.6640625" style="438" customWidth="1"/>
    <col min="5" max="6" width="9.6640625" style="516" customWidth="1"/>
    <col min="7" max="9" width="12.6640625" style="453" customWidth="1"/>
    <col min="10" max="15" width="11.6640625" style="453" customWidth="1"/>
    <col min="16" max="16" width="12.88671875" style="453" customWidth="1"/>
    <col min="17" max="17" width="10.5546875" style="453" customWidth="1"/>
    <col min="18" max="18" width="11.44140625" style="453" customWidth="1"/>
    <col min="19" max="20" width="11.109375" style="453" bestFit="1" customWidth="1"/>
    <col min="21" max="23" width="10.33203125" style="453" bestFit="1" customWidth="1"/>
    <col min="24" max="16384" width="9.109375" style="453"/>
  </cols>
  <sheetData>
    <row r="1" spans="1:23" ht="12.75" customHeight="1" x14ac:dyDescent="0.3">
      <c r="A1" s="157" t="s">
        <v>0</v>
      </c>
      <c r="P1" s="451"/>
      <c r="Q1" s="451">
        <v>2024</v>
      </c>
      <c r="R1" s="451">
        <v>2025</v>
      </c>
      <c r="S1" s="451">
        <v>2026</v>
      </c>
      <c r="T1" s="451">
        <v>2027</v>
      </c>
      <c r="U1" s="451">
        <v>2028</v>
      </c>
      <c r="V1" s="451">
        <v>2029</v>
      </c>
      <c r="W1" s="451">
        <v>2030</v>
      </c>
    </row>
    <row r="2" spans="1:23" ht="12.75" customHeight="1" x14ac:dyDescent="0.3">
      <c r="D2" s="438" t="s">
        <v>504</v>
      </c>
      <c r="H2" s="453" t="s">
        <v>3281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P5" s="166" t="s">
        <v>3334</v>
      </c>
      <c r="S5" s="495">
        <v>1.046</v>
      </c>
    </row>
    <row r="6" spans="1:23" ht="12.75" customHeight="1" x14ac:dyDescent="0.25">
      <c r="D6" s="438" t="s">
        <v>66</v>
      </c>
      <c r="H6" s="453" t="s">
        <v>3335</v>
      </c>
    </row>
    <row r="30" spans="4:20" ht="12.75" customHeight="1" x14ac:dyDescent="0.25">
      <c r="D30" s="452" t="s">
        <v>507</v>
      </c>
      <c r="E30" s="438"/>
      <c r="F30" s="438"/>
    </row>
    <row r="31" spans="4:20" ht="12.75" customHeight="1" x14ac:dyDescent="0.25">
      <c r="E31" s="438"/>
      <c r="F31" s="438"/>
    </row>
    <row r="32" spans="4:20" ht="12.75" customHeight="1" x14ac:dyDescent="0.25">
      <c r="D32" s="1746" t="s">
        <v>508</v>
      </c>
      <c r="E32" s="1747"/>
      <c r="F32" s="1747"/>
      <c r="G32" s="1748"/>
      <c r="H32" s="1748"/>
      <c r="I32" s="1749"/>
      <c r="J32" s="1749">
        <v>2025</v>
      </c>
      <c r="K32" s="1749">
        <v>2026</v>
      </c>
      <c r="L32" s="1749">
        <v>2027</v>
      </c>
      <c r="M32" s="1749">
        <v>2028</v>
      </c>
      <c r="N32" s="1749">
        <v>2029</v>
      </c>
      <c r="O32" s="1749">
        <v>2030</v>
      </c>
      <c r="Q32" s="453">
        <v>2021</v>
      </c>
      <c r="R32" s="453">
        <v>2022</v>
      </c>
      <c r="S32" s="453">
        <v>2023</v>
      </c>
      <c r="T32" s="453">
        <v>2024</v>
      </c>
    </row>
    <row r="33" spans="4:20" ht="12.75" customHeight="1" x14ac:dyDescent="0.25">
      <c r="D33" s="454" t="str">
        <f>G62</f>
        <v>Leer- en kwalificatieplicht</v>
      </c>
      <c r="E33" s="455"/>
      <c r="I33" s="518"/>
      <c r="J33" s="457">
        <v>357</v>
      </c>
      <c r="K33" s="457">
        <f t="shared" ref="K33" si="0">K65</f>
        <v>366</v>
      </c>
      <c r="L33" s="457">
        <f t="shared" ref="L33:M33" si="1">L65</f>
        <v>374</v>
      </c>
      <c r="M33" s="457">
        <f t="shared" si="1"/>
        <v>383</v>
      </c>
      <c r="N33" s="457">
        <f t="shared" ref="N33:O33" si="2">N65</f>
        <v>392</v>
      </c>
      <c r="O33" s="457">
        <f t="shared" si="2"/>
        <v>401</v>
      </c>
      <c r="Q33" s="453">
        <v>322</v>
      </c>
      <c r="R33" s="453">
        <v>327</v>
      </c>
      <c r="S33" s="453">
        <v>332</v>
      </c>
      <c r="T33" s="453">
        <v>337</v>
      </c>
    </row>
    <row r="34" spans="4:20" ht="12.75" customHeight="1" x14ac:dyDescent="0.25">
      <c r="D34" s="454" t="str">
        <f>G67</f>
        <v>Uitvoeringsmiddelen leer- en kwalificatieplicht</v>
      </c>
      <c r="E34" s="455"/>
      <c r="I34" s="518"/>
      <c r="J34" s="457">
        <v>22380</v>
      </c>
      <c r="K34" s="457">
        <f t="shared" ref="K34" si="3">K70</f>
        <v>22962</v>
      </c>
      <c r="L34" s="457">
        <f t="shared" ref="L34:M34" si="4">L70</f>
        <v>23444</v>
      </c>
      <c r="M34" s="457">
        <f t="shared" si="4"/>
        <v>23983</v>
      </c>
      <c r="N34" s="457">
        <f t="shared" ref="N34:O34" si="5">N70</f>
        <v>24535</v>
      </c>
      <c r="O34" s="457">
        <f t="shared" si="5"/>
        <v>25099</v>
      </c>
      <c r="Q34" s="453">
        <v>20218</v>
      </c>
      <c r="R34" s="453">
        <v>20521</v>
      </c>
      <c r="S34" s="453">
        <v>20829</v>
      </c>
      <c r="T34" s="453">
        <v>21141</v>
      </c>
    </row>
    <row r="35" spans="4:20" ht="12.75" customHeight="1" x14ac:dyDescent="0.25">
      <c r="D35" s="454" t="str">
        <f>G72</f>
        <v>Thuisnabij onderwijs</v>
      </c>
      <c r="E35" s="455"/>
      <c r="I35" s="518"/>
      <c r="J35" s="15">
        <v>28444</v>
      </c>
      <c r="K35" s="15">
        <f t="shared" ref="K35" si="6">K75</f>
        <v>29184</v>
      </c>
      <c r="L35" s="15">
        <f t="shared" ref="L35:M35" si="7">L75</f>
        <v>29797</v>
      </c>
      <c r="M35" s="15">
        <f t="shared" si="7"/>
        <v>30482</v>
      </c>
      <c r="N35" s="15">
        <f t="shared" ref="N35:O35" si="8">N75</f>
        <v>31183</v>
      </c>
      <c r="O35" s="15">
        <f t="shared" si="8"/>
        <v>31900</v>
      </c>
      <c r="Q35" s="453">
        <v>10697</v>
      </c>
      <c r="R35" s="453">
        <v>10857</v>
      </c>
      <c r="S35" s="453">
        <v>11020</v>
      </c>
      <c r="T35" s="453">
        <v>11185</v>
      </c>
    </row>
    <row r="36" spans="4:20" ht="12.75" customHeight="1" x14ac:dyDescent="0.25">
      <c r="D36" s="454" t="str">
        <f>G92</f>
        <v>Directe toerekening onderwijsbeleid</v>
      </c>
      <c r="E36" s="455"/>
      <c r="I36" s="518"/>
      <c r="J36" s="15">
        <v>280494.44</v>
      </c>
      <c r="K36" s="15">
        <f t="shared" ref="K36" si="9">+K95</f>
        <v>303283.23</v>
      </c>
      <c r="L36" s="15">
        <f t="shared" ref="L36:M36" si="10">+L95</f>
        <v>316022</v>
      </c>
      <c r="M36" s="15">
        <f t="shared" si="10"/>
        <v>327715</v>
      </c>
      <c r="N36" s="15">
        <f t="shared" ref="N36:O36" si="11">+N95</f>
        <v>339841</v>
      </c>
      <c r="O36" s="15">
        <f t="shared" si="11"/>
        <v>352415</v>
      </c>
      <c r="Q36" s="453">
        <v>129025</v>
      </c>
      <c r="R36" s="453">
        <v>132251</v>
      </c>
      <c r="S36" s="453">
        <v>135557</v>
      </c>
      <c r="T36" s="453">
        <v>138946</v>
      </c>
    </row>
    <row r="37" spans="4:20" ht="12.75" customHeight="1" x14ac:dyDescent="0.25">
      <c r="D37" s="454" t="str">
        <f>G77</f>
        <v>Voorschoolse voorzieningen</v>
      </c>
      <c r="E37" s="455"/>
      <c r="I37" s="518"/>
      <c r="J37" s="15">
        <v>693526</v>
      </c>
      <c r="K37" s="15">
        <f>K80</f>
        <v>711696</v>
      </c>
      <c r="L37" s="15">
        <f>L80</f>
        <v>719595</v>
      </c>
      <c r="M37" s="15">
        <f>M80</f>
        <v>726787</v>
      </c>
      <c r="N37" s="15">
        <f>N80</f>
        <v>708366</v>
      </c>
      <c r="O37" s="15">
        <f>O80</f>
        <v>742066</v>
      </c>
      <c r="Q37" s="453">
        <v>526567</v>
      </c>
      <c r="R37" s="453">
        <v>504132</v>
      </c>
      <c r="S37" s="453">
        <v>481745</v>
      </c>
      <c r="T37" s="453">
        <v>459411</v>
      </c>
    </row>
    <row r="38" spans="4:20" ht="12.75" customHeight="1" x14ac:dyDescent="0.3">
      <c r="D38" s="1123" t="s">
        <v>3336</v>
      </c>
      <c r="E38" s="455"/>
      <c r="I38" s="518"/>
      <c r="J38" s="15">
        <v>0</v>
      </c>
      <c r="K38" s="15">
        <v>0</v>
      </c>
      <c r="L38" s="15">
        <v>0</v>
      </c>
      <c r="M38" s="15">
        <v>0</v>
      </c>
      <c r="N38" s="15">
        <v>0</v>
      </c>
      <c r="O38" s="15">
        <v>0</v>
      </c>
      <c r="Q38" s="453">
        <v>38577</v>
      </c>
      <c r="R38" s="453">
        <v>39542</v>
      </c>
      <c r="S38" s="453">
        <v>40531</v>
      </c>
      <c r="T38" s="453">
        <v>41545</v>
      </c>
    </row>
    <row r="39" spans="4:20" ht="12.75" customHeight="1" x14ac:dyDescent="0.25">
      <c r="D39" s="454" t="str">
        <f>G87</f>
        <v>Toezicht handhaving voorschoolse voorzieningen</v>
      </c>
      <c r="E39" s="455"/>
      <c r="I39" s="518"/>
      <c r="J39" s="15">
        <v>77240</v>
      </c>
      <c r="K39" s="15">
        <f t="shared" ref="K39" si="12">K90</f>
        <v>79247</v>
      </c>
      <c r="L39" s="15">
        <f t="shared" ref="L39:M39" si="13">L90</f>
        <v>80910</v>
      </c>
      <c r="M39" s="15">
        <f t="shared" si="13"/>
        <v>82770</v>
      </c>
      <c r="N39" s="15">
        <f t="shared" ref="N39:O39" si="14">N90</f>
        <v>84673</v>
      </c>
      <c r="O39" s="15">
        <f t="shared" si="14"/>
        <v>86618</v>
      </c>
      <c r="Q39" s="453">
        <v>61461</v>
      </c>
      <c r="R39" s="453">
        <v>62383</v>
      </c>
      <c r="S39" s="453">
        <v>63318</v>
      </c>
      <c r="T39" s="453">
        <v>64267</v>
      </c>
    </row>
    <row r="40" spans="4:20" ht="12.75" customHeight="1" x14ac:dyDescent="0.25">
      <c r="D40" s="454" t="str">
        <f>G82</f>
        <v>Leerlingenvervoer</v>
      </c>
      <c r="E40" s="455"/>
      <c r="I40" s="518"/>
      <c r="J40" s="15">
        <v>605000</v>
      </c>
      <c r="K40" s="15">
        <f t="shared" ref="K40" si="15">K85</f>
        <v>683000</v>
      </c>
      <c r="L40" s="15">
        <f t="shared" ref="L40:M40" si="16">L85</f>
        <v>712100</v>
      </c>
      <c r="M40" s="15">
        <f t="shared" si="16"/>
        <v>716500</v>
      </c>
      <c r="N40" s="15">
        <f t="shared" ref="N40:O40" si="17">N85</f>
        <v>742700</v>
      </c>
      <c r="O40" s="15">
        <f t="shared" si="17"/>
        <v>769900</v>
      </c>
      <c r="Q40" s="453">
        <v>513000</v>
      </c>
      <c r="R40" s="453">
        <v>523000</v>
      </c>
      <c r="S40" s="453">
        <v>544000</v>
      </c>
      <c r="T40" s="453">
        <v>555000</v>
      </c>
    </row>
    <row r="41" spans="4:20" ht="12.75" customHeight="1" x14ac:dyDescent="0.25">
      <c r="D41" s="454"/>
      <c r="E41" s="455"/>
      <c r="F41" s="456"/>
      <c r="I41" s="518"/>
      <c r="J41" s="39"/>
      <c r="K41" s="39"/>
      <c r="L41" s="39"/>
      <c r="M41" s="39"/>
      <c r="N41" s="39"/>
      <c r="O41" s="39"/>
      <c r="Q41" s="453">
        <v>6726</v>
      </c>
      <c r="R41" s="453">
        <v>6894</v>
      </c>
      <c r="S41" s="453">
        <v>7066</v>
      </c>
      <c r="T41" s="453">
        <v>7243</v>
      </c>
    </row>
    <row r="42" spans="4:20" ht="12.75" customHeight="1" x14ac:dyDescent="0.25">
      <c r="D42" s="454"/>
      <c r="E42" s="455"/>
      <c r="F42" s="456"/>
      <c r="I42" s="518"/>
      <c r="J42" s="40"/>
      <c r="K42" s="40"/>
      <c r="L42" s="40"/>
      <c r="M42" s="40"/>
      <c r="N42" s="40"/>
      <c r="O42" s="40"/>
    </row>
    <row r="43" spans="4:20" ht="12.75" customHeight="1" x14ac:dyDescent="0.25">
      <c r="D43" s="1751" t="s">
        <v>525</v>
      </c>
      <c r="E43" s="1752"/>
      <c r="F43" s="1753"/>
      <c r="G43" s="1754"/>
      <c r="H43" s="1754"/>
      <c r="I43" s="1757"/>
      <c r="J43" s="1883">
        <v>1707441.44</v>
      </c>
      <c r="K43" s="1883">
        <f>SUM(K33:K42)</f>
        <v>1829738.23</v>
      </c>
      <c r="L43" s="1883">
        <f t="shared" ref="L43:O43" si="18">SUM(L33:L42)</f>
        <v>1882242</v>
      </c>
      <c r="M43" s="1883">
        <f t="shared" si="18"/>
        <v>1908620</v>
      </c>
      <c r="N43" s="1883">
        <f t="shared" si="18"/>
        <v>1931690</v>
      </c>
      <c r="O43" s="1883">
        <f t="shared" si="18"/>
        <v>2008399</v>
      </c>
      <c r="Q43" s="453">
        <v>1306593</v>
      </c>
      <c r="R43" s="453">
        <v>1299907</v>
      </c>
      <c r="S43" s="453">
        <v>1304398</v>
      </c>
      <c r="T43" s="453">
        <v>1299075</v>
      </c>
    </row>
    <row r="44" spans="4:20" ht="12.75" customHeight="1" x14ac:dyDescent="0.25">
      <c r="E44" s="455"/>
      <c r="F44" s="456"/>
      <c r="R44" s="747"/>
      <c r="S44" s="1124"/>
      <c r="T44" s="517"/>
    </row>
    <row r="45" spans="4:20" ht="12.75" customHeight="1" x14ac:dyDescent="0.25">
      <c r="D45" s="1746" t="s">
        <v>526</v>
      </c>
      <c r="E45" s="1747"/>
      <c r="F45" s="1747"/>
      <c r="G45" s="1748"/>
      <c r="H45" s="1748"/>
      <c r="I45" s="1749"/>
      <c r="J45" s="1749">
        <v>2025</v>
      </c>
      <c r="K45" s="1749">
        <v>2026</v>
      </c>
      <c r="L45" s="1749">
        <v>2027</v>
      </c>
      <c r="M45" s="1749">
        <v>2028</v>
      </c>
      <c r="N45" s="1749">
        <v>2029</v>
      </c>
      <c r="O45" s="1749">
        <v>2030</v>
      </c>
      <c r="Q45" s="453">
        <v>2021</v>
      </c>
      <c r="R45" s="1016">
        <v>2022</v>
      </c>
      <c r="S45" s="1016">
        <v>2023</v>
      </c>
      <c r="T45" s="1016">
        <v>2024</v>
      </c>
    </row>
    <row r="46" spans="4:20" ht="12.75" customHeight="1" x14ac:dyDescent="0.25">
      <c r="D46" s="1808" t="str">
        <f>G98</f>
        <v>Uitvoeringsmiddelen leer- en kwalificatieplicht</v>
      </c>
      <c r="E46" s="616"/>
      <c r="F46" s="1014"/>
      <c r="G46" s="618"/>
      <c r="H46" s="618"/>
      <c r="I46" s="518"/>
      <c r="J46" s="457">
        <v>-7500</v>
      </c>
      <c r="K46" s="457">
        <f>K101</f>
        <v>-7500</v>
      </c>
      <c r="L46" s="457">
        <f>L101</f>
        <v>-7500</v>
      </c>
      <c r="M46" s="457">
        <f>M101</f>
        <v>-7500</v>
      </c>
      <c r="N46" s="457">
        <f>N101</f>
        <v>-7500</v>
      </c>
      <c r="O46" s="457">
        <f>O101</f>
        <v>-7500</v>
      </c>
      <c r="Q46" s="453">
        <v>-7500</v>
      </c>
      <c r="R46" s="453">
        <v>-7500</v>
      </c>
      <c r="S46" s="453">
        <v>-7500</v>
      </c>
      <c r="T46" s="453">
        <v>-7500</v>
      </c>
    </row>
    <row r="47" spans="4:20" ht="12.75" customHeight="1" x14ac:dyDescent="0.25">
      <c r="D47" s="454" t="str">
        <f>G103</f>
        <v>Onderwijsachterstandenbeleid</v>
      </c>
      <c r="E47" s="455"/>
      <c r="I47" s="518"/>
      <c r="J47" s="457">
        <v>-400000</v>
      </c>
      <c r="K47" s="457">
        <f>K106</f>
        <v>-425060</v>
      </c>
      <c r="L47" s="457">
        <f>L106</f>
        <v>-400000</v>
      </c>
      <c r="M47" s="457">
        <f>M106</f>
        <v>-400000</v>
      </c>
      <c r="N47" s="457">
        <f>N106</f>
        <v>-400000</v>
      </c>
      <c r="O47" s="457">
        <f>O106</f>
        <v>-400000</v>
      </c>
      <c r="Q47" s="453">
        <v>-202250</v>
      </c>
      <c r="R47" s="453">
        <v>-176000</v>
      </c>
      <c r="S47" s="453">
        <v>-149750</v>
      </c>
      <c r="T47" s="453">
        <v>-123500</v>
      </c>
    </row>
    <row r="48" spans="4:20" ht="12.75" customHeight="1" x14ac:dyDescent="0.25">
      <c r="D48" s="454" t="s">
        <v>3337</v>
      </c>
      <c r="E48" s="455"/>
      <c r="F48" s="456"/>
      <c r="I48" s="518"/>
      <c r="J48" s="463">
        <v>-11680</v>
      </c>
      <c r="K48" s="463">
        <f t="shared" ref="K48" si="19">+K111</f>
        <v>-11980</v>
      </c>
      <c r="L48" s="463">
        <f t="shared" ref="L48:M48" si="20">+L111</f>
        <v>-12230</v>
      </c>
      <c r="M48" s="463">
        <f t="shared" si="20"/>
        <v>-12510</v>
      </c>
      <c r="N48" s="463">
        <f t="shared" ref="N48:O48" si="21">+N111</f>
        <v>-12800</v>
      </c>
      <c r="O48" s="463">
        <f t="shared" si="21"/>
        <v>-13090</v>
      </c>
    </row>
    <row r="49" spans="1:20" ht="12.75" customHeight="1" x14ac:dyDescent="0.25">
      <c r="D49" s="464"/>
      <c r="E49" s="465"/>
      <c r="F49" s="466"/>
      <c r="G49" s="467"/>
      <c r="H49" s="467"/>
      <c r="I49" s="518"/>
      <c r="J49" s="463"/>
      <c r="K49" s="463"/>
      <c r="L49" s="463"/>
      <c r="M49" s="463"/>
      <c r="N49" s="463"/>
      <c r="O49" s="463"/>
    </row>
    <row r="50" spans="1:20" ht="12.75" customHeight="1" x14ac:dyDescent="0.25">
      <c r="D50" s="1751" t="s">
        <v>328</v>
      </c>
      <c r="E50" s="1752"/>
      <c r="F50" s="1753"/>
      <c r="G50" s="1754"/>
      <c r="H50" s="1754"/>
      <c r="I50" s="1757"/>
      <c r="J50" s="1883">
        <v>-419180</v>
      </c>
      <c r="K50" s="1883">
        <f>SUM(K46:K49)</f>
        <v>-444540</v>
      </c>
      <c r="L50" s="1883">
        <f t="shared" ref="L50:O50" si="22">SUM(L46:L49)</f>
        <v>-419730</v>
      </c>
      <c r="M50" s="1883">
        <f t="shared" si="22"/>
        <v>-420010</v>
      </c>
      <c r="N50" s="1883">
        <f t="shared" si="22"/>
        <v>-420300</v>
      </c>
      <c r="O50" s="1883">
        <f t="shared" si="22"/>
        <v>-420590</v>
      </c>
      <c r="Q50" s="453">
        <v>-209750</v>
      </c>
      <c r="R50" s="453">
        <v>-183500</v>
      </c>
      <c r="S50" s="453">
        <v>-157250</v>
      </c>
      <c r="T50" s="453">
        <v>-131000</v>
      </c>
    </row>
    <row r="51" spans="1:20" ht="12.75" customHeight="1" x14ac:dyDescent="0.25">
      <c r="E51" s="455"/>
      <c r="F51" s="456"/>
      <c r="J51" s="469"/>
      <c r="K51" s="469"/>
      <c r="L51" s="469"/>
      <c r="M51" s="469"/>
      <c r="N51" s="469"/>
      <c r="O51" s="469"/>
    </row>
    <row r="52" spans="1:20" ht="12.75" customHeight="1" x14ac:dyDescent="0.25">
      <c r="D52" s="1751" t="s">
        <v>527</v>
      </c>
      <c r="E52" s="1756"/>
      <c r="F52" s="1756"/>
      <c r="G52" s="1754"/>
      <c r="H52" s="1754"/>
      <c r="I52" s="1754"/>
      <c r="J52" s="1758">
        <v>1288261.44</v>
      </c>
      <c r="K52" s="1758">
        <f>K43+K50</f>
        <v>1385198.23</v>
      </c>
      <c r="L52" s="1758">
        <f>L43+L50</f>
        <v>1462512</v>
      </c>
      <c r="M52" s="1758">
        <f>M43+M50</f>
        <v>1488610</v>
      </c>
      <c r="N52" s="1758">
        <f>N43+N50</f>
        <v>1511390</v>
      </c>
      <c r="O52" s="1758">
        <f>O43+O50</f>
        <v>1587809</v>
      </c>
      <c r="Q52" s="453">
        <v>1096843</v>
      </c>
      <c r="R52" s="453">
        <v>1116407</v>
      </c>
      <c r="S52" s="453">
        <v>1147148</v>
      </c>
      <c r="T52" s="453">
        <v>1168075</v>
      </c>
    </row>
    <row r="53" spans="1:20" ht="12.75" customHeight="1" x14ac:dyDescent="0.25">
      <c r="E53" s="455"/>
      <c r="F53" s="456"/>
      <c r="J53" s="469"/>
      <c r="K53" s="469"/>
      <c r="L53" s="469"/>
      <c r="M53" s="469"/>
      <c r="N53" s="469"/>
      <c r="O53" s="469"/>
    </row>
    <row r="54" spans="1:20" ht="12.75" customHeight="1" x14ac:dyDescent="0.25">
      <c r="E54" s="455"/>
      <c r="F54" s="456"/>
      <c r="J54" s="469"/>
      <c r="K54" s="469"/>
      <c r="L54" s="469"/>
      <c r="M54" s="469"/>
      <c r="N54" s="469"/>
      <c r="O54" s="469"/>
    </row>
    <row r="55" spans="1:20" ht="12.75" customHeight="1" x14ac:dyDescent="0.25">
      <c r="D55" s="453"/>
      <c r="E55" s="453"/>
      <c r="F55" s="453"/>
      <c r="J55" s="469"/>
      <c r="K55" s="469"/>
      <c r="L55" s="469"/>
      <c r="M55" s="469"/>
      <c r="N55" s="469"/>
      <c r="O55" s="469"/>
    </row>
    <row r="56" spans="1:20" ht="12.75" customHeight="1" x14ac:dyDescent="0.25">
      <c r="D56" s="453"/>
      <c r="E56" s="453"/>
      <c r="F56" s="453"/>
      <c r="J56" s="469"/>
      <c r="K56" s="469"/>
      <c r="L56" s="469"/>
      <c r="M56" s="469"/>
      <c r="N56" s="469"/>
      <c r="O56" s="469"/>
    </row>
    <row r="57" spans="1:20" ht="12.75" customHeight="1" x14ac:dyDescent="0.25">
      <c r="D57" s="452" t="s">
        <v>528</v>
      </c>
      <c r="E57" s="752"/>
      <c r="F57" s="752"/>
    </row>
    <row r="59" spans="1:20" ht="12.75" customHeight="1" x14ac:dyDescent="0.25">
      <c r="A59" s="470"/>
      <c r="D59" s="2523" t="s">
        <v>529</v>
      </c>
      <c r="E59" s="1761" t="s">
        <v>530</v>
      </c>
      <c r="F59" s="2552" t="s">
        <v>531</v>
      </c>
      <c r="G59" s="2525" t="s">
        <v>206</v>
      </c>
      <c r="H59" s="2526"/>
      <c r="I59" s="1773"/>
      <c r="J59" s="1763"/>
      <c r="K59" s="1763"/>
      <c r="L59" s="1763"/>
      <c r="M59" s="1763"/>
      <c r="N59" s="1763"/>
      <c r="O59" s="1763"/>
    </row>
    <row r="60" spans="1:20" ht="12.75" customHeight="1" x14ac:dyDescent="0.25">
      <c r="A60" s="470"/>
      <c r="D60" s="2524"/>
      <c r="E60" s="472" t="s">
        <v>532</v>
      </c>
      <c r="F60" s="2553"/>
      <c r="G60" s="2527"/>
      <c r="H60" s="2528"/>
      <c r="I60" s="521"/>
      <c r="J60" s="1764">
        <v>2025</v>
      </c>
      <c r="K60" s="1749">
        <v>2026</v>
      </c>
      <c r="L60" s="1749">
        <v>2027</v>
      </c>
      <c r="M60" s="1749">
        <v>2028</v>
      </c>
      <c r="N60" s="1749">
        <v>2029</v>
      </c>
      <c r="O60" s="1749">
        <v>2030</v>
      </c>
    </row>
    <row r="61" spans="1:20" ht="12.75" customHeight="1" x14ac:dyDescent="0.25">
      <c r="D61" s="1889"/>
      <c r="E61" s="1889"/>
      <c r="F61" s="1889"/>
      <c r="G61" s="1762"/>
      <c r="H61" s="471"/>
      <c r="I61" s="1763"/>
      <c r="J61" s="1763"/>
      <c r="K61" s="1763"/>
      <c r="L61" s="1763"/>
      <c r="M61" s="1763"/>
      <c r="N61" s="1763"/>
      <c r="O61" s="1763"/>
    </row>
    <row r="62" spans="1:20" ht="12.75" customHeight="1" x14ac:dyDescent="0.25">
      <c r="A62" s="470"/>
      <c r="D62" s="1125">
        <v>628001</v>
      </c>
      <c r="E62" s="1126"/>
      <c r="F62" s="1126"/>
      <c r="G62" s="756" t="s">
        <v>3338</v>
      </c>
      <c r="I62" s="463"/>
      <c r="J62" s="457"/>
      <c r="K62" s="457"/>
      <c r="L62" s="457"/>
      <c r="M62" s="457"/>
      <c r="N62" s="457"/>
      <c r="O62" s="457"/>
    </row>
    <row r="63" spans="1:20" ht="12.75" customHeight="1" x14ac:dyDescent="0.25">
      <c r="A63" s="470"/>
      <c r="D63" s="1125"/>
      <c r="E63" s="1126"/>
      <c r="F63" s="1126"/>
      <c r="G63" s="759" t="s">
        <v>533</v>
      </c>
      <c r="I63" s="463"/>
      <c r="J63" s="457"/>
      <c r="K63" s="457"/>
      <c r="L63" s="457"/>
      <c r="M63" s="457"/>
      <c r="N63" s="457"/>
      <c r="O63" s="457"/>
    </row>
    <row r="64" spans="1:20" ht="12.75" customHeight="1" x14ac:dyDescent="0.25">
      <c r="A64" s="470">
        <f>+D62</f>
        <v>628001</v>
      </c>
      <c r="B64" s="453" t="str">
        <f>G62</f>
        <v>Leer- en kwalificatieplicht</v>
      </c>
      <c r="D64" s="763">
        <v>43812</v>
      </c>
      <c r="E64" s="763"/>
      <c r="F64" s="763"/>
      <c r="G64" s="761" t="s">
        <v>535</v>
      </c>
      <c r="I64" s="463"/>
      <c r="J64" s="463">
        <v>357</v>
      </c>
      <c r="K64" s="463">
        <v>366</v>
      </c>
      <c r="L64" s="463">
        <f>ROUND(K64*T$2,0)</f>
        <v>374</v>
      </c>
      <c r="M64" s="463">
        <f>ROUND(L64*U$2,0)</f>
        <v>383</v>
      </c>
      <c r="N64" s="463">
        <f>ROUND(M64*V$2,0)</f>
        <v>392</v>
      </c>
      <c r="O64" s="463">
        <f>ROUND(N64*W$2,0)</f>
        <v>401</v>
      </c>
    </row>
    <row r="65" spans="1:17" ht="12.75" customHeight="1" thickBot="1" x14ac:dyDescent="0.3">
      <c r="A65" s="470"/>
      <c r="D65" s="758"/>
      <c r="E65" s="758"/>
      <c r="F65" s="758"/>
      <c r="G65" s="761" t="s">
        <v>536</v>
      </c>
      <c r="I65" s="463"/>
      <c r="J65" s="762">
        <v>357</v>
      </c>
      <c r="K65" s="762">
        <v>366</v>
      </c>
      <c r="L65" s="762">
        <f>SUM(L64)</f>
        <v>374</v>
      </c>
      <c r="M65" s="762">
        <f>SUM(M64)</f>
        <v>383</v>
      </c>
      <c r="N65" s="762">
        <f>SUM(N64)</f>
        <v>392</v>
      </c>
      <c r="O65" s="762">
        <f>SUM(O64)</f>
        <v>401</v>
      </c>
    </row>
    <row r="66" spans="1:17" ht="12.75" customHeight="1" thickTop="1" x14ac:dyDescent="0.25">
      <c r="A66" s="470"/>
      <c r="D66" s="758"/>
      <c r="E66" s="758"/>
      <c r="F66" s="758"/>
      <c r="G66" s="761"/>
      <c r="I66" s="463"/>
      <c r="J66" s="457"/>
      <c r="K66" s="457"/>
      <c r="L66" s="457"/>
      <c r="M66" s="457"/>
      <c r="N66" s="457"/>
      <c r="O66" s="457"/>
    </row>
    <row r="67" spans="1:17" ht="12.75" customHeight="1" x14ac:dyDescent="0.25">
      <c r="A67" s="470"/>
      <c r="D67" s="1125">
        <v>628002</v>
      </c>
      <c r="E67" s="1126"/>
      <c r="F67" s="1126"/>
      <c r="G67" s="1127" t="s">
        <v>3339</v>
      </c>
      <c r="I67" s="463"/>
      <c r="J67" s="457"/>
      <c r="K67" s="457"/>
      <c r="L67" s="457"/>
      <c r="M67" s="457"/>
      <c r="N67" s="457"/>
      <c r="O67" s="457"/>
    </row>
    <row r="68" spans="1:17" ht="12.75" customHeight="1" x14ac:dyDescent="0.25">
      <c r="A68" s="470"/>
      <c r="D68" s="1126"/>
      <c r="E68" s="1126"/>
      <c r="F68" s="1126"/>
      <c r="G68" s="759" t="s">
        <v>533</v>
      </c>
      <c r="I68" s="463"/>
      <c r="J68" s="457"/>
      <c r="K68" s="457"/>
      <c r="L68" s="457"/>
      <c r="M68" s="457"/>
      <c r="N68" s="457"/>
      <c r="O68" s="457"/>
    </row>
    <row r="69" spans="1:17" ht="12.75" customHeight="1" x14ac:dyDescent="0.25">
      <c r="A69" s="470">
        <f>+D67</f>
        <v>628002</v>
      </c>
      <c r="B69" s="453" t="str">
        <f>G67</f>
        <v>Uitvoeringsmiddelen leer- en kwalificatieplicht</v>
      </c>
      <c r="D69" s="763">
        <v>43812</v>
      </c>
      <c r="E69" s="763"/>
      <c r="F69" s="763"/>
      <c r="G69" s="761" t="s">
        <v>535</v>
      </c>
      <c r="I69" s="463"/>
      <c r="J69" s="463">
        <v>22380</v>
      </c>
      <c r="K69" s="463">
        <v>22962</v>
      </c>
      <c r="L69" s="463">
        <f>ROUND(K69*T$2,0)</f>
        <v>23444</v>
      </c>
      <c r="M69" s="463">
        <f>ROUND(L69*U$2,0)</f>
        <v>23983</v>
      </c>
      <c r="N69" s="463">
        <f>ROUND(M69*V$2,0)</f>
        <v>24535</v>
      </c>
      <c r="O69" s="463">
        <f>ROUND(N69*W$2,0)</f>
        <v>25099</v>
      </c>
    </row>
    <row r="70" spans="1:17" ht="12.75" customHeight="1" thickBot="1" x14ac:dyDescent="0.3">
      <c r="A70" s="470"/>
      <c r="D70" s="758"/>
      <c r="E70" s="758"/>
      <c r="F70" s="758"/>
      <c r="G70" s="761" t="s">
        <v>536</v>
      </c>
      <c r="I70" s="463"/>
      <c r="J70" s="762">
        <v>22380</v>
      </c>
      <c r="K70" s="762">
        <v>22962</v>
      </c>
      <c r="L70" s="762">
        <f>SUM(L69)</f>
        <v>23444</v>
      </c>
      <c r="M70" s="762">
        <f>SUM(M69)</f>
        <v>23983</v>
      </c>
      <c r="N70" s="762">
        <f>SUM(N69)</f>
        <v>24535</v>
      </c>
      <c r="O70" s="762">
        <f>SUM(O69)</f>
        <v>25099</v>
      </c>
    </row>
    <row r="71" spans="1:17" ht="12.75" customHeight="1" thickTop="1" x14ac:dyDescent="0.25">
      <c r="A71" s="470"/>
      <c r="D71" s="758"/>
      <c r="E71" s="758"/>
      <c r="F71" s="758"/>
      <c r="G71" s="761"/>
      <c r="I71" s="463"/>
      <c r="J71" s="457"/>
      <c r="K71" s="457"/>
      <c r="L71" s="457"/>
      <c r="M71" s="457"/>
      <c r="N71" s="457"/>
      <c r="O71" s="457"/>
    </row>
    <row r="72" spans="1:17" ht="12.75" customHeight="1" x14ac:dyDescent="0.25">
      <c r="A72" s="470"/>
      <c r="D72" s="1125">
        <v>628004</v>
      </c>
      <c r="E72" s="1126"/>
      <c r="F72" s="1126"/>
      <c r="G72" s="756" t="s">
        <v>3340</v>
      </c>
      <c r="I72" s="463"/>
      <c r="J72" s="457"/>
      <c r="K72" s="457"/>
      <c r="L72" s="457"/>
      <c r="M72" s="457"/>
      <c r="N72" s="457"/>
      <c r="O72" s="457"/>
    </row>
    <row r="73" spans="1:17" ht="12.75" customHeight="1" x14ac:dyDescent="0.25">
      <c r="A73" s="470"/>
      <c r="D73" s="1125"/>
      <c r="E73" s="1126"/>
      <c r="F73" s="1126"/>
      <c r="G73" s="759" t="s">
        <v>533</v>
      </c>
      <c r="I73" s="463"/>
      <c r="J73" s="457"/>
      <c r="K73" s="457"/>
      <c r="L73" s="457"/>
      <c r="M73" s="457"/>
      <c r="N73" s="457"/>
      <c r="O73" s="457"/>
    </row>
    <row r="74" spans="1:17" ht="12.75" customHeight="1" x14ac:dyDescent="0.25">
      <c r="A74" s="470">
        <f>+D72</f>
        <v>628004</v>
      </c>
      <c r="B74" s="453" t="str">
        <f>G72</f>
        <v>Thuisnabij onderwijs</v>
      </c>
      <c r="D74" s="763">
        <v>43812</v>
      </c>
      <c r="E74" s="763"/>
      <c r="F74" s="763"/>
      <c r="G74" s="761" t="s">
        <v>535</v>
      </c>
      <c r="I74" s="463"/>
      <c r="J74" s="457">
        <v>28444</v>
      </c>
      <c r="K74" s="457">
        <v>29184</v>
      </c>
      <c r="L74" s="457">
        <f>L129</f>
        <v>29797</v>
      </c>
      <c r="M74" s="457">
        <f>M129</f>
        <v>30482</v>
      </c>
      <c r="N74" s="457">
        <f>N129</f>
        <v>31183</v>
      </c>
      <c r="O74" s="457">
        <f>O129</f>
        <v>31900</v>
      </c>
    </row>
    <row r="75" spans="1:17" ht="12.75" customHeight="1" thickBot="1" x14ac:dyDescent="0.3">
      <c r="A75" s="470"/>
      <c r="D75" s="763"/>
      <c r="E75" s="763"/>
      <c r="F75" s="763"/>
      <c r="G75" s="761" t="s">
        <v>536</v>
      </c>
      <c r="I75" s="463"/>
      <c r="J75" s="762">
        <v>28444</v>
      </c>
      <c r="K75" s="762">
        <v>29184</v>
      </c>
      <c r="L75" s="762">
        <f>SUM(L74)</f>
        <v>29797</v>
      </c>
      <c r="M75" s="762">
        <f>SUM(M74)</f>
        <v>30482</v>
      </c>
      <c r="N75" s="762">
        <f>SUM(N74)</f>
        <v>31183</v>
      </c>
      <c r="O75" s="762">
        <f>SUM(O74)</f>
        <v>31900</v>
      </c>
    </row>
    <row r="76" spans="1:17" ht="12.75" customHeight="1" thickTop="1" x14ac:dyDescent="0.25">
      <c r="A76" s="470"/>
      <c r="D76" s="758"/>
      <c r="E76" s="758"/>
      <c r="F76" s="758"/>
      <c r="G76" s="761"/>
      <c r="I76" s="463"/>
      <c r="J76" s="457"/>
      <c r="K76" s="457"/>
      <c r="L76" s="457"/>
      <c r="M76" s="457"/>
      <c r="N76" s="457"/>
      <c r="O76" s="457"/>
    </row>
    <row r="77" spans="1:17" ht="12.75" customHeight="1" x14ac:dyDescent="0.25">
      <c r="A77" s="470"/>
      <c r="D77" s="1125">
        <v>628005</v>
      </c>
      <c r="E77" s="1126"/>
      <c r="F77" s="755"/>
      <c r="G77" s="756" t="s">
        <v>3342</v>
      </c>
      <c r="I77" s="463"/>
      <c r="J77" s="457"/>
      <c r="K77" s="457"/>
      <c r="L77" s="457"/>
      <c r="M77" s="457"/>
      <c r="N77" s="457"/>
      <c r="O77" s="457"/>
    </row>
    <row r="78" spans="1:17" ht="12.75" customHeight="1" x14ac:dyDescent="0.25">
      <c r="A78" s="470"/>
      <c r="D78" s="758"/>
      <c r="E78" s="758"/>
      <c r="F78" s="758"/>
      <c r="G78" s="759" t="s">
        <v>533</v>
      </c>
      <c r="I78" s="463"/>
      <c r="J78" s="457"/>
      <c r="K78" s="457"/>
      <c r="L78" s="457"/>
      <c r="M78" s="457"/>
      <c r="N78" s="457"/>
      <c r="O78" s="457"/>
    </row>
    <row r="79" spans="1:17" ht="12.75" customHeight="1" x14ac:dyDescent="0.25">
      <c r="A79" s="470">
        <f>+D77</f>
        <v>628005</v>
      </c>
      <c r="B79" s="453" t="str">
        <f>G77</f>
        <v>Voorschoolse voorzieningen</v>
      </c>
      <c r="D79" s="763">
        <v>44380</v>
      </c>
      <c r="E79" s="763"/>
      <c r="F79" s="763"/>
      <c r="G79" s="1128" t="s">
        <v>3343</v>
      </c>
      <c r="I79" s="463"/>
      <c r="J79" s="463">
        <v>693526</v>
      </c>
      <c r="K79" s="463">
        <f>K152</f>
        <v>711696</v>
      </c>
      <c r="L79" s="463">
        <f>L152</f>
        <v>719595</v>
      </c>
      <c r="M79" s="463">
        <f>M152</f>
        <v>726787</v>
      </c>
      <c r="N79" s="463">
        <f>N152</f>
        <v>708366</v>
      </c>
      <c r="O79" s="463">
        <f>O152</f>
        <v>742066</v>
      </c>
      <c r="Q79" s="469"/>
    </row>
    <row r="80" spans="1:17" ht="12.75" customHeight="1" thickBot="1" x14ac:dyDescent="0.3">
      <c r="A80" s="470"/>
      <c r="D80" s="758"/>
      <c r="E80" s="758"/>
      <c r="F80" s="758"/>
      <c r="G80" s="761" t="s">
        <v>536</v>
      </c>
      <c r="I80" s="463"/>
      <c r="J80" s="762">
        <v>693526</v>
      </c>
      <c r="K80" s="762">
        <f>SUM(K79)</f>
        <v>711696</v>
      </c>
      <c r="L80" s="762">
        <f t="shared" ref="L80:O80" si="23">SUM(L79)</f>
        <v>719595</v>
      </c>
      <c r="M80" s="762">
        <f t="shared" si="23"/>
        <v>726787</v>
      </c>
      <c r="N80" s="762">
        <f t="shared" si="23"/>
        <v>708366</v>
      </c>
      <c r="O80" s="762">
        <f t="shared" si="23"/>
        <v>742066</v>
      </c>
    </row>
    <row r="81" spans="1:15" ht="12.75" customHeight="1" thickTop="1" x14ac:dyDescent="0.25">
      <c r="A81" s="470"/>
      <c r="D81" s="758"/>
      <c r="E81" s="758"/>
      <c r="F81" s="758"/>
      <c r="G81" s="761"/>
      <c r="I81" s="463"/>
      <c r="J81" s="457"/>
      <c r="K81" s="457"/>
      <c r="L81" s="457"/>
      <c r="M81" s="457"/>
      <c r="N81" s="457"/>
      <c r="O81" s="457"/>
    </row>
    <row r="82" spans="1:15" ht="12.75" customHeight="1" x14ac:dyDescent="0.25">
      <c r="A82" s="470"/>
      <c r="B82" s="469"/>
      <c r="D82" s="1125">
        <v>628007</v>
      </c>
      <c r="E82" s="1126"/>
      <c r="F82" s="1126"/>
      <c r="G82" s="756" t="s">
        <v>3337</v>
      </c>
      <c r="I82" s="518"/>
      <c r="J82" s="529"/>
      <c r="K82" s="529"/>
      <c r="L82" s="529"/>
      <c r="M82" s="529"/>
      <c r="N82" s="529"/>
      <c r="O82" s="529"/>
    </row>
    <row r="83" spans="1:15" ht="12.75" customHeight="1" x14ac:dyDescent="0.25">
      <c r="A83" s="470"/>
      <c r="B83" s="469"/>
      <c r="D83" s="1125"/>
      <c r="E83" s="1126"/>
      <c r="F83" s="1126"/>
      <c r="G83" s="759" t="s">
        <v>533</v>
      </c>
      <c r="I83" s="518"/>
      <c r="J83" s="529"/>
      <c r="K83" s="529"/>
      <c r="L83" s="529"/>
      <c r="M83" s="529"/>
      <c r="N83" s="529"/>
      <c r="O83" s="529"/>
    </row>
    <row r="84" spans="1:15" ht="12.75" customHeight="1" x14ac:dyDescent="0.25">
      <c r="A84" s="470">
        <f>+D82</f>
        <v>628007</v>
      </c>
      <c r="B84" s="453" t="str">
        <f>G82</f>
        <v>Leerlingenvervoer</v>
      </c>
      <c r="D84" s="763">
        <v>43410</v>
      </c>
      <c r="E84" s="763"/>
      <c r="F84" s="763"/>
      <c r="G84" s="761" t="s">
        <v>3341</v>
      </c>
      <c r="I84" s="463"/>
      <c r="J84" s="463">
        <v>605000</v>
      </c>
      <c r="K84" s="463">
        <v>683000</v>
      </c>
      <c r="L84" s="463">
        <f>L170</f>
        <v>712100</v>
      </c>
      <c r="M84" s="463">
        <f>M170</f>
        <v>716500</v>
      </c>
      <c r="N84" s="463">
        <f>N170</f>
        <v>742700</v>
      </c>
      <c r="O84" s="463">
        <f>O170</f>
        <v>769900</v>
      </c>
    </row>
    <row r="85" spans="1:15" ht="12.75" customHeight="1" thickBot="1" x14ac:dyDescent="0.3">
      <c r="A85" s="470"/>
      <c r="B85" s="469"/>
      <c r="D85" s="758"/>
      <c r="E85" s="758"/>
      <c r="F85" s="758"/>
      <c r="G85" s="761" t="s">
        <v>536</v>
      </c>
      <c r="I85" s="463"/>
      <c r="J85" s="762">
        <v>605000</v>
      </c>
      <c r="K85" s="762">
        <v>683000</v>
      </c>
      <c r="L85" s="762">
        <f>SUM(L83:L84)</f>
        <v>712100</v>
      </c>
      <c r="M85" s="762">
        <f>SUM(M83:M84)</f>
        <v>716500</v>
      </c>
      <c r="N85" s="762">
        <f>SUM(N83:N84)</f>
        <v>742700</v>
      </c>
      <c r="O85" s="762">
        <f>SUM(O83:O84)</f>
        <v>769900</v>
      </c>
    </row>
    <row r="86" spans="1:15" ht="12.75" customHeight="1" thickTop="1" x14ac:dyDescent="0.25">
      <c r="A86" s="470"/>
      <c r="B86" s="469"/>
      <c r="D86" s="758"/>
      <c r="E86" s="758"/>
      <c r="F86" s="758"/>
      <c r="G86" s="761"/>
      <c r="I86" s="463"/>
      <c r="J86" s="457"/>
      <c r="K86" s="457"/>
      <c r="L86" s="457"/>
      <c r="M86" s="457"/>
      <c r="N86" s="457"/>
      <c r="O86" s="457"/>
    </row>
    <row r="87" spans="1:15" ht="12.75" customHeight="1" x14ac:dyDescent="0.25">
      <c r="A87" s="470"/>
      <c r="D87" s="1125">
        <v>628008</v>
      </c>
      <c r="E87" s="1126"/>
      <c r="F87" s="755"/>
      <c r="G87" s="1129" t="s">
        <v>3344</v>
      </c>
      <c r="H87" s="1020"/>
      <c r="I87" s="518"/>
      <c r="J87" s="1763"/>
      <c r="K87" s="1763"/>
      <c r="L87" s="1763"/>
      <c r="M87" s="1763"/>
      <c r="N87" s="1763"/>
      <c r="O87" s="1763"/>
    </row>
    <row r="88" spans="1:15" ht="12.75" customHeight="1" x14ac:dyDescent="0.25">
      <c r="A88" s="470"/>
      <c r="D88" s="1125"/>
      <c r="E88" s="1126"/>
      <c r="F88" s="1126"/>
      <c r="G88" s="1130" t="s">
        <v>533</v>
      </c>
      <c r="H88" s="1020"/>
      <c r="I88" s="518"/>
      <c r="J88" s="518"/>
      <c r="K88" s="518"/>
      <c r="L88" s="518"/>
      <c r="M88" s="518"/>
      <c r="N88" s="518"/>
      <c r="O88" s="518"/>
    </row>
    <row r="89" spans="1:15" ht="12.75" customHeight="1" x14ac:dyDescent="0.25">
      <c r="A89" s="470">
        <f>+D87</f>
        <v>628008</v>
      </c>
      <c r="B89" s="453" t="str">
        <f>G87</f>
        <v>Toezicht handhaving voorschoolse voorzieningen</v>
      </c>
      <c r="D89" s="1131">
        <v>43812</v>
      </c>
      <c r="E89" s="1131"/>
      <c r="F89" s="1131"/>
      <c r="G89" s="761" t="s">
        <v>535</v>
      </c>
      <c r="H89" s="1020"/>
      <c r="I89" s="463"/>
      <c r="J89" s="463">
        <v>77240</v>
      </c>
      <c r="K89" s="463">
        <v>79247</v>
      </c>
      <c r="L89" s="463">
        <f t="shared" ref="L89:M89" si="24">L163</f>
        <v>80910</v>
      </c>
      <c r="M89" s="463">
        <f t="shared" si="24"/>
        <v>82770</v>
      </c>
      <c r="N89" s="463">
        <f t="shared" ref="N89:O89" si="25">N163</f>
        <v>84673</v>
      </c>
      <c r="O89" s="463">
        <f t="shared" si="25"/>
        <v>86618</v>
      </c>
    </row>
    <row r="90" spans="1:15" ht="12.75" customHeight="1" thickBot="1" x14ac:dyDescent="0.3">
      <c r="A90" s="470"/>
      <c r="B90" s="469"/>
      <c r="D90" s="1131"/>
      <c r="E90" s="1131"/>
      <c r="F90" s="1131"/>
      <c r="G90" s="1019" t="s">
        <v>536</v>
      </c>
      <c r="H90" s="1020"/>
      <c r="I90" s="463"/>
      <c r="J90" s="762">
        <v>77240</v>
      </c>
      <c r="K90" s="762">
        <v>79247</v>
      </c>
      <c r="L90" s="762">
        <f>SUM(L87:L89)</f>
        <v>80910</v>
      </c>
      <c r="M90" s="762">
        <f>SUM(M87:M89)</f>
        <v>82770</v>
      </c>
      <c r="N90" s="762">
        <f>SUM(N87:N89)</f>
        <v>84673</v>
      </c>
      <c r="O90" s="762">
        <f>SUM(O87:O89)</f>
        <v>86618</v>
      </c>
    </row>
    <row r="91" spans="1:15" ht="12.75" customHeight="1" thickTop="1" x14ac:dyDescent="0.25">
      <c r="A91" s="470"/>
      <c r="B91" s="469"/>
      <c r="D91" s="758"/>
      <c r="E91" s="758"/>
      <c r="F91" s="758"/>
      <c r="G91" s="761"/>
      <c r="I91" s="463"/>
      <c r="J91" s="1132"/>
      <c r="K91" s="1132"/>
      <c r="L91" s="1132"/>
      <c r="M91" s="1132"/>
      <c r="N91" s="1132"/>
      <c r="O91" s="1132"/>
    </row>
    <row r="92" spans="1:15" ht="12.75" customHeight="1" x14ac:dyDescent="0.25">
      <c r="A92" s="470"/>
      <c r="D92" s="1125">
        <v>628901</v>
      </c>
      <c r="E92" s="1126"/>
      <c r="F92" s="1126"/>
      <c r="G92" s="756" t="s">
        <v>3345</v>
      </c>
      <c r="I92" s="463"/>
      <c r="J92" s="457"/>
      <c r="K92" s="457"/>
      <c r="L92" s="457"/>
      <c r="M92" s="457"/>
      <c r="N92" s="457"/>
      <c r="O92" s="457"/>
    </row>
    <row r="93" spans="1:15" ht="12.75" customHeight="1" x14ac:dyDescent="0.25">
      <c r="A93" s="470"/>
      <c r="D93" s="1125"/>
      <c r="E93" s="1126"/>
      <c r="F93" s="1126"/>
      <c r="G93" s="1130" t="s">
        <v>533</v>
      </c>
      <c r="I93" s="463"/>
      <c r="J93" s="463"/>
      <c r="K93" s="463"/>
      <c r="L93" s="463"/>
      <c r="M93" s="463"/>
      <c r="N93" s="463"/>
      <c r="O93" s="463"/>
    </row>
    <row r="94" spans="1:15" ht="12.75" customHeight="1" x14ac:dyDescent="0.25">
      <c r="A94" s="470">
        <f>+D92</f>
        <v>628901</v>
      </c>
      <c r="B94" s="453" t="str">
        <f>G92</f>
        <v>Directe toerekening onderwijsbeleid</v>
      </c>
      <c r="D94" s="763">
        <v>41100</v>
      </c>
      <c r="E94" s="763"/>
      <c r="F94" s="763"/>
      <c r="G94" s="761" t="s">
        <v>700</v>
      </c>
      <c r="I94" s="463"/>
      <c r="J94" s="463">
        <v>280494.44</v>
      </c>
      <c r="K94" s="463">
        <v>303283.23</v>
      </c>
      <c r="L94" s="463">
        <f>L176+L182</f>
        <v>316022</v>
      </c>
      <c r="M94" s="463">
        <f>M176+M182</f>
        <v>327715</v>
      </c>
      <c r="N94" s="463">
        <f>N176+N182</f>
        <v>339841</v>
      </c>
      <c r="O94" s="463">
        <f>O176+O182</f>
        <v>352415</v>
      </c>
    </row>
    <row r="95" spans="1:15" ht="12.75" customHeight="1" thickBot="1" x14ac:dyDescent="0.3">
      <c r="A95" s="470"/>
      <c r="B95" s="469"/>
      <c r="D95" s="758"/>
      <c r="E95" s="758"/>
      <c r="F95" s="758"/>
      <c r="G95" s="761" t="s">
        <v>536</v>
      </c>
      <c r="I95" s="463"/>
      <c r="J95" s="762">
        <v>280494.44</v>
      </c>
      <c r="K95" s="762">
        <v>303283.23</v>
      </c>
      <c r="L95" s="762">
        <f>SUM(L94:L94)</f>
        <v>316022</v>
      </c>
      <c r="M95" s="762">
        <f>SUM(M94:M94)</f>
        <v>327715</v>
      </c>
      <c r="N95" s="762">
        <f>SUM(N94:N94)</f>
        <v>339841</v>
      </c>
      <c r="O95" s="762">
        <f>SUM(O94:O94)</f>
        <v>352415</v>
      </c>
    </row>
    <row r="96" spans="1:15" ht="12.75" customHeight="1" thickTop="1" x14ac:dyDescent="0.25">
      <c r="A96" s="470"/>
      <c r="B96" s="469"/>
      <c r="D96" s="758"/>
      <c r="E96" s="758"/>
      <c r="F96" s="758"/>
      <c r="G96" s="761"/>
      <c r="I96" s="463"/>
      <c r="J96" s="457"/>
      <c r="K96" s="457"/>
      <c r="L96" s="457"/>
      <c r="M96" s="457"/>
      <c r="N96" s="457"/>
      <c r="O96" s="457"/>
    </row>
    <row r="97" spans="1:15" ht="12.75" customHeight="1" x14ac:dyDescent="0.25">
      <c r="A97" s="470"/>
      <c r="B97" s="469"/>
      <c r="D97" s="758"/>
      <c r="E97" s="758"/>
      <c r="F97" s="758"/>
      <c r="G97" s="761"/>
      <c r="I97" s="463"/>
      <c r="J97" s="457"/>
      <c r="K97" s="457"/>
      <c r="L97" s="457"/>
      <c r="M97" s="457"/>
      <c r="N97" s="457"/>
      <c r="O97" s="457"/>
    </row>
    <row r="98" spans="1:15" ht="12.75" customHeight="1" x14ac:dyDescent="0.25">
      <c r="D98" s="1125">
        <v>628001</v>
      </c>
      <c r="E98" s="1126"/>
      <c r="F98" s="1126"/>
      <c r="G98" s="1127" t="s">
        <v>3339</v>
      </c>
      <c r="I98" s="463"/>
      <c r="J98" s="457"/>
      <c r="K98" s="457"/>
      <c r="L98" s="457"/>
      <c r="M98" s="457"/>
      <c r="N98" s="457"/>
      <c r="O98" s="457"/>
    </row>
    <row r="99" spans="1:15" ht="12.75" customHeight="1" x14ac:dyDescent="0.25">
      <c r="A99" s="470"/>
      <c r="D99" s="1125"/>
      <c r="E99" s="1126"/>
      <c r="F99" s="1126"/>
      <c r="G99" s="759" t="s">
        <v>554</v>
      </c>
      <c r="I99" s="463"/>
      <c r="J99" s="457"/>
      <c r="K99" s="457"/>
      <c r="L99" s="457"/>
      <c r="M99" s="457"/>
      <c r="N99" s="457"/>
      <c r="O99" s="457"/>
    </row>
    <row r="100" spans="1:15" ht="12.75" customHeight="1" x14ac:dyDescent="0.25">
      <c r="A100" s="470">
        <f>+D98</f>
        <v>628001</v>
      </c>
      <c r="B100" s="453" t="str">
        <f>G98</f>
        <v>Uitvoeringsmiddelen leer- en kwalificatieplicht</v>
      </c>
      <c r="D100" s="763">
        <v>84320</v>
      </c>
      <c r="E100" s="763"/>
      <c r="F100" s="763"/>
      <c r="G100" s="761" t="s">
        <v>3346</v>
      </c>
      <c r="I100" s="463"/>
      <c r="J100" s="463">
        <v>-7500</v>
      </c>
      <c r="K100" s="463">
        <v>-7500</v>
      </c>
      <c r="L100" s="463">
        <v>-7500</v>
      </c>
      <c r="M100" s="463">
        <v>-7500</v>
      </c>
      <c r="N100" s="463">
        <v>-7500</v>
      </c>
      <c r="O100" s="463">
        <v>-7500</v>
      </c>
    </row>
    <row r="101" spans="1:15" ht="12.75" customHeight="1" thickBot="1" x14ac:dyDescent="0.3">
      <c r="D101" s="758"/>
      <c r="E101" s="758"/>
      <c r="F101" s="758"/>
      <c r="G101" s="761" t="s">
        <v>536</v>
      </c>
      <c r="I101" s="463"/>
      <c r="J101" s="762">
        <v>-7500</v>
      </c>
      <c r="K101" s="762">
        <v>-7500</v>
      </c>
      <c r="L101" s="762">
        <f>SUM(L100)</f>
        <v>-7500</v>
      </c>
      <c r="M101" s="762">
        <f>SUM(M100)</f>
        <v>-7500</v>
      </c>
      <c r="N101" s="762">
        <f>SUM(N100)</f>
        <v>-7500</v>
      </c>
      <c r="O101" s="762">
        <f>SUM(O100)</f>
        <v>-7500</v>
      </c>
    </row>
    <row r="102" spans="1:15" ht="12.75" customHeight="1" thickTop="1" x14ac:dyDescent="0.25">
      <c r="D102" s="758"/>
      <c r="E102" s="758"/>
      <c r="F102" s="758"/>
      <c r="G102" s="761"/>
      <c r="I102" s="463"/>
      <c r="J102" s="457"/>
      <c r="K102" s="457"/>
      <c r="L102" s="457"/>
      <c r="M102" s="457"/>
      <c r="N102" s="457"/>
      <c r="O102" s="457"/>
    </row>
    <row r="103" spans="1:15" ht="12.75" customHeight="1" x14ac:dyDescent="0.25">
      <c r="D103" s="1125">
        <v>628003</v>
      </c>
      <c r="E103" s="1126"/>
      <c r="F103" s="1126"/>
      <c r="G103" s="756" t="s">
        <v>3347</v>
      </c>
      <c r="I103" s="463"/>
      <c r="J103" s="457"/>
      <c r="K103" s="457"/>
      <c r="L103" s="457"/>
      <c r="M103" s="457"/>
      <c r="N103" s="457"/>
      <c r="O103" s="457"/>
    </row>
    <row r="104" spans="1:15" ht="12.75" customHeight="1" x14ac:dyDescent="0.25">
      <c r="D104" s="758"/>
      <c r="E104" s="758"/>
      <c r="F104" s="758"/>
      <c r="G104" s="759" t="s">
        <v>554</v>
      </c>
      <c r="I104" s="463"/>
      <c r="J104" s="457"/>
      <c r="K104" s="457"/>
      <c r="L104" s="457"/>
      <c r="M104" s="457"/>
      <c r="N104" s="457"/>
      <c r="O104" s="457"/>
    </row>
    <row r="105" spans="1:15" ht="12.75" customHeight="1" x14ac:dyDescent="0.25">
      <c r="A105" s="470">
        <f>+D103</f>
        <v>628003</v>
      </c>
      <c r="B105" s="453" t="str">
        <f>G103</f>
        <v>Onderwijsachterstandenbeleid</v>
      </c>
      <c r="D105" s="763">
        <v>84310</v>
      </c>
      <c r="E105" s="763"/>
      <c r="F105" s="763"/>
      <c r="G105" s="761" t="s">
        <v>3348</v>
      </c>
      <c r="I105" s="463"/>
      <c r="J105" s="457">
        <v>-400000</v>
      </c>
      <c r="K105" s="457">
        <f>K193</f>
        <v>-425060</v>
      </c>
      <c r="L105" s="457">
        <f>L193</f>
        <v>-400000</v>
      </c>
      <c r="M105" s="457">
        <f>M193</f>
        <v>-400000</v>
      </c>
      <c r="N105" s="457">
        <f>N193</f>
        <v>-400000</v>
      </c>
      <c r="O105" s="457">
        <f>O193</f>
        <v>-400000</v>
      </c>
    </row>
    <row r="106" spans="1:15" ht="12.75" customHeight="1" thickBot="1" x14ac:dyDescent="0.3">
      <c r="D106" s="758"/>
      <c r="E106" s="758"/>
      <c r="F106" s="758"/>
      <c r="G106" s="761" t="s">
        <v>536</v>
      </c>
      <c r="I106" s="463"/>
      <c r="J106" s="762">
        <v>-400000</v>
      </c>
      <c r="K106" s="762">
        <f>SUM(K105)</f>
        <v>-425060</v>
      </c>
      <c r="L106" s="762">
        <f t="shared" ref="L106:O106" si="26">SUM(L105)</f>
        <v>-400000</v>
      </c>
      <c r="M106" s="762">
        <f t="shared" si="26"/>
        <v>-400000</v>
      </c>
      <c r="N106" s="762">
        <f t="shared" si="26"/>
        <v>-400000</v>
      </c>
      <c r="O106" s="762">
        <f t="shared" si="26"/>
        <v>-400000</v>
      </c>
    </row>
    <row r="107" spans="1:15" ht="12.75" customHeight="1" thickTop="1" x14ac:dyDescent="0.25">
      <c r="D107" s="758"/>
      <c r="E107" s="758"/>
      <c r="F107" s="758"/>
      <c r="G107" s="761"/>
      <c r="I107" s="463"/>
      <c r="J107" s="457"/>
      <c r="K107" s="457"/>
      <c r="L107" s="457"/>
      <c r="M107" s="457"/>
      <c r="N107" s="457"/>
      <c r="O107" s="457"/>
    </row>
    <row r="108" spans="1:15" ht="12.75" customHeight="1" x14ac:dyDescent="0.25">
      <c r="A108" s="470"/>
      <c r="D108" s="1133">
        <v>628007</v>
      </c>
      <c r="E108" s="755"/>
      <c r="F108" s="755"/>
      <c r="G108" s="756" t="s">
        <v>3337</v>
      </c>
      <c r="H108" s="747"/>
      <c r="I108" s="463"/>
      <c r="J108" s="463"/>
      <c r="K108" s="463"/>
      <c r="L108" s="463"/>
      <c r="M108" s="463"/>
      <c r="N108" s="463"/>
      <c r="O108" s="463"/>
    </row>
    <row r="109" spans="1:15" ht="12.75" customHeight="1" x14ac:dyDescent="0.25">
      <c r="A109" s="470"/>
      <c r="D109" s="758"/>
      <c r="E109" s="758"/>
      <c r="F109" s="758"/>
      <c r="G109" s="759" t="s">
        <v>554</v>
      </c>
      <c r="I109" s="463"/>
      <c r="J109" s="463"/>
      <c r="K109" s="463"/>
      <c r="L109" s="463"/>
      <c r="M109" s="463"/>
      <c r="N109" s="463"/>
      <c r="O109" s="463"/>
    </row>
    <row r="110" spans="1:15" ht="12.75" customHeight="1" x14ac:dyDescent="0.25">
      <c r="A110" s="470">
        <f>+D108</f>
        <v>628007</v>
      </c>
      <c r="B110" s="453" t="str">
        <f>G108</f>
        <v>Leerlingenvervoer</v>
      </c>
      <c r="D110" s="763">
        <v>83420</v>
      </c>
      <c r="E110" s="758"/>
      <c r="F110" s="758"/>
      <c r="G110" s="453" t="s">
        <v>3349</v>
      </c>
      <c r="I110" s="463"/>
      <c r="J110" s="463">
        <v>-11680</v>
      </c>
      <c r="K110" s="463">
        <v>-11980</v>
      </c>
      <c r="L110" s="463">
        <f>-L203</f>
        <v>-12230</v>
      </c>
      <c r="M110" s="463">
        <f>-M203</f>
        <v>-12510</v>
      </c>
      <c r="N110" s="463">
        <f>-N203</f>
        <v>-12800</v>
      </c>
      <c r="O110" s="463">
        <f>-O203</f>
        <v>-13090</v>
      </c>
    </row>
    <row r="111" spans="1:15" ht="12.75" customHeight="1" thickBot="1" x14ac:dyDescent="0.3">
      <c r="A111" s="470"/>
      <c r="D111" s="758"/>
      <c r="E111" s="758"/>
      <c r="F111" s="758"/>
      <c r="G111" s="761" t="s">
        <v>536</v>
      </c>
      <c r="I111" s="463"/>
      <c r="J111" s="1085">
        <v>-11680</v>
      </c>
      <c r="K111" s="1085">
        <v>-11980</v>
      </c>
      <c r="L111" s="1085">
        <f>SUM(L109:L110)</f>
        <v>-12230</v>
      </c>
      <c r="M111" s="1085">
        <f>SUM(M109:M110)</f>
        <v>-12510</v>
      </c>
      <c r="N111" s="1085">
        <f>SUM(N109:N110)</f>
        <v>-12800</v>
      </c>
      <c r="O111" s="1085">
        <f>SUM(O109:O110)</f>
        <v>-13090</v>
      </c>
    </row>
    <row r="112" spans="1:15" ht="12.75" customHeight="1" thickTop="1" x14ac:dyDescent="0.25">
      <c r="A112" s="470"/>
      <c r="D112" s="758"/>
      <c r="E112" s="758"/>
      <c r="F112" s="758"/>
      <c r="G112" s="761"/>
      <c r="I112" s="463"/>
      <c r="J112" s="463"/>
      <c r="K112" s="463"/>
      <c r="L112" s="463"/>
      <c r="M112" s="463"/>
      <c r="N112" s="463"/>
      <c r="O112" s="463"/>
    </row>
    <row r="113" spans="4:15" ht="12.75" customHeight="1" x14ac:dyDescent="0.25">
      <c r="D113" s="758"/>
      <c r="E113" s="758"/>
      <c r="F113" s="758"/>
      <c r="G113" s="761"/>
      <c r="I113" s="463"/>
      <c r="J113" s="457"/>
      <c r="K113" s="457"/>
      <c r="L113" s="457"/>
      <c r="M113" s="457"/>
      <c r="N113" s="457"/>
      <c r="O113" s="457"/>
    </row>
    <row r="114" spans="4:15" ht="12.75" customHeight="1" x14ac:dyDescent="0.25">
      <c r="D114" s="766"/>
      <c r="E114" s="766"/>
      <c r="F114" s="766"/>
      <c r="G114" s="767"/>
      <c r="H114" s="467"/>
      <c r="I114" s="768"/>
      <c r="J114" s="468"/>
      <c r="K114" s="468"/>
      <c r="L114" s="468"/>
      <c r="M114" s="468"/>
      <c r="N114" s="468"/>
      <c r="O114" s="468"/>
    </row>
    <row r="115" spans="4:15" ht="12.75" customHeight="1" x14ac:dyDescent="0.25">
      <c r="D115" s="769"/>
      <c r="E115" s="769"/>
      <c r="F115" s="769"/>
      <c r="I115" s="469"/>
      <c r="J115" s="469"/>
      <c r="K115" s="469"/>
      <c r="L115" s="469"/>
      <c r="M115" s="469"/>
      <c r="N115" s="469"/>
      <c r="O115" s="469"/>
    </row>
    <row r="116" spans="4:15" ht="12.75" customHeight="1" x14ac:dyDescent="0.25">
      <c r="D116" s="769"/>
      <c r="E116" s="769"/>
      <c r="F116" s="769"/>
      <c r="I116" s="469"/>
      <c r="J116" s="469"/>
      <c r="K116" s="469"/>
      <c r="L116" s="469"/>
      <c r="M116" s="469"/>
      <c r="N116" s="469"/>
      <c r="O116" s="469"/>
    </row>
    <row r="117" spans="4:15" ht="12.75" customHeight="1" x14ac:dyDescent="0.25">
      <c r="D117" s="769"/>
      <c r="E117" s="769"/>
      <c r="F117" s="769"/>
      <c r="I117" s="469"/>
      <c r="J117" s="469"/>
      <c r="K117" s="469"/>
      <c r="L117" s="469"/>
      <c r="M117" s="469"/>
      <c r="N117" s="469"/>
      <c r="O117" s="469"/>
    </row>
    <row r="118" spans="4:15" ht="12.75" customHeight="1" x14ac:dyDescent="0.25">
      <c r="D118" s="770" t="s">
        <v>561</v>
      </c>
      <c r="E118" s="769"/>
      <c r="F118" s="769"/>
      <c r="G118" s="747"/>
      <c r="I118" s="469"/>
      <c r="J118" s="469"/>
      <c r="K118" s="469"/>
      <c r="L118" s="469"/>
      <c r="M118" s="469"/>
      <c r="N118" s="469"/>
      <c r="O118" s="469"/>
    </row>
    <row r="119" spans="4:15" ht="12.75" customHeight="1" x14ac:dyDescent="0.25">
      <c r="D119" s="769"/>
      <c r="E119" s="769"/>
      <c r="F119" s="769"/>
      <c r="I119" s="469"/>
      <c r="J119" s="469"/>
      <c r="K119" s="469"/>
      <c r="L119" s="469"/>
      <c r="M119" s="469"/>
      <c r="N119" s="469"/>
      <c r="O119" s="469"/>
    </row>
    <row r="120" spans="4:15" ht="12.75" customHeight="1" x14ac:dyDescent="0.25">
      <c r="D120" s="771">
        <v>628001</v>
      </c>
      <c r="E120" s="747" t="s">
        <v>3338</v>
      </c>
      <c r="F120" s="752"/>
    </row>
    <row r="121" spans="4:15" ht="12.75" customHeight="1" x14ac:dyDescent="0.25">
      <c r="D121" s="516">
        <v>43812</v>
      </c>
      <c r="E121" s="787" t="s">
        <v>3350</v>
      </c>
    </row>
    <row r="122" spans="4:15" ht="12.75" customHeight="1" x14ac:dyDescent="0.25">
      <c r="D122" s="516"/>
      <c r="E122" s="787"/>
      <c r="I122" s="469"/>
      <c r="J122" s="469"/>
      <c r="K122" s="469"/>
      <c r="L122" s="469"/>
      <c r="M122" s="469"/>
      <c r="N122" s="469"/>
      <c r="O122" s="469"/>
    </row>
    <row r="123" spans="4:15" ht="12.75" customHeight="1" x14ac:dyDescent="0.25">
      <c r="D123" s="771">
        <v>628002</v>
      </c>
      <c r="E123" s="772" t="s">
        <v>3339</v>
      </c>
      <c r="F123" s="752"/>
    </row>
    <row r="124" spans="4:15" ht="12.75" customHeight="1" x14ac:dyDescent="0.25">
      <c r="D124" s="516">
        <v>43812</v>
      </c>
      <c r="E124" s="453" t="s">
        <v>3351</v>
      </c>
    </row>
    <row r="125" spans="4:15" ht="12.75" customHeight="1" x14ac:dyDescent="0.25">
      <c r="D125" s="516"/>
      <c r="E125" s="787"/>
    </row>
    <row r="126" spans="4:15" ht="12.75" customHeight="1" x14ac:dyDescent="0.25">
      <c r="D126" s="1061">
        <v>628004</v>
      </c>
      <c r="E126" s="747" t="s">
        <v>3340</v>
      </c>
      <c r="F126" s="1062"/>
      <c r="I126" s="469"/>
      <c r="J126" s="773">
        <v>2025</v>
      </c>
      <c r="K126" s="773">
        <v>2026</v>
      </c>
      <c r="L126" s="773">
        <v>2027</v>
      </c>
      <c r="M126" s="773">
        <v>2028</v>
      </c>
      <c r="N126" s="773">
        <v>2029</v>
      </c>
      <c r="O126" s="773">
        <v>2030</v>
      </c>
    </row>
    <row r="127" spans="4:15" ht="12.75" customHeight="1" x14ac:dyDescent="0.25">
      <c r="D127" s="1061"/>
      <c r="E127" s="527" t="s">
        <v>533</v>
      </c>
      <c r="F127" s="1062"/>
      <c r="I127" s="469"/>
      <c r="J127" s="469"/>
      <c r="K127" s="469"/>
      <c r="L127" s="469"/>
      <c r="M127" s="469"/>
      <c r="N127" s="469"/>
      <c r="O127" s="469"/>
    </row>
    <row r="128" spans="4:15" ht="12.75" customHeight="1" x14ac:dyDescent="0.25">
      <c r="D128" s="769">
        <v>43812</v>
      </c>
      <c r="E128" s="453" t="s">
        <v>3340</v>
      </c>
      <c r="F128" s="769"/>
      <c r="I128" s="469"/>
      <c r="J128" s="469">
        <v>28444</v>
      </c>
      <c r="K128" s="469">
        <v>29184</v>
      </c>
      <c r="L128" s="469">
        <f>ROUND(K128*T$2,0)</f>
        <v>29797</v>
      </c>
      <c r="M128" s="469">
        <f>ROUND(L128*U$2,0)</f>
        <v>30482</v>
      </c>
      <c r="N128" s="469">
        <f>ROUND(M128*V$2,0)</f>
        <v>31183</v>
      </c>
      <c r="O128" s="469">
        <f>ROUND(N128*W$2,0)</f>
        <v>31900</v>
      </c>
    </row>
    <row r="129" spans="4:16" ht="12.75" customHeight="1" thickBot="1" x14ac:dyDescent="0.3">
      <c r="D129" s="769"/>
      <c r="E129" s="1134" t="str">
        <f>"Totaal "&amp;D128</f>
        <v>Totaal 43812</v>
      </c>
      <c r="F129" s="769"/>
      <c r="I129" s="469"/>
      <c r="J129" s="1888">
        <v>28444</v>
      </c>
      <c r="K129" s="1888">
        <v>29184</v>
      </c>
      <c r="L129" s="1888">
        <f>SUM(L128:L128)</f>
        <v>29797</v>
      </c>
      <c r="M129" s="1888">
        <f>SUM(M128:M128)</f>
        <v>30482</v>
      </c>
      <c r="N129" s="1888">
        <f>SUM(N128:N128)</f>
        <v>31183</v>
      </c>
      <c r="O129" s="1888">
        <f>SUM(O128:O128)</f>
        <v>31900</v>
      </c>
    </row>
    <row r="130" spans="4:16" ht="12.75" customHeight="1" thickTop="1" x14ac:dyDescent="0.25">
      <c r="D130" s="769"/>
      <c r="E130" s="769"/>
      <c r="F130" s="769"/>
      <c r="I130" s="469"/>
      <c r="J130" s="469"/>
      <c r="K130" s="469"/>
      <c r="L130" s="469"/>
      <c r="M130" s="469"/>
      <c r="N130" s="469"/>
      <c r="O130" s="469"/>
    </row>
    <row r="131" spans="4:16" ht="12.75" customHeight="1" x14ac:dyDescent="0.25">
      <c r="D131" s="771">
        <v>628005</v>
      </c>
      <c r="E131" s="747" t="s">
        <v>3342</v>
      </c>
      <c r="F131" s="453"/>
    </row>
    <row r="132" spans="4:16" ht="12.75" customHeight="1" x14ac:dyDescent="0.25">
      <c r="D132" s="771"/>
      <c r="E132" s="527" t="s">
        <v>533</v>
      </c>
      <c r="F132" s="453"/>
    </row>
    <row r="133" spans="4:16" ht="12.75" customHeight="1" x14ac:dyDescent="0.25">
      <c r="D133" s="516">
        <v>44380</v>
      </c>
      <c r="E133" s="2582" t="s">
        <v>3352</v>
      </c>
      <c r="F133" s="2582"/>
      <c r="G133" s="2582"/>
      <c r="H133" s="2582"/>
      <c r="I133" s="2582"/>
    </row>
    <row r="134" spans="4:16" ht="12.75" customHeight="1" x14ac:dyDescent="0.25">
      <c r="D134" s="516"/>
      <c r="E134" s="2582"/>
      <c r="F134" s="2582"/>
      <c r="G134" s="2582"/>
      <c r="H134" s="2582"/>
      <c r="I134" s="2582"/>
      <c r="J134" s="1136">
        <v>81715</v>
      </c>
      <c r="K134" s="1136">
        <v>81715</v>
      </c>
      <c r="L134" s="1136">
        <v>81715</v>
      </c>
      <c r="M134" s="1136">
        <v>81715</v>
      </c>
      <c r="N134" s="1136">
        <v>81715</v>
      </c>
      <c r="O134" s="1136">
        <v>81715</v>
      </c>
    </row>
    <row r="135" spans="4:16" ht="12.75" customHeight="1" x14ac:dyDescent="0.25">
      <c r="D135" s="516"/>
      <c r="E135" s="2582"/>
      <c r="F135" s="2582"/>
      <c r="G135" s="2582"/>
      <c r="H135" s="2582"/>
      <c r="I135" s="2582"/>
      <c r="J135" s="469"/>
      <c r="K135" s="469"/>
      <c r="L135" s="469"/>
      <c r="M135" s="469"/>
      <c r="N135" s="469"/>
      <c r="O135" s="469"/>
    </row>
    <row r="136" spans="4:16" ht="12.75" customHeight="1" x14ac:dyDescent="0.25">
      <c r="D136" s="516"/>
      <c r="E136" s="1134" t="s">
        <v>3353</v>
      </c>
      <c r="F136" s="1135"/>
      <c r="G136" s="1135"/>
      <c r="H136" s="1135"/>
      <c r="I136" s="1135"/>
      <c r="J136" s="469"/>
      <c r="K136" s="469"/>
      <c r="L136" s="469"/>
      <c r="M136" s="469"/>
      <c r="N136" s="469"/>
      <c r="O136" s="469"/>
    </row>
    <row r="137" spans="4:16" ht="12.75" customHeight="1" x14ac:dyDescent="0.25">
      <c r="D137" s="516"/>
      <c r="E137" s="1134" t="s">
        <v>3354</v>
      </c>
      <c r="F137" s="1135"/>
      <c r="J137" s="469">
        <v>400000</v>
      </c>
      <c r="K137" s="469">
        <v>400000</v>
      </c>
      <c r="L137" s="469">
        <f t="shared" ref="L137:M137" si="27">-L193</f>
        <v>400000</v>
      </c>
      <c r="M137" s="469">
        <f t="shared" si="27"/>
        <v>400000</v>
      </c>
      <c r="N137" s="469">
        <f t="shared" ref="N137:O137" si="28">-N193</f>
        <v>400000</v>
      </c>
      <c r="O137" s="469">
        <f t="shared" si="28"/>
        <v>400000</v>
      </c>
      <c r="P137" s="453" t="s">
        <v>3355</v>
      </c>
    </row>
    <row r="138" spans="4:16" ht="12.75" customHeight="1" x14ac:dyDescent="0.25">
      <c r="D138" s="516"/>
      <c r="E138" s="1134" t="s">
        <v>3356</v>
      </c>
      <c r="F138" s="1135"/>
      <c r="J138" s="469">
        <v>226700</v>
      </c>
      <c r="K138" s="469">
        <v>237100</v>
      </c>
      <c r="L138" s="469">
        <f t="shared" ref="L138:O140" si="29">ROUND(K138*T$3,-2)</f>
        <v>247100</v>
      </c>
      <c r="M138" s="469">
        <f t="shared" si="29"/>
        <v>256200</v>
      </c>
      <c r="N138" s="469">
        <f t="shared" si="29"/>
        <v>265700</v>
      </c>
      <c r="O138" s="469">
        <f t="shared" si="29"/>
        <v>275500</v>
      </c>
    </row>
    <row r="139" spans="4:16" ht="12.75" customHeight="1" x14ac:dyDescent="0.25">
      <c r="D139" s="516"/>
      <c r="E139" s="1134" t="s">
        <v>3357</v>
      </c>
      <c r="F139" s="1135"/>
      <c r="J139" s="469">
        <v>-110100</v>
      </c>
      <c r="K139" s="469">
        <v>-105131</v>
      </c>
      <c r="L139" s="469">
        <f t="shared" si="29"/>
        <v>-109500</v>
      </c>
      <c r="M139" s="469">
        <f t="shared" si="29"/>
        <v>-113600</v>
      </c>
      <c r="N139" s="469">
        <f t="shared" si="29"/>
        <v>-117800</v>
      </c>
      <c r="O139" s="469">
        <f t="shared" si="29"/>
        <v>-122200</v>
      </c>
    </row>
    <row r="140" spans="4:16" ht="12.75" customHeight="1" x14ac:dyDescent="0.25">
      <c r="D140" s="516"/>
      <c r="E140" s="1134" t="s">
        <v>3358</v>
      </c>
      <c r="F140" s="1135"/>
      <c r="J140" s="469">
        <v>124000</v>
      </c>
      <c r="K140" s="469">
        <v>129700</v>
      </c>
      <c r="L140" s="469">
        <f t="shared" si="29"/>
        <v>135100</v>
      </c>
      <c r="M140" s="469">
        <f t="shared" si="29"/>
        <v>140100</v>
      </c>
      <c r="N140" s="469">
        <f t="shared" si="29"/>
        <v>145300</v>
      </c>
      <c r="O140" s="469">
        <f t="shared" si="29"/>
        <v>150700</v>
      </c>
    </row>
    <row r="141" spans="4:16" ht="12.75" customHeight="1" x14ac:dyDescent="0.25">
      <c r="D141" s="516"/>
      <c r="E141" s="1134"/>
      <c r="F141" s="453"/>
      <c r="J141" s="1891">
        <v>640600</v>
      </c>
      <c r="K141" s="1891">
        <v>661669</v>
      </c>
      <c r="L141" s="1891">
        <f t="shared" ref="L141:M141" si="30">SUM(L137:L140)</f>
        <v>672700</v>
      </c>
      <c r="M141" s="1891">
        <f t="shared" si="30"/>
        <v>682700</v>
      </c>
      <c r="N141" s="1891">
        <f t="shared" ref="N141:O141" si="31">SUM(N137:N140)</f>
        <v>693200</v>
      </c>
      <c r="O141" s="1891">
        <f t="shared" si="31"/>
        <v>704000</v>
      </c>
    </row>
    <row r="142" spans="4:16" ht="12.75" customHeight="1" x14ac:dyDescent="0.25">
      <c r="D142" s="516"/>
      <c r="E142" s="1134"/>
      <c r="F142" s="453"/>
    </row>
    <row r="143" spans="4:16" ht="12.75" customHeight="1" x14ac:dyDescent="0.25">
      <c r="D143" s="516"/>
      <c r="E143" s="2582" t="s">
        <v>3359</v>
      </c>
      <c r="F143" s="2582"/>
      <c r="G143" s="2582"/>
      <c r="H143" s="2582"/>
      <c r="I143" s="2582"/>
      <c r="J143" s="469"/>
      <c r="K143" s="469"/>
      <c r="L143" s="469"/>
      <c r="M143" s="469"/>
      <c r="N143" s="469"/>
      <c r="O143" s="469"/>
    </row>
    <row r="144" spans="4:16" ht="12.75" customHeight="1" x14ac:dyDescent="0.25">
      <c r="D144" s="516"/>
      <c r="E144" s="2582"/>
      <c r="F144" s="2582"/>
      <c r="G144" s="2582"/>
      <c r="H144" s="2582"/>
      <c r="I144" s="2582"/>
      <c r="J144" s="469">
        <v>43051</v>
      </c>
      <c r="K144" s="469">
        <v>43051</v>
      </c>
      <c r="L144" s="469">
        <v>43051</v>
      </c>
      <c r="M144" s="469">
        <v>43051</v>
      </c>
      <c r="N144" s="469">
        <v>43051</v>
      </c>
      <c r="O144" s="469">
        <v>43051</v>
      </c>
    </row>
    <row r="145" spans="4:15" ht="12.75" customHeight="1" x14ac:dyDescent="0.25">
      <c r="D145" s="516"/>
      <c r="E145" s="453"/>
      <c r="F145" s="453"/>
      <c r="H145" s="469"/>
    </row>
    <row r="146" spans="4:15" ht="12.75" customHeight="1" x14ac:dyDescent="0.25">
      <c r="D146" s="516"/>
      <c r="E146" s="1049" t="s">
        <v>3360</v>
      </c>
      <c r="F146" s="453"/>
      <c r="J146" s="469">
        <v>8160</v>
      </c>
      <c r="K146" s="469">
        <v>8261</v>
      </c>
      <c r="L146" s="469">
        <v>8629</v>
      </c>
      <c r="M146" s="469">
        <v>9021</v>
      </c>
      <c r="N146" s="469">
        <f t="shared" ref="N146:O146" si="32">ROUND(M146*V$3,-2)</f>
        <v>9400</v>
      </c>
      <c r="O146" s="469">
        <f t="shared" si="32"/>
        <v>9700</v>
      </c>
    </row>
    <row r="147" spans="4:15" ht="12.75" customHeight="1" x14ac:dyDescent="0.25">
      <c r="D147" s="516"/>
      <c r="E147" s="1049" t="s">
        <v>3361</v>
      </c>
      <c r="F147" s="453"/>
      <c r="J147" s="469"/>
      <c r="K147" s="469"/>
      <c r="L147" s="469"/>
      <c r="M147" s="469"/>
      <c r="N147" s="469"/>
      <c r="O147" s="469"/>
    </row>
    <row r="148" spans="4:15" ht="12.75" customHeight="1" x14ac:dyDescent="0.25">
      <c r="D148" s="516"/>
      <c r="E148" s="1049" t="s">
        <v>3362</v>
      </c>
      <c r="F148" s="453"/>
      <c r="J148" s="469">
        <v>-80000</v>
      </c>
      <c r="K148" s="469">
        <v>-83000</v>
      </c>
      <c r="L148" s="469">
        <f>ROUND(K148*T$3,-2)</f>
        <v>-86500</v>
      </c>
      <c r="M148" s="469">
        <f>ROUND(L148*U$3,-2)</f>
        <v>-89700</v>
      </c>
      <c r="N148" s="469">
        <f>ROUND(M148*V$3,-2)</f>
        <v>-93000</v>
      </c>
      <c r="O148" s="469">
        <f>ROUND(N148*W$3,-2)</f>
        <v>-96400</v>
      </c>
    </row>
    <row r="149" spans="4:15" ht="12.75" customHeight="1" x14ac:dyDescent="0.25">
      <c r="D149" s="516"/>
      <c r="E149" s="2180" t="s">
        <v>5329</v>
      </c>
      <c r="F149" s="2162"/>
      <c r="G149" s="2162"/>
      <c r="H149" s="2162"/>
      <c r="I149" s="2162"/>
      <c r="J149" s="2166"/>
      <c r="K149" s="2166">
        <v>25060</v>
      </c>
      <c r="L149" s="2166"/>
      <c r="M149" s="2166"/>
      <c r="N149" s="2166"/>
      <c r="O149" s="2166"/>
    </row>
    <row r="150" spans="4:15" ht="12.75" customHeight="1" x14ac:dyDescent="0.25">
      <c r="D150" s="516"/>
      <c r="E150" s="2180" t="s">
        <v>5387</v>
      </c>
      <c r="F150" s="2288" t="s">
        <v>5388</v>
      </c>
      <c r="G150" s="2162"/>
      <c r="H150" s="2162"/>
      <c r="I150" s="2162"/>
      <c r="J150" s="2166"/>
      <c r="K150" s="2166"/>
      <c r="L150" s="2166"/>
      <c r="M150" s="2166"/>
      <c r="N150" s="2166">
        <v>-26000</v>
      </c>
      <c r="O150" s="2254"/>
    </row>
    <row r="151" spans="4:15" ht="12.75" customHeight="1" x14ac:dyDescent="0.25">
      <c r="D151" s="516"/>
      <c r="E151" s="778"/>
      <c r="F151" s="453"/>
      <c r="J151" s="469"/>
      <c r="K151" s="469"/>
      <c r="L151" s="469"/>
      <c r="M151" s="469"/>
      <c r="N151" s="469"/>
      <c r="O151" s="469"/>
    </row>
    <row r="152" spans="4:15" ht="12.75" customHeight="1" thickBot="1" x14ac:dyDescent="0.3">
      <c r="D152" s="516"/>
      <c r="E152" s="1134" t="str">
        <f>"Totaal "&amp;D133</f>
        <v>Totaal 44380</v>
      </c>
      <c r="F152" s="453"/>
      <c r="J152" s="1892">
        <v>693526</v>
      </c>
      <c r="K152" s="1892">
        <f t="shared" ref="K152:M152" si="33">K134+K141+K144+K146+K148+K150</f>
        <v>711696</v>
      </c>
      <c r="L152" s="1892">
        <f t="shared" si="33"/>
        <v>719595</v>
      </c>
      <c r="M152" s="1892">
        <f t="shared" si="33"/>
        <v>726787</v>
      </c>
      <c r="N152" s="1892">
        <f>N134+N141+N144+N146+N148+N150</f>
        <v>708366</v>
      </c>
      <c r="O152" s="1892">
        <f>O134+O141+O144+O146+O148+O150</f>
        <v>742066</v>
      </c>
    </row>
    <row r="153" spans="4:15" ht="12.75" customHeight="1" thickTop="1" x14ac:dyDescent="0.25">
      <c r="D153" s="516"/>
      <c r="E153" s="778"/>
      <c r="F153" s="453"/>
      <c r="J153" s="469"/>
      <c r="K153" s="469"/>
      <c r="L153" s="469"/>
      <c r="M153" s="469"/>
      <c r="N153" s="469"/>
      <c r="O153" s="469"/>
    </row>
    <row r="154" spans="4:15" ht="12.75" customHeight="1" x14ac:dyDescent="0.25">
      <c r="D154" s="1061">
        <v>628008</v>
      </c>
      <c r="E154" s="747" t="s">
        <v>3344</v>
      </c>
      <c r="F154" s="453"/>
      <c r="I154" s="469"/>
      <c r="J154" s="469"/>
      <c r="K154" s="495"/>
      <c r="L154" s="469"/>
      <c r="M154" s="469"/>
      <c r="N154" s="469"/>
      <c r="O154" s="469"/>
    </row>
    <row r="155" spans="4:15" ht="12.75" customHeight="1" x14ac:dyDescent="0.25">
      <c r="D155" s="1061"/>
      <c r="E155" s="527" t="s">
        <v>533</v>
      </c>
      <c r="F155" s="453"/>
      <c r="I155" s="469"/>
      <c r="J155" s="158"/>
      <c r="K155" s="158"/>
      <c r="L155" s="158"/>
      <c r="M155" s="158"/>
      <c r="N155" s="158"/>
      <c r="O155" s="158"/>
    </row>
    <row r="156" spans="4:15" ht="12.75" customHeight="1" x14ac:dyDescent="0.25">
      <c r="D156" s="516">
        <v>43812</v>
      </c>
      <c r="E156" s="453" t="s">
        <v>3363</v>
      </c>
      <c r="F156" s="453"/>
      <c r="I156" s="469"/>
      <c r="J156" s="469">
        <v>5920</v>
      </c>
      <c r="K156" s="469">
        <v>6073</v>
      </c>
      <c r="L156" s="469">
        <f>ROUND(K156*T$2,0)-1</f>
        <v>6200</v>
      </c>
      <c r="M156" s="469">
        <f>ROUND(L156*U$2,0)-1</f>
        <v>6342</v>
      </c>
      <c r="N156" s="469">
        <f>ROUND(M156*V$2,0)-1</f>
        <v>6487</v>
      </c>
      <c r="O156" s="469">
        <f>ROUND(N156*W$2,0)-1</f>
        <v>6635</v>
      </c>
    </row>
    <row r="157" spans="4:15" ht="12.75" customHeight="1" x14ac:dyDescent="0.25">
      <c r="D157" s="516"/>
      <c r="E157" s="453" t="s">
        <v>3364</v>
      </c>
      <c r="F157" s="453"/>
      <c r="I157" s="469"/>
      <c r="J157" s="469">
        <v>62756</v>
      </c>
      <c r="K157" s="469">
        <v>64388</v>
      </c>
      <c r="L157" s="469">
        <f t="shared" ref="L157:O161" si="34">ROUND(K157*T$2,0)</f>
        <v>65740</v>
      </c>
      <c r="M157" s="469">
        <f t="shared" si="34"/>
        <v>67252</v>
      </c>
      <c r="N157" s="469">
        <f t="shared" si="34"/>
        <v>68799</v>
      </c>
      <c r="O157" s="469">
        <f t="shared" si="34"/>
        <v>70381</v>
      </c>
    </row>
    <row r="158" spans="4:15" ht="12.75" customHeight="1" x14ac:dyDescent="0.25">
      <c r="D158" s="516"/>
      <c r="E158" s="166" t="s">
        <v>3365</v>
      </c>
      <c r="F158" s="453"/>
      <c r="I158" s="469"/>
      <c r="J158" s="469">
        <v>15158</v>
      </c>
      <c r="K158" s="469">
        <v>15552</v>
      </c>
      <c r="L158" s="469">
        <f t="shared" si="34"/>
        <v>15879</v>
      </c>
      <c r="M158" s="469">
        <f t="shared" si="34"/>
        <v>16244</v>
      </c>
      <c r="N158" s="469">
        <f t="shared" si="34"/>
        <v>16618</v>
      </c>
      <c r="O158" s="469">
        <f t="shared" si="34"/>
        <v>17000</v>
      </c>
    </row>
    <row r="159" spans="4:15" ht="12.75" customHeight="1" x14ac:dyDescent="0.25">
      <c r="D159" s="516"/>
      <c r="E159" s="166" t="s">
        <v>3366</v>
      </c>
      <c r="F159" s="453"/>
      <c r="I159" s="469"/>
      <c r="J159" s="469">
        <v>1958</v>
      </c>
      <c r="K159" s="469">
        <v>2009</v>
      </c>
      <c r="L159" s="469">
        <f t="shared" si="34"/>
        <v>2051</v>
      </c>
      <c r="M159" s="469">
        <f t="shared" si="34"/>
        <v>2098</v>
      </c>
      <c r="N159" s="469">
        <f t="shared" si="34"/>
        <v>2146</v>
      </c>
      <c r="O159" s="469">
        <f t="shared" si="34"/>
        <v>2195</v>
      </c>
    </row>
    <row r="160" spans="4:15" ht="12.75" customHeight="1" x14ac:dyDescent="0.25">
      <c r="D160" s="516"/>
      <c r="E160" s="166" t="s">
        <v>3367</v>
      </c>
      <c r="F160" s="453"/>
      <c r="I160" s="469"/>
      <c r="J160" s="469">
        <v>9210</v>
      </c>
      <c r="K160" s="469">
        <v>9449</v>
      </c>
      <c r="L160" s="469">
        <f t="shared" si="34"/>
        <v>9647</v>
      </c>
      <c r="M160" s="469">
        <f t="shared" si="34"/>
        <v>9869</v>
      </c>
      <c r="N160" s="469">
        <f t="shared" si="34"/>
        <v>10096</v>
      </c>
      <c r="O160" s="469">
        <f t="shared" si="34"/>
        <v>10328</v>
      </c>
    </row>
    <row r="161" spans="4:15" ht="12.75" customHeight="1" x14ac:dyDescent="0.25">
      <c r="D161" s="516"/>
      <c r="E161" s="453" t="s">
        <v>3368</v>
      </c>
      <c r="F161" s="453"/>
      <c r="I161" s="469"/>
      <c r="J161" s="469">
        <v>-17762</v>
      </c>
      <c r="K161" s="469">
        <v>-18224</v>
      </c>
      <c r="L161" s="469">
        <f t="shared" si="34"/>
        <v>-18607</v>
      </c>
      <c r="M161" s="469">
        <f t="shared" si="34"/>
        <v>-19035</v>
      </c>
      <c r="N161" s="469">
        <f t="shared" si="34"/>
        <v>-19473</v>
      </c>
      <c r="O161" s="469">
        <f t="shared" si="34"/>
        <v>-19921</v>
      </c>
    </row>
    <row r="162" spans="4:15" ht="12.75" customHeight="1" x14ac:dyDescent="0.25">
      <c r="D162" s="516"/>
      <c r="E162" s="453"/>
      <c r="F162" s="453"/>
      <c r="I162" s="469"/>
      <c r="J162" s="469"/>
      <c r="K162" s="469"/>
      <c r="L162" s="469"/>
      <c r="M162" s="469"/>
      <c r="N162" s="469"/>
      <c r="O162" s="469"/>
    </row>
    <row r="163" spans="4:15" ht="12.75" customHeight="1" thickBot="1" x14ac:dyDescent="0.3">
      <c r="D163" s="769"/>
      <c r="E163" s="1134" t="str">
        <f>"Totaal "&amp;D156</f>
        <v>Totaal 43812</v>
      </c>
      <c r="F163" s="492"/>
      <c r="I163" s="548"/>
      <c r="J163" s="1893">
        <v>77240</v>
      </c>
      <c r="K163" s="1893">
        <v>79247</v>
      </c>
      <c r="L163" s="1893">
        <f>SUM(L156:L161)</f>
        <v>80910</v>
      </c>
      <c r="M163" s="1893">
        <f>SUM(M156:M161)</f>
        <v>82770</v>
      </c>
      <c r="N163" s="1893">
        <f>SUM(N156:N161)</f>
        <v>84673</v>
      </c>
      <c r="O163" s="1893">
        <f>SUM(O156:O161)</f>
        <v>86618</v>
      </c>
    </row>
    <row r="164" spans="4:15" ht="12.75" customHeight="1" thickTop="1" x14ac:dyDescent="0.25">
      <c r="D164" s="769"/>
      <c r="E164" s="769"/>
      <c r="F164" s="769"/>
      <c r="G164" s="527"/>
      <c r="I164" s="469"/>
      <c r="J164" s="469"/>
      <c r="K164" s="469"/>
      <c r="L164" s="469"/>
      <c r="M164" s="469"/>
      <c r="N164" s="469"/>
      <c r="O164" s="469"/>
    </row>
    <row r="165" spans="4:15" ht="12.75" customHeight="1" x14ac:dyDescent="0.25">
      <c r="D165" s="771">
        <v>628007</v>
      </c>
      <c r="E165" s="772" t="s">
        <v>3369</v>
      </c>
      <c r="F165" s="752"/>
    </row>
    <row r="166" spans="4:15" ht="12.75" customHeight="1" x14ac:dyDescent="0.25">
      <c r="D166" s="771"/>
      <c r="E166" s="781" t="s">
        <v>533</v>
      </c>
      <c r="F166" s="752"/>
      <c r="J166" s="158"/>
      <c r="K166" s="158"/>
      <c r="L166" s="158"/>
      <c r="M166" s="158"/>
      <c r="N166" s="158"/>
      <c r="O166" s="158"/>
    </row>
    <row r="167" spans="4:15" ht="12.75" customHeight="1" x14ac:dyDescent="0.25">
      <c r="D167" s="516">
        <v>43410</v>
      </c>
      <c r="E167" s="787" t="s">
        <v>3370</v>
      </c>
      <c r="J167" s="469">
        <v>605000</v>
      </c>
      <c r="K167" s="469">
        <v>633000</v>
      </c>
      <c r="L167" s="469">
        <f>ROUND(K167*T$3,-3)</f>
        <v>660000</v>
      </c>
      <c r="M167" s="469">
        <f>ROUND(L167*U$3,-3)</f>
        <v>684000</v>
      </c>
      <c r="N167" s="469">
        <f>ROUND(M167*V$3,-3)</f>
        <v>709000</v>
      </c>
      <c r="O167" s="469">
        <f>ROUND(N167*W$3,-3)</f>
        <v>735000</v>
      </c>
    </row>
    <row r="168" spans="4:15" ht="12.75" customHeight="1" x14ac:dyDescent="0.25">
      <c r="D168" s="516"/>
      <c r="E168" s="1137" t="s">
        <v>3371</v>
      </c>
      <c r="J168" s="469"/>
      <c r="K168" s="469">
        <v>20000</v>
      </c>
      <c r="L168" s="469">
        <f>ROUND(K168*T$3,-2)</f>
        <v>20800</v>
      </c>
      <c r="M168" s="469"/>
      <c r="N168" s="469"/>
      <c r="O168" s="469"/>
    </row>
    <row r="169" spans="4:15" ht="12.75" customHeight="1" x14ac:dyDescent="0.25">
      <c r="D169" s="516"/>
      <c r="E169" s="1137" t="s">
        <v>3372</v>
      </c>
      <c r="J169" s="469"/>
      <c r="K169" s="469">
        <v>30000</v>
      </c>
      <c r="L169" s="469">
        <f>ROUND(K169*T$3,-2)</f>
        <v>31300</v>
      </c>
      <c r="M169" s="469">
        <f>ROUND(L169*U$3,-2)</f>
        <v>32500</v>
      </c>
      <c r="N169" s="469">
        <f>ROUND(M169*V$3,-2)</f>
        <v>33700</v>
      </c>
      <c r="O169" s="469">
        <f>ROUND(N169*W$3,-2)</f>
        <v>34900</v>
      </c>
    </row>
    <row r="170" spans="4:15" ht="12.75" customHeight="1" thickBot="1" x14ac:dyDescent="0.3">
      <c r="D170" s="516"/>
      <c r="E170" s="1134" t="str">
        <f>"Totaal "&amp;D167</f>
        <v>Totaal 43410</v>
      </c>
      <c r="H170" s="787"/>
      <c r="J170" s="1888">
        <v>605000</v>
      </c>
      <c r="K170" s="1888">
        <v>683000</v>
      </c>
      <c r="L170" s="1888">
        <f t="shared" ref="L170:N170" si="35">SUM(L167:L169)</f>
        <v>712100</v>
      </c>
      <c r="M170" s="1888">
        <f t="shared" si="35"/>
        <v>716500</v>
      </c>
      <c r="N170" s="1888">
        <f t="shared" si="35"/>
        <v>742700</v>
      </c>
      <c r="O170" s="1888">
        <f t="shared" ref="O170" si="36">SUM(O167:O169)</f>
        <v>769900</v>
      </c>
    </row>
    <row r="171" spans="4:15" ht="12.75" customHeight="1" thickTop="1" x14ac:dyDescent="0.25">
      <c r="D171" s="516"/>
      <c r="E171" s="1134"/>
    </row>
    <row r="172" spans="4:15" ht="12.75" customHeight="1" x14ac:dyDescent="0.25">
      <c r="D172" s="771">
        <v>628901</v>
      </c>
      <c r="E172" s="747" t="s">
        <v>3373</v>
      </c>
      <c r="F172" s="752"/>
      <c r="I172" s="469"/>
      <c r="J172" s="469"/>
      <c r="K172" s="469"/>
      <c r="L172" s="469"/>
      <c r="M172" s="469"/>
      <c r="N172" s="469"/>
      <c r="O172" s="469"/>
    </row>
    <row r="173" spans="4:15" ht="12.75" customHeight="1" x14ac:dyDescent="0.25">
      <c r="D173" s="769">
        <v>41100</v>
      </c>
      <c r="E173" s="453" t="s">
        <v>541</v>
      </c>
      <c r="F173" s="769"/>
      <c r="I173" s="469"/>
    </row>
    <row r="174" spans="4:15" ht="12.75" customHeight="1" x14ac:dyDescent="0.25">
      <c r="D174" s="769"/>
      <c r="E174" s="787" t="s">
        <v>3374</v>
      </c>
      <c r="F174" s="769"/>
      <c r="I174" s="469"/>
      <c r="J174" s="469">
        <v>0</v>
      </c>
      <c r="K174" s="469">
        <v>0</v>
      </c>
      <c r="L174" s="469">
        <f t="shared" ref="L174:O175" si="37">ROUND(K174*T$3,0)</f>
        <v>0</v>
      </c>
      <c r="M174" s="469">
        <f t="shared" si="37"/>
        <v>0</v>
      </c>
      <c r="N174" s="469">
        <f t="shared" si="37"/>
        <v>0</v>
      </c>
      <c r="O174" s="469">
        <f t="shared" si="37"/>
        <v>0</v>
      </c>
    </row>
    <row r="175" spans="4:15" ht="12.75" customHeight="1" x14ac:dyDescent="0.25">
      <c r="D175" s="769"/>
      <c r="E175" s="787" t="s">
        <v>2760</v>
      </c>
      <c r="F175" s="769"/>
      <c r="I175" s="469"/>
      <c r="J175" s="469">
        <v>202265.49</v>
      </c>
      <c r="K175" s="469">
        <v>208665.55</v>
      </c>
      <c r="L175" s="469">
        <f t="shared" si="37"/>
        <v>217430</v>
      </c>
      <c r="M175" s="469">
        <f t="shared" si="37"/>
        <v>225475</v>
      </c>
      <c r="N175" s="469">
        <f t="shared" si="37"/>
        <v>233818</v>
      </c>
      <c r="O175" s="469">
        <f t="shared" si="37"/>
        <v>242469</v>
      </c>
    </row>
    <row r="176" spans="4:15" ht="12.75" customHeight="1" thickBot="1" x14ac:dyDescent="0.3">
      <c r="D176" s="769"/>
      <c r="E176" s="453" t="str">
        <f>"Totaal "&amp;D173</f>
        <v>Totaal 41100</v>
      </c>
      <c r="F176" s="769"/>
      <c r="I176" s="469"/>
      <c r="J176" s="1888">
        <v>202265.49</v>
      </c>
      <c r="K176" s="1888">
        <v>208665.55</v>
      </c>
      <c r="L176" s="1888">
        <f t="shared" ref="L176:M176" si="38">+SUM(L174+L175)</f>
        <v>217430</v>
      </c>
      <c r="M176" s="1888">
        <f t="shared" si="38"/>
        <v>225475</v>
      </c>
      <c r="N176" s="1888">
        <f t="shared" ref="N176:O176" si="39">+SUM(N174+N175)</f>
        <v>233818</v>
      </c>
      <c r="O176" s="1888">
        <f t="shared" si="39"/>
        <v>242469</v>
      </c>
    </row>
    <row r="177" spans="4:15" ht="12.75" customHeight="1" thickTop="1" x14ac:dyDescent="0.25">
      <c r="D177" s="769"/>
      <c r="E177" s="747"/>
      <c r="F177" s="769"/>
      <c r="I177" s="469"/>
      <c r="J177" s="469"/>
      <c r="K177" s="469"/>
      <c r="L177" s="469"/>
      <c r="M177" s="469"/>
      <c r="N177" s="469"/>
      <c r="O177" s="469"/>
    </row>
    <row r="178" spans="4:15" ht="12.75" customHeight="1" x14ac:dyDescent="0.25">
      <c r="D178" s="771">
        <v>628901</v>
      </c>
      <c r="E178" s="747" t="s">
        <v>3375</v>
      </c>
      <c r="F178" s="752"/>
    </row>
    <row r="179" spans="4:15" ht="12.75" customHeight="1" x14ac:dyDescent="0.25">
      <c r="D179" s="516">
        <v>41100</v>
      </c>
      <c r="E179" s="453" t="s">
        <v>541</v>
      </c>
    </row>
    <row r="180" spans="4:15" ht="12.75" customHeight="1" x14ac:dyDescent="0.25">
      <c r="D180" s="516"/>
      <c r="E180" s="787" t="s">
        <v>706</v>
      </c>
      <c r="J180" s="469">
        <v>0</v>
      </c>
      <c r="K180" s="469">
        <v>0</v>
      </c>
      <c r="L180" s="469">
        <f t="shared" ref="L180:O181" si="40">ROUND(K180*T$3,0)</f>
        <v>0</v>
      </c>
      <c r="M180" s="469">
        <f t="shared" si="40"/>
        <v>0</v>
      </c>
      <c r="N180" s="469">
        <f t="shared" si="40"/>
        <v>0</v>
      </c>
      <c r="O180" s="469">
        <f t="shared" si="40"/>
        <v>0</v>
      </c>
    </row>
    <row r="181" spans="4:15" ht="12.75" customHeight="1" x14ac:dyDescent="0.25">
      <c r="D181" s="516"/>
      <c r="E181" s="787" t="s">
        <v>3261</v>
      </c>
      <c r="J181" s="469">
        <v>78228.95</v>
      </c>
      <c r="K181" s="469">
        <v>94617.68</v>
      </c>
      <c r="L181" s="469">
        <f t="shared" si="40"/>
        <v>98592</v>
      </c>
      <c r="M181" s="469">
        <f t="shared" si="40"/>
        <v>102240</v>
      </c>
      <c r="N181" s="469">
        <f t="shared" si="40"/>
        <v>106023</v>
      </c>
      <c r="O181" s="469">
        <f t="shared" si="40"/>
        <v>109946</v>
      </c>
    </row>
    <row r="182" spans="4:15" ht="12.75" customHeight="1" thickBot="1" x14ac:dyDescent="0.3">
      <c r="D182" s="769"/>
      <c r="E182" s="453" t="str">
        <f>"Totaal "&amp;D179</f>
        <v>Totaal 41100</v>
      </c>
      <c r="F182" s="769"/>
      <c r="J182" s="1888">
        <v>78228.95</v>
      </c>
      <c r="K182" s="1888">
        <v>94617.68</v>
      </c>
      <c r="L182" s="1888">
        <f t="shared" ref="L182:M182" si="41">SUM(L179:L181)</f>
        <v>98592</v>
      </c>
      <c r="M182" s="1888">
        <f t="shared" si="41"/>
        <v>102240</v>
      </c>
      <c r="N182" s="1888">
        <f t="shared" ref="N182:O182" si="42">SUM(N179:N181)</f>
        <v>106023</v>
      </c>
      <c r="O182" s="1888">
        <f t="shared" si="42"/>
        <v>109946</v>
      </c>
    </row>
    <row r="183" spans="4:15" ht="12.75" customHeight="1" thickTop="1" x14ac:dyDescent="0.25">
      <c r="D183" s="769"/>
      <c r="E183" s="453"/>
      <c r="F183" s="769"/>
      <c r="J183" s="469"/>
      <c r="K183" s="469"/>
      <c r="L183" s="469"/>
      <c r="M183" s="469"/>
      <c r="N183" s="469"/>
      <c r="O183" s="469"/>
    </row>
    <row r="184" spans="4:15" ht="12.75" customHeight="1" x14ac:dyDescent="0.25">
      <c r="D184" s="771">
        <v>628002</v>
      </c>
      <c r="E184" s="772" t="s">
        <v>3339</v>
      </c>
      <c r="F184" s="752"/>
      <c r="H184" s="747"/>
    </row>
    <row r="185" spans="4:15" ht="12.75" customHeight="1" x14ac:dyDescent="0.25">
      <c r="D185" s="771"/>
      <c r="E185" s="781" t="s">
        <v>554</v>
      </c>
      <c r="F185" s="752"/>
      <c r="H185" s="747"/>
    </row>
    <row r="186" spans="4:15" ht="12.75" customHeight="1" x14ac:dyDescent="0.25">
      <c r="D186" s="516">
        <v>84320</v>
      </c>
      <c r="E186" s="453" t="s">
        <v>3376</v>
      </c>
    </row>
    <row r="187" spans="4:15" ht="12.75" customHeight="1" x14ac:dyDescent="0.25">
      <c r="D187" s="516"/>
      <c r="E187" s="453" t="s">
        <v>3377</v>
      </c>
    </row>
    <row r="188" spans="4:15" ht="12.75" customHeight="1" x14ac:dyDescent="0.25">
      <c r="G188" s="1138"/>
      <c r="H188" s="1138"/>
      <c r="I188" s="1138"/>
      <c r="J188" s="1138"/>
      <c r="K188" s="1138"/>
      <c r="L188" s="1138"/>
      <c r="M188" s="1138"/>
      <c r="N188" s="1138"/>
      <c r="O188" s="1138"/>
    </row>
    <row r="189" spans="4:15" ht="12.75" customHeight="1" x14ac:dyDescent="0.25">
      <c r="D189" s="771">
        <v>628003</v>
      </c>
      <c r="E189" s="747" t="s">
        <v>3347</v>
      </c>
      <c r="F189" s="752"/>
      <c r="I189" s="1138"/>
      <c r="J189" s="1138"/>
      <c r="K189" s="1138"/>
      <c r="L189" s="1138"/>
      <c r="M189" s="1138"/>
      <c r="N189" s="1138"/>
      <c r="O189" s="1138"/>
    </row>
    <row r="190" spans="4:15" ht="12.75" customHeight="1" x14ac:dyDescent="0.25">
      <c r="D190" s="771"/>
      <c r="E190" s="781" t="s">
        <v>554</v>
      </c>
      <c r="F190" s="752"/>
      <c r="I190" s="1138"/>
      <c r="J190" s="158"/>
      <c r="K190" s="158"/>
      <c r="L190" s="158"/>
      <c r="M190" s="158"/>
      <c r="N190" s="158"/>
      <c r="O190" s="158"/>
    </row>
    <row r="191" spans="4:15" ht="12.75" customHeight="1" x14ac:dyDescent="0.25">
      <c r="D191" s="516">
        <v>84310</v>
      </c>
      <c r="E191" s="778" t="s">
        <v>3378</v>
      </c>
      <c r="H191" s="778"/>
      <c r="I191" s="1138"/>
      <c r="J191" s="469">
        <v>-400000</v>
      </c>
      <c r="K191" s="469">
        <v>-400000</v>
      </c>
      <c r="L191" s="469">
        <f>K191</f>
        <v>-400000</v>
      </c>
      <c r="M191" s="469">
        <f>L191</f>
        <v>-400000</v>
      </c>
      <c r="N191" s="469">
        <f>M191</f>
        <v>-400000</v>
      </c>
      <c r="O191" s="469">
        <f>N191</f>
        <v>-400000</v>
      </c>
    </row>
    <row r="192" spans="4:15" ht="12.75" customHeight="1" x14ac:dyDescent="0.25">
      <c r="D192" s="516"/>
      <c r="E192" s="2180" t="s">
        <v>5330</v>
      </c>
      <c r="F192" s="2160"/>
      <c r="G192" s="2162"/>
      <c r="H192" s="2165"/>
      <c r="I192" s="2206"/>
      <c r="J192" s="2207" t="s">
        <v>923</v>
      </c>
      <c r="K192" s="2166">
        <v>-25060</v>
      </c>
      <c r="L192" s="2166"/>
      <c r="M192" s="2166"/>
      <c r="N192" s="2166"/>
      <c r="O192" s="2166"/>
    </row>
    <row r="193" spans="4:15" ht="12.75" customHeight="1" thickBot="1" x14ac:dyDescent="0.3">
      <c r="E193" s="747" t="str">
        <f>"Totaal "&amp;D191</f>
        <v>Totaal 84310</v>
      </c>
      <c r="I193" s="1138"/>
      <c r="J193" s="1888">
        <f>SUM(J191:J192)</f>
        <v>-400000</v>
      </c>
      <c r="K193" s="1888">
        <f t="shared" ref="K193:O193" si="43">SUM(K191:K192)</f>
        <v>-425060</v>
      </c>
      <c r="L193" s="1888">
        <f t="shared" si="43"/>
        <v>-400000</v>
      </c>
      <c r="M193" s="1888">
        <f t="shared" si="43"/>
        <v>-400000</v>
      </c>
      <c r="N193" s="1888">
        <f t="shared" si="43"/>
        <v>-400000</v>
      </c>
      <c r="O193" s="1888">
        <f t="shared" si="43"/>
        <v>-400000</v>
      </c>
    </row>
    <row r="194" spans="4:15" ht="12.75" customHeight="1" thickTop="1" x14ac:dyDescent="0.25">
      <c r="E194" s="778"/>
      <c r="I194" s="1138"/>
      <c r="J194" s="1138"/>
      <c r="K194" s="1138"/>
      <c r="L194" s="1138"/>
      <c r="M194" s="1138"/>
      <c r="N194" s="1138"/>
      <c r="O194" s="1138"/>
    </row>
    <row r="195" spans="4:15" ht="12.75" customHeight="1" x14ac:dyDescent="0.25">
      <c r="D195" s="1061">
        <v>628007</v>
      </c>
      <c r="E195" s="747" t="s">
        <v>3369</v>
      </c>
      <c r="F195" s="1062"/>
      <c r="I195" s="469"/>
      <c r="J195" s="469"/>
      <c r="K195" s="469"/>
      <c r="L195" s="469"/>
      <c r="M195" s="469"/>
      <c r="N195" s="469"/>
      <c r="O195" s="469"/>
    </row>
    <row r="196" spans="4:15" ht="12.75" customHeight="1" x14ac:dyDescent="0.25">
      <c r="D196" s="1061"/>
      <c r="E196" s="527" t="s">
        <v>554</v>
      </c>
      <c r="F196" s="1062"/>
      <c r="I196" s="469"/>
      <c r="J196" s="469"/>
      <c r="K196" s="469"/>
      <c r="L196" s="469"/>
      <c r="M196" s="469"/>
      <c r="N196" s="469"/>
      <c r="O196" s="469"/>
    </row>
    <row r="197" spans="4:15" ht="12.75" customHeight="1" x14ac:dyDescent="0.25">
      <c r="D197" s="516">
        <v>83420</v>
      </c>
      <c r="E197" s="2579" t="s">
        <v>3379</v>
      </c>
      <c r="F197" s="2579"/>
      <c r="G197" s="2579"/>
      <c r="H197" s="2579"/>
      <c r="I197" s="2579"/>
      <c r="J197" s="2579"/>
      <c r="K197" s="2579"/>
      <c r="L197" s="2579"/>
      <c r="M197" s="2579"/>
      <c r="N197" s="785"/>
      <c r="O197" s="785"/>
    </row>
    <row r="198" spans="4:15" ht="12.75" customHeight="1" x14ac:dyDescent="0.25">
      <c r="D198" s="769"/>
      <c r="E198" s="2579"/>
      <c r="F198" s="2579"/>
      <c r="G198" s="2579"/>
      <c r="H198" s="2579"/>
      <c r="I198" s="2579"/>
      <c r="J198" s="2579"/>
      <c r="K198" s="2579"/>
      <c r="L198" s="2579"/>
      <c r="M198" s="2579"/>
      <c r="N198" s="785"/>
      <c r="O198" s="785"/>
    </row>
    <row r="199" spans="4:15" ht="12.75" customHeight="1" x14ac:dyDescent="0.25">
      <c r="D199" s="769"/>
      <c r="E199" s="2579"/>
      <c r="F199" s="2579"/>
      <c r="G199" s="2579"/>
      <c r="H199" s="2579"/>
      <c r="I199" s="2579"/>
      <c r="J199" s="2579"/>
      <c r="K199" s="2579"/>
      <c r="L199" s="2579"/>
      <c r="M199" s="2579"/>
      <c r="N199" s="785"/>
      <c r="O199" s="785"/>
    </row>
    <row r="200" spans="4:15" ht="12.75" customHeight="1" x14ac:dyDescent="0.25">
      <c r="D200" s="769"/>
      <c r="E200" s="769"/>
      <c r="F200" s="769"/>
      <c r="J200" s="773">
        <v>2025</v>
      </c>
      <c r="K200" s="773">
        <v>2026</v>
      </c>
      <c r="L200" s="773">
        <v>2027</v>
      </c>
      <c r="M200" s="773">
        <v>2028</v>
      </c>
      <c r="N200" s="773">
        <v>2029</v>
      </c>
      <c r="O200" s="773">
        <v>2030</v>
      </c>
    </row>
    <row r="201" spans="4:15" ht="12.75" customHeight="1" x14ac:dyDescent="0.25">
      <c r="D201" s="769"/>
      <c r="E201" s="769"/>
      <c r="F201" s="769"/>
      <c r="J201" s="1139"/>
      <c r="K201" s="1139"/>
      <c r="L201" s="1139"/>
      <c r="M201" s="1139"/>
      <c r="N201" s="1139"/>
      <c r="O201" s="1139"/>
    </row>
    <row r="202" spans="4:15" ht="12.75" customHeight="1" x14ac:dyDescent="0.25">
      <c r="G202" s="1122">
        <v>19</v>
      </c>
      <c r="H202" s="453" t="s">
        <v>3380</v>
      </c>
      <c r="J202" s="469">
        <v>11680</v>
      </c>
      <c r="K202" s="469">
        <v>11980</v>
      </c>
      <c r="L202" s="469">
        <f>ROUND(K202*T$2,-1)</f>
        <v>12230</v>
      </c>
      <c r="M202" s="469">
        <f>ROUND(L202*U$2,-1)</f>
        <v>12510</v>
      </c>
      <c r="N202" s="469">
        <f>ROUND(M202*V$2,-1)</f>
        <v>12800</v>
      </c>
      <c r="O202" s="469">
        <f>ROUND(N202*W$2,-1)</f>
        <v>13090</v>
      </c>
    </row>
    <row r="203" spans="4:15" ht="12.75" customHeight="1" thickBot="1" x14ac:dyDescent="0.3">
      <c r="G203" s="453" t="str">
        <f>"Totaal "&amp;D197</f>
        <v>Totaal 83420</v>
      </c>
      <c r="J203" s="1888">
        <v>11680</v>
      </c>
      <c r="K203" s="1888">
        <v>11980</v>
      </c>
      <c r="L203" s="1888">
        <f>SUM(L202:L202)</f>
        <v>12230</v>
      </c>
      <c r="M203" s="1888">
        <f>SUM(M202:M202)</f>
        <v>12510</v>
      </c>
      <c r="N203" s="1888">
        <f>SUM(N202:N202)</f>
        <v>12800</v>
      </c>
      <c r="O203" s="1888">
        <f>SUM(O202:O202)</f>
        <v>13090</v>
      </c>
    </row>
    <row r="204" spans="4:15" ht="12.75" customHeight="1" thickTop="1" x14ac:dyDescent="0.25">
      <c r="G204" s="778"/>
      <c r="I204" s="1138"/>
      <c r="J204" s="1138"/>
      <c r="K204" s="1138"/>
      <c r="L204" s="1138"/>
      <c r="M204" s="1138"/>
      <c r="N204" s="1138"/>
      <c r="O204" s="1138"/>
    </row>
    <row r="205" spans="4:15" ht="12.75" customHeight="1" x14ac:dyDescent="0.25">
      <c r="G205" s="778"/>
      <c r="I205" s="1138"/>
      <c r="J205" s="1138"/>
      <c r="K205" s="1138"/>
      <c r="L205" s="1138"/>
      <c r="M205" s="1138"/>
      <c r="N205" s="1138"/>
      <c r="O205" s="1138"/>
    </row>
    <row r="206" spans="4:15" ht="12.75" customHeight="1" x14ac:dyDescent="0.25">
      <c r="G206" s="778"/>
      <c r="I206" s="1138"/>
      <c r="J206" s="1138"/>
      <c r="K206" s="1138"/>
      <c r="L206" s="1138"/>
      <c r="M206" s="1138"/>
      <c r="N206" s="1138"/>
      <c r="O206" s="1138"/>
    </row>
    <row r="207" spans="4:15" ht="12.75" customHeight="1" x14ac:dyDescent="0.25">
      <c r="G207" s="778"/>
      <c r="I207" s="1138"/>
      <c r="J207" s="1138"/>
      <c r="K207" s="1138"/>
      <c r="L207" s="1138"/>
      <c r="M207" s="1138"/>
      <c r="N207" s="1138"/>
      <c r="O207" s="1138"/>
    </row>
    <row r="208" spans="4:15" ht="12.75" customHeight="1" x14ac:dyDescent="0.25">
      <c r="G208" s="778"/>
      <c r="I208" s="1138"/>
      <c r="J208" s="1138"/>
      <c r="K208" s="1138"/>
      <c r="L208" s="1138"/>
      <c r="M208" s="1138"/>
      <c r="N208" s="1138"/>
      <c r="O208" s="1138"/>
    </row>
    <row r="209" spans="4:19" ht="12.75" customHeight="1" x14ac:dyDescent="0.25">
      <c r="G209" s="778"/>
      <c r="I209" s="1138"/>
      <c r="J209" s="1138"/>
      <c r="K209" s="1138"/>
      <c r="L209" s="1138"/>
      <c r="M209" s="1138"/>
      <c r="N209" s="1138"/>
      <c r="O209" s="1138"/>
    </row>
    <row r="210" spans="4:19" ht="12.75" customHeight="1" x14ac:dyDescent="0.25">
      <c r="G210" s="778"/>
      <c r="I210" s="1138"/>
      <c r="J210" s="1138"/>
      <c r="K210" s="1138"/>
      <c r="L210" s="1138"/>
      <c r="M210" s="1138"/>
      <c r="N210" s="1138"/>
      <c r="O210" s="1138"/>
    </row>
    <row r="211" spans="4:19" ht="12.75" customHeight="1" x14ac:dyDescent="0.25">
      <c r="G211" s="778"/>
      <c r="I211" s="1138"/>
      <c r="J211" s="1138"/>
      <c r="K211" s="1138"/>
      <c r="L211" s="1138"/>
      <c r="M211" s="1138"/>
      <c r="N211" s="1138"/>
      <c r="O211" s="1138"/>
    </row>
    <row r="212" spans="4:19" ht="12.75" customHeight="1" x14ac:dyDescent="0.25">
      <c r="G212" s="778"/>
      <c r="I212" s="1138"/>
      <c r="J212" s="1138"/>
      <c r="K212" s="1138"/>
      <c r="L212" s="1138"/>
      <c r="M212" s="1138"/>
      <c r="N212" s="1138"/>
      <c r="O212" s="1138"/>
    </row>
    <row r="213" spans="4:19" ht="12.75" customHeight="1" x14ac:dyDescent="0.25">
      <c r="G213" s="778"/>
      <c r="I213" s="1138"/>
      <c r="J213" s="1138"/>
      <c r="K213" s="1138"/>
      <c r="L213" s="1138"/>
      <c r="M213" s="1138"/>
      <c r="N213" s="1138"/>
      <c r="O213" s="1138"/>
    </row>
    <row r="214" spans="4:19" ht="12.75" customHeight="1" x14ac:dyDescent="0.25">
      <c r="G214" s="778"/>
      <c r="I214" s="1138"/>
      <c r="J214" s="1138"/>
      <c r="K214" s="1138"/>
      <c r="L214" s="1138"/>
      <c r="M214" s="1138"/>
      <c r="N214" s="1138"/>
      <c r="O214" s="1138"/>
    </row>
    <row r="215" spans="4:19" ht="12.75" customHeight="1" x14ac:dyDescent="0.25">
      <c r="G215" s="778"/>
      <c r="I215" s="1138"/>
      <c r="J215" s="1138"/>
      <c r="K215" s="1138"/>
      <c r="L215" s="1138"/>
      <c r="M215" s="1138"/>
      <c r="N215" s="1138"/>
      <c r="O215" s="1138"/>
    </row>
    <row r="216" spans="4:19" ht="12.75" customHeight="1" x14ac:dyDescent="0.25">
      <c r="G216" s="778"/>
      <c r="I216" s="1138"/>
      <c r="J216" s="1138"/>
      <c r="K216" s="1138"/>
      <c r="L216" s="1138"/>
      <c r="M216" s="1138"/>
      <c r="N216" s="1138"/>
      <c r="O216" s="1138"/>
    </row>
    <row r="217" spans="4:19" ht="12.75" customHeight="1" x14ac:dyDescent="0.25">
      <c r="G217" s="778"/>
      <c r="I217" s="1138"/>
      <c r="J217" s="1138"/>
      <c r="K217" s="1138"/>
      <c r="L217" s="1138"/>
      <c r="M217" s="1138"/>
      <c r="N217" s="1138"/>
      <c r="O217" s="1138"/>
    </row>
    <row r="218" spans="4:19" ht="12.75" customHeight="1" x14ac:dyDescent="0.25">
      <c r="G218" s="778"/>
      <c r="I218" s="1138"/>
      <c r="J218" s="1138"/>
      <c r="K218" s="1138"/>
      <c r="L218" s="1138"/>
      <c r="M218" s="1138"/>
      <c r="N218" s="1138"/>
      <c r="O218" s="1138"/>
    </row>
    <row r="219" spans="4:19" ht="12.75" customHeight="1" x14ac:dyDescent="0.25">
      <c r="G219" s="778"/>
      <c r="I219" s="1138"/>
      <c r="J219" s="1138"/>
      <c r="K219" s="1138"/>
      <c r="L219" s="1138"/>
      <c r="M219" s="1138"/>
      <c r="N219" s="1138"/>
      <c r="O219" s="1138"/>
    </row>
    <row r="220" spans="4:19" ht="12.75" customHeight="1" x14ac:dyDescent="0.25">
      <c r="G220" s="778"/>
      <c r="I220" s="1138"/>
      <c r="J220" s="1138"/>
      <c r="K220" s="1138"/>
      <c r="L220" s="1138"/>
      <c r="M220" s="1138"/>
      <c r="N220" s="1138"/>
      <c r="O220" s="1138"/>
    </row>
    <row r="221" spans="4:19" ht="12.75" customHeight="1" x14ac:dyDescent="0.25">
      <c r="G221" s="778"/>
      <c r="I221" s="1138"/>
      <c r="J221" s="1138"/>
      <c r="K221" s="1138"/>
      <c r="L221" s="1138"/>
      <c r="M221" s="1138"/>
      <c r="N221" s="1138"/>
      <c r="O221" s="1138"/>
    </row>
    <row r="222" spans="4:19" ht="12.75" customHeight="1" x14ac:dyDescent="0.25">
      <c r="I222" s="1138"/>
      <c r="J222" s="1138"/>
      <c r="K222" s="1138"/>
      <c r="L222" s="1138"/>
      <c r="M222" s="1138"/>
      <c r="N222" s="1138"/>
      <c r="O222" s="1138"/>
    </row>
    <row r="223" spans="4:19" ht="12.75" customHeight="1" thickBot="1" x14ac:dyDescent="0.3">
      <c r="I223" s="1138"/>
      <c r="J223" s="1138"/>
      <c r="K223" s="1138"/>
      <c r="L223" s="1138"/>
      <c r="M223" s="1138"/>
      <c r="N223" s="1138"/>
      <c r="O223" s="1138"/>
    </row>
    <row r="224" spans="4:19" ht="12.75" customHeight="1" x14ac:dyDescent="0.25">
      <c r="D224" s="1140">
        <v>628005</v>
      </c>
      <c r="E224" s="1141"/>
      <c r="F224" s="1141"/>
      <c r="G224" s="1142" t="s">
        <v>3342</v>
      </c>
      <c r="H224" s="1143"/>
      <c r="I224" s="1144"/>
      <c r="J224" s="1144"/>
      <c r="K224" s="1144"/>
      <c r="L224" s="1144"/>
      <c r="M224" s="1144"/>
      <c r="N224" s="1144"/>
      <c r="O224" s="1144"/>
      <c r="P224" s="1142" t="s">
        <v>3381</v>
      </c>
      <c r="Q224" s="1143"/>
      <c r="R224" s="1143"/>
      <c r="S224" s="1145"/>
    </row>
    <row r="225" spans="4:19" ht="12.75" customHeight="1" x14ac:dyDescent="0.25">
      <c r="D225" s="1146"/>
      <c r="G225" s="453" t="s">
        <v>3382</v>
      </c>
      <c r="S225" s="1147"/>
    </row>
    <row r="226" spans="4:19" ht="12.75" customHeight="1" x14ac:dyDescent="0.25">
      <c r="D226" s="1146"/>
      <c r="G226" s="453" t="s">
        <v>3383</v>
      </c>
      <c r="S226" s="1147"/>
    </row>
    <row r="227" spans="4:19" ht="12.75" customHeight="1" x14ac:dyDescent="0.25">
      <c r="D227" s="1146"/>
      <c r="G227" s="453" t="s">
        <v>3384</v>
      </c>
      <c r="S227" s="1147"/>
    </row>
    <row r="228" spans="4:19" ht="12.75" customHeight="1" x14ac:dyDescent="0.25">
      <c r="D228" s="1146"/>
      <c r="G228" s="453" t="s">
        <v>3385</v>
      </c>
      <c r="S228" s="1147"/>
    </row>
    <row r="229" spans="4:19" ht="12.75" customHeight="1" x14ac:dyDescent="0.25">
      <c r="D229" s="1146"/>
      <c r="G229" s="453" t="s">
        <v>3386</v>
      </c>
      <c r="S229" s="1147"/>
    </row>
    <row r="230" spans="4:19" ht="12.75" customHeight="1" x14ac:dyDescent="0.25">
      <c r="D230" s="1146"/>
      <c r="G230" s="451" t="s">
        <v>3387</v>
      </c>
      <c r="S230" s="1147"/>
    </row>
    <row r="231" spans="4:19" ht="12.75" customHeight="1" x14ac:dyDescent="0.25">
      <c r="D231" s="1146"/>
      <c r="S231" s="1147"/>
    </row>
    <row r="232" spans="4:19" ht="12.75" customHeight="1" x14ac:dyDescent="0.25">
      <c r="D232" s="1146"/>
      <c r="S232" s="1147"/>
    </row>
    <row r="233" spans="4:19" ht="12.75" customHeight="1" x14ac:dyDescent="0.25">
      <c r="D233" s="1148">
        <v>628005</v>
      </c>
      <c r="E233" s="752"/>
      <c r="F233" s="752"/>
      <c r="G233" s="747" t="s">
        <v>3342</v>
      </c>
      <c r="S233" s="1147"/>
    </row>
    <row r="234" spans="4:19" ht="12.75" customHeight="1" x14ac:dyDescent="0.25">
      <c r="D234" s="1149">
        <v>44390</v>
      </c>
      <c r="G234" s="2581" t="s">
        <v>3352</v>
      </c>
      <c r="H234" s="2581"/>
      <c r="S234" s="1147"/>
    </row>
    <row r="235" spans="4:19" ht="12.75" customHeight="1" x14ac:dyDescent="0.25">
      <c r="D235" s="1149"/>
      <c r="G235" s="2581"/>
      <c r="H235" s="2581"/>
      <c r="J235" s="469"/>
      <c r="K235" s="469"/>
      <c r="L235" s="469"/>
      <c r="M235" s="469"/>
      <c r="N235" s="469"/>
      <c r="O235" s="469"/>
      <c r="S235" s="1147"/>
    </row>
    <row r="236" spans="4:19" ht="12.75" customHeight="1" x14ac:dyDescent="0.25">
      <c r="D236" s="1149"/>
      <c r="G236" s="1134" t="s">
        <v>3388</v>
      </c>
      <c r="H236" s="1134"/>
      <c r="J236" s="469"/>
      <c r="K236" s="469"/>
      <c r="L236" s="469"/>
      <c r="M236" s="469"/>
      <c r="N236" s="469"/>
      <c r="O236" s="469"/>
      <c r="S236" s="1147"/>
    </row>
    <row r="237" spans="4:19" ht="12.75" customHeight="1" x14ac:dyDescent="0.25">
      <c r="D237" s="1149"/>
      <c r="G237" s="1134" t="s">
        <v>3389</v>
      </c>
      <c r="H237" s="1134"/>
      <c r="J237" s="469"/>
      <c r="K237" s="469"/>
      <c r="L237" s="469"/>
      <c r="M237" s="469"/>
      <c r="N237" s="469"/>
      <c r="O237" s="469"/>
      <c r="S237" s="1147"/>
    </row>
    <row r="238" spans="4:19" ht="12.75" customHeight="1" x14ac:dyDescent="0.25">
      <c r="D238" s="1149"/>
      <c r="G238" s="778" t="s">
        <v>3390</v>
      </c>
      <c r="J238" s="469"/>
      <c r="K238" s="469"/>
      <c r="L238" s="469"/>
      <c r="M238" s="469"/>
      <c r="N238" s="469"/>
      <c r="O238" s="469"/>
      <c r="S238" s="1147"/>
    </row>
    <row r="239" spans="4:19" ht="12.75" customHeight="1" x14ac:dyDescent="0.25">
      <c r="D239" s="1149"/>
      <c r="G239" s="778" t="s">
        <v>3391</v>
      </c>
      <c r="J239" s="469"/>
      <c r="K239" s="469"/>
      <c r="L239" s="469"/>
      <c r="M239" s="469"/>
      <c r="N239" s="469"/>
      <c r="O239" s="469"/>
      <c r="S239" s="1147"/>
    </row>
    <row r="240" spans="4:19" ht="12.75" customHeight="1" x14ac:dyDescent="0.25">
      <c r="D240" s="1149"/>
      <c r="G240" s="1134" t="s">
        <v>3392</v>
      </c>
      <c r="H240" s="1134"/>
      <c r="J240" s="469"/>
      <c r="K240" s="469"/>
      <c r="L240" s="469"/>
      <c r="M240" s="469"/>
      <c r="N240" s="469"/>
      <c r="O240" s="469"/>
      <c r="S240" s="1147"/>
    </row>
    <row r="241" spans="4:19" ht="12.75" customHeight="1" x14ac:dyDescent="0.25">
      <c r="D241" s="1149"/>
      <c r="G241" s="1134" t="s">
        <v>3393</v>
      </c>
      <c r="H241" s="1134"/>
      <c r="J241" s="469"/>
      <c r="K241" s="469"/>
      <c r="L241" s="469"/>
      <c r="M241" s="469"/>
      <c r="N241" s="469"/>
      <c r="O241" s="469"/>
      <c r="S241" s="1147"/>
    </row>
    <row r="242" spans="4:19" ht="12.75" customHeight="1" x14ac:dyDescent="0.25">
      <c r="D242" s="1149"/>
      <c r="G242" s="747" t="str">
        <f>"Totaal "&amp;D234</f>
        <v>Totaal 44390</v>
      </c>
      <c r="J242" s="469"/>
      <c r="K242" s="469"/>
      <c r="L242" s="469"/>
      <c r="M242" s="469"/>
      <c r="N242" s="469"/>
      <c r="O242" s="469"/>
      <c r="S242" s="1147"/>
    </row>
    <row r="243" spans="4:19" ht="12.75" customHeight="1" x14ac:dyDescent="0.25">
      <c r="D243" s="1146"/>
      <c r="S243" s="1147"/>
    </row>
    <row r="244" spans="4:19" ht="12.75" customHeight="1" x14ac:dyDescent="0.25">
      <c r="D244" s="1146"/>
      <c r="S244" s="1147"/>
    </row>
    <row r="245" spans="4:19" ht="12.75" customHeight="1" x14ac:dyDescent="0.25">
      <c r="D245" s="1148">
        <v>628005</v>
      </c>
      <c r="E245" s="752"/>
      <c r="F245" s="752"/>
      <c r="G245" s="747" t="s">
        <v>3342</v>
      </c>
      <c r="S245" s="1147"/>
    </row>
    <row r="246" spans="4:19" ht="12.75" customHeight="1" x14ac:dyDescent="0.25">
      <c r="D246" s="1149">
        <v>44390</v>
      </c>
      <c r="G246" s="2581" t="s">
        <v>3352</v>
      </c>
      <c r="H246" s="2581"/>
      <c r="S246" s="1147"/>
    </row>
    <row r="247" spans="4:19" ht="12.75" customHeight="1" x14ac:dyDescent="0.25">
      <c r="D247" s="1149"/>
      <c r="G247" s="2581"/>
      <c r="H247" s="2581"/>
      <c r="J247" s="469"/>
      <c r="K247" s="469"/>
      <c r="L247" s="469"/>
      <c r="M247" s="469"/>
      <c r="N247" s="469"/>
      <c r="O247" s="469"/>
      <c r="S247" s="1147"/>
    </row>
    <row r="248" spans="4:19" ht="12.75" customHeight="1" x14ac:dyDescent="0.25">
      <c r="D248" s="1149"/>
      <c r="G248" s="1134" t="s">
        <v>3388</v>
      </c>
      <c r="H248" s="1134"/>
      <c r="J248" s="469"/>
      <c r="K248" s="469"/>
      <c r="L248" s="469"/>
      <c r="M248" s="469"/>
      <c r="N248" s="469"/>
      <c r="O248" s="469"/>
      <c r="S248" s="1147"/>
    </row>
    <row r="249" spans="4:19" ht="12.75" customHeight="1" x14ac:dyDescent="0.25">
      <c r="D249" s="1149"/>
      <c r="G249" s="1134" t="s">
        <v>3389</v>
      </c>
      <c r="H249" s="1134"/>
      <c r="J249" s="469"/>
      <c r="K249" s="469"/>
      <c r="L249" s="469"/>
      <c r="M249" s="469"/>
      <c r="N249" s="469"/>
      <c r="O249" s="469"/>
      <c r="S249" s="1147"/>
    </row>
    <row r="250" spans="4:19" ht="12.75" customHeight="1" x14ac:dyDescent="0.25">
      <c r="D250" s="1149"/>
      <c r="G250" s="778" t="s">
        <v>3390</v>
      </c>
      <c r="J250" s="469"/>
      <c r="K250" s="469"/>
      <c r="L250" s="469"/>
      <c r="M250" s="469"/>
      <c r="N250" s="469"/>
      <c r="O250" s="469"/>
      <c r="S250" s="1147"/>
    </row>
    <row r="251" spans="4:19" ht="12.75" customHeight="1" x14ac:dyDescent="0.25">
      <c r="D251" s="1149"/>
      <c r="G251" s="778" t="s">
        <v>3391</v>
      </c>
      <c r="J251" s="469"/>
      <c r="K251" s="469"/>
      <c r="L251" s="469"/>
      <c r="M251" s="469"/>
      <c r="N251" s="469"/>
      <c r="O251" s="469"/>
      <c r="S251" s="1147"/>
    </row>
    <row r="252" spans="4:19" ht="12.75" customHeight="1" x14ac:dyDescent="0.25">
      <c r="D252" s="1149"/>
      <c r="G252" s="1134" t="s">
        <v>3392</v>
      </c>
      <c r="H252" s="1134"/>
      <c r="J252" s="469"/>
      <c r="K252" s="469"/>
      <c r="L252" s="469"/>
      <c r="M252" s="469"/>
      <c r="N252" s="469"/>
      <c r="O252" s="469"/>
      <c r="S252" s="1147"/>
    </row>
    <row r="253" spans="4:19" ht="12.75" customHeight="1" x14ac:dyDescent="0.25">
      <c r="D253" s="1149"/>
      <c r="G253" s="1134" t="s">
        <v>3393</v>
      </c>
      <c r="H253" s="1134"/>
      <c r="J253" s="469"/>
      <c r="K253" s="469"/>
      <c r="L253" s="469"/>
      <c r="M253" s="469"/>
      <c r="N253" s="469"/>
      <c r="O253" s="469"/>
      <c r="S253" s="1147"/>
    </row>
    <row r="254" spans="4:19" ht="12.75" customHeight="1" x14ac:dyDescent="0.25">
      <c r="D254" s="1149"/>
      <c r="G254" s="1134" t="s">
        <v>3394</v>
      </c>
      <c r="H254" s="1134"/>
      <c r="J254" s="469"/>
      <c r="K254" s="469"/>
      <c r="L254" s="469"/>
      <c r="M254" s="469"/>
      <c r="N254" s="469"/>
      <c r="O254" s="469"/>
      <c r="S254" s="1147"/>
    </row>
    <row r="255" spans="4:19" ht="12.75" customHeight="1" x14ac:dyDescent="0.25">
      <c r="D255" s="1149"/>
      <c r="G255" s="1134"/>
      <c r="H255" s="1134"/>
      <c r="J255" s="469"/>
      <c r="K255" s="469"/>
      <c r="L255" s="469"/>
      <c r="M255" s="469"/>
      <c r="N255" s="469"/>
      <c r="O255" s="469"/>
      <c r="S255" s="1147"/>
    </row>
    <row r="256" spans="4:19" ht="12.75" customHeight="1" x14ac:dyDescent="0.25">
      <c r="D256" s="1149"/>
      <c r="G256" s="1134" t="s">
        <v>3365</v>
      </c>
      <c r="H256" s="1134"/>
      <c r="J256" s="469"/>
      <c r="K256" s="469"/>
      <c r="L256" s="469"/>
      <c r="M256" s="469"/>
      <c r="N256" s="469"/>
      <c r="O256" s="469"/>
      <c r="S256" s="1147"/>
    </row>
    <row r="257" spans="4:19" ht="12.75" customHeight="1" x14ac:dyDescent="0.25">
      <c r="D257" s="1149"/>
      <c r="G257" s="1134" t="s">
        <v>3395</v>
      </c>
      <c r="H257" s="1134"/>
      <c r="J257" s="469"/>
      <c r="K257" s="469"/>
      <c r="L257" s="469"/>
      <c r="M257" s="469"/>
      <c r="N257" s="469"/>
      <c r="O257" s="469"/>
      <c r="S257" s="1147"/>
    </row>
    <row r="258" spans="4:19" ht="12.75" customHeight="1" x14ac:dyDescent="0.25">
      <c r="D258" s="1149"/>
      <c r="G258" s="1134"/>
      <c r="H258" s="1134"/>
      <c r="J258" s="469"/>
      <c r="K258" s="469"/>
      <c r="L258" s="469"/>
      <c r="M258" s="469"/>
      <c r="N258" s="469"/>
      <c r="O258" s="469"/>
      <c r="S258" s="1147"/>
    </row>
    <row r="259" spans="4:19" ht="12.75" customHeight="1" x14ac:dyDescent="0.25">
      <c r="D259" s="1149"/>
      <c r="G259" s="1134" t="s">
        <v>3366</v>
      </c>
      <c r="H259" s="1134"/>
      <c r="J259" s="469"/>
      <c r="K259" s="469"/>
      <c r="L259" s="469"/>
      <c r="M259" s="469"/>
      <c r="N259" s="469"/>
      <c r="O259" s="469"/>
      <c r="S259" s="1147"/>
    </row>
    <row r="260" spans="4:19" ht="12.75" customHeight="1" x14ac:dyDescent="0.25">
      <c r="D260" s="1149"/>
      <c r="G260" s="1134" t="s">
        <v>3396</v>
      </c>
      <c r="H260" s="1134"/>
      <c r="I260" s="453" t="s">
        <v>3397</v>
      </c>
      <c r="J260" s="469"/>
      <c r="K260" s="469"/>
      <c r="L260" s="469"/>
      <c r="M260" s="469"/>
      <c r="N260" s="469"/>
      <c r="O260" s="469"/>
      <c r="S260" s="1147"/>
    </row>
    <row r="261" spans="4:19" ht="12.75" customHeight="1" x14ac:dyDescent="0.25">
      <c r="D261" s="1149"/>
      <c r="G261" s="747" t="str">
        <f>"Totaal "&amp;D246</f>
        <v>Totaal 44390</v>
      </c>
      <c r="J261" s="469"/>
      <c r="K261" s="469"/>
      <c r="L261" s="469"/>
      <c r="M261" s="469"/>
      <c r="N261" s="469"/>
      <c r="O261" s="469"/>
      <c r="S261" s="1147"/>
    </row>
    <row r="262" spans="4:19" ht="12.75" customHeight="1" x14ac:dyDescent="0.25">
      <c r="D262" s="1146"/>
      <c r="S262" s="1147"/>
    </row>
    <row r="263" spans="4:19" ht="12.75" customHeight="1" x14ac:dyDescent="0.25">
      <c r="D263" s="1146"/>
      <c r="G263" s="453" t="s">
        <v>3382</v>
      </c>
      <c r="S263" s="1147"/>
    </row>
    <row r="264" spans="4:19" ht="12.75" customHeight="1" x14ac:dyDescent="0.25">
      <c r="D264" s="1146"/>
      <c r="G264" s="453" t="s">
        <v>3383</v>
      </c>
      <c r="S264" s="1147"/>
    </row>
    <row r="265" spans="4:19" ht="12.75" customHeight="1" x14ac:dyDescent="0.25">
      <c r="D265" s="1146"/>
      <c r="G265" s="453" t="s">
        <v>3384</v>
      </c>
      <c r="S265" s="1147"/>
    </row>
    <row r="266" spans="4:19" ht="12.75" customHeight="1" x14ac:dyDescent="0.25">
      <c r="D266" s="1146"/>
      <c r="G266" s="453" t="s">
        <v>3385</v>
      </c>
      <c r="S266" s="1147"/>
    </row>
    <row r="267" spans="4:19" ht="12.75" customHeight="1" x14ac:dyDescent="0.25">
      <c r="D267" s="1146"/>
      <c r="G267" s="453" t="s">
        <v>3386</v>
      </c>
      <c r="S267" s="1147"/>
    </row>
    <row r="268" spans="4:19" ht="12.75" customHeight="1" x14ac:dyDescent="0.25">
      <c r="D268" s="1146"/>
      <c r="G268" s="1150"/>
      <c r="S268" s="1147"/>
    </row>
    <row r="269" spans="4:19" ht="12.75" customHeight="1" x14ac:dyDescent="0.25">
      <c r="D269" s="1146"/>
      <c r="G269" s="1150"/>
      <c r="S269" s="1147"/>
    </row>
    <row r="270" spans="4:19" ht="12.75" customHeight="1" x14ac:dyDescent="0.25">
      <c r="D270" s="1146"/>
      <c r="G270" s="1150"/>
      <c r="J270" s="469"/>
      <c r="K270" s="469"/>
      <c r="L270" s="469"/>
      <c r="M270" s="469"/>
      <c r="N270" s="469"/>
      <c r="O270" s="469"/>
      <c r="S270" s="1147"/>
    </row>
    <row r="271" spans="4:19" ht="12.75" customHeight="1" x14ac:dyDescent="0.25">
      <c r="D271" s="1146"/>
      <c r="G271" s="453" t="s">
        <v>3398</v>
      </c>
      <c r="J271" s="469"/>
      <c r="K271" s="469"/>
      <c r="L271" s="469"/>
      <c r="M271" s="469"/>
      <c r="N271" s="469"/>
      <c r="O271" s="469"/>
      <c r="S271" s="1147"/>
    </row>
    <row r="272" spans="4:19" ht="12.75" customHeight="1" x14ac:dyDescent="0.25">
      <c r="D272" s="1146"/>
      <c r="S272" s="1147"/>
    </row>
    <row r="273" spans="4:19" ht="12.75" customHeight="1" thickBot="1" x14ac:dyDescent="0.3">
      <c r="D273" s="1151"/>
      <c r="E273" s="1152"/>
      <c r="F273" s="1152"/>
      <c r="G273" s="1153"/>
      <c r="H273" s="1153"/>
      <c r="I273" s="1153"/>
      <c r="J273" s="1153"/>
      <c r="K273" s="1153"/>
      <c r="L273" s="1153"/>
      <c r="M273" s="1153"/>
      <c r="N273" s="1153"/>
      <c r="O273" s="1153"/>
      <c r="P273" s="1153"/>
      <c r="Q273" s="1153"/>
      <c r="R273" s="1153"/>
      <c r="S273" s="1154"/>
    </row>
    <row r="398" spans="9:9" ht="12.75" customHeight="1" x14ac:dyDescent="0.25">
      <c r="I398" s="166"/>
    </row>
  </sheetData>
  <mergeCells count="8">
    <mergeCell ref="G234:H235"/>
    <mergeCell ref="G246:H247"/>
    <mergeCell ref="D59:D60"/>
    <mergeCell ref="F59:F60"/>
    <mergeCell ref="G59:H60"/>
    <mergeCell ref="E133:I135"/>
    <mergeCell ref="E143:I144"/>
    <mergeCell ref="E197:M199"/>
  </mergeCells>
  <hyperlinks>
    <hyperlink ref="A1" location="Inhoudsopgave!A1" display="Inhoudsopgave" xr:uid="{CE8F63B2-0957-48F8-8AC6-D675CC35333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56" min="3" max="14" man="1"/>
    <brk id="117" min="3" max="14"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5E23-1127-411B-9882-5C622E9A9778}">
  <sheetPr codeName="Blad25"/>
  <dimension ref="A1:W211"/>
  <sheetViews>
    <sheetView showGridLines="0" view="pageBreakPreview" topLeftCell="D145" zoomScaleNormal="100" zoomScaleSheetLayoutView="100" workbookViewId="0">
      <selection activeCell="H159" sqref="H159"/>
    </sheetView>
  </sheetViews>
  <sheetFormatPr defaultColWidth="9.109375" defaultRowHeight="12.75" customHeight="1" x14ac:dyDescent="0.25"/>
  <cols>
    <col min="1" max="1" width="9.5546875" style="400" bestFit="1" customWidth="1"/>
    <col min="2" max="3" width="17.88671875" style="115" customWidth="1"/>
    <col min="4" max="4" width="9.6640625" style="301" customWidth="1"/>
    <col min="5" max="6" width="9.6640625" style="143" customWidth="1"/>
    <col min="7" max="9" width="12.6640625" style="115" customWidth="1"/>
    <col min="10" max="15" width="11.6640625" style="115" customWidth="1"/>
    <col min="16" max="16" width="11.88671875" style="115" customWidth="1"/>
    <col min="17"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3399</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27</v>
      </c>
    </row>
    <row r="26" spans="4:15" ht="12.75" customHeight="1" x14ac:dyDescent="0.25">
      <c r="D26" s="452" t="s">
        <v>507</v>
      </c>
      <c r="E26" s="438"/>
      <c r="F26" s="438"/>
      <c r="G26" s="453"/>
      <c r="H26" s="453"/>
      <c r="I26" s="453"/>
      <c r="J26" s="453"/>
      <c r="K26" s="453"/>
      <c r="L26" s="453"/>
      <c r="M26" s="453"/>
      <c r="N26" s="453"/>
      <c r="O26" s="453"/>
    </row>
    <row r="27" spans="4:15" ht="12.75" customHeight="1" x14ac:dyDescent="0.25">
      <c r="D27" s="438"/>
      <c r="E27" s="438"/>
      <c r="F27" s="438"/>
      <c r="G27" s="453"/>
      <c r="H27" s="453"/>
      <c r="I27" s="453"/>
      <c r="J27" s="453"/>
      <c r="K27" s="453"/>
      <c r="L27" s="453"/>
      <c r="M27" s="453"/>
      <c r="N27" s="453"/>
      <c r="O27" s="453"/>
    </row>
    <row r="28" spans="4:15" ht="12.75" customHeight="1" x14ac:dyDescent="0.25">
      <c r="D28" s="1746" t="s">
        <v>508</v>
      </c>
      <c r="E28" s="1747"/>
      <c r="F28" s="1747"/>
      <c r="G28" s="1748"/>
      <c r="H28" s="1748"/>
      <c r="I28" s="1749"/>
      <c r="J28" s="1749">
        <v>2025</v>
      </c>
      <c r="K28" s="1749">
        <v>2026</v>
      </c>
      <c r="L28" s="1749">
        <v>2027</v>
      </c>
      <c r="M28" s="1749">
        <v>2028</v>
      </c>
      <c r="N28" s="1749">
        <v>2029</v>
      </c>
      <c r="O28" s="1749">
        <v>2030</v>
      </c>
    </row>
    <row r="29" spans="4:15" ht="12.75" customHeight="1" x14ac:dyDescent="0.25">
      <c r="D29" s="454" t="str">
        <f>G70</f>
        <v>Bijdragen aan sportverenigingen</v>
      </c>
      <c r="E29" s="455"/>
      <c r="F29" s="456"/>
      <c r="G29" s="453"/>
      <c r="H29" s="453"/>
      <c r="I29" s="518"/>
      <c r="J29" s="457">
        <v>69214</v>
      </c>
      <c r="K29" s="457">
        <v>71013</v>
      </c>
      <c r="L29" s="457">
        <f t="shared" ref="L29:M29" si="0">L74</f>
        <v>72505</v>
      </c>
      <c r="M29" s="457">
        <f t="shared" si="0"/>
        <v>74172</v>
      </c>
      <c r="N29" s="457">
        <f t="shared" ref="N29:O29" si="1">N74</f>
        <v>75878</v>
      </c>
      <c r="O29" s="457">
        <f t="shared" si="1"/>
        <v>77623</v>
      </c>
    </row>
    <row r="30" spans="4:15" ht="12.75" customHeight="1" x14ac:dyDescent="0.25">
      <c r="D30" s="454" t="str">
        <f>G76</f>
        <v>Combinatiefunctionarissen</v>
      </c>
      <c r="E30" s="455"/>
      <c r="F30" s="456"/>
      <c r="G30" s="453"/>
      <c r="H30" s="453"/>
      <c r="I30" s="518"/>
      <c r="J30" s="25">
        <v>207801</v>
      </c>
      <c r="K30" s="25">
        <f t="shared" ref="K30:M30" si="2">K79</f>
        <v>16000</v>
      </c>
      <c r="L30" s="25">
        <f t="shared" si="2"/>
        <v>-326</v>
      </c>
      <c r="M30" s="25">
        <f t="shared" si="2"/>
        <v>-1103</v>
      </c>
      <c r="N30" s="25">
        <f t="shared" ref="N30:O30" si="3">N79</f>
        <v>-1944</v>
      </c>
      <c r="O30" s="25">
        <f t="shared" si="3"/>
        <v>-2852</v>
      </c>
    </row>
    <row r="31" spans="4:15" ht="12.75" customHeight="1" x14ac:dyDescent="0.25">
      <c r="D31" s="454" t="str">
        <f>G81</f>
        <v>BS Lokaal sportakkoord</v>
      </c>
      <c r="E31" s="455"/>
      <c r="F31" s="456"/>
      <c r="G31" s="453"/>
      <c r="H31" s="453"/>
      <c r="I31" s="518"/>
      <c r="J31" s="25">
        <v>19408</v>
      </c>
      <c r="K31" s="25">
        <v>0</v>
      </c>
      <c r="L31" s="25">
        <f t="shared" ref="L31:M31" si="4">L84</f>
        <v>0</v>
      </c>
      <c r="M31" s="25">
        <f t="shared" si="4"/>
        <v>0</v>
      </c>
      <c r="N31" s="25">
        <f t="shared" ref="N31:O31" si="5">N84</f>
        <v>0</v>
      </c>
      <c r="O31" s="25">
        <f t="shared" si="5"/>
        <v>0</v>
      </c>
    </row>
    <row r="32" spans="4:15" ht="12.75" customHeight="1" x14ac:dyDescent="0.25">
      <c r="D32" s="454" t="str">
        <f>G86</f>
        <v>BS Regeling combinatiefuncties</v>
      </c>
      <c r="E32" s="455"/>
      <c r="F32" s="456"/>
      <c r="G32" s="453"/>
      <c r="H32" s="453"/>
      <c r="I32" s="518"/>
      <c r="J32" s="25">
        <v>133617</v>
      </c>
      <c r="K32" s="25">
        <v>0</v>
      </c>
      <c r="L32" s="25">
        <f t="shared" ref="L32:M32" si="6">L89</f>
        <v>0</v>
      </c>
      <c r="M32" s="25">
        <f t="shared" si="6"/>
        <v>0</v>
      </c>
      <c r="N32" s="25">
        <f t="shared" ref="N32:O32" si="7">N89</f>
        <v>0</v>
      </c>
      <c r="O32" s="25">
        <f t="shared" si="7"/>
        <v>0</v>
      </c>
    </row>
    <row r="33" spans="4:18" ht="12.75" customHeight="1" x14ac:dyDescent="0.25">
      <c r="D33" s="454" t="str">
        <f>G95</f>
        <v>Directe toerekening sportstimulering</v>
      </c>
      <c r="E33" s="455"/>
      <c r="F33" s="456"/>
      <c r="G33" s="453"/>
      <c r="H33" s="453"/>
      <c r="I33" s="518"/>
      <c r="J33" s="25">
        <v>118700.44</v>
      </c>
      <c r="K33" s="25">
        <v>140596.75</v>
      </c>
      <c r="L33" s="25">
        <f t="shared" ref="L33:M33" si="8">L98</f>
        <v>146502</v>
      </c>
      <c r="M33" s="25">
        <f t="shared" si="8"/>
        <v>151922</v>
      </c>
      <c r="N33" s="25">
        <f t="shared" ref="N33:O33" si="9">N98</f>
        <v>157543</v>
      </c>
      <c r="O33" s="25">
        <f t="shared" si="9"/>
        <v>163372</v>
      </c>
    </row>
    <row r="34" spans="4:18" ht="12.75" customHeight="1" x14ac:dyDescent="0.25">
      <c r="D34" s="461" t="s">
        <v>3400</v>
      </c>
      <c r="E34" s="455"/>
      <c r="F34" s="456"/>
      <c r="G34" s="453"/>
      <c r="H34" s="453"/>
      <c r="I34" s="518"/>
      <c r="J34" s="25"/>
      <c r="K34" s="25">
        <v>461877</v>
      </c>
      <c r="L34" s="25">
        <f t="shared" ref="L34:N34" si="10">+L94</f>
        <v>466014</v>
      </c>
      <c r="M34" s="25">
        <f t="shared" si="10"/>
        <v>470345</v>
      </c>
      <c r="N34" s="25">
        <f t="shared" si="10"/>
        <v>474854</v>
      </c>
      <c r="O34" s="25">
        <f t="shared" ref="O34" si="11">+O94</f>
        <v>474854</v>
      </c>
    </row>
    <row r="35" spans="4:18" ht="12.75" customHeight="1" x14ac:dyDescent="0.25">
      <c r="D35" s="454"/>
      <c r="E35" s="455"/>
      <c r="F35" s="456"/>
      <c r="G35" s="453"/>
      <c r="H35" s="453"/>
      <c r="I35" s="518"/>
      <c r="J35" s="25"/>
      <c r="K35" s="25"/>
      <c r="L35" s="25"/>
      <c r="M35" s="25"/>
      <c r="N35" s="25"/>
      <c r="O35" s="25"/>
    </row>
    <row r="36" spans="4:18" ht="12.75" customHeight="1" x14ac:dyDescent="0.25">
      <c r="D36" s="454"/>
      <c r="E36" s="455"/>
      <c r="F36" s="456"/>
      <c r="G36" s="453"/>
      <c r="H36" s="453"/>
      <c r="I36" s="518"/>
      <c r="J36" s="25"/>
      <c r="K36" s="25"/>
      <c r="L36" s="25"/>
      <c r="M36" s="25"/>
      <c r="N36" s="25"/>
      <c r="O36" s="25"/>
      <c r="Q36" s="381"/>
      <c r="R36" s="381"/>
    </row>
    <row r="37" spans="4:18" ht="12.75" customHeight="1" x14ac:dyDescent="0.25">
      <c r="D37" s="454"/>
      <c r="E37" s="455"/>
      <c r="F37" s="456"/>
      <c r="G37" s="453"/>
      <c r="H37" s="453"/>
      <c r="I37" s="518"/>
      <c r="J37" s="28"/>
      <c r="K37" s="28"/>
      <c r="L37" s="28"/>
      <c r="M37" s="28"/>
      <c r="N37" s="28"/>
      <c r="O37" s="28"/>
    </row>
    <row r="38" spans="4:18" ht="12.75" customHeight="1" x14ac:dyDescent="0.25">
      <c r="D38" s="454"/>
      <c r="E38" s="455"/>
      <c r="F38" s="456"/>
      <c r="G38" s="453"/>
      <c r="H38" s="453"/>
      <c r="I38" s="518"/>
      <c r="J38" s="26"/>
      <c r="K38" s="26"/>
      <c r="L38" s="26"/>
      <c r="M38" s="26"/>
      <c r="N38" s="26"/>
      <c r="O38" s="26"/>
    </row>
    <row r="39" spans="4:18" ht="12.75" customHeight="1" x14ac:dyDescent="0.25">
      <c r="D39" s="1751" t="s">
        <v>525</v>
      </c>
      <c r="E39" s="1752"/>
      <c r="F39" s="1753"/>
      <c r="G39" s="1754"/>
      <c r="H39" s="1754"/>
      <c r="I39" s="1757"/>
      <c r="J39" s="1755">
        <v>548740.43999999994</v>
      </c>
      <c r="K39" s="1755">
        <f>SUM(K29:K38)</f>
        <v>689486.75</v>
      </c>
      <c r="L39" s="1755">
        <f>SUM(L29:L38)</f>
        <v>684695</v>
      </c>
      <c r="M39" s="1755">
        <f>SUM(M29:M38)</f>
        <v>695336</v>
      </c>
      <c r="N39" s="1755">
        <f>SUM(N29:N38)</f>
        <v>706331</v>
      </c>
      <c r="O39" s="1755">
        <f>SUM(O29:O38)</f>
        <v>712997</v>
      </c>
    </row>
    <row r="40" spans="4:18" ht="12.75" customHeight="1" x14ac:dyDescent="0.25">
      <c r="D40" s="438"/>
      <c r="E40" s="455"/>
      <c r="F40" s="456"/>
      <c r="G40" s="453"/>
      <c r="H40" s="453"/>
      <c r="I40" s="453"/>
      <c r="J40" s="453"/>
      <c r="K40" s="453"/>
      <c r="L40" s="453"/>
      <c r="M40" s="453"/>
      <c r="N40" s="453"/>
      <c r="O40" s="453"/>
    </row>
    <row r="41" spans="4:18" ht="12.75" customHeight="1" x14ac:dyDescent="0.25">
      <c r="D41" s="1746" t="s">
        <v>526</v>
      </c>
      <c r="E41" s="1747"/>
      <c r="F41" s="1747"/>
      <c r="G41" s="1748"/>
      <c r="H41" s="1748"/>
      <c r="I41" s="1749"/>
      <c r="J41" s="1749">
        <v>2025</v>
      </c>
      <c r="K41" s="1749">
        <v>2026</v>
      </c>
      <c r="L41" s="1749">
        <v>2027</v>
      </c>
      <c r="M41" s="1749">
        <v>2028</v>
      </c>
      <c r="N41" s="1749">
        <v>2029</v>
      </c>
      <c r="O41" s="1749">
        <v>2030</v>
      </c>
    </row>
    <row r="42" spans="4:18" ht="12.75" customHeight="1" x14ac:dyDescent="0.25">
      <c r="D42" s="454" t="str">
        <f>G100</f>
        <v>BS Lokaal sportakkoord</v>
      </c>
      <c r="E42" s="455"/>
      <c r="F42" s="456"/>
      <c r="G42" s="453"/>
      <c r="H42" s="453"/>
      <c r="I42" s="518"/>
      <c r="J42" s="457">
        <v>-19408</v>
      </c>
      <c r="K42" s="457">
        <v>-14923</v>
      </c>
      <c r="L42" s="457">
        <f t="shared" ref="L42:M42" si="12">L103</f>
        <v>-14923</v>
      </c>
      <c r="M42" s="457">
        <f t="shared" si="12"/>
        <v>-14924</v>
      </c>
      <c r="N42" s="457">
        <f t="shared" ref="N42:O42" si="13">N103</f>
        <v>-14924</v>
      </c>
      <c r="O42" s="457">
        <f t="shared" si="13"/>
        <v>-14924</v>
      </c>
    </row>
    <row r="43" spans="4:18" ht="12.75" customHeight="1" x14ac:dyDescent="0.25">
      <c r="D43" s="454" t="str">
        <f>G105</f>
        <v>BS Regeling combinatiefuncties</v>
      </c>
      <c r="E43" s="455"/>
      <c r="F43" s="456"/>
      <c r="G43" s="453"/>
      <c r="H43" s="453"/>
      <c r="I43" s="518"/>
      <c r="J43" s="457">
        <v>-133617</v>
      </c>
      <c r="K43" s="457">
        <v>-129081</v>
      </c>
      <c r="L43" s="457">
        <f t="shared" ref="L43:M43" si="14">L108</f>
        <v>-129081</v>
      </c>
      <c r="M43" s="457">
        <f t="shared" si="14"/>
        <v>-129080</v>
      </c>
      <c r="N43" s="457">
        <f t="shared" ref="N43:O43" si="15">N108</f>
        <v>-129080</v>
      </c>
      <c r="O43" s="457">
        <f t="shared" si="15"/>
        <v>-129080</v>
      </c>
    </row>
    <row r="44" spans="4:18" ht="12.75" customHeight="1" x14ac:dyDescent="0.25">
      <c r="D44" s="454"/>
      <c r="E44" s="455"/>
      <c r="F44" s="456"/>
      <c r="G44" s="453"/>
      <c r="H44" s="453"/>
      <c r="I44" s="518"/>
      <c r="J44" s="457"/>
      <c r="K44" s="457"/>
      <c r="L44" s="457"/>
      <c r="M44" s="457"/>
      <c r="N44" s="457"/>
      <c r="O44" s="457"/>
    </row>
    <row r="45" spans="4:18" ht="12.75" customHeight="1" x14ac:dyDescent="0.25">
      <c r="D45" s="454"/>
      <c r="E45" s="455"/>
      <c r="F45" s="456"/>
      <c r="G45" s="453"/>
      <c r="H45" s="453"/>
      <c r="I45" s="518"/>
      <c r="J45" s="457"/>
      <c r="K45" s="457"/>
      <c r="L45" s="457"/>
      <c r="M45" s="457"/>
      <c r="N45" s="457"/>
      <c r="O45" s="457"/>
    </row>
    <row r="46" spans="4:18" ht="12.75" customHeight="1" x14ac:dyDescent="0.25">
      <c r="D46" s="454"/>
      <c r="E46" s="455"/>
      <c r="F46" s="456"/>
      <c r="G46" s="453"/>
      <c r="H46" s="453"/>
      <c r="I46" s="518"/>
      <c r="J46" s="457"/>
      <c r="K46" s="457"/>
      <c r="L46" s="457"/>
      <c r="M46" s="457"/>
      <c r="N46" s="457"/>
      <c r="O46" s="457"/>
    </row>
    <row r="47" spans="4:18" ht="12.75" customHeight="1" x14ac:dyDescent="0.25">
      <c r="D47" s="454"/>
      <c r="E47" s="455"/>
      <c r="F47" s="456"/>
      <c r="G47" s="453"/>
      <c r="H47" s="453"/>
      <c r="I47" s="518"/>
      <c r="J47" s="457"/>
      <c r="K47" s="457"/>
      <c r="L47" s="457"/>
      <c r="M47" s="457"/>
      <c r="N47" s="457"/>
      <c r="O47" s="457"/>
    </row>
    <row r="48" spans="4:18" ht="12.75" customHeight="1" x14ac:dyDescent="0.25">
      <c r="D48" s="454"/>
      <c r="E48" s="455"/>
      <c r="F48" s="456"/>
      <c r="G48" s="453"/>
      <c r="H48" s="453"/>
      <c r="I48" s="518"/>
      <c r="J48" s="463"/>
      <c r="K48" s="463"/>
      <c r="L48" s="463"/>
      <c r="M48" s="463"/>
      <c r="N48" s="463"/>
      <c r="O48" s="463"/>
    </row>
    <row r="49" spans="4:15" ht="12.75" customHeight="1" x14ac:dyDescent="0.25">
      <c r="D49" s="454"/>
      <c r="E49" s="455"/>
      <c r="F49" s="456"/>
      <c r="G49" s="453"/>
      <c r="H49" s="453"/>
      <c r="I49" s="518"/>
      <c r="J49" s="463"/>
      <c r="K49" s="463"/>
      <c r="L49" s="463"/>
      <c r="M49" s="463"/>
      <c r="N49" s="463"/>
      <c r="O49" s="463"/>
    </row>
    <row r="50" spans="4:15" ht="12.75" customHeight="1" x14ac:dyDescent="0.25">
      <c r="D50" s="454"/>
      <c r="E50" s="455"/>
      <c r="F50" s="456"/>
      <c r="G50" s="453"/>
      <c r="H50" s="453"/>
      <c r="I50" s="518"/>
      <c r="J50" s="463"/>
      <c r="K50" s="463"/>
      <c r="L50" s="463"/>
      <c r="M50" s="463"/>
      <c r="N50" s="463"/>
      <c r="O50" s="463"/>
    </row>
    <row r="51" spans="4:15" ht="12.75" customHeight="1" x14ac:dyDescent="0.25">
      <c r="D51" s="454"/>
      <c r="E51" s="455"/>
      <c r="F51" s="456"/>
      <c r="G51" s="453"/>
      <c r="H51" s="453"/>
      <c r="I51" s="518"/>
      <c r="J51" s="463"/>
      <c r="K51" s="463"/>
      <c r="L51" s="463"/>
      <c r="M51" s="463"/>
      <c r="N51" s="463"/>
      <c r="O51" s="463"/>
    </row>
    <row r="52" spans="4:15" ht="12.75" customHeight="1" x14ac:dyDescent="0.25">
      <c r="D52" s="454"/>
      <c r="E52" s="455"/>
      <c r="F52" s="456"/>
      <c r="G52" s="453"/>
      <c r="H52" s="453"/>
      <c r="I52" s="518"/>
      <c r="J52" s="463"/>
      <c r="K52" s="463"/>
      <c r="L52" s="463"/>
      <c r="M52" s="463"/>
      <c r="N52" s="463"/>
      <c r="O52" s="463"/>
    </row>
    <row r="53" spans="4:15" ht="12.75" customHeight="1" x14ac:dyDescent="0.25">
      <c r="D53" s="454"/>
      <c r="E53" s="455"/>
      <c r="F53" s="456"/>
      <c r="G53" s="453"/>
      <c r="H53" s="453"/>
      <c r="I53" s="518"/>
      <c r="J53" s="463"/>
      <c r="K53" s="463"/>
      <c r="L53" s="463"/>
      <c r="M53" s="463"/>
      <c r="N53" s="463"/>
      <c r="O53" s="463"/>
    </row>
    <row r="54" spans="4:15" ht="12.75" customHeight="1" x14ac:dyDescent="0.25">
      <c r="D54" s="454"/>
      <c r="E54" s="455"/>
      <c r="F54" s="456"/>
      <c r="G54" s="453"/>
      <c r="H54" s="453"/>
      <c r="I54" s="518"/>
      <c r="J54" s="463"/>
      <c r="K54" s="463"/>
      <c r="L54" s="463"/>
      <c r="M54" s="463"/>
      <c r="N54" s="463"/>
      <c r="O54" s="463"/>
    </row>
    <row r="55" spans="4:15" ht="12.75" customHeight="1" x14ac:dyDescent="0.25">
      <c r="D55" s="454"/>
      <c r="E55" s="455"/>
      <c r="F55" s="456"/>
      <c r="G55" s="453"/>
      <c r="H55" s="453"/>
      <c r="I55" s="518"/>
      <c r="J55" s="463"/>
      <c r="K55" s="463"/>
      <c r="L55" s="463"/>
      <c r="M55" s="463"/>
      <c r="N55" s="463"/>
      <c r="O55" s="463"/>
    </row>
    <row r="56" spans="4:15" ht="12.75" customHeight="1" x14ac:dyDescent="0.25">
      <c r="D56" s="454"/>
      <c r="E56" s="455"/>
      <c r="F56" s="456"/>
      <c r="G56" s="453"/>
      <c r="H56" s="453"/>
      <c r="I56" s="518"/>
      <c r="J56" s="463"/>
      <c r="K56" s="463"/>
      <c r="L56" s="463"/>
      <c r="M56" s="463"/>
      <c r="N56" s="463"/>
      <c r="O56" s="463"/>
    </row>
    <row r="57" spans="4:15" ht="12.75" customHeight="1" x14ac:dyDescent="0.25">
      <c r="D57" s="454"/>
      <c r="E57" s="455"/>
      <c r="F57" s="456"/>
      <c r="G57" s="453"/>
      <c r="H57" s="453"/>
      <c r="I57" s="518"/>
      <c r="J57" s="463"/>
      <c r="K57" s="463"/>
      <c r="L57" s="463"/>
      <c r="M57" s="463"/>
      <c r="N57" s="463"/>
      <c r="O57" s="463"/>
    </row>
    <row r="58" spans="4:15" ht="12.75" customHeight="1" x14ac:dyDescent="0.25">
      <c r="D58" s="464"/>
      <c r="E58" s="465"/>
      <c r="F58" s="466"/>
      <c r="G58" s="467"/>
      <c r="H58" s="467"/>
      <c r="I58" s="518"/>
      <c r="J58" s="463"/>
      <c r="K58" s="463"/>
      <c r="L58" s="463"/>
      <c r="M58" s="463"/>
      <c r="N58" s="463"/>
      <c r="O58" s="463"/>
    </row>
    <row r="59" spans="4:15" ht="12.75" customHeight="1" x14ac:dyDescent="0.25">
      <c r="D59" s="1751" t="s">
        <v>328</v>
      </c>
      <c r="E59" s="1752"/>
      <c r="F59" s="1753"/>
      <c r="G59" s="1754"/>
      <c r="H59" s="1754"/>
      <c r="I59" s="1757"/>
      <c r="J59" s="1755">
        <v>-153025</v>
      </c>
      <c r="K59" s="1755">
        <f>SUM(K42:K58)</f>
        <v>-144004</v>
      </c>
      <c r="L59" s="1755">
        <f>SUM(L42:L58)</f>
        <v>-144004</v>
      </c>
      <c r="M59" s="1755">
        <f>SUM(M42:M58)</f>
        <v>-144004</v>
      </c>
      <c r="N59" s="1755">
        <f>SUM(N42:N58)</f>
        <v>-144004</v>
      </c>
      <c r="O59" s="1755">
        <f>SUM(O42:O58)</f>
        <v>-144004</v>
      </c>
    </row>
    <row r="60" spans="4:15" ht="12.75" customHeight="1" x14ac:dyDescent="0.25">
      <c r="D60" s="438"/>
      <c r="E60" s="455"/>
      <c r="F60" s="456"/>
      <c r="G60" s="453"/>
      <c r="H60" s="453"/>
      <c r="I60" s="453"/>
      <c r="J60" s="469"/>
      <c r="K60" s="469"/>
      <c r="L60" s="469"/>
      <c r="M60" s="469"/>
      <c r="N60" s="469"/>
      <c r="O60" s="469"/>
    </row>
    <row r="61" spans="4:15" ht="12.75" customHeight="1" x14ac:dyDescent="0.25">
      <c r="D61" s="1751" t="s">
        <v>527</v>
      </c>
      <c r="E61" s="1756"/>
      <c r="F61" s="1756"/>
      <c r="G61" s="1754"/>
      <c r="H61" s="1754"/>
      <c r="I61" s="1754"/>
      <c r="J61" s="1758">
        <v>395715.43999999994</v>
      </c>
      <c r="K61" s="1758">
        <f>K39+K59</f>
        <v>545482.75</v>
      </c>
      <c r="L61" s="1758">
        <f>L39+L59</f>
        <v>540691</v>
      </c>
      <c r="M61" s="1758">
        <f>M39+M59</f>
        <v>551332</v>
      </c>
      <c r="N61" s="1758">
        <f>N39+N59</f>
        <v>562327</v>
      </c>
      <c r="O61" s="1758">
        <f>O39+O59</f>
        <v>568993</v>
      </c>
    </row>
    <row r="62" spans="4:15" ht="12.75" customHeight="1" x14ac:dyDescent="0.25">
      <c r="D62" s="438"/>
      <c r="E62" s="455"/>
      <c r="F62" s="456"/>
      <c r="G62" s="453"/>
      <c r="H62" s="453"/>
      <c r="I62" s="453"/>
      <c r="J62" s="469"/>
      <c r="K62" s="469"/>
      <c r="L62" s="469"/>
      <c r="M62" s="469"/>
      <c r="N62" s="469"/>
      <c r="O62" s="469"/>
    </row>
    <row r="63" spans="4:15" ht="12.75" customHeight="1" x14ac:dyDescent="0.25">
      <c r="D63" s="438"/>
      <c r="E63" s="455"/>
      <c r="F63" s="456"/>
      <c r="G63" s="453"/>
      <c r="H63" s="453"/>
      <c r="I63" s="453"/>
      <c r="J63" s="469"/>
      <c r="K63" s="469"/>
      <c r="L63" s="469"/>
      <c r="M63" s="469"/>
      <c r="N63" s="469"/>
      <c r="O63" s="469"/>
    </row>
    <row r="64" spans="4:15" ht="12.75" customHeight="1" x14ac:dyDescent="0.25">
      <c r="D64" s="453"/>
      <c r="E64" s="453"/>
      <c r="F64" s="453"/>
      <c r="G64" s="453"/>
      <c r="H64" s="453"/>
      <c r="I64" s="453"/>
      <c r="J64" s="469"/>
      <c r="K64" s="469"/>
      <c r="L64" s="469"/>
      <c r="M64" s="469"/>
      <c r="N64" s="469"/>
      <c r="O64" s="469"/>
    </row>
    <row r="65" spans="1:23" ht="12.75" customHeight="1" x14ac:dyDescent="0.25">
      <c r="D65" s="438"/>
      <c r="E65" s="438"/>
      <c r="F65" s="438"/>
      <c r="G65" s="453"/>
      <c r="H65" s="453"/>
      <c r="I65" s="453"/>
      <c r="J65" s="469"/>
      <c r="K65" s="469"/>
      <c r="L65" s="469"/>
      <c r="M65" s="469"/>
      <c r="N65" s="469"/>
      <c r="O65" s="469"/>
    </row>
    <row r="66" spans="1:23" ht="12.75" customHeight="1" x14ac:dyDescent="0.25">
      <c r="D66" s="312" t="s">
        <v>528</v>
      </c>
      <c r="E66" s="382"/>
      <c r="F66" s="382"/>
    </row>
    <row r="68" spans="1:23" ht="12.75" customHeight="1" x14ac:dyDescent="0.25">
      <c r="A68" s="516"/>
      <c r="B68" s="453"/>
      <c r="C68" s="453"/>
      <c r="D68" s="2523" t="s">
        <v>529</v>
      </c>
      <c r="E68" s="1761" t="s">
        <v>530</v>
      </c>
      <c r="F68" s="2552" t="s">
        <v>531</v>
      </c>
      <c r="G68" s="2525" t="s">
        <v>206</v>
      </c>
      <c r="H68" s="2526"/>
      <c r="I68" s="1773"/>
      <c r="J68" s="1763"/>
      <c r="K68" s="1763"/>
      <c r="L68" s="1763"/>
      <c r="M68" s="1763"/>
      <c r="N68" s="1763"/>
      <c r="O68" s="1763"/>
      <c r="P68" s="453"/>
      <c r="Q68" s="453"/>
      <c r="R68" s="453"/>
      <c r="S68" s="453"/>
      <c r="T68" s="453"/>
      <c r="U68" s="453"/>
      <c r="V68" s="453"/>
      <c r="W68" s="453"/>
    </row>
    <row r="69" spans="1:23" ht="12.75" customHeight="1" x14ac:dyDescent="0.25">
      <c r="A69" s="516"/>
      <c r="B69" s="453"/>
      <c r="C69" s="453"/>
      <c r="D69" s="2524"/>
      <c r="E69" s="472" t="s">
        <v>532</v>
      </c>
      <c r="F69" s="2553"/>
      <c r="G69" s="2527"/>
      <c r="H69" s="2528"/>
      <c r="I69" s="521"/>
      <c r="J69" s="1764">
        <v>2025</v>
      </c>
      <c r="K69" s="1764">
        <v>2026</v>
      </c>
      <c r="L69" s="1764">
        <v>2027</v>
      </c>
      <c r="M69" s="1764">
        <v>2028</v>
      </c>
      <c r="N69" s="1764">
        <v>2028</v>
      </c>
      <c r="O69" s="1764">
        <v>2028</v>
      </c>
      <c r="P69" s="453"/>
      <c r="Q69" s="453"/>
      <c r="R69" s="453"/>
      <c r="S69" s="453"/>
      <c r="T69" s="453"/>
      <c r="U69" s="453"/>
      <c r="V69" s="453"/>
      <c r="W69" s="453"/>
    </row>
    <row r="70" spans="1:23" ht="12.75" customHeight="1" x14ac:dyDescent="0.25">
      <c r="A70" s="143"/>
      <c r="D70" s="1780">
        <v>629001</v>
      </c>
      <c r="E70" s="331"/>
      <c r="F70" s="331"/>
      <c r="G70" s="1781" t="s">
        <v>3401</v>
      </c>
      <c r="H70" s="322"/>
      <c r="I70" s="1775"/>
      <c r="J70" s="1775"/>
      <c r="K70" s="1775"/>
      <c r="L70" s="1775"/>
      <c r="M70" s="1775"/>
      <c r="N70" s="1775"/>
      <c r="O70" s="1775"/>
    </row>
    <row r="71" spans="1:23" ht="12.75" customHeight="1" x14ac:dyDescent="0.25">
      <c r="A71" s="143"/>
      <c r="D71" s="333"/>
      <c r="E71" s="331"/>
      <c r="F71" s="331"/>
      <c r="G71" s="334" t="s">
        <v>533</v>
      </c>
      <c r="I71" s="316"/>
      <c r="J71" s="316"/>
      <c r="K71" s="316"/>
      <c r="L71" s="316"/>
      <c r="M71" s="316"/>
      <c r="N71" s="316"/>
      <c r="O71" s="316"/>
    </row>
    <row r="72" spans="1:23" ht="12.75" customHeight="1" x14ac:dyDescent="0.25">
      <c r="A72" s="143">
        <f>+D70</f>
        <v>629001</v>
      </c>
      <c r="B72" s="115" t="str">
        <f>G70</f>
        <v>Bijdragen aan sportverenigingen</v>
      </c>
      <c r="D72" s="337">
        <v>43812</v>
      </c>
      <c r="E72" s="337"/>
      <c r="F72" s="337"/>
      <c r="G72" s="319" t="s">
        <v>535</v>
      </c>
      <c r="I72" s="318"/>
      <c r="J72" s="318">
        <v>0</v>
      </c>
      <c r="K72" s="318">
        <v>0</v>
      </c>
      <c r="L72" s="318">
        <v>0</v>
      </c>
      <c r="M72" s="318">
        <v>0</v>
      </c>
      <c r="N72" s="318">
        <v>0</v>
      </c>
      <c r="O72" s="318">
        <v>0</v>
      </c>
    </row>
    <row r="73" spans="1:23" ht="12.75" customHeight="1" x14ac:dyDescent="0.25">
      <c r="A73" s="143">
        <f>+D70</f>
        <v>629001</v>
      </c>
      <c r="B73" s="115" t="str">
        <f>G70</f>
        <v>Bijdragen aan sportverenigingen</v>
      </c>
      <c r="D73" s="337">
        <v>44380</v>
      </c>
      <c r="E73" s="337"/>
      <c r="F73" s="337"/>
      <c r="G73" s="319" t="s">
        <v>3402</v>
      </c>
      <c r="I73" s="318"/>
      <c r="J73" s="318">
        <v>69214</v>
      </c>
      <c r="K73" s="318">
        <v>71013</v>
      </c>
      <c r="L73" s="318">
        <f>L125</f>
        <v>72505</v>
      </c>
      <c r="M73" s="318">
        <f>M125</f>
        <v>74172</v>
      </c>
      <c r="N73" s="318">
        <f>N125</f>
        <v>75878</v>
      </c>
      <c r="O73" s="318">
        <f>O125</f>
        <v>77623</v>
      </c>
    </row>
    <row r="74" spans="1:23" ht="12.75" customHeight="1" thickBot="1" x14ac:dyDescent="0.3">
      <c r="A74" s="143"/>
      <c r="D74" s="340"/>
      <c r="E74" s="340"/>
      <c r="F74" s="340"/>
      <c r="G74" s="319" t="s">
        <v>536</v>
      </c>
      <c r="I74" s="318"/>
      <c r="J74" s="480">
        <v>69214</v>
      </c>
      <c r="K74" s="480">
        <v>71013</v>
      </c>
      <c r="L74" s="480">
        <f>SUM(L71:L73)</f>
        <v>72505</v>
      </c>
      <c r="M74" s="480">
        <f>SUM(M71:M73)</f>
        <v>74172</v>
      </c>
      <c r="N74" s="480">
        <f>SUM(N71:N73)</f>
        <v>75878</v>
      </c>
      <c r="O74" s="480">
        <f>SUM(O71:O73)</f>
        <v>77623</v>
      </c>
    </row>
    <row r="75" spans="1:23" ht="12.75" customHeight="1" thickTop="1" x14ac:dyDescent="0.25">
      <c r="A75" s="143"/>
      <c r="D75" s="340"/>
      <c r="E75" s="340"/>
      <c r="F75" s="340"/>
      <c r="G75" s="319"/>
      <c r="I75" s="318"/>
      <c r="J75" s="344"/>
      <c r="K75" s="344"/>
      <c r="L75" s="344"/>
      <c r="M75" s="344"/>
      <c r="N75" s="344"/>
      <c r="O75" s="344"/>
    </row>
    <row r="76" spans="1:23" ht="12.75" customHeight="1" x14ac:dyDescent="0.25">
      <c r="D76" s="347">
        <v>629002</v>
      </c>
      <c r="E76" s="476"/>
      <c r="F76" s="476"/>
      <c r="G76" s="332" t="s">
        <v>3403</v>
      </c>
      <c r="I76" s="318"/>
      <c r="J76" s="318"/>
      <c r="K76" s="318"/>
      <c r="L76" s="318"/>
      <c r="M76" s="318"/>
      <c r="N76" s="318"/>
      <c r="O76" s="318"/>
    </row>
    <row r="77" spans="1:23" ht="12.75" customHeight="1" x14ac:dyDescent="0.25">
      <c r="A77" s="622"/>
      <c r="B77" s="381"/>
      <c r="C77" s="381"/>
      <c r="D77" s="340"/>
      <c r="E77" s="340"/>
      <c r="F77" s="340"/>
      <c r="G77" s="334" t="s">
        <v>533</v>
      </c>
      <c r="I77" s="318"/>
      <c r="J77" s="318"/>
      <c r="K77" s="318"/>
      <c r="L77" s="318"/>
      <c r="M77" s="318"/>
      <c r="N77" s="318"/>
      <c r="O77" s="318"/>
    </row>
    <row r="78" spans="1:23" ht="12.75" customHeight="1" x14ac:dyDescent="0.25">
      <c r="A78" s="143">
        <f>+D76</f>
        <v>629002</v>
      </c>
      <c r="B78" s="115" t="str">
        <f>G76</f>
        <v>Combinatiefunctionarissen</v>
      </c>
      <c r="D78" s="340">
        <v>44380</v>
      </c>
      <c r="E78" s="340"/>
      <c r="F78" s="340"/>
      <c r="G78" s="319" t="s">
        <v>3402</v>
      </c>
      <c r="I78" s="318"/>
      <c r="J78" s="317">
        <v>207801</v>
      </c>
      <c r="K78" s="317">
        <f>K157</f>
        <v>16000</v>
      </c>
      <c r="L78" s="317">
        <f>L157</f>
        <v>-326</v>
      </c>
      <c r="M78" s="317">
        <f>M157</f>
        <v>-1103</v>
      </c>
      <c r="N78" s="317">
        <f>N157</f>
        <v>-1944</v>
      </c>
      <c r="O78" s="317">
        <f>O157</f>
        <v>-2852</v>
      </c>
    </row>
    <row r="79" spans="1:23" ht="12.75" customHeight="1" thickBot="1" x14ac:dyDescent="0.3">
      <c r="A79" s="143"/>
      <c r="D79" s="340"/>
      <c r="E79" s="340"/>
      <c r="F79" s="340"/>
      <c r="G79" s="319" t="s">
        <v>536</v>
      </c>
      <c r="I79" s="318"/>
      <c r="J79" s="342">
        <v>207801</v>
      </c>
      <c r="K79" s="342">
        <f>SUM(K78)</f>
        <v>16000</v>
      </c>
      <c r="L79" s="342">
        <f>SUM(L78)</f>
        <v>-326</v>
      </c>
      <c r="M79" s="342">
        <f>SUM(M78)</f>
        <v>-1103</v>
      </c>
      <c r="N79" s="342">
        <f>SUM(N78)</f>
        <v>-1944</v>
      </c>
      <c r="O79" s="342">
        <f>SUM(O78)</f>
        <v>-2852</v>
      </c>
    </row>
    <row r="80" spans="1:23" ht="12.75" customHeight="1" thickTop="1" x14ac:dyDescent="0.25">
      <c r="A80" s="143"/>
      <c r="D80" s="340"/>
      <c r="E80" s="340"/>
      <c r="F80" s="340"/>
      <c r="G80" s="319"/>
      <c r="I80" s="318"/>
      <c r="J80" s="318"/>
      <c r="K80" s="318"/>
      <c r="L80" s="318"/>
      <c r="M80" s="318"/>
      <c r="N80" s="318"/>
      <c r="O80" s="318"/>
    </row>
    <row r="81" spans="1:15" ht="12.75" customHeight="1" x14ac:dyDescent="0.25">
      <c r="A81" s="143"/>
      <c r="D81" s="347">
        <v>629004</v>
      </c>
      <c r="E81" s="340"/>
      <c r="F81" s="340"/>
      <c r="G81" s="332" t="s">
        <v>3404</v>
      </c>
      <c r="I81" s="318"/>
      <c r="J81" s="318"/>
      <c r="K81" s="318"/>
      <c r="L81" s="318"/>
      <c r="M81" s="318"/>
      <c r="N81" s="318"/>
      <c r="O81" s="318"/>
    </row>
    <row r="82" spans="1:15" ht="12.75" customHeight="1" x14ac:dyDescent="0.25">
      <c r="A82" s="143"/>
      <c r="D82" s="340"/>
      <c r="E82" s="340"/>
      <c r="F82" s="340"/>
      <c r="G82" s="334" t="s">
        <v>533</v>
      </c>
      <c r="I82" s="318"/>
      <c r="J82" s="318"/>
      <c r="K82" s="318"/>
      <c r="L82" s="318"/>
      <c r="M82" s="318"/>
      <c r="N82" s="318"/>
      <c r="O82" s="318"/>
    </row>
    <row r="83" spans="1:15" ht="12.75" customHeight="1" x14ac:dyDescent="0.25">
      <c r="A83" s="143">
        <f>D81</f>
        <v>629004</v>
      </c>
      <c r="B83" s="115" t="str">
        <f>G81</f>
        <v>BS Lokaal sportakkoord</v>
      </c>
      <c r="D83" s="340">
        <v>44380</v>
      </c>
      <c r="E83" s="340"/>
      <c r="F83" s="340"/>
      <c r="G83" s="319" t="s">
        <v>3402</v>
      </c>
      <c r="I83" s="318"/>
      <c r="J83" s="318">
        <v>19408</v>
      </c>
      <c r="K83" s="318">
        <v>0</v>
      </c>
      <c r="L83" s="318">
        <f t="shared" ref="L83:M83" si="16">L163</f>
        <v>0</v>
      </c>
      <c r="M83" s="318">
        <f t="shared" si="16"/>
        <v>0</v>
      </c>
      <c r="N83" s="318">
        <f t="shared" ref="N83:O83" si="17">N163</f>
        <v>0</v>
      </c>
      <c r="O83" s="318">
        <f t="shared" si="17"/>
        <v>0</v>
      </c>
    </row>
    <row r="84" spans="1:15" ht="12.75" customHeight="1" thickBot="1" x14ac:dyDescent="0.3">
      <c r="A84" s="143"/>
      <c r="D84" s="340"/>
      <c r="E84" s="340"/>
      <c r="F84" s="340"/>
      <c r="G84" s="319"/>
      <c r="I84" s="318"/>
      <c r="J84" s="480">
        <v>19408</v>
      </c>
      <c r="K84" s="480">
        <v>0</v>
      </c>
      <c r="L84" s="480">
        <f t="shared" ref="L84:M84" si="18">SUM(L83)</f>
        <v>0</v>
      </c>
      <c r="M84" s="480">
        <f t="shared" si="18"/>
        <v>0</v>
      </c>
      <c r="N84" s="480">
        <f t="shared" ref="N84:O84" si="19">SUM(N83)</f>
        <v>0</v>
      </c>
      <c r="O84" s="480">
        <f t="shared" si="19"/>
        <v>0</v>
      </c>
    </row>
    <row r="85" spans="1:15" ht="12.75" customHeight="1" thickTop="1" x14ac:dyDescent="0.25">
      <c r="A85" s="143"/>
      <c r="D85" s="340"/>
      <c r="E85" s="340"/>
      <c r="F85" s="340"/>
      <c r="G85" s="319"/>
      <c r="I85" s="318"/>
      <c r="J85" s="318"/>
      <c r="K85" s="318"/>
      <c r="L85" s="318"/>
      <c r="M85" s="318"/>
      <c r="N85" s="318"/>
      <c r="O85" s="318"/>
    </row>
    <row r="86" spans="1:15" ht="12.75" customHeight="1" x14ac:dyDescent="0.25">
      <c r="A86" s="143"/>
      <c r="D86" s="347">
        <v>629005</v>
      </c>
      <c r="E86" s="340"/>
      <c r="F86" s="340"/>
      <c r="G86" s="381" t="s">
        <v>3405</v>
      </c>
      <c r="I86" s="318"/>
      <c r="J86" s="318"/>
      <c r="K86" s="318"/>
      <c r="L86" s="318"/>
      <c r="M86" s="318"/>
      <c r="N86" s="318"/>
      <c r="O86" s="318"/>
    </row>
    <row r="87" spans="1:15" ht="12.75" customHeight="1" x14ac:dyDescent="0.25">
      <c r="A87" s="143"/>
      <c r="D87" s="340"/>
      <c r="E87" s="340"/>
      <c r="F87" s="340"/>
      <c r="G87" s="334" t="s">
        <v>533</v>
      </c>
      <c r="I87" s="318"/>
      <c r="J87" s="318"/>
      <c r="K87" s="318"/>
      <c r="L87" s="318"/>
      <c r="M87" s="318"/>
      <c r="N87" s="318"/>
      <c r="O87" s="318"/>
    </row>
    <row r="88" spans="1:15" ht="12.75" customHeight="1" x14ac:dyDescent="0.25">
      <c r="A88" s="143">
        <f>D86</f>
        <v>629005</v>
      </c>
      <c r="B88" s="115" t="str">
        <f>G86</f>
        <v>BS Regeling combinatiefuncties</v>
      </c>
      <c r="D88" s="340">
        <v>44380</v>
      </c>
      <c r="E88" s="340"/>
      <c r="F88" s="340"/>
      <c r="G88" s="319" t="s">
        <v>3402</v>
      </c>
      <c r="I88" s="318"/>
      <c r="J88" s="318">
        <v>133617</v>
      </c>
      <c r="K88" s="318">
        <v>0</v>
      </c>
      <c r="L88" s="318">
        <f t="shared" ref="L88:M88" si="20">L169</f>
        <v>0</v>
      </c>
      <c r="M88" s="318">
        <f t="shared" si="20"/>
        <v>0</v>
      </c>
      <c r="N88" s="318">
        <f t="shared" ref="N88:O88" si="21">N169</f>
        <v>0</v>
      </c>
      <c r="O88" s="318">
        <f t="shared" si="21"/>
        <v>0</v>
      </c>
    </row>
    <row r="89" spans="1:15" ht="12.75" customHeight="1" thickBot="1" x14ac:dyDescent="0.3">
      <c r="A89" s="143"/>
      <c r="D89" s="340"/>
      <c r="E89" s="340"/>
      <c r="F89" s="340"/>
      <c r="G89" s="319"/>
      <c r="I89" s="318"/>
      <c r="J89" s="480">
        <v>133617</v>
      </c>
      <c r="K89" s="480">
        <v>0</v>
      </c>
      <c r="L89" s="480">
        <f t="shared" ref="L89:M89" si="22">SUM(L88)</f>
        <v>0</v>
      </c>
      <c r="M89" s="480">
        <f t="shared" si="22"/>
        <v>0</v>
      </c>
      <c r="N89" s="480">
        <f t="shared" ref="N89:O89" si="23">SUM(N88)</f>
        <v>0</v>
      </c>
      <c r="O89" s="480">
        <f t="shared" si="23"/>
        <v>0</v>
      </c>
    </row>
    <row r="90" spans="1:15" ht="12.75" customHeight="1" thickTop="1" x14ac:dyDescent="0.25">
      <c r="A90" s="143"/>
      <c r="D90" s="340"/>
      <c r="E90" s="340"/>
      <c r="F90" s="340"/>
      <c r="G90" s="319"/>
      <c r="I90" s="318"/>
      <c r="J90" s="318"/>
      <c r="K90" s="318"/>
      <c r="L90" s="318"/>
      <c r="M90" s="318"/>
      <c r="N90" s="318"/>
      <c r="O90" s="318"/>
    </row>
    <row r="91" spans="1:15" ht="12.75" customHeight="1" x14ac:dyDescent="0.25">
      <c r="A91" s="143"/>
      <c r="D91" s="333">
        <v>629006</v>
      </c>
      <c r="E91" s="340"/>
      <c r="F91" s="340"/>
      <c r="G91" s="381" t="s">
        <v>3400</v>
      </c>
      <c r="I91" s="318"/>
      <c r="J91" s="318"/>
      <c r="K91" s="318"/>
      <c r="L91" s="318"/>
      <c r="M91" s="318"/>
      <c r="N91" s="318"/>
      <c r="O91" s="318"/>
    </row>
    <row r="92" spans="1:15" ht="12.75" customHeight="1" x14ac:dyDescent="0.25">
      <c r="A92" s="143"/>
      <c r="D92" s="340"/>
      <c r="E92" s="340"/>
      <c r="F92" s="340"/>
      <c r="G92" s="334" t="s">
        <v>533</v>
      </c>
      <c r="I92" s="318"/>
      <c r="J92" s="318"/>
      <c r="K92" s="318"/>
      <c r="L92" s="318"/>
      <c r="M92" s="318"/>
      <c r="N92" s="318"/>
      <c r="O92" s="318"/>
    </row>
    <row r="93" spans="1:15" ht="12.75" customHeight="1" x14ac:dyDescent="0.25">
      <c r="A93" s="143">
        <f>D91</f>
        <v>629006</v>
      </c>
      <c r="B93" s="115" t="str">
        <f>G91</f>
        <v>Tuurlijk</v>
      </c>
      <c r="D93" s="337">
        <v>44380</v>
      </c>
      <c r="E93" s="340"/>
      <c r="F93" s="340"/>
      <c r="G93" s="319" t="s">
        <v>3402</v>
      </c>
      <c r="I93" s="318"/>
      <c r="J93" s="318"/>
      <c r="K93" s="318">
        <v>461877</v>
      </c>
      <c r="L93" s="318">
        <f>+L181</f>
        <v>466014</v>
      </c>
      <c r="M93" s="318">
        <f>+M181</f>
        <v>470345</v>
      </c>
      <c r="N93" s="318">
        <f>+N181</f>
        <v>474854</v>
      </c>
      <c r="O93" s="318">
        <f>+O181</f>
        <v>474854</v>
      </c>
    </row>
    <row r="94" spans="1:15" ht="12.75" customHeight="1" thickBot="1" x14ac:dyDescent="0.3">
      <c r="A94" s="143"/>
      <c r="D94" s="340"/>
      <c r="E94" s="340"/>
      <c r="F94" s="340"/>
      <c r="G94" s="319"/>
      <c r="I94" s="318"/>
      <c r="J94" s="480">
        <v>133617</v>
      </c>
      <c r="K94" s="480">
        <v>461877</v>
      </c>
      <c r="L94" s="480">
        <f>SUM(L93)</f>
        <v>466014</v>
      </c>
      <c r="M94" s="480">
        <f>SUM(M93)</f>
        <v>470345</v>
      </c>
      <c r="N94" s="480">
        <f>SUM(N93)</f>
        <v>474854</v>
      </c>
      <c r="O94" s="480">
        <f>SUM(O93)</f>
        <v>474854</v>
      </c>
    </row>
    <row r="95" spans="1:15" ht="12.75" customHeight="1" thickTop="1" x14ac:dyDescent="0.25">
      <c r="A95" s="143"/>
      <c r="D95" s="347">
        <v>629901</v>
      </c>
      <c r="E95" s="476"/>
      <c r="F95" s="476"/>
      <c r="G95" s="332" t="s">
        <v>3406</v>
      </c>
      <c r="I95" s="318"/>
      <c r="J95" s="318"/>
      <c r="K95" s="318"/>
      <c r="L95" s="318"/>
      <c r="M95" s="318"/>
      <c r="N95" s="318"/>
      <c r="O95" s="318"/>
    </row>
    <row r="96" spans="1:15" ht="12.75" customHeight="1" x14ac:dyDescent="0.25">
      <c r="A96" s="143"/>
      <c r="D96" s="340"/>
      <c r="E96" s="340"/>
      <c r="F96" s="340"/>
      <c r="G96" s="334" t="s">
        <v>533</v>
      </c>
      <c r="I96" s="318"/>
      <c r="J96" s="318"/>
      <c r="K96" s="318"/>
      <c r="L96" s="318"/>
      <c r="M96" s="318"/>
      <c r="N96" s="318"/>
      <c r="O96" s="318"/>
    </row>
    <row r="97" spans="1:15" ht="12.75" customHeight="1" x14ac:dyDescent="0.25">
      <c r="A97" s="143">
        <f>+D95</f>
        <v>629901</v>
      </c>
      <c r="B97" s="115" t="str">
        <f>G95</f>
        <v>Directe toerekening sportstimulering</v>
      </c>
      <c r="D97" s="340">
        <v>41100</v>
      </c>
      <c r="E97" s="340"/>
      <c r="F97" s="340"/>
      <c r="G97" s="319" t="s">
        <v>541</v>
      </c>
      <c r="I97" s="318"/>
      <c r="J97" s="317">
        <v>118700.44</v>
      </c>
      <c r="K97" s="317">
        <v>140596.75</v>
      </c>
      <c r="L97" s="317">
        <f t="shared" ref="L97:M97" si="24">L190</f>
        <v>146502</v>
      </c>
      <c r="M97" s="317">
        <f t="shared" si="24"/>
        <v>151922</v>
      </c>
      <c r="N97" s="317">
        <f t="shared" ref="N97:O97" si="25">N190</f>
        <v>157543</v>
      </c>
      <c r="O97" s="317">
        <f t="shared" si="25"/>
        <v>163372</v>
      </c>
    </row>
    <row r="98" spans="1:15" ht="12.75" customHeight="1" thickBot="1" x14ac:dyDescent="0.3">
      <c r="A98" s="143"/>
      <c r="D98" s="340"/>
      <c r="E98" s="340"/>
      <c r="F98" s="340"/>
      <c r="G98" s="319" t="s">
        <v>536</v>
      </c>
      <c r="I98" s="318"/>
      <c r="J98" s="342">
        <v>118700.44</v>
      </c>
      <c r="K98" s="342">
        <v>140596.75</v>
      </c>
      <c r="L98" s="342">
        <f t="shared" ref="L98:M98" si="26">SUM(L96:L97)</f>
        <v>146502</v>
      </c>
      <c r="M98" s="342">
        <f t="shared" si="26"/>
        <v>151922</v>
      </c>
      <c r="N98" s="342">
        <f t="shared" ref="N98:O98" si="27">SUM(N96:N97)</f>
        <v>157543</v>
      </c>
      <c r="O98" s="342">
        <f t="shared" si="27"/>
        <v>163372</v>
      </c>
    </row>
    <row r="99" spans="1:15" ht="12.75" customHeight="1" thickTop="1" x14ac:dyDescent="0.25">
      <c r="A99" s="143"/>
      <c r="D99" s="340"/>
      <c r="E99" s="340"/>
      <c r="F99" s="340"/>
      <c r="G99" s="319"/>
      <c r="I99" s="318"/>
      <c r="J99" s="318"/>
      <c r="K99" s="318"/>
      <c r="L99" s="318"/>
      <c r="M99" s="318"/>
      <c r="N99" s="318"/>
      <c r="O99" s="318"/>
    </row>
    <row r="100" spans="1:15" ht="12.75" customHeight="1" x14ac:dyDescent="0.25">
      <c r="A100" s="143"/>
      <c r="D100" s="347">
        <v>629004</v>
      </c>
      <c r="E100" s="340"/>
      <c r="F100" s="340"/>
      <c r="G100" s="332" t="s">
        <v>3404</v>
      </c>
      <c r="I100" s="318"/>
      <c r="J100" s="318"/>
      <c r="K100" s="318"/>
      <c r="L100" s="318"/>
      <c r="M100" s="318"/>
      <c r="N100" s="318"/>
      <c r="O100" s="318"/>
    </row>
    <row r="101" spans="1:15" ht="12.75" customHeight="1" x14ac:dyDescent="0.25">
      <c r="A101" s="143"/>
      <c r="D101" s="340"/>
      <c r="E101" s="340"/>
      <c r="F101" s="340"/>
      <c r="G101" s="334" t="s">
        <v>554</v>
      </c>
      <c r="I101" s="318"/>
      <c r="J101" s="318"/>
      <c r="K101" s="318"/>
      <c r="L101" s="318"/>
      <c r="M101" s="318"/>
      <c r="N101" s="318"/>
      <c r="O101" s="318"/>
    </row>
    <row r="102" spans="1:15" ht="12.75" customHeight="1" x14ac:dyDescent="0.25">
      <c r="A102" s="143">
        <f>D100</f>
        <v>629004</v>
      </c>
      <c r="B102" s="115" t="str">
        <f>G100</f>
        <v>BS Lokaal sportakkoord</v>
      </c>
      <c r="D102" s="337">
        <v>84310</v>
      </c>
      <c r="E102" s="340"/>
      <c r="F102" s="340"/>
      <c r="G102" s="319" t="s">
        <v>2134</v>
      </c>
      <c r="I102" s="318"/>
      <c r="J102" s="318">
        <v>-19408</v>
      </c>
      <c r="K102" s="318">
        <v>-14923</v>
      </c>
      <c r="L102" s="318">
        <f t="shared" ref="L102:M102" si="28">L195</f>
        <v>-14923</v>
      </c>
      <c r="M102" s="318">
        <f t="shared" si="28"/>
        <v>-14924</v>
      </c>
      <c r="N102" s="318">
        <f t="shared" ref="N102:O102" si="29">N195</f>
        <v>-14924</v>
      </c>
      <c r="O102" s="318">
        <f t="shared" si="29"/>
        <v>-14924</v>
      </c>
    </row>
    <row r="103" spans="1:15" ht="12.75" customHeight="1" thickBot="1" x14ac:dyDescent="0.3">
      <c r="A103" s="143"/>
      <c r="D103" s="340"/>
      <c r="E103" s="340"/>
      <c r="F103" s="340"/>
      <c r="G103" s="319" t="s">
        <v>536</v>
      </c>
      <c r="I103" s="318"/>
      <c r="J103" s="480">
        <v>-19408</v>
      </c>
      <c r="K103" s="480">
        <v>-14923</v>
      </c>
      <c r="L103" s="480">
        <f t="shared" ref="L103" si="30">SUM(L102)</f>
        <v>-14923</v>
      </c>
      <c r="M103" s="480">
        <f t="shared" ref="M103:N103" si="31">SUM(M102)</f>
        <v>-14924</v>
      </c>
      <c r="N103" s="480">
        <f t="shared" si="31"/>
        <v>-14924</v>
      </c>
      <c r="O103" s="480">
        <f t="shared" ref="O103" si="32">SUM(O102)</f>
        <v>-14924</v>
      </c>
    </row>
    <row r="104" spans="1:15" ht="12.75" customHeight="1" thickTop="1" x14ac:dyDescent="0.25">
      <c r="A104" s="143"/>
      <c r="D104" s="340"/>
      <c r="E104" s="340"/>
      <c r="F104" s="340"/>
      <c r="G104" s="319"/>
      <c r="I104" s="318"/>
      <c r="J104" s="318"/>
      <c r="K104" s="318"/>
      <c r="L104" s="318"/>
      <c r="M104" s="318"/>
      <c r="N104" s="318"/>
      <c r="O104" s="318"/>
    </row>
    <row r="105" spans="1:15" ht="12.75" customHeight="1" x14ac:dyDescent="0.25">
      <c r="A105" s="143"/>
      <c r="D105" s="347">
        <v>629005</v>
      </c>
      <c r="E105" s="340"/>
      <c r="F105" s="340"/>
      <c r="G105" s="381" t="s">
        <v>3405</v>
      </c>
      <c r="I105" s="318"/>
      <c r="J105" s="318"/>
      <c r="K105" s="318"/>
      <c r="L105" s="318"/>
      <c r="M105" s="318"/>
      <c r="N105" s="318"/>
      <c r="O105" s="318"/>
    </row>
    <row r="106" spans="1:15" ht="12.75" customHeight="1" x14ac:dyDescent="0.25">
      <c r="A106" s="143"/>
      <c r="D106" s="340"/>
      <c r="E106" s="340"/>
      <c r="F106" s="340"/>
      <c r="G106" s="334" t="s">
        <v>554</v>
      </c>
      <c r="I106" s="318"/>
      <c r="J106" s="318"/>
      <c r="K106" s="318"/>
      <c r="L106" s="318"/>
      <c r="M106" s="318"/>
      <c r="N106" s="318"/>
      <c r="O106" s="318"/>
    </row>
    <row r="107" spans="1:15" ht="12.75" customHeight="1" x14ac:dyDescent="0.25">
      <c r="A107" s="143">
        <f>D105</f>
        <v>629005</v>
      </c>
      <c r="B107" s="115" t="str">
        <f>G105</f>
        <v>BS Regeling combinatiefuncties</v>
      </c>
      <c r="D107" s="340">
        <v>84310</v>
      </c>
      <c r="E107" s="340"/>
      <c r="F107" s="340"/>
      <c r="G107" s="319" t="s">
        <v>2134</v>
      </c>
      <c r="I107" s="318"/>
      <c r="J107" s="318">
        <v>-133617</v>
      </c>
      <c r="K107" s="318">
        <v>-129081</v>
      </c>
      <c r="L107" s="318">
        <f t="shared" ref="L107:M107" si="33">L199</f>
        <v>-129081</v>
      </c>
      <c r="M107" s="318">
        <f t="shared" si="33"/>
        <v>-129080</v>
      </c>
      <c r="N107" s="318">
        <f t="shared" ref="N107:O107" si="34">N199</f>
        <v>-129080</v>
      </c>
      <c r="O107" s="318">
        <f t="shared" si="34"/>
        <v>-129080</v>
      </c>
    </row>
    <row r="108" spans="1:15" ht="12.75" customHeight="1" thickBot="1" x14ac:dyDescent="0.3">
      <c r="A108" s="143"/>
      <c r="D108" s="340"/>
      <c r="E108" s="340"/>
      <c r="F108" s="340"/>
      <c r="G108" s="319"/>
      <c r="I108" s="318"/>
      <c r="J108" s="480">
        <v>-133617</v>
      </c>
      <c r="K108" s="480">
        <v>-129081</v>
      </c>
      <c r="L108" s="480">
        <f t="shared" ref="L108:M108" si="35">SUM(L107)</f>
        <v>-129081</v>
      </c>
      <c r="M108" s="480">
        <f t="shared" si="35"/>
        <v>-129080</v>
      </c>
      <c r="N108" s="480">
        <f t="shared" ref="N108:O108" si="36">SUM(N107)</f>
        <v>-129080</v>
      </c>
      <c r="O108" s="480">
        <f t="shared" si="36"/>
        <v>-129080</v>
      </c>
    </row>
    <row r="109" spans="1:15" ht="12.75" customHeight="1" thickTop="1" x14ac:dyDescent="0.25">
      <c r="A109" s="143"/>
      <c r="D109" s="340"/>
      <c r="E109" s="340"/>
      <c r="F109" s="340"/>
      <c r="G109" s="319"/>
      <c r="I109" s="318"/>
      <c r="J109" s="318"/>
      <c r="K109" s="318"/>
      <c r="L109" s="318"/>
      <c r="M109" s="318"/>
      <c r="N109" s="318"/>
      <c r="O109" s="318"/>
    </row>
    <row r="110" spans="1:15" ht="12.75" customHeight="1" x14ac:dyDescent="0.25">
      <c r="A110" s="143"/>
      <c r="D110" s="1086"/>
      <c r="E110" s="167"/>
      <c r="F110" s="167"/>
      <c r="G110" s="1121"/>
      <c r="H110" s="149"/>
      <c r="I110" s="156"/>
      <c r="J110" s="156"/>
      <c r="K110" s="156"/>
      <c r="L110" s="156"/>
      <c r="M110" s="156"/>
      <c r="N110" s="156"/>
      <c r="O110" s="156"/>
    </row>
    <row r="111" spans="1:15" ht="12.75" customHeight="1" x14ac:dyDescent="0.25">
      <c r="D111" s="384"/>
      <c r="E111" s="384"/>
      <c r="F111" s="384"/>
      <c r="I111" s="114"/>
      <c r="J111" s="114"/>
      <c r="K111" s="114"/>
      <c r="L111" s="114"/>
      <c r="M111" s="114"/>
      <c r="N111" s="114"/>
      <c r="O111" s="114"/>
    </row>
    <row r="112" spans="1:15" s="305" customFormat="1" ht="12.75" customHeight="1" x14ac:dyDescent="0.25">
      <c r="A112" s="400"/>
      <c r="B112" s="115"/>
      <c r="C112" s="115"/>
      <c r="D112" s="411"/>
      <c r="E112" s="384"/>
      <c r="F112" s="384"/>
      <c r="G112" s="115"/>
      <c r="H112" s="115"/>
      <c r="I112" s="114"/>
      <c r="J112" s="114"/>
      <c r="K112" s="114"/>
      <c r="L112" s="114"/>
      <c r="M112" s="114"/>
      <c r="N112" s="114"/>
      <c r="O112" s="114"/>
    </row>
    <row r="113" spans="1:16" s="305" customFormat="1" ht="12.75" customHeight="1" x14ac:dyDescent="0.25">
      <c r="A113" s="400"/>
      <c r="B113" s="115"/>
      <c r="C113" s="115"/>
      <c r="D113" s="411"/>
      <c r="E113" s="384"/>
      <c r="F113" s="384"/>
      <c r="G113" s="115"/>
      <c r="H113" s="115"/>
      <c r="I113" s="114"/>
      <c r="J113" s="114"/>
      <c r="K113" s="114"/>
      <c r="L113" s="114"/>
      <c r="M113" s="114"/>
      <c r="N113" s="114"/>
      <c r="O113" s="114"/>
      <c r="P113" s="115"/>
    </row>
    <row r="114" spans="1:16" s="305" customFormat="1" ht="12.75" customHeight="1" x14ac:dyDescent="0.25">
      <c r="A114" s="400"/>
      <c r="B114" s="115"/>
      <c r="C114" s="115"/>
      <c r="D114" s="411"/>
      <c r="E114" s="384"/>
      <c r="F114" s="384"/>
      <c r="G114" s="115"/>
      <c r="H114" s="115"/>
      <c r="I114" s="114"/>
      <c r="J114" s="114"/>
      <c r="K114" s="114"/>
      <c r="L114" s="114"/>
      <c r="M114" s="114"/>
      <c r="N114" s="114"/>
      <c r="O114" s="114"/>
      <c r="P114" s="115"/>
    </row>
    <row r="115" spans="1:16" s="305" customFormat="1" ht="12.75" customHeight="1" x14ac:dyDescent="0.25">
      <c r="A115" s="400"/>
      <c r="B115" s="115"/>
      <c r="C115" s="115"/>
      <c r="D115" s="428" t="s">
        <v>561</v>
      </c>
      <c r="E115" s="384"/>
      <c r="F115" s="384"/>
      <c r="G115" s="381"/>
      <c r="H115" s="115"/>
      <c r="I115" s="114"/>
      <c r="J115" s="114"/>
      <c r="K115" s="114"/>
      <c r="L115" s="114"/>
      <c r="M115" s="114"/>
      <c r="N115" s="114"/>
      <c r="O115" s="114"/>
      <c r="P115" s="115"/>
    </row>
    <row r="116" spans="1:16" s="305" customFormat="1" ht="12.75" customHeight="1" x14ac:dyDescent="0.25">
      <c r="A116" s="400"/>
      <c r="B116" s="115"/>
      <c r="C116" s="115"/>
      <c r="D116" s="411"/>
      <c r="E116" s="384"/>
      <c r="F116" s="384"/>
      <c r="G116" s="381"/>
      <c r="H116" s="115"/>
      <c r="I116" s="114"/>
      <c r="J116" s="114"/>
      <c r="K116" s="114"/>
      <c r="L116" s="114"/>
      <c r="M116" s="114"/>
      <c r="N116" s="114"/>
      <c r="O116" s="114"/>
      <c r="P116" s="115"/>
    </row>
    <row r="117" spans="1:16" ht="12.75" customHeight="1" x14ac:dyDescent="0.25">
      <c r="D117" s="393">
        <v>629001</v>
      </c>
      <c r="E117" s="410" t="s">
        <v>3401</v>
      </c>
      <c r="F117" s="115"/>
      <c r="G117" s="114"/>
      <c r="H117" s="114"/>
      <c r="I117" s="114"/>
      <c r="J117" s="407">
        <v>2025</v>
      </c>
      <c r="K117" s="407">
        <v>2026</v>
      </c>
      <c r="L117" s="407">
        <v>2027</v>
      </c>
      <c r="M117" s="407">
        <v>2028</v>
      </c>
      <c r="N117" s="407">
        <v>2029</v>
      </c>
      <c r="O117" s="407">
        <v>2030</v>
      </c>
    </row>
    <row r="118" spans="1:16" ht="12.75" customHeight="1" x14ac:dyDescent="0.25">
      <c r="D118" s="393"/>
      <c r="E118" s="397" t="s">
        <v>533</v>
      </c>
      <c r="F118" s="115"/>
      <c r="G118" s="114"/>
      <c r="H118" s="114"/>
      <c r="I118" s="114"/>
    </row>
    <row r="119" spans="1:16" ht="12.75" customHeight="1" x14ac:dyDescent="0.25">
      <c r="D119" s="384"/>
      <c r="E119" s="383" t="s">
        <v>1907</v>
      </c>
      <c r="F119" s="115"/>
      <c r="G119" s="114"/>
      <c r="H119" s="114"/>
      <c r="I119" s="114"/>
    </row>
    <row r="120" spans="1:16" ht="12.75" customHeight="1" x14ac:dyDescent="0.25">
      <c r="A120" s="303"/>
      <c r="B120" s="114"/>
      <c r="C120" s="114"/>
      <c r="D120" s="143">
        <v>44380</v>
      </c>
      <c r="E120" s="115" t="s">
        <v>1702</v>
      </c>
      <c r="F120" s="115"/>
      <c r="G120" s="114"/>
      <c r="H120" s="114"/>
      <c r="I120" s="114"/>
      <c r="J120" s="114"/>
      <c r="K120" s="114"/>
      <c r="L120" s="114"/>
      <c r="M120" s="114"/>
      <c r="N120" s="114"/>
      <c r="O120" s="114"/>
    </row>
    <row r="121" spans="1:16" ht="12.75" customHeight="1" x14ac:dyDescent="0.25">
      <c r="D121" s="384"/>
      <c r="E121" s="115" t="s">
        <v>3407</v>
      </c>
      <c r="F121" s="115"/>
      <c r="G121" s="114"/>
      <c r="H121" s="114"/>
      <c r="I121" s="114"/>
      <c r="J121" s="151">
        <v>5687</v>
      </c>
      <c r="K121" s="151">
        <v>5835</v>
      </c>
      <c r="L121" s="151">
        <f t="shared" ref="L121:O124" si="37">ROUND(K121*T$2,0)</f>
        <v>5958</v>
      </c>
      <c r="M121" s="151">
        <f t="shared" si="37"/>
        <v>6095</v>
      </c>
      <c r="N121" s="151">
        <f t="shared" si="37"/>
        <v>6235</v>
      </c>
      <c r="O121" s="151">
        <f t="shared" si="37"/>
        <v>6378</v>
      </c>
    </row>
    <row r="122" spans="1:16" ht="12.75" customHeight="1" x14ac:dyDescent="0.25">
      <c r="D122" s="384"/>
      <c r="E122" s="115" t="s">
        <v>3408</v>
      </c>
      <c r="F122" s="115"/>
      <c r="G122" s="114"/>
      <c r="H122" s="114"/>
      <c r="I122" s="114"/>
      <c r="J122" s="151">
        <v>1955</v>
      </c>
      <c r="K122" s="151">
        <v>2006</v>
      </c>
      <c r="L122" s="151">
        <f t="shared" si="37"/>
        <v>2048</v>
      </c>
      <c r="M122" s="151">
        <f t="shared" si="37"/>
        <v>2095</v>
      </c>
      <c r="N122" s="151">
        <f t="shared" si="37"/>
        <v>2143</v>
      </c>
      <c r="O122" s="151">
        <f t="shared" si="37"/>
        <v>2192</v>
      </c>
    </row>
    <row r="123" spans="1:16" ht="12.75" customHeight="1" x14ac:dyDescent="0.25">
      <c r="A123" s="303"/>
      <c r="B123" s="114"/>
      <c r="C123" s="114"/>
      <c r="D123" s="143"/>
      <c r="E123" s="115" t="s">
        <v>3409</v>
      </c>
      <c r="F123" s="115"/>
      <c r="G123" s="114"/>
      <c r="H123" s="114"/>
      <c r="I123" s="114"/>
      <c r="J123" s="151">
        <v>36707</v>
      </c>
      <c r="K123" s="151">
        <v>37661</v>
      </c>
      <c r="L123" s="151">
        <f t="shared" si="37"/>
        <v>38452</v>
      </c>
      <c r="M123" s="151">
        <f t="shared" si="37"/>
        <v>39336</v>
      </c>
      <c r="N123" s="151">
        <f t="shared" si="37"/>
        <v>40241</v>
      </c>
      <c r="O123" s="151">
        <f t="shared" si="37"/>
        <v>41167</v>
      </c>
      <c r="P123" s="151"/>
    </row>
    <row r="124" spans="1:16" ht="12.75" customHeight="1" x14ac:dyDescent="0.25">
      <c r="D124" s="384"/>
      <c r="E124" s="115" t="s">
        <v>3410</v>
      </c>
      <c r="F124" s="115"/>
      <c r="G124" s="114"/>
      <c r="H124" s="114"/>
      <c r="I124" s="114"/>
      <c r="J124" s="151">
        <v>24865</v>
      </c>
      <c r="K124" s="151">
        <v>25511</v>
      </c>
      <c r="L124" s="151">
        <f t="shared" si="37"/>
        <v>26047</v>
      </c>
      <c r="M124" s="151">
        <f t="shared" si="37"/>
        <v>26646</v>
      </c>
      <c r="N124" s="151">
        <f t="shared" si="37"/>
        <v>27259</v>
      </c>
      <c r="O124" s="151">
        <f t="shared" si="37"/>
        <v>27886</v>
      </c>
      <c r="P124" s="151"/>
    </row>
    <row r="125" spans="1:16" ht="12.75" customHeight="1" thickBot="1" x14ac:dyDescent="0.3">
      <c r="D125" s="143"/>
      <c r="E125" s="115" t="str">
        <f>"Totaal "&amp;D120</f>
        <v>Totaal 44380</v>
      </c>
      <c r="F125" s="115"/>
      <c r="G125" s="114"/>
      <c r="H125" s="114"/>
      <c r="I125" s="114"/>
      <c r="J125" s="1778">
        <v>69214</v>
      </c>
      <c r="K125" s="1778">
        <v>71013</v>
      </c>
      <c r="L125" s="1778">
        <f>SUM(L121:L124)</f>
        <v>72505</v>
      </c>
      <c r="M125" s="1778">
        <f>SUM(M121:M124)</f>
        <v>74172</v>
      </c>
      <c r="N125" s="1778">
        <f>SUM(N121:N124)</f>
        <v>75878</v>
      </c>
      <c r="O125" s="1778">
        <f>SUM(O121:O124)</f>
        <v>77623</v>
      </c>
      <c r="P125" s="151"/>
    </row>
    <row r="126" spans="1:16" ht="12.75" customHeight="1" thickTop="1" x14ac:dyDescent="0.25">
      <c r="D126" s="143"/>
      <c r="E126" s="115"/>
      <c r="F126" s="115"/>
      <c r="G126" s="114"/>
      <c r="H126" s="151"/>
      <c r="I126" s="151"/>
      <c r="J126" s="151"/>
      <c r="K126" s="151"/>
      <c r="L126" s="151"/>
      <c r="M126" s="151"/>
      <c r="N126" s="151"/>
      <c r="O126" s="151"/>
    </row>
    <row r="127" spans="1:16" ht="12.75" customHeight="1" x14ac:dyDescent="0.25">
      <c r="D127" s="382">
        <v>629002</v>
      </c>
      <c r="E127" s="381" t="s">
        <v>3403</v>
      </c>
      <c r="F127" s="115"/>
    </row>
    <row r="128" spans="1:16" ht="12.75" customHeight="1" x14ac:dyDescent="0.25">
      <c r="D128" s="382"/>
      <c r="E128" s="397" t="s">
        <v>533</v>
      </c>
      <c r="F128" s="115"/>
    </row>
    <row r="129" spans="4:15" ht="12.75" customHeight="1" x14ac:dyDescent="0.25">
      <c r="D129" s="143">
        <v>44380</v>
      </c>
      <c r="E129" s="2578" t="s">
        <v>3411</v>
      </c>
      <c r="F129" s="2578"/>
      <c r="G129" s="2578"/>
      <c r="H129" s="2578"/>
      <c r="I129" s="2578"/>
      <c r="J129" s="2578"/>
      <c r="K129" s="2578"/>
      <c r="L129" s="399"/>
      <c r="M129" s="399"/>
      <c r="N129" s="399"/>
      <c r="O129" s="399"/>
    </row>
    <row r="130" spans="4:15" ht="12.75" customHeight="1" x14ac:dyDescent="0.25">
      <c r="D130" s="382"/>
      <c r="E130" s="2578"/>
      <c r="F130" s="2578"/>
      <c r="G130" s="2578"/>
      <c r="H130" s="2578"/>
      <c r="I130" s="2578"/>
      <c r="J130" s="2578"/>
      <c r="K130" s="2578"/>
      <c r="L130" s="399"/>
      <c r="M130" s="399"/>
      <c r="N130" s="399"/>
      <c r="O130" s="399"/>
    </row>
    <row r="131" spans="4:15" ht="12.75" customHeight="1" x14ac:dyDescent="0.25">
      <c r="D131" s="382"/>
      <c r="E131" s="2578"/>
      <c r="F131" s="2578"/>
      <c r="G131" s="2578"/>
      <c r="H131" s="2578"/>
      <c r="I131" s="2578"/>
      <c r="J131" s="2578"/>
      <c r="K131" s="2578"/>
      <c r="L131" s="399"/>
      <c r="M131" s="399"/>
      <c r="N131" s="399"/>
      <c r="O131" s="399"/>
    </row>
    <row r="132" spans="4:15" ht="12.75" customHeight="1" x14ac:dyDescent="0.25">
      <c r="D132" s="382"/>
      <c r="E132" s="399"/>
      <c r="F132" s="399"/>
      <c r="G132" s="114"/>
      <c r="H132" s="114"/>
      <c r="I132" s="114"/>
      <c r="J132" s="407">
        <v>2025</v>
      </c>
      <c r="K132" s="407">
        <v>2026</v>
      </c>
      <c r="L132" s="407">
        <v>2027</v>
      </c>
      <c r="M132" s="407">
        <v>2028</v>
      </c>
      <c r="N132" s="407">
        <v>2029</v>
      </c>
      <c r="O132" s="407">
        <v>2030</v>
      </c>
    </row>
    <row r="133" spans="4:15" ht="12.75" customHeight="1" x14ac:dyDescent="0.25">
      <c r="D133" s="382"/>
      <c r="E133" s="381"/>
      <c r="F133" s="115"/>
      <c r="G133" s="114"/>
      <c r="H133" s="114"/>
      <c r="I133" s="114"/>
    </row>
    <row r="134" spans="4:15" ht="12.75" customHeight="1" x14ac:dyDescent="0.25">
      <c r="D134" s="382"/>
      <c r="E134" s="115" t="s">
        <v>3412</v>
      </c>
      <c r="F134" s="115"/>
      <c r="G134" s="114"/>
      <c r="H134" s="114"/>
      <c r="I134" s="114"/>
      <c r="J134" s="114">
        <v>158145</v>
      </c>
      <c r="K134" s="114">
        <v>158145</v>
      </c>
      <c r="L134" s="114">
        <v>158145</v>
      </c>
      <c r="M134" s="114">
        <v>158145</v>
      </c>
      <c r="N134" s="114">
        <v>158145</v>
      </c>
      <c r="O134" s="114">
        <v>158145</v>
      </c>
    </row>
    <row r="135" spans="4:15" ht="12.75" customHeight="1" x14ac:dyDescent="0.25">
      <c r="D135" s="382"/>
      <c r="E135" s="2510" t="s">
        <v>3413</v>
      </c>
      <c r="F135" s="2510"/>
      <c r="G135" s="2510"/>
      <c r="H135" s="2510"/>
      <c r="I135" s="2510"/>
      <c r="J135" s="114"/>
      <c r="K135" s="114"/>
      <c r="L135" s="114"/>
      <c r="M135" s="114"/>
      <c r="N135" s="114"/>
      <c r="O135" s="114"/>
    </row>
    <row r="136" spans="4:15" ht="12.75" customHeight="1" x14ac:dyDescent="0.25">
      <c r="D136" s="382"/>
      <c r="E136" s="2510"/>
      <c r="F136" s="2510"/>
      <c r="G136" s="2510"/>
      <c r="H136" s="2510"/>
      <c r="I136" s="2510"/>
      <c r="J136" s="114">
        <v>28104</v>
      </c>
      <c r="K136" s="114">
        <v>28104</v>
      </c>
      <c r="L136" s="114">
        <v>28104</v>
      </c>
      <c r="M136" s="114">
        <v>28104</v>
      </c>
      <c r="N136" s="114">
        <v>28104</v>
      </c>
      <c r="O136" s="114">
        <v>28104</v>
      </c>
    </row>
    <row r="137" spans="4:15" ht="12.75" customHeight="1" x14ac:dyDescent="0.25">
      <c r="D137" s="382"/>
      <c r="E137" s="401" t="s">
        <v>3414</v>
      </c>
      <c r="F137" s="405"/>
      <c r="G137" s="405"/>
      <c r="H137" s="405"/>
      <c r="I137" s="405"/>
      <c r="J137" s="114">
        <v>2425</v>
      </c>
      <c r="K137" s="114">
        <v>2425</v>
      </c>
      <c r="L137" s="114">
        <v>2425</v>
      </c>
      <c r="M137" s="114">
        <v>2425</v>
      </c>
      <c r="N137" s="114">
        <v>2425</v>
      </c>
      <c r="O137" s="114">
        <v>2425</v>
      </c>
    </row>
    <row r="138" spans="4:15" ht="12.75" customHeight="1" x14ac:dyDescent="0.25">
      <c r="D138" s="382"/>
      <c r="E138" s="115" t="str">
        <f>"Subtotaal "&amp;D129</f>
        <v>Subtotaal 44380</v>
      </c>
      <c r="F138" s="115"/>
      <c r="G138" s="114"/>
      <c r="H138" s="114"/>
      <c r="I138" s="114"/>
      <c r="J138" s="564">
        <v>188674</v>
      </c>
      <c r="K138" s="564">
        <v>188674</v>
      </c>
      <c r="L138" s="564">
        <f>SUM(L134:L137)</f>
        <v>188674</v>
      </c>
      <c r="M138" s="564">
        <f>SUM(M134:M137)</f>
        <v>188674</v>
      </c>
      <c r="N138" s="564">
        <f>SUM(N134:N137)</f>
        <v>188674</v>
      </c>
      <c r="O138" s="564">
        <f>SUM(O134:O137)</f>
        <v>188674</v>
      </c>
    </row>
    <row r="139" spans="4:15" ht="12.75" customHeight="1" x14ac:dyDescent="0.25">
      <c r="D139" s="382"/>
      <c r="E139" s="115"/>
      <c r="F139" s="115"/>
      <c r="G139" s="114"/>
      <c r="H139" s="114"/>
      <c r="I139" s="114"/>
      <c r="J139" s="114"/>
      <c r="K139" s="114"/>
      <c r="L139" s="114"/>
      <c r="M139" s="114"/>
      <c r="N139" s="114"/>
      <c r="O139" s="114"/>
    </row>
    <row r="140" spans="4:15" ht="12.75" customHeight="1" x14ac:dyDescent="0.25">
      <c r="D140" s="382"/>
      <c r="E140" s="383" t="s">
        <v>3415</v>
      </c>
      <c r="F140" s="115"/>
      <c r="G140" s="114"/>
      <c r="H140" s="114"/>
      <c r="I140" s="114"/>
      <c r="J140" s="114"/>
      <c r="K140" s="114"/>
      <c r="L140" s="114"/>
      <c r="M140" s="114"/>
      <c r="N140" s="114"/>
      <c r="O140" s="114"/>
    </row>
    <row r="141" spans="4:15" ht="12.75" customHeight="1" x14ac:dyDescent="0.25">
      <c r="D141" s="382"/>
      <c r="E141" s="115" t="s">
        <v>3416</v>
      </c>
      <c r="F141" s="115"/>
      <c r="G141" s="114"/>
      <c r="H141" s="114"/>
      <c r="I141" s="114"/>
      <c r="J141" s="469">
        <v>18200</v>
      </c>
      <c r="K141" s="469">
        <v>18200</v>
      </c>
      <c r="L141" s="469">
        <v>18200</v>
      </c>
      <c r="M141" s="469">
        <v>18200</v>
      </c>
      <c r="N141" s="469">
        <v>18200</v>
      </c>
      <c r="O141" s="469">
        <v>18200</v>
      </c>
    </row>
    <row r="142" spans="4:15" ht="12.75" customHeight="1" x14ac:dyDescent="0.25">
      <c r="D142" s="382"/>
      <c r="E142" s="383" t="s">
        <v>3417</v>
      </c>
      <c r="F142" s="115"/>
      <c r="G142" s="114"/>
      <c r="H142" s="114"/>
      <c r="I142" s="114"/>
      <c r="J142" s="469"/>
      <c r="K142" s="469"/>
      <c r="L142" s="469"/>
      <c r="M142" s="469"/>
      <c r="N142" s="469"/>
      <c r="O142" s="469"/>
    </row>
    <row r="143" spans="4:15" ht="12.75" customHeight="1" x14ac:dyDescent="0.25">
      <c r="D143" s="382"/>
      <c r="E143" s="115" t="s">
        <v>3418</v>
      </c>
      <c r="F143" s="115"/>
      <c r="G143" s="114"/>
      <c r="H143" s="114"/>
      <c r="I143" s="114"/>
      <c r="J143" s="114">
        <v>-20535</v>
      </c>
      <c r="K143" s="114">
        <v>-20946</v>
      </c>
      <c r="L143" s="114">
        <f>ROUND(K143*T$3,0)</f>
        <v>-21826</v>
      </c>
      <c r="M143" s="114">
        <f>ROUND(L143*U$3,0)</f>
        <v>-22634</v>
      </c>
      <c r="N143" s="114">
        <f>ROUND(M143*V$3,0)</f>
        <v>-23471</v>
      </c>
      <c r="O143" s="114">
        <f>ROUND(N143*W$3,0)</f>
        <v>-24339</v>
      </c>
    </row>
    <row r="144" spans="4:15" ht="12.75" customHeight="1" x14ac:dyDescent="0.25">
      <c r="D144" s="382"/>
      <c r="E144" s="383" t="s">
        <v>1770</v>
      </c>
      <c r="F144" s="115"/>
      <c r="G144" s="114"/>
      <c r="H144" s="114"/>
      <c r="I144" s="114"/>
      <c r="J144" s="114"/>
      <c r="K144" s="114"/>
      <c r="L144" s="114"/>
      <c r="M144" s="114"/>
      <c r="N144" s="114"/>
      <c r="O144" s="114"/>
    </row>
    <row r="145" spans="4:21" ht="12.75" customHeight="1" x14ac:dyDescent="0.25">
      <c r="D145" s="382"/>
      <c r="E145" s="308" t="s">
        <v>3419</v>
      </c>
      <c r="F145" s="115"/>
      <c r="G145" s="114"/>
      <c r="H145" s="114"/>
      <c r="I145" s="114"/>
      <c r="J145" s="114"/>
      <c r="K145" s="114"/>
      <c r="L145" s="114"/>
      <c r="M145" s="114"/>
      <c r="N145" s="114"/>
      <c r="O145" s="114"/>
    </row>
    <row r="146" spans="4:21" ht="12.75" customHeight="1" x14ac:dyDescent="0.25">
      <c r="D146" s="382"/>
      <c r="E146" s="308" t="s">
        <v>3420</v>
      </c>
      <c r="F146" s="115"/>
      <c r="G146" s="114"/>
      <c r="H146" s="114"/>
      <c r="I146" s="114"/>
      <c r="J146" s="469"/>
      <c r="K146" s="469"/>
      <c r="L146" s="469"/>
      <c r="M146" s="469"/>
      <c r="N146" s="469"/>
      <c r="O146" s="469"/>
    </row>
    <row r="147" spans="4:21" ht="12.75" customHeight="1" x14ac:dyDescent="0.25">
      <c r="D147" s="382"/>
      <c r="E147" s="1063" t="s">
        <v>3421</v>
      </c>
      <c r="F147" s="115"/>
      <c r="G147" s="114"/>
      <c r="H147" s="114"/>
      <c r="I147" s="114"/>
      <c r="J147" s="469"/>
      <c r="K147" s="469"/>
      <c r="L147" s="469"/>
      <c r="M147" s="469"/>
      <c r="N147" s="469"/>
      <c r="O147" s="469"/>
    </row>
    <row r="148" spans="4:21" ht="12.75" customHeight="1" x14ac:dyDescent="0.25">
      <c r="D148" s="382"/>
      <c r="E148" s="308" t="s">
        <v>3422</v>
      </c>
      <c r="F148" s="115"/>
      <c r="G148" s="114"/>
      <c r="H148" s="114"/>
      <c r="I148" s="114"/>
      <c r="J148" s="114">
        <v>69259</v>
      </c>
      <c r="K148" s="114">
        <v>70644</v>
      </c>
      <c r="L148" s="114">
        <f>ROUND(K148*T$3,0)</f>
        <v>73611</v>
      </c>
      <c r="M148" s="114">
        <f>ROUND(L148*U$3,0)</f>
        <v>76335</v>
      </c>
      <c r="N148" s="114">
        <f>ROUND(M148*V$3,0)</f>
        <v>79159</v>
      </c>
      <c r="O148" s="114">
        <f>ROUND(N148*W$3,0)</f>
        <v>82088</v>
      </c>
    </row>
    <row r="149" spans="4:21" ht="12.75" customHeight="1" x14ac:dyDescent="0.25">
      <c r="D149" s="382"/>
      <c r="E149" s="1063" t="s">
        <v>3423</v>
      </c>
      <c r="F149" s="115"/>
      <c r="G149" s="114"/>
      <c r="H149" s="114"/>
      <c r="I149" s="114"/>
      <c r="J149" s="469"/>
      <c r="K149" s="469"/>
      <c r="L149" s="469"/>
      <c r="M149" s="469"/>
      <c r="N149" s="469"/>
      <c r="O149" s="469"/>
    </row>
    <row r="150" spans="4:21" ht="12.75" customHeight="1" x14ac:dyDescent="0.25">
      <c r="D150" s="382"/>
      <c r="E150" s="308" t="s">
        <v>3424</v>
      </c>
      <c r="F150" s="115"/>
      <c r="G150" s="114"/>
      <c r="H150" s="114"/>
      <c r="I150" s="114"/>
      <c r="J150" s="114">
        <v>61799</v>
      </c>
      <c r="K150" s="114">
        <v>63035</v>
      </c>
      <c r="L150" s="114">
        <f t="shared" ref="L150:O151" si="38">ROUND(K150*T$3,0)</f>
        <v>65682</v>
      </c>
      <c r="M150" s="114">
        <f t="shared" si="38"/>
        <v>68112</v>
      </c>
      <c r="N150" s="114">
        <f t="shared" si="38"/>
        <v>70632</v>
      </c>
      <c r="O150" s="114">
        <f t="shared" si="38"/>
        <v>73245</v>
      </c>
    </row>
    <row r="151" spans="4:21" ht="12.75" customHeight="1" x14ac:dyDescent="0.25">
      <c r="D151" s="382"/>
      <c r="E151" s="308" t="s">
        <v>3425</v>
      </c>
      <c r="F151" s="115"/>
      <c r="G151" s="114"/>
      <c r="H151" s="114"/>
      <c r="I151" s="114"/>
      <c r="J151" s="114">
        <v>-30899</v>
      </c>
      <c r="K151" s="114">
        <v>-31517</v>
      </c>
      <c r="L151" s="114">
        <f t="shared" si="38"/>
        <v>-32841</v>
      </c>
      <c r="M151" s="114">
        <f t="shared" si="38"/>
        <v>-34056</v>
      </c>
      <c r="N151" s="114">
        <f t="shared" si="38"/>
        <v>-35316</v>
      </c>
      <c r="O151" s="114">
        <f t="shared" si="38"/>
        <v>-36623</v>
      </c>
    </row>
    <row r="152" spans="4:21" ht="12.75" customHeight="1" x14ac:dyDescent="0.25">
      <c r="D152" s="382"/>
      <c r="E152" s="1063" t="s">
        <v>3426</v>
      </c>
      <c r="F152" s="115"/>
      <c r="G152" s="114"/>
      <c r="H152" s="114"/>
      <c r="I152" s="114"/>
      <c r="J152" s="469"/>
      <c r="K152" s="469"/>
      <c r="L152" s="469"/>
      <c r="M152" s="469"/>
      <c r="N152" s="469"/>
      <c r="O152" s="469"/>
    </row>
    <row r="153" spans="4:21" ht="12.75" customHeight="1" x14ac:dyDescent="0.25">
      <c r="D153" s="382"/>
      <c r="E153" s="1063" t="s">
        <v>3427</v>
      </c>
      <c r="F153" s="115"/>
      <c r="G153" s="114"/>
      <c r="H153" s="114"/>
      <c r="I153" s="114"/>
      <c r="J153" s="469">
        <v>-106697</v>
      </c>
      <c r="K153" s="469">
        <v>-106697</v>
      </c>
      <c r="L153" s="469">
        <v>-106697</v>
      </c>
      <c r="M153" s="469">
        <v>-106697</v>
      </c>
      <c r="N153" s="469">
        <v>-106697</v>
      </c>
      <c r="O153" s="469">
        <v>-106697</v>
      </c>
    </row>
    <row r="154" spans="4:21" ht="12.75" customHeight="1" x14ac:dyDescent="0.25">
      <c r="D154" s="382"/>
      <c r="E154" s="308" t="s">
        <v>3428</v>
      </c>
      <c r="F154" s="115"/>
      <c r="G154" s="114"/>
      <c r="H154" s="114"/>
      <c r="I154" s="114"/>
      <c r="J154" s="469">
        <v>28000</v>
      </c>
      <c r="K154" s="469">
        <v>28000</v>
      </c>
      <c r="L154" s="469">
        <v>28000</v>
      </c>
      <c r="M154" s="469">
        <v>28000</v>
      </c>
      <c r="N154" s="469">
        <v>28000</v>
      </c>
      <c r="O154" s="469">
        <v>28000</v>
      </c>
      <c r="P154" s="115">
        <f>204081-28000</f>
        <v>176081</v>
      </c>
      <c r="R154" s="115">
        <f>+P154/P159</f>
        <v>0.56855711047536628</v>
      </c>
    </row>
    <row r="155" spans="4:21" ht="12.75" customHeight="1" x14ac:dyDescent="0.25">
      <c r="D155" s="382"/>
      <c r="E155" s="115" t="s">
        <v>3429</v>
      </c>
      <c r="F155" s="115"/>
      <c r="G155" s="114"/>
      <c r="H155" s="114"/>
      <c r="I155" s="114"/>
      <c r="J155" s="114"/>
      <c r="K155" s="114">
        <v>-209393</v>
      </c>
      <c r="L155" s="114">
        <v>-213129</v>
      </c>
      <c r="M155" s="114">
        <v>-217037</v>
      </c>
      <c r="N155" s="114">
        <v>-221125</v>
      </c>
      <c r="O155" s="114">
        <v>-225400</v>
      </c>
    </row>
    <row r="156" spans="4:21" ht="12.75" customHeight="1" x14ac:dyDescent="0.25">
      <c r="D156" s="382"/>
      <c r="E156" s="1720" t="s">
        <v>5380</v>
      </c>
      <c r="F156" s="1720"/>
      <c r="G156" s="2177"/>
      <c r="H156" s="2177"/>
      <c r="I156" s="2177"/>
      <c r="J156" s="2177"/>
      <c r="K156" s="2177">
        <v>16000</v>
      </c>
      <c r="L156" s="2177"/>
      <c r="M156" s="2177"/>
      <c r="N156" s="2177"/>
      <c r="O156" s="2177"/>
    </row>
    <row r="157" spans="4:21" ht="12.75" customHeight="1" thickBot="1" x14ac:dyDescent="0.3">
      <c r="D157" s="382"/>
      <c r="E157" s="115" t="str">
        <f>"Totaal "&amp;D129</f>
        <v>Totaal 44380</v>
      </c>
      <c r="F157" s="115"/>
      <c r="G157" s="114"/>
      <c r="H157" s="114"/>
      <c r="I157" s="114"/>
      <c r="J157" s="1888">
        <v>207801</v>
      </c>
      <c r="K157" s="1888">
        <f>SUM(K138:K156)</f>
        <v>16000</v>
      </c>
      <c r="L157" s="1888">
        <f t="shared" ref="L157:O157" si="39">SUM(L138:L156)</f>
        <v>-326</v>
      </c>
      <c r="M157" s="1888">
        <f t="shared" si="39"/>
        <v>-1103</v>
      </c>
      <c r="N157" s="1888">
        <f t="shared" si="39"/>
        <v>-1944</v>
      </c>
      <c r="O157" s="1888">
        <f t="shared" si="39"/>
        <v>-2852</v>
      </c>
      <c r="P157" s="115">
        <v>133617</v>
      </c>
      <c r="R157" s="115">
        <f>+P157/P159</f>
        <v>0.43144288952463367</v>
      </c>
      <c r="U157" s="410">
        <f>+K157</f>
        <v>16000</v>
      </c>
    </row>
    <row r="158" spans="4:21" ht="12.75" customHeight="1" thickTop="1" x14ac:dyDescent="0.25">
      <c r="D158" s="382"/>
      <c r="E158" s="115"/>
      <c r="F158" s="115"/>
      <c r="G158" s="114"/>
      <c r="H158" s="114"/>
      <c r="I158" s="114"/>
    </row>
    <row r="159" spans="4:21" ht="12.75" customHeight="1" x14ac:dyDescent="0.25">
      <c r="D159" s="382">
        <v>629004</v>
      </c>
      <c r="E159" s="381" t="s">
        <v>3404</v>
      </c>
      <c r="F159" s="115"/>
      <c r="G159" s="114"/>
      <c r="H159" s="114"/>
      <c r="I159" s="114"/>
      <c r="J159" s="114"/>
      <c r="K159" s="114"/>
      <c r="L159" s="114"/>
      <c r="M159" s="114"/>
      <c r="N159" s="114"/>
      <c r="O159" s="114"/>
      <c r="P159" s="115">
        <f>+P154+P157</f>
        <v>309698</v>
      </c>
    </row>
    <row r="160" spans="4:21" ht="12.75" customHeight="1" x14ac:dyDescent="0.25">
      <c r="D160" s="382"/>
      <c r="E160" s="397" t="s">
        <v>533</v>
      </c>
      <c r="F160" s="115"/>
      <c r="G160" s="114"/>
      <c r="H160" s="114"/>
      <c r="I160" s="114"/>
      <c r="J160" s="486"/>
      <c r="K160" s="486"/>
      <c r="L160" s="486"/>
      <c r="M160" s="486"/>
      <c r="N160" s="486"/>
      <c r="O160" s="486"/>
    </row>
    <row r="161" spans="4:21" ht="12.75" customHeight="1" x14ac:dyDescent="0.25">
      <c r="D161" s="143">
        <v>44380</v>
      </c>
      <c r="E161" s="115" t="s">
        <v>3430</v>
      </c>
      <c r="F161" s="115"/>
      <c r="G161" s="114"/>
      <c r="H161" s="114"/>
      <c r="I161" s="114"/>
      <c r="J161" s="114">
        <v>19408</v>
      </c>
      <c r="K161" s="114">
        <v>14923</v>
      </c>
      <c r="L161" s="114">
        <v>14923</v>
      </c>
      <c r="M161" s="114">
        <v>14924</v>
      </c>
      <c r="N161" s="114">
        <v>14924</v>
      </c>
      <c r="O161" s="114">
        <v>14924</v>
      </c>
      <c r="U161" s="410">
        <f>+K161</f>
        <v>14923</v>
      </c>
    </row>
    <row r="162" spans="4:21" ht="12.75" customHeight="1" x14ac:dyDescent="0.25">
      <c r="D162" s="143"/>
      <c r="E162" s="115" t="s">
        <v>3429</v>
      </c>
      <c r="F162" s="115"/>
      <c r="G162" s="114"/>
      <c r="H162" s="114"/>
      <c r="I162" s="114"/>
      <c r="J162" s="114"/>
      <c r="K162" s="114">
        <v>-14923</v>
      </c>
      <c r="L162" s="114">
        <f>-L161</f>
        <v>-14923</v>
      </c>
      <c r="M162" s="114">
        <f>-M161</f>
        <v>-14924</v>
      </c>
      <c r="N162" s="114">
        <f>-N161</f>
        <v>-14924</v>
      </c>
      <c r="O162" s="114">
        <f>-O161</f>
        <v>-14924</v>
      </c>
      <c r="U162" s="410"/>
    </row>
    <row r="163" spans="4:21" ht="12.75" customHeight="1" thickBot="1" x14ac:dyDescent="0.3">
      <c r="D163" s="382"/>
      <c r="E163" s="115" t="str">
        <f>"Totaal "&amp;D161</f>
        <v>Totaal 44380</v>
      </c>
      <c r="F163" s="115"/>
      <c r="G163" s="114"/>
      <c r="H163" s="114"/>
      <c r="I163" s="114"/>
      <c r="J163" s="1744">
        <v>19408</v>
      </c>
      <c r="K163" s="1744">
        <v>0</v>
      </c>
      <c r="L163" s="1744">
        <f>+L161+L162</f>
        <v>0</v>
      </c>
      <c r="M163" s="1744">
        <f>+M161+M162</f>
        <v>0</v>
      </c>
      <c r="N163" s="1744">
        <f>+N161+N162</f>
        <v>0</v>
      </c>
      <c r="O163" s="1744">
        <f>+O161+O162</f>
        <v>0</v>
      </c>
      <c r="P163" s="115">
        <v>28000</v>
      </c>
    </row>
    <row r="164" spans="4:21" ht="12.75" customHeight="1" thickTop="1" x14ac:dyDescent="0.25">
      <c r="D164" s="382"/>
      <c r="E164" s="115"/>
      <c r="F164" s="115"/>
      <c r="G164" s="114"/>
      <c r="H164" s="114"/>
      <c r="I164" s="114"/>
    </row>
    <row r="165" spans="4:21" ht="12.75" customHeight="1" x14ac:dyDescent="0.25">
      <c r="D165" s="382">
        <v>629005</v>
      </c>
      <c r="E165" s="381" t="s">
        <v>3405</v>
      </c>
      <c r="F165" s="115"/>
      <c r="G165" s="114"/>
      <c r="H165" s="114"/>
      <c r="I165" s="114"/>
      <c r="J165" s="114"/>
      <c r="K165" s="114"/>
      <c r="L165" s="114"/>
      <c r="M165" s="114"/>
      <c r="N165" s="114"/>
      <c r="O165" s="114"/>
    </row>
    <row r="166" spans="4:21" ht="12.75" customHeight="1" x14ac:dyDescent="0.25">
      <c r="D166" s="382"/>
      <c r="E166" s="397" t="s">
        <v>533</v>
      </c>
      <c r="F166" s="115"/>
      <c r="G166" s="114"/>
      <c r="H166" s="114"/>
      <c r="I166" s="114"/>
      <c r="J166" s="486"/>
      <c r="K166" s="486"/>
      <c r="L166" s="486"/>
      <c r="M166" s="486"/>
      <c r="N166" s="486"/>
      <c r="O166" s="486"/>
    </row>
    <row r="167" spans="4:21" ht="12.75" customHeight="1" x14ac:dyDescent="0.25">
      <c r="D167" s="143">
        <v>44380</v>
      </c>
      <c r="E167" s="115" t="s">
        <v>3431</v>
      </c>
      <c r="F167" s="115"/>
      <c r="G167" s="114"/>
      <c r="H167" s="114"/>
      <c r="I167" s="114"/>
      <c r="J167" s="114">
        <v>133617</v>
      </c>
      <c r="K167" s="114">
        <v>129081</v>
      </c>
      <c r="L167" s="114">
        <v>129081</v>
      </c>
      <c r="M167" s="114">
        <v>129082</v>
      </c>
      <c r="N167" s="114">
        <v>129082</v>
      </c>
      <c r="O167" s="114">
        <v>129082</v>
      </c>
    </row>
    <row r="168" spans="4:21" ht="12.75" customHeight="1" x14ac:dyDescent="0.25">
      <c r="D168" s="143"/>
      <c r="E168" s="115" t="s">
        <v>3429</v>
      </c>
      <c r="F168" s="115"/>
      <c r="G168" s="114"/>
      <c r="H168" s="114"/>
      <c r="I168" s="114"/>
      <c r="J168" s="114"/>
      <c r="K168" s="114">
        <v>-129081</v>
      </c>
      <c r="L168" s="114">
        <f>-L167</f>
        <v>-129081</v>
      </c>
      <c r="M168" s="114">
        <f>-M167</f>
        <v>-129082</v>
      </c>
      <c r="N168" s="114">
        <f>-N167</f>
        <v>-129082</v>
      </c>
      <c r="O168" s="114">
        <f>-O167</f>
        <v>-129082</v>
      </c>
    </row>
    <row r="169" spans="4:21" ht="12.75" customHeight="1" thickBot="1" x14ac:dyDescent="0.3">
      <c r="D169" s="382"/>
      <c r="E169" s="115" t="str">
        <f>"Totaal "&amp;D167</f>
        <v>Totaal 44380</v>
      </c>
      <c r="F169" s="115"/>
      <c r="G169" s="114"/>
      <c r="H169" s="114"/>
      <c r="I169" s="114"/>
      <c r="J169" s="1744">
        <v>133617</v>
      </c>
      <c r="K169" s="1744">
        <v>0</v>
      </c>
      <c r="L169" s="1744">
        <f>+L167+L168</f>
        <v>0</v>
      </c>
      <c r="M169" s="1744">
        <f>+M167+M168</f>
        <v>0</v>
      </c>
      <c r="N169" s="1744">
        <f>+N167+N168</f>
        <v>0</v>
      </c>
      <c r="O169" s="1744">
        <f>+O167+O168</f>
        <v>0</v>
      </c>
      <c r="U169" s="410">
        <f>+K167</f>
        <v>129081</v>
      </c>
    </row>
    <row r="170" spans="4:21" ht="12.75" customHeight="1" thickTop="1" x14ac:dyDescent="0.25">
      <c r="D170" s="382"/>
      <c r="E170" s="115"/>
      <c r="F170" s="115"/>
      <c r="G170" s="114"/>
      <c r="H170" s="114"/>
      <c r="I170" s="114"/>
      <c r="J170" s="114"/>
      <c r="K170" s="114"/>
      <c r="L170" s="114"/>
      <c r="M170" s="114"/>
      <c r="N170" s="114"/>
      <c r="O170" s="114"/>
    </row>
    <row r="171" spans="4:21" ht="12.75" customHeight="1" x14ac:dyDescent="0.25">
      <c r="D171" s="382"/>
      <c r="E171" s="115"/>
      <c r="F171" s="115"/>
      <c r="G171" s="114"/>
      <c r="H171" s="114"/>
      <c r="I171" s="114"/>
      <c r="J171" s="114"/>
      <c r="K171" s="114"/>
      <c r="L171" s="114"/>
      <c r="M171" s="114"/>
      <c r="N171" s="114"/>
      <c r="O171" s="114"/>
    </row>
    <row r="172" spans="4:21" ht="12.75" customHeight="1" x14ac:dyDescent="0.25">
      <c r="D172" s="382">
        <v>629006</v>
      </c>
      <c r="E172" s="381" t="s">
        <v>3400</v>
      </c>
      <c r="F172" s="115"/>
      <c r="G172" s="114"/>
      <c r="H172" s="114"/>
      <c r="I172" s="114"/>
      <c r="J172" s="114"/>
      <c r="K172" s="114"/>
      <c r="L172" s="114"/>
      <c r="M172" s="114"/>
      <c r="N172" s="114"/>
      <c r="O172" s="114"/>
      <c r="U172" s="114">
        <f>SUM(U157:U169)</f>
        <v>160004</v>
      </c>
    </row>
    <row r="173" spans="4:21" ht="12.75" customHeight="1" x14ac:dyDescent="0.25">
      <c r="D173" s="382"/>
      <c r="E173" s="115" t="s">
        <v>533</v>
      </c>
      <c r="F173" s="115"/>
      <c r="G173" s="114"/>
      <c r="H173" s="114"/>
      <c r="I173" s="114"/>
      <c r="J173" s="114"/>
      <c r="K173" s="114"/>
      <c r="L173" s="114"/>
      <c r="M173" s="114"/>
      <c r="N173" s="114"/>
      <c r="O173" s="114"/>
    </row>
    <row r="174" spans="4:21" ht="12.75" customHeight="1" x14ac:dyDescent="0.25">
      <c r="D174" s="143">
        <v>44380</v>
      </c>
      <c r="E174" s="115" t="s">
        <v>3432</v>
      </c>
      <c r="F174" s="115"/>
      <c r="G174" s="114"/>
      <c r="H174" s="114"/>
      <c r="I174" s="114"/>
      <c r="J174" s="114"/>
      <c r="K174" s="114">
        <v>209393</v>
      </c>
      <c r="L174" s="114">
        <v>213129</v>
      </c>
      <c r="M174" s="114">
        <v>217037</v>
      </c>
      <c r="N174" s="114">
        <v>221125</v>
      </c>
      <c r="O174" s="114">
        <v>221125</v>
      </c>
    </row>
    <row r="175" spans="4:21" ht="12.75" customHeight="1" x14ac:dyDescent="0.25">
      <c r="D175" s="143">
        <v>44380</v>
      </c>
      <c r="E175" s="115" t="s">
        <v>3432</v>
      </c>
      <c r="F175" s="115"/>
      <c r="G175" s="114"/>
      <c r="H175" s="114"/>
      <c r="I175" s="114"/>
      <c r="J175" s="114"/>
      <c r="K175" s="114">
        <v>14923</v>
      </c>
      <c r="L175" s="114">
        <v>14923</v>
      </c>
      <c r="M175" s="114">
        <v>14924</v>
      </c>
      <c r="N175" s="114">
        <v>14924</v>
      </c>
      <c r="O175" s="114">
        <v>14924</v>
      </c>
    </row>
    <row r="176" spans="4:21" ht="12.75" customHeight="1" x14ac:dyDescent="0.25">
      <c r="D176" s="143">
        <v>44380</v>
      </c>
      <c r="E176" s="115" t="s">
        <v>3433</v>
      </c>
      <c r="F176" s="115"/>
      <c r="G176" s="114"/>
      <c r="H176" s="114"/>
      <c r="I176" s="114"/>
      <c r="J176" s="114"/>
      <c r="K176" s="114">
        <v>129081</v>
      </c>
      <c r="L176" s="114">
        <v>129081</v>
      </c>
      <c r="M176" s="114">
        <v>129082</v>
      </c>
      <c r="N176" s="114">
        <v>129082</v>
      </c>
      <c r="O176" s="114">
        <v>129082</v>
      </c>
    </row>
    <row r="177" spans="4:21" ht="12.75" customHeight="1" x14ac:dyDescent="0.25">
      <c r="D177" s="143">
        <v>44380</v>
      </c>
      <c r="E177" s="115" t="s">
        <v>3434</v>
      </c>
      <c r="F177" s="115"/>
      <c r="G177" s="114"/>
      <c r="H177" s="114"/>
      <c r="I177" s="114"/>
      <c r="J177" s="114"/>
      <c r="K177" s="114">
        <v>50000</v>
      </c>
      <c r="L177" s="114">
        <v>50001</v>
      </c>
      <c r="M177" s="114">
        <v>50002</v>
      </c>
      <c r="N177" s="114">
        <v>50003</v>
      </c>
      <c r="O177" s="114">
        <v>50003</v>
      </c>
    </row>
    <row r="178" spans="4:21" ht="12.75" customHeight="1" x14ac:dyDescent="0.25">
      <c r="D178" s="143">
        <v>44380</v>
      </c>
      <c r="E178" s="115" t="s">
        <v>3435</v>
      </c>
      <c r="F178" s="115"/>
      <c r="G178" s="114"/>
      <c r="H178" s="114"/>
      <c r="I178" s="114"/>
      <c r="J178" s="114"/>
      <c r="K178" s="114">
        <v>23480</v>
      </c>
      <c r="L178" s="114">
        <v>23880</v>
      </c>
      <c r="M178" s="114">
        <v>24300</v>
      </c>
      <c r="N178" s="114">
        <v>24720</v>
      </c>
      <c r="O178" s="114">
        <v>24720</v>
      </c>
    </row>
    <row r="179" spans="4:21" ht="12.75" customHeight="1" x14ac:dyDescent="0.25">
      <c r="D179" s="143">
        <v>44380</v>
      </c>
      <c r="E179" s="115" t="s">
        <v>3436</v>
      </c>
      <c r="F179" s="115"/>
      <c r="G179" s="114"/>
      <c r="H179" s="114"/>
      <c r="I179" s="114"/>
      <c r="J179" s="114"/>
      <c r="K179" s="114">
        <v>35000</v>
      </c>
      <c r="L179" s="114">
        <v>35000</v>
      </c>
      <c r="M179" s="114">
        <v>35000</v>
      </c>
      <c r="N179" s="114">
        <v>35000</v>
      </c>
      <c r="O179" s="114">
        <v>35000</v>
      </c>
    </row>
    <row r="180" spans="4:21" ht="12.75" customHeight="1" x14ac:dyDescent="0.25">
      <c r="D180" s="143"/>
      <c r="E180" s="115"/>
      <c r="F180" s="115"/>
      <c r="G180" s="114"/>
      <c r="H180" s="114"/>
      <c r="I180" s="114"/>
      <c r="J180" s="114"/>
      <c r="K180" s="114"/>
      <c r="L180" s="114"/>
      <c r="M180" s="114"/>
      <c r="N180" s="114"/>
      <c r="O180" s="114"/>
      <c r="R180" s="114">
        <f>+K157</f>
        <v>16000</v>
      </c>
      <c r="S180" s="115">
        <v>35000</v>
      </c>
    </row>
    <row r="181" spans="4:21" ht="12.75" customHeight="1" thickBot="1" x14ac:dyDescent="0.3">
      <c r="D181" s="382"/>
      <c r="E181" s="115" t="s">
        <v>3135</v>
      </c>
      <c r="F181" s="115"/>
      <c r="G181" s="114"/>
      <c r="H181" s="114"/>
      <c r="I181" s="114"/>
      <c r="J181" s="1744">
        <f>SUM(J173:J179)</f>
        <v>0</v>
      </c>
      <c r="K181" s="1744">
        <v>461877</v>
      </c>
      <c r="L181" s="1744">
        <f>SUM(L173:L179)</f>
        <v>466014</v>
      </c>
      <c r="M181" s="1744">
        <f>SUM(M173:M179)</f>
        <v>470345</v>
      </c>
      <c r="N181" s="1744">
        <f>SUM(N173:N179)</f>
        <v>474854</v>
      </c>
      <c r="O181" s="1744">
        <f>SUM(O173:O179)</f>
        <v>474854</v>
      </c>
      <c r="S181" s="115">
        <v>23000</v>
      </c>
    </row>
    <row r="182" spans="4:21" ht="12.75" customHeight="1" thickTop="1" x14ac:dyDescent="0.25">
      <c r="D182" s="382"/>
      <c r="E182" s="115"/>
      <c r="F182" s="115"/>
      <c r="G182" s="114"/>
      <c r="H182" s="114"/>
      <c r="I182" s="114"/>
    </row>
    <row r="183" spans="4:21" ht="12.75" customHeight="1" x14ac:dyDescent="0.25">
      <c r="D183" s="382"/>
      <c r="E183" s="115"/>
      <c r="F183" s="115"/>
      <c r="G183" s="114"/>
      <c r="H183" s="114"/>
      <c r="I183" s="114"/>
    </row>
    <row r="184" spans="4:21" ht="12.75" customHeight="1" x14ac:dyDescent="0.25">
      <c r="D184" s="648">
        <v>629901</v>
      </c>
      <c r="E184" s="381" t="s">
        <v>3437</v>
      </c>
      <c r="F184" s="115"/>
      <c r="G184" s="114"/>
      <c r="H184" s="114"/>
      <c r="I184" s="114"/>
      <c r="J184" s="407">
        <v>2025</v>
      </c>
      <c r="K184" s="407">
        <v>2026</v>
      </c>
      <c r="L184" s="407">
        <v>2027</v>
      </c>
      <c r="M184" s="407">
        <v>2028</v>
      </c>
      <c r="N184" s="407">
        <v>2029</v>
      </c>
      <c r="O184" s="407">
        <v>2030</v>
      </c>
      <c r="R184" s="114">
        <f>+R180+U169</f>
        <v>145081</v>
      </c>
      <c r="S184" s="114">
        <f>+S180+S181</f>
        <v>58000</v>
      </c>
      <c r="U184" s="114">
        <f>+R184+S184</f>
        <v>203081</v>
      </c>
    </row>
    <row r="185" spans="4:21" ht="12.75" customHeight="1" x14ac:dyDescent="0.25">
      <c r="D185" s="384"/>
      <c r="E185" s="383" t="s">
        <v>533</v>
      </c>
      <c r="F185" s="115"/>
      <c r="G185" s="114"/>
      <c r="H185" s="114"/>
      <c r="I185" s="114"/>
      <c r="J185" s="114"/>
      <c r="K185" s="114"/>
      <c r="L185" s="114"/>
      <c r="M185" s="114"/>
      <c r="N185" s="114"/>
      <c r="O185" s="114"/>
    </row>
    <row r="186" spans="4:21" ht="12.75" customHeight="1" x14ac:dyDescent="0.25">
      <c r="D186" s="384">
        <v>41100</v>
      </c>
      <c r="E186" s="115" t="s">
        <v>541</v>
      </c>
      <c r="F186" s="115"/>
      <c r="G186" s="114"/>
      <c r="H186" s="114"/>
      <c r="I186" s="114"/>
    </row>
    <row r="187" spans="4:21" ht="12.75" customHeight="1" x14ac:dyDescent="0.25">
      <c r="D187" s="384"/>
      <c r="E187" s="308" t="s">
        <v>706</v>
      </c>
      <c r="F187" s="115"/>
      <c r="G187" s="114"/>
      <c r="H187" s="114"/>
      <c r="I187" s="114"/>
      <c r="J187" s="151">
        <v>0</v>
      </c>
      <c r="K187" s="151">
        <v>0</v>
      </c>
      <c r="L187" s="151">
        <v>0</v>
      </c>
      <c r="M187" s="151">
        <f t="shared" ref="M187:O189" si="40">ROUND(L187*U$3,0)</f>
        <v>0</v>
      </c>
      <c r="N187" s="151">
        <f t="shared" si="40"/>
        <v>0</v>
      </c>
      <c r="O187" s="151">
        <f t="shared" si="40"/>
        <v>0</v>
      </c>
      <c r="U187" s="410">
        <f>+U172+S184</f>
        <v>218004</v>
      </c>
    </row>
    <row r="188" spans="4:21" ht="12.75" customHeight="1" x14ac:dyDescent="0.25">
      <c r="D188" s="384"/>
      <c r="E188" s="308" t="s">
        <v>707</v>
      </c>
      <c r="F188" s="115"/>
      <c r="G188" s="114"/>
      <c r="H188" s="114"/>
      <c r="I188" s="114"/>
      <c r="J188" s="151">
        <v>33038</v>
      </c>
      <c r="K188" s="114">
        <v>35439.43</v>
      </c>
      <c r="L188" s="114">
        <f>ROUND(K188*T$3,0)</f>
        <v>36928</v>
      </c>
      <c r="M188" s="114">
        <f t="shared" si="40"/>
        <v>38294</v>
      </c>
      <c r="N188" s="114">
        <f t="shared" si="40"/>
        <v>39711</v>
      </c>
      <c r="O188" s="114">
        <f t="shared" si="40"/>
        <v>41180</v>
      </c>
    </row>
    <row r="189" spans="4:21" ht="12.75" customHeight="1" x14ac:dyDescent="0.25">
      <c r="D189" s="384"/>
      <c r="E189" s="308" t="s">
        <v>3261</v>
      </c>
      <c r="F189" s="115"/>
      <c r="G189" s="114"/>
      <c r="H189" s="114"/>
      <c r="I189" s="114"/>
      <c r="J189" s="151">
        <v>85662.44</v>
      </c>
      <c r="K189" s="114">
        <v>105157.32</v>
      </c>
      <c r="L189" s="114">
        <f>ROUND(K189*T$3,0)</f>
        <v>109574</v>
      </c>
      <c r="M189" s="114">
        <f t="shared" si="40"/>
        <v>113628</v>
      </c>
      <c r="N189" s="114">
        <f t="shared" si="40"/>
        <v>117832</v>
      </c>
      <c r="O189" s="114">
        <f t="shared" si="40"/>
        <v>122192</v>
      </c>
    </row>
    <row r="190" spans="4:21" ht="12.75" customHeight="1" thickBot="1" x14ac:dyDescent="0.3">
      <c r="D190" s="384"/>
      <c r="E190" s="115" t="str">
        <f>"Totaal "&amp;D186</f>
        <v>Totaal 41100</v>
      </c>
      <c r="F190" s="115"/>
      <c r="G190" s="114"/>
      <c r="H190" s="114"/>
      <c r="I190" s="114"/>
      <c r="J190" s="1778">
        <v>118700.44</v>
      </c>
      <c r="K190" s="1778">
        <v>140596.75</v>
      </c>
      <c r="L190" s="1778">
        <f t="shared" ref="L190:M190" si="41">+SUM(L187:L189)</f>
        <v>146502</v>
      </c>
      <c r="M190" s="1778">
        <f t="shared" si="41"/>
        <v>151922</v>
      </c>
      <c r="N190" s="1778">
        <f t="shared" ref="N190:O190" si="42">+SUM(N187:N189)</f>
        <v>157543</v>
      </c>
      <c r="O190" s="1778">
        <f t="shared" si="42"/>
        <v>163372</v>
      </c>
    </row>
    <row r="191" spans="4:21" ht="12.75" customHeight="1" thickTop="1" x14ac:dyDescent="0.25">
      <c r="D191" s="382"/>
      <c r="E191" s="115"/>
      <c r="F191" s="115"/>
      <c r="G191" s="114"/>
      <c r="H191" s="114"/>
      <c r="I191" s="114"/>
    </row>
    <row r="192" spans="4:21" ht="12.75" customHeight="1" x14ac:dyDescent="0.25">
      <c r="D192" s="382">
        <v>629004</v>
      </c>
      <c r="E192" s="381" t="s">
        <v>3404</v>
      </c>
      <c r="F192" s="115"/>
      <c r="G192" s="114"/>
      <c r="H192" s="114"/>
      <c r="I192" s="114"/>
      <c r="J192" s="114"/>
      <c r="K192" s="114"/>
      <c r="L192" s="114"/>
      <c r="M192" s="114"/>
      <c r="N192" s="114"/>
      <c r="O192" s="114"/>
    </row>
    <row r="193" spans="4:16" ht="12.75" customHeight="1" x14ac:dyDescent="0.25">
      <c r="D193" s="382"/>
      <c r="E193" s="383" t="s">
        <v>554</v>
      </c>
      <c r="F193" s="115"/>
      <c r="G193" s="114"/>
      <c r="H193" s="114"/>
      <c r="I193" s="114"/>
    </row>
    <row r="194" spans="4:16" ht="12.75" customHeight="1" x14ac:dyDescent="0.25">
      <c r="D194" s="143">
        <v>84310</v>
      </c>
      <c r="E194" s="115" t="s">
        <v>3430</v>
      </c>
      <c r="F194" s="115"/>
      <c r="G194" s="114"/>
      <c r="H194" s="114"/>
      <c r="I194" s="114"/>
      <c r="J194" s="114">
        <v>-19408</v>
      </c>
      <c r="K194" s="114">
        <v>-14923</v>
      </c>
      <c r="L194" s="114">
        <v>-14923</v>
      </c>
      <c r="M194" s="114">
        <v>-14924</v>
      </c>
      <c r="N194" s="114">
        <v>-14924</v>
      </c>
      <c r="O194" s="114">
        <v>-14924</v>
      </c>
    </row>
    <row r="195" spans="4:16" ht="12.75" customHeight="1" thickBot="1" x14ac:dyDescent="0.3">
      <c r="D195" s="382"/>
      <c r="E195" s="115"/>
      <c r="F195" s="115"/>
      <c r="G195" s="114"/>
      <c r="H195" s="114"/>
      <c r="I195" s="114"/>
      <c r="J195" s="1744">
        <v>-19408</v>
      </c>
      <c r="K195" s="1744">
        <v>-14923</v>
      </c>
      <c r="L195" s="1744">
        <f t="shared" ref="L195" si="43">SUM(L194)</f>
        <v>-14923</v>
      </c>
      <c r="M195" s="1744">
        <f t="shared" ref="M195:N195" si="44">SUM(M194)</f>
        <v>-14924</v>
      </c>
      <c r="N195" s="1744">
        <f t="shared" si="44"/>
        <v>-14924</v>
      </c>
      <c r="O195" s="1744">
        <f t="shared" ref="O195" si="45">SUM(O194)</f>
        <v>-14924</v>
      </c>
    </row>
    <row r="196" spans="4:16" ht="12.75" customHeight="1" thickTop="1" x14ac:dyDescent="0.25">
      <c r="D196" s="382">
        <v>629005</v>
      </c>
      <c r="E196" s="381" t="s">
        <v>3405</v>
      </c>
      <c r="F196" s="115"/>
      <c r="G196" s="114"/>
      <c r="H196" s="114"/>
      <c r="I196" s="114"/>
      <c r="J196" s="114"/>
      <c r="K196" s="114"/>
      <c r="L196" s="114"/>
      <c r="M196" s="114"/>
      <c r="N196" s="114"/>
      <c r="O196" s="114"/>
      <c r="P196" s="114"/>
    </row>
    <row r="197" spans="4:16" ht="12.75" customHeight="1" x14ac:dyDescent="0.25">
      <c r="D197" s="382"/>
      <c r="E197" s="397" t="s">
        <v>554</v>
      </c>
      <c r="F197" s="115"/>
      <c r="G197" s="114"/>
      <c r="H197" s="114"/>
      <c r="I197" s="114"/>
      <c r="J197" s="486"/>
      <c r="K197" s="486"/>
      <c r="L197" s="486"/>
      <c r="M197" s="486"/>
      <c r="N197" s="486"/>
      <c r="O197" s="486"/>
    </row>
    <row r="198" spans="4:16" ht="12.75" customHeight="1" x14ac:dyDescent="0.25">
      <c r="D198" s="143">
        <v>84310</v>
      </c>
      <c r="E198" s="115" t="s">
        <v>3431</v>
      </c>
      <c r="F198" s="115"/>
      <c r="G198" s="114"/>
      <c r="H198" s="114"/>
      <c r="I198" s="114"/>
      <c r="J198" s="114">
        <v>-133617</v>
      </c>
      <c r="K198" s="114">
        <v>-129081</v>
      </c>
      <c r="L198" s="114">
        <v>-129081</v>
      </c>
      <c r="M198" s="114">
        <v>-129080</v>
      </c>
      <c r="N198" s="114">
        <v>-129080</v>
      </c>
      <c r="O198" s="114">
        <v>-129080</v>
      </c>
    </row>
    <row r="199" spans="4:16" ht="12.75" customHeight="1" thickBot="1" x14ac:dyDescent="0.3">
      <c r="D199" s="382"/>
      <c r="E199" s="115" t="str">
        <f>"Totaal "&amp;D198</f>
        <v>Totaal 84310</v>
      </c>
      <c r="F199" s="115"/>
      <c r="G199" s="114"/>
      <c r="H199" s="114"/>
      <c r="I199" s="114"/>
      <c r="J199" s="1744">
        <v>-133617</v>
      </c>
      <c r="K199" s="1744">
        <v>-129081</v>
      </c>
      <c r="L199" s="1744">
        <f t="shared" ref="L199:M199" si="46">SUM(L198)</f>
        <v>-129081</v>
      </c>
      <c r="M199" s="1744">
        <f t="shared" si="46"/>
        <v>-129080</v>
      </c>
      <c r="N199" s="1744">
        <f t="shared" ref="N199:O199" si="47">SUM(N198)</f>
        <v>-129080</v>
      </c>
      <c r="O199" s="1744">
        <f t="shared" si="47"/>
        <v>-129080</v>
      </c>
    </row>
    <row r="200" spans="4:16" ht="12.75" customHeight="1" thickTop="1" x14ac:dyDescent="0.25">
      <c r="D200" s="382"/>
      <c r="E200" s="115"/>
      <c r="F200" s="115"/>
      <c r="G200" s="114"/>
      <c r="H200" s="114"/>
      <c r="I200" s="114"/>
      <c r="J200" s="114"/>
      <c r="K200" s="114"/>
      <c r="L200" s="114"/>
      <c r="M200" s="114"/>
      <c r="N200" s="114"/>
      <c r="O200" s="114"/>
    </row>
    <row r="201" spans="4:16" ht="12.75" customHeight="1" x14ac:dyDescent="0.25">
      <c r="D201" s="384"/>
      <c r="E201" s="384"/>
      <c r="F201" s="384"/>
      <c r="J201" s="114"/>
      <c r="K201" s="114"/>
      <c r="L201" s="114"/>
      <c r="M201" s="114"/>
      <c r="N201" s="114"/>
      <c r="O201" s="114"/>
    </row>
    <row r="202" spans="4:16" ht="12.75" customHeight="1" x14ac:dyDescent="0.25">
      <c r="D202" s="384"/>
      <c r="E202" s="384"/>
      <c r="F202" s="384"/>
    </row>
    <row r="203" spans="4:16" ht="12.75" customHeight="1" x14ac:dyDescent="0.25">
      <c r="D203" s="384"/>
      <c r="E203" s="384"/>
      <c r="F203" s="384"/>
    </row>
    <row r="204" spans="4:16" ht="12.75" customHeight="1" x14ac:dyDescent="0.25">
      <c r="D204" s="384"/>
      <c r="E204" s="384"/>
      <c r="F204" s="384"/>
    </row>
    <row r="205" spans="4:16" ht="12.75" customHeight="1" x14ac:dyDescent="0.25">
      <c r="D205" s="384"/>
      <c r="E205" s="384"/>
      <c r="F205" s="384"/>
    </row>
    <row r="206" spans="4:16" ht="12.75" customHeight="1" x14ac:dyDescent="0.25">
      <c r="D206" s="384"/>
      <c r="E206" s="384"/>
      <c r="F206" s="384"/>
    </row>
    <row r="207" spans="4:16" ht="12.75" customHeight="1" x14ac:dyDescent="0.25">
      <c r="D207" s="384"/>
      <c r="E207" s="384"/>
      <c r="F207" s="384"/>
    </row>
    <row r="208" spans="4:16" ht="12.75" customHeight="1" x14ac:dyDescent="0.25">
      <c r="D208" s="384"/>
      <c r="E208" s="384"/>
      <c r="F208" s="384"/>
    </row>
    <row r="209" spans="4:6" ht="12.75" customHeight="1" x14ac:dyDescent="0.25">
      <c r="D209" s="384"/>
      <c r="E209" s="384"/>
      <c r="F209" s="384"/>
    </row>
    <row r="210" spans="4:6" ht="12.75" customHeight="1" x14ac:dyDescent="0.25">
      <c r="D210" s="384"/>
      <c r="E210" s="384"/>
      <c r="F210" s="384"/>
    </row>
    <row r="211" spans="4:6" ht="12.75" customHeight="1" x14ac:dyDescent="0.25">
      <c r="D211" s="384"/>
      <c r="E211" s="384"/>
      <c r="F211" s="384"/>
    </row>
  </sheetData>
  <mergeCells count="5">
    <mergeCell ref="D68:D69"/>
    <mergeCell ref="F68:F69"/>
    <mergeCell ref="G68:H69"/>
    <mergeCell ref="E135:I136"/>
    <mergeCell ref="E129:K131"/>
  </mergeCells>
  <hyperlinks>
    <hyperlink ref="A1" location="Inhoudsopgave!A1" display="Inhoudsopgave" xr:uid="{2FD9064E-CBF2-483C-8BE8-E0C24A3F9A0F}"/>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5" min="3" max="14" man="1"/>
    <brk id="114" min="3" max="14"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C088-05F9-4B80-9CA4-845DA4B810EE}">
  <sheetPr codeName="Blad26"/>
  <dimension ref="A1:Y1372"/>
  <sheetViews>
    <sheetView showGridLines="0" tabSelected="1" view="pageBreakPreview" topLeftCell="D177" zoomScaleNormal="100" zoomScaleSheetLayoutView="100" workbookViewId="0">
      <selection activeCell="I192" sqref="I192"/>
    </sheetView>
  </sheetViews>
  <sheetFormatPr defaultColWidth="9.109375" defaultRowHeight="12.75" customHeight="1" x14ac:dyDescent="0.25"/>
  <cols>
    <col min="1" max="1" width="9" style="306" bestFit="1" customWidth="1"/>
    <col min="2" max="3" width="20.33203125" style="115" customWidth="1"/>
    <col min="4" max="4" width="9.6640625" style="301" customWidth="1"/>
    <col min="5" max="6" width="9.6640625" style="143" customWidth="1"/>
    <col min="7" max="9" width="12.6640625" style="115" customWidth="1"/>
    <col min="10" max="14" width="11.6640625" style="115" customWidth="1"/>
    <col min="15" max="15" width="14.33203125" style="115" bestFit="1" customWidth="1"/>
    <col min="16" max="16" width="20.44140625" style="252" bestFit="1" customWidth="1"/>
    <col min="17" max="17" width="12.6640625" style="115" customWidth="1"/>
    <col min="18" max="18" width="14.88671875" style="633" customWidth="1"/>
    <col min="19" max="19" width="12.6640625" style="633" customWidth="1"/>
    <col min="20" max="20" width="14" style="633" bestFit="1" customWidth="1"/>
    <col min="21" max="21" width="13.109375" style="633" bestFit="1" customWidth="1"/>
    <col min="22" max="22" width="13.33203125" style="633" bestFit="1" customWidth="1"/>
    <col min="23" max="24" width="13.33203125" style="115" bestFit="1" customWidth="1"/>
    <col min="25" max="25" width="9.109375" style="115"/>
    <col min="26" max="26" width="11.5546875" style="115" bestFit="1" customWidth="1"/>
    <col min="27" max="16384" width="9.109375" style="115"/>
  </cols>
  <sheetData>
    <row r="1" spans="1:24" ht="12.75" customHeight="1" x14ac:dyDescent="0.3">
      <c r="A1" s="157" t="s">
        <v>0</v>
      </c>
      <c r="R1" s="606">
        <v>2024</v>
      </c>
      <c r="S1" s="606">
        <v>2025</v>
      </c>
      <c r="T1" s="606">
        <v>2026</v>
      </c>
      <c r="U1" s="606">
        <v>2027</v>
      </c>
      <c r="V1" s="606">
        <v>2028</v>
      </c>
      <c r="W1" s="606">
        <v>2029</v>
      </c>
      <c r="X1" s="606">
        <v>2030</v>
      </c>
    </row>
    <row r="2" spans="1:24" ht="12.75" customHeight="1" x14ac:dyDescent="0.3">
      <c r="D2" s="301" t="s">
        <v>504</v>
      </c>
      <c r="H2" s="115" t="s">
        <v>3399</v>
      </c>
      <c r="Q2" s="115" t="s">
        <v>969</v>
      </c>
      <c r="R2" s="99">
        <f>+Indexering!G4</f>
        <v>1.0369999999999999</v>
      </c>
      <c r="S2" s="99">
        <f>+Indexering!H4</f>
        <v>1.028</v>
      </c>
      <c r="T2" s="99">
        <f>+Indexering!I4</f>
        <v>1.026</v>
      </c>
      <c r="U2" s="99">
        <f>+Indexering!J4</f>
        <v>1.0209999999999999</v>
      </c>
      <c r="V2" s="99">
        <f>+Indexering!K4</f>
        <v>1.0229999999999999</v>
      </c>
      <c r="W2" s="99">
        <f>+Indexering!L4</f>
        <v>1.0229999999999999</v>
      </c>
      <c r="X2" s="99">
        <f>+Indexering!M4</f>
        <v>1.0229999999999999</v>
      </c>
    </row>
    <row r="3" spans="1:24" ht="12.75" customHeight="1" x14ac:dyDescent="0.3">
      <c r="Q3" s="115" t="s">
        <v>970</v>
      </c>
      <c r="R3" s="99">
        <f>+Indexering!G5</f>
        <v>1.052</v>
      </c>
      <c r="S3" s="99">
        <f>+Indexering!H5</f>
        <v>1.0489999999999999</v>
      </c>
      <c r="T3" s="99">
        <f>+Indexering!I5</f>
        <v>1.02</v>
      </c>
      <c r="U3" s="99">
        <f>+Indexering!J5</f>
        <v>1.042</v>
      </c>
      <c r="V3" s="99">
        <f>+Indexering!K5</f>
        <v>1.0369999999999999</v>
      </c>
      <c r="W3" s="99">
        <f>+Indexering!L5</f>
        <v>1.0369999999999999</v>
      </c>
      <c r="X3" s="99">
        <f>+Indexering!M5</f>
        <v>1.0369999999999999</v>
      </c>
    </row>
    <row r="4" spans="1:24" ht="12.75" customHeight="1" x14ac:dyDescent="0.3">
      <c r="Q4" s="115" t="s">
        <v>3194</v>
      </c>
      <c r="R4" s="99">
        <f>+Indexering!G6</f>
        <v>1.0445</v>
      </c>
      <c r="S4" s="99">
        <f>+Indexering!H6</f>
        <v>1.036</v>
      </c>
      <c r="T4" s="99">
        <f>+Indexering!I6</f>
        <v>1.0228200000000001</v>
      </c>
      <c r="U4" s="99">
        <f>+Indexering!J6</f>
        <v>1.03213</v>
      </c>
      <c r="V4" s="99">
        <f>+Indexering!K6</f>
        <v>1.0304199999999999</v>
      </c>
      <c r="W4" s="99">
        <f>+Indexering!L6</f>
        <v>1.0304199999999999</v>
      </c>
      <c r="X4" s="99">
        <f>+Indexering!M6</f>
        <v>1.0304199999999999</v>
      </c>
    </row>
    <row r="6" spans="1:24" ht="12.75" customHeight="1" x14ac:dyDescent="0.25">
      <c r="D6" s="301" t="s">
        <v>66</v>
      </c>
      <c r="H6" s="308" t="s">
        <v>3438</v>
      </c>
    </row>
    <row r="23" spans="4:23" ht="12.75" customHeight="1" x14ac:dyDescent="0.25">
      <c r="D23" s="452" t="s">
        <v>507</v>
      </c>
      <c r="E23" s="438"/>
      <c r="F23" s="438"/>
      <c r="G23" s="453"/>
      <c r="H23" s="453"/>
      <c r="I23" s="453"/>
      <c r="J23" s="453"/>
      <c r="K23" s="453"/>
      <c r="L23" s="453"/>
      <c r="M23" s="453"/>
      <c r="N23" s="453"/>
      <c r="O23" s="453"/>
      <c r="Q23" s="633"/>
      <c r="V23" s="115"/>
    </row>
    <row r="24" spans="4:23" ht="12.75" customHeight="1" x14ac:dyDescent="0.25">
      <c r="D24" s="438"/>
      <c r="E24" s="438"/>
      <c r="F24" s="438"/>
      <c r="G24" s="453"/>
      <c r="H24" s="453"/>
      <c r="I24" s="453"/>
      <c r="J24" s="453"/>
      <c r="K24" s="453"/>
      <c r="L24" s="453"/>
      <c r="M24" s="453"/>
      <c r="N24" s="453"/>
      <c r="O24" s="453"/>
      <c r="Q24" s="633"/>
      <c r="V24" s="115"/>
    </row>
    <row r="25" spans="4:23" ht="12.75" customHeight="1" x14ac:dyDescent="0.25">
      <c r="D25" s="1746" t="s">
        <v>508</v>
      </c>
      <c r="E25" s="1747"/>
      <c r="F25" s="1747"/>
      <c r="G25" s="1748"/>
      <c r="H25" s="1748"/>
      <c r="I25" s="1749"/>
      <c r="J25" s="1749">
        <v>2025</v>
      </c>
      <c r="K25" s="1749">
        <v>2026</v>
      </c>
      <c r="L25" s="1749">
        <v>2027</v>
      </c>
      <c r="M25" s="1749">
        <v>2028</v>
      </c>
      <c r="N25" s="1894">
        <v>2029</v>
      </c>
      <c r="O25" s="1894">
        <v>2030</v>
      </c>
      <c r="P25" s="1727"/>
      <c r="Q25" s="633"/>
      <c r="S25" s="633">
        <v>2020</v>
      </c>
      <c r="T25" s="633">
        <v>2021</v>
      </c>
      <c r="U25" s="633">
        <v>2022</v>
      </c>
      <c r="V25" s="115">
        <v>2023</v>
      </c>
      <c r="W25" s="115">
        <v>2024</v>
      </c>
    </row>
    <row r="26" spans="4:23" ht="12.75" customHeight="1" x14ac:dyDescent="0.25">
      <c r="D26" s="1064"/>
      <c r="E26" s="613"/>
      <c r="F26" s="613"/>
      <c r="G26" s="527"/>
      <c r="H26" s="527"/>
      <c r="I26" s="614"/>
      <c r="J26" s="614"/>
      <c r="K26" s="614"/>
      <c r="L26" s="614"/>
      <c r="M26" s="614"/>
      <c r="N26" s="1065"/>
      <c r="O26" s="1065"/>
      <c r="P26" s="1727"/>
      <c r="Q26" s="633"/>
      <c r="V26" s="115"/>
    </row>
    <row r="27" spans="4:23" ht="12.75" customHeight="1" x14ac:dyDescent="0.25">
      <c r="D27" s="1066" t="s">
        <v>3439</v>
      </c>
      <c r="E27" s="613"/>
      <c r="F27" s="613"/>
      <c r="G27" s="527"/>
      <c r="H27" s="527"/>
      <c r="I27" s="614"/>
      <c r="J27" s="614"/>
      <c r="K27" s="614"/>
      <c r="L27" s="614"/>
      <c r="M27" s="614"/>
      <c r="N27" s="1065"/>
      <c r="O27" s="1065"/>
      <c r="P27" s="1727"/>
      <c r="Q27" s="633"/>
      <c r="V27" s="115"/>
    </row>
    <row r="28" spans="4:23" ht="12.75" customHeight="1" x14ac:dyDescent="0.25">
      <c r="D28" s="454" t="str">
        <f>G111</f>
        <v>Jacob van Wassenaerstraat 61 (WB)</v>
      </c>
      <c r="E28" s="455"/>
      <c r="F28" s="456"/>
      <c r="G28" s="453"/>
      <c r="H28" s="453"/>
      <c r="I28" s="518"/>
      <c r="J28" s="457">
        <v>8247</v>
      </c>
      <c r="K28" s="457">
        <f t="shared" ref="K28" si="0">K115</f>
        <v>8461</v>
      </c>
      <c r="L28" s="457">
        <f t="shared" ref="L28:M28" si="1">L115</f>
        <v>8639</v>
      </c>
      <c r="M28" s="457">
        <f t="shared" si="1"/>
        <v>8838</v>
      </c>
      <c r="N28" s="1067">
        <f t="shared" ref="N28:O28" si="2">N115</f>
        <v>9041</v>
      </c>
      <c r="O28" s="1067">
        <f t="shared" si="2"/>
        <v>9249</v>
      </c>
      <c r="Q28" s="633"/>
      <c r="S28" s="633">
        <v>6312</v>
      </c>
      <c r="T28" s="633">
        <v>6407</v>
      </c>
      <c r="U28" s="633">
        <v>6503</v>
      </c>
      <c r="V28" s="115">
        <v>6601</v>
      </c>
      <c r="W28" s="115">
        <v>6700</v>
      </c>
    </row>
    <row r="29" spans="4:23" ht="12.75" customHeight="1" x14ac:dyDescent="0.25">
      <c r="D29" s="454" t="str">
        <f>G117</f>
        <v>Gildelaan 2 (GM)</v>
      </c>
      <c r="E29" s="455"/>
      <c r="F29" s="456"/>
      <c r="G29" s="453"/>
      <c r="H29" s="453"/>
      <c r="I29" s="518"/>
      <c r="J29" s="25">
        <v>4071.8</v>
      </c>
      <c r="K29" s="25">
        <f t="shared" ref="K29" si="3">K123</f>
        <v>4171.2</v>
      </c>
      <c r="L29" s="25">
        <f t="shared" ref="L29:M29" si="4">L123</f>
        <v>4280.3999999999996</v>
      </c>
      <c r="M29" s="25">
        <f t="shared" si="4"/>
        <v>4420.8500000000004</v>
      </c>
      <c r="N29" s="263">
        <f t="shared" ref="N29:O29" si="5">N123</f>
        <v>4486.08</v>
      </c>
      <c r="O29" s="263">
        <f t="shared" si="5"/>
        <v>4659.95</v>
      </c>
      <c r="P29" s="1743"/>
      <c r="Q29" s="633"/>
      <c r="S29" s="633">
        <v>3209</v>
      </c>
      <c r="T29" s="633">
        <v>3257</v>
      </c>
      <c r="U29" s="633">
        <v>3307</v>
      </c>
      <c r="V29" s="115">
        <v>3357</v>
      </c>
      <c r="W29" s="115">
        <v>3407</v>
      </c>
    </row>
    <row r="30" spans="4:23" ht="12.75" customHeight="1" x14ac:dyDescent="0.25">
      <c r="D30" s="454" t="str">
        <f>G125</f>
        <v>Jacob van Wassenaerstraat 65 (DKB)</v>
      </c>
      <c r="E30" s="455"/>
      <c r="F30" s="456"/>
      <c r="G30" s="453"/>
      <c r="H30" s="453"/>
      <c r="I30" s="518"/>
      <c r="J30" s="25">
        <v>1234</v>
      </c>
      <c r="K30" s="25">
        <f t="shared" ref="K30" si="6">K129</f>
        <v>1266</v>
      </c>
      <c r="L30" s="25">
        <f t="shared" ref="L30:M30" si="7">L129</f>
        <v>1293</v>
      </c>
      <c r="M30" s="25">
        <f t="shared" si="7"/>
        <v>1323</v>
      </c>
      <c r="N30" s="263">
        <f t="shared" ref="N30:O30" si="8">N129</f>
        <v>1354</v>
      </c>
      <c r="O30" s="263">
        <f t="shared" si="8"/>
        <v>1385</v>
      </c>
      <c r="P30" s="1743"/>
      <c r="Q30" s="633"/>
      <c r="S30" s="633">
        <v>853</v>
      </c>
      <c r="T30" s="633">
        <v>866</v>
      </c>
      <c r="U30" s="633">
        <v>879</v>
      </c>
      <c r="V30" s="115">
        <v>892</v>
      </c>
      <c r="W30" s="115">
        <v>905</v>
      </c>
    </row>
    <row r="31" spans="4:23" ht="12.75" customHeight="1" x14ac:dyDescent="0.25">
      <c r="D31" s="454" t="str">
        <f>G131</f>
        <v>Gildelaan 4 (Smashing)</v>
      </c>
      <c r="E31" s="455"/>
      <c r="F31" s="456"/>
      <c r="G31" s="453"/>
      <c r="H31" s="453"/>
      <c r="I31" s="518"/>
      <c r="J31" s="25">
        <v>386</v>
      </c>
      <c r="K31" s="25">
        <f t="shared" ref="K31" si="9">K134</f>
        <v>396</v>
      </c>
      <c r="L31" s="25">
        <f t="shared" ref="L31:M31" si="10">L134</f>
        <v>404</v>
      </c>
      <c r="M31" s="25">
        <f t="shared" si="10"/>
        <v>413</v>
      </c>
      <c r="N31" s="263">
        <f t="shared" ref="N31:O31" si="11">N134</f>
        <v>422</v>
      </c>
      <c r="O31" s="263">
        <f t="shared" si="11"/>
        <v>432</v>
      </c>
      <c r="P31" s="1743"/>
      <c r="Q31" s="633"/>
      <c r="S31" s="633">
        <v>344</v>
      </c>
      <c r="T31" s="633">
        <v>349</v>
      </c>
      <c r="U31" s="633">
        <v>354</v>
      </c>
      <c r="V31" s="115">
        <v>359</v>
      </c>
      <c r="W31" s="115">
        <v>364</v>
      </c>
    </row>
    <row r="32" spans="4:23" ht="12.75" customHeight="1" x14ac:dyDescent="0.25">
      <c r="D32" s="454" t="str">
        <f>G136</f>
        <v>Algemene kosten sportpark Naastenbest</v>
      </c>
      <c r="E32" s="455"/>
      <c r="F32" s="456"/>
      <c r="G32" s="453"/>
      <c r="H32" s="453"/>
      <c r="I32" s="518"/>
      <c r="J32" s="25">
        <v>87192.872816000003</v>
      </c>
      <c r="K32" s="25">
        <f t="shared" ref="K32" si="12">K142</f>
        <v>89705.050272320004</v>
      </c>
      <c r="L32" s="25">
        <f t="shared" ref="L32:M32" si="13">L142</f>
        <v>92592.516383757436</v>
      </c>
      <c r="M32" s="25">
        <f t="shared" si="13"/>
        <v>95542.440989956463</v>
      </c>
      <c r="N32" s="263">
        <f t="shared" ref="N32:O32" si="14">N142</f>
        <v>98570.861181584856</v>
      </c>
      <c r="O32" s="263">
        <f t="shared" si="14"/>
        <v>82535.921326553478</v>
      </c>
      <c r="P32" s="1743"/>
      <c r="Q32" s="633"/>
      <c r="S32" s="633">
        <v>62700</v>
      </c>
      <c r="T32" s="633">
        <v>63641</v>
      </c>
      <c r="U32" s="633">
        <v>64582</v>
      </c>
      <c r="V32" s="115">
        <v>65524</v>
      </c>
      <c r="W32" s="115">
        <v>66466</v>
      </c>
    </row>
    <row r="33" spans="4:23" ht="12.75" customHeight="1" x14ac:dyDescent="0.25">
      <c r="D33" s="454"/>
      <c r="E33" s="455"/>
      <c r="F33" s="456"/>
      <c r="G33" s="453"/>
      <c r="H33" s="453"/>
      <c r="I33" s="518"/>
      <c r="J33" s="25"/>
      <c r="K33" s="25"/>
      <c r="L33" s="25"/>
      <c r="M33" s="25"/>
      <c r="N33" s="263"/>
      <c r="O33" s="263"/>
      <c r="P33" s="1743"/>
      <c r="Q33" s="633"/>
      <c r="S33" s="633">
        <v>111622</v>
      </c>
      <c r="T33" s="633">
        <v>110148</v>
      </c>
      <c r="U33" s="633">
        <v>92916</v>
      </c>
      <c r="V33" s="115">
        <v>78199</v>
      </c>
      <c r="W33" s="115">
        <v>78200</v>
      </c>
    </row>
    <row r="34" spans="4:23" ht="12.75" customHeight="1" x14ac:dyDescent="0.25">
      <c r="D34" s="454"/>
      <c r="E34" s="455"/>
      <c r="F34" s="456"/>
      <c r="G34" s="453"/>
      <c r="H34" s="453"/>
      <c r="I34" s="518"/>
      <c r="J34" s="25"/>
      <c r="K34" s="25"/>
      <c r="L34" s="25"/>
      <c r="M34" s="25"/>
      <c r="N34" s="263"/>
      <c r="O34" s="263"/>
      <c r="P34" s="1743"/>
      <c r="Q34" s="633"/>
      <c r="S34" s="633">
        <v>0</v>
      </c>
      <c r="T34" s="633">
        <v>0</v>
      </c>
      <c r="U34" s="633">
        <v>0</v>
      </c>
      <c r="V34" s="115">
        <v>0</v>
      </c>
      <c r="W34" s="115">
        <v>0</v>
      </c>
    </row>
    <row r="35" spans="4:23" ht="12.75" customHeight="1" x14ac:dyDescent="0.25">
      <c r="D35" s="454"/>
      <c r="E35" s="455"/>
      <c r="F35" s="456"/>
      <c r="G35" s="453"/>
      <c r="H35" s="453"/>
      <c r="I35" s="518"/>
      <c r="J35" s="28"/>
      <c r="K35" s="28"/>
      <c r="L35" s="28"/>
      <c r="M35" s="28"/>
      <c r="N35" s="264"/>
      <c r="O35" s="264"/>
      <c r="P35" s="1743"/>
      <c r="Q35" s="633"/>
      <c r="V35" s="115"/>
    </row>
    <row r="36" spans="4:23" ht="12.75" customHeight="1" x14ac:dyDescent="0.25">
      <c r="D36" s="1068" t="s">
        <v>3440</v>
      </c>
      <c r="E36" s="455"/>
      <c r="F36" s="456"/>
      <c r="G36" s="453"/>
      <c r="H36" s="453"/>
      <c r="I36" s="518"/>
      <c r="J36" s="28"/>
      <c r="K36" s="28"/>
      <c r="L36" s="28"/>
      <c r="M36" s="28"/>
      <c r="N36" s="264"/>
      <c r="O36" s="264"/>
      <c r="P36" s="1743"/>
      <c r="Q36" s="633"/>
      <c r="V36" s="115"/>
    </row>
    <row r="37" spans="4:23" ht="12.75" customHeight="1" x14ac:dyDescent="0.25">
      <c r="D37" s="454" t="str">
        <f>G147</f>
        <v>Sportlaan 4 (bv)</v>
      </c>
      <c r="E37" s="455"/>
      <c r="F37" s="456"/>
      <c r="G37" s="453"/>
      <c r="H37" s="453"/>
      <c r="I37" s="518"/>
      <c r="J37" s="25">
        <v>2208</v>
      </c>
      <c r="K37" s="25">
        <f t="shared" ref="K37" si="15">K151</f>
        <v>5265</v>
      </c>
      <c r="L37" s="25">
        <f t="shared" ref="L37:M37" si="16">L151</f>
        <v>5376</v>
      </c>
      <c r="M37" s="25">
        <f t="shared" si="16"/>
        <v>5499</v>
      </c>
      <c r="N37" s="263">
        <f t="shared" ref="N37:O37" si="17">N151</f>
        <v>5626</v>
      </c>
      <c r="O37" s="263">
        <f t="shared" si="17"/>
        <v>5755</v>
      </c>
      <c r="P37" s="1743"/>
      <c r="Q37" s="633"/>
      <c r="S37" s="633">
        <v>1283</v>
      </c>
      <c r="T37" s="633">
        <v>1302</v>
      </c>
      <c r="U37" s="633">
        <v>1322</v>
      </c>
      <c r="V37" s="115">
        <v>1342</v>
      </c>
      <c r="W37" s="115">
        <v>1363</v>
      </c>
    </row>
    <row r="38" spans="4:23" ht="12.75" customHeight="1" x14ac:dyDescent="0.25">
      <c r="D38" s="454" t="str">
        <f>G153</f>
        <v>Sportlaan 6a (mhcb)</v>
      </c>
      <c r="E38" s="455"/>
      <c r="F38" s="456"/>
      <c r="G38" s="453"/>
      <c r="H38" s="453"/>
      <c r="I38" s="518"/>
      <c r="J38" s="25">
        <v>7521</v>
      </c>
      <c r="K38" s="25">
        <f t="shared" ref="K38" si="18">K158</f>
        <v>10717</v>
      </c>
      <c r="L38" s="25">
        <f t="shared" ref="L38:M38" si="19">L158</f>
        <v>10943</v>
      </c>
      <c r="M38" s="25">
        <f t="shared" si="19"/>
        <v>11194</v>
      </c>
      <c r="N38" s="263">
        <f t="shared" ref="N38:O38" si="20">N158</f>
        <v>11451</v>
      </c>
      <c r="O38" s="263">
        <f t="shared" si="20"/>
        <v>11714</v>
      </c>
      <c r="P38" s="1743"/>
      <c r="Q38" s="633"/>
      <c r="S38" s="633">
        <v>6247</v>
      </c>
      <c r="T38" s="633">
        <v>6341</v>
      </c>
      <c r="U38" s="633">
        <v>6436</v>
      </c>
      <c r="V38" s="115">
        <v>6532</v>
      </c>
      <c r="W38" s="115">
        <v>6631</v>
      </c>
    </row>
    <row r="39" spans="4:23" ht="12.75" customHeight="1" x14ac:dyDescent="0.25">
      <c r="D39" s="454" t="str">
        <f>G160</f>
        <v>Randweg 8 (ltvb)</v>
      </c>
      <c r="E39" s="455"/>
      <c r="F39" s="456"/>
      <c r="G39" s="453"/>
      <c r="H39" s="453"/>
      <c r="I39" s="518"/>
      <c r="J39" s="25">
        <v>497</v>
      </c>
      <c r="K39" s="25">
        <f t="shared" ref="K39" si="21">K163</f>
        <v>510</v>
      </c>
      <c r="L39" s="25">
        <f t="shared" ref="L39:M39" si="22">L163</f>
        <v>521</v>
      </c>
      <c r="M39" s="25">
        <f t="shared" si="22"/>
        <v>533</v>
      </c>
      <c r="N39" s="263">
        <f t="shared" ref="N39:O39" si="23">N163</f>
        <v>545</v>
      </c>
      <c r="O39" s="263">
        <f t="shared" si="23"/>
        <v>558</v>
      </c>
      <c r="P39" s="1743"/>
      <c r="Q39" s="633"/>
      <c r="S39" s="633">
        <v>424</v>
      </c>
      <c r="T39" s="633">
        <v>430</v>
      </c>
      <c r="U39" s="633">
        <v>436</v>
      </c>
      <c r="V39" s="115">
        <v>443</v>
      </c>
      <c r="W39" s="115">
        <v>450</v>
      </c>
    </row>
    <row r="40" spans="4:23" ht="12.75" customHeight="1" x14ac:dyDescent="0.25">
      <c r="D40" s="454" t="str">
        <f>G165</f>
        <v>Visvijver, gracht en ijsbaan</v>
      </c>
      <c r="E40" s="455"/>
      <c r="F40" s="456"/>
      <c r="G40" s="453"/>
      <c r="H40" s="453"/>
      <c r="I40" s="518"/>
      <c r="J40" s="25">
        <v>1768</v>
      </c>
      <c r="K40" s="25">
        <f t="shared" ref="K40" si="24">K169</f>
        <v>1814</v>
      </c>
      <c r="L40" s="25">
        <f t="shared" ref="L40:M40" si="25">L169</f>
        <v>1853</v>
      </c>
      <c r="M40" s="25">
        <f t="shared" si="25"/>
        <v>1896</v>
      </c>
      <c r="N40" s="263">
        <f t="shared" ref="N40:O40" si="26">N169</f>
        <v>1939</v>
      </c>
      <c r="O40" s="263">
        <f t="shared" si="26"/>
        <v>1984</v>
      </c>
      <c r="P40" s="1743"/>
      <c r="Q40" s="633"/>
      <c r="S40" s="633">
        <v>1491</v>
      </c>
      <c r="T40" s="633">
        <v>1513</v>
      </c>
      <c r="U40" s="633">
        <v>1536</v>
      </c>
      <c r="V40" s="115">
        <v>1559</v>
      </c>
      <c r="W40" s="115">
        <v>1583</v>
      </c>
    </row>
    <row r="41" spans="4:23" ht="12.75" customHeight="1" x14ac:dyDescent="0.25">
      <c r="D41" s="454" t="str">
        <f>G171</f>
        <v>Ambachtsweg 7 (Jeu de Boules)</v>
      </c>
      <c r="E41" s="455"/>
      <c r="F41" s="456"/>
      <c r="G41" s="453"/>
      <c r="H41" s="453"/>
      <c r="I41" s="518"/>
      <c r="J41" s="25">
        <v>280</v>
      </c>
      <c r="K41" s="25">
        <f t="shared" ref="K41" si="27">K174</f>
        <v>287</v>
      </c>
      <c r="L41" s="25">
        <f t="shared" ref="L41:M41" si="28">L174</f>
        <v>293</v>
      </c>
      <c r="M41" s="25">
        <f t="shared" si="28"/>
        <v>300</v>
      </c>
      <c r="N41" s="263">
        <f t="shared" ref="N41:O41" si="29">N174</f>
        <v>307</v>
      </c>
      <c r="O41" s="263">
        <f t="shared" si="29"/>
        <v>314</v>
      </c>
      <c r="P41" s="1743"/>
      <c r="Q41" s="633"/>
      <c r="S41" s="633">
        <v>248</v>
      </c>
      <c r="T41" s="633">
        <v>252</v>
      </c>
      <c r="U41" s="633">
        <v>256</v>
      </c>
      <c r="V41" s="115">
        <v>260</v>
      </c>
      <c r="W41" s="115">
        <v>264</v>
      </c>
    </row>
    <row r="42" spans="4:23" ht="12.75" customHeight="1" x14ac:dyDescent="0.25">
      <c r="D42" s="454" t="str">
        <f>G176</f>
        <v>Algemene kosten sportpark de Leemkuilen</v>
      </c>
      <c r="E42" s="455"/>
      <c r="F42" s="456"/>
      <c r="G42" s="453"/>
      <c r="H42" s="453"/>
      <c r="I42" s="518"/>
      <c r="J42" s="25">
        <v>85672</v>
      </c>
      <c r="K42" s="25">
        <f t="shared" ref="K42" si="30">K182</f>
        <v>88114</v>
      </c>
      <c r="L42" s="25">
        <f t="shared" ref="L42:M42" si="31">L182</f>
        <v>90938.5</v>
      </c>
      <c r="M42" s="25">
        <f t="shared" si="31"/>
        <v>93836.375</v>
      </c>
      <c r="N42" s="263">
        <f t="shared" ref="N42:O42" si="32">N182</f>
        <v>96836.59375</v>
      </c>
      <c r="O42" s="263">
        <f t="shared" si="32"/>
        <v>80799</v>
      </c>
      <c r="P42" s="1743"/>
      <c r="Q42" s="633"/>
      <c r="S42" s="633">
        <v>61400</v>
      </c>
      <c r="T42" s="633">
        <v>62321</v>
      </c>
      <c r="U42" s="633">
        <v>63256</v>
      </c>
      <c r="V42" s="115">
        <v>64205</v>
      </c>
      <c r="W42" s="115">
        <v>65168</v>
      </c>
    </row>
    <row r="43" spans="4:23" ht="12.75" customHeight="1" x14ac:dyDescent="0.25">
      <c r="D43" s="454"/>
      <c r="E43" s="455"/>
      <c r="F43" s="456"/>
      <c r="G43" s="453"/>
      <c r="H43" s="453"/>
      <c r="I43" s="518"/>
      <c r="J43" s="25"/>
      <c r="K43" s="25"/>
      <c r="L43" s="25"/>
      <c r="M43" s="25"/>
      <c r="N43" s="263"/>
      <c r="O43" s="263"/>
      <c r="P43" s="1743"/>
      <c r="Q43" s="633"/>
      <c r="S43" s="633">
        <v>182229</v>
      </c>
      <c r="T43" s="633">
        <v>182229</v>
      </c>
      <c r="U43" s="633">
        <v>141352</v>
      </c>
      <c r="V43" s="115">
        <v>141352</v>
      </c>
      <c r="W43" s="115">
        <v>141352</v>
      </c>
    </row>
    <row r="44" spans="4:23" ht="12.75" customHeight="1" x14ac:dyDescent="0.25">
      <c r="D44" s="1068" t="s">
        <v>3441</v>
      </c>
      <c r="E44" s="455"/>
      <c r="F44" s="456"/>
      <c r="G44" s="453"/>
      <c r="H44" s="453"/>
      <c r="I44" s="518"/>
      <c r="J44" s="28"/>
      <c r="K44" s="28"/>
      <c r="L44" s="28"/>
      <c r="M44" s="28"/>
      <c r="N44" s="264"/>
      <c r="O44" s="264"/>
      <c r="P44" s="1743"/>
      <c r="Q44" s="633"/>
      <c r="V44" s="115"/>
    </row>
    <row r="45" spans="4:23" ht="12.75" customHeight="1" x14ac:dyDescent="0.25">
      <c r="D45" s="454" t="s">
        <v>3442</v>
      </c>
      <c r="E45" s="455"/>
      <c r="F45" s="456"/>
      <c r="G45" s="453"/>
      <c r="H45" s="453"/>
      <c r="I45" s="518"/>
      <c r="J45" s="25">
        <v>323491.548672</v>
      </c>
      <c r="K45" s="25">
        <f t="shared" ref="K45" si="33">+K269</f>
        <v>350264.84028247197</v>
      </c>
      <c r="L45" s="25">
        <f t="shared" ref="L45:M45" si="34">+L269</f>
        <v>360004.30934992386</v>
      </c>
      <c r="M45" s="25">
        <f t="shared" si="34"/>
        <v>370397.52290519886</v>
      </c>
      <c r="N45" s="263">
        <f t="shared" ref="N45:O45" si="35">+N269</f>
        <v>381107.53738653345</v>
      </c>
      <c r="O45" s="263">
        <f t="shared" si="35"/>
        <v>236734.76546315261</v>
      </c>
      <c r="P45" s="1743"/>
      <c r="Q45" s="633"/>
      <c r="S45" s="633">
        <v>474986</v>
      </c>
      <c r="T45" s="633">
        <v>478559.89999999997</v>
      </c>
      <c r="U45" s="633">
        <v>482185.98849999998</v>
      </c>
      <c r="V45" s="115">
        <v>481329.74832749995</v>
      </c>
      <c r="W45" s="115">
        <v>485064.66955241247</v>
      </c>
    </row>
    <row r="46" spans="4:23" ht="12.75" customHeight="1" x14ac:dyDescent="0.25">
      <c r="D46" s="454" t="s">
        <v>3443</v>
      </c>
      <c r="E46" s="455"/>
      <c r="F46" s="456"/>
      <c r="G46" s="453"/>
      <c r="H46" s="453"/>
      <c r="I46" s="518"/>
      <c r="J46" s="25">
        <v>0</v>
      </c>
      <c r="K46" s="25">
        <v>-1</v>
      </c>
      <c r="L46" s="25">
        <v>0</v>
      </c>
      <c r="M46" s="25">
        <v>0</v>
      </c>
      <c r="N46" s="263">
        <v>0</v>
      </c>
      <c r="O46" s="263">
        <v>0</v>
      </c>
      <c r="P46" s="1743"/>
      <c r="Q46" s="633"/>
      <c r="S46" s="633">
        <v>9505</v>
      </c>
      <c r="T46" s="633">
        <v>9505</v>
      </c>
      <c r="U46" s="633">
        <v>9505</v>
      </c>
      <c r="V46" s="115">
        <v>9505</v>
      </c>
      <c r="W46" s="115">
        <v>9505</v>
      </c>
    </row>
    <row r="47" spans="4:23" ht="12.75" customHeight="1" x14ac:dyDescent="0.25">
      <c r="D47" s="454" t="s">
        <v>3444</v>
      </c>
      <c r="E47" s="455"/>
      <c r="F47" s="456"/>
      <c r="G47" s="453"/>
      <c r="H47" s="453"/>
      <c r="I47" s="518"/>
      <c r="J47" s="25">
        <v>29872.75</v>
      </c>
      <c r="K47" s="25">
        <f t="shared" ref="K47" si="36">+K281</f>
        <v>30739.918605999999</v>
      </c>
      <c r="L47" s="25">
        <f t="shared" ref="L47:M47" si="37">+L281</f>
        <v>31525.235594421996</v>
      </c>
      <c r="M47" s="25">
        <f t="shared" si="37"/>
        <v>32370.997311415609</v>
      </c>
      <c r="N47" s="263">
        <f t="shared" ref="N47:O47" si="38">+N281</f>
        <v>33246.627211937986</v>
      </c>
      <c r="O47" s="263">
        <f t="shared" si="38"/>
        <v>24476</v>
      </c>
      <c r="P47" s="1743"/>
      <c r="Q47" s="633"/>
      <c r="S47" s="633">
        <v>25409</v>
      </c>
      <c r="T47" s="633">
        <v>25750</v>
      </c>
      <c r="U47" s="633">
        <v>26094</v>
      </c>
      <c r="V47" s="115">
        <v>26442</v>
      </c>
      <c r="W47" s="115">
        <v>26795</v>
      </c>
    </row>
    <row r="48" spans="4:23" ht="12.75" customHeight="1" x14ac:dyDescent="0.25">
      <c r="D48" s="454" t="s">
        <v>3445</v>
      </c>
      <c r="E48" s="455"/>
      <c r="F48" s="456"/>
      <c r="G48" s="453"/>
      <c r="H48" s="453"/>
      <c r="I48" s="518"/>
      <c r="J48" s="25">
        <v>32139.75</v>
      </c>
      <c r="K48" s="25">
        <f t="shared" ref="K48" si="39">+K293</f>
        <v>33063.918605999999</v>
      </c>
      <c r="L48" s="25">
        <f t="shared" ref="L48:M48" si="40">+L293</f>
        <v>33902.235594421996</v>
      </c>
      <c r="M48" s="25">
        <f t="shared" si="40"/>
        <v>34805.997311415609</v>
      </c>
      <c r="N48" s="263">
        <f t="shared" ref="N48:O48" si="41">+N293</f>
        <v>35737.627211937986</v>
      </c>
      <c r="O48" s="263">
        <f t="shared" si="41"/>
        <v>27028</v>
      </c>
      <c r="P48" s="1743"/>
      <c r="Q48" s="633"/>
      <c r="S48" s="633">
        <v>28569</v>
      </c>
      <c r="T48" s="633">
        <v>28954</v>
      </c>
      <c r="U48" s="633">
        <v>29345</v>
      </c>
      <c r="V48" s="115">
        <v>29742</v>
      </c>
      <c r="W48" s="115">
        <v>30145</v>
      </c>
    </row>
    <row r="49" spans="4:25" ht="12.75" customHeight="1" x14ac:dyDescent="0.25">
      <c r="D49" s="454" t="s">
        <v>3446</v>
      </c>
      <c r="E49" s="455"/>
      <c r="F49" s="456"/>
      <c r="G49" s="453"/>
      <c r="H49" s="453"/>
      <c r="I49" s="518"/>
      <c r="J49" s="25">
        <v>28768.75</v>
      </c>
      <c r="K49" s="25">
        <f t="shared" ref="K49" si="42">+K304</f>
        <v>29605.918605999999</v>
      </c>
      <c r="L49" s="25">
        <f t="shared" ref="L49:M49" si="43">+L304</f>
        <v>30363.235594421996</v>
      </c>
      <c r="M49" s="25">
        <f t="shared" si="43"/>
        <v>31184.997311415609</v>
      </c>
      <c r="N49" s="263">
        <f t="shared" ref="N49:O49" si="44">+N304</f>
        <v>32027.627211937986</v>
      </c>
      <c r="O49" s="263">
        <f t="shared" si="44"/>
        <v>23230</v>
      </c>
      <c r="P49" s="1743"/>
      <c r="Q49" s="633"/>
      <c r="S49" s="633">
        <v>27089</v>
      </c>
      <c r="T49" s="633">
        <v>27433</v>
      </c>
      <c r="U49" s="633">
        <v>23625</v>
      </c>
      <c r="V49" s="115">
        <v>23978</v>
      </c>
      <c r="W49" s="115">
        <v>24338</v>
      </c>
    </row>
    <row r="50" spans="4:25" ht="12.75" customHeight="1" x14ac:dyDescent="0.25">
      <c r="D50" s="454" t="s">
        <v>3447</v>
      </c>
      <c r="E50" s="455"/>
      <c r="F50" s="456"/>
      <c r="G50" s="453"/>
      <c r="H50" s="453"/>
      <c r="I50" s="518"/>
      <c r="J50" s="25">
        <v>31922.75</v>
      </c>
      <c r="K50" s="25">
        <f t="shared" ref="K50" si="45">+K316</f>
        <v>32835.918605999999</v>
      </c>
      <c r="L50" s="25">
        <f t="shared" ref="L50:M50" si="46">+L316</f>
        <v>33668.235594421996</v>
      </c>
      <c r="M50" s="25">
        <f t="shared" si="46"/>
        <v>34571.997311415609</v>
      </c>
      <c r="N50" s="263">
        <f t="shared" ref="N50:O50" si="47">+N316</f>
        <v>35497.627211937986</v>
      </c>
      <c r="O50" s="263">
        <f t="shared" si="47"/>
        <v>26782</v>
      </c>
      <c r="P50" s="1743"/>
      <c r="Q50" s="633"/>
      <c r="S50" s="633">
        <v>37717</v>
      </c>
      <c r="T50" s="633">
        <v>38101</v>
      </c>
      <c r="U50" s="633">
        <v>38489</v>
      </c>
      <c r="V50" s="115">
        <v>38883</v>
      </c>
      <c r="W50" s="115">
        <v>39282</v>
      </c>
    </row>
    <row r="51" spans="4:25" ht="12.75" customHeight="1" x14ac:dyDescent="0.25">
      <c r="D51" s="454" t="s">
        <v>3448</v>
      </c>
      <c r="E51" s="455"/>
      <c r="F51" s="456"/>
      <c r="G51" s="453"/>
      <c r="H51" s="453"/>
      <c r="I51" s="518"/>
      <c r="J51" s="25">
        <v>59317</v>
      </c>
      <c r="K51" s="25">
        <f t="shared" ref="K51" si="48">+K323</f>
        <v>60860</v>
      </c>
      <c r="L51" s="25">
        <f t="shared" ref="L51:M51" si="49">+L323</f>
        <v>62139</v>
      </c>
      <c r="M51" s="25">
        <f t="shared" si="49"/>
        <v>63569</v>
      </c>
      <c r="N51" s="263">
        <f t="shared" ref="N51:O51" si="50">+N323</f>
        <v>65032</v>
      </c>
      <c r="O51" s="263">
        <f t="shared" si="50"/>
        <v>66528</v>
      </c>
      <c r="P51" s="1743"/>
      <c r="Q51" s="633"/>
      <c r="S51" s="633">
        <v>24846</v>
      </c>
      <c r="T51" s="633">
        <v>25190</v>
      </c>
      <c r="U51" s="633">
        <v>25539</v>
      </c>
      <c r="V51" s="115">
        <v>25893</v>
      </c>
      <c r="W51" s="115">
        <v>26254</v>
      </c>
    </row>
    <row r="52" spans="4:25" ht="12.75" customHeight="1" x14ac:dyDescent="0.25">
      <c r="D52" s="454" t="str">
        <f>G325</f>
        <v>Gymzaal Dijkstraten/Aarlesche Erven</v>
      </c>
      <c r="E52" s="455"/>
      <c r="F52" s="456"/>
      <c r="G52" s="453"/>
      <c r="H52" s="453"/>
      <c r="I52" s="518"/>
      <c r="J52" s="25">
        <v>0</v>
      </c>
      <c r="K52" s="25">
        <f t="shared" ref="K52" si="51">K328</f>
        <v>0</v>
      </c>
      <c r="L52" s="25">
        <f t="shared" ref="L52:M52" si="52">L328</f>
        <v>0</v>
      </c>
      <c r="M52" s="25">
        <f t="shared" si="52"/>
        <v>15000</v>
      </c>
      <c r="N52" s="263">
        <f t="shared" ref="N52:O52" si="53">N328</f>
        <v>30000</v>
      </c>
      <c r="O52" s="263">
        <f t="shared" si="53"/>
        <v>0</v>
      </c>
      <c r="P52" s="1743"/>
      <c r="Q52" s="633"/>
      <c r="V52" s="115"/>
    </row>
    <row r="53" spans="4:25" ht="12.75" customHeight="1" x14ac:dyDescent="0.25">
      <c r="D53" s="454"/>
      <c r="E53" s="455"/>
      <c r="F53" s="456"/>
      <c r="G53" s="453"/>
      <c r="H53" s="453"/>
      <c r="I53" s="518"/>
      <c r="J53" s="25"/>
      <c r="K53" s="25"/>
      <c r="L53" s="25"/>
      <c r="M53" s="25"/>
      <c r="N53" s="263"/>
      <c r="O53" s="263"/>
      <c r="P53" s="1743"/>
      <c r="Q53" s="633"/>
      <c r="S53" s="394"/>
      <c r="V53" s="115"/>
    </row>
    <row r="54" spans="4:25" ht="12.75" customHeight="1" x14ac:dyDescent="0.25">
      <c r="D54" s="1068" t="s">
        <v>3449</v>
      </c>
      <c r="E54" s="455"/>
      <c r="F54" s="456"/>
      <c r="G54" s="453"/>
      <c r="H54" s="453"/>
      <c r="I54" s="518"/>
      <c r="J54" s="25"/>
      <c r="K54" s="25"/>
      <c r="L54" s="25"/>
      <c r="M54" s="25"/>
      <c r="N54" s="263"/>
      <c r="O54" s="263"/>
      <c r="P54" s="1743"/>
      <c r="Q54" s="633"/>
      <c r="V54" s="115"/>
    </row>
    <row r="55" spans="4:25" ht="12.75" customHeight="1" x14ac:dyDescent="0.25">
      <c r="D55" s="454" t="s">
        <v>3450</v>
      </c>
      <c r="E55" s="455"/>
      <c r="F55" s="456"/>
      <c r="G55" s="453"/>
      <c r="H55" s="453"/>
      <c r="I55" s="518"/>
      <c r="J55" s="25">
        <v>180844.692053376</v>
      </c>
      <c r="K55" s="25">
        <f t="shared" ref="K55" si="54">+K346</f>
        <v>216412.2386593509</v>
      </c>
      <c r="L55" s="25">
        <f t="shared" ref="L55:M55" si="55">+L346</f>
        <v>222784.03748974687</v>
      </c>
      <c r="M55" s="25">
        <f t="shared" si="55"/>
        <v>227932.46587686753</v>
      </c>
      <c r="N55" s="263">
        <f t="shared" ref="N55:O55" si="56">+N346</f>
        <v>233245.98911431161</v>
      </c>
      <c r="O55" s="263">
        <f t="shared" si="56"/>
        <v>152450</v>
      </c>
      <c r="P55" s="1743"/>
      <c r="Q55" s="633"/>
      <c r="S55" s="633">
        <v>122044</v>
      </c>
      <c r="T55" s="633">
        <v>123592</v>
      </c>
      <c r="U55" s="633">
        <v>125164</v>
      </c>
      <c r="V55" s="115">
        <v>126760</v>
      </c>
      <c r="W55" s="115">
        <v>128380</v>
      </c>
    </row>
    <row r="56" spans="4:25" ht="12.75" customHeight="1" x14ac:dyDescent="0.25">
      <c r="D56" s="454" t="s">
        <v>3451</v>
      </c>
      <c r="E56" s="455"/>
      <c r="F56" s="456"/>
      <c r="G56" s="453"/>
      <c r="H56" s="453"/>
      <c r="I56" s="518"/>
      <c r="J56" s="25"/>
      <c r="K56" s="25"/>
      <c r="L56" s="25"/>
      <c r="M56" s="25"/>
      <c r="N56" s="263"/>
      <c r="O56" s="263"/>
      <c r="P56" s="1743"/>
      <c r="Q56" s="633"/>
      <c r="S56" s="633">
        <v>2269</v>
      </c>
      <c r="T56" s="633">
        <v>2269</v>
      </c>
      <c r="U56" s="633">
        <v>2269</v>
      </c>
      <c r="V56" s="115">
        <v>2269</v>
      </c>
      <c r="W56" s="115">
        <v>2270</v>
      </c>
      <c r="Y56" s="114" t="e">
        <f>SUM(#REF!)</f>
        <v>#REF!</v>
      </c>
    </row>
    <row r="57" spans="4:25" ht="12.75" customHeight="1" x14ac:dyDescent="0.25">
      <c r="D57" s="454"/>
      <c r="E57" s="455"/>
      <c r="F57" s="456"/>
      <c r="G57" s="453"/>
      <c r="H57" s="453"/>
      <c r="I57" s="518"/>
      <c r="J57" s="28"/>
      <c r="K57" s="28"/>
      <c r="L57" s="28"/>
      <c r="M57" s="28"/>
      <c r="N57" s="264"/>
      <c r="O57" s="264"/>
      <c r="P57" s="1743"/>
      <c r="Q57" s="633"/>
      <c r="V57" s="115"/>
      <c r="Y57" s="114"/>
    </row>
    <row r="58" spans="4:25" ht="12.75" customHeight="1" x14ac:dyDescent="0.25">
      <c r="D58" s="454" t="s">
        <v>3452</v>
      </c>
      <c r="E58" s="455"/>
      <c r="F58" s="456"/>
      <c r="G58" s="453"/>
      <c r="H58" s="453"/>
      <c r="I58" s="518"/>
      <c r="J58" s="28">
        <v>16756</v>
      </c>
      <c r="K58" s="28">
        <f t="shared" ref="K58" si="57">+K358</f>
        <v>28930</v>
      </c>
      <c r="L58" s="28">
        <f t="shared" ref="L58:M58" si="58">+L358</f>
        <v>19901</v>
      </c>
      <c r="M58" s="28">
        <f t="shared" si="58"/>
        <v>17956</v>
      </c>
      <c r="N58" s="264">
        <f t="shared" ref="N58:O58" si="59">+N358</f>
        <v>18369</v>
      </c>
      <c r="O58" s="264">
        <f t="shared" si="59"/>
        <v>18791</v>
      </c>
      <c r="P58" s="1743"/>
      <c r="Q58" s="633"/>
      <c r="V58" s="115"/>
      <c r="Y58" s="114"/>
    </row>
    <row r="59" spans="4:25" ht="12.75" customHeight="1" x14ac:dyDescent="0.25">
      <c r="D59" s="454"/>
      <c r="E59" s="455"/>
      <c r="F59" s="456"/>
      <c r="G59" s="453"/>
      <c r="H59" s="453"/>
      <c r="I59" s="518"/>
      <c r="J59" s="28"/>
      <c r="K59" s="28"/>
      <c r="L59" s="28"/>
      <c r="M59" s="28"/>
      <c r="N59" s="264"/>
      <c r="O59" s="264"/>
      <c r="P59" s="1743"/>
      <c r="Q59" s="633"/>
      <c r="V59" s="115"/>
      <c r="Y59" s="114"/>
    </row>
    <row r="60" spans="4:25" ht="12.75" customHeight="1" x14ac:dyDescent="0.25">
      <c r="D60" s="454" t="s">
        <v>3453</v>
      </c>
      <c r="E60" s="455"/>
      <c r="F60" s="456"/>
      <c r="G60" s="453"/>
      <c r="H60" s="453"/>
      <c r="I60" s="518"/>
      <c r="J60" s="28">
        <v>79186.51999999999</v>
      </c>
      <c r="K60" s="28">
        <f t="shared" ref="K60" si="60">+K390</f>
        <v>79364.341418143362</v>
      </c>
      <c r="L60" s="28">
        <f t="shared" ref="L60:M60" si="61">+L390</f>
        <v>83205.654489050517</v>
      </c>
      <c r="M60" s="28">
        <f t="shared" si="61"/>
        <v>84703.316713503053</v>
      </c>
      <c r="N60" s="264">
        <f t="shared" ref="N60:O60" si="62">+N390</f>
        <v>86244.101249178202</v>
      </c>
      <c r="O60" s="264">
        <f t="shared" si="62"/>
        <v>83699.799999999974</v>
      </c>
      <c r="P60" s="1743"/>
      <c r="Q60" s="633"/>
      <c r="V60" s="115"/>
      <c r="Y60" s="114"/>
    </row>
    <row r="61" spans="4:25" ht="12.75" customHeight="1" x14ac:dyDescent="0.25">
      <c r="D61" s="454" t="str">
        <f>G433</f>
        <v>Directe toerekening sportaccommodaties</v>
      </c>
      <c r="E61" s="455"/>
      <c r="F61" s="456"/>
      <c r="G61" s="453"/>
      <c r="H61" s="453"/>
      <c r="I61" s="518"/>
      <c r="J61" s="28">
        <v>1476798.8044</v>
      </c>
      <c r="K61" s="28">
        <f t="shared" ref="K61" si="63">K441</f>
        <v>1460579.85</v>
      </c>
      <c r="L61" s="28">
        <f t="shared" ref="L61:M61" si="64">L441</f>
        <v>1520782.66</v>
      </c>
      <c r="M61" s="28">
        <f t="shared" si="64"/>
        <v>1440342.06</v>
      </c>
      <c r="N61" s="264">
        <f t="shared" ref="N61:O61" si="65">N441</f>
        <v>1670229.06</v>
      </c>
      <c r="O61" s="264">
        <f t="shared" si="65"/>
        <v>793516.06</v>
      </c>
      <c r="P61" s="1743"/>
      <c r="Q61" s="633"/>
      <c r="V61" s="115"/>
      <c r="Y61" s="114"/>
    </row>
    <row r="62" spans="4:25" ht="12.75" customHeight="1" x14ac:dyDescent="0.25">
      <c r="D62" s="454"/>
      <c r="E62" s="455"/>
      <c r="F62" s="456"/>
      <c r="G62" s="453"/>
      <c r="H62" s="453"/>
      <c r="I62" s="518"/>
      <c r="J62" s="28"/>
      <c r="K62" s="28"/>
      <c r="L62" s="28"/>
      <c r="M62" s="28"/>
      <c r="N62" s="264"/>
      <c r="O62" s="264"/>
      <c r="P62" s="1743"/>
      <c r="Q62" s="633"/>
      <c r="V62" s="115"/>
      <c r="Y62" s="114" t="e">
        <f>+Y56-#REF!</f>
        <v>#REF!</v>
      </c>
    </row>
    <row r="63" spans="4:25" ht="12.75" customHeight="1" x14ac:dyDescent="0.25">
      <c r="D63" s="454"/>
      <c r="E63" s="455"/>
      <c r="F63" s="456"/>
      <c r="G63" s="453"/>
      <c r="H63" s="453"/>
      <c r="I63" s="518"/>
      <c r="J63" s="26"/>
      <c r="K63" s="26"/>
      <c r="L63" s="26"/>
      <c r="M63" s="26"/>
      <c r="N63" s="265"/>
      <c r="O63" s="265"/>
      <c r="P63" s="1743"/>
      <c r="Q63" s="633"/>
      <c r="V63" s="115"/>
    </row>
    <row r="64" spans="4:25" ht="12.75" customHeight="1" x14ac:dyDescent="0.25">
      <c r="D64" s="1751" t="s">
        <v>525</v>
      </c>
      <c r="E64" s="1752"/>
      <c r="F64" s="1753"/>
      <c r="G64" s="1754"/>
      <c r="H64" s="1754"/>
      <c r="I64" s="1757"/>
      <c r="J64" s="1755">
        <v>2458176.2379413759</v>
      </c>
      <c r="K64" s="1755">
        <f>SUM(K26:K63)</f>
        <v>2533362.1950562866</v>
      </c>
      <c r="L64" s="1755">
        <f>SUM(L28:L63)</f>
        <v>2615409.0200901665</v>
      </c>
      <c r="M64" s="1755">
        <f>SUM(M28:M63)</f>
        <v>2576630.0207311884</v>
      </c>
      <c r="N64" s="1895">
        <f>SUM(N28:N63)</f>
        <v>2851315.7315293602</v>
      </c>
      <c r="O64" s="1895">
        <f>SUM(O28:O63)</f>
        <v>1652621.4967897059</v>
      </c>
      <c r="P64" s="1743"/>
      <c r="Q64" s="633"/>
      <c r="S64" s="633">
        <v>1704036</v>
      </c>
      <c r="T64" s="633">
        <v>1724478.9</v>
      </c>
      <c r="U64" s="633">
        <v>1684571.9885</v>
      </c>
      <c r="V64" s="115">
        <v>1688127.7483275</v>
      </c>
      <c r="W64" s="115">
        <v>1711405.6695524123</v>
      </c>
    </row>
    <row r="65" spans="4:23" ht="12.75" customHeight="1" x14ac:dyDescent="0.25">
      <c r="D65" s="438"/>
      <c r="E65" s="455"/>
      <c r="F65" s="456"/>
      <c r="G65" s="453"/>
      <c r="H65" s="453"/>
      <c r="I65" s="453"/>
      <c r="J65" s="453"/>
      <c r="K65" s="453"/>
      <c r="L65" s="453"/>
      <c r="M65" s="453"/>
      <c r="N65" s="453"/>
      <c r="O65" s="453"/>
      <c r="Q65" s="633"/>
      <c r="V65" s="115"/>
    </row>
    <row r="66" spans="4:23" ht="12.75" customHeight="1" x14ac:dyDescent="0.25">
      <c r="D66" s="1746" t="s">
        <v>526</v>
      </c>
      <c r="E66" s="1747"/>
      <c r="F66" s="1747"/>
      <c r="G66" s="1748"/>
      <c r="H66" s="1748"/>
      <c r="I66" s="1749"/>
      <c r="J66" s="1749">
        <v>2025</v>
      </c>
      <c r="K66" s="1749">
        <v>2026</v>
      </c>
      <c r="L66" s="1749">
        <v>2027</v>
      </c>
      <c r="M66" s="1749">
        <v>2028</v>
      </c>
      <c r="N66" s="1894">
        <v>2029</v>
      </c>
      <c r="O66" s="1894">
        <v>2030</v>
      </c>
      <c r="P66" s="1727"/>
      <c r="Q66" s="633"/>
      <c r="S66" s="633">
        <v>2020</v>
      </c>
      <c r="T66" s="633">
        <v>2021</v>
      </c>
      <c r="U66" s="633">
        <v>2022</v>
      </c>
      <c r="V66" s="115">
        <v>2023</v>
      </c>
      <c r="W66" s="115">
        <v>2024</v>
      </c>
    </row>
    <row r="67" spans="4:23" ht="12.75" customHeight="1" x14ac:dyDescent="0.25">
      <c r="D67" s="1064"/>
      <c r="E67" s="613"/>
      <c r="F67" s="613"/>
      <c r="G67" s="527"/>
      <c r="H67" s="527"/>
      <c r="I67" s="614"/>
      <c r="J67" s="614"/>
      <c r="K67" s="614"/>
      <c r="L67" s="614"/>
      <c r="M67" s="614"/>
      <c r="N67" s="1065"/>
      <c r="O67" s="1065"/>
      <c r="P67" s="1727"/>
      <c r="Q67" s="633"/>
      <c r="V67" s="115"/>
    </row>
    <row r="68" spans="4:23" ht="12.75" customHeight="1" x14ac:dyDescent="0.25">
      <c r="D68" s="1066" t="s">
        <v>3439</v>
      </c>
      <c r="E68" s="613"/>
      <c r="F68" s="613"/>
      <c r="G68" s="527"/>
      <c r="H68" s="527"/>
      <c r="I68" s="614"/>
      <c r="J68" s="614"/>
      <c r="K68" s="614"/>
      <c r="L68" s="614"/>
      <c r="M68" s="614"/>
      <c r="N68" s="1065"/>
      <c r="O68" s="1065"/>
      <c r="P68" s="1727"/>
      <c r="Q68" s="633"/>
      <c r="V68" s="115"/>
    </row>
    <row r="69" spans="4:23" ht="12.75" customHeight="1" x14ac:dyDescent="0.25">
      <c r="D69" s="454" t="str">
        <f>G186</f>
        <v>Jacob van Wassenaerstraat 61 (WB)</v>
      </c>
      <c r="E69" s="455"/>
      <c r="F69" s="456"/>
      <c r="G69" s="453"/>
      <c r="H69" s="453"/>
      <c r="I69" s="518"/>
      <c r="J69" s="457">
        <v>-48365.996506934556</v>
      </c>
      <c r="K69" s="457">
        <f t="shared" ref="K69" si="66">K189</f>
        <v>-49623.512416114863</v>
      </c>
      <c r="L69" s="457">
        <f t="shared" ref="L69:M69" si="67">L189</f>
        <v>-65812.396176853246</v>
      </c>
      <c r="M69" s="457">
        <f t="shared" si="67"/>
        <v>-67326.08128892089</v>
      </c>
      <c r="N69" s="1067">
        <f t="shared" ref="N69:O69" si="68">N189</f>
        <v>-68874.581158566056</v>
      </c>
      <c r="O69" s="1067">
        <f t="shared" si="68"/>
        <v>-70458.696525213076</v>
      </c>
      <c r="Q69" s="633"/>
      <c r="S69" s="633">
        <v>-42904.794627483032</v>
      </c>
      <c r="T69" s="633">
        <v>-43549</v>
      </c>
      <c r="U69" s="633">
        <v>-44202</v>
      </c>
      <c r="V69" s="115">
        <v>-44865.1</v>
      </c>
      <c r="W69" s="115">
        <v>-45538.1</v>
      </c>
    </row>
    <row r="70" spans="4:23" ht="12.75" customHeight="1" x14ac:dyDescent="0.25">
      <c r="D70" s="454" t="str">
        <f>G191</f>
        <v>Gildelaan 2 (GM)</v>
      </c>
      <c r="E70" s="455"/>
      <c r="F70" s="456"/>
      <c r="G70" s="453"/>
      <c r="H70" s="453"/>
      <c r="I70" s="518"/>
      <c r="J70" s="457">
        <v>-27291.344000000005</v>
      </c>
      <c r="K70" s="457">
        <f t="shared" ref="K70" si="69">K194</f>
        <v>-28055.501632</v>
      </c>
      <c r="L70" s="457">
        <f t="shared" ref="L70:M70" si="70">L194</f>
        <v>-28587.667166272</v>
      </c>
      <c r="M70" s="457">
        <f t="shared" si="70"/>
        <v>-29245.183511096249</v>
      </c>
      <c r="N70" s="1067">
        <f t="shared" ref="N70:O70" si="71">N194</f>
        <v>-29917.822731851466</v>
      </c>
      <c r="O70" s="1067">
        <f t="shared" si="71"/>
        <v>-30605.932654684046</v>
      </c>
      <c r="Q70" s="633"/>
      <c r="S70" s="1069">
        <v>-23812</v>
      </c>
      <c r="T70" s="1069">
        <v>-24169</v>
      </c>
      <c r="U70" s="633">
        <v>-24531</v>
      </c>
      <c r="V70" s="115">
        <v>-24899</v>
      </c>
      <c r="W70" s="115">
        <v>-25272.5</v>
      </c>
    </row>
    <row r="71" spans="4:23" ht="12.75" customHeight="1" x14ac:dyDescent="0.25">
      <c r="D71" s="454" t="str">
        <f>G196</f>
        <v>Jacob van Wassenaerstraat 65 (DKB)</v>
      </c>
      <c r="E71" s="455"/>
      <c r="F71" s="456"/>
      <c r="G71" s="453"/>
      <c r="H71" s="453"/>
      <c r="I71" s="518"/>
      <c r="J71" s="457">
        <v>-8072.6098666666685</v>
      </c>
      <c r="K71" s="457">
        <f t="shared" ref="K71" si="72">K199</f>
        <v>-8298.6429429333348</v>
      </c>
      <c r="L71" s="457">
        <f t="shared" ref="L71:M71" si="73">L199</f>
        <v>-8889.18</v>
      </c>
      <c r="M71" s="457">
        <f t="shared" si="73"/>
        <v>-8889.18</v>
      </c>
      <c r="N71" s="1067">
        <f t="shared" ref="N71:O71" si="74">N199</f>
        <v>-8889.18</v>
      </c>
      <c r="O71" s="1067">
        <f t="shared" si="74"/>
        <v>-8889.18</v>
      </c>
      <c r="Q71" s="633"/>
      <c r="S71" s="1070">
        <v>-8390</v>
      </c>
      <c r="T71" s="1070">
        <v>-8516</v>
      </c>
      <c r="U71" s="633">
        <v>-8644</v>
      </c>
      <c r="V71" s="115">
        <v>-8773.7000000000007</v>
      </c>
      <c r="W71" s="115">
        <v>-8905.2999999999993</v>
      </c>
    </row>
    <row r="72" spans="4:23" ht="12.75" customHeight="1" x14ac:dyDescent="0.25">
      <c r="D72" s="454" t="str">
        <f>G201</f>
        <v>Gildelaan 4 (Smashing)</v>
      </c>
      <c r="E72" s="455"/>
      <c r="F72" s="456"/>
      <c r="G72" s="453"/>
      <c r="H72" s="453"/>
      <c r="I72" s="518"/>
      <c r="J72" s="457">
        <v>-57</v>
      </c>
      <c r="K72" s="457">
        <f t="shared" ref="K72" si="75">K204</f>
        <v>-57</v>
      </c>
      <c r="L72" s="457">
        <f t="shared" ref="L72:M72" si="76">L204</f>
        <v>-57</v>
      </c>
      <c r="M72" s="457">
        <f t="shared" si="76"/>
        <v>-57</v>
      </c>
      <c r="N72" s="1067">
        <f t="shared" ref="N72:O72" si="77">N204</f>
        <v>-57</v>
      </c>
      <c r="O72" s="1067">
        <f t="shared" si="77"/>
        <v>-57</v>
      </c>
      <c r="Q72" s="633"/>
      <c r="S72" s="1070">
        <v>-11</v>
      </c>
      <c r="T72" s="633">
        <v>-11</v>
      </c>
      <c r="U72" s="633">
        <v>-11</v>
      </c>
      <c r="V72" s="115">
        <v>-11</v>
      </c>
      <c r="W72" s="115">
        <v>-11</v>
      </c>
    </row>
    <row r="73" spans="4:23" ht="12.75" customHeight="1" x14ac:dyDescent="0.25">
      <c r="D73" s="454" t="str">
        <f>G206</f>
        <v>Beatrixlaan ong (Aristos)</v>
      </c>
      <c r="E73" s="455"/>
      <c r="F73" s="456"/>
      <c r="G73" s="453"/>
      <c r="H73" s="453"/>
      <c r="I73" s="518"/>
      <c r="J73" s="457">
        <v>0</v>
      </c>
      <c r="K73" s="457">
        <f t="shared" ref="K73" si="78">K209</f>
        <v>0</v>
      </c>
      <c r="L73" s="457">
        <f t="shared" ref="L73:M73" si="79">L209</f>
        <v>0</v>
      </c>
      <c r="M73" s="457">
        <f t="shared" si="79"/>
        <v>0</v>
      </c>
      <c r="N73" s="1067">
        <f t="shared" ref="N73:O73" si="80">N209</f>
        <v>0</v>
      </c>
      <c r="O73" s="1067">
        <f t="shared" si="80"/>
        <v>0</v>
      </c>
      <c r="Q73" s="633"/>
      <c r="S73" s="633">
        <v>-1266</v>
      </c>
      <c r="T73" s="633">
        <v>-1284</v>
      </c>
      <c r="U73" s="633">
        <v>-1304</v>
      </c>
      <c r="V73" s="115">
        <v>-1324</v>
      </c>
      <c r="W73" s="115">
        <v>1344</v>
      </c>
    </row>
    <row r="74" spans="4:23" ht="12.75" customHeight="1" x14ac:dyDescent="0.25">
      <c r="D74" s="454" t="str">
        <f>G211</f>
        <v>Verhuur ondergrond algemeen</v>
      </c>
      <c r="E74" s="455"/>
      <c r="F74" s="456"/>
      <c r="G74" s="453"/>
      <c r="H74" s="453"/>
      <c r="I74" s="518"/>
      <c r="J74" s="457">
        <v>0</v>
      </c>
      <c r="K74" s="457">
        <f t="shared" ref="K74" si="81">K214</f>
        <v>0</v>
      </c>
      <c r="L74" s="457">
        <f t="shared" ref="L74:M74" si="82">L214</f>
        <v>0</v>
      </c>
      <c r="M74" s="457">
        <f t="shared" si="82"/>
        <v>0</v>
      </c>
      <c r="N74" s="1067">
        <f t="shared" ref="N74:O74" si="83">N214</f>
        <v>0</v>
      </c>
      <c r="O74" s="1067">
        <f t="shared" si="83"/>
        <v>0</v>
      </c>
      <c r="Q74" s="633"/>
      <c r="S74" s="633">
        <v>-402</v>
      </c>
      <c r="T74" s="633">
        <v>-408</v>
      </c>
      <c r="U74" s="633">
        <v>-414</v>
      </c>
      <c r="V74" s="115">
        <v>-420</v>
      </c>
      <c r="W74" s="115">
        <v>-426</v>
      </c>
    </row>
    <row r="75" spans="4:23" ht="12.75" customHeight="1" x14ac:dyDescent="0.25">
      <c r="D75" s="454"/>
      <c r="E75" s="455"/>
      <c r="F75" s="456"/>
      <c r="G75" s="453"/>
      <c r="H75" s="453"/>
      <c r="I75" s="518"/>
      <c r="J75" s="463"/>
      <c r="K75" s="463"/>
      <c r="L75" s="463"/>
      <c r="M75" s="463"/>
      <c r="N75" s="1071"/>
      <c r="O75" s="1071"/>
      <c r="Q75" s="633"/>
      <c r="V75" s="115"/>
    </row>
    <row r="76" spans="4:23" ht="12.75" customHeight="1" x14ac:dyDescent="0.25">
      <c r="D76" s="1068" t="s">
        <v>3440</v>
      </c>
      <c r="E76" s="455"/>
      <c r="F76" s="456"/>
      <c r="G76" s="453"/>
      <c r="H76" s="453"/>
      <c r="I76" s="518"/>
      <c r="J76" s="463"/>
      <c r="K76" s="463"/>
      <c r="L76" s="463"/>
      <c r="M76" s="463"/>
      <c r="N76" s="1071"/>
      <c r="O76" s="1071"/>
      <c r="Q76" s="633"/>
      <c r="V76" s="115"/>
    </row>
    <row r="77" spans="4:23" ht="12.75" customHeight="1" x14ac:dyDescent="0.25">
      <c r="D77" s="454" t="str">
        <f>G219</f>
        <v>Sportlaan 4 (bv)</v>
      </c>
      <c r="E77" s="455"/>
      <c r="F77" s="456"/>
      <c r="G77" s="453"/>
      <c r="H77" s="453"/>
      <c r="I77" s="518"/>
      <c r="J77" s="457">
        <v>-56644.064524747009</v>
      </c>
      <c r="K77" s="457">
        <f t="shared" ref="K77" si="84">K222</f>
        <v>-58116.810202390436</v>
      </c>
      <c r="L77" s="457">
        <f t="shared" ref="L77:M77" si="85">L222</f>
        <v>-59337.25</v>
      </c>
      <c r="M77" s="457">
        <f t="shared" si="85"/>
        <v>-59337.25</v>
      </c>
      <c r="N77" s="1067">
        <f t="shared" ref="N77:O77" si="86">N222</f>
        <v>-59337.25</v>
      </c>
      <c r="O77" s="1067">
        <f t="shared" si="86"/>
        <v>-59337.25</v>
      </c>
      <c r="Q77" s="633"/>
      <c r="S77" s="633">
        <v>-40468</v>
      </c>
      <c r="T77" s="633">
        <v>-41075</v>
      </c>
      <c r="U77" s="633">
        <v>-41691</v>
      </c>
      <c r="V77" s="115">
        <v>-42316</v>
      </c>
      <c r="W77" s="115">
        <v>-42950</v>
      </c>
    </row>
    <row r="78" spans="4:23" ht="12.75" customHeight="1" x14ac:dyDescent="0.25">
      <c r="D78" s="454" t="str">
        <f>G224</f>
        <v>Sportlaan 6a (mhcb)</v>
      </c>
      <c r="E78" s="455"/>
      <c r="F78" s="456"/>
      <c r="G78" s="453"/>
      <c r="H78" s="453"/>
      <c r="I78" s="518"/>
      <c r="J78" s="457">
        <v>-30418.52</v>
      </c>
      <c r="K78" s="457">
        <f t="shared" ref="K78" si="87">K227</f>
        <v>-31209.401519999999</v>
      </c>
      <c r="L78" s="457">
        <f t="shared" ref="L78:M78" si="88">L227</f>
        <v>-38401.798951920005</v>
      </c>
      <c r="M78" s="457">
        <f t="shared" si="88"/>
        <v>-39285.04032781416</v>
      </c>
      <c r="N78" s="1067">
        <f t="shared" ref="N78:O78" si="89">N227</f>
        <v>-40188.596255353885</v>
      </c>
      <c r="O78" s="1067">
        <f t="shared" si="89"/>
        <v>-41112.933969227022</v>
      </c>
      <c r="Q78" s="633"/>
      <c r="S78" s="633">
        <v>-27908</v>
      </c>
      <c r="T78" s="633">
        <v>-28326</v>
      </c>
      <c r="U78" s="633">
        <v>-28751</v>
      </c>
      <c r="V78" s="115">
        <v>-29182</v>
      </c>
      <c r="W78" s="115">
        <v>-29619</v>
      </c>
    </row>
    <row r="79" spans="4:23" ht="12.75" customHeight="1" x14ac:dyDescent="0.25">
      <c r="D79" s="454" t="str">
        <f>G229</f>
        <v>Randweg 8 (ltbv)</v>
      </c>
      <c r="E79" s="455"/>
      <c r="F79" s="456"/>
      <c r="G79" s="453"/>
      <c r="H79" s="453"/>
      <c r="I79" s="518"/>
      <c r="J79" s="457">
        <v>-57</v>
      </c>
      <c r="K79" s="457">
        <f t="shared" ref="K79" si="90">K232</f>
        <v>-57</v>
      </c>
      <c r="L79" s="457">
        <f t="shared" ref="L79:M79" si="91">L232</f>
        <v>-57</v>
      </c>
      <c r="M79" s="457">
        <f t="shared" si="91"/>
        <v>-57</v>
      </c>
      <c r="N79" s="1067">
        <f t="shared" ref="N79:O79" si="92">N232</f>
        <v>-57</v>
      </c>
      <c r="O79" s="1067">
        <f t="shared" si="92"/>
        <v>-57</v>
      </c>
      <c r="Q79" s="633"/>
      <c r="S79" s="633">
        <v>-11</v>
      </c>
      <c r="T79" s="633">
        <v>-11</v>
      </c>
      <c r="U79" s="633">
        <v>-11</v>
      </c>
      <c r="V79" s="115">
        <v>-11</v>
      </c>
      <c r="W79" s="115">
        <v>-10</v>
      </c>
    </row>
    <row r="80" spans="4:23" ht="12.75" customHeight="1" x14ac:dyDescent="0.25">
      <c r="D80" s="454" t="str">
        <f>G234</f>
        <v>Ambachtsweg 5 (amitie)</v>
      </c>
      <c r="E80" s="455"/>
      <c r="F80" s="456"/>
      <c r="G80" s="453"/>
      <c r="H80" s="453"/>
      <c r="I80" s="518"/>
      <c r="J80" s="457">
        <v>-57</v>
      </c>
      <c r="K80" s="457">
        <f t="shared" ref="K80" si="93">K237</f>
        <v>-59</v>
      </c>
      <c r="L80" s="457">
        <f t="shared" ref="L80:M80" si="94">L237</f>
        <v>-61.33</v>
      </c>
      <c r="M80" s="457">
        <f t="shared" si="94"/>
        <v>-61</v>
      </c>
      <c r="N80" s="1067">
        <f t="shared" ref="N80:O80" si="95">N237</f>
        <v>-61</v>
      </c>
      <c r="O80" s="1067">
        <f t="shared" si="95"/>
        <v>-61</v>
      </c>
      <c r="Q80" s="633"/>
      <c r="S80" s="633">
        <v>-11</v>
      </c>
      <c r="T80" s="633">
        <v>-11</v>
      </c>
      <c r="U80" s="633">
        <v>-11</v>
      </c>
      <c r="V80" s="115">
        <v>-11</v>
      </c>
      <c r="W80" s="115">
        <v>-10</v>
      </c>
    </row>
    <row r="81" spans="4:23" ht="12.75" customHeight="1" x14ac:dyDescent="0.25">
      <c r="D81" s="454" t="str">
        <f>G239</f>
        <v>Visvijver, gracht en ijsbaan</v>
      </c>
      <c r="E81" s="455"/>
      <c r="F81" s="456"/>
      <c r="G81" s="453"/>
      <c r="H81" s="453"/>
      <c r="I81" s="518"/>
      <c r="J81" s="457">
        <v>-568</v>
      </c>
      <c r="K81" s="457">
        <f t="shared" ref="K81" si="96">K242</f>
        <v>-587</v>
      </c>
      <c r="L81" s="457">
        <f t="shared" ref="L81:M81" si="97">L242</f>
        <v>-603.37</v>
      </c>
      <c r="M81" s="457">
        <f t="shared" si="97"/>
        <v>-612</v>
      </c>
      <c r="N81" s="1067">
        <f t="shared" ref="N81:O81" si="98">N242</f>
        <v>-626</v>
      </c>
      <c r="O81" s="1067">
        <f t="shared" si="98"/>
        <v>-640</v>
      </c>
      <c r="Q81" s="633"/>
      <c r="S81" s="633">
        <v>-472</v>
      </c>
      <c r="T81" s="633">
        <v>-479</v>
      </c>
      <c r="U81" s="633">
        <v>-486</v>
      </c>
      <c r="V81" s="115">
        <v>-493</v>
      </c>
      <c r="W81" s="115">
        <v>-499</v>
      </c>
    </row>
    <row r="82" spans="4:23" ht="12.75" customHeight="1" x14ac:dyDescent="0.25">
      <c r="D82" s="454" t="str">
        <f>G244</f>
        <v>Ambachtsweg 7</v>
      </c>
      <c r="E82" s="455"/>
      <c r="F82" s="456"/>
      <c r="G82" s="453"/>
      <c r="H82" s="453"/>
      <c r="I82" s="518"/>
      <c r="J82" s="457">
        <v>-6552</v>
      </c>
      <c r="K82" s="457">
        <f t="shared" ref="K82" si="99">K247</f>
        <v>-6788</v>
      </c>
      <c r="L82" s="457">
        <f t="shared" ref="L82:M82" si="100">L247</f>
        <v>-6977.68</v>
      </c>
      <c r="M82" s="457">
        <f t="shared" si="100"/>
        <v>-7138</v>
      </c>
      <c r="N82" s="1067">
        <f t="shared" ref="N82:O82" si="101">N247</f>
        <v>-7302</v>
      </c>
      <c r="O82" s="1067">
        <f t="shared" si="101"/>
        <v>-7470</v>
      </c>
      <c r="Q82" s="633"/>
      <c r="S82" s="633">
        <v>-5339</v>
      </c>
      <c r="T82" s="633">
        <v>-5419</v>
      </c>
      <c r="U82" s="633">
        <v>-5500</v>
      </c>
      <c r="V82" s="115">
        <v>-5583</v>
      </c>
      <c r="W82" s="115">
        <v>-5667</v>
      </c>
    </row>
    <row r="83" spans="4:23" ht="12.75" customHeight="1" x14ac:dyDescent="0.25">
      <c r="D83" s="454"/>
      <c r="E83" s="455"/>
      <c r="F83" s="456"/>
      <c r="G83" s="453"/>
      <c r="H83" s="453"/>
      <c r="I83" s="518"/>
      <c r="J83" s="28"/>
      <c r="K83" s="28"/>
      <c r="L83" s="28"/>
      <c r="M83" s="28"/>
      <c r="N83" s="264"/>
      <c r="O83" s="264"/>
      <c r="P83" s="1743"/>
      <c r="Q83" s="633"/>
      <c r="V83" s="115"/>
    </row>
    <row r="84" spans="4:23" ht="12.75" customHeight="1" x14ac:dyDescent="0.25">
      <c r="D84" s="1068" t="s">
        <v>3441</v>
      </c>
      <c r="E84" s="455"/>
      <c r="F84" s="456"/>
      <c r="G84" s="453"/>
      <c r="H84" s="453"/>
      <c r="I84" s="518"/>
      <c r="J84" s="28"/>
      <c r="K84" s="28"/>
      <c r="L84" s="28"/>
      <c r="M84" s="28"/>
      <c r="N84" s="264"/>
      <c r="O84" s="264"/>
      <c r="P84" s="1743"/>
      <c r="Q84" s="633"/>
      <c r="V84" s="115"/>
    </row>
    <row r="85" spans="4:23" ht="12.75" customHeight="1" x14ac:dyDescent="0.25">
      <c r="D85" s="454" t="s">
        <v>3442</v>
      </c>
      <c r="E85" s="455"/>
      <c r="F85" s="456"/>
      <c r="G85" s="453"/>
      <c r="H85" s="453"/>
      <c r="I85" s="518"/>
      <c r="J85" s="25">
        <v>-324517.5</v>
      </c>
      <c r="K85" s="25">
        <f t="shared" ref="K85" si="102">+K395</f>
        <v>-333636.75</v>
      </c>
      <c r="L85" s="25">
        <f t="shared" ref="L85:M85" si="103">+L395</f>
        <v>-291635.71999999997</v>
      </c>
      <c r="M85" s="25">
        <f t="shared" si="103"/>
        <v>-295131.75</v>
      </c>
      <c r="N85" s="263">
        <f t="shared" ref="N85:O85" si="104">+N395</f>
        <v>-298492</v>
      </c>
      <c r="O85" s="263">
        <f t="shared" si="104"/>
        <v>-305414</v>
      </c>
      <c r="P85" s="1743"/>
      <c r="Q85" s="633"/>
      <c r="S85" s="633">
        <v>-312518</v>
      </c>
      <c r="T85" s="633">
        <v>-317173</v>
      </c>
      <c r="U85" s="633">
        <v>-321964</v>
      </c>
      <c r="V85" s="115">
        <v>-326778</v>
      </c>
      <c r="W85" s="115">
        <v>-331686</v>
      </c>
    </row>
    <row r="86" spans="4:23" ht="12.75" customHeight="1" x14ac:dyDescent="0.25">
      <c r="D86" s="454" t="s">
        <v>3444</v>
      </c>
      <c r="E86" s="455"/>
      <c r="F86" s="456"/>
      <c r="G86" s="453"/>
      <c r="H86" s="453"/>
      <c r="I86" s="518"/>
      <c r="J86" s="25">
        <v>-19300</v>
      </c>
      <c r="K86" s="25">
        <f t="shared" ref="K86" si="105">+K399</f>
        <v>-19810</v>
      </c>
      <c r="L86" s="25">
        <f t="shared" ref="L86:M86" si="106">+L399</f>
        <v>-20230</v>
      </c>
      <c r="M86" s="25">
        <f t="shared" si="106"/>
        <v>-20710</v>
      </c>
      <c r="N86" s="263">
        <f t="shared" ref="N86:O86" si="107">+N399</f>
        <v>-21170</v>
      </c>
      <c r="O86" s="263">
        <f t="shared" si="107"/>
        <v>-21650</v>
      </c>
      <c r="P86" s="1743"/>
      <c r="Q86" s="633"/>
      <c r="S86" s="633">
        <v>-17190</v>
      </c>
      <c r="T86" s="633">
        <v>-17450</v>
      </c>
      <c r="U86" s="633">
        <v>-17720</v>
      </c>
      <c r="V86" s="115">
        <v>-17980</v>
      </c>
      <c r="W86" s="115">
        <v>-18280</v>
      </c>
    </row>
    <row r="87" spans="4:23" ht="12.75" customHeight="1" x14ac:dyDescent="0.25">
      <c r="D87" s="454"/>
      <c r="E87" s="455"/>
      <c r="F87" s="456"/>
      <c r="G87" s="453"/>
      <c r="H87" s="453"/>
      <c r="I87" s="518"/>
      <c r="J87" s="25"/>
      <c r="K87" s="25"/>
      <c r="L87" s="25"/>
      <c r="M87" s="25"/>
      <c r="N87" s="263"/>
      <c r="O87" s="263"/>
      <c r="P87" s="1743"/>
      <c r="Q87" s="633"/>
      <c r="V87" s="115"/>
    </row>
    <row r="88" spans="4:23" ht="12.75" customHeight="1" x14ac:dyDescent="0.25">
      <c r="D88" s="454" t="s">
        <v>3445</v>
      </c>
      <c r="E88" s="455"/>
      <c r="F88" s="456"/>
      <c r="G88" s="453"/>
      <c r="H88" s="453"/>
      <c r="I88" s="518"/>
      <c r="J88" s="25">
        <v>-15580</v>
      </c>
      <c r="K88" s="25">
        <f t="shared" ref="K88" si="108">+K405</f>
        <v>-15990</v>
      </c>
      <c r="L88" s="25">
        <f t="shared" ref="L88:M88" si="109">+L405</f>
        <v>-16330</v>
      </c>
      <c r="M88" s="25">
        <f t="shared" si="109"/>
        <v>-16710</v>
      </c>
      <c r="N88" s="263">
        <f t="shared" ref="N88:O88" si="110">+N405</f>
        <v>-17090</v>
      </c>
      <c r="O88" s="263">
        <f t="shared" si="110"/>
        <v>-17480</v>
      </c>
      <c r="P88" s="1743"/>
      <c r="Q88" s="633"/>
      <c r="S88" s="633">
        <v>-13880</v>
      </c>
      <c r="T88" s="633">
        <v>-14080</v>
      </c>
      <c r="U88" s="633">
        <v>-14300</v>
      </c>
      <c r="V88" s="115">
        <v>-14510</v>
      </c>
      <c r="W88" s="115">
        <v>-14730</v>
      </c>
    </row>
    <row r="89" spans="4:23" ht="12.75" customHeight="1" x14ac:dyDescent="0.25">
      <c r="D89" s="454" t="s">
        <v>3454</v>
      </c>
      <c r="E89" s="455"/>
      <c r="F89" s="456"/>
      <c r="G89" s="453"/>
      <c r="H89" s="453"/>
      <c r="I89" s="518"/>
      <c r="J89" s="25">
        <v>-12160</v>
      </c>
      <c r="K89" s="25">
        <f t="shared" ref="K89" si="111">+K410</f>
        <v>-12500</v>
      </c>
      <c r="L89" s="25">
        <f t="shared" ref="L89:M89" si="112">+L410</f>
        <v>-12770</v>
      </c>
      <c r="M89" s="25">
        <f t="shared" si="112"/>
        <v>-13070</v>
      </c>
      <c r="N89" s="263">
        <f t="shared" ref="N89:O89" si="113">+N410</f>
        <v>-13370</v>
      </c>
      <c r="O89" s="263">
        <f t="shared" si="113"/>
        <v>-13670</v>
      </c>
      <c r="P89" s="1743"/>
      <c r="Q89" s="633"/>
      <c r="S89" s="633">
        <v>-10830</v>
      </c>
      <c r="T89" s="633">
        <v>-11000</v>
      </c>
      <c r="U89" s="633">
        <v>-11160</v>
      </c>
      <c r="V89" s="115">
        <v>-11330</v>
      </c>
      <c r="W89" s="115">
        <v>-11500</v>
      </c>
    </row>
    <row r="90" spans="4:23" ht="12.75" customHeight="1" x14ac:dyDescent="0.25">
      <c r="D90" s="454" t="s">
        <v>3447</v>
      </c>
      <c r="E90" s="455"/>
      <c r="F90" s="456"/>
      <c r="G90" s="453"/>
      <c r="H90" s="453"/>
      <c r="I90" s="518"/>
      <c r="J90" s="25">
        <v>-29270</v>
      </c>
      <c r="K90" s="25">
        <f t="shared" ref="K90" si="114">+K415</f>
        <v>-30060</v>
      </c>
      <c r="L90" s="25">
        <f t="shared" ref="L90:M90" si="115">+L415</f>
        <v>-30690</v>
      </c>
      <c r="M90" s="25">
        <f t="shared" si="115"/>
        <v>-31390</v>
      </c>
      <c r="N90" s="263">
        <f t="shared" ref="N90:O90" si="116">+N415</f>
        <v>-32110</v>
      </c>
      <c r="O90" s="263">
        <f t="shared" si="116"/>
        <v>-32850</v>
      </c>
      <c r="P90" s="1743"/>
      <c r="Q90" s="633"/>
      <c r="S90" s="633">
        <v>-26410</v>
      </c>
      <c r="T90" s="633">
        <v>-26800</v>
      </c>
      <c r="U90" s="633">
        <v>-27210</v>
      </c>
      <c r="V90" s="115">
        <v>-27610</v>
      </c>
      <c r="W90" s="115">
        <v>-28020</v>
      </c>
    </row>
    <row r="91" spans="4:23" ht="12.75" customHeight="1" x14ac:dyDescent="0.25">
      <c r="D91" s="454" t="s">
        <v>3448</v>
      </c>
      <c r="E91" s="455"/>
      <c r="F91" s="456"/>
      <c r="G91" s="453"/>
      <c r="H91" s="453"/>
      <c r="I91" s="518"/>
      <c r="J91" s="25">
        <v>-18890</v>
      </c>
      <c r="K91" s="25">
        <f t="shared" ref="K91" si="117">+K420</f>
        <v>-19370</v>
      </c>
      <c r="L91" s="25">
        <f t="shared" ref="L91:M91" si="118">+L420</f>
        <v>-19780</v>
      </c>
      <c r="M91" s="25">
        <f t="shared" si="118"/>
        <v>-20270</v>
      </c>
      <c r="N91" s="263">
        <f t="shared" ref="N91:O91" si="119">+N420</f>
        <v>-20740</v>
      </c>
      <c r="O91" s="263">
        <f t="shared" si="119"/>
        <v>-21220</v>
      </c>
      <c r="P91" s="1743"/>
      <c r="Q91" s="633"/>
      <c r="S91" s="633">
        <v>-14500</v>
      </c>
      <c r="T91" s="633">
        <v>-14720</v>
      </c>
      <c r="U91" s="633">
        <v>-14930</v>
      </c>
      <c r="V91" s="115">
        <v>-15160</v>
      </c>
      <c r="W91" s="115">
        <v>-15390</v>
      </c>
    </row>
    <row r="92" spans="4:23" ht="12.75" customHeight="1" x14ac:dyDescent="0.25">
      <c r="D92" s="454"/>
      <c r="E92" s="455"/>
      <c r="F92" s="456"/>
      <c r="G92" s="453"/>
      <c r="H92" s="453"/>
      <c r="I92" s="518"/>
      <c r="J92" s="25"/>
      <c r="K92" s="25"/>
      <c r="L92" s="25"/>
      <c r="M92" s="25"/>
      <c r="N92" s="263"/>
      <c r="O92" s="263"/>
      <c r="P92" s="1743"/>
      <c r="Q92" s="633"/>
      <c r="V92" s="115"/>
    </row>
    <row r="93" spans="4:23" ht="12.75" customHeight="1" x14ac:dyDescent="0.25">
      <c r="D93" s="454"/>
      <c r="E93" s="455"/>
      <c r="F93" s="456"/>
      <c r="G93" s="453"/>
      <c r="H93" s="453"/>
      <c r="I93" s="518"/>
      <c r="J93" s="25"/>
      <c r="K93" s="25"/>
      <c r="L93" s="25"/>
      <c r="M93" s="25"/>
      <c r="N93" s="263"/>
      <c r="O93" s="263"/>
      <c r="P93" s="1743"/>
      <c r="Q93" s="633"/>
      <c r="V93" s="115"/>
    </row>
    <row r="94" spans="4:23" ht="12.75" customHeight="1" x14ac:dyDescent="0.25">
      <c r="D94" s="1068" t="s">
        <v>3449</v>
      </c>
      <c r="E94" s="455"/>
      <c r="F94" s="456"/>
      <c r="G94" s="453"/>
      <c r="H94" s="453"/>
      <c r="I94" s="518"/>
      <c r="J94" s="25"/>
      <c r="K94" s="25"/>
      <c r="L94" s="25"/>
      <c r="M94" s="25"/>
      <c r="N94" s="263"/>
      <c r="O94" s="263"/>
      <c r="P94" s="1743"/>
      <c r="Q94" s="633"/>
      <c r="V94" s="115"/>
    </row>
    <row r="95" spans="4:23" ht="12.75" customHeight="1" x14ac:dyDescent="0.25">
      <c r="D95" s="454" t="s">
        <v>3450</v>
      </c>
      <c r="E95" s="455"/>
      <c r="F95" s="456"/>
      <c r="G95" s="453"/>
      <c r="H95" s="453"/>
      <c r="I95" s="518"/>
      <c r="J95" s="25">
        <v>-147635</v>
      </c>
      <c r="K95" s="25">
        <f t="shared" ref="K95" si="120">+K426</f>
        <v>-163883</v>
      </c>
      <c r="L95" s="25">
        <f t="shared" ref="L95:M95" si="121">+L426</f>
        <v>-162559.5</v>
      </c>
      <c r="M95" s="25">
        <f t="shared" si="121"/>
        <v>-162575</v>
      </c>
      <c r="N95" s="263">
        <f t="shared" ref="N95:O95" si="122">+N426</f>
        <v>-162593</v>
      </c>
      <c r="O95" s="263">
        <f t="shared" si="122"/>
        <v>-162611</v>
      </c>
      <c r="Q95" s="633"/>
      <c r="S95" s="633">
        <v>-117974</v>
      </c>
      <c r="T95" s="633">
        <v>-111506</v>
      </c>
      <c r="U95" s="633">
        <v>-111550</v>
      </c>
      <c r="V95" s="115">
        <v>-111595</v>
      </c>
      <c r="W95" s="115">
        <v>-111641</v>
      </c>
    </row>
    <row r="96" spans="4:23" ht="12.75" customHeight="1" x14ac:dyDescent="0.25">
      <c r="D96" s="454"/>
      <c r="E96" s="455"/>
      <c r="F96" s="456"/>
      <c r="G96" s="453"/>
      <c r="H96" s="453"/>
      <c r="I96" s="518"/>
      <c r="J96" s="25"/>
      <c r="K96" s="25"/>
      <c r="L96" s="25"/>
      <c r="M96" s="25"/>
      <c r="N96" s="263"/>
      <c r="O96" s="263"/>
      <c r="P96" s="1743"/>
      <c r="Q96" s="633"/>
      <c r="V96" s="115"/>
    </row>
    <row r="97" spans="1:24" ht="12.75" customHeight="1" x14ac:dyDescent="0.25">
      <c r="D97" s="454" t="s">
        <v>3455</v>
      </c>
      <c r="E97" s="455"/>
      <c r="F97" s="456"/>
      <c r="G97" s="453"/>
      <c r="H97" s="453"/>
      <c r="I97" s="518"/>
      <c r="J97" s="28">
        <v>-100000</v>
      </c>
      <c r="K97" s="28">
        <f t="shared" ref="K97" si="123">+K431</f>
        <v>-100000</v>
      </c>
      <c r="L97" s="28">
        <f t="shared" ref="L97:M97" si="124">+L431</f>
        <v>-100000</v>
      </c>
      <c r="M97" s="28">
        <f t="shared" si="124"/>
        <v>-100000</v>
      </c>
      <c r="N97" s="264">
        <f t="shared" ref="N97:O97" si="125">+N431</f>
        <v>-100000</v>
      </c>
      <c r="O97" s="264">
        <f t="shared" si="125"/>
        <v>-100000</v>
      </c>
      <c r="P97" s="1743"/>
      <c r="Q97" s="633"/>
      <c r="V97" s="115"/>
    </row>
    <row r="98" spans="1:24" ht="12.75" customHeight="1" x14ac:dyDescent="0.25">
      <c r="D98" s="464"/>
      <c r="E98" s="465"/>
      <c r="F98" s="466"/>
      <c r="G98" s="467"/>
      <c r="H98" s="467"/>
      <c r="I98" s="518"/>
      <c r="J98" s="463"/>
      <c r="K98" s="463"/>
      <c r="L98" s="463"/>
      <c r="M98" s="463"/>
      <c r="N98" s="1071"/>
      <c r="O98" s="1071"/>
      <c r="Q98" s="633"/>
      <c r="V98" s="115"/>
    </row>
    <row r="99" spans="1:24" ht="12.75" customHeight="1" x14ac:dyDescent="0.25">
      <c r="D99" s="1751" t="s">
        <v>328</v>
      </c>
      <c r="E99" s="1752"/>
      <c r="F99" s="1753"/>
      <c r="G99" s="1754"/>
      <c r="H99" s="1754"/>
      <c r="I99" s="1757"/>
      <c r="J99" s="1755">
        <v>-845436.03489834827</v>
      </c>
      <c r="K99" s="1755">
        <f>SUM(K69:K98)</f>
        <v>-878101.61871343863</v>
      </c>
      <c r="L99" s="1755">
        <f>SUM(L69:L98)</f>
        <v>-862779.8922950452</v>
      </c>
      <c r="M99" s="1755">
        <f>SUM(M69:M98)</f>
        <v>-871864.48512783134</v>
      </c>
      <c r="N99" s="1895">
        <f>SUM(N69:N98)</f>
        <v>-880875.43014577148</v>
      </c>
      <c r="O99" s="1895">
        <f>SUM(O69:O98)</f>
        <v>-893583.99314912409</v>
      </c>
      <c r="P99" s="1743"/>
      <c r="Q99" s="633"/>
      <c r="S99" s="633">
        <v>-664296.794627483</v>
      </c>
      <c r="T99" s="633">
        <v>-665987</v>
      </c>
      <c r="U99" s="633">
        <v>-674390</v>
      </c>
      <c r="V99" s="115">
        <v>-682851.8</v>
      </c>
      <c r="W99" s="115">
        <v>-688810.9</v>
      </c>
    </row>
    <row r="100" spans="1:24" ht="12.75" customHeight="1" x14ac:dyDescent="0.25">
      <c r="D100" s="438"/>
      <c r="E100" s="455"/>
      <c r="F100" s="456"/>
      <c r="G100" s="453"/>
      <c r="H100" s="453"/>
      <c r="I100" s="453"/>
      <c r="J100" s="469"/>
      <c r="K100" s="469"/>
      <c r="L100" s="469"/>
      <c r="M100" s="469"/>
      <c r="N100" s="469"/>
      <c r="O100" s="469"/>
      <c r="Q100" s="633"/>
      <c r="V100" s="115"/>
    </row>
    <row r="101" spans="1:24" ht="12.75" customHeight="1" x14ac:dyDescent="0.25">
      <c r="D101" s="1751" t="s">
        <v>527</v>
      </c>
      <c r="E101" s="1756"/>
      <c r="F101" s="1756"/>
      <c r="G101" s="1754"/>
      <c r="H101" s="1754"/>
      <c r="I101" s="1754"/>
      <c r="J101" s="1758">
        <f>J64+J99</f>
        <v>1612740.2030430278</v>
      </c>
      <c r="K101" s="1758">
        <f t="shared" ref="K101:O101" si="126">K64+K99</f>
        <v>1655260.5763428481</v>
      </c>
      <c r="L101" s="1758">
        <f t="shared" si="126"/>
        <v>1752629.1277951212</v>
      </c>
      <c r="M101" s="1758">
        <f t="shared" si="126"/>
        <v>1704765.535603357</v>
      </c>
      <c r="N101" s="1758">
        <f t="shared" si="126"/>
        <v>1970440.3013835887</v>
      </c>
      <c r="O101" s="1758">
        <f t="shared" si="126"/>
        <v>759037.50364058185</v>
      </c>
      <c r="Q101" s="633"/>
      <c r="V101" s="115"/>
    </row>
    <row r="102" spans="1:24" ht="12.75" customHeight="1" x14ac:dyDescent="0.25">
      <c r="D102" s="453"/>
      <c r="E102" s="453"/>
      <c r="F102" s="453"/>
      <c r="G102" s="453"/>
      <c r="H102" s="453"/>
      <c r="I102" s="453"/>
      <c r="J102" s="469"/>
      <c r="K102" s="469"/>
      <c r="L102" s="469"/>
      <c r="M102" s="469"/>
      <c r="N102" s="469"/>
      <c r="O102" s="469"/>
      <c r="Q102" s="633"/>
      <c r="V102" s="115"/>
    </row>
    <row r="103" spans="1:24" ht="12.75" customHeight="1" x14ac:dyDescent="0.25">
      <c r="D103" s="438"/>
      <c r="E103" s="438"/>
      <c r="F103" s="438"/>
      <c r="G103" s="453"/>
      <c r="H103" s="453"/>
      <c r="I103" s="453"/>
      <c r="J103" s="469"/>
      <c r="K103" s="469"/>
      <c r="L103" s="469"/>
      <c r="M103" s="469"/>
      <c r="N103" s="469"/>
      <c r="O103" s="469"/>
      <c r="Q103" s="633"/>
      <c r="V103" s="115"/>
    </row>
    <row r="104" spans="1:24" ht="12.75" customHeight="1" x14ac:dyDescent="0.25">
      <c r="D104" s="312" t="s">
        <v>528</v>
      </c>
      <c r="E104" s="382"/>
      <c r="F104" s="382"/>
      <c r="Q104" s="633"/>
      <c r="V104" s="115"/>
    </row>
    <row r="105" spans="1:24" ht="12.75" customHeight="1" x14ac:dyDescent="0.25">
      <c r="D105" s="312"/>
      <c r="E105" s="382"/>
      <c r="F105" s="382"/>
      <c r="Q105" s="633"/>
      <c r="V105" s="115"/>
    </row>
    <row r="106" spans="1:24" ht="12.75" customHeight="1" x14ac:dyDescent="0.25">
      <c r="A106" s="470"/>
      <c r="B106" s="453"/>
      <c r="C106" s="453"/>
      <c r="D106" s="2523" t="s">
        <v>529</v>
      </c>
      <c r="E106" s="1761" t="s">
        <v>530</v>
      </c>
      <c r="F106" s="2552" t="s">
        <v>531</v>
      </c>
      <c r="G106" s="2525" t="s">
        <v>206</v>
      </c>
      <c r="H106" s="2526"/>
      <c r="I106" s="1773"/>
      <c r="J106" s="1763"/>
      <c r="K106" s="1763"/>
      <c r="L106" s="1763"/>
      <c r="M106" s="1763"/>
      <c r="N106" s="1763"/>
      <c r="O106" s="1763"/>
      <c r="Q106" s="619"/>
      <c r="R106" s="619"/>
      <c r="S106" s="619"/>
      <c r="T106" s="619"/>
      <c r="U106" s="619"/>
      <c r="V106" s="453"/>
      <c r="W106" s="453"/>
      <c r="X106" s="453"/>
    </row>
    <row r="107" spans="1:24" ht="12.75" customHeight="1" x14ac:dyDescent="0.25">
      <c r="A107" s="470"/>
      <c r="B107" s="453"/>
      <c r="C107" s="453"/>
      <c r="D107" s="2524"/>
      <c r="E107" s="472" t="s">
        <v>532</v>
      </c>
      <c r="F107" s="2553"/>
      <c r="G107" s="2527"/>
      <c r="H107" s="2528"/>
      <c r="I107" s="521"/>
      <c r="J107" s="1764">
        <v>2025</v>
      </c>
      <c r="K107" s="1764">
        <v>2026</v>
      </c>
      <c r="L107" s="1764">
        <v>2027</v>
      </c>
      <c r="M107" s="1764">
        <v>2028</v>
      </c>
      <c r="N107" s="1764">
        <v>2029</v>
      </c>
      <c r="O107" s="1764">
        <v>2030</v>
      </c>
      <c r="Q107" s="619"/>
      <c r="R107" s="619"/>
      <c r="S107" s="619"/>
      <c r="T107" s="619"/>
      <c r="U107" s="619"/>
      <c r="V107" s="453"/>
      <c r="W107" s="453"/>
      <c r="X107" s="453"/>
    </row>
    <row r="108" spans="1:24" ht="12.75" customHeight="1" x14ac:dyDescent="0.25">
      <c r="A108" s="470"/>
      <c r="B108" s="453"/>
      <c r="C108" s="453"/>
      <c r="D108" s="1765"/>
      <c r="E108" s="1766"/>
      <c r="F108" s="1760"/>
      <c r="G108" s="1762"/>
      <c r="H108" s="471"/>
      <c r="I108" s="1773"/>
      <c r="J108" s="1767"/>
      <c r="K108" s="1767"/>
      <c r="L108" s="1767"/>
      <c r="M108" s="1767"/>
      <c r="N108" s="1767"/>
      <c r="O108" s="1767"/>
      <c r="Q108" s="619"/>
      <c r="R108" s="619"/>
      <c r="S108" s="619"/>
      <c r="T108" s="619"/>
      <c r="U108" s="619"/>
      <c r="V108" s="453"/>
      <c r="W108" s="453"/>
      <c r="X108" s="453"/>
    </row>
    <row r="109" spans="1:24" ht="12.75" customHeight="1" x14ac:dyDescent="0.25">
      <c r="A109" s="470"/>
      <c r="B109" s="453"/>
      <c r="C109" s="453"/>
      <c r="D109" s="1017"/>
      <c r="E109" s="1018"/>
      <c r="F109" s="1072"/>
      <c r="G109" s="1073" t="s">
        <v>3456</v>
      </c>
      <c r="H109" s="1020"/>
      <c r="I109" s="1021"/>
      <c r="J109" s="529"/>
      <c r="K109" s="529"/>
      <c r="L109" s="529"/>
      <c r="M109" s="529"/>
      <c r="N109" s="529"/>
      <c r="O109" s="529"/>
      <c r="Q109" s="619"/>
      <c r="R109" s="619"/>
      <c r="S109" s="619"/>
      <c r="T109" s="619"/>
      <c r="U109" s="619"/>
      <c r="V109" s="453"/>
      <c r="W109" s="453"/>
      <c r="X109" s="453"/>
    </row>
    <row r="110" spans="1:24" ht="12.75" customHeight="1" x14ac:dyDescent="0.25">
      <c r="A110" s="470"/>
      <c r="B110" s="453"/>
      <c r="C110" s="453"/>
      <c r="D110" s="1017"/>
      <c r="E110" s="1018"/>
      <c r="F110" s="1072"/>
      <c r="G110" s="1019"/>
      <c r="H110" s="1020"/>
      <c r="I110" s="1021"/>
      <c r="J110" s="529"/>
      <c r="K110" s="529"/>
      <c r="L110" s="529"/>
      <c r="M110" s="529"/>
      <c r="N110" s="529"/>
      <c r="O110" s="529"/>
      <c r="Q110" s="619"/>
      <c r="R110" s="619"/>
      <c r="S110" s="619"/>
      <c r="T110" s="619"/>
      <c r="U110" s="619"/>
      <c r="V110" s="453"/>
      <c r="W110" s="453"/>
      <c r="X110" s="453"/>
    </row>
    <row r="111" spans="1:24" ht="12.75" customHeight="1" x14ac:dyDescent="0.25">
      <c r="D111" s="333">
        <v>630001</v>
      </c>
      <c r="E111" s="331"/>
      <c r="F111" s="331"/>
      <c r="G111" s="332" t="s">
        <v>3457</v>
      </c>
      <c r="I111" s="316"/>
      <c r="J111" s="335"/>
      <c r="K111" s="335"/>
      <c r="L111" s="335"/>
      <c r="M111" s="335"/>
      <c r="N111" s="335"/>
      <c r="O111" s="335"/>
      <c r="Q111" s="633"/>
      <c r="V111" s="115"/>
    </row>
    <row r="112" spans="1:24" ht="12.75" customHeight="1" x14ac:dyDescent="0.25">
      <c r="D112" s="333"/>
      <c r="E112" s="331"/>
      <c r="F112" s="331"/>
      <c r="G112" s="334" t="s">
        <v>533</v>
      </c>
      <c r="I112" s="316"/>
      <c r="J112" s="335"/>
      <c r="K112" s="335"/>
      <c r="L112" s="335"/>
      <c r="M112" s="335"/>
      <c r="N112" s="335"/>
      <c r="O112" s="335"/>
      <c r="Q112" s="633"/>
      <c r="V112" s="115"/>
    </row>
    <row r="113" spans="1:22" ht="12.75" customHeight="1" x14ac:dyDescent="0.25">
      <c r="A113" s="336">
        <f>+D111</f>
        <v>630001</v>
      </c>
      <c r="B113" s="115" t="str">
        <f>G111</f>
        <v>Jacob van Wassenaerstraat 61 (WB)</v>
      </c>
      <c r="D113" s="337">
        <v>42100</v>
      </c>
      <c r="E113" s="337"/>
      <c r="F113" s="337"/>
      <c r="G113" s="319" t="s">
        <v>978</v>
      </c>
      <c r="I113" s="318"/>
      <c r="J113" s="317">
        <v>7092</v>
      </c>
      <c r="K113" s="317">
        <v>7276</v>
      </c>
      <c r="L113" s="317">
        <f t="shared" ref="L113:O114" si="127">ROUND(K113*U$2,0)</f>
        <v>7429</v>
      </c>
      <c r="M113" s="317">
        <f t="shared" si="127"/>
        <v>7600</v>
      </c>
      <c r="N113" s="317">
        <f t="shared" si="127"/>
        <v>7775</v>
      </c>
      <c r="O113" s="317">
        <f t="shared" si="127"/>
        <v>7954</v>
      </c>
      <c r="Q113" s="633"/>
      <c r="V113" s="115"/>
    </row>
    <row r="114" spans="1:22" s="305" customFormat="1" ht="12.75" customHeight="1" x14ac:dyDescent="0.25">
      <c r="A114" s="336">
        <f>D111</f>
        <v>630001</v>
      </c>
      <c r="B114" s="115" t="str">
        <f>G111</f>
        <v>Jacob van Wassenaerstraat 61 (WB)</v>
      </c>
      <c r="C114" s="115"/>
      <c r="D114" s="337">
        <v>43806</v>
      </c>
      <c r="E114" s="337"/>
      <c r="F114" s="337"/>
      <c r="G114" s="319" t="s">
        <v>3106</v>
      </c>
      <c r="H114" s="115"/>
      <c r="I114" s="318"/>
      <c r="J114" s="317">
        <v>1155</v>
      </c>
      <c r="K114" s="317">
        <v>1185</v>
      </c>
      <c r="L114" s="317">
        <f t="shared" si="127"/>
        <v>1210</v>
      </c>
      <c r="M114" s="317">
        <f t="shared" si="127"/>
        <v>1238</v>
      </c>
      <c r="N114" s="317">
        <f t="shared" si="127"/>
        <v>1266</v>
      </c>
      <c r="O114" s="317">
        <f t="shared" si="127"/>
        <v>1295</v>
      </c>
      <c r="P114" s="252"/>
      <c r="Q114" s="633"/>
      <c r="R114" s="633"/>
      <c r="S114" s="633"/>
      <c r="T114" s="633"/>
      <c r="U114" s="633"/>
      <c r="V114" s="115"/>
    </row>
    <row r="115" spans="1:22" ht="12.75" customHeight="1" thickBot="1" x14ac:dyDescent="0.3">
      <c r="D115" s="340"/>
      <c r="E115" s="340"/>
      <c r="F115" s="340"/>
      <c r="G115" s="319" t="s">
        <v>536</v>
      </c>
      <c r="I115" s="318"/>
      <c r="J115" s="480">
        <v>8247</v>
      </c>
      <c r="K115" s="480">
        <v>8461</v>
      </c>
      <c r="L115" s="480">
        <f t="shared" ref="L115:M115" si="128">SUM(L113:L114)</f>
        <v>8639</v>
      </c>
      <c r="M115" s="480">
        <f t="shared" si="128"/>
        <v>8838</v>
      </c>
      <c r="N115" s="480">
        <f t="shared" ref="N115:O115" si="129">SUM(N113:N114)</f>
        <v>9041</v>
      </c>
      <c r="O115" s="480">
        <f t="shared" si="129"/>
        <v>9249</v>
      </c>
      <c r="Q115" s="633"/>
      <c r="V115" s="115"/>
    </row>
    <row r="116" spans="1:22" ht="12.75" customHeight="1" thickTop="1" x14ac:dyDescent="0.25">
      <c r="D116" s="340"/>
      <c r="E116" s="340"/>
      <c r="F116" s="340"/>
      <c r="G116" s="319"/>
      <c r="I116" s="318"/>
      <c r="J116" s="317"/>
      <c r="K116" s="317"/>
      <c r="L116" s="317"/>
      <c r="M116" s="317"/>
      <c r="N116" s="317"/>
      <c r="O116" s="317"/>
      <c r="Q116" s="633"/>
      <c r="V116" s="115"/>
    </row>
    <row r="117" spans="1:22" ht="12.75" customHeight="1" x14ac:dyDescent="0.25">
      <c r="A117" s="336"/>
      <c r="D117" s="333">
        <v>630005</v>
      </c>
      <c r="E117" s="331"/>
      <c r="F117" s="331"/>
      <c r="G117" s="332" t="s">
        <v>3458</v>
      </c>
      <c r="I117" s="318"/>
      <c r="J117" s="317"/>
      <c r="K117" s="317"/>
      <c r="L117" s="317"/>
      <c r="M117" s="317"/>
      <c r="N117" s="317"/>
      <c r="O117" s="317"/>
      <c r="Q117" s="633"/>
      <c r="V117" s="115"/>
    </row>
    <row r="118" spans="1:22" ht="12.75" customHeight="1" x14ac:dyDescent="0.25">
      <c r="A118" s="336"/>
      <c r="D118" s="340"/>
      <c r="E118" s="340"/>
      <c r="F118" s="340"/>
      <c r="G118" s="334" t="s">
        <v>533</v>
      </c>
      <c r="I118" s="318"/>
      <c r="J118" s="317"/>
      <c r="K118" s="317"/>
      <c r="L118" s="317"/>
      <c r="M118" s="317"/>
      <c r="N118" s="317"/>
      <c r="O118" s="317"/>
      <c r="Q118" s="633"/>
      <c r="V118" s="115"/>
    </row>
    <row r="119" spans="1:22" s="305" customFormat="1" ht="12.75" customHeight="1" x14ac:dyDescent="0.25">
      <c r="A119" s="336">
        <f>+D117</f>
        <v>630005</v>
      </c>
      <c r="B119" s="115" t="str">
        <f>G117</f>
        <v>Gildelaan 2 (GM)</v>
      </c>
      <c r="C119" s="115"/>
      <c r="D119" s="337">
        <v>42100</v>
      </c>
      <c r="E119" s="337"/>
      <c r="F119" s="337"/>
      <c r="G119" s="319" t="s">
        <v>978</v>
      </c>
      <c r="H119" s="115"/>
      <c r="I119" s="318"/>
      <c r="J119" s="317">
        <v>1589</v>
      </c>
      <c r="K119" s="317">
        <v>1630</v>
      </c>
      <c r="L119" s="317">
        <f>ROUND(K119*U$2,0)</f>
        <v>1664</v>
      </c>
      <c r="M119" s="317">
        <f>ROUND(L119*V$2,0)</f>
        <v>1702</v>
      </c>
      <c r="N119" s="317">
        <f>ROUND(M119*W$2,0)</f>
        <v>1741</v>
      </c>
      <c r="O119" s="317">
        <f>ROUND(N119*X$2,0)</f>
        <v>1781</v>
      </c>
      <c r="P119" s="252"/>
      <c r="Q119" s="633"/>
      <c r="R119" s="633"/>
      <c r="S119" s="633"/>
      <c r="T119" s="633"/>
      <c r="U119" s="633"/>
      <c r="V119" s="115"/>
    </row>
    <row r="120" spans="1:22" s="305" customFormat="1" ht="12.75" customHeight="1" x14ac:dyDescent="0.25">
      <c r="A120" s="336">
        <f>+D117</f>
        <v>630005</v>
      </c>
      <c r="B120" s="115" t="str">
        <f>G117</f>
        <v>Gildelaan 2 (GM)</v>
      </c>
      <c r="C120" s="115"/>
      <c r="D120" s="337">
        <v>43511</v>
      </c>
      <c r="E120" s="337"/>
      <c r="F120" s="337"/>
      <c r="G120" s="319" t="s">
        <v>560</v>
      </c>
      <c r="H120" s="115"/>
      <c r="I120" s="318"/>
      <c r="J120" s="317">
        <v>1010.8</v>
      </c>
      <c r="K120" s="317">
        <v>1031.2</v>
      </c>
      <c r="L120" s="317">
        <f>L468</f>
        <v>1074.4000000000001</v>
      </c>
      <c r="M120" s="317">
        <f>M468</f>
        <v>1141.8500000000001</v>
      </c>
      <c r="N120" s="317">
        <f>N468</f>
        <v>1131.08</v>
      </c>
      <c r="O120" s="317">
        <f>O468</f>
        <v>1227.95</v>
      </c>
      <c r="P120" s="252"/>
      <c r="Q120" s="633"/>
      <c r="R120" s="633"/>
      <c r="S120" s="633"/>
      <c r="T120" s="633"/>
      <c r="U120" s="633"/>
      <c r="V120" s="115"/>
    </row>
    <row r="121" spans="1:22" s="305" customFormat="1" ht="12.75" customHeight="1" x14ac:dyDescent="0.25">
      <c r="A121" s="336">
        <f>+D117</f>
        <v>630005</v>
      </c>
      <c r="B121" s="115" t="str">
        <f>G117</f>
        <v>Gildelaan 2 (GM)</v>
      </c>
      <c r="C121" s="115"/>
      <c r="D121" s="337">
        <v>43806</v>
      </c>
      <c r="E121" s="337"/>
      <c r="F121" s="337"/>
      <c r="G121" s="319" t="s">
        <v>3106</v>
      </c>
      <c r="H121" s="115"/>
      <c r="I121" s="318"/>
      <c r="J121" s="317">
        <v>517</v>
      </c>
      <c r="K121" s="317">
        <v>530</v>
      </c>
      <c r="L121" s="317">
        <f t="shared" ref="L121:O122" si="130">ROUND(K121*U$2,0)</f>
        <v>541</v>
      </c>
      <c r="M121" s="317">
        <f t="shared" si="130"/>
        <v>553</v>
      </c>
      <c r="N121" s="317">
        <f t="shared" si="130"/>
        <v>566</v>
      </c>
      <c r="O121" s="317">
        <f t="shared" si="130"/>
        <v>579</v>
      </c>
      <c r="P121" s="252"/>
      <c r="Q121" s="633"/>
      <c r="R121" s="633"/>
      <c r="S121" s="633"/>
      <c r="T121" s="633"/>
      <c r="U121" s="633"/>
      <c r="V121" s="115"/>
    </row>
    <row r="122" spans="1:22" s="305" customFormat="1" ht="12.75" customHeight="1" x14ac:dyDescent="0.25">
      <c r="A122" s="336">
        <f>+D117</f>
        <v>630005</v>
      </c>
      <c r="B122" s="115" t="str">
        <f>G117</f>
        <v>Gildelaan 2 (GM)</v>
      </c>
      <c r="C122" s="115"/>
      <c r="D122" s="337">
        <v>43812</v>
      </c>
      <c r="E122" s="337"/>
      <c r="F122" s="337"/>
      <c r="G122" s="319" t="s">
        <v>535</v>
      </c>
      <c r="H122" s="115"/>
      <c r="I122" s="318"/>
      <c r="J122" s="317">
        <v>955</v>
      </c>
      <c r="K122" s="317">
        <v>980</v>
      </c>
      <c r="L122" s="317">
        <f t="shared" si="130"/>
        <v>1001</v>
      </c>
      <c r="M122" s="317">
        <f t="shared" si="130"/>
        <v>1024</v>
      </c>
      <c r="N122" s="317">
        <f t="shared" si="130"/>
        <v>1048</v>
      </c>
      <c r="O122" s="317">
        <f t="shared" si="130"/>
        <v>1072</v>
      </c>
      <c r="P122" s="252"/>
      <c r="Q122" s="633"/>
      <c r="R122" s="633"/>
      <c r="S122" s="633"/>
      <c r="T122" s="633"/>
      <c r="U122" s="633"/>
      <c r="V122" s="115"/>
    </row>
    <row r="123" spans="1:22" ht="12.75" customHeight="1" thickBot="1" x14ac:dyDescent="0.3">
      <c r="A123" s="336"/>
      <c r="D123" s="340"/>
      <c r="E123" s="340"/>
      <c r="F123" s="340"/>
      <c r="G123" s="319" t="s">
        <v>536</v>
      </c>
      <c r="I123" s="318"/>
      <c r="J123" s="480">
        <v>4071.8</v>
      </c>
      <c r="K123" s="480">
        <v>4171.2</v>
      </c>
      <c r="L123" s="480">
        <f>SUM(L119:L122)</f>
        <v>4280.3999999999996</v>
      </c>
      <c r="M123" s="480">
        <f>SUM(M119:M122)</f>
        <v>4420.8500000000004</v>
      </c>
      <c r="N123" s="480">
        <f>SUM(N119:N122)</f>
        <v>4486.08</v>
      </c>
      <c r="O123" s="480">
        <f>SUM(O119:O122)</f>
        <v>4659.95</v>
      </c>
      <c r="Q123" s="633"/>
      <c r="V123" s="115"/>
    </row>
    <row r="124" spans="1:22" ht="12.75" customHeight="1" thickTop="1" x14ac:dyDescent="0.25">
      <c r="A124" s="336"/>
      <c r="D124" s="340"/>
      <c r="E124" s="340"/>
      <c r="F124" s="340"/>
      <c r="G124" s="319"/>
      <c r="I124" s="318"/>
      <c r="J124" s="317"/>
      <c r="K124" s="317"/>
      <c r="L124" s="317"/>
      <c r="M124" s="317"/>
      <c r="N124" s="317"/>
      <c r="O124" s="317"/>
      <c r="Q124" s="633"/>
      <c r="V124" s="115"/>
    </row>
    <row r="125" spans="1:22" ht="12.75" customHeight="1" x14ac:dyDescent="0.25">
      <c r="A125" s="336"/>
      <c r="D125" s="333">
        <v>630002</v>
      </c>
      <c r="E125" s="331"/>
      <c r="F125" s="331"/>
      <c r="G125" s="332" t="s">
        <v>3459</v>
      </c>
      <c r="I125" s="318"/>
      <c r="J125" s="317"/>
      <c r="K125" s="317"/>
      <c r="L125" s="317"/>
      <c r="M125" s="317"/>
      <c r="N125" s="317"/>
      <c r="O125" s="317"/>
      <c r="Q125" s="633"/>
      <c r="V125" s="115"/>
    </row>
    <row r="126" spans="1:22" ht="12.75" customHeight="1" x14ac:dyDescent="0.25">
      <c r="A126" s="336"/>
      <c r="D126" s="340"/>
      <c r="E126" s="340"/>
      <c r="F126" s="340"/>
      <c r="G126" s="334" t="s">
        <v>533</v>
      </c>
      <c r="I126" s="318"/>
      <c r="J126" s="317"/>
      <c r="K126" s="317"/>
      <c r="L126" s="317"/>
      <c r="M126" s="317"/>
      <c r="N126" s="317"/>
      <c r="O126" s="317"/>
      <c r="Q126" s="633"/>
      <c r="V126" s="115"/>
    </row>
    <row r="127" spans="1:22" s="305" customFormat="1" ht="12.75" customHeight="1" x14ac:dyDescent="0.25">
      <c r="A127" s="336">
        <f>+D125</f>
        <v>630002</v>
      </c>
      <c r="B127" s="115" t="str">
        <f>G125</f>
        <v>Jacob van Wassenaerstraat 65 (DKB)</v>
      </c>
      <c r="C127" s="115"/>
      <c r="D127" s="337">
        <v>42100</v>
      </c>
      <c r="E127" s="337"/>
      <c r="F127" s="337"/>
      <c r="G127" s="319" t="s">
        <v>978</v>
      </c>
      <c r="H127" s="115"/>
      <c r="I127" s="318"/>
      <c r="J127" s="317">
        <v>958</v>
      </c>
      <c r="K127" s="317">
        <v>983</v>
      </c>
      <c r="L127" s="317">
        <f t="shared" ref="L127:O128" si="131">ROUND(K127*U$2,0)</f>
        <v>1004</v>
      </c>
      <c r="M127" s="317">
        <f t="shared" si="131"/>
        <v>1027</v>
      </c>
      <c r="N127" s="317">
        <f t="shared" si="131"/>
        <v>1051</v>
      </c>
      <c r="O127" s="317">
        <f t="shared" si="131"/>
        <v>1075</v>
      </c>
      <c r="P127" s="252"/>
      <c r="Q127" s="633"/>
      <c r="R127" s="633"/>
      <c r="S127" s="633"/>
      <c r="T127" s="633"/>
      <c r="U127" s="633"/>
      <c r="V127" s="115"/>
    </row>
    <row r="128" spans="1:22" s="305" customFormat="1" ht="12.75" customHeight="1" x14ac:dyDescent="0.25">
      <c r="A128" s="336">
        <f>D125</f>
        <v>630002</v>
      </c>
      <c r="B128" s="115" t="str">
        <f>G125</f>
        <v>Jacob van Wassenaerstraat 65 (DKB)</v>
      </c>
      <c r="C128" s="115"/>
      <c r="D128" s="337">
        <v>43806</v>
      </c>
      <c r="E128" s="337"/>
      <c r="F128" s="337"/>
      <c r="G128" s="319" t="s">
        <v>3106</v>
      </c>
      <c r="H128" s="115"/>
      <c r="I128" s="318"/>
      <c r="J128" s="317">
        <v>276</v>
      </c>
      <c r="K128" s="317">
        <v>283</v>
      </c>
      <c r="L128" s="317">
        <f t="shared" si="131"/>
        <v>289</v>
      </c>
      <c r="M128" s="317">
        <f t="shared" si="131"/>
        <v>296</v>
      </c>
      <c r="N128" s="317">
        <f t="shared" si="131"/>
        <v>303</v>
      </c>
      <c r="O128" s="317">
        <f t="shared" si="131"/>
        <v>310</v>
      </c>
      <c r="P128" s="252"/>
      <c r="Q128" s="633"/>
      <c r="R128" s="633"/>
      <c r="S128" s="633"/>
      <c r="T128" s="633"/>
      <c r="U128" s="633"/>
      <c r="V128" s="115"/>
    </row>
    <row r="129" spans="1:22" ht="12.75" customHeight="1" thickBot="1" x14ac:dyDescent="0.3">
      <c r="A129" s="336"/>
      <c r="D129" s="340"/>
      <c r="E129" s="340"/>
      <c r="F129" s="340"/>
      <c r="G129" s="319" t="s">
        <v>536</v>
      </c>
      <c r="I129" s="318"/>
      <c r="J129" s="480">
        <v>1234</v>
      </c>
      <c r="K129" s="480">
        <v>1266</v>
      </c>
      <c r="L129" s="480">
        <f t="shared" ref="L129:M129" si="132">SUM(L127:L128)</f>
        <v>1293</v>
      </c>
      <c r="M129" s="480">
        <f t="shared" si="132"/>
        <v>1323</v>
      </c>
      <c r="N129" s="480">
        <f t="shared" ref="N129:O129" si="133">SUM(N127:N128)</f>
        <v>1354</v>
      </c>
      <c r="O129" s="480">
        <f t="shared" si="133"/>
        <v>1385</v>
      </c>
      <c r="Q129" s="633"/>
      <c r="V129" s="115"/>
    </row>
    <row r="130" spans="1:22" ht="12.75" customHeight="1" thickTop="1" x14ac:dyDescent="0.25">
      <c r="A130" s="336"/>
      <c r="D130" s="340"/>
      <c r="E130" s="340"/>
      <c r="F130" s="340"/>
      <c r="G130" s="319"/>
      <c r="I130" s="318"/>
      <c r="J130" s="317"/>
      <c r="K130" s="317"/>
      <c r="L130" s="317"/>
      <c r="M130" s="317"/>
      <c r="N130" s="317"/>
      <c r="O130" s="317"/>
      <c r="Q130" s="633"/>
      <c r="V130" s="115"/>
    </row>
    <row r="131" spans="1:22" ht="12.75" customHeight="1" x14ac:dyDescent="0.25">
      <c r="A131" s="336"/>
      <c r="D131" s="333">
        <v>630003</v>
      </c>
      <c r="E131" s="331"/>
      <c r="F131" s="331"/>
      <c r="G131" s="332" t="s">
        <v>3460</v>
      </c>
      <c r="I131" s="318"/>
      <c r="J131" s="317"/>
      <c r="K131" s="317"/>
      <c r="L131" s="317"/>
      <c r="M131" s="317"/>
      <c r="N131" s="317"/>
      <c r="O131" s="317"/>
      <c r="Q131" s="633"/>
      <c r="V131" s="115"/>
    </row>
    <row r="132" spans="1:22" ht="12.75" customHeight="1" x14ac:dyDescent="0.25">
      <c r="A132" s="336"/>
      <c r="D132" s="340"/>
      <c r="E132" s="340"/>
      <c r="F132" s="340"/>
      <c r="G132" s="334" t="s">
        <v>533</v>
      </c>
      <c r="I132" s="318"/>
      <c r="J132" s="317"/>
      <c r="K132" s="317"/>
      <c r="L132" s="317"/>
      <c r="M132" s="317"/>
      <c r="N132" s="317"/>
      <c r="O132" s="317"/>
      <c r="Q132" s="633"/>
      <c r="V132" s="115"/>
    </row>
    <row r="133" spans="1:22" s="305" customFormat="1" ht="12.75" customHeight="1" x14ac:dyDescent="0.25">
      <c r="A133" s="336">
        <f>+D131</f>
        <v>630003</v>
      </c>
      <c r="B133" s="115" t="str">
        <f>G131</f>
        <v>Gildelaan 4 (Smashing)</v>
      </c>
      <c r="C133" s="115"/>
      <c r="D133" s="337">
        <v>42100</v>
      </c>
      <c r="E133" s="337"/>
      <c r="F133" s="337"/>
      <c r="G133" s="319" t="s">
        <v>978</v>
      </c>
      <c r="H133" s="115"/>
      <c r="I133" s="318"/>
      <c r="J133" s="317">
        <v>386</v>
      </c>
      <c r="K133" s="317">
        <v>396</v>
      </c>
      <c r="L133" s="317">
        <f>ROUND(K133*U$2,0)</f>
        <v>404</v>
      </c>
      <c r="M133" s="317">
        <f>ROUND(L133*V$2,0)</f>
        <v>413</v>
      </c>
      <c r="N133" s="317">
        <f>ROUND(M133*W$2,0)</f>
        <v>422</v>
      </c>
      <c r="O133" s="317">
        <f>ROUND(N133*X$2,0)</f>
        <v>432</v>
      </c>
      <c r="P133" s="252"/>
      <c r="Q133" s="633"/>
      <c r="R133" s="633"/>
      <c r="S133" s="633"/>
      <c r="T133" s="633"/>
      <c r="U133" s="633"/>
      <c r="V133" s="115"/>
    </row>
    <row r="134" spans="1:22" ht="12.75" customHeight="1" thickBot="1" x14ac:dyDescent="0.3">
      <c r="A134" s="336"/>
      <c r="D134" s="340"/>
      <c r="E134" s="340"/>
      <c r="F134" s="340"/>
      <c r="G134" s="319" t="s">
        <v>536</v>
      </c>
      <c r="I134" s="318"/>
      <c r="J134" s="480">
        <v>386</v>
      </c>
      <c r="K134" s="480">
        <v>396</v>
      </c>
      <c r="L134" s="480">
        <f>SUM(L133:L133)</f>
        <v>404</v>
      </c>
      <c r="M134" s="480">
        <f>SUM(M133:M133)</f>
        <v>413</v>
      </c>
      <c r="N134" s="480">
        <f>SUM(N133:N133)</f>
        <v>422</v>
      </c>
      <c r="O134" s="480">
        <f>SUM(O133:O133)</f>
        <v>432</v>
      </c>
      <c r="Q134" s="633"/>
      <c r="V134" s="115"/>
    </row>
    <row r="135" spans="1:22" ht="12.75" customHeight="1" thickTop="1" x14ac:dyDescent="0.25">
      <c r="A135" s="336"/>
      <c r="D135" s="340"/>
      <c r="E135" s="340"/>
      <c r="F135" s="340"/>
      <c r="G135" s="319"/>
      <c r="I135" s="318"/>
      <c r="J135" s="317"/>
      <c r="K135" s="317"/>
      <c r="L135" s="317"/>
      <c r="M135" s="317"/>
      <c r="N135" s="317"/>
      <c r="O135" s="317"/>
      <c r="Q135" s="633"/>
      <c r="V135" s="115"/>
    </row>
    <row r="136" spans="1:22" ht="12.75" customHeight="1" x14ac:dyDescent="0.25">
      <c r="A136" s="336"/>
      <c r="D136" s="333">
        <v>630006</v>
      </c>
      <c r="E136" s="331"/>
      <c r="F136" s="331"/>
      <c r="G136" s="332" t="s">
        <v>3461</v>
      </c>
      <c r="H136" s="358"/>
      <c r="I136" s="316"/>
      <c r="J136" s="335"/>
      <c r="K136" s="335"/>
      <c r="L136" s="335"/>
      <c r="M136" s="335"/>
      <c r="N136" s="335"/>
      <c r="O136" s="335"/>
      <c r="Q136" s="633"/>
      <c r="V136" s="115"/>
    </row>
    <row r="137" spans="1:22" ht="12.75" customHeight="1" x14ac:dyDescent="0.25">
      <c r="A137" s="336"/>
      <c r="D137" s="340"/>
      <c r="E137" s="340"/>
      <c r="F137" s="340"/>
      <c r="G137" s="334" t="s">
        <v>533</v>
      </c>
      <c r="I137" s="316"/>
      <c r="J137" s="335"/>
      <c r="K137" s="335"/>
      <c r="L137" s="335"/>
      <c r="M137" s="335"/>
      <c r="N137" s="335"/>
      <c r="O137" s="335"/>
      <c r="Q137" s="633"/>
      <c r="V137" s="115"/>
    </row>
    <row r="138" spans="1:22" s="305" customFormat="1" ht="12.75" customHeight="1" x14ac:dyDescent="0.25">
      <c r="A138" s="336">
        <f>+D136</f>
        <v>630006</v>
      </c>
      <c r="B138" s="115" t="str">
        <f>G136</f>
        <v>Algemene kosten sportpark Naastenbest</v>
      </c>
      <c r="C138" s="115"/>
      <c r="D138" s="340">
        <v>43511</v>
      </c>
      <c r="E138" s="340"/>
      <c r="F138" s="340"/>
      <c r="G138" s="319" t="s">
        <v>560</v>
      </c>
      <c r="H138" s="115"/>
      <c r="I138" s="318"/>
      <c r="J138" s="317">
        <v>24158.872815999999</v>
      </c>
      <c r="K138" s="317">
        <v>24642.050272320001</v>
      </c>
      <c r="L138" s="317">
        <f>+L492</f>
        <v>25677.01638375744</v>
      </c>
      <c r="M138" s="317">
        <f>+M492</f>
        <v>26627.065989956463</v>
      </c>
      <c r="N138" s="317">
        <f>+N492</f>
        <v>27612.267431584849</v>
      </c>
      <c r="O138" s="317">
        <f>+O492</f>
        <v>28633.921326553485</v>
      </c>
      <c r="P138" s="252"/>
      <c r="Q138" s="633"/>
      <c r="R138" s="633"/>
      <c r="S138" s="633"/>
      <c r="T138" s="633"/>
      <c r="U138" s="633"/>
      <c r="V138" s="115"/>
    </row>
    <row r="139" spans="1:22" s="305" customFormat="1" ht="12.75" customHeight="1" x14ac:dyDescent="0.25">
      <c r="A139" s="336">
        <f>+D136</f>
        <v>630006</v>
      </c>
      <c r="B139" s="115" t="str">
        <f>G136</f>
        <v>Algemene kosten sportpark Naastenbest</v>
      </c>
      <c r="C139" s="115"/>
      <c r="D139" s="340">
        <v>43802</v>
      </c>
      <c r="E139" s="340"/>
      <c r="F139" s="340"/>
      <c r="G139" s="319" t="s">
        <v>991</v>
      </c>
      <c r="H139" s="115"/>
      <c r="I139" s="318"/>
      <c r="J139" s="317">
        <v>3034</v>
      </c>
      <c r="K139" s="317">
        <v>3113</v>
      </c>
      <c r="L139" s="317">
        <f>+L489</f>
        <v>3178</v>
      </c>
      <c r="M139" s="317">
        <f>+M489</f>
        <v>3251</v>
      </c>
      <c r="N139" s="317">
        <f>+N489</f>
        <v>3326</v>
      </c>
      <c r="O139" s="317">
        <f>+O489</f>
        <v>3402</v>
      </c>
      <c r="P139" s="252"/>
      <c r="Q139" s="633"/>
      <c r="R139" s="633"/>
      <c r="S139" s="633"/>
      <c r="T139" s="633"/>
      <c r="U139" s="633"/>
      <c r="V139" s="115"/>
    </row>
    <row r="140" spans="1:22" s="305" customFormat="1" ht="12.75" customHeight="1" x14ac:dyDescent="0.25">
      <c r="A140" s="336">
        <f>+D136</f>
        <v>630006</v>
      </c>
      <c r="B140" s="115" t="str">
        <f>G136</f>
        <v>Algemene kosten sportpark Naastenbest</v>
      </c>
      <c r="C140" s="115"/>
      <c r="D140" s="340">
        <v>43812</v>
      </c>
      <c r="E140" s="340"/>
      <c r="F140" s="340"/>
      <c r="G140" s="319" t="s">
        <v>535</v>
      </c>
      <c r="H140" s="115"/>
      <c r="I140" s="318"/>
      <c r="J140" s="317">
        <v>45000</v>
      </c>
      <c r="K140" s="317">
        <v>46200</v>
      </c>
      <c r="L140" s="317">
        <f>+L497</f>
        <v>47200</v>
      </c>
      <c r="M140" s="317">
        <f>+M497</f>
        <v>48300</v>
      </c>
      <c r="N140" s="317">
        <f>+N497</f>
        <v>49400</v>
      </c>
      <c r="O140" s="317">
        <f>+O497</f>
        <v>50500</v>
      </c>
      <c r="P140" s="252"/>
      <c r="Q140" s="633"/>
      <c r="R140" s="633"/>
      <c r="S140" s="633"/>
      <c r="T140" s="633"/>
      <c r="U140" s="633"/>
      <c r="V140" s="115"/>
    </row>
    <row r="141" spans="1:22" s="305" customFormat="1" ht="12.75" customHeight="1" x14ac:dyDescent="0.25">
      <c r="A141" s="336">
        <v>630006</v>
      </c>
      <c r="B141" s="115" t="s">
        <v>3461</v>
      </c>
      <c r="C141" s="115"/>
      <c r="D141" s="337">
        <v>47201</v>
      </c>
      <c r="E141" s="340"/>
      <c r="F141" s="340"/>
      <c r="G141" s="319" t="s">
        <v>3462</v>
      </c>
      <c r="H141" s="115"/>
      <c r="I141" s="318"/>
      <c r="J141" s="318">
        <v>15000</v>
      </c>
      <c r="K141" s="318">
        <v>15750</v>
      </c>
      <c r="L141" s="318">
        <v>16537.5</v>
      </c>
      <c r="M141" s="318">
        <v>17364.375</v>
      </c>
      <c r="N141" s="318">
        <v>18232.59375</v>
      </c>
      <c r="O141" s="2114">
        <v>0</v>
      </c>
      <c r="P141" s="252"/>
      <c r="Q141" s="633"/>
      <c r="R141" s="633"/>
      <c r="S141" s="633"/>
      <c r="T141" s="633"/>
      <c r="U141" s="633"/>
      <c r="V141" s="115"/>
    </row>
    <row r="142" spans="1:22" ht="12.75" customHeight="1" thickBot="1" x14ac:dyDescent="0.3">
      <c r="A142" s="336"/>
      <c r="D142" s="340"/>
      <c r="E142" s="340"/>
      <c r="F142" s="340"/>
      <c r="G142" s="319" t="s">
        <v>536</v>
      </c>
      <c r="I142" s="318"/>
      <c r="J142" s="480">
        <v>87192.872816000003</v>
      </c>
      <c r="K142" s="480">
        <v>89705.050272320004</v>
      </c>
      <c r="L142" s="480">
        <f t="shared" ref="L142:M142" si="134">SUM(L138:L141)</f>
        <v>92592.516383757436</v>
      </c>
      <c r="M142" s="480">
        <f t="shared" si="134"/>
        <v>95542.440989956463</v>
      </c>
      <c r="N142" s="480">
        <f t="shared" ref="N142:O142" si="135">SUM(N138:N141)</f>
        <v>98570.861181584856</v>
      </c>
      <c r="O142" s="480">
        <f t="shared" si="135"/>
        <v>82535.921326553478</v>
      </c>
      <c r="Q142" s="633"/>
      <c r="V142" s="115"/>
    </row>
    <row r="143" spans="1:22" ht="12.75" customHeight="1" thickTop="1" x14ac:dyDescent="0.25">
      <c r="A143" s="336"/>
      <c r="D143" s="340"/>
      <c r="E143" s="340"/>
      <c r="F143" s="340"/>
      <c r="G143" s="319"/>
      <c r="I143" s="318"/>
      <c r="J143" s="317"/>
      <c r="K143" s="317"/>
      <c r="L143" s="317"/>
      <c r="M143" s="317"/>
      <c r="N143" s="317"/>
      <c r="O143" s="317"/>
      <c r="Q143" s="633"/>
      <c r="V143" s="115"/>
    </row>
    <row r="144" spans="1:22" ht="12.75" customHeight="1" x14ac:dyDescent="0.25">
      <c r="A144" s="336"/>
      <c r="D144" s="340"/>
      <c r="E144" s="340"/>
      <c r="F144" s="340"/>
      <c r="G144" s="319"/>
      <c r="I144" s="318"/>
      <c r="J144" s="318"/>
      <c r="K144" s="318"/>
      <c r="L144" s="318"/>
      <c r="M144" s="318"/>
      <c r="N144" s="318"/>
      <c r="O144" s="318"/>
      <c r="Q144" s="633"/>
      <c r="V144" s="115"/>
    </row>
    <row r="145" spans="1:22" ht="12.75" customHeight="1" x14ac:dyDescent="0.25">
      <c r="A145" s="336"/>
      <c r="D145" s="340"/>
      <c r="E145" s="340"/>
      <c r="F145" s="340"/>
      <c r="G145" s="1073" t="s">
        <v>3463</v>
      </c>
      <c r="I145" s="318"/>
      <c r="J145" s="318"/>
      <c r="K145" s="318"/>
      <c r="L145" s="318"/>
      <c r="M145" s="318"/>
      <c r="N145" s="318"/>
      <c r="O145" s="318"/>
      <c r="Q145" s="633"/>
      <c r="V145" s="115"/>
    </row>
    <row r="146" spans="1:22" ht="12.75" customHeight="1" x14ac:dyDescent="0.25">
      <c r="A146" s="336"/>
      <c r="D146" s="340"/>
      <c r="E146" s="340"/>
      <c r="F146" s="340"/>
      <c r="G146" s="319"/>
      <c r="I146" s="318"/>
      <c r="J146" s="318"/>
      <c r="K146" s="318"/>
      <c r="L146" s="318"/>
      <c r="M146" s="318"/>
      <c r="N146" s="318"/>
      <c r="O146" s="318"/>
      <c r="Q146" s="633"/>
      <c r="V146" s="115"/>
    </row>
    <row r="147" spans="1:22" ht="12.75" customHeight="1" x14ac:dyDescent="0.25">
      <c r="A147" s="336"/>
      <c r="D147" s="333">
        <v>630007</v>
      </c>
      <c r="E147" s="331"/>
      <c r="F147" s="331"/>
      <c r="G147" s="332" t="s">
        <v>3464</v>
      </c>
      <c r="I147" s="316"/>
      <c r="J147" s="316"/>
      <c r="K147" s="316"/>
      <c r="L147" s="316"/>
      <c r="M147" s="316"/>
      <c r="N147" s="316"/>
      <c r="O147" s="316"/>
      <c r="Q147" s="633"/>
      <c r="V147" s="115"/>
    </row>
    <row r="148" spans="1:22" ht="12.75" customHeight="1" x14ac:dyDescent="0.25">
      <c r="A148" s="336"/>
      <c r="D148" s="333"/>
      <c r="E148" s="331"/>
      <c r="F148" s="331"/>
      <c r="G148" s="334" t="s">
        <v>533</v>
      </c>
      <c r="I148" s="318"/>
      <c r="J148" s="318"/>
      <c r="K148" s="318"/>
      <c r="L148" s="318"/>
      <c r="M148" s="318"/>
      <c r="N148" s="318"/>
      <c r="O148" s="318"/>
      <c r="Q148" s="633"/>
      <c r="V148" s="115"/>
    </row>
    <row r="149" spans="1:22" ht="12.75" customHeight="1" x14ac:dyDescent="0.25">
      <c r="A149" s="336">
        <f>+D147</f>
        <v>630007</v>
      </c>
      <c r="B149" s="115" t="str">
        <f>G147</f>
        <v>Sportlaan 4 (bv)</v>
      </c>
      <c r="D149" s="337">
        <v>42100</v>
      </c>
      <c r="E149" s="337"/>
      <c r="F149" s="337"/>
      <c r="G149" s="319" t="s">
        <v>978</v>
      </c>
      <c r="I149" s="318"/>
      <c r="J149" s="318">
        <v>1441</v>
      </c>
      <c r="K149" s="318">
        <v>4478</v>
      </c>
      <c r="L149" s="318">
        <f t="shared" ref="L149:O150" si="136">ROUND(K149*U$2,0)</f>
        <v>4572</v>
      </c>
      <c r="M149" s="318">
        <f t="shared" si="136"/>
        <v>4677</v>
      </c>
      <c r="N149" s="318">
        <f t="shared" si="136"/>
        <v>4785</v>
      </c>
      <c r="O149" s="318">
        <f t="shared" si="136"/>
        <v>4895</v>
      </c>
      <c r="Q149" s="633"/>
      <c r="V149" s="115"/>
    </row>
    <row r="150" spans="1:22" ht="12.75" customHeight="1" x14ac:dyDescent="0.25">
      <c r="A150" s="336">
        <f>+D147</f>
        <v>630007</v>
      </c>
      <c r="B150" s="115" t="str">
        <f>+G147</f>
        <v>Sportlaan 4 (bv)</v>
      </c>
      <c r="D150" s="337">
        <v>43806</v>
      </c>
      <c r="E150" s="337"/>
      <c r="F150" s="337"/>
      <c r="G150" s="319" t="s">
        <v>3106</v>
      </c>
      <c r="I150" s="318"/>
      <c r="J150" s="318">
        <v>767</v>
      </c>
      <c r="K150" s="318">
        <v>787</v>
      </c>
      <c r="L150" s="318">
        <f t="shared" si="136"/>
        <v>804</v>
      </c>
      <c r="M150" s="318">
        <f t="shared" si="136"/>
        <v>822</v>
      </c>
      <c r="N150" s="318">
        <f t="shared" si="136"/>
        <v>841</v>
      </c>
      <c r="O150" s="318">
        <f t="shared" si="136"/>
        <v>860</v>
      </c>
      <c r="Q150" s="633"/>
      <c r="V150" s="115"/>
    </row>
    <row r="151" spans="1:22" ht="12.75" customHeight="1" thickBot="1" x14ac:dyDescent="0.3">
      <c r="A151" s="336"/>
      <c r="D151" s="340"/>
      <c r="E151" s="340"/>
      <c r="F151" s="340"/>
      <c r="G151" s="319" t="s">
        <v>536</v>
      </c>
      <c r="I151" s="318"/>
      <c r="J151" s="480">
        <v>2208</v>
      </c>
      <c r="K151" s="480">
        <v>5265</v>
      </c>
      <c r="L151" s="480">
        <f t="shared" ref="L151:M151" si="137">SUM(L149:L150)</f>
        <v>5376</v>
      </c>
      <c r="M151" s="480">
        <f t="shared" si="137"/>
        <v>5499</v>
      </c>
      <c r="N151" s="480">
        <f t="shared" ref="N151:O151" si="138">SUM(N149:N150)</f>
        <v>5626</v>
      </c>
      <c r="O151" s="480">
        <f t="shared" si="138"/>
        <v>5755</v>
      </c>
      <c r="Q151" s="633"/>
      <c r="V151" s="115"/>
    </row>
    <row r="152" spans="1:22" ht="12.75" customHeight="1" thickTop="1" x14ac:dyDescent="0.25">
      <c r="A152" s="336"/>
      <c r="D152" s="340"/>
      <c r="E152" s="340"/>
      <c r="F152" s="340"/>
      <c r="G152" s="319"/>
      <c r="I152" s="318"/>
      <c r="J152" s="318"/>
      <c r="K152" s="318"/>
      <c r="L152" s="318"/>
      <c r="M152" s="318"/>
      <c r="N152" s="318"/>
      <c r="O152" s="318"/>
      <c r="Q152" s="633"/>
      <c r="V152" s="115"/>
    </row>
    <row r="153" spans="1:22" ht="12.75" customHeight="1" x14ac:dyDescent="0.25">
      <c r="A153" s="336"/>
      <c r="D153" s="333">
        <v>630011</v>
      </c>
      <c r="E153" s="331"/>
      <c r="F153" s="331"/>
      <c r="G153" s="332" t="s">
        <v>3465</v>
      </c>
      <c r="I153" s="318"/>
      <c r="J153" s="318"/>
      <c r="K153" s="318"/>
      <c r="L153" s="318"/>
      <c r="M153" s="318"/>
      <c r="N153" s="318"/>
      <c r="O153" s="318"/>
      <c r="Q153" s="633"/>
      <c r="V153" s="115"/>
    </row>
    <row r="154" spans="1:22" ht="12.75" customHeight="1" x14ac:dyDescent="0.25">
      <c r="A154" s="336"/>
      <c r="D154" s="340"/>
      <c r="E154" s="340"/>
      <c r="F154" s="340"/>
      <c r="G154" s="334" t="s">
        <v>533</v>
      </c>
      <c r="I154" s="318"/>
      <c r="J154" s="318"/>
      <c r="K154" s="318"/>
      <c r="L154" s="318"/>
      <c r="M154" s="318"/>
      <c r="N154" s="318"/>
      <c r="O154" s="318"/>
      <c r="Q154" s="633"/>
      <c r="V154" s="115"/>
    </row>
    <row r="155" spans="1:22" ht="12.75" customHeight="1" x14ac:dyDescent="0.25">
      <c r="A155" s="336">
        <f>+D153</f>
        <v>630011</v>
      </c>
      <c r="B155" s="115" t="str">
        <f>G153</f>
        <v>Sportlaan 6a (mhcb)</v>
      </c>
      <c r="D155" s="337">
        <v>42100</v>
      </c>
      <c r="E155" s="337"/>
      <c r="F155" s="337"/>
      <c r="G155" s="319" t="s">
        <v>978</v>
      </c>
      <c r="I155" s="318"/>
      <c r="J155" s="318">
        <v>1328</v>
      </c>
      <c r="K155" s="318">
        <v>4363</v>
      </c>
      <c r="L155" s="318">
        <f t="shared" ref="L155:O156" si="139">ROUND(K155*U$2,0)</f>
        <v>4455</v>
      </c>
      <c r="M155" s="318">
        <f t="shared" si="139"/>
        <v>4557</v>
      </c>
      <c r="N155" s="318">
        <f t="shared" si="139"/>
        <v>4662</v>
      </c>
      <c r="O155" s="318">
        <f t="shared" si="139"/>
        <v>4769</v>
      </c>
      <c r="Q155" s="633"/>
      <c r="V155" s="115"/>
    </row>
    <row r="156" spans="1:22" ht="12.75" customHeight="1" x14ac:dyDescent="0.25">
      <c r="A156" s="336">
        <f>+D153</f>
        <v>630011</v>
      </c>
      <c r="B156" s="115" t="str">
        <f>+G153</f>
        <v>Sportlaan 6a (mhcb)</v>
      </c>
      <c r="D156" s="337">
        <v>43806</v>
      </c>
      <c r="E156" s="337"/>
      <c r="F156" s="337"/>
      <c r="G156" s="319" t="s">
        <v>3106</v>
      </c>
      <c r="I156" s="318"/>
      <c r="J156" s="318">
        <v>502</v>
      </c>
      <c r="K156" s="318">
        <v>515</v>
      </c>
      <c r="L156" s="318">
        <f t="shared" si="139"/>
        <v>526</v>
      </c>
      <c r="M156" s="318">
        <f t="shared" si="139"/>
        <v>538</v>
      </c>
      <c r="N156" s="318">
        <f t="shared" si="139"/>
        <v>550</v>
      </c>
      <c r="O156" s="318">
        <f t="shared" si="139"/>
        <v>563</v>
      </c>
      <c r="Q156" s="633"/>
      <c r="V156" s="115"/>
    </row>
    <row r="157" spans="1:22" ht="12.75" customHeight="1" x14ac:dyDescent="0.25">
      <c r="A157" s="336">
        <f>+D153</f>
        <v>630011</v>
      </c>
      <c r="B157" s="115" t="str">
        <f>G153</f>
        <v>Sportlaan 6a (mhcb)</v>
      </c>
      <c r="D157" s="337">
        <v>43812</v>
      </c>
      <c r="E157" s="337"/>
      <c r="F157" s="337"/>
      <c r="G157" s="319" t="s">
        <v>535</v>
      </c>
      <c r="I157" s="318"/>
      <c r="J157" s="318">
        <v>5691</v>
      </c>
      <c r="K157" s="318">
        <v>5839</v>
      </c>
      <c r="L157" s="318">
        <f>L662</f>
        <v>5962</v>
      </c>
      <c r="M157" s="318">
        <f>M662</f>
        <v>6099</v>
      </c>
      <c r="N157" s="318">
        <f>N662</f>
        <v>6239</v>
      </c>
      <c r="O157" s="318">
        <f>O662</f>
        <v>6382</v>
      </c>
      <c r="Q157" s="633"/>
      <c r="V157" s="115"/>
    </row>
    <row r="158" spans="1:22" ht="12.75" customHeight="1" thickBot="1" x14ac:dyDescent="0.3">
      <c r="A158" s="336"/>
      <c r="D158" s="340"/>
      <c r="E158" s="340"/>
      <c r="F158" s="340"/>
      <c r="G158" s="319" t="s">
        <v>536</v>
      </c>
      <c r="I158" s="318"/>
      <c r="J158" s="480">
        <v>7521</v>
      </c>
      <c r="K158" s="480">
        <v>10717</v>
      </c>
      <c r="L158" s="480">
        <f>SUM(L155:L157)</f>
        <v>10943</v>
      </c>
      <c r="M158" s="480">
        <f>SUM(M155:M157)</f>
        <v>11194</v>
      </c>
      <c r="N158" s="480">
        <f>SUM(N155:N157)</f>
        <v>11451</v>
      </c>
      <c r="O158" s="480">
        <f>SUM(O155:O157)</f>
        <v>11714</v>
      </c>
      <c r="Q158" s="633"/>
      <c r="V158" s="115"/>
    </row>
    <row r="159" spans="1:22" ht="12.75" customHeight="1" thickTop="1" x14ac:dyDescent="0.25">
      <c r="A159" s="336"/>
      <c r="D159" s="340"/>
      <c r="E159" s="340"/>
      <c r="F159" s="340"/>
      <c r="G159" s="319"/>
      <c r="I159" s="318"/>
      <c r="J159" s="318"/>
      <c r="K159" s="318"/>
      <c r="L159" s="318"/>
      <c r="M159" s="318"/>
      <c r="N159" s="318"/>
      <c r="O159" s="318"/>
      <c r="Q159" s="633"/>
      <c r="V159" s="115"/>
    </row>
    <row r="160" spans="1:22" ht="12.75" customHeight="1" x14ac:dyDescent="0.25">
      <c r="A160" s="336"/>
      <c r="D160" s="333">
        <v>630008</v>
      </c>
      <c r="E160" s="331"/>
      <c r="F160" s="331"/>
      <c r="G160" s="332" t="s">
        <v>3466</v>
      </c>
      <c r="I160" s="318"/>
      <c r="J160" s="318"/>
      <c r="K160" s="318"/>
      <c r="L160" s="318"/>
      <c r="M160" s="318"/>
      <c r="N160" s="318"/>
      <c r="O160" s="318"/>
      <c r="Q160" s="633"/>
      <c r="V160" s="115"/>
    </row>
    <row r="161" spans="1:22" ht="12.75" customHeight="1" x14ac:dyDescent="0.25">
      <c r="A161" s="336"/>
      <c r="D161" s="340"/>
      <c r="E161" s="340"/>
      <c r="F161" s="340"/>
      <c r="G161" s="334" t="s">
        <v>533</v>
      </c>
      <c r="I161" s="318"/>
      <c r="J161" s="318"/>
      <c r="K161" s="318"/>
      <c r="L161" s="318"/>
      <c r="M161" s="318"/>
      <c r="N161" s="318"/>
      <c r="O161" s="318"/>
      <c r="Q161" s="633"/>
      <c r="V161" s="115"/>
    </row>
    <row r="162" spans="1:22" ht="12.75" customHeight="1" x14ac:dyDescent="0.25">
      <c r="A162" s="336">
        <f>+D160</f>
        <v>630008</v>
      </c>
      <c r="B162" s="115" t="str">
        <f>G160</f>
        <v>Randweg 8 (ltvb)</v>
      </c>
      <c r="D162" s="337">
        <v>42100</v>
      </c>
      <c r="E162" s="337"/>
      <c r="F162" s="337"/>
      <c r="G162" s="319" t="s">
        <v>978</v>
      </c>
      <c r="I162" s="318"/>
      <c r="J162" s="318">
        <v>497</v>
      </c>
      <c r="K162" s="318">
        <v>510</v>
      </c>
      <c r="L162" s="318">
        <f>ROUND(K162*U$2,0)</f>
        <v>521</v>
      </c>
      <c r="M162" s="318">
        <f>ROUND(L162*V$2,0)</f>
        <v>533</v>
      </c>
      <c r="N162" s="318">
        <f>ROUND(M162*W$2,0)</f>
        <v>545</v>
      </c>
      <c r="O162" s="318">
        <f>ROUND(N162*X$2,0)</f>
        <v>558</v>
      </c>
      <c r="Q162" s="633"/>
      <c r="V162" s="115"/>
    </row>
    <row r="163" spans="1:22" ht="12.75" customHeight="1" thickBot="1" x14ac:dyDescent="0.3">
      <c r="A163" s="336"/>
      <c r="D163" s="340"/>
      <c r="E163" s="340"/>
      <c r="F163" s="340"/>
      <c r="G163" s="319" t="s">
        <v>536</v>
      </c>
      <c r="I163" s="318"/>
      <c r="J163" s="480">
        <v>497</v>
      </c>
      <c r="K163" s="480">
        <v>510</v>
      </c>
      <c r="L163" s="480">
        <f>SUM(L161:L162)</f>
        <v>521</v>
      </c>
      <c r="M163" s="480">
        <f>SUM(M161:M162)</f>
        <v>533</v>
      </c>
      <c r="N163" s="480">
        <f>SUM(N161:N162)</f>
        <v>545</v>
      </c>
      <c r="O163" s="480">
        <f>SUM(O161:O162)</f>
        <v>558</v>
      </c>
      <c r="Q163" s="633"/>
      <c r="V163" s="115"/>
    </row>
    <row r="164" spans="1:22" ht="12.75" customHeight="1" thickTop="1" x14ac:dyDescent="0.25">
      <c r="A164" s="336"/>
      <c r="D164" s="340"/>
      <c r="E164" s="340"/>
      <c r="F164" s="340"/>
      <c r="G164" s="319"/>
      <c r="I164" s="318"/>
      <c r="J164" s="318"/>
      <c r="K164" s="318"/>
      <c r="L164" s="318"/>
      <c r="M164" s="318"/>
      <c r="N164" s="318"/>
      <c r="O164" s="318"/>
      <c r="Q164" s="633"/>
      <c r="V164" s="115"/>
    </row>
    <row r="165" spans="1:22" ht="12.75" customHeight="1" x14ac:dyDescent="0.25">
      <c r="A165" s="336"/>
      <c r="D165" s="333">
        <v>630009</v>
      </c>
      <c r="E165" s="331"/>
      <c r="F165" s="331"/>
      <c r="G165" s="332" t="s">
        <v>3467</v>
      </c>
      <c r="I165" s="318"/>
      <c r="J165" s="318"/>
      <c r="K165" s="318"/>
      <c r="L165" s="318"/>
      <c r="M165" s="318"/>
      <c r="N165" s="318"/>
      <c r="O165" s="318"/>
      <c r="Q165" s="633"/>
      <c r="V165" s="115"/>
    </row>
    <row r="166" spans="1:22" ht="12.75" customHeight="1" x14ac:dyDescent="0.25">
      <c r="A166" s="336"/>
      <c r="D166" s="340"/>
      <c r="E166" s="340"/>
      <c r="F166" s="340"/>
      <c r="G166" s="334" t="s">
        <v>533</v>
      </c>
      <c r="I166" s="318"/>
      <c r="J166" s="318"/>
      <c r="K166" s="318"/>
      <c r="L166" s="318"/>
      <c r="M166" s="318"/>
      <c r="N166" s="318"/>
      <c r="O166" s="318"/>
      <c r="Q166" s="633"/>
      <c r="V166" s="115"/>
    </row>
    <row r="167" spans="1:22" ht="12.75" customHeight="1" x14ac:dyDescent="0.25">
      <c r="A167" s="336">
        <f>+D165</f>
        <v>630009</v>
      </c>
      <c r="B167" s="115" t="str">
        <f>G165</f>
        <v>Visvijver, gracht en ijsbaan</v>
      </c>
      <c r="D167" s="337">
        <v>43806</v>
      </c>
      <c r="E167" s="337"/>
      <c r="F167" s="337"/>
      <c r="G167" s="319" t="s">
        <v>3106</v>
      </c>
      <c r="I167" s="318"/>
      <c r="J167" s="318">
        <v>117</v>
      </c>
      <c r="K167" s="318">
        <v>120</v>
      </c>
      <c r="L167" s="318">
        <f>ROUND(K167*U$2,0)</f>
        <v>123</v>
      </c>
      <c r="M167" s="318">
        <f>ROUND(L167*V$2,0)</f>
        <v>126</v>
      </c>
      <c r="N167" s="318">
        <f>ROUND(M167*W$2,0)</f>
        <v>129</v>
      </c>
      <c r="O167" s="318">
        <f>ROUND(N167*X$2,0)</f>
        <v>132</v>
      </c>
      <c r="Q167" s="633"/>
      <c r="V167" s="115"/>
    </row>
    <row r="168" spans="1:22" ht="12.75" customHeight="1" x14ac:dyDescent="0.25">
      <c r="A168" s="336">
        <f>+D165</f>
        <v>630009</v>
      </c>
      <c r="B168" s="115" t="str">
        <f>G165</f>
        <v>Visvijver, gracht en ijsbaan</v>
      </c>
      <c r="D168" s="337">
        <v>43812</v>
      </c>
      <c r="E168" s="337"/>
      <c r="F168" s="337"/>
      <c r="G168" s="319" t="s">
        <v>535</v>
      </c>
      <c r="I168" s="318"/>
      <c r="J168" s="318">
        <v>1651</v>
      </c>
      <c r="K168" s="318">
        <v>1694</v>
      </c>
      <c r="L168" s="318">
        <f>L676</f>
        <v>1730</v>
      </c>
      <c r="M168" s="318">
        <f>M676</f>
        <v>1770</v>
      </c>
      <c r="N168" s="318">
        <f>N676</f>
        <v>1810</v>
      </c>
      <c r="O168" s="318">
        <f>O676</f>
        <v>1852</v>
      </c>
      <c r="Q168" s="633"/>
      <c r="V168" s="115"/>
    </row>
    <row r="169" spans="1:22" ht="12.75" customHeight="1" thickBot="1" x14ac:dyDescent="0.3">
      <c r="A169" s="336"/>
      <c r="D169" s="340"/>
      <c r="E169" s="340"/>
      <c r="F169" s="340"/>
      <c r="G169" s="319" t="s">
        <v>536</v>
      </c>
      <c r="I169" s="318"/>
      <c r="J169" s="342">
        <v>1768</v>
      </c>
      <c r="K169" s="342">
        <v>1814</v>
      </c>
      <c r="L169" s="342">
        <f t="shared" ref="L169:M169" si="140">SUM(L167:L168)</f>
        <v>1853</v>
      </c>
      <c r="M169" s="342">
        <f t="shared" si="140"/>
        <v>1896</v>
      </c>
      <c r="N169" s="342">
        <f t="shared" ref="N169:O169" si="141">SUM(N167:N168)</f>
        <v>1939</v>
      </c>
      <c r="O169" s="342">
        <f t="shared" si="141"/>
        <v>1984</v>
      </c>
      <c r="Q169" s="633"/>
      <c r="V169" s="115"/>
    </row>
    <row r="170" spans="1:22" ht="12.75" customHeight="1" thickTop="1" x14ac:dyDescent="0.25">
      <c r="A170" s="336"/>
      <c r="D170" s="340"/>
      <c r="E170" s="340"/>
      <c r="F170" s="340"/>
      <c r="G170" s="319"/>
      <c r="I170" s="318"/>
      <c r="J170" s="318"/>
      <c r="K170" s="318"/>
      <c r="L170" s="318"/>
      <c r="M170" s="318"/>
      <c r="N170" s="318"/>
      <c r="O170" s="318"/>
      <c r="Q170" s="633"/>
      <c r="V170" s="115"/>
    </row>
    <row r="171" spans="1:22" ht="12.75" customHeight="1" x14ac:dyDescent="0.25">
      <c r="A171" s="336"/>
      <c r="D171" s="333">
        <v>630010</v>
      </c>
      <c r="E171" s="331"/>
      <c r="F171" s="331"/>
      <c r="G171" s="332" t="s">
        <v>3468</v>
      </c>
      <c r="I171" s="318"/>
      <c r="J171" s="318"/>
      <c r="K171" s="318"/>
      <c r="L171" s="318"/>
      <c r="M171" s="318"/>
      <c r="N171" s="318"/>
      <c r="O171" s="318"/>
      <c r="Q171" s="633"/>
      <c r="V171" s="115"/>
    </row>
    <row r="172" spans="1:22" ht="12.75" customHeight="1" x14ac:dyDescent="0.25">
      <c r="A172" s="336"/>
      <c r="D172" s="340"/>
      <c r="E172" s="340"/>
      <c r="F172" s="340"/>
      <c r="G172" s="334" t="s">
        <v>533</v>
      </c>
      <c r="I172" s="318"/>
      <c r="J172" s="318"/>
      <c r="K172" s="318"/>
      <c r="L172" s="318"/>
      <c r="M172" s="318"/>
      <c r="N172" s="318"/>
      <c r="O172" s="318"/>
      <c r="Q172" s="633"/>
      <c r="V172" s="115"/>
    </row>
    <row r="173" spans="1:22" ht="12.75" customHeight="1" x14ac:dyDescent="0.25">
      <c r="A173" s="336">
        <f>+D171</f>
        <v>630010</v>
      </c>
      <c r="B173" s="115" t="str">
        <f>G171</f>
        <v>Ambachtsweg 7 (Jeu de Boules)</v>
      </c>
      <c r="D173" s="337">
        <v>42100</v>
      </c>
      <c r="E173" s="337"/>
      <c r="F173" s="337"/>
      <c r="G173" s="319" t="s">
        <v>978</v>
      </c>
      <c r="I173" s="318"/>
      <c r="J173" s="318">
        <v>280</v>
      </c>
      <c r="K173" s="318">
        <v>287</v>
      </c>
      <c r="L173" s="318">
        <f>ROUND(K173*U$2,0)</f>
        <v>293</v>
      </c>
      <c r="M173" s="318">
        <f>ROUND(L173*V$2,0)</f>
        <v>300</v>
      </c>
      <c r="N173" s="318">
        <f>ROUND(M173*W$2,0)</f>
        <v>307</v>
      </c>
      <c r="O173" s="318">
        <f>ROUND(N173*X$2,0)</f>
        <v>314</v>
      </c>
      <c r="Q173" s="633"/>
      <c r="V173" s="115"/>
    </row>
    <row r="174" spans="1:22" ht="12.75" customHeight="1" thickBot="1" x14ac:dyDescent="0.3">
      <c r="A174" s="336"/>
      <c r="D174" s="340"/>
      <c r="E174" s="340"/>
      <c r="F174" s="340"/>
      <c r="G174" s="319" t="s">
        <v>536</v>
      </c>
      <c r="I174" s="318"/>
      <c r="J174" s="480">
        <v>280</v>
      </c>
      <c r="K174" s="480">
        <v>287</v>
      </c>
      <c r="L174" s="480">
        <f>SUM(L172:L173)</f>
        <v>293</v>
      </c>
      <c r="M174" s="480">
        <f>SUM(M172:M173)</f>
        <v>300</v>
      </c>
      <c r="N174" s="480">
        <f>SUM(N172:N173)</f>
        <v>307</v>
      </c>
      <c r="O174" s="480">
        <f>SUM(O172:O173)</f>
        <v>314</v>
      </c>
      <c r="Q174" s="633"/>
      <c r="V174" s="115"/>
    </row>
    <row r="175" spans="1:22" ht="12.75" customHeight="1" thickTop="1" x14ac:dyDescent="0.25">
      <c r="A175" s="336"/>
      <c r="D175" s="340"/>
      <c r="E175" s="340"/>
      <c r="F175" s="340"/>
      <c r="G175" s="319"/>
      <c r="I175" s="318"/>
      <c r="J175" s="317"/>
      <c r="K175" s="317"/>
      <c r="L175" s="317"/>
      <c r="M175" s="317"/>
      <c r="N175" s="317"/>
      <c r="O175" s="317"/>
      <c r="Q175" s="633"/>
      <c r="V175" s="115"/>
    </row>
    <row r="176" spans="1:22" ht="12.75" customHeight="1" x14ac:dyDescent="0.25">
      <c r="A176" s="336"/>
      <c r="D176" s="333">
        <v>630012</v>
      </c>
      <c r="E176" s="331"/>
      <c r="F176" s="331"/>
      <c r="G176" s="332" t="s">
        <v>3469</v>
      </c>
      <c r="I176" s="316"/>
      <c r="J176" s="335"/>
      <c r="K176" s="335"/>
      <c r="L176" s="335"/>
      <c r="M176" s="335"/>
      <c r="N176" s="335"/>
      <c r="O176" s="335"/>
      <c r="Q176" s="633"/>
      <c r="V176" s="115"/>
    </row>
    <row r="177" spans="1:22" ht="12.75" customHeight="1" x14ac:dyDescent="0.25">
      <c r="A177" s="336"/>
      <c r="D177" s="340"/>
      <c r="E177" s="340"/>
      <c r="F177" s="340"/>
      <c r="G177" s="334" t="s">
        <v>533</v>
      </c>
      <c r="I177" s="594"/>
      <c r="J177" s="335"/>
      <c r="K177" s="335"/>
      <c r="L177" s="335"/>
      <c r="M177" s="335"/>
      <c r="N177" s="335"/>
      <c r="O177" s="335"/>
      <c r="Q177" s="633"/>
      <c r="V177" s="115"/>
    </row>
    <row r="178" spans="1:22" ht="12.75" customHeight="1" x14ac:dyDescent="0.25">
      <c r="A178" s="336">
        <f>+D176</f>
        <v>630012</v>
      </c>
      <c r="B178" s="115" t="str">
        <f>G176</f>
        <v>Algemene kosten sportpark de Leemkuilen</v>
      </c>
      <c r="D178" s="340">
        <v>43511</v>
      </c>
      <c r="E178" s="340"/>
      <c r="F178" s="340"/>
      <c r="G178" s="319" t="s">
        <v>560</v>
      </c>
      <c r="I178" s="318"/>
      <c r="J178" s="318">
        <v>24158</v>
      </c>
      <c r="K178" s="318">
        <v>24641</v>
      </c>
      <c r="L178" s="318">
        <f>L684</f>
        <v>25676</v>
      </c>
      <c r="M178" s="318">
        <f>M684</f>
        <v>26626</v>
      </c>
      <c r="N178" s="318">
        <f>N684</f>
        <v>27611</v>
      </c>
      <c r="O178" s="318">
        <f>O684</f>
        <v>28633</v>
      </c>
      <c r="Q178" s="633"/>
      <c r="V178" s="115"/>
    </row>
    <row r="179" spans="1:22" ht="12.75" customHeight="1" x14ac:dyDescent="0.25">
      <c r="A179" s="336">
        <f>+D176</f>
        <v>630012</v>
      </c>
      <c r="B179" s="115" t="str">
        <f>G176</f>
        <v>Algemene kosten sportpark de Leemkuilen</v>
      </c>
      <c r="D179" s="340">
        <v>43802</v>
      </c>
      <c r="E179" s="340"/>
      <c r="F179" s="340"/>
      <c r="G179" s="319" t="s">
        <v>991</v>
      </c>
      <c r="I179" s="318"/>
      <c r="J179" s="318">
        <v>1574</v>
      </c>
      <c r="K179" s="318">
        <v>1615</v>
      </c>
      <c r="L179" s="318">
        <f>L681</f>
        <v>1649</v>
      </c>
      <c r="M179" s="318">
        <f>M681</f>
        <v>1687</v>
      </c>
      <c r="N179" s="318">
        <f>N681</f>
        <v>1726</v>
      </c>
      <c r="O179" s="318">
        <f>O681</f>
        <v>1766</v>
      </c>
      <c r="Q179" s="633"/>
      <c r="V179" s="115"/>
    </row>
    <row r="180" spans="1:22" ht="12.75" customHeight="1" x14ac:dyDescent="0.25">
      <c r="A180" s="336">
        <f>+D176</f>
        <v>630012</v>
      </c>
      <c r="B180" s="115" t="str">
        <f>G176</f>
        <v>Algemene kosten sportpark de Leemkuilen</v>
      </c>
      <c r="D180" s="340">
        <v>43812</v>
      </c>
      <c r="E180" s="340"/>
      <c r="F180" s="340"/>
      <c r="G180" s="319" t="s">
        <v>535</v>
      </c>
      <c r="I180" s="318"/>
      <c r="J180" s="318">
        <v>44940</v>
      </c>
      <c r="K180" s="318">
        <v>46108</v>
      </c>
      <c r="L180" s="318">
        <f>L689</f>
        <v>47076</v>
      </c>
      <c r="M180" s="318">
        <f>M689</f>
        <v>48159</v>
      </c>
      <c r="N180" s="318">
        <f>N689</f>
        <v>49267</v>
      </c>
      <c r="O180" s="318">
        <f>O689</f>
        <v>50400</v>
      </c>
      <c r="Q180" s="633"/>
      <c r="V180" s="115"/>
    </row>
    <row r="181" spans="1:22" ht="12.75" customHeight="1" x14ac:dyDescent="0.25">
      <c r="A181" s="336">
        <v>630012</v>
      </c>
      <c r="B181" s="115" t="s">
        <v>3469</v>
      </c>
      <c r="D181" s="337">
        <v>47201</v>
      </c>
      <c r="E181" s="340"/>
      <c r="F181" s="340"/>
      <c r="G181" s="319" t="s">
        <v>3462</v>
      </c>
      <c r="I181" s="318"/>
      <c r="J181" s="318">
        <v>15000</v>
      </c>
      <c r="K181" s="318">
        <v>15750</v>
      </c>
      <c r="L181" s="318">
        <v>16537.5</v>
      </c>
      <c r="M181" s="318">
        <v>17364.375</v>
      </c>
      <c r="N181" s="318">
        <v>18232.59375</v>
      </c>
      <c r="O181" s="2114">
        <v>0</v>
      </c>
      <c r="Q181" s="633"/>
      <c r="V181" s="115"/>
    </row>
    <row r="182" spans="1:22" ht="12.75" customHeight="1" thickBot="1" x14ac:dyDescent="0.3">
      <c r="A182" s="336"/>
      <c r="D182" s="340"/>
      <c r="E182" s="340"/>
      <c r="F182" s="340"/>
      <c r="G182" s="319" t="s">
        <v>536</v>
      </c>
      <c r="I182" s="318"/>
      <c r="J182" s="342">
        <v>85672</v>
      </c>
      <c r="K182" s="342">
        <v>88114</v>
      </c>
      <c r="L182" s="342">
        <f t="shared" ref="L182:M182" si="142">SUM(L178:L181)</f>
        <v>90938.5</v>
      </c>
      <c r="M182" s="342">
        <f t="shared" si="142"/>
        <v>93836.375</v>
      </c>
      <c r="N182" s="342">
        <f t="shared" ref="N182:O182" si="143">SUM(N178:N181)</f>
        <v>96836.59375</v>
      </c>
      <c r="O182" s="342">
        <f t="shared" si="143"/>
        <v>80799</v>
      </c>
      <c r="Q182" s="633"/>
      <c r="V182" s="115"/>
    </row>
    <row r="183" spans="1:22" ht="12.75" customHeight="1" thickTop="1" x14ac:dyDescent="0.25">
      <c r="A183" s="336"/>
      <c r="D183" s="340"/>
      <c r="E183" s="340"/>
      <c r="F183" s="340"/>
      <c r="G183" s="319"/>
      <c r="I183" s="318"/>
      <c r="J183" s="317"/>
      <c r="K183" s="317"/>
      <c r="L183" s="317"/>
      <c r="M183" s="317"/>
      <c r="N183" s="317"/>
      <c r="O183" s="317"/>
      <c r="Q183" s="633"/>
      <c r="V183" s="115"/>
    </row>
    <row r="184" spans="1:22" ht="12.75" customHeight="1" x14ac:dyDescent="0.25">
      <c r="A184" s="336"/>
      <c r="D184" s="340"/>
      <c r="E184" s="340"/>
      <c r="F184" s="340"/>
      <c r="G184" s="1073" t="s">
        <v>3470</v>
      </c>
      <c r="I184" s="318"/>
      <c r="J184" s="318"/>
      <c r="K184" s="318"/>
      <c r="L184" s="318"/>
      <c r="M184" s="318"/>
      <c r="N184" s="318"/>
      <c r="O184" s="318"/>
      <c r="Q184" s="633"/>
      <c r="V184" s="115"/>
    </row>
    <row r="185" spans="1:22" ht="12.75" customHeight="1" x14ac:dyDescent="0.25">
      <c r="A185" s="336"/>
      <c r="D185" s="340"/>
      <c r="E185" s="340"/>
      <c r="F185" s="340"/>
      <c r="G185" s="1073"/>
      <c r="I185" s="318"/>
      <c r="J185" s="318"/>
      <c r="K185" s="318"/>
      <c r="L185" s="318"/>
      <c r="M185" s="318"/>
      <c r="N185" s="318"/>
      <c r="O185" s="318"/>
      <c r="Q185" s="633"/>
      <c r="V185" s="115"/>
    </row>
    <row r="186" spans="1:22" ht="12.75" customHeight="1" x14ac:dyDescent="0.25">
      <c r="A186" s="336"/>
      <c r="D186" s="333">
        <v>630001</v>
      </c>
      <c r="E186" s="331"/>
      <c r="F186" s="331"/>
      <c r="G186" s="332" t="s">
        <v>3457</v>
      </c>
      <c r="I186" s="318"/>
      <c r="J186" s="317"/>
      <c r="K186" s="317"/>
      <c r="L186" s="317"/>
      <c r="M186" s="317"/>
      <c r="N186" s="317"/>
      <c r="O186" s="317"/>
      <c r="Q186" s="633"/>
      <c r="V186" s="115"/>
    </row>
    <row r="187" spans="1:22" ht="12.75" customHeight="1" x14ac:dyDescent="0.25">
      <c r="A187" s="336"/>
      <c r="D187" s="340"/>
      <c r="E187" s="340"/>
      <c r="F187" s="340"/>
      <c r="G187" s="334" t="s">
        <v>554</v>
      </c>
      <c r="I187" s="318"/>
      <c r="J187" s="317"/>
      <c r="K187" s="317"/>
      <c r="L187" s="317"/>
      <c r="M187" s="317"/>
      <c r="N187" s="317"/>
      <c r="O187" s="317"/>
      <c r="Q187" s="633"/>
      <c r="V187" s="115"/>
    </row>
    <row r="188" spans="1:22" s="305" customFormat="1" ht="12.75" customHeight="1" x14ac:dyDescent="0.25">
      <c r="A188" s="336">
        <v>630001</v>
      </c>
      <c r="B188" s="115" t="str">
        <f>G186</f>
        <v>Jacob van Wassenaerstraat 61 (WB)</v>
      </c>
      <c r="C188" s="115"/>
      <c r="D188" s="337">
        <v>83600</v>
      </c>
      <c r="E188" s="337"/>
      <c r="F188" s="337"/>
      <c r="G188" s="319" t="s">
        <v>1010</v>
      </c>
      <c r="H188" s="115"/>
      <c r="I188" s="318"/>
      <c r="J188" s="317">
        <v>-48365.996506934556</v>
      </c>
      <c r="K188" s="317">
        <v>-49623.512416114863</v>
      </c>
      <c r="L188" s="317">
        <f>-K554</f>
        <v>-65812.396176853246</v>
      </c>
      <c r="M188" s="317">
        <f t="shared" ref="L188:O188" si="144">-L554</f>
        <v>-67326.08128892089</v>
      </c>
      <c r="N188" s="317">
        <f t="shared" si="144"/>
        <v>-68874.581158566056</v>
      </c>
      <c r="O188" s="317">
        <f t="shared" si="144"/>
        <v>-70458.696525213076</v>
      </c>
      <c r="P188" s="252"/>
      <c r="Q188" s="633"/>
      <c r="R188" s="633"/>
      <c r="S188" s="633"/>
      <c r="T188" s="633"/>
      <c r="U188" s="633"/>
      <c r="V188" s="115"/>
    </row>
    <row r="189" spans="1:22" ht="12.75" customHeight="1" thickBot="1" x14ac:dyDescent="0.3">
      <c r="A189" s="336"/>
      <c r="D189" s="340"/>
      <c r="E189" s="340"/>
      <c r="F189" s="340"/>
      <c r="G189" s="319" t="s">
        <v>536</v>
      </c>
      <c r="I189" s="318"/>
      <c r="J189" s="342">
        <v>-48365.996506934556</v>
      </c>
      <c r="K189" s="342">
        <v>-49623.512416114863</v>
      </c>
      <c r="L189" s="342">
        <f t="shared" ref="L189:M189" si="145">SUM(L187:L188)</f>
        <v>-65812.396176853246</v>
      </c>
      <c r="M189" s="342">
        <f t="shared" si="145"/>
        <v>-67326.08128892089</v>
      </c>
      <c r="N189" s="342">
        <f t="shared" ref="N189:O189" si="146">SUM(N187:N188)</f>
        <v>-68874.581158566056</v>
      </c>
      <c r="O189" s="342">
        <f t="shared" si="146"/>
        <v>-70458.696525213076</v>
      </c>
      <c r="Q189" s="633"/>
      <c r="V189" s="115"/>
    </row>
    <row r="190" spans="1:22" ht="12.75" customHeight="1" thickTop="1" x14ac:dyDescent="0.25">
      <c r="A190" s="336"/>
      <c r="D190" s="340"/>
      <c r="E190" s="340"/>
      <c r="F190" s="340"/>
      <c r="G190" s="319"/>
      <c r="I190" s="318"/>
      <c r="J190" s="317"/>
      <c r="K190" s="317"/>
      <c r="L190" s="317"/>
      <c r="M190" s="317"/>
      <c r="N190" s="317"/>
      <c r="O190" s="317"/>
      <c r="Q190" s="633"/>
      <c r="V190" s="115"/>
    </row>
    <row r="191" spans="1:22" ht="12.75" customHeight="1" x14ac:dyDescent="0.25">
      <c r="A191" s="336"/>
      <c r="D191" s="333">
        <v>630005</v>
      </c>
      <c r="E191" s="331"/>
      <c r="F191" s="331"/>
      <c r="G191" s="332" t="s">
        <v>3458</v>
      </c>
      <c r="I191" s="318"/>
      <c r="J191" s="317"/>
      <c r="K191" s="317"/>
      <c r="L191" s="317"/>
      <c r="M191" s="317"/>
      <c r="N191" s="317"/>
      <c r="O191" s="317"/>
      <c r="Q191" s="633"/>
      <c r="V191" s="115"/>
    </row>
    <row r="192" spans="1:22" ht="12.75" customHeight="1" x14ac:dyDescent="0.25">
      <c r="A192" s="336"/>
      <c r="D192" s="340"/>
      <c r="E192" s="340"/>
      <c r="F192" s="340"/>
      <c r="G192" s="334" t="s">
        <v>554</v>
      </c>
      <c r="I192" s="318"/>
      <c r="J192" s="317"/>
      <c r="K192" s="317"/>
      <c r="L192" s="317"/>
      <c r="M192" s="317"/>
      <c r="N192" s="317"/>
      <c r="O192" s="317"/>
      <c r="Q192" s="633"/>
      <c r="V192" s="115"/>
    </row>
    <row r="193" spans="1:22" ht="12.75" customHeight="1" x14ac:dyDescent="0.25">
      <c r="A193" s="336">
        <v>630005</v>
      </c>
      <c r="B193" s="115" t="str">
        <f>G191</f>
        <v>Gildelaan 2 (GM)</v>
      </c>
      <c r="D193" s="337">
        <v>83600</v>
      </c>
      <c r="E193" s="337"/>
      <c r="F193" s="337"/>
      <c r="G193" s="319" t="s">
        <v>1010</v>
      </c>
      <c r="I193" s="318"/>
      <c r="J193" s="318">
        <v>-27291.344000000005</v>
      </c>
      <c r="K193" s="318">
        <v>-28055.501632</v>
      </c>
      <c r="L193" s="318">
        <f t="shared" ref="L193:O193" si="147">-K586</f>
        <v>-28587.667166272</v>
      </c>
      <c r="M193" s="318">
        <f t="shared" si="147"/>
        <v>-29245.183511096249</v>
      </c>
      <c r="N193" s="318">
        <f t="shared" si="147"/>
        <v>-29917.822731851466</v>
      </c>
      <c r="O193" s="318">
        <f t="shared" si="147"/>
        <v>-30605.932654684046</v>
      </c>
      <c r="Q193" s="633"/>
      <c r="V193" s="115"/>
    </row>
    <row r="194" spans="1:22" ht="12.75" customHeight="1" thickBot="1" x14ac:dyDescent="0.3">
      <c r="A194" s="336"/>
      <c r="D194" s="340"/>
      <c r="E194" s="340"/>
      <c r="F194" s="340"/>
      <c r="G194" s="319" t="s">
        <v>536</v>
      </c>
      <c r="I194" s="318"/>
      <c r="J194" s="342">
        <v>-27291.344000000005</v>
      </c>
      <c r="K194" s="342">
        <v>-28055.501632</v>
      </c>
      <c r="L194" s="342">
        <f t="shared" ref="L194:M194" si="148">SUM(L192:L193)</f>
        <v>-28587.667166272</v>
      </c>
      <c r="M194" s="342">
        <f t="shared" si="148"/>
        <v>-29245.183511096249</v>
      </c>
      <c r="N194" s="342">
        <f t="shared" ref="N194:O194" si="149">SUM(N192:N193)</f>
        <v>-29917.822731851466</v>
      </c>
      <c r="O194" s="342">
        <f t="shared" si="149"/>
        <v>-30605.932654684046</v>
      </c>
      <c r="Q194" s="633"/>
      <c r="V194" s="115"/>
    </row>
    <row r="195" spans="1:22" ht="12.75" customHeight="1" thickTop="1" x14ac:dyDescent="0.25">
      <c r="A195" s="336"/>
      <c r="D195" s="340"/>
      <c r="E195" s="340"/>
      <c r="F195" s="340"/>
      <c r="G195" s="319"/>
      <c r="I195" s="318"/>
      <c r="J195" s="317"/>
      <c r="K195" s="317"/>
      <c r="L195" s="317"/>
      <c r="M195" s="317"/>
      <c r="N195" s="317"/>
      <c r="O195" s="317"/>
      <c r="Q195" s="633"/>
      <c r="V195" s="115"/>
    </row>
    <row r="196" spans="1:22" ht="12.75" customHeight="1" x14ac:dyDescent="0.25">
      <c r="A196" s="336"/>
      <c r="D196" s="333">
        <v>630002</v>
      </c>
      <c r="E196" s="331"/>
      <c r="F196" s="331"/>
      <c r="G196" s="332" t="s">
        <v>3459</v>
      </c>
      <c r="I196" s="318"/>
      <c r="J196" s="317"/>
      <c r="K196" s="317"/>
      <c r="L196" s="317"/>
      <c r="M196" s="317"/>
      <c r="N196" s="317"/>
      <c r="O196" s="317"/>
      <c r="Q196" s="633"/>
      <c r="V196" s="115"/>
    </row>
    <row r="197" spans="1:22" ht="12.75" customHeight="1" x14ac:dyDescent="0.25">
      <c r="A197" s="336"/>
      <c r="D197" s="340"/>
      <c r="E197" s="340"/>
      <c r="F197" s="340"/>
      <c r="G197" s="334" t="s">
        <v>554</v>
      </c>
      <c r="I197" s="318"/>
      <c r="J197" s="317"/>
      <c r="K197" s="317"/>
      <c r="L197" s="317"/>
      <c r="M197" s="317"/>
      <c r="N197" s="317"/>
      <c r="O197" s="317"/>
      <c r="Q197" s="633"/>
      <c r="V197" s="115"/>
    </row>
    <row r="198" spans="1:22" ht="12.75" customHeight="1" x14ac:dyDescent="0.25">
      <c r="A198" s="336">
        <v>630002</v>
      </c>
      <c r="B198" s="115" t="str">
        <f>G196</f>
        <v>Jacob van Wassenaerstraat 65 (DKB)</v>
      </c>
      <c r="D198" s="337">
        <v>83600</v>
      </c>
      <c r="E198" s="337"/>
      <c r="F198" s="337"/>
      <c r="G198" s="319" t="s">
        <v>1010</v>
      </c>
      <c r="I198" s="318"/>
      <c r="J198" s="318">
        <v>-8072.6098666666685</v>
      </c>
      <c r="K198" s="318">
        <v>-8298.6429429333348</v>
      </c>
      <c r="L198" s="318">
        <v>-8889.18</v>
      </c>
      <c r="M198" s="318">
        <v>-8889.18</v>
      </c>
      <c r="N198" s="318">
        <v>-8889.18</v>
      </c>
      <c r="O198" s="318">
        <v>-8889.18</v>
      </c>
      <c r="Q198" s="633"/>
      <c r="V198" s="115"/>
    </row>
    <row r="199" spans="1:22" ht="12.75" customHeight="1" thickBot="1" x14ac:dyDescent="0.3">
      <c r="A199" s="336"/>
      <c r="D199" s="340"/>
      <c r="E199" s="340"/>
      <c r="F199" s="337"/>
      <c r="G199" s="319" t="s">
        <v>536</v>
      </c>
      <c r="I199" s="318"/>
      <c r="J199" s="342">
        <v>-8072.6098666666685</v>
      </c>
      <c r="K199" s="342">
        <v>-8298.6429429333348</v>
      </c>
      <c r="L199" s="342">
        <f t="shared" ref="L199:M199" si="150">SUM(L197:L198)</f>
        <v>-8889.18</v>
      </c>
      <c r="M199" s="342">
        <f t="shared" si="150"/>
        <v>-8889.18</v>
      </c>
      <c r="N199" s="342">
        <f t="shared" ref="N199:O199" si="151">SUM(N197:N198)</f>
        <v>-8889.18</v>
      </c>
      <c r="O199" s="342">
        <f t="shared" si="151"/>
        <v>-8889.18</v>
      </c>
      <c r="Q199" s="633"/>
      <c r="V199" s="115"/>
    </row>
    <row r="200" spans="1:22" ht="12.75" customHeight="1" thickTop="1" x14ac:dyDescent="0.25">
      <c r="A200" s="336"/>
      <c r="D200" s="340"/>
      <c r="E200" s="340"/>
      <c r="F200" s="340"/>
      <c r="G200" s="319"/>
      <c r="I200" s="316"/>
      <c r="J200" s="357"/>
      <c r="K200" s="357"/>
      <c r="L200" s="357"/>
      <c r="M200" s="357"/>
      <c r="N200" s="357"/>
      <c r="O200" s="357"/>
      <c r="Q200" s="633"/>
      <c r="V200" s="115"/>
    </row>
    <row r="201" spans="1:22" ht="12.75" customHeight="1" x14ac:dyDescent="0.25">
      <c r="A201" s="336"/>
      <c r="D201" s="333">
        <v>630003</v>
      </c>
      <c r="E201" s="331"/>
      <c r="F201" s="331"/>
      <c r="G201" s="332" t="s">
        <v>3460</v>
      </c>
      <c r="I201" s="316"/>
      <c r="J201" s="335"/>
      <c r="K201" s="335"/>
      <c r="L201" s="335"/>
      <c r="M201" s="335"/>
      <c r="N201" s="335"/>
      <c r="O201" s="335"/>
      <c r="Q201" s="633"/>
      <c r="V201" s="115"/>
    </row>
    <row r="202" spans="1:22" ht="12.75" customHeight="1" x14ac:dyDescent="0.25">
      <c r="A202" s="336"/>
      <c r="D202" s="340"/>
      <c r="E202" s="340"/>
      <c r="F202" s="340"/>
      <c r="G202" s="334" t="s">
        <v>554</v>
      </c>
      <c r="I202" s="316"/>
      <c r="J202" s="335"/>
      <c r="K202" s="335"/>
      <c r="L202" s="335"/>
      <c r="M202" s="335"/>
      <c r="N202" s="335"/>
      <c r="O202" s="335"/>
      <c r="Q202" s="633"/>
      <c r="V202" s="115"/>
    </row>
    <row r="203" spans="1:22" ht="12.75" customHeight="1" x14ac:dyDescent="0.25">
      <c r="A203" s="336">
        <v>630003</v>
      </c>
      <c r="B203" s="115" t="str">
        <f>G201</f>
        <v>Gildelaan 4 (Smashing)</v>
      </c>
      <c r="D203" s="340">
        <v>83600</v>
      </c>
      <c r="E203" s="340"/>
      <c r="F203" s="337"/>
      <c r="G203" s="319" t="s">
        <v>1010</v>
      </c>
      <c r="I203" s="316"/>
      <c r="J203" s="142">
        <v>-57</v>
      </c>
      <c r="K203" s="142">
        <v>-57</v>
      </c>
      <c r="L203" s="142">
        <v>-57</v>
      </c>
      <c r="M203" s="142">
        <v>-57</v>
      </c>
      <c r="N203" s="142">
        <v>-57</v>
      </c>
      <c r="O203" s="142">
        <v>-57</v>
      </c>
      <c r="Q203" s="633"/>
      <c r="V203" s="115"/>
    </row>
    <row r="204" spans="1:22" ht="12.75" customHeight="1" thickBot="1" x14ac:dyDescent="0.3">
      <c r="A204" s="336"/>
      <c r="D204" s="340"/>
      <c r="E204" s="340"/>
      <c r="F204" s="340"/>
      <c r="G204" s="319" t="s">
        <v>536</v>
      </c>
      <c r="I204" s="318"/>
      <c r="J204" s="342">
        <v>-57</v>
      </c>
      <c r="K204" s="342">
        <v>-57</v>
      </c>
      <c r="L204" s="342">
        <f t="shared" ref="L204:M204" si="152">SUM(L202:L203)</f>
        <v>-57</v>
      </c>
      <c r="M204" s="342">
        <f t="shared" si="152"/>
        <v>-57</v>
      </c>
      <c r="N204" s="342">
        <f t="shared" ref="N204:O204" si="153">SUM(N202:N203)</f>
        <v>-57</v>
      </c>
      <c r="O204" s="342">
        <f t="shared" si="153"/>
        <v>-57</v>
      </c>
      <c r="Q204" s="633"/>
      <c r="V204" s="115"/>
    </row>
    <row r="205" spans="1:22" ht="12.75" customHeight="1" thickTop="1" x14ac:dyDescent="0.25">
      <c r="A205" s="336"/>
      <c r="D205" s="340"/>
      <c r="E205" s="340"/>
      <c r="F205" s="340"/>
      <c r="G205" s="319"/>
      <c r="I205" s="318"/>
      <c r="J205" s="317"/>
      <c r="K205" s="317"/>
      <c r="L205" s="317"/>
      <c r="M205" s="317"/>
      <c r="N205" s="317"/>
      <c r="O205" s="317"/>
      <c r="Q205" s="633"/>
      <c r="V205" s="115"/>
    </row>
    <row r="206" spans="1:22" ht="12.75" customHeight="1" x14ac:dyDescent="0.25">
      <c r="A206" s="336"/>
      <c r="D206" s="333">
        <v>630004</v>
      </c>
      <c r="E206" s="331"/>
      <c r="F206" s="331"/>
      <c r="G206" s="332" t="s">
        <v>3471</v>
      </c>
      <c r="I206" s="318"/>
      <c r="J206" s="317"/>
      <c r="K206" s="317"/>
      <c r="L206" s="317"/>
      <c r="M206" s="317"/>
      <c r="N206" s="317"/>
      <c r="O206" s="317"/>
      <c r="Q206" s="633"/>
      <c r="V206" s="115"/>
    </row>
    <row r="207" spans="1:22" ht="12.75" customHeight="1" x14ac:dyDescent="0.25">
      <c r="A207" s="336"/>
      <c r="D207" s="340"/>
      <c r="E207" s="340"/>
      <c r="F207" s="340"/>
      <c r="G207" s="334" t="s">
        <v>554</v>
      </c>
      <c r="I207" s="318"/>
      <c r="J207" s="317"/>
      <c r="K207" s="317"/>
      <c r="L207" s="317"/>
      <c r="M207" s="317"/>
      <c r="N207" s="317"/>
      <c r="O207" s="317"/>
      <c r="Q207" s="633"/>
      <c r="V207" s="115"/>
    </row>
    <row r="208" spans="1:22" ht="12.75" customHeight="1" x14ac:dyDescent="0.25">
      <c r="A208" s="336">
        <v>630004</v>
      </c>
      <c r="B208" s="115" t="str">
        <f>G206</f>
        <v>Beatrixlaan ong (Aristos)</v>
      </c>
      <c r="D208" s="337">
        <v>83600</v>
      </c>
      <c r="E208" s="337"/>
      <c r="F208" s="337"/>
      <c r="G208" s="319" t="s">
        <v>1010</v>
      </c>
      <c r="I208" s="318"/>
      <c r="J208" s="142">
        <v>0</v>
      </c>
      <c r="K208" s="142">
        <v>0</v>
      </c>
      <c r="L208" s="142">
        <f>L647</f>
        <v>0</v>
      </c>
      <c r="M208" s="142">
        <f>M647</f>
        <v>0</v>
      </c>
      <c r="N208" s="142">
        <f>N647</f>
        <v>0</v>
      </c>
      <c r="O208" s="142">
        <f>O647</f>
        <v>0</v>
      </c>
      <c r="Q208" s="633"/>
      <c r="V208" s="115"/>
    </row>
    <row r="209" spans="1:22" ht="12.75" customHeight="1" thickBot="1" x14ac:dyDescent="0.3">
      <c r="A209" s="336"/>
      <c r="D209" s="340"/>
      <c r="E209" s="340"/>
      <c r="F209" s="340"/>
      <c r="G209" s="319" t="s">
        <v>536</v>
      </c>
      <c r="I209" s="318"/>
      <c r="J209" s="342">
        <v>0</v>
      </c>
      <c r="K209" s="342">
        <v>0</v>
      </c>
      <c r="L209" s="342">
        <f>SUM(L207:L208)</f>
        <v>0</v>
      </c>
      <c r="M209" s="342">
        <f>SUM(M207:M208)</f>
        <v>0</v>
      </c>
      <c r="N209" s="342">
        <f>SUM(N207:N208)</f>
        <v>0</v>
      </c>
      <c r="O209" s="342">
        <f>SUM(O207:O208)</f>
        <v>0</v>
      </c>
      <c r="Q209" s="633"/>
      <c r="V209" s="115"/>
    </row>
    <row r="210" spans="1:22" ht="12.75" customHeight="1" thickTop="1" x14ac:dyDescent="0.25">
      <c r="A210" s="336"/>
      <c r="D210" s="340"/>
      <c r="E210" s="340"/>
      <c r="F210" s="340"/>
      <c r="G210" s="319"/>
      <c r="I210" s="318"/>
      <c r="J210" s="317"/>
      <c r="K210" s="317"/>
      <c r="L210" s="317"/>
      <c r="M210" s="317"/>
      <c r="N210" s="317"/>
      <c r="O210" s="317"/>
      <c r="Q210" s="633"/>
      <c r="V210" s="115"/>
    </row>
    <row r="211" spans="1:22" ht="12.75" customHeight="1" x14ac:dyDescent="0.25">
      <c r="A211" s="336"/>
      <c r="D211" s="333">
        <v>630006</v>
      </c>
      <c r="E211" s="331"/>
      <c r="F211" s="331"/>
      <c r="G211" s="332" t="s">
        <v>3472</v>
      </c>
      <c r="I211" s="318"/>
      <c r="J211" s="317"/>
      <c r="K211" s="317"/>
      <c r="L211" s="317"/>
      <c r="M211" s="317"/>
      <c r="N211" s="317"/>
      <c r="O211" s="317"/>
      <c r="Q211" s="633"/>
      <c r="V211" s="115"/>
    </row>
    <row r="212" spans="1:22" ht="12.75" customHeight="1" x14ac:dyDescent="0.25">
      <c r="A212" s="336"/>
      <c r="D212" s="340"/>
      <c r="E212" s="340"/>
      <c r="F212" s="340"/>
      <c r="G212" s="334" t="s">
        <v>554</v>
      </c>
      <c r="I212" s="318"/>
      <c r="J212" s="317"/>
      <c r="K212" s="317"/>
      <c r="L212" s="317"/>
      <c r="M212" s="317"/>
      <c r="N212" s="317"/>
      <c r="O212" s="317"/>
      <c r="Q212" s="633"/>
      <c r="V212" s="115"/>
    </row>
    <row r="213" spans="1:22" ht="12.75" customHeight="1" x14ac:dyDescent="0.25">
      <c r="A213" s="336">
        <v>630006</v>
      </c>
      <c r="B213" s="115" t="str">
        <f>G211</f>
        <v>Verhuur ondergrond algemeen</v>
      </c>
      <c r="D213" s="337">
        <v>83600</v>
      </c>
      <c r="E213" s="337"/>
      <c r="F213" s="337"/>
      <c r="G213" s="319" t="s">
        <v>3473</v>
      </c>
      <c r="I213" s="318"/>
      <c r="J213" s="142">
        <v>0</v>
      </c>
      <c r="K213" s="142">
        <v>0</v>
      </c>
      <c r="L213" s="142">
        <f>ROUND(K213*U$2,0)</f>
        <v>0</v>
      </c>
      <c r="M213" s="142">
        <f>ROUND(L213*V$2,0)</f>
        <v>0</v>
      </c>
      <c r="N213" s="142">
        <f>ROUND(M213*W$2,0)</f>
        <v>0</v>
      </c>
      <c r="O213" s="142">
        <f>ROUND(N213*X$2,0)</f>
        <v>0</v>
      </c>
      <c r="Q213" s="633"/>
      <c r="V213" s="115"/>
    </row>
    <row r="214" spans="1:22" ht="12.75" customHeight="1" thickBot="1" x14ac:dyDescent="0.3">
      <c r="A214" s="336"/>
      <c r="D214" s="340"/>
      <c r="E214" s="340"/>
      <c r="F214" s="340"/>
      <c r="G214" s="319" t="s">
        <v>536</v>
      </c>
      <c r="I214" s="318"/>
      <c r="J214" s="342">
        <v>0</v>
      </c>
      <c r="K214" s="342">
        <v>0</v>
      </c>
      <c r="L214" s="342">
        <f>SUM(L212:L213)</f>
        <v>0</v>
      </c>
      <c r="M214" s="342">
        <f>SUM(M212:M213)</f>
        <v>0</v>
      </c>
      <c r="N214" s="342">
        <f>SUM(N212:N213)</f>
        <v>0</v>
      </c>
      <c r="O214" s="342">
        <f>SUM(O212:O213)</f>
        <v>0</v>
      </c>
      <c r="Q214" s="633"/>
      <c r="V214" s="115"/>
    </row>
    <row r="215" spans="1:22" ht="12.75" customHeight="1" thickTop="1" x14ac:dyDescent="0.25">
      <c r="A215" s="336"/>
      <c r="D215" s="340"/>
      <c r="E215" s="340"/>
      <c r="F215" s="340"/>
      <c r="G215" s="319"/>
      <c r="I215" s="318"/>
      <c r="J215" s="1896"/>
      <c r="K215" s="1896"/>
      <c r="L215" s="1896"/>
      <c r="M215" s="1896"/>
      <c r="N215" s="1896"/>
      <c r="O215" s="1896"/>
      <c r="Q215" s="633"/>
      <c r="V215" s="115"/>
    </row>
    <row r="216" spans="1:22" ht="12.75" customHeight="1" x14ac:dyDescent="0.25">
      <c r="A216" s="336"/>
      <c r="D216" s="340"/>
      <c r="E216" s="340"/>
      <c r="F216" s="340"/>
      <c r="G216" s="319"/>
      <c r="I216" s="318"/>
      <c r="J216" s="317"/>
      <c r="K216" s="317"/>
      <c r="L216" s="317"/>
      <c r="M216" s="317"/>
      <c r="N216" s="317"/>
      <c r="O216" s="317"/>
      <c r="Q216" s="633"/>
      <c r="V216" s="115"/>
    </row>
    <row r="217" spans="1:22" ht="12.75" customHeight="1" x14ac:dyDescent="0.25">
      <c r="A217" s="336"/>
      <c r="D217" s="340"/>
      <c r="E217" s="340"/>
      <c r="F217" s="340"/>
      <c r="G217" s="1073" t="s">
        <v>3474</v>
      </c>
      <c r="I217" s="318"/>
      <c r="J217" s="318"/>
      <c r="K217" s="318"/>
      <c r="L217" s="318"/>
      <c r="M217" s="318"/>
      <c r="N217" s="318"/>
      <c r="O217" s="318"/>
      <c r="Q217" s="633"/>
      <c r="V217" s="115"/>
    </row>
    <row r="218" spans="1:22" ht="12.75" customHeight="1" x14ac:dyDescent="0.25">
      <c r="A218" s="336"/>
      <c r="D218" s="340"/>
      <c r="E218" s="340"/>
      <c r="F218" s="340"/>
      <c r="G218" s="319"/>
      <c r="I218" s="318"/>
      <c r="J218" s="318"/>
      <c r="K218" s="318"/>
      <c r="L218" s="318"/>
      <c r="M218" s="318"/>
      <c r="N218" s="318"/>
      <c r="O218" s="318"/>
      <c r="Q218" s="633"/>
      <c r="V218" s="115"/>
    </row>
    <row r="219" spans="1:22" ht="12.75" customHeight="1" x14ac:dyDescent="0.25">
      <c r="A219" s="336"/>
      <c r="D219" s="333">
        <v>630007</v>
      </c>
      <c r="E219" s="331"/>
      <c r="F219" s="331"/>
      <c r="G219" s="332" t="s">
        <v>3464</v>
      </c>
      <c r="I219" s="318"/>
      <c r="J219" s="318"/>
      <c r="K219" s="318"/>
      <c r="L219" s="318"/>
      <c r="M219" s="318"/>
      <c r="N219" s="318"/>
      <c r="O219" s="318"/>
      <c r="Q219" s="633"/>
      <c r="V219" s="115"/>
    </row>
    <row r="220" spans="1:22" ht="12.75" customHeight="1" x14ac:dyDescent="0.25">
      <c r="A220" s="336"/>
      <c r="D220" s="340"/>
      <c r="E220" s="340"/>
      <c r="F220" s="340"/>
      <c r="G220" s="334" t="s">
        <v>554</v>
      </c>
      <c r="I220" s="318"/>
      <c r="J220" s="318"/>
      <c r="K220" s="318"/>
      <c r="L220" s="318"/>
      <c r="M220" s="318"/>
      <c r="N220" s="318"/>
      <c r="O220" s="318"/>
      <c r="Q220" s="633"/>
      <c r="V220" s="115"/>
    </row>
    <row r="221" spans="1:22" ht="12.75" customHeight="1" x14ac:dyDescent="0.25">
      <c r="A221" s="336">
        <v>630007</v>
      </c>
      <c r="B221" s="115" t="str">
        <f>G219</f>
        <v>Sportlaan 4 (bv)</v>
      </c>
      <c r="D221" s="337">
        <v>83600</v>
      </c>
      <c r="E221" s="337"/>
      <c r="F221" s="337"/>
      <c r="G221" s="319" t="s">
        <v>1010</v>
      </c>
      <c r="I221" s="318"/>
      <c r="J221" s="318">
        <v>-56644.064524747009</v>
      </c>
      <c r="K221" s="318">
        <v>-58116.810202390436</v>
      </c>
      <c r="L221" s="318">
        <v>-59337.25</v>
      </c>
      <c r="M221" s="318">
        <v>-59337.25</v>
      </c>
      <c r="N221" s="318">
        <v>-59337.25</v>
      </c>
      <c r="O221" s="318">
        <v>-59337.25</v>
      </c>
      <c r="Q221" s="633"/>
      <c r="V221" s="115"/>
    </row>
    <row r="222" spans="1:22" ht="12.75" customHeight="1" thickBot="1" x14ac:dyDescent="0.3">
      <c r="A222" s="336"/>
      <c r="D222" s="340"/>
      <c r="E222" s="340"/>
      <c r="F222" s="340"/>
      <c r="G222" s="319" t="s">
        <v>536</v>
      </c>
      <c r="I222" s="318"/>
      <c r="J222" s="480">
        <v>-56644.064524747009</v>
      </c>
      <c r="K222" s="480">
        <v>-58116.810202390436</v>
      </c>
      <c r="L222" s="480">
        <f t="shared" ref="L222:M222" si="154">SUM(L220:L221)</f>
        <v>-59337.25</v>
      </c>
      <c r="M222" s="480">
        <f t="shared" si="154"/>
        <v>-59337.25</v>
      </c>
      <c r="N222" s="480">
        <f t="shared" ref="N222:O222" si="155">SUM(N220:N221)</f>
        <v>-59337.25</v>
      </c>
      <c r="O222" s="480">
        <f t="shared" si="155"/>
        <v>-59337.25</v>
      </c>
      <c r="Q222" s="633"/>
      <c r="V222" s="115"/>
    </row>
    <row r="223" spans="1:22" ht="12.75" customHeight="1" thickTop="1" x14ac:dyDescent="0.25">
      <c r="A223" s="336"/>
      <c r="D223" s="340"/>
      <c r="E223" s="340"/>
      <c r="F223" s="340"/>
      <c r="G223" s="319"/>
      <c r="I223" s="318"/>
      <c r="J223" s="318"/>
      <c r="K223" s="318"/>
      <c r="L223" s="318"/>
      <c r="M223" s="318"/>
      <c r="N223" s="318"/>
      <c r="O223" s="318"/>
      <c r="Q223" s="633"/>
      <c r="V223" s="115"/>
    </row>
    <row r="224" spans="1:22" ht="12.75" customHeight="1" x14ac:dyDescent="0.25">
      <c r="A224" s="336"/>
      <c r="D224" s="333">
        <v>630011</v>
      </c>
      <c r="E224" s="331"/>
      <c r="F224" s="331"/>
      <c r="G224" s="332" t="s">
        <v>3465</v>
      </c>
      <c r="I224" s="318"/>
      <c r="J224" s="318"/>
      <c r="K224" s="318"/>
      <c r="L224" s="318"/>
      <c r="M224" s="318"/>
      <c r="N224" s="318"/>
      <c r="O224" s="318"/>
      <c r="Q224" s="633"/>
      <c r="V224" s="115"/>
    </row>
    <row r="225" spans="1:22" ht="12.75" customHeight="1" x14ac:dyDescent="0.25">
      <c r="A225" s="336"/>
      <c r="D225" s="340"/>
      <c r="E225" s="340"/>
      <c r="F225" s="340"/>
      <c r="G225" s="334" t="s">
        <v>554</v>
      </c>
      <c r="I225" s="318"/>
      <c r="J225" s="318"/>
      <c r="K225" s="318"/>
      <c r="L225" s="318"/>
      <c r="M225" s="318"/>
      <c r="N225" s="318"/>
      <c r="O225" s="318"/>
      <c r="Q225" s="633"/>
      <c r="V225" s="115"/>
    </row>
    <row r="226" spans="1:22" ht="12.75" customHeight="1" x14ac:dyDescent="0.25">
      <c r="A226" s="336">
        <v>630011</v>
      </c>
      <c r="B226" s="115" t="str">
        <f>G224</f>
        <v>Sportlaan 6a (mhcb)</v>
      </c>
      <c r="D226" s="337">
        <v>83600</v>
      </c>
      <c r="E226" s="337"/>
      <c r="F226" s="337"/>
      <c r="G226" s="319" t="s">
        <v>1010</v>
      </c>
      <c r="I226" s="318"/>
      <c r="J226" s="318">
        <v>-30418.52</v>
      </c>
      <c r="K226" s="318">
        <v>-31209.401519999999</v>
      </c>
      <c r="L226" s="318">
        <f t="shared" ref="L226:N226" si="156">-+K783</f>
        <v>-38401.798951920005</v>
      </c>
      <c r="M226" s="318">
        <f t="shared" si="156"/>
        <v>-39285.04032781416</v>
      </c>
      <c r="N226" s="318">
        <f t="shared" si="156"/>
        <v>-40188.596255353885</v>
      </c>
      <c r="O226" s="318">
        <f>-N783</f>
        <v>-41112.933969227022</v>
      </c>
      <c r="Q226" s="633"/>
      <c r="V226" s="115"/>
    </row>
    <row r="227" spans="1:22" ht="12.75" customHeight="1" thickBot="1" x14ac:dyDescent="0.3">
      <c r="A227" s="336"/>
      <c r="D227" s="340"/>
      <c r="E227" s="340"/>
      <c r="F227" s="340"/>
      <c r="G227" s="319" t="s">
        <v>536</v>
      </c>
      <c r="I227" s="318"/>
      <c r="J227" s="480">
        <v>-30418.52</v>
      </c>
      <c r="K227" s="480">
        <v>-31209.401519999999</v>
      </c>
      <c r="L227" s="480">
        <f t="shared" ref="L227:M227" si="157">SUM(L225:L226)</f>
        <v>-38401.798951920005</v>
      </c>
      <c r="M227" s="480">
        <f t="shared" si="157"/>
        <v>-39285.04032781416</v>
      </c>
      <c r="N227" s="480">
        <f t="shared" ref="N227:O227" si="158">SUM(N225:N226)</f>
        <v>-40188.596255353885</v>
      </c>
      <c r="O227" s="480">
        <f t="shared" si="158"/>
        <v>-41112.933969227022</v>
      </c>
      <c r="Q227" s="633"/>
      <c r="V227" s="115"/>
    </row>
    <row r="228" spans="1:22" ht="12.75" customHeight="1" thickTop="1" x14ac:dyDescent="0.25">
      <c r="A228" s="336"/>
      <c r="D228" s="340"/>
      <c r="E228" s="340"/>
      <c r="F228" s="340"/>
      <c r="G228" s="319"/>
      <c r="I228" s="318"/>
      <c r="J228" s="318"/>
      <c r="K228" s="318"/>
      <c r="L228" s="318"/>
      <c r="M228" s="318"/>
      <c r="N228" s="318"/>
      <c r="O228" s="318"/>
      <c r="Q228" s="633"/>
      <c r="V228" s="115"/>
    </row>
    <row r="229" spans="1:22" ht="12.75" customHeight="1" x14ac:dyDescent="0.25">
      <c r="A229" s="336"/>
      <c r="D229" s="333">
        <v>630008</v>
      </c>
      <c r="E229" s="331"/>
      <c r="F229" s="331"/>
      <c r="G229" s="332" t="s">
        <v>3475</v>
      </c>
      <c r="I229" s="318"/>
      <c r="J229" s="318"/>
      <c r="K229" s="318"/>
      <c r="L229" s="318"/>
      <c r="M229" s="318"/>
      <c r="N229" s="318"/>
      <c r="O229" s="318"/>
      <c r="Q229" s="633"/>
      <c r="V229" s="115"/>
    </row>
    <row r="230" spans="1:22" ht="12.75" customHeight="1" x14ac:dyDescent="0.25">
      <c r="A230" s="336"/>
      <c r="D230" s="340"/>
      <c r="E230" s="340"/>
      <c r="F230" s="340"/>
      <c r="G230" s="334" t="s">
        <v>554</v>
      </c>
      <c r="I230" s="318"/>
      <c r="J230" s="318"/>
      <c r="K230" s="318"/>
      <c r="L230" s="318"/>
      <c r="M230" s="318"/>
      <c r="N230" s="318"/>
      <c r="O230" s="318"/>
      <c r="Q230" s="633"/>
      <c r="V230" s="115"/>
    </row>
    <row r="231" spans="1:22" ht="12.75" customHeight="1" x14ac:dyDescent="0.25">
      <c r="A231" s="336">
        <v>630008</v>
      </c>
      <c r="B231" s="115" t="str">
        <f>G229</f>
        <v>Randweg 8 (ltbv)</v>
      </c>
      <c r="D231" s="340">
        <v>83600</v>
      </c>
      <c r="E231" s="340"/>
      <c r="F231" s="337"/>
      <c r="G231" s="319" t="s">
        <v>1010</v>
      </c>
      <c r="I231" s="318"/>
      <c r="J231" s="318">
        <v>-57</v>
      </c>
      <c r="K231" s="318">
        <v>-57</v>
      </c>
      <c r="L231" s="318">
        <v>-57</v>
      </c>
      <c r="M231" s="318">
        <v>-57</v>
      </c>
      <c r="N231" s="318">
        <v>-57</v>
      </c>
      <c r="O231" s="318">
        <v>-57</v>
      </c>
      <c r="Q231" s="633"/>
      <c r="V231" s="115"/>
    </row>
    <row r="232" spans="1:22" ht="12.75" customHeight="1" thickBot="1" x14ac:dyDescent="0.3">
      <c r="A232" s="336"/>
      <c r="D232" s="340"/>
      <c r="E232" s="340"/>
      <c r="F232" s="340"/>
      <c r="G232" s="319" t="s">
        <v>536</v>
      </c>
      <c r="I232" s="318"/>
      <c r="J232" s="480">
        <v>-57</v>
      </c>
      <c r="K232" s="480">
        <v>-57</v>
      </c>
      <c r="L232" s="480">
        <f t="shared" ref="L232:M232" si="159">SUM(L230:L231)</f>
        <v>-57</v>
      </c>
      <c r="M232" s="480">
        <f t="shared" si="159"/>
        <v>-57</v>
      </c>
      <c r="N232" s="480">
        <f t="shared" ref="N232:O232" si="160">SUM(N230:N231)</f>
        <v>-57</v>
      </c>
      <c r="O232" s="480">
        <f t="shared" si="160"/>
        <v>-57</v>
      </c>
      <c r="Q232" s="633"/>
      <c r="V232" s="115"/>
    </row>
    <row r="233" spans="1:22" ht="12.75" customHeight="1" thickTop="1" x14ac:dyDescent="0.25">
      <c r="A233" s="336"/>
      <c r="D233" s="340"/>
      <c r="E233" s="340"/>
      <c r="F233" s="340"/>
      <c r="G233" s="319"/>
      <c r="I233" s="318"/>
      <c r="J233" s="318"/>
      <c r="K233" s="318"/>
      <c r="L233" s="318"/>
      <c r="M233" s="318"/>
      <c r="N233" s="318"/>
      <c r="O233" s="318"/>
      <c r="Q233" s="633"/>
      <c r="V233" s="115"/>
    </row>
    <row r="234" spans="1:22" ht="12.75" customHeight="1" x14ac:dyDescent="0.25">
      <c r="A234" s="336"/>
      <c r="D234" s="333">
        <v>630010</v>
      </c>
      <c r="E234" s="331"/>
      <c r="F234" s="331"/>
      <c r="G234" s="332" t="s">
        <v>3476</v>
      </c>
      <c r="I234" s="318"/>
      <c r="J234" s="318"/>
      <c r="K234" s="318"/>
      <c r="L234" s="318"/>
      <c r="M234" s="318"/>
      <c r="N234" s="318"/>
      <c r="O234" s="318"/>
      <c r="Q234" s="633"/>
      <c r="V234" s="115"/>
    </row>
    <row r="235" spans="1:22" ht="12.75" customHeight="1" x14ac:dyDescent="0.25">
      <c r="A235" s="336"/>
      <c r="D235" s="340"/>
      <c r="E235" s="340"/>
      <c r="F235" s="340"/>
      <c r="G235" s="334" t="s">
        <v>554</v>
      </c>
      <c r="I235" s="318"/>
      <c r="J235" s="318"/>
      <c r="K235" s="318"/>
      <c r="L235" s="318"/>
      <c r="M235" s="318"/>
      <c r="N235" s="318"/>
      <c r="O235" s="318"/>
      <c r="Q235" s="633"/>
      <c r="V235" s="115"/>
    </row>
    <row r="236" spans="1:22" ht="12.75" customHeight="1" x14ac:dyDescent="0.25">
      <c r="A236" s="336">
        <v>630010</v>
      </c>
      <c r="B236" s="115" t="str">
        <f>G234</f>
        <v>Ambachtsweg 5 (amitie)</v>
      </c>
      <c r="D236" s="340">
        <v>83600</v>
      </c>
      <c r="E236" s="340"/>
      <c r="F236" s="337"/>
      <c r="G236" s="319" t="s">
        <v>1010</v>
      </c>
      <c r="I236" s="318"/>
      <c r="J236" s="318">
        <v>-57</v>
      </c>
      <c r="K236" s="318">
        <v>-59</v>
      </c>
      <c r="L236" s="318">
        <v>-61.33</v>
      </c>
      <c r="M236" s="318">
        <v>-61</v>
      </c>
      <c r="N236" s="318">
        <v>-61</v>
      </c>
      <c r="O236" s="318">
        <v>-61</v>
      </c>
      <c r="Q236" s="633"/>
      <c r="V236" s="115"/>
    </row>
    <row r="237" spans="1:22" ht="12.75" customHeight="1" thickBot="1" x14ac:dyDescent="0.3">
      <c r="A237" s="336"/>
      <c r="D237" s="340"/>
      <c r="E237" s="340"/>
      <c r="F237" s="340"/>
      <c r="G237" s="319" t="s">
        <v>536</v>
      </c>
      <c r="I237" s="318"/>
      <c r="J237" s="480">
        <v>-57</v>
      </c>
      <c r="K237" s="480">
        <v>-59</v>
      </c>
      <c r="L237" s="480">
        <f t="shared" ref="L237:M237" si="161">SUM(L235:L236)</f>
        <v>-61.33</v>
      </c>
      <c r="M237" s="480">
        <f t="shared" si="161"/>
        <v>-61</v>
      </c>
      <c r="N237" s="480">
        <f t="shared" ref="N237:O237" si="162">SUM(N235:N236)</f>
        <v>-61</v>
      </c>
      <c r="O237" s="480">
        <f t="shared" si="162"/>
        <v>-61</v>
      </c>
      <c r="Q237" s="633"/>
      <c r="V237" s="115"/>
    </row>
    <row r="238" spans="1:22" ht="12.75" customHeight="1" thickTop="1" x14ac:dyDescent="0.25">
      <c r="A238" s="336"/>
      <c r="D238" s="352"/>
      <c r="E238" s="352"/>
      <c r="F238" s="352"/>
      <c r="G238" s="354"/>
      <c r="H238" s="355"/>
      <c r="I238" s="316"/>
      <c r="J238" s="316"/>
      <c r="K238" s="316"/>
      <c r="L238" s="316"/>
      <c r="M238" s="316"/>
      <c r="N238" s="316"/>
      <c r="O238" s="316"/>
      <c r="Q238" s="633"/>
      <c r="V238" s="115"/>
    </row>
    <row r="239" spans="1:22" ht="12.75" customHeight="1" x14ac:dyDescent="0.25">
      <c r="A239" s="336"/>
      <c r="D239" s="333">
        <v>630009</v>
      </c>
      <c r="E239" s="331"/>
      <c r="F239" s="331"/>
      <c r="G239" s="332" t="s">
        <v>3467</v>
      </c>
      <c r="I239" s="318"/>
      <c r="J239" s="318"/>
      <c r="K239" s="318"/>
      <c r="L239" s="318"/>
      <c r="M239" s="318"/>
      <c r="N239" s="318"/>
      <c r="O239" s="318"/>
      <c r="Q239" s="633"/>
      <c r="V239" s="115"/>
    </row>
    <row r="240" spans="1:22" ht="12.75" customHeight="1" x14ac:dyDescent="0.25">
      <c r="A240" s="336"/>
      <c r="D240" s="340"/>
      <c r="E240" s="340"/>
      <c r="F240" s="340"/>
      <c r="G240" s="334" t="s">
        <v>554</v>
      </c>
      <c r="I240" s="318"/>
      <c r="J240" s="318"/>
      <c r="K240" s="318"/>
      <c r="L240" s="318"/>
      <c r="M240" s="318"/>
      <c r="N240" s="318"/>
      <c r="O240" s="318"/>
      <c r="Q240" s="633"/>
      <c r="V240" s="115"/>
    </row>
    <row r="241" spans="1:24" ht="12.75" customHeight="1" x14ac:dyDescent="0.25">
      <c r="A241" s="336">
        <v>630009</v>
      </c>
      <c r="B241" s="115" t="str">
        <f>G239</f>
        <v>Visvijver, gracht en ijsbaan</v>
      </c>
      <c r="D241" s="340">
        <v>83600</v>
      </c>
      <c r="E241" s="340"/>
      <c r="F241" s="337"/>
      <c r="G241" s="319" t="s">
        <v>1010</v>
      </c>
      <c r="I241" s="318"/>
      <c r="J241" s="318">
        <v>-568</v>
      </c>
      <c r="K241" s="318">
        <v>-587</v>
      </c>
      <c r="L241" s="318">
        <v>-603.37</v>
      </c>
      <c r="M241" s="318">
        <f>M798</f>
        <v>-612</v>
      </c>
      <c r="N241" s="318">
        <f t="shared" ref="N241:O241" si="163">N798</f>
        <v>-626</v>
      </c>
      <c r="O241" s="318">
        <f t="shared" si="163"/>
        <v>-640</v>
      </c>
      <c r="Q241" s="633"/>
      <c r="V241" s="115"/>
    </row>
    <row r="242" spans="1:24" ht="12.75" customHeight="1" thickBot="1" x14ac:dyDescent="0.3">
      <c r="A242" s="336"/>
      <c r="D242" s="340"/>
      <c r="E242" s="340"/>
      <c r="F242" s="340"/>
      <c r="G242" s="319" t="s">
        <v>536</v>
      </c>
      <c r="I242" s="318"/>
      <c r="J242" s="480">
        <v>-568</v>
      </c>
      <c r="K242" s="480">
        <v>-587</v>
      </c>
      <c r="L242" s="480">
        <f t="shared" ref="L242:M242" si="164">SUM(L240:L241)</f>
        <v>-603.37</v>
      </c>
      <c r="M242" s="480">
        <f t="shared" si="164"/>
        <v>-612</v>
      </c>
      <c r="N242" s="480">
        <f t="shared" ref="N242:O242" si="165">SUM(N240:N241)</f>
        <v>-626</v>
      </c>
      <c r="O242" s="480">
        <f t="shared" si="165"/>
        <v>-640</v>
      </c>
      <c r="Q242" s="633"/>
      <c r="V242" s="115"/>
    </row>
    <row r="243" spans="1:24" ht="12.75" customHeight="1" thickTop="1" x14ac:dyDescent="0.25">
      <c r="A243" s="336"/>
      <c r="D243" s="1074"/>
      <c r="E243" s="340"/>
      <c r="F243" s="340"/>
      <c r="G243" s="319"/>
      <c r="I243" s="318"/>
      <c r="J243" s="318"/>
      <c r="K243" s="318"/>
      <c r="L243" s="318"/>
      <c r="M243" s="318"/>
      <c r="N243" s="318"/>
      <c r="O243" s="318"/>
      <c r="Q243" s="633"/>
      <c r="V243" s="115"/>
    </row>
    <row r="244" spans="1:24" ht="12.75" customHeight="1" x14ac:dyDescent="0.25">
      <c r="A244" s="336"/>
      <c r="D244" s="333">
        <v>630012</v>
      </c>
      <c r="E244" s="331"/>
      <c r="F244" s="331"/>
      <c r="G244" s="332" t="s">
        <v>3477</v>
      </c>
      <c r="I244" s="318"/>
      <c r="J244" s="318"/>
      <c r="K244" s="318"/>
      <c r="L244" s="318"/>
      <c r="M244" s="318"/>
      <c r="N244" s="318"/>
      <c r="O244" s="318"/>
      <c r="Q244" s="633"/>
      <c r="V244" s="115"/>
    </row>
    <row r="245" spans="1:24" ht="12.75" customHeight="1" x14ac:dyDescent="0.25">
      <c r="A245" s="336"/>
      <c r="D245" s="340"/>
      <c r="E245" s="340"/>
      <c r="F245" s="340"/>
      <c r="G245" s="334" t="s">
        <v>554</v>
      </c>
      <c r="I245" s="318"/>
      <c r="J245" s="318"/>
      <c r="K245" s="318"/>
      <c r="L245" s="318"/>
      <c r="M245" s="318"/>
      <c r="N245" s="318"/>
      <c r="O245" s="318"/>
      <c r="Q245" s="633"/>
      <c r="V245" s="115"/>
    </row>
    <row r="246" spans="1:24" ht="12.75" customHeight="1" x14ac:dyDescent="0.25">
      <c r="A246" s="336">
        <v>630012</v>
      </c>
      <c r="B246" s="115" t="str">
        <f>G244</f>
        <v>Ambachtsweg 7</v>
      </c>
      <c r="D246" s="337">
        <v>83600</v>
      </c>
      <c r="E246" s="337"/>
      <c r="F246" s="337"/>
      <c r="G246" s="319" t="s">
        <v>3473</v>
      </c>
      <c r="I246" s="318"/>
      <c r="J246" s="318">
        <v>-6552</v>
      </c>
      <c r="K246" s="318">
        <v>-6788</v>
      </c>
      <c r="L246" s="318">
        <v>-6977.68</v>
      </c>
      <c r="M246" s="318">
        <f>ROUND(L246*V$2,0)</f>
        <v>-7138</v>
      </c>
      <c r="N246" s="318">
        <f>ROUND(M246*W$2,0)</f>
        <v>-7302</v>
      </c>
      <c r="O246" s="318">
        <f>ROUND(N246*X$2,0)</f>
        <v>-7470</v>
      </c>
      <c r="Q246" s="633"/>
      <c r="V246" s="115"/>
    </row>
    <row r="247" spans="1:24" ht="12.75" customHeight="1" thickBot="1" x14ac:dyDescent="0.3">
      <c r="A247" s="336"/>
      <c r="D247" s="340"/>
      <c r="E247" s="340"/>
      <c r="F247" s="340"/>
      <c r="G247" s="319" t="s">
        <v>536</v>
      </c>
      <c r="I247" s="318"/>
      <c r="J247" s="480">
        <v>-6552</v>
      </c>
      <c r="K247" s="480">
        <v>-6788</v>
      </c>
      <c r="L247" s="480">
        <f>SUM(L245:L246)</f>
        <v>-6977.68</v>
      </c>
      <c r="M247" s="480">
        <f>SUM(M245:M246)</f>
        <v>-7138</v>
      </c>
      <c r="N247" s="480">
        <f>SUM(N245:N246)</f>
        <v>-7302</v>
      </c>
      <c r="O247" s="480">
        <f>SUM(O245:O246)</f>
        <v>-7470</v>
      </c>
      <c r="Q247" s="633"/>
      <c r="V247" s="115"/>
    </row>
    <row r="248" spans="1:24" ht="12.75" customHeight="1" thickTop="1" x14ac:dyDescent="0.25">
      <c r="A248" s="336"/>
      <c r="D248" s="340"/>
      <c r="E248" s="340"/>
      <c r="F248" s="340"/>
      <c r="G248" s="319"/>
      <c r="I248" s="318"/>
      <c r="J248" s="318"/>
      <c r="K248" s="318"/>
      <c r="L248" s="318"/>
      <c r="M248" s="318"/>
      <c r="N248" s="318"/>
      <c r="O248" s="318"/>
      <c r="Q248" s="633"/>
      <c r="V248" s="115"/>
    </row>
    <row r="249" spans="1:24" ht="12.75" customHeight="1" x14ac:dyDescent="0.25">
      <c r="A249" s="470"/>
      <c r="B249" s="453"/>
      <c r="C249" s="453"/>
      <c r="D249" s="1017"/>
      <c r="E249" s="1018"/>
      <c r="F249" s="1072"/>
      <c r="G249" s="1019"/>
      <c r="H249" s="1020"/>
      <c r="I249" s="1021"/>
      <c r="J249" s="529"/>
      <c r="K249" s="529"/>
      <c r="L249" s="529"/>
      <c r="M249" s="529"/>
      <c r="N249" s="529"/>
      <c r="O249" s="529"/>
      <c r="Q249" s="619"/>
      <c r="R249" s="619"/>
      <c r="S249" s="619"/>
      <c r="T249" s="619"/>
      <c r="U249" s="619"/>
      <c r="V249" s="453"/>
      <c r="W249" s="453"/>
      <c r="X249" s="453"/>
    </row>
    <row r="250" spans="1:24" ht="12.75" customHeight="1" x14ac:dyDescent="0.25">
      <c r="A250" s="470"/>
      <c r="B250" s="453"/>
      <c r="C250" s="453"/>
      <c r="D250" s="1017"/>
      <c r="E250" s="1018"/>
      <c r="F250" s="1072"/>
      <c r="G250" s="1073" t="s">
        <v>3478</v>
      </c>
      <c r="H250" s="1020"/>
      <c r="I250" s="1021"/>
      <c r="J250" s="529"/>
      <c r="K250" s="529"/>
      <c r="L250" s="529"/>
      <c r="M250" s="529"/>
      <c r="N250" s="529"/>
      <c r="O250" s="529"/>
      <c r="Q250" s="619"/>
      <c r="R250" s="619"/>
      <c r="S250" s="619"/>
      <c r="T250" s="619"/>
      <c r="U250" s="619"/>
      <c r="V250" s="453"/>
      <c r="W250" s="453"/>
      <c r="X250" s="453"/>
    </row>
    <row r="251" spans="1:24" ht="12.75" customHeight="1" x14ac:dyDescent="0.25">
      <c r="A251" s="470"/>
      <c r="B251" s="453"/>
      <c r="C251" s="453"/>
      <c r="D251" s="1017"/>
      <c r="E251" s="1018"/>
      <c r="F251" s="1072"/>
      <c r="G251" s="1019"/>
      <c r="H251" s="1020"/>
      <c r="I251" s="1021"/>
      <c r="J251" s="529"/>
      <c r="K251" s="529"/>
      <c r="L251" s="529"/>
      <c r="M251" s="529"/>
      <c r="N251" s="529"/>
      <c r="O251" s="529"/>
      <c r="Q251" s="619"/>
      <c r="R251" s="619"/>
      <c r="S251" s="619"/>
      <c r="T251" s="619"/>
      <c r="U251" s="619"/>
      <c r="V251" s="453"/>
      <c r="W251" s="453"/>
      <c r="X251" s="453"/>
    </row>
    <row r="252" spans="1:24" ht="12.75" customHeight="1" x14ac:dyDescent="0.25">
      <c r="A252" s="336"/>
      <c r="D252" s="333">
        <v>630013</v>
      </c>
      <c r="E252" s="331"/>
      <c r="F252" s="331"/>
      <c r="G252" s="332" t="s">
        <v>3442</v>
      </c>
      <c r="I252" s="316"/>
      <c r="J252" s="335"/>
      <c r="K252" s="335"/>
      <c r="L252" s="335"/>
      <c r="M252" s="335"/>
      <c r="N252" s="335"/>
      <c r="O252" s="335"/>
      <c r="Q252" s="633"/>
      <c r="V252" s="115"/>
    </row>
    <row r="253" spans="1:24" ht="12.75" customHeight="1" x14ac:dyDescent="0.25">
      <c r="A253" s="336"/>
      <c r="D253" s="333"/>
      <c r="E253" s="331"/>
      <c r="F253" s="331"/>
      <c r="G253" s="334" t="s">
        <v>533</v>
      </c>
      <c r="I253" s="316"/>
      <c r="J253" s="335"/>
      <c r="K253" s="335"/>
      <c r="L253" s="335"/>
      <c r="M253" s="335"/>
      <c r="N253" s="335"/>
      <c r="O253" s="335"/>
      <c r="Q253" s="633"/>
      <c r="V253" s="115"/>
    </row>
    <row r="254" spans="1:24" ht="12.75" customHeight="1" x14ac:dyDescent="0.25">
      <c r="A254" s="336">
        <v>630013</v>
      </c>
      <c r="B254" s="115" t="str">
        <f>G252</f>
        <v>Prinses Beatrixlaan 27 (sporthal)</v>
      </c>
      <c r="D254" s="337">
        <v>42100</v>
      </c>
      <c r="E254" s="337"/>
      <c r="F254" s="337"/>
      <c r="G254" s="319" t="s">
        <v>1577</v>
      </c>
      <c r="I254" s="318"/>
      <c r="J254" s="317">
        <v>292</v>
      </c>
      <c r="K254" s="317">
        <v>300</v>
      </c>
      <c r="L254" s="317">
        <f t="shared" ref="L254:O257" si="166">ROUND(K254*U$2,0)</f>
        <v>306</v>
      </c>
      <c r="M254" s="317">
        <f t="shared" si="166"/>
        <v>313</v>
      </c>
      <c r="N254" s="317">
        <f t="shared" si="166"/>
        <v>320</v>
      </c>
      <c r="O254" s="317">
        <f t="shared" si="166"/>
        <v>327</v>
      </c>
      <c r="Q254" s="394"/>
      <c r="R254" s="394"/>
      <c r="S254" s="394"/>
      <c r="T254" s="394"/>
      <c r="U254" s="394"/>
      <c r="V254" s="115"/>
    </row>
    <row r="255" spans="1:24" ht="12.75" customHeight="1" x14ac:dyDescent="0.25">
      <c r="A255" s="336">
        <v>630013</v>
      </c>
      <c r="B255" s="115" t="str">
        <f>G252</f>
        <v>Prinses Beatrixlaan 27 (sporthal)</v>
      </c>
      <c r="D255" s="337">
        <v>42100</v>
      </c>
      <c r="E255" s="337"/>
      <c r="F255" s="337"/>
      <c r="G255" s="319" t="s">
        <v>978</v>
      </c>
      <c r="I255" s="318"/>
      <c r="J255" s="317">
        <v>23737</v>
      </c>
      <c r="K255" s="317">
        <v>41354</v>
      </c>
      <c r="L255" s="317">
        <f t="shared" si="166"/>
        <v>42222</v>
      </c>
      <c r="M255" s="317">
        <f t="shared" si="166"/>
        <v>43193</v>
      </c>
      <c r="N255" s="317">
        <f t="shared" si="166"/>
        <v>44186</v>
      </c>
      <c r="O255" s="317">
        <f t="shared" si="166"/>
        <v>45202</v>
      </c>
      <c r="Q255" s="394"/>
      <c r="R255" s="394"/>
      <c r="S255" s="394"/>
      <c r="T255" s="394"/>
      <c r="U255" s="394"/>
      <c r="V255" s="115"/>
    </row>
    <row r="256" spans="1:24" ht="12.75" customHeight="1" x14ac:dyDescent="0.25">
      <c r="A256" s="336">
        <v>630013</v>
      </c>
      <c r="B256" s="115" t="str">
        <f>G252</f>
        <v>Prinses Beatrixlaan 27 (sporthal)</v>
      </c>
      <c r="D256" s="337">
        <v>42100</v>
      </c>
      <c r="E256" s="337"/>
      <c r="F256" s="337"/>
      <c r="G256" s="319" t="s">
        <v>979</v>
      </c>
      <c r="I256" s="318"/>
      <c r="J256" s="317">
        <v>1527</v>
      </c>
      <c r="K256" s="317">
        <v>1567</v>
      </c>
      <c r="L256" s="317">
        <f t="shared" si="166"/>
        <v>1600</v>
      </c>
      <c r="M256" s="317">
        <f t="shared" si="166"/>
        <v>1637</v>
      </c>
      <c r="N256" s="317">
        <f t="shared" si="166"/>
        <v>1675</v>
      </c>
      <c r="O256" s="317">
        <f t="shared" si="166"/>
        <v>1714</v>
      </c>
      <c r="Q256" s="394"/>
      <c r="R256" s="394"/>
      <c r="S256" s="394"/>
      <c r="T256" s="394"/>
      <c r="U256" s="394"/>
      <c r="V256" s="115"/>
    </row>
    <row r="257" spans="1:22" ht="12.75" customHeight="1" x14ac:dyDescent="0.25">
      <c r="A257" s="336">
        <v>630013</v>
      </c>
      <c r="B257" s="115" t="str">
        <f>G252</f>
        <v>Prinses Beatrixlaan 27 (sporthal)</v>
      </c>
      <c r="D257" s="337">
        <v>42100</v>
      </c>
      <c r="E257" s="337"/>
      <c r="F257" s="337"/>
      <c r="G257" s="319" t="s">
        <v>1578</v>
      </c>
      <c r="I257" s="318"/>
      <c r="J257" s="317">
        <v>873</v>
      </c>
      <c r="K257" s="317">
        <v>896</v>
      </c>
      <c r="L257" s="317">
        <f t="shared" si="166"/>
        <v>915</v>
      </c>
      <c r="M257" s="317">
        <f t="shared" si="166"/>
        <v>936</v>
      </c>
      <c r="N257" s="317">
        <f t="shared" si="166"/>
        <v>958</v>
      </c>
      <c r="O257" s="317">
        <f t="shared" si="166"/>
        <v>980</v>
      </c>
      <c r="Q257" s="394"/>
      <c r="R257" s="394"/>
      <c r="S257" s="394"/>
      <c r="T257" s="394"/>
      <c r="U257" s="394"/>
      <c r="V257" s="115"/>
    </row>
    <row r="258" spans="1:22" s="305" customFormat="1" ht="12.75" customHeight="1" x14ac:dyDescent="0.25">
      <c r="A258" s="336">
        <v>630013</v>
      </c>
      <c r="B258" s="115" t="str">
        <f>G252</f>
        <v>Prinses Beatrixlaan 27 (sporthal)</v>
      </c>
      <c r="C258" s="115"/>
      <c r="D258" s="340">
        <v>43511</v>
      </c>
      <c r="E258" s="340"/>
      <c r="F258" s="340"/>
      <c r="G258" s="319" t="s">
        <v>560</v>
      </c>
      <c r="H258" s="115"/>
      <c r="I258" s="318"/>
      <c r="J258" s="317">
        <v>10353</v>
      </c>
      <c r="K258" s="317">
        <v>10560</v>
      </c>
      <c r="L258" s="317">
        <f>+L837</f>
        <v>11004</v>
      </c>
      <c r="M258" s="317">
        <f>+M837</f>
        <v>11411</v>
      </c>
      <c r="N258" s="317">
        <f>+N837</f>
        <v>11833</v>
      </c>
      <c r="O258" s="317">
        <f>+O837</f>
        <v>12271</v>
      </c>
      <c r="P258" s="252"/>
      <c r="Q258" s="633"/>
      <c r="R258" s="633"/>
      <c r="S258" s="633"/>
      <c r="T258" s="633"/>
      <c r="U258" s="633"/>
      <c r="V258" s="115"/>
    </row>
    <row r="259" spans="1:22" ht="12.75" customHeight="1" x14ac:dyDescent="0.25">
      <c r="A259" s="336">
        <v>630013</v>
      </c>
      <c r="B259" s="115" t="str">
        <f>G252</f>
        <v>Prinses Beatrixlaan 27 (sporthal)</v>
      </c>
      <c r="D259" s="337">
        <v>43511</v>
      </c>
      <c r="E259" s="337"/>
      <c r="F259" s="340"/>
      <c r="G259" s="319" t="s">
        <v>560</v>
      </c>
      <c r="I259" s="318"/>
      <c r="J259" s="317">
        <v>515</v>
      </c>
      <c r="K259" s="317">
        <v>525</v>
      </c>
      <c r="L259" s="317">
        <f>+L840</f>
        <v>547</v>
      </c>
      <c r="M259" s="317">
        <f>+M840</f>
        <v>567</v>
      </c>
      <c r="N259" s="317">
        <f>+N840</f>
        <v>588</v>
      </c>
      <c r="O259" s="317">
        <f>+O840</f>
        <v>610</v>
      </c>
      <c r="Q259" s="633"/>
      <c r="V259" s="115"/>
    </row>
    <row r="260" spans="1:22" ht="12.75" customHeight="1" x14ac:dyDescent="0.25">
      <c r="A260" s="336">
        <v>630013</v>
      </c>
      <c r="B260" s="115" t="str">
        <f>G252</f>
        <v>Prinses Beatrixlaan 27 (sporthal)</v>
      </c>
      <c r="D260" s="337">
        <v>43801</v>
      </c>
      <c r="E260" s="337"/>
      <c r="F260" s="337"/>
      <c r="G260" s="319" t="s">
        <v>996</v>
      </c>
      <c r="I260" s="318"/>
      <c r="J260" s="317">
        <v>18473</v>
      </c>
      <c r="K260" s="317">
        <v>18953</v>
      </c>
      <c r="L260" s="317">
        <f>+L843</f>
        <v>19351</v>
      </c>
      <c r="M260" s="317">
        <f>+M843</f>
        <v>19796</v>
      </c>
      <c r="N260" s="317">
        <f>+N843</f>
        <v>20251</v>
      </c>
      <c r="O260" s="317">
        <f>+O843</f>
        <v>20717</v>
      </c>
      <c r="Q260" s="154"/>
      <c r="R260" s="154"/>
      <c r="S260" s="154"/>
      <c r="T260" s="154"/>
      <c r="U260" s="154"/>
      <c r="V260" s="115"/>
    </row>
    <row r="261" spans="1:22" ht="12.75" customHeight="1" x14ac:dyDescent="0.25">
      <c r="A261" s="336">
        <v>630013</v>
      </c>
      <c r="B261" s="115" t="str">
        <f>G252</f>
        <v>Prinses Beatrixlaan 27 (sporthal)</v>
      </c>
      <c r="D261" s="337">
        <v>43802</v>
      </c>
      <c r="E261" s="337"/>
      <c r="F261" s="337"/>
      <c r="G261" s="319" t="s">
        <v>3479</v>
      </c>
      <c r="I261" s="318"/>
      <c r="J261" s="317">
        <v>21946</v>
      </c>
      <c r="K261" s="317">
        <v>22517</v>
      </c>
      <c r="L261" s="317">
        <f>+L846</f>
        <v>22990</v>
      </c>
      <c r="M261" s="317">
        <f>+M846</f>
        <v>23519</v>
      </c>
      <c r="N261" s="317">
        <f>+N846</f>
        <v>24060</v>
      </c>
      <c r="O261" s="317">
        <f>+O846</f>
        <v>24613</v>
      </c>
      <c r="Q261" s="394"/>
      <c r="R261" s="394"/>
      <c r="S261" s="394"/>
      <c r="T261" s="394"/>
      <c r="U261" s="394"/>
      <c r="V261" s="115"/>
    </row>
    <row r="262" spans="1:22" ht="12.75" customHeight="1" x14ac:dyDescent="0.25">
      <c r="A262" s="336">
        <v>630013</v>
      </c>
      <c r="B262" s="115" t="str">
        <f>G252</f>
        <v>Prinses Beatrixlaan 27 (sporthal)</v>
      </c>
      <c r="D262" s="337">
        <v>43806</v>
      </c>
      <c r="E262" s="337"/>
      <c r="F262" s="337"/>
      <c r="G262" s="319" t="s">
        <v>980</v>
      </c>
      <c r="I262" s="318"/>
      <c r="J262" s="317">
        <v>14710</v>
      </c>
      <c r="K262" s="317">
        <v>15092</v>
      </c>
      <c r="L262" s="317">
        <f t="shared" ref="L262:O263" si="167">ROUND(K262*U$2,0)</f>
        <v>15409</v>
      </c>
      <c r="M262" s="317">
        <f t="shared" si="167"/>
        <v>15763</v>
      </c>
      <c r="N262" s="317">
        <f t="shared" si="167"/>
        <v>16126</v>
      </c>
      <c r="O262" s="317">
        <f t="shared" si="167"/>
        <v>16497</v>
      </c>
      <c r="Q262" s="394"/>
      <c r="R262" s="394"/>
      <c r="S262" s="394"/>
      <c r="T262" s="394"/>
      <c r="U262" s="394"/>
      <c r="V262" s="115"/>
    </row>
    <row r="263" spans="1:22" ht="12.75" customHeight="1" x14ac:dyDescent="0.25">
      <c r="A263" s="336">
        <v>630013</v>
      </c>
      <c r="B263" s="115" t="str">
        <f>G252</f>
        <v>Prinses Beatrixlaan 27 (sporthal)</v>
      </c>
      <c r="D263" s="337">
        <v>43806</v>
      </c>
      <c r="E263" s="337"/>
      <c r="F263" s="337"/>
      <c r="G263" s="319" t="s">
        <v>3480</v>
      </c>
      <c r="I263" s="318"/>
      <c r="J263" s="317">
        <v>158</v>
      </c>
      <c r="K263" s="317">
        <v>162</v>
      </c>
      <c r="L263" s="317">
        <f t="shared" si="167"/>
        <v>165</v>
      </c>
      <c r="M263" s="317">
        <f t="shared" si="167"/>
        <v>169</v>
      </c>
      <c r="N263" s="317">
        <f t="shared" si="167"/>
        <v>173</v>
      </c>
      <c r="O263" s="317">
        <f t="shared" si="167"/>
        <v>177</v>
      </c>
      <c r="Q263" s="394"/>
      <c r="R263" s="394"/>
      <c r="S263" s="394"/>
      <c r="T263" s="394"/>
      <c r="U263" s="394"/>
      <c r="V263" s="115"/>
    </row>
    <row r="264" spans="1:22" ht="12.75" customHeight="1" x14ac:dyDescent="0.25">
      <c r="A264" s="336">
        <v>630013</v>
      </c>
      <c r="B264" s="115" t="str">
        <f>G252</f>
        <v>Prinses Beatrixlaan 27 (sporthal)</v>
      </c>
      <c r="D264" s="337">
        <v>43812</v>
      </c>
      <c r="E264" s="337"/>
      <c r="F264" s="337"/>
      <c r="G264" s="319" t="s">
        <v>535</v>
      </c>
      <c r="I264" s="318"/>
      <c r="J264" s="317">
        <v>30308</v>
      </c>
      <c r="K264" s="317">
        <v>31097</v>
      </c>
      <c r="L264" s="317">
        <f>L866</f>
        <v>31751</v>
      </c>
      <c r="M264" s="317">
        <f>M866</f>
        <v>32482</v>
      </c>
      <c r="N264" s="317">
        <f>N866</f>
        <v>33229</v>
      </c>
      <c r="O264" s="317">
        <f>O866</f>
        <v>33993</v>
      </c>
      <c r="Q264" s="394"/>
      <c r="R264" s="394"/>
      <c r="S264" s="394"/>
      <c r="T264" s="394"/>
      <c r="U264" s="394"/>
      <c r="V264" s="115"/>
    </row>
    <row r="265" spans="1:22" ht="12.75" customHeight="1" x14ac:dyDescent="0.25">
      <c r="A265" s="336">
        <v>630013</v>
      </c>
      <c r="B265" s="115" t="str">
        <f>+G252</f>
        <v>Prinses Beatrixlaan 27 (sporthal)</v>
      </c>
      <c r="D265" s="337">
        <v>43817</v>
      </c>
      <c r="E265" s="337"/>
      <c r="F265" s="337"/>
      <c r="G265" s="319" t="s">
        <v>1835</v>
      </c>
      <c r="I265" s="318"/>
      <c r="J265" s="317">
        <v>68601.54867199999</v>
      </c>
      <c r="K265" s="317">
        <v>70385.18893747199</v>
      </c>
      <c r="L265" s="317">
        <f>+K265*U$2</f>
        <v>71863.277905158902</v>
      </c>
      <c r="M265" s="317">
        <f>+L265*V$2</f>
        <v>73516.133296977554</v>
      </c>
      <c r="N265" s="317">
        <f>+M265*W$2</f>
        <v>75207.004362808031</v>
      </c>
      <c r="O265" s="317">
        <f>+N265*X$2</f>
        <v>76936.765463152609</v>
      </c>
      <c r="Q265" s="633"/>
      <c r="V265" s="115"/>
    </row>
    <row r="266" spans="1:22" ht="12.75" customHeight="1" x14ac:dyDescent="0.25">
      <c r="A266" s="336">
        <v>630013</v>
      </c>
      <c r="B266" s="115" t="str">
        <f>G252</f>
        <v>Prinses Beatrixlaan 27 (sporthal)</v>
      </c>
      <c r="D266" s="337">
        <v>43818</v>
      </c>
      <c r="E266" s="337"/>
      <c r="F266" s="337"/>
      <c r="G266" s="319" t="s">
        <v>3481</v>
      </c>
      <c r="I266" s="318"/>
      <c r="J266" s="317">
        <v>607</v>
      </c>
      <c r="K266" s="317">
        <v>623</v>
      </c>
      <c r="L266" s="317">
        <f>L869</f>
        <v>636</v>
      </c>
      <c r="M266" s="317">
        <f>M869</f>
        <v>651</v>
      </c>
      <c r="N266" s="317">
        <f>N869</f>
        <v>666</v>
      </c>
      <c r="O266" s="317">
        <f>O869</f>
        <v>681</v>
      </c>
      <c r="Q266" s="394"/>
      <c r="R266" s="394"/>
      <c r="S266" s="394"/>
      <c r="T266" s="394"/>
      <c r="U266" s="394"/>
      <c r="V266" s="115"/>
    </row>
    <row r="267" spans="1:22" ht="12.75" customHeight="1" x14ac:dyDescent="0.25">
      <c r="A267" s="336">
        <v>630013</v>
      </c>
      <c r="B267" s="115" t="str">
        <f>G252</f>
        <v>Prinses Beatrixlaan 27 (sporthal)</v>
      </c>
      <c r="D267" s="337">
        <v>43818</v>
      </c>
      <c r="E267" s="337"/>
      <c r="F267" s="337"/>
      <c r="G267" s="319" t="s">
        <v>3481</v>
      </c>
      <c r="I267" s="318"/>
      <c r="J267" s="317">
        <v>1798</v>
      </c>
      <c r="K267" s="317">
        <v>1845</v>
      </c>
      <c r="L267" s="317">
        <f>L872</f>
        <v>1884</v>
      </c>
      <c r="M267" s="317">
        <f>M872</f>
        <v>1927</v>
      </c>
      <c r="N267" s="317">
        <f>N872</f>
        <v>1971</v>
      </c>
      <c r="O267" s="317">
        <f>O872</f>
        <v>2016</v>
      </c>
      <c r="Q267" s="394"/>
      <c r="R267" s="394"/>
      <c r="S267" s="394"/>
      <c r="T267" s="394" t="s">
        <v>923</v>
      </c>
      <c r="U267" s="394"/>
      <c r="V267" s="115"/>
    </row>
    <row r="268" spans="1:22" ht="12.75" customHeight="1" x14ac:dyDescent="0.25">
      <c r="A268" s="336">
        <v>630013</v>
      </c>
      <c r="B268" s="115" t="str">
        <f>G252</f>
        <v>Prinses Beatrixlaan 27 (sporthal)</v>
      </c>
      <c r="D268" s="337">
        <v>47201</v>
      </c>
      <c r="E268" s="337"/>
      <c r="F268" s="337"/>
      <c r="G268" s="319" t="s">
        <v>3482</v>
      </c>
      <c r="I268" s="318"/>
      <c r="J268" s="317">
        <v>129593</v>
      </c>
      <c r="K268" s="317">
        <v>134388.65134499999</v>
      </c>
      <c r="L268" s="317">
        <v>139361.03144476499</v>
      </c>
      <c r="M268" s="317">
        <v>144517.38960822127</v>
      </c>
      <c r="N268" s="317">
        <v>149864.53302372544</v>
      </c>
      <c r="O268" s="2095">
        <v>0</v>
      </c>
      <c r="Q268" s="633"/>
      <c r="V268" s="115"/>
    </row>
    <row r="269" spans="1:22" ht="12.75" customHeight="1" thickBot="1" x14ac:dyDescent="0.3">
      <c r="A269" s="336"/>
      <c r="D269" s="340"/>
      <c r="E269" s="340"/>
      <c r="F269" s="340"/>
      <c r="G269" s="319" t="s">
        <v>536</v>
      </c>
      <c r="I269" s="318"/>
      <c r="J269" s="480">
        <v>323491.548672</v>
      </c>
      <c r="K269" s="480">
        <v>350264.84028247197</v>
      </c>
      <c r="L269" s="480">
        <f>SUM(L254:L268)</f>
        <v>360004.30934992386</v>
      </c>
      <c r="M269" s="480">
        <f>SUM(M254:M268)</f>
        <v>370397.52290519886</v>
      </c>
      <c r="N269" s="480">
        <f>SUM(N254:N268)</f>
        <v>381107.53738653345</v>
      </c>
      <c r="O269" s="480">
        <f>SUM(O254:O268)</f>
        <v>236734.76546315261</v>
      </c>
      <c r="Q269" s="394"/>
      <c r="R269" s="394"/>
      <c r="S269" s="394"/>
      <c r="T269" s="394"/>
      <c r="U269" s="394"/>
      <c r="V269" s="115"/>
    </row>
    <row r="270" spans="1:22" ht="12.75" customHeight="1" thickTop="1" x14ac:dyDescent="0.25">
      <c r="D270" s="1075"/>
      <c r="E270" s="337"/>
      <c r="F270" s="337"/>
      <c r="G270" s="319"/>
      <c r="I270" s="316"/>
      <c r="J270" s="357"/>
      <c r="K270" s="357"/>
      <c r="L270" s="357"/>
      <c r="M270" s="357"/>
      <c r="N270" s="357"/>
      <c r="O270" s="357"/>
      <c r="Q270" s="394"/>
      <c r="R270" s="394"/>
      <c r="S270" s="394"/>
      <c r="T270" s="394"/>
      <c r="U270" s="394"/>
      <c r="V270" s="115"/>
    </row>
    <row r="271" spans="1:22" ht="12.75" customHeight="1" x14ac:dyDescent="0.25">
      <c r="A271" s="336"/>
      <c r="D271" s="333">
        <v>630015</v>
      </c>
      <c r="E271" s="331"/>
      <c r="F271" s="331"/>
      <c r="G271" s="332" t="s">
        <v>3444</v>
      </c>
      <c r="I271" s="318"/>
      <c r="J271" s="318"/>
      <c r="K271" s="318"/>
      <c r="L271" s="318"/>
      <c r="M271" s="318"/>
      <c r="N271" s="318"/>
      <c r="O271" s="318"/>
      <c r="Q271" s="633"/>
      <c r="V271" s="115"/>
    </row>
    <row r="272" spans="1:22" ht="12.75" customHeight="1" x14ac:dyDescent="0.25">
      <c r="A272" s="336"/>
      <c r="D272" s="340"/>
      <c r="E272" s="340"/>
      <c r="F272" s="340"/>
      <c r="G272" s="334" t="s">
        <v>533</v>
      </c>
      <c r="I272" s="318"/>
      <c r="J272" s="318"/>
      <c r="K272" s="318"/>
      <c r="L272" s="318"/>
      <c r="M272" s="318"/>
      <c r="N272" s="318"/>
      <c r="O272" s="318"/>
      <c r="Q272" s="633"/>
      <c r="V272" s="115"/>
    </row>
    <row r="273" spans="1:22" ht="12.75" customHeight="1" x14ac:dyDescent="0.25">
      <c r="A273" s="336">
        <v>630015</v>
      </c>
      <c r="B273" s="115" t="str">
        <f>G271</f>
        <v>Secr Jansenstraat 7 (gymzaal)</v>
      </c>
      <c r="D273" s="337">
        <v>42100</v>
      </c>
      <c r="E273" s="337"/>
      <c r="F273" s="337"/>
      <c r="G273" s="319" t="s">
        <v>978</v>
      </c>
      <c r="I273" s="318"/>
      <c r="J273" s="317">
        <v>742</v>
      </c>
      <c r="K273" s="317">
        <v>761</v>
      </c>
      <c r="L273" s="317">
        <f t="shared" ref="L273:O274" si="168">ROUND(K273*U$2,0)</f>
        <v>777</v>
      </c>
      <c r="M273" s="317">
        <f t="shared" si="168"/>
        <v>795</v>
      </c>
      <c r="N273" s="317">
        <f t="shared" si="168"/>
        <v>813</v>
      </c>
      <c r="O273" s="317">
        <f t="shared" si="168"/>
        <v>832</v>
      </c>
      <c r="Q273" s="394"/>
      <c r="R273" s="394"/>
      <c r="S273" s="394"/>
      <c r="T273" s="394"/>
      <c r="U273" s="394"/>
      <c r="V273" s="115"/>
    </row>
    <row r="274" spans="1:22" ht="12.75" customHeight="1" x14ac:dyDescent="0.25">
      <c r="A274" s="336">
        <v>630015</v>
      </c>
      <c r="B274" s="115" t="str">
        <f>G271</f>
        <v>Secr Jansenstraat 7 (gymzaal)</v>
      </c>
      <c r="D274" s="337">
        <v>42100</v>
      </c>
      <c r="E274" s="337"/>
      <c r="F274" s="337"/>
      <c r="G274" s="319" t="s">
        <v>1578</v>
      </c>
      <c r="I274" s="318"/>
      <c r="J274" s="317">
        <v>185</v>
      </c>
      <c r="K274" s="317">
        <v>190</v>
      </c>
      <c r="L274" s="317">
        <f t="shared" si="168"/>
        <v>194</v>
      </c>
      <c r="M274" s="317">
        <f t="shared" si="168"/>
        <v>198</v>
      </c>
      <c r="N274" s="317">
        <f t="shared" si="168"/>
        <v>203</v>
      </c>
      <c r="O274" s="317">
        <f t="shared" si="168"/>
        <v>208</v>
      </c>
      <c r="Q274" s="154"/>
      <c r="R274" s="154"/>
      <c r="S274" s="154"/>
      <c r="T274" s="154"/>
      <c r="U274" s="154"/>
      <c r="V274" s="115"/>
    </row>
    <row r="275" spans="1:22" ht="12.75" customHeight="1" x14ac:dyDescent="0.25">
      <c r="A275" s="336">
        <v>630015</v>
      </c>
      <c r="B275" s="115" t="str">
        <f>G271</f>
        <v>Secr Jansenstraat 7 (gymzaal)</v>
      </c>
      <c r="D275" s="337">
        <v>43511</v>
      </c>
      <c r="E275" s="337"/>
      <c r="F275" s="337"/>
      <c r="G275" s="319" t="s">
        <v>560</v>
      </c>
      <c r="I275" s="318"/>
      <c r="J275" s="317">
        <v>167</v>
      </c>
      <c r="K275" s="317">
        <v>170</v>
      </c>
      <c r="L275" s="317">
        <f>+L890</f>
        <v>177</v>
      </c>
      <c r="M275" s="317">
        <f>+M890</f>
        <v>184</v>
      </c>
      <c r="N275" s="317">
        <f>+N890</f>
        <v>191</v>
      </c>
      <c r="O275" s="317">
        <f>+O890</f>
        <v>198</v>
      </c>
      <c r="Q275" s="633"/>
      <c r="V275" s="115"/>
    </row>
    <row r="276" spans="1:22" ht="12.75" customHeight="1" x14ac:dyDescent="0.25">
      <c r="A276" s="336">
        <v>630015</v>
      </c>
      <c r="B276" s="115" t="str">
        <f>G271</f>
        <v>Secr Jansenstraat 7 (gymzaal)</v>
      </c>
      <c r="D276" s="337">
        <v>43801</v>
      </c>
      <c r="E276" s="337"/>
      <c r="F276" s="337"/>
      <c r="G276" s="319" t="s">
        <v>996</v>
      </c>
      <c r="I276" s="318"/>
      <c r="J276" s="317">
        <v>6380</v>
      </c>
      <c r="K276" s="317">
        <v>6550</v>
      </c>
      <c r="L276" s="317">
        <f>ROUND(K276*U$2,-1)</f>
        <v>6690</v>
      </c>
      <c r="M276" s="317">
        <f>ROUND(L276*V$2,-1)</f>
        <v>6840</v>
      </c>
      <c r="N276" s="317">
        <f>ROUND(M276*W$2,-1)</f>
        <v>7000</v>
      </c>
      <c r="O276" s="317">
        <f>ROUND(N276*X$2,-1)</f>
        <v>7160</v>
      </c>
      <c r="Q276" s="154"/>
      <c r="R276" s="154"/>
      <c r="S276" s="154"/>
      <c r="T276" s="154"/>
      <c r="U276" s="154"/>
      <c r="V276" s="115"/>
    </row>
    <row r="277" spans="1:22" ht="12.75" customHeight="1" x14ac:dyDescent="0.25">
      <c r="A277" s="336">
        <v>630015</v>
      </c>
      <c r="B277" s="115" t="str">
        <f>G271</f>
        <v>Secr Jansenstraat 7 (gymzaal)</v>
      </c>
      <c r="D277" s="337">
        <v>43802</v>
      </c>
      <c r="E277" s="337"/>
      <c r="F277" s="337"/>
      <c r="G277" s="319" t="s">
        <v>3479</v>
      </c>
      <c r="I277" s="318"/>
      <c r="J277" s="317">
        <v>1438</v>
      </c>
      <c r="K277" s="317">
        <v>1475</v>
      </c>
      <c r="L277" s="317">
        <f>+L892</f>
        <v>1506</v>
      </c>
      <c r="M277" s="317">
        <f>+M892</f>
        <v>1541</v>
      </c>
      <c r="N277" s="317">
        <f>+N892</f>
        <v>1576</v>
      </c>
      <c r="O277" s="317">
        <f>+O892</f>
        <v>1612</v>
      </c>
      <c r="Q277" s="394"/>
      <c r="R277" s="394"/>
      <c r="S277" s="394"/>
      <c r="T277" s="394"/>
      <c r="U277" s="394"/>
      <c r="V277" s="115"/>
    </row>
    <row r="278" spans="1:22" ht="12.75" customHeight="1" x14ac:dyDescent="0.25">
      <c r="A278" s="336">
        <v>630015</v>
      </c>
      <c r="B278" s="115" t="str">
        <f>G271</f>
        <v>Secr Jansenstraat 7 (gymzaal)</v>
      </c>
      <c r="D278" s="337">
        <v>43806</v>
      </c>
      <c r="E278" s="337"/>
      <c r="F278" s="337"/>
      <c r="G278" s="319" t="s">
        <v>980</v>
      </c>
      <c r="I278" s="318"/>
      <c r="J278" s="317">
        <v>864</v>
      </c>
      <c r="K278" s="317">
        <v>886</v>
      </c>
      <c r="L278" s="317">
        <f t="shared" ref="L278:O279" si="169">ROUND(K278*U$2,0)</f>
        <v>905</v>
      </c>
      <c r="M278" s="317">
        <f t="shared" si="169"/>
        <v>926</v>
      </c>
      <c r="N278" s="317">
        <f t="shared" si="169"/>
        <v>947</v>
      </c>
      <c r="O278" s="317">
        <f t="shared" si="169"/>
        <v>969</v>
      </c>
      <c r="Q278" s="394"/>
      <c r="R278" s="394"/>
      <c r="S278" s="394"/>
      <c r="T278" s="394"/>
      <c r="U278" s="394"/>
      <c r="V278" s="115"/>
    </row>
    <row r="279" spans="1:22" ht="12.75" customHeight="1" x14ac:dyDescent="0.25">
      <c r="A279" s="336">
        <v>630015</v>
      </c>
      <c r="B279" s="115" t="str">
        <f>G271</f>
        <v>Secr Jansenstraat 7 (gymzaal)</v>
      </c>
      <c r="D279" s="337">
        <v>43812</v>
      </c>
      <c r="E279" s="337"/>
      <c r="F279" s="337"/>
      <c r="G279" s="319" t="s">
        <v>535</v>
      </c>
      <c r="I279" s="318"/>
      <c r="J279" s="317">
        <v>12035</v>
      </c>
      <c r="K279" s="317">
        <v>12348</v>
      </c>
      <c r="L279" s="317">
        <f t="shared" si="169"/>
        <v>12607</v>
      </c>
      <c r="M279" s="317">
        <f t="shared" si="169"/>
        <v>12897</v>
      </c>
      <c r="N279" s="317">
        <f t="shared" si="169"/>
        <v>13194</v>
      </c>
      <c r="O279" s="317">
        <f t="shared" si="169"/>
        <v>13497</v>
      </c>
      <c r="Q279" s="394"/>
      <c r="R279" s="394"/>
      <c r="S279" s="394"/>
      <c r="T279" s="394"/>
      <c r="U279" s="394"/>
      <c r="V279" s="115"/>
    </row>
    <row r="280" spans="1:22" ht="12.75" customHeight="1" x14ac:dyDescent="0.25">
      <c r="A280" s="336">
        <v>630015</v>
      </c>
      <c r="B280" s="115" t="str">
        <f>G271</f>
        <v>Secr Jansenstraat 7 (gymzaal)</v>
      </c>
      <c r="D280" s="337">
        <v>47201</v>
      </c>
      <c r="E280" s="337"/>
      <c r="F280" s="337"/>
      <c r="G280" s="319" t="s">
        <v>997</v>
      </c>
      <c r="I280" s="318"/>
      <c r="J280" s="317">
        <v>8061.75</v>
      </c>
      <c r="K280" s="317">
        <v>8359.9186059999975</v>
      </c>
      <c r="L280" s="317">
        <v>8669.2355944219962</v>
      </c>
      <c r="M280" s="317">
        <v>8989.9973114156091</v>
      </c>
      <c r="N280" s="317">
        <v>9322.6272119379864</v>
      </c>
      <c r="O280" s="2095">
        <v>0</v>
      </c>
      <c r="Q280" s="633"/>
      <c r="V280" s="115"/>
    </row>
    <row r="281" spans="1:22" ht="12.75" customHeight="1" thickBot="1" x14ac:dyDescent="0.3">
      <c r="A281" s="336"/>
      <c r="D281" s="340"/>
      <c r="E281" s="340"/>
      <c r="F281" s="340"/>
      <c r="G281" s="319" t="s">
        <v>536</v>
      </c>
      <c r="I281" s="318"/>
      <c r="J281" s="480">
        <v>29872.75</v>
      </c>
      <c r="K281" s="480">
        <v>30739.918605999999</v>
      </c>
      <c r="L281" s="480">
        <f>SUM(L273:L280)</f>
        <v>31525.235594421996</v>
      </c>
      <c r="M281" s="480">
        <f>SUM(M273:M280)</f>
        <v>32370.997311415609</v>
      </c>
      <c r="N281" s="480">
        <f>SUM(N273:N280)</f>
        <v>33246.627211937986</v>
      </c>
      <c r="O281" s="480">
        <f>SUM(O273:O280)</f>
        <v>24476</v>
      </c>
      <c r="Q281" s="633"/>
      <c r="V281" s="115"/>
    </row>
    <row r="282" spans="1:22" ht="12.75" customHeight="1" thickTop="1" x14ac:dyDescent="0.25">
      <c r="A282" s="336"/>
      <c r="D282" s="340"/>
      <c r="E282" s="340"/>
      <c r="F282" s="340"/>
      <c r="G282" s="319"/>
      <c r="I282" s="318"/>
      <c r="J282" s="1876"/>
      <c r="K282" s="1876"/>
      <c r="L282" s="1876"/>
      <c r="M282" s="1876"/>
      <c r="N282" s="1876"/>
      <c r="O282" s="1876"/>
      <c r="Q282" s="633"/>
      <c r="V282" s="115"/>
    </row>
    <row r="283" spans="1:22" ht="12.75" customHeight="1" x14ac:dyDescent="0.25">
      <c r="A283" s="336"/>
      <c r="D283" s="333">
        <v>630016</v>
      </c>
      <c r="E283" s="331"/>
      <c r="F283" s="331"/>
      <c r="G283" s="332" t="s">
        <v>3445</v>
      </c>
      <c r="I283" s="318"/>
      <c r="J283" s="318"/>
      <c r="K283" s="318"/>
      <c r="L283" s="318"/>
      <c r="M283" s="318"/>
      <c r="N283" s="318"/>
      <c r="O283" s="318"/>
      <c r="Q283" s="633"/>
      <c r="V283" s="115"/>
    </row>
    <row r="284" spans="1:22" ht="12.75" customHeight="1" x14ac:dyDescent="0.25">
      <c r="A284" s="336"/>
      <c r="D284" s="340"/>
      <c r="E284" s="340"/>
      <c r="F284" s="340"/>
      <c r="G284" s="334" t="s">
        <v>533</v>
      </c>
      <c r="I284" s="318"/>
      <c r="J284" s="318"/>
      <c r="K284" s="318"/>
      <c r="L284" s="318"/>
      <c r="M284" s="318"/>
      <c r="N284" s="318"/>
      <c r="O284" s="318"/>
      <c r="Q284" s="633"/>
      <c r="V284" s="115"/>
    </row>
    <row r="285" spans="1:22" ht="12.75" customHeight="1" x14ac:dyDescent="0.25">
      <c r="A285" s="336">
        <v>630016</v>
      </c>
      <c r="B285" s="115" t="str">
        <f>G283</f>
        <v>Haktol 1a (gymzaal)</v>
      </c>
      <c r="D285" s="337">
        <v>42100</v>
      </c>
      <c r="E285" s="337"/>
      <c r="F285" s="337"/>
      <c r="G285" s="319" t="s">
        <v>978</v>
      </c>
      <c r="I285" s="318"/>
      <c r="J285" s="317">
        <v>880</v>
      </c>
      <c r="K285" s="317">
        <v>903</v>
      </c>
      <c r="L285" s="317">
        <f t="shared" ref="L285:O286" si="170">ROUND(K285*U$2,0)</f>
        <v>922</v>
      </c>
      <c r="M285" s="317">
        <f t="shared" si="170"/>
        <v>943</v>
      </c>
      <c r="N285" s="317">
        <f t="shared" si="170"/>
        <v>965</v>
      </c>
      <c r="O285" s="317">
        <f t="shared" si="170"/>
        <v>987</v>
      </c>
      <c r="Q285" s="394"/>
      <c r="R285" s="394"/>
      <c r="S285" s="394"/>
      <c r="T285" s="394"/>
      <c r="U285" s="394"/>
      <c r="V285" s="115"/>
    </row>
    <row r="286" spans="1:22" ht="12.75" customHeight="1" x14ac:dyDescent="0.25">
      <c r="A286" s="336">
        <v>630016</v>
      </c>
      <c r="B286" s="115" t="str">
        <f>G283</f>
        <v>Haktol 1a (gymzaal)</v>
      </c>
      <c r="D286" s="337">
        <v>42100</v>
      </c>
      <c r="E286" s="337"/>
      <c r="F286" s="337"/>
      <c r="G286" s="319" t="s">
        <v>1578</v>
      </c>
      <c r="I286" s="318"/>
      <c r="J286" s="317">
        <v>192</v>
      </c>
      <c r="K286" s="317">
        <v>197</v>
      </c>
      <c r="L286" s="317">
        <f t="shared" si="170"/>
        <v>201</v>
      </c>
      <c r="M286" s="317">
        <f t="shared" si="170"/>
        <v>206</v>
      </c>
      <c r="N286" s="317">
        <f t="shared" si="170"/>
        <v>211</v>
      </c>
      <c r="O286" s="317">
        <f t="shared" si="170"/>
        <v>216</v>
      </c>
      <c r="Q286" s="154"/>
      <c r="R286" s="154"/>
      <c r="S286" s="154"/>
      <c r="T286" s="154"/>
      <c r="U286" s="154"/>
      <c r="V286" s="115"/>
    </row>
    <row r="287" spans="1:22" ht="12.75" customHeight="1" x14ac:dyDescent="0.25">
      <c r="A287" s="336">
        <v>630016</v>
      </c>
      <c r="B287" s="115" t="str">
        <f>G283</f>
        <v>Haktol 1a (gymzaal)</v>
      </c>
      <c r="D287" s="337">
        <v>43511</v>
      </c>
      <c r="E287" s="337"/>
      <c r="F287" s="337"/>
      <c r="G287" s="319" t="s">
        <v>560</v>
      </c>
      <c r="I287" s="318"/>
      <c r="J287" s="317">
        <v>296</v>
      </c>
      <c r="K287" s="317">
        <v>302</v>
      </c>
      <c r="L287" s="317">
        <f>+L912</f>
        <v>315</v>
      </c>
      <c r="M287" s="317">
        <f>+M912</f>
        <v>327</v>
      </c>
      <c r="N287" s="317">
        <f>+N912</f>
        <v>339</v>
      </c>
      <c r="O287" s="317">
        <f>+O912</f>
        <v>352</v>
      </c>
      <c r="Q287" s="633"/>
      <c r="V287" s="115"/>
    </row>
    <row r="288" spans="1:22" ht="12.75" customHeight="1" x14ac:dyDescent="0.25">
      <c r="A288" s="336">
        <v>630016</v>
      </c>
      <c r="B288" s="115" t="str">
        <f>G283</f>
        <v>Haktol 1a (gymzaal)</v>
      </c>
      <c r="D288" s="337">
        <v>43801</v>
      </c>
      <c r="E288" s="337"/>
      <c r="F288" s="337"/>
      <c r="G288" s="319" t="s">
        <v>996</v>
      </c>
      <c r="I288" s="318"/>
      <c r="J288" s="317">
        <v>6730</v>
      </c>
      <c r="K288" s="317">
        <v>6905</v>
      </c>
      <c r="L288" s="317">
        <f t="shared" ref="L288:O289" si="171">ROUND(K288*U$2,0)</f>
        <v>7050</v>
      </c>
      <c r="M288" s="317">
        <f t="shared" si="171"/>
        <v>7212</v>
      </c>
      <c r="N288" s="317">
        <f t="shared" si="171"/>
        <v>7378</v>
      </c>
      <c r="O288" s="317">
        <f t="shared" si="171"/>
        <v>7548</v>
      </c>
      <c r="Q288" s="154"/>
      <c r="R288" s="154"/>
      <c r="S288" s="154"/>
      <c r="T288" s="154"/>
      <c r="U288" s="154"/>
      <c r="V288" s="115"/>
    </row>
    <row r="289" spans="1:22" ht="12.75" customHeight="1" x14ac:dyDescent="0.25">
      <c r="A289" s="336">
        <v>630016</v>
      </c>
      <c r="B289" s="115" t="str">
        <f>G283</f>
        <v>Haktol 1a (gymzaal)</v>
      </c>
      <c r="D289" s="337">
        <v>43802</v>
      </c>
      <c r="E289" s="337"/>
      <c r="F289" s="337"/>
      <c r="G289" s="319" t="s">
        <v>3479</v>
      </c>
      <c r="I289" s="318"/>
      <c r="J289" s="317">
        <v>2460</v>
      </c>
      <c r="K289" s="317">
        <v>2524</v>
      </c>
      <c r="L289" s="317">
        <f t="shared" si="171"/>
        <v>2577</v>
      </c>
      <c r="M289" s="317">
        <f t="shared" si="171"/>
        <v>2636</v>
      </c>
      <c r="N289" s="317">
        <f t="shared" si="171"/>
        <v>2697</v>
      </c>
      <c r="O289" s="317">
        <f t="shared" si="171"/>
        <v>2759</v>
      </c>
      <c r="Q289" s="394"/>
      <c r="R289" s="394"/>
      <c r="S289" s="394"/>
      <c r="T289" s="394"/>
      <c r="U289" s="394"/>
      <c r="V289" s="115"/>
    </row>
    <row r="290" spans="1:22" ht="12.75" customHeight="1" x14ac:dyDescent="0.25">
      <c r="A290" s="336">
        <v>630016</v>
      </c>
      <c r="B290" s="115" t="str">
        <f>G283</f>
        <v>Haktol 1a (gymzaal)</v>
      </c>
      <c r="D290" s="337">
        <v>43806</v>
      </c>
      <c r="E290" s="337"/>
      <c r="F290" s="337"/>
      <c r="G290" s="319" t="s">
        <v>980</v>
      </c>
      <c r="I290" s="318"/>
      <c r="J290" s="317">
        <v>973</v>
      </c>
      <c r="K290" s="317">
        <v>1000</v>
      </c>
      <c r="L290" s="317">
        <f>ROUND(K290*T$2,0)</f>
        <v>1026</v>
      </c>
      <c r="M290" s="317">
        <f>ROUND(L290*U$2,0)</f>
        <v>1048</v>
      </c>
      <c r="N290" s="317">
        <f>ROUND(M290*V$2,0)</f>
        <v>1072</v>
      </c>
      <c r="O290" s="317">
        <f>ROUND(N290*W$2,0)</f>
        <v>1097</v>
      </c>
      <c r="Q290" s="394"/>
      <c r="R290" s="394"/>
      <c r="S290" s="394"/>
      <c r="T290" s="394"/>
      <c r="U290" s="394"/>
      <c r="V290" s="115"/>
    </row>
    <row r="291" spans="1:22" ht="12.75" customHeight="1" x14ac:dyDescent="0.25">
      <c r="A291" s="336">
        <v>630016</v>
      </c>
      <c r="B291" s="115" t="str">
        <f>G283</f>
        <v>Haktol 1a (gymzaal)</v>
      </c>
      <c r="D291" s="337">
        <v>43812</v>
      </c>
      <c r="E291" s="337"/>
      <c r="F291" s="337"/>
      <c r="G291" s="319" t="s">
        <v>535</v>
      </c>
      <c r="I291" s="318"/>
      <c r="J291" s="317">
        <v>12547</v>
      </c>
      <c r="K291" s="317">
        <v>12873</v>
      </c>
      <c r="L291" s="317">
        <f>+L920</f>
        <v>13142</v>
      </c>
      <c r="M291" s="317">
        <f>+M920</f>
        <v>13444</v>
      </c>
      <c r="N291" s="317">
        <f>+N920</f>
        <v>13753</v>
      </c>
      <c r="O291" s="317">
        <f>+O920</f>
        <v>14069</v>
      </c>
      <c r="Q291" s="394"/>
      <c r="R291" s="394"/>
      <c r="S291" s="394"/>
      <c r="T291" s="394"/>
      <c r="U291" s="394"/>
      <c r="V291" s="115"/>
    </row>
    <row r="292" spans="1:22" ht="12.75" customHeight="1" x14ac:dyDescent="0.25">
      <c r="A292" s="336">
        <v>630016</v>
      </c>
      <c r="B292" s="115" t="str">
        <f>G283</f>
        <v>Haktol 1a (gymzaal)</v>
      </c>
      <c r="D292" s="337">
        <v>47201</v>
      </c>
      <c r="E292" s="337"/>
      <c r="F292" s="337"/>
      <c r="G292" s="319" t="s">
        <v>997</v>
      </c>
      <c r="I292" s="318"/>
      <c r="J292" s="317">
        <v>8061.75</v>
      </c>
      <c r="K292" s="317">
        <v>8359.9186059999975</v>
      </c>
      <c r="L292" s="317">
        <v>8669.2355944219962</v>
      </c>
      <c r="M292" s="317">
        <v>8989.9973114156091</v>
      </c>
      <c r="N292" s="317">
        <v>9322.6272119379864</v>
      </c>
      <c r="O292" s="2095">
        <v>0</v>
      </c>
      <c r="Q292" s="633"/>
      <c r="V292" s="115"/>
    </row>
    <row r="293" spans="1:22" ht="12.75" customHeight="1" thickBot="1" x14ac:dyDescent="0.3">
      <c r="A293" s="336"/>
      <c r="D293" s="340"/>
      <c r="E293" s="340"/>
      <c r="F293" s="340"/>
      <c r="G293" s="319" t="s">
        <v>536</v>
      </c>
      <c r="I293" s="318"/>
      <c r="J293" s="480">
        <v>32139.75</v>
      </c>
      <c r="K293" s="480">
        <v>33063.918605999999</v>
      </c>
      <c r="L293" s="480">
        <f>SUM(L285:L292)</f>
        <v>33902.235594421996</v>
      </c>
      <c r="M293" s="480">
        <f>SUM(M285:M292)</f>
        <v>34805.997311415609</v>
      </c>
      <c r="N293" s="480">
        <f>SUM(N285:N292)</f>
        <v>35737.627211937986</v>
      </c>
      <c r="O293" s="480">
        <f>SUM(O285:O292)</f>
        <v>27028</v>
      </c>
      <c r="Q293" s="633"/>
      <c r="V293" s="115"/>
    </row>
    <row r="294" spans="1:22" ht="12.75" customHeight="1" thickTop="1" x14ac:dyDescent="0.25">
      <c r="A294" s="336"/>
      <c r="D294" s="340"/>
      <c r="E294" s="340"/>
      <c r="F294" s="340"/>
      <c r="G294" s="319"/>
      <c r="I294" s="318"/>
      <c r="J294" s="318"/>
      <c r="K294" s="318"/>
      <c r="L294" s="318"/>
      <c r="M294" s="318"/>
      <c r="N294" s="318"/>
      <c r="O294" s="318"/>
      <c r="Q294" s="633"/>
      <c r="V294" s="115"/>
    </row>
    <row r="295" spans="1:22" ht="12.75" customHeight="1" x14ac:dyDescent="0.25">
      <c r="A295" s="336"/>
      <c r="D295" s="333">
        <v>630017</v>
      </c>
      <c r="E295" s="331"/>
      <c r="F295" s="331"/>
      <c r="G295" s="332" t="s">
        <v>3446</v>
      </c>
      <c r="I295" s="318"/>
      <c r="J295" s="318"/>
      <c r="K295" s="318"/>
      <c r="L295" s="318"/>
      <c r="M295" s="318"/>
      <c r="N295" s="318"/>
      <c r="O295" s="318"/>
      <c r="Q295" s="633"/>
      <c r="V295" s="115"/>
    </row>
    <row r="296" spans="1:22" ht="12.75" customHeight="1" x14ac:dyDescent="0.25">
      <c r="A296" s="336"/>
      <c r="D296" s="340"/>
      <c r="E296" s="340"/>
      <c r="F296" s="340"/>
      <c r="G296" s="334" t="s">
        <v>533</v>
      </c>
      <c r="I296" s="318"/>
      <c r="J296" s="318"/>
      <c r="K296" s="318"/>
      <c r="L296" s="318"/>
      <c r="M296" s="318"/>
      <c r="N296" s="318"/>
      <c r="O296" s="318"/>
      <c r="Q296" s="633"/>
      <c r="V296" s="115"/>
    </row>
    <row r="297" spans="1:22" ht="12.75" customHeight="1" x14ac:dyDescent="0.25">
      <c r="A297" s="336">
        <v>630017</v>
      </c>
      <c r="B297" s="115" t="str">
        <f>G295</f>
        <v>J Verleunstraat 31 (gymzaal)</v>
      </c>
      <c r="D297" s="337">
        <v>43511</v>
      </c>
      <c r="E297" s="337"/>
      <c r="F297" s="337"/>
      <c r="G297" s="319" t="s">
        <v>560</v>
      </c>
      <c r="I297" s="318"/>
      <c r="J297" s="317">
        <v>39</v>
      </c>
      <c r="K297" s="317">
        <v>40</v>
      </c>
      <c r="L297" s="317">
        <f>L929</f>
        <v>42</v>
      </c>
      <c r="M297" s="317">
        <f>M929</f>
        <v>44</v>
      </c>
      <c r="N297" s="317">
        <f>N929</f>
        <v>46</v>
      </c>
      <c r="O297" s="317">
        <f>O929</f>
        <v>48</v>
      </c>
      <c r="Q297" s="633"/>
      <c r="V297" s="115"/>
    </row>
    <row r="298" spans="1:22" ht="12.75" customHeight="1" x14ac:dyDescent="0.25">
      <c r="A298" s="336">
        <v>630017</v>
      </c>
      <c r="B298" s="115" t="str">
        <f>G295</f>
        <v>J Verleunstraat 31 (gymzaal)</v>
      </c>
      <c r="D298" s="337">
        <v>43801</v>
      </c>
      <c r="E298" s="337"/>
      <c r="F298" s="337"/>
      <c r="G298" s="319" t="s">
        <v>996</v>
      </c>
      <c r="I298" s="318"/>
      <c r="J298" s="317">
        <v>6179</v>
      </c>
      <c r="K298" s="317">
        <v>6340</v>
      </c>
      <c r="L298" s="317">
        <f>ROUND(K298*U$2,0)</f>
        <v>6473</v>
      </c>
      <c r="M298" s="317">
        <f>ROUND(L298*V$2,0)</f>
        <v>6622</v>
      </c>
      <c r="N298" s="317">
        <f>ROUND(M298*W$2,0)</f>
        <v>6774</v>
      </c>
      <c r="O298" s="317">
        <f>ROUND(N298*X$2,0)</f>
        <v>6930</v>
      </c>
      <c r="Q298" s="154"/>
      <c r="R298" s="154"/>
      <c r="S298" s="154"/>
      <c r="T298" s="154"/>
      <c r="U298" s="154"/>
      <c r="V298" s="115"/>
    </row>
    <row r="299" spans="1:22" ht="12.75" customHeight="1" x14ac:dyDescent="0.25">
      <c r="A299" s="336">
        <v>630017</v>
      </c>
      <c r="B299" s="115" t="str">
        <f>G295</f>
        <v>J Verleunstraat 31 (gymzaal)</v>
      </c>
      <c r="D299" s="337">
        <v>43802</v>
      </c>
      <c r="E299" s="337"/>
      <c r="F299" s="337"/>
      <c r="G299" s="319" t="s">
        <v>3479</v>
      </c>
      <c r="I299" s="318"/>
      <c r="J299" s="317">
        <v>2164</v>
      </c>
      <c r="K299" s="317">
        <v>2220</v>
      </c>
      <c r="L299" s="317">
        <f>+L932</f>
        <v>2267</v>
      </c>
      <c r="M299" s="317">
        <f>+M932</f>
        <v>2319</v>
      </c>
      <c r="N299" s="317">
        <f>+N932</f>
        <v>2372</v>
      </c>
      <c r="O299" s="317">
        <f>+O932</f>
        <v>2427</v>
      </c>
      <c r="Q299" s="394"/>
      <c r="R299" s="394"/>
      <c r="S299" s="394"/>
      <c r="T299" s="394"/>
      <c r="U299" s="394"/>
      <c r="V299" s="115"/>
    </row>
    <row r="300" spans="1:22" ht="12.75" customHeight="1" x14ac:dyDescent="0.25">
      <c r="A300" s="336">
        <v>630017</v>
      </c>
      <c r="B300" s="115" t="str">
        <f>G295</f>
        <v>J Verleunstraat 31 (gymzaal)</v>
      </c>
      <c r="D300" s="337">
        <v>43806</v>
      </c>
      <c r="E300" s="337"/>
      <c r="F300" s="337"/>
      <c r="G300" s="319" t="s">
        <v>980</v>
      </c>
      <c r="I300" s="318"/>
      <c r="J300" s="317">
        <v>859</v>
      </c>
      <c r="K300" s="317">
        <v>881</v>
      </c>
      <c r="L300" s="317">
        <f>ROUND(K300*U$2,0)</f>
        <v>900</v>
      </c>
      <c r="M300" s="317">
        <f>ROUND(L300*V$2,0)</f>
        <v>921</v>
      </c>
      <c r="N300" s="317">
        <f>ROUND(M300*W$2,0)</f>
        <v>942</v>
      </c>
      <c r="O300" s="317">
        <f>ROUND(N300*X$2,0)</f>
        <v>964</v>
      </c>
      <c r="Q300" s="154"/>
      <c r="R300" s="154"/>
      <c r="S300" s="154"/>
      <c r="T300" s="154"/>
      <c r="U300" s="154"/>
      <c r="V300" s="115"/>
    </row>
    <row r="301" spans="1:22" ht="12.75" customHeight="1" x14ac:dyDescent="0.25">
      <c r="A301" s="336">
        <v>630017</v>
      </c>
      <c r="B301" s="115" t="str">
        <f>G295</f>
        <v>J Verleunstraat 31 (gymzaal)</v>
      </c>
      <c r="D301" s="337">
        <v>43812</v>
      </c>
      <c r="E301" s="337"/>
      <c r="F301" s="337"/>
      <c r="G301" s="319" t="s">
        <v>535</v>
      </c>
      <c r="I301" s="318"/>
      <c r="J301" s="317">
        <v>11466</v>
      </c>
      <c r="K301" s="317">
        <v>11765</v>
      </c>
      <c r="L301" s="317">
        <f>+L940</f>
        <v>12012</v>
      </c>
      <c r="M301" s="317">
        <f>+M940</f>
        <v>12288</v>
      </c>
      <c r="N301" s="317">
        <f>+N940</f>
        <v>12570</v>
      </c>
      <c r="O301" s="317">
        <f>+O940</f>
        <v>12860</v>
      </c>
      <c r="Q301" s="394"/>
      <c r="R301" s="394"/>
      <c r="S301" s="394"/>
      <c r="T301" s="394"/>
      <c r="U301" s="394"/>
      <c r="V301" s="115"/>
    </row>
    <row r="302" spans="1:22" ht="12.75" customHeight="1" x14ac:dyDescent="0.25">
      <c r="A302" s="336">
        <v>630017</v>
      </c>
      <c r="B302" s="115" t="str">
        <f>G295</f>
        <v>J Verleunstraat 31 (gymzaal)</v>
      </c>
      <c r="D302" s="337">
        <v>43812</v>
      </c>
      <c r="E302" s="337"/>
      <c r="F302" s="337"/>
      <c r="G302" s="319" t="s">
        <v>535</v>
      </c>
      <c r="I302" s="318"/>
      <c r="J302" s="317">
        <v>0</v>
      </c>
      <c r="K302" s="317">
        <v>0</v>
      </c>
      <c r="L302" s="317">
        <v>0</v>
      </c>
      <c r="M302" s="317">
        <v>1</v>
      </c>
      <c r="N302" s="317">
        <v>1</v>
      </c>
      <c r="O302" s="317">
        <v>1</v>
      </c>
      <c r="Q302" s="394"/>
      <c r="R302" s="394"/>
      <c r="S302" s="394"/>
      <c r="T302" s="394"/>
      <c r="U302" s="394"/>
      <c r="V302" s="115"/>
    </row>
    <row r="303" spans="1:22" ht="12.75" customHeight="1" x14ac:dyDescent="0.25">
      <c r="A303" s="336">
        <v>630017</v>
      </c>
      <c r="B303" s="115" t="str">
        <f>G295</f>
        <v>J Verleunstraat 31 (gymzaal)</v>
      </c>
      <c r="D303" s="337">
        <v>47201</v>
      </c>
      <c r="E303" s="337"/>
      <c r="F303" s="337"/>
      <c r="G303" s="319" t="s">
        <v>997</v>
      </c>
      <c r="I303" s="318"/>
      <c r="J303" s="317">
        <v>8061.75</v>
      </c>
      <c r="K303" s="317">
        <v>8359.9186059999975</v>
      </c>
      <c r="L303" s="317">
        <v>8669.2355944219962</v>
      </c>
      <c r="M303" s="317">
        <v>8989.9973114156091</v>
      </c>
      <c r="N303" s="317">
        <v>9322.6272119379864</v>
      </c>
      <c r="O303" s="2095">
        <v>0</v>
      </c>
      <c r="Q303" s="394"/>
      <c r="R303" s="394"/>
      <c r="S303" s="394"/>
      <c r="T303" s="394"/>
      <c r="U303" s="394"/>
      <c r="V303" s="115"/>
    </row>
    <row r="304" spans="1:22" ht="12.75" customHeight="1" thickBot="1" x14ac:dyDescent="0.3">
      <c r="A304" s="336"/>
      <c r="D304" s="340"/>
      <c r="E304" s="340"/>
      <c r="F304" s="340"/>
      <c r="G304" s="319" t="s">
        <v>536</v>
      </c>
      <c r="I304" s="318"/>
      <c r="J304" s="480">
        <v>28768.75</v>
      </c>
      <c r="K304" s="480">
        <v>29605.918605999999</v>
      </c>
      <c r="L304" s="480">
        <f>SUM(L297:L303)</f>
        <v>30363.235594421996</v>
      </c>
      <c r="M304" s="480">
        <f>SUM(M297:M303)</f>
        <v>31184.997311415609</v>
      </c>
      <c r="N304" s="480">
        <f>SUM(N297:N303)</f>
        <v>32027.627211937986</v>
      </c>
      <c r="O304" s="480">
        <f>SUM(O297:O303)</f>
        <v>23230</v>
      </c>
      <c r="Q304" s="633"/>
      <c r="V304" s="115"/>
    </row>
    <row r="305" spans="1:25" ht="12.75" customHeight="1" thickTop="1" x14ac:dyDescent="0.25">
      <c r="A305" s="336"/>
      <c r="D305" s="340"/>
      <c r="E305" s="340"/>
      <c r="F305" s="340"/>
      <c r="G305" s="319"/>
      <c r="I305" s="318"/>
      <c r="J305" s="318"/>
      <c r="K305" s="318"/>
      <c r="L305" s="318"/>
      <c r="M305" s="318"/>
      <c r="N305" s="318"/>
      <c r="O305" s="318"/>
      <c r="Q305" s="633"/>
      <c r="V305" s="115"/>
    </row>
    <row r="306" spans="1:25" ht="12.75" customHeight="1" x14ac:dyDescent="0.25">
      <c r="A306" s="336"/>
      <c r="D306" s="333">
        <v>630018</v>
      </c>
      <c r="E306" s="331"/>
      <c r="F306" s="331"/>
      <c r="G306" s="332" t="s">
        <v>3447</v>
      </c>
      <c r="I306" s="318"/>
      <c r="J306" s="318"/>
      <c r="K306" s="318"/>
      <c r="L306" s="318"/>
      <c r="M306" s="318"/>
      <c r="N306" s="318"/>
      <c r="O306" s="318"/>
      <c r="Q306" s="633"/>
      <c r="V306" s="115"/>
    </row>
    <row r="307" spans="1:25" ht="12.75" customHeight="1" x14ac:dyDescent="0.25">
      <c r="A307" s="336"/>
      <c r="D307" s="340"/>
      <c r="E307" s="340"/>
      <c r="F307" s="340"/>
      <c r="G307" s="334" t="s">
        <v>533</v>
      </c>
      <c r="I307" s="318"/>
      <c r="J307" s="318"/>
      <c r="K307" s="318"/>
      <c r="L307" s="318"/>
      <c r="M307" s="318"/>
      <c r="N307" s="318"/>
      <c r="O307" s="318"/>
      <c r="Q307" s="633"/>
      <c r="V307" s="115"/>
    </row>
    <row r="308" spans="1:25" ht="12.75" customHeight="1" x14ac:dyDescent="0.25">
      <c r="A308" s="336">
        <v>630018</v>
      </c>
      <c r="B308" s="115" t="str">
        <f>G306</f>
        <v>Rendierhei 10 (gymzaal)</v>
      </c>
      <c r="D308" s="337">
        <v>42100</v>
      </c>
      <c r="E308" s="337"/>
      <c r="F308" s="337"/>
      <c r="G308" s="319" t="s">
        <v>978</v>
      </c>
      <c r="I308" s="318"/>
      <c r="J308" s="317">
        <v>1513</v>
      </c>
      <c r="K308" s="317">
        <v>1552</v>
      </c>
      <c r="L308" s="317">
        <f t="shared" ref="L308:O309" si="172">ROUND(K308*U$2,0)</f>
        <v>1585</v>
      </c>
      <c r="M308" s="317">
        <f t="shared" si="172"/>
        <v>1621</v>
      </c>
      <c r="N308" s="317">
        <f t="shared" si="172"/>
        <v>1658</v>
      </c>
      <c r="O308" s="317">
        <f t="shared" si="172"/>
        <v>1696</v>
      </c>
      <c r="Q308" s="394"/>
      <c r="R308" s="394"/>
      <c r="S308" s="394"/>
      <c r="T308" s="394"/>
      <c r="U308" s="394"/>
      <c r="V308" s="115"/>
    </row>
    <row r="309" spans="1:25" ht="12.75" customHeight="1" x14ac:dyDescent="0.25">
      <c r="A309" s="336">
        <v>630018</v>
      </c>
      <c r="B309" s="115" t="str">
        <f>G306</f>
        <v>Rendierhei 10 (gymzaal)</v>
      </c>
      <c r="D309" s="337">
        <v>42100</v>
      </c>
      <c r="E309" s="337"/>
      <c r="F309" s="337"/>
      <c r="G309" s="319" t="s">
        <v>1578</v>
      </c>
      <c r="I309" s="318"/>
      <c r="J309" s="317">
        <v>192</v>
      </c>
      <c r="K309" s="317">
        <v>197</v>
      </c>
      <c r="L309" s="317">
        <f t="shared" si="172"/>
        <v>201</v>
      </c>
      <c r="M309" s="317">
        <f t="shared" si="172"/>
        <v>206</v>
      </c>
      <c r="N309" s="317">
        <f t="shared" si="172"/>
        <v>211</v>
      </c>
      <c r="O309" s="317">
        <f t="shared" si="172"/>
        <v>216</v>
      </c>
      <c r="Q309" s="633"/>
      <c r="V309" s="115"/>
    </row>
    <row r="310" spans="1:25" ht="12.75" customHeight="1" x14ac:dyDescent="0.25">
      <c r="A310" s="336">
        <v>630018</v>
      </c>
      <c r="B310" s="115" t="str">
        <f>G306</f>
        <v>Rendierhei 10 (gymzaal)</v>
      </c>
      <c r="D310" s="337">
        <v>43511</v>
      </c>
      <c r="E310" s="337"/>
      <c r="F310" s="337"/>
      <c r="G310" s="319" t="s">
        <v>560</v>
      </c>
      <c r="I310" s="318"/>
      <c r="J310" s="317">
        <v>296</v>
      </c>
      <c r="K310" s="317">
        <v>302</v>
      </c>
      <c r="L310" s="317">
        <f>L949</f>
        <v>315</v>
      </c>
      <c r="M310" s="317">
        <f>M949</f>
        <v>327</v>
      </c>
      <c r="N310" s="317">
        <f>N949</f>
        <v>339</v>
      </c>
      <c r="O310" s="317">
        <f>O949</f>
        <v>352</v>
      </c>
      <c r="Q310" s="633"/>
      <c r="V310" s="115"/>
    </row>
    <row r="311" spans="1:25" ht="12.75" customHeight="1" x14ac:dyDescent="0.25">
      <c r="A311" s="336">
        <v>630018</v>
      </c>
      <c r="B311" s="115" t="str">
        <f>G306</f>
        <v>Rendierhei 10 (gymzaal)</v>
      </c>
      <c r="D311" s="337">
        <v>43801</v>
      </c>
      <c r="E311" s="337"/>
      <c r="F311" s="337"/>
      <c r="G311" s="319" t="s">
        <v>996</v>
      </c>
      <c r="I311" s="318"/>
      <c r="J311" s="317">
        <v>3580</v>
      </c>
      <c r="K311" s="317">
        <v>3670</v>
      </c>
      <c r="L311" s="317">
        <f>ROUND(K311*U$2,-1)</f>
        <v>3750</v>
      </c>
      <c r="M311" s="317">
        <f>ROUND(L311*V$2,-1)</f>
        <v>3840</v>
      </c>
      <c r="N311" s="317">
        <f>ROUND(M311*W$2,-1)</f>
        <v>3930</v>
      </c>
      <c r="O311" s="317">
        <f>ROUND(N311*X$2,-1)</f>
        <v>4020</v>
      </c>
      <c r="Q311" s="633"/>
      <c r="V311" s="115"/>
    </row>
    <row r="312" spans="1:25" ht="12.75" customHeight="1" x14ac:dyDescent="0.25">
      <c r="A312" s="336">
        <v>630018</v>
      </c>
      <c r="B312" s="115" t="str">
        <f>G306</f>
        <v>Rendierhei 10 (gymzaal)</v>
      </c>
      <c r="D312" s="337">
        <v>43802</v>
      </c>
      <c r="E312" s="337"/>
      <c r="F312" s="337"/>
      <c r="G312" s="319" t="s">
        <v>3479</v>
      </c>
      <c r="I312" s="318"/>
      <c r="J312" s="317">
        <v>2369</v>
      </c>
      <c r="K312" s="317">
        <v>2431</v>
      </c>
      <c r="L312" s="317">
        <f>+L952</f>
        <v>2482</v>
      </c>
      <c r="M312" s="317">
        <f>+M952</f>
        <v>2539</v>
      </c>
      <c r="N312" s="317">
        <f>+N952</f>
        <v>2597</v>
      </c>
      <c r="O312" s="317">
        <f>+O952</f>
        <v>2657</v>
      </c>
      <c r="Q312" s="154"/>
      <c r="R312" s="154"/>
      <c r="S312" s="154"/>
      <c r="T312" s="154"/>
      <c r="U312" s="154"/>
      <c r="V312" s="115"/>
    </row>
    <row r="313" spans="1:25" ht="12.75" customHeight="1" x14ac:dyDescent="0.25">
      <c r="A313" s="336">
        <v>630018</v>
      </c>
      <c r="B313" s="115" t="str">
        <f>G306</f>
        <v>Rendierhei 10 (gymzaal)</v>
      </c>
      <c r="D313" s="337">
        <v>43806</v>
      </c>
      <c r="E313" s="337"/>
      <c r="F313" s="337"/>
      <c r="G313" s="319" t="s">
        <v>980</v>
      </c>
      <c r="I313" s="318"/>
      <c r="J313" s="317">
        <v>1094</v>
      </c>
      <c r="K313" s="317">
        <v>1122</v>
      </c>
      <c r="L313" s="317">
        <f>ROUND(K313*U$2,0)</f>
        <v>1146</v>
      </c>
      <c r="M313" s="317">
        <f>ROUND(L313*V$2,0)</f>
        <v>1172</v>
      </c>
      <c r="N313" s="317">
        <f>ROUND(M313*W$2,0)</f>
        <v>1199</v>
      </c>
      <c r="O313" s="317">
        <f>ROUND(N313*X$2,0)</f>
        <v>1227</v>
      </c>
      <c r="Q313" s="633"/>
      <c r="V313" s="115"/>
    </row>
    <row r="314" spans="1:25" ht="12.75" customHeight="1" x14ac:dyDescent="0.25">
      <c r="A314" s="336">
        <v>630018</v>
      </c>
      <c r="B314" s="115" t="str">
        <f>G306</f>
        <v>Rendierhei 10 (gymzaal)</v>
      </c>
      <c r="D314" s="337">
        <v>43812</v>
      </c>
      <c r="E314" s="337"/>
      <c r="F314" s="337"/>
      <c r="G314" s="319" t="s">
        <v>535</v>
      </c>
      <c r="I314" s="318"/>
      <c r="J314" s="317">
        <v>14817</v>
      </c>
      <c r="K314" s="317">
        <v>15202</v>
      </c>
      <c r="L314" s="317">
        <f>+L961</f>
        <v>15520</v>
      </c>
      <c r="M314" s="317">
        <f>+M961</f>
        <v>15877</v>
      </c>
      <c r="N314" s="317">
        <f>+N961</f>
        <v>16241</v>
      </c>
      <c r="O314" s="317">
        <f>+O961</f>
        <v>16614</v>
      </c>
      <c r="Q314" s="633"/>
      <c r="V314" s="115"/>
    </row>
    <row r="315" spans="1:25" ht="12.75" customHeight="1" x14ac:dyDescent="0.25">
      <c r="A315" s="336">
        <v>630018</v>
      </c>
      <c r="B315" s="115" t="str">
        <f>G306</f>
        <v>Rendierhei 10 (gymzaal)</v>
      </c>
      <c r="D315" s="337">
        <v>47201</v>
      </c>
      <c r="E315" s="337"/>
      <c r="F315" s="337"/>
      <c r="G315" s="319" t="s">
        <v>997</v>
      </c>
      <c r="I315" s="318"/>
      <c r="J315" s="317">
        <v>8061.75</v>
      </c>
      <c r="K315" s="317">
        <v>8359.9186059999975</v>
      </c>
      <c r="L315" s="317">
        <v>8669.2355944219962</v>
      </c>
      <c r="M315" s="317">
        <v>8989.9973114156091</v>
      </c>
      <c r="N315" s="317">
        <v>9322.6272119379864</v>
      </c>
      <c r="O315" s="2095">
        <v>0</v>
      </c>
      <c r="Q315" s="633"/>
      <c r="V315" s="115"/>
    </row>
    <row r="316" spans="1:25" ht="12.75" customHeight="1" thickBot="1" x14ac:dyDescent="0.3">
      <c r="A316" s="336"/>
      <c r="D316" s="1074"/>
      <c r="E316" s="340"/>
      <c r="F316" s="340"/>
      <c r="G316" s="319" t="s">
        <v>536</v>
      </c>
      <c r="I316" s="318"/>
      <c r="J316" s="480">
        <v>31922.75</v>
      </c>
      <c r="K316" s="480">
        <v>32835.918605999999</v>
      </c>
      <c r="L316" s="480">
        <f>SUM(L308:L315)</f>
        <v>33668.235594421996</v>
      </c>
      <c r="M316" s="480">
        <f>SUM(M308:M315)</f>
        <v>34571.997311415609</v>
      </c>
      <c r="N316" s="480">
        <f>SUM(N308:N315)</f>
        <v>35497.627211937986</v>
      </c>
      <c r="O316" s="480">
        <f>SUM(O308:O315)</f>
        <v>26782</v>
      </c>
      <c r="Q316" s="633"/>
      <c r="V316" s="115"/>
    </row>
    <row r="317" spans="1:25" ht="12.75" customHeight="1" thickTop="1" x14ac:dyDescent="0.25">
      <c r="A317" s="470"/>
      <c r="B317" s="453"/>
      <c r="C317" s="453"/>
      <c r="D317" s="1017"/>
      <c r="E317" s="1018"/>
      <c r="F317" s="1072"/>
      <c r="G317" s="1019"/>
      <c r="H317" s="1020"/>
      <c r="I317" s="1021"/>
      <c r="J317" s="1767"/>
      <c r="K317" s="1767"/>
      <c r="L317" s="1767"/>
      <c r="M317" s="1767"/>
      <c r="N317" s="1767"/>
      <c r="O317" s="1767"/>
      <c r="Q317" s="619"/>
      <c r="R317" s="619"/>
      <c r="S317" s="619"/>
      <c r="T317" s="619"/>
      <c r="U317" s="619"/>
      <c r="V317" s="453"/>
      <c r="W317" s="453"/>
      <c r="X317" s="453"/>
      <c r="Y317" s="453"/>
    </row>
    <row r="318" spans="1:25" ht="12.75" customHeight="1" x14ac:dyDescent="0.25">
      <c r="A318" s="336"/>
      <c r="D318" s="333">
        <v>630019</v>
      </c>
      <c r="E318" s="331"/>
      <c r="F318" s="331"/>
      <c r="G318" s="332" t="s">
        <v>3448</v>
      </c>
      <c r="I318" s="318"/>
      <c r="J318" s="317"/>
      <c r="K318" s="317"/>
      <c r="L318" s="317"/>
      <c r="M318" s="317"/>
      <c r="N318" s="317"/>
      <c r="O318" s="317"/>
      <c r="Q318" s="633"/>
      <c r="V318" s="115"/>
    </row>
    <row r="319" spans="1:25" ht="12.75" customHeight="1" x14ac:dyDescent="0.25">
      <c r="A319" s="336"/>
      <c r="D319" s="340"/>
      <c r="E319" s="340"/>
      <c r="F319" s="340"/>
      <c r="G319" s="334" t="s">
        <v>533</v>
      </c>
      <c r="I319" s="318"/>
      <c r="J319" s="317"/>
      <c r="K319" s="317"/>
      <c r="L319" s="317"/>
      <c r="M319" s="317"/>
      <c r="N319" s="317"/>
      <c r="O319" s="317"/>
      <c r="Q319" s="633"/>
      <c r="V319" s="115"/>
    </row>
    <row r="320" spans="1:25" ht="12.75" customHeight="1" x14ac:dyDescent="0.25">
      <c r="A320" s="336">
        <v>630019</v>
      </c>
      <c r="B320" s="115" t="str">
        <f>G318</f>
        <v>W de Zwijgerweg 148-150 (gymzaal)</v>
      </c>
      <c r="D320" s="337">
        <v>43805</v>
      </c>
      <c r="E320" s="337"/>
      <c r="F320" s="337"/>
      <c r="G320" s="319" t="s">
        <v>730</v>
      </c>
      <c r="I320" s="318"/>
      <c r="J320" s="317">
        <v>25238</v>
      </c>
      <c r="K320" s="317">
        <v>25894</v>
      </c>
      <c r="L320" s="317">
        <f t="shared" ref="L320:O321" si="173">ROUND(K320*U$2,0)</f>
        <v>26438</v>
      </c>
      <c r="M320" s="317">
        <f t="shared" si="173"/>
        <v>27046</v>
      </c>
      <c r="N320" s="317">
        <f t="shared" si="173"/>
        <v>27668</v>
      </c>
      <c r="O320" s="317">
        <f t="shared" si="173"/>
        <v>28304</v>
      </c>
      <c r="Q320" s="633"/>
      <c r="V320" s="115"/>
    </row>
    <row r="321" spans="1:22" ht="12.75" customHeight="1" x14ac:dyDescent="0.25">
      <c r="A321" s="336">
        <v>630019</v>
      </c>
      <c r="B321" s="115" t="str">
        <f>G318</f>
        <v>W de Zwijgerweg 148-150 (gymzaal)</v>
      </c>
      <c r="D321" s="337">
        <v>43806</v>
      </c>
      <c r="E321" s="337"/>
      <c r="F321" s="337"/>
      <c r="G321" s="319" t="s">
        <v>980</v>
      </c>
      <c r="I321" s="318"/>
      <c r="J321" s="317">
        <v>34021</v>
      </c>
      <c r="K321" s="317">
        <v>34906</v>
      </c>
      <c r="L321" s="317">
        <f t="shared" si="173"/>
        <v>35639</v>
      </c>
      <c r="M321" s="317">
        <f t="shared" si="173"/>
        <v>36459</v>
      </c>
      <c r="N321" s="317">
        <f t="shared" si="173"/>
        <v>37298</v>
      </c>
      <c r="O321" s="317">
        <f t="shared" si="173"/>
        <v>38156</v>
      </c>
      <c r="Q321" s="633"/>
      <c r="V321" s="115"/>
    </row>
    <row r="322" spans="1:22" ht="12.75" customHeight="1" x14ac:dyDescent="0.25">
      <c r="A322" s="336">
        <v>630019</v>
      </c>
      <c r="B322" s="115" t="str">
        <f>G318</f>
        <v>W de Zwijgerweg 148-150 (gymzaal)</v>
      </c>
      <c r="D322" s="337">
        <v>43812</v>
      </c>
      <c r="E322" s="337"/>
      <c r="F322" s="337"/>
      <c r="G322" s="319" t="s">
        <v>535</v>
      </c>
      <c r="I322" s="318"/>
      <c r="J322" s="317">
        <v>58</v>
      </c>
      <c r="K322" s="317">
        <v>60</v>
      </c>
      <c r="L322" s="317">
        <f>+L974</f>
        <v>62</v>
      </c>
      <c r="M322" s="317">
        <f>+M974</f>
        <v>64</v>
      </c>
      <c r="N322" s="317">
        <f>+N974</f>
        <v>66</v>
      </c>
      <c r="O322" s="317">
        <f>+O974</f>
        <v>68</v>
      </c>
      <c r="Q322" s="633"/>
      <c r="V322" s="115"/>
    </row>
    <row r="323" spans="1:22" ht="12.75" customHeight="1" thickBot="1" x14ac:dyDescent="0.3">
      <c r="A323" s="336"/>
      <c r="D323" s="340"/>
      <c r="E323" s="340"/>
      <c r="F323" s="340"/>
      <c r="G323" s="319" t="s">
        <v>536</v>
      </c>
      <c r="I323" s="318"/>
      <c r="J323" s="480">
        <v>59317</v>
      </c>
      <c r="K323" s="480">
        <v>60860</v>
      </c>
      <c r="L323" s="480">
        <f>SUM(L320:L322)</f>
        <v>62139</v>
      </c>
      <c r="M323" s="480">
        <f>SUM(M320:M322)</f>
        <v>63569</v>
      </c>
      <c r="N323" s="480">
        <f>SUM(N320:N322)</f>
        <v>65032</v>
      </c>
      <c r="O323" s="480">
        <f>SUM(O320:O322)</f>
        <v>66528</v>
      </c>
      <c r="Q323" s="394"/>
      <c r="R323" s="394"/>
      <c r="V323" s="115"/>
    </row>
    <row r="324" spans="1:22" ht="12.75" customHeight="1" thickTop="1" x14ac:dyDescent="0.25">
      <c r="A324" s="336"/>
      <c r="D324" s="340"/>
      <c r="E324" s="340"/>
      <c r="F324" s="340"/>
      <c r="G324" s="319"/>
      <c r="I324" s="318"/>
      <c r="J324" s="318"/>
      <c r="K324" s="318"/>
      <c r="L324" s="318"/>
      <c r="M324" s="318"/>
      <c r="N324" s="318"/>
      <c r="O324" s="318"/>
      <c r="Q324" s="394"/>
      <c r="R324" s="394"/>
      <c r="V324" s="115"/>
    </row>
    <row r="325" spans="1:22" ht="12.75" customHeight="1" x14ac:dyDescent="0.25">
      <c r="A325" s="336"/>
      <c r="D325" s="333">
        <v>630026</v>
      </c>
      <c r="E325" s="331"/>
      <c r="F325" s="331"/>
      <c r="G325" s="332" t="s">
        <v>3483</v>
      </c>
      <c r="I325" s="318"/>
      <c r="J325" s="317"/>
      <c r="K325" s="317"/>
      <c r="L325" s="317"/>
      <c r="M325" s="317"/>
      <c r="N325" s="317"/>
      <c r="O325" s="317"/>
      <c r="Q325" s="633"/>
      <c r="V325" s="115"/>
    </row>
    <row r="326" spans="1:22" ht="12.75" customHeight="1" x14ac:dyDescent="0.25">
      <c r="A326" s="336"/>
      <c r="D326" s="340"/>
      <c r="E326" s="340"/>
      <c r="F326" s="340"/>
      <c r="G326" s="334" t="s">
        <v>533</v>
      </c>
      <c r="I326" s="318"/>
      <c r="J326" s="317"/>
      <c r="K326" s="317"/>
      <c r="L326" s="317"/>
      <c r="M326" s="317"/>
      <c r="N326" s="317"/>
      <c r="O326" s="317"/>
      <c r="Q326" s="633"/>
      <c r="V326" s="115"/>
    </row>
    <row r="327" spans="1:22" ht="12.75" customHeight="1" x14ac:dyDescent="0.25">
      <c r="A327" s="336">
        <v>630026</v>
      </c>
      <c r="B327" s="115" t="str">
        <f>G325</f>
        <v>Gymzaal Dijkstraten/Aarlesche Erven</v>
      </c>
      <c r="D327" s="337">
        <v>43812</v>
      </c>
      <c r="E327" s="337"/>
      <c r="F327" s="337"/>
      <c r="G327" s="319" t="s">
        <v>535</v>
      </c>
      <c r="I327" s="318"/>
      <c r="J327" s="317">
        <v>0</v>
      </c>
      <c r="K327" s="317">
        <v>0</v>
      </c>
      <c r="L327" s="317">
        <f t="shared" ref="L327" si="174">L981</f>
        <v>0</v>
      </c>
      <c r="M327" s="317">
        <v>15000</v>
      </c>
      <c r="N327" s="317">
        <v>30000</v>
      </c>
      <c r="O327" s="2095">
        <v>0</v>
      </c>
      <c r="Q327" s="633"/>
      <c r="V327" s="115"/>
    </row>
    <row r="328" spans="1:22" ht="12.75" customHeight="1" thickBot="1" x14ac:dyDescent="0.3">
      <c r="A328" s="336"/>
      <c r="D328" s="340"/>
      <c r="E328" s="340"/>
      <c r="F328" s="340"/>
      <c r="G328" s="319" t="s">
        <v>536</v>
      </c>
      <c r="I328" s="318"/>
      <c r="J328" s="480">
        <v>0</v>
      </c>
      <c r="K328" s="480">
        <v>0</v>
      </c>
      <c r="L328" s="480">
        <f>SUM(L327:L327)</f>
        <v>0</v>
      </c>
      <c r="M328" s="480">
        <f>SUM(M327:M327)</f>
        <v>15000</v>
      </c>
      <c r="N328" s="480">
        <f>SUM(N327:N327)</f>
        <v>30000</v>
      </c>
      <c r="O328" s="480">
        <f>SUM(O327:O327)</f>
        <v>0</v>
      </c>
      <c r="Q328" s="394"/>
      <c r="R328" s="394"/>
      <c r="V328" s="115"/>
    </row>
    <row r="329" spans="1:22" ht="12.75" customHeight="1" thickTop="1" x14ac:dyDescent="0.25">
      <c r="A329" s="336"/>
      <c r="D329" s="340"/>
      <c r="E329" s="340"/>
      <c r="F329" s="340"/>
      <c r="G329" s="319"/>
      <c r="I329" s="318"/>
      <c r="J329" s="318"/>
      <c r="K329" s="318"/>
      <c r="L329" s="318"/>
      <c r="M329" s="318"/>
      <c r="N329" s="318"/>
      <c r="O329" s="318"/>
      <c r="Q329" s="394"/>
      <c r="R329" s="394"/>
      <c r="V329" s="115"/>
    </row>
    <row r="330" spans="1:22" ht="12.75" customHeight="1" x14ac:dyDescent="0.25">
      <c r="A330" s="336"/>
      <c r="D330" s="340"/>
      <c r="E330" s="340"/>
      <c r="F330" s="340"/>
      <c r="G330" s="1073" t="s">
        <v>3484</v>
      </c>
      <c r="I330" s="318"/>
      <c r="J330" s="318"/>
      <c r="K330" s="318"/>
      <c r="L330" s="318"/>
      <c r="M330" s="318"/>
      <c r="N330" s="318"/>
      <c r="O330" s="318"/>
      <c r="Q330" s="394"/>
      <c r="R330" s="394"/>
      <c r="V330" s="115"/>
    </row>
    <row r="331" spans="1:22" ht="12.75" customHeight="1" x14ac:dyDescent="0.25">
      <c r="A331" s="336"/>
      <c r="D331" s="340"/>
      <c r="E331" s="340"/>
      <c r="F331" s="340"/>
      <c r="G331" s="319"/>
      <c r="I331" s="318"/>
      <c r="J331" s="318"/>
      <c r="K331" s="318"/>
      <c r="L331" s="318"/>
      <c r="M331" s="318"/>
      <c r="N331" s="318"/>
      <c r="O331" s="318"/>
      <c r="Q331" s="394"/>
      <c r="R331" s="394"/>
      <c r="V331" s="115"/>
    </row>
    <row r="332" spans="1:22" ht="12.75" customHeight="1" x14ac:dyDescent="0.25">
      <c r="A332" s="336"/>
      <c r="D332" s="340"/>
      <c r="E332" s="340"/>
      <c r="F332" s="340"/>
      <c r="G332" s="319"/>
      <c r="I332" s="318"/>
      <c r="J332" s="318"/>
      <c r="K332" s="318"/>
      <c r="L332" s="318"/>
      <c r="M332" s="318"/>
      <c r="N332" s="318"/>
      <c r="O332" s="318"/>
      <c r="Q332" s="394"/>
      <c r="R332" s="394"/>
      <c r="V332" s="115"/>
    </row>
    <row r="333" spans="1:22" ht="12.75" customHeight="1" x14ac:dyDescent="0.25">
      <c r="A333" s="336"/>
      <c r="D333" s="333">
        <v>630020</v>
      </c>
      <c r="E333" s="331"/>
      <c r="F333" s="331"/>
      <c r="G333" s="332" t="s">
        <v>3450</v>
      </c>
      <c r="I333" s="316"/>
      <c r="J333" s="316"/>
      <c r="K333" s="316"/>
      <c r="L333" s="316"/>
      <c r="M333" s="316"/>
      <c r="N333" s="316"/>
      <c r="O333" s="316"/>
      <c r="P333" s="1728"/>
      <c r="Q333" s="633"/>
      <c r="V333" s="115"/>
    </row>
    <row r="334" spans="1:22" ht="12.75" customHeight="1" x14ac:dyDescent="0.25">
      <c r="A334" s="336"/>
      <c r="D334" s="333"/>
      <c r="E334" s="331"/>
      <c r="F334" s="331"/>
      <c r="G334" s="334" t="s">
        <v>533</v>
      </c>
      <c r="I334" s="316"/>
      <c r="J334" s="316"/>
      <c r="K334" s="316"/>
      <c r="L334" s="316"/>
      <c r="M334" s="316"/>
      <c r="N334" s="316"/>
      <c r="O334" s="316"/>
      <c r="Q334" s="633"/>
      <c r="V334" s="115"/>
    </row>
    <row r="335" spans="1:22" ht="12.75" customHeight="1" x14ac:dyDescent="0.25">
      <c r="A335" s="336">
        <v>630020</v>
      </c>
      <c r="B335" s="115" t="str">
        <f>G333</f>
        <v>Sportlaan 7 (zwembad de Dolfijn)</v>
      </c>
      <c r="D335" s="337">
        <v>42100</v>
      </c>
      <c r="E335" s="337"/>
      <c r="F335" s="337"/>
      <c r="G335" s="319" t="s">
        <v>978</v>
      </c>
      <c r="I335" s="318"/>
      <c r="J335" s="318">
        <v>3437</v>
      </c>
      <c r="K335" s="318">
        <v>3526</v>
      </c>
      <c r="L335" s="318">
        <f t="shared" ref="L335:O336" si="175">ROUND(K335*U$2,0)</f>
        <v>3600</v>
      </c>
      <c r="M335" s="318">
        <f t="shared" si="175"/>
        <v>3683</v>
      </c>
      <c r="N335" s="318">
        <f t="shared" si="175"/>
        <v>3768</v>
      </c>
      <c r="O335" s="318">
        <f t="shared" si="175"/>
        <v>3855</v>
      </c>
      <c r="Q335" s="633"/>
      <c r="V335" s="115"/>
    </row>
    <row r="336" spans="1:22" ht="12.75" customHeight="1" x14ac:dyDescent="0.25">
      <c r="A336" s="336">
        <v>630020</v>
      </c>
      <c r="B336" s="115" t="str">
        <f>G333</f>
        <v>Sportlaan 7 (zwembad de Dolfijn)</v>
      </c>
      <c r="D336" s="337">
        <v>42100</v>
      </c>
      <c r="E336" s="337"/>
      <c r="F336" s="337"/>
      <c r="G336" s="319" t="s">
        <v>1578</v>
      </c>
      <c r="I336" s="318"/>
      <c r="J336" s="318">
        <v>2222</v>
      </c>
      <c r="K336" s="318">
        <v>2280</v>
      </c>
      <c r="L336" s="318">
        <f t="shared" si="175"/>
        <v>2328</v>
      </c>
      <c r="M336" s="318">
        <f t="shared" si="175"/>
        <v>2382</v>
      </c>
      <c r="N336" s="318">
        <f t="shared" si="175"/>
        <v>2437</v>
      </c>
      <c r="O336" s="318">
        <f t="shared" si="175"/>
        <v>2493</v>
      </c>
      <c r="Q336" s="633"/>
      <c r="V336" s="115"/>
    </row>
    <row r="337" spans="1:22" ht="12.75" customHeight="1" x14ac:dyDescent="0.25">
      <c r="A337" s="336">
        <v>630020</v>
      </c>
      <c r="B337" s="115" t="str">
        <f>G333</f>
        <v>Sportlaan 7 (zwembad de Dolfijn)</v>
      </c>
      <c r="D337" s="337">
        <v>43201</v>
      </c>
      <c r="E337" s="337"/>
      <c r="F337" s="337"/>
      <c r="G337" s="319" t="s">
        <v>3485</v>
      </c>
      <c r="I337" s="318"/>
      <c r="J337" s="318">
        <v>575</v>
      </c>
      <c r="K337" s="318">
        <v>590</v>
      </c>
      <c r="L337" s="318">
        <f>+L1238</f>
        <v>602</v>
      </c>
      <c r="M337" s="318">
        <f>+M1238</f>
        <v>616</v>
      </c>
      <c r="N337" s="318">
        <f>+N1238</f>
        <v>630</v>
      </c>
      <c r="O337" s="318">
        <f>+O1238</f>
        <v>644</v>
      </c>
      <c r="Q337" s="633"/>
      <c r="V337" s="115"/>
    </row>
    <row r="338" spans="1:22" ht="12.75" customHeight="1" x14ac:dyDescent="0.25">
      <c r="A338" s="336">
        <v>630020</v>
      </c>
      <c r="B338" s="115" t="str">
        <f>G333</f>
        <v>Sportlaan 7 (zwembad de Dolfijn)</v>
      </c>
      <c r="D338" s="337">
        <v>43511</v>
      </c>
      <c r="E338" s="337"/>
      <c r="F338" s="337"/>
      <c r="G338" s="319" t="s">
        <v>560</v>
      </c>
      <c r="I338" s="318"/>
      <c r="J338" s="318">
        <v>70821</v>
      </c>
      <c r="K338" s="318">
        <v>73013</v>
      </c>
      <c r="L338" s="318">
        <f>+L1228</f>
        <v>76225</v>
      </c>
      <c r="M338" s="318">
        <f>+M1228</f>
        <v>77981</v>
      </c>
      <c r="N338" s="318">
        <f>+N1228</f>
        <v>79801</v>
      </c>
      <c r="O338" s="318">
        <f>+O1228</f>
        <v>81688</v>
      </c>
      <c r="Q338" s="633"/>
      <c r="V338" s="115"/>
    </row>
    <row r="339" spans="1:22" ht="12.75" customHeight="1" x14ac:dyDescent="0.25">
      <c r="A339" s="336">
        <v>630020</v>
      </c>
      <c r="B339" s="115" t="str">
        <f>G333</f>
        <v>Sportlaan 7 (zwembad de Dolfijn)</v>
      </c>
      <c r="D339" s="337">
        <v>43511</v>
      </c>
      <c r="E339" s="337"/>
      <c r="F339" s="337"/>
      <c r="G339" s="319" t="s">
        <v>3486</v>
      </c>
      <c r="I339" s="318"/>
      <c r="J339" s="318">
        <v>3651</v>
      </c>
      <c r="K339" s="318">
        <v>3746</v>
      </c>
      <c r="L339" s="318">
        <f>+L1232</f>
        <v>3825</v>
      </c>
      <c r="M339" s="318">
        <f>+M1232</f>
        <v>3913</v>
      </c>
      <c r="N339" s="318">
        <f>+N1232</f>
        <v>4003</v>
      </c>
      <c r="O339" s="318">
        <f>+O1232</f>
        <v>4095</v>
      </c>
      <c r="Q339" s="633"/>
      <c r="V339" s="115"/>
    </row>
    <row r="340" spans="1:22" ht="12.75" customHeight="1" x14ac:dyDescent="0.25">
      <c r="A340" s="336">
        <v>630020</v>
      </c>
      <c r="B340" s="115" t="str">
        <f>G333</f>
        <v>Sportlaan 7 (zwembad de Dolfijn)</v>
      </c>
      <c r="D340" s="337">
        <v>43801</v>
      </c>
      <c r="E340" s="337"/>
      <c r="F340" s="337"/>
      <c r="G340" s="319" t="s">
        <v>996</v>
      </c>
      <c r="I340" s="318"/>
      <c r="J340" s="318">
        <v>9787</v>
      </c>
      <c r="K340" s="318">
        <v>10041</v>
      </c>
      <c r="L340" s="318">
        <f>+L1235</f>
        <v>10252</v>
      </c>
      <c r="M340" s="318">
        <f>+M1235</f>
        <v>10488</v>
      </c>
      <c r="N340" s="318">
        <f>+N1235</f>
        <v>10729</v>
      </c>
      <c r="O340" s="318">
        <f>+O1235</f>
        <v>10976</v>
      </c>
      <c r="Q340" s="633"/>
      <c r="V340" s="115"/>
    </row>
    <row r="341" spans="1:22" ht="12.75" customHeight="1" x14ac:dyDescent="0.25">
      <c r="A341" s="336">
        <v>630020</v>
      </c>
      <c r="B341" s="115" t="str">
        <f>G333</f>
        <v>Sportlaan 7 (zwembad de Dolfijn)</v>
      </c>
      <c r="D341" s="337">
        <v>43802</v>
      </c>
      <c r="E341" s="337"/>
      <c r="F341" s="337"/>
      <c r="G341" s="319" t="s">
        <v>991</v>
      </c>
      <c r="I341" s="318"/>
      <c r="J341" s="318">
        <v>13280</v>
      </c>
      <c r="K341" s="318">
        <v>13625</v>
      </c>
      <c r="L341" s="318">
        <f t="shared" ref="L341:O342" si="176">ROUND(K341*U$2,0)</f>
        <v>13911</v>
      </c>
      <c r="M341" s="318">
        <f t="shared" si="176"/>
        <v>14231</v>
      </c>
      <c r="N341" s="318">
        <f t="shared" si="176"/>
        <v>14558</v>
      </c>
      <c r="O341" s="318">
        <f t="shared" si="176"/>
        <v>14893</v>
      </c>
      <c r="Q341" s="633"/>
      <c r="V341" s="115"/>
    </row>
    <row r="342" spans="1:22" ht="12.75" customHeight="1" x14ac:dyDescent="0.25">
      <c r="A342" s="336">
        <v>630020</v>
      </c>
      <c r="B342" s="115" t="str">
        <f>G333</f>
        <v>Sportlaan 7 (zwembad de Dolfijn)</v>
      </c>
      <c r="D342" s="337">
        <v>43806</v>
      </c>
      <c r="E342" s="337"/>
      <c r="F342" s="337"/>
      <c r="G342" s="319" t="s">
        <v>980</v>
      </c>
      <c r="I342" s="318"/>
      <c r="J342" s="318">
        <v>1693</v>
      </c>
      <c r="K342" s="318">
        <v>1737</v>
      </c>
      <c r="L342" s="318">
        <f t="shared" si="176"/>
        <v>1773</v>
      </c>
      <c r="M342" s="318">
        <f t="shared" si="176"/>
        <v>1814</v>
      </c>
      <c r="N342" s="318">
        <f t="shared" si="176"/>
        <v>1856</v>
      </c>
      <c r="O342" s="318">
        <f t="shared" si="176"/>
        <v>1899</v>
      </c>
      <c r="Q342" s="633"/>
      <c r="V342" s="115"/>
    </row>
    <row r="343" spans="1:22" ht="12.75" customHeight="1" x14ac:dyDescent="0.25">
      <c r="A343" s="336">
        <v>630020</v>
      </c>
      <c r="B343" s="115" t="str">
        <f>G333</f>
        <v>Sportlaan 7 (zwembad de Dolfijn)</v>
      </c>
      <c r="D343" s="337">
        <v>43812</v>
      </c>
      <c r="E343" s="337"/>
      <c r="F343" s="337"/>
      <c r="G343" s="319" t="s">
        <v>535</v>
      </c>
      <c r="I343" s="318"/>
      <c r="J343" s="318">
        <v>21574</v>
      </c>
      <c r="K343" s="318">
        <v>22155</v>
      </c>
      <c r="L343" s="318">
        <f>+L1255</f>
        <v>22768</v>
      </c>
      <c r="M343" s="318">
        <f>+M1255</f>
        <v>23456</v>
      </c>
      <c r="N343" s="318">
        <f>+N1255</f>
        <v>24159</v>
      </c>
      <c r="O343" s="318">
        <f>+O1255</f>
        <v>24877</v>
      </c>
      <c r="Q343" s="633"/>
      <c r="V343" s="115"/>
    </row>
    <row r="344" spans="1:22" ht="12.75" customHeight="1" x14ac:dyDescent="0.25">
      <c r="A344" s="336">
        <v>630020</v>
      </c>
      <c r="B344" s="115" t="str">
        <f>+G333</f>
        <v>Sportlaan 7 (zwembad de Dolfijn)</v>
      </c>
      <c r="D344" s="337">
        <v>43817</v>
      </c>
      <c r="E344" s="337"/>
      <c r="F344" s="337"/>
      <c r="G344" s="319" t="s">
        <v>1835</v>
      </c>
      <c r="I344" s="318"/>
      <c r="J344" s="318">
        <v>6871</v>
      </c>
      <c r="K344" s="318">
        <v>7029</v>
      </c>
      <c r="L344" s="318">
        <f>+L1258</f>
        <v>7029</v>
      </c>
      <c r="M344" s="318">
        <f>+M1258</f>
        <v>7030</v>
      </c>
      <c r="N344" s="318">
        <f t="shared" ref="N344:O344" si="177">+N1258</f>
        <v>7030</v>
      </c>
      <c r="O344" s="318">
        <f t="shared" si="177"/>
        <v>7030</v>
      </c>
      <c r="Q344" s="633"/>
      <c r="V344" s="115"/>
    </row>
    <row r="345" spans="1:22" ht="12.75" customHeight="1" x14ac:dyDescent="0.25">
      <c r="A345" s="336">
        <v>630020</v>
      </c>
      <c r="B345" s="115" t="str">
        <f>G333</f>
        <v>Sportlaan 7 (zwembad de Dolfijn)</v>
      </c>
      <c r="D345" s="337">
        <v>47201</v>
      </c>
      <c r="E345" s="337"/>
      <c r="F345" s="337"/>
      <c r="G345" s="319" t="s">
        <v>3487</v>
      </c>
      <c r="I345" s="318"/>
      <c r="J345" s="317">
        <v>46933.692053375999</v>
      </c>
      <c r="K345" s="317">
        <v>78670.2386593509</v>
      </c>
      <c r="L345" s="317">
        <v>80471.037489746886</v>
      </c>
      <c r="M345" s="317">
        <v>82338.465876867514</v>
      </c>
      <c r="N345" s="317">
        <v>84274.989114311611</v>
      </c>
      <c r="O345" s="2095">
        <v>0</v>
      </c>
      <c r="Q345" s="633"/>
      <c r="V345" s="115"/>
    </row>
    <row r="346" spans="1:22" ht="12.75" customHeight="1" thickBot="1" x14ac:dyDescent="0.3">
      <c r="A346" s="336"/>
      <c r="D346" s="340"/>
      <c r="E346" s="340"/>
      <c r="F346" s="340"/>
      <c r="G346" s="319" t="s">
        <v>536</v>
      </c>
      <c r="I346" s="318"/>
      <c r="J346" s="480">
        <v>180844.692053376</v>
      </c>
      <c r="K346" s="480">
        <v>216412.2386593509</v>
      </c>
      <c r="L346" s="480">
        <f>SUM(L335:L345)</f>
        <v>222784.03748974687</v>
      </c>
      <c r="M346" s="480">
        <f>SUM(M335:M345)</f>
        <v>227932.46587686753</v>
      </c>
      <c r="N346" s="480">
        <f>SUM(N335:N345)</f>
        <v>233245.98911431161</v>
      </c>
      <c r="O346" s="480">
        <f>SUM(O335:O345)</f>
        <v>152450</v>
      </c>
      <c r="Q346" s="633"/>
      <c r="V346" s="115"/>
    </row>
    <row r="347" spans="1:22" ht="12.75" customHeight="1" thickTop="1" x14ac:dyDescent="0.25">
      <c r="A347" s="336"/>
      <c r="D347" s="340"/>
      <c r="E347" s="340"/>
      <c r="F347" s="340"/>
      <c r="G347" s="319"/>
      <c r="I347" s="318"/>
      <c r="J347" s="317"/>
      <c r="K347" s="317"/>
      <c r="L347" s="317"/>
      <c r="M347" s="317"/>
      <c r="N347" s="317"/>
      <c r="O347" s="317"/>
      <c r="Q347" s="633"/>
      <c r="V347" s="115"/>
    </row>
    <row r="348" spans="1:22" ht="12.75" customHeight="1" x14ac:dyDescent="0.25">
      <c r="A348" s="336"/>
      <c r="D348" s="340"/>
      <c r="E348" s="340"/>
      <c r="F348" s="340"/>
      <c r="G348" s="319"/>
      <c r="I348" s="318"/>
      <c r="J348" s="318"/>
      <c r="K348" s="318"/>
      <c r="L348" s="318"/>
      <c r="M348" s="318"/>
      <c r="N348" s="318"/>
      <c r="O348" s="318"/>
      <c r="Q348" s="633"/>
      <c r="V348" s="115"/>
    </row>
    <row r="349" spans="1:22" ht="12.75" customHeight="1" x14ac:dyDescent="0.25">
      <c r="A349" s="336"/>
      <c r="D349" s="347">
        <v>630022</v>
      </c>
      <c r="E349" s="476"/>
      <c r="F349" s="476"/>
      <c r="G349" s="332" t="s">
        <v>3488</v>
      </c>
      <c r="H349" s="381"/>
      <c r="I349" s="318"/>
      <c r="J349" s="318"/>
      <c r="K349" s="318"/>
      <c r="L349" s="318"/>
      <c r="M349" s="318"/>
      <c r="N349" s="318"/>
      <c r="O349" s="318"/>
      <c r="Q349" s="633"/>
      <c r="V349" s="115"/>
    </row>
    <row r="350" spans="1:22" s="458" customFormat="1" ht="12.75" customHeight="1" x14ac:dyDescent="0.25">
      <c r="A350" s="1024"/>
      <c r="D350" s="1076"/>
      <c r="E350" s="1077"/>
      <c r="F350" s="1077"/>
      <c r="G350" s="629" t="s">
        <v>3489</v>
      </c>
      <c r="I350" s="1078"/>
      <c r="J350" s="1079"/>
      <c r="K350" s="1079"/>
      <c r="L350" s="1079"/>
      <c r="M350" s="1079"/>
      <c r="N350" s="1079"/>
      <c r="O350" s="1079"/>
      <c r="P350" s="1729"/>
      <c r="Q350" s="49"/>
      <c r="R350" s="49"/>
      <c r="S350" s="49"/>
      <c r="T350" s="49"/>
      <c r="U350" s="49"/>
      <c r="V350" s="50"/>
    </row>
    <row r="351" spans="1:22" s="458" customFormat="1" ht="12.75" customHeight="1" x14ac:dyDescent="0.25">
      <c r="A351" s="1024"/>
      <c r="D351" s="1080"/>
      <c r="E351" s="1080"/>
      <c r="F351" s="1080"/>
      <c r="G351" s="1081" t="s">
        <v>2719</v>
      </c>
      <c r="I351" s="1078"/>
      <c r="J351" s="1079"/>
      <c r="K351" s="1079"/>
      <c r="L351" s="1079"/>
      <c r="M351" s="1079"/>
      <c r="N351" s="1079"/>
      <c r="O351" s="1079"/>
      <c r="P351" s="1729"/>
      <c r="Q351" s="49"/>
      <c r="R351" s="49"/>
      <c r="S351" s="49"/>
      <c r="T351" s="49"/>
      <c r="U351" s="49"/>
      <c r="V351" s="50"/>
    </row>
    <row r="352" spans="1:22" s="458" customFormat="1" ht="12.75" customHeight="1" x14ac:dyDescent="0.25">
      <c r="A352" s="1082">
        <f>+D349</f>
        <v>630022</v>
      </c>
      <c r="B352" s="1029" t="str">
        <f>G350</f>
        <v>Machines en vervangen kleine machines sportparken</v>
      </c>
      <c r="C352" s="1025"/>
      <c r="D352" s="1030">
        <v>42100</v>
      </c>
      <c r="E352" s="1030"/>
      <c r="F352" s="1030"/>
      <c r="G352" s="1031" t="s">
        <v>1840</v>
      </c>
      <c r="H352" s="1025"/>
      <c r="I352" s="1026"/>
      <c r="J352" s="318">
        <v>2048</v>
      </c>
      <c r="K352" s="318">
        <v>2101</v>
      </c>
      <c r="L352" s="318">
        <f t="shared" ref="L352:O355" si="178">ROUND(K352*U$2,0)</f>
        <v>2145</v>
      </c>
      <c r="M352" s="318">
        <f t="shared" si="178"/>
        <v>2194</v>
      </c>
      <c r="N352" s="318">
        <f t="shared" si="178"/>
        <v>2244</v>
      </c>
      <c r="O352" s="318">
        <f t="shared" si="178"/>
        <v>2296</v>
      </c>
      <c r="P352" s="1729"/>
      <c r="Q352" s="49"/>
      <c r="R352" s="49"/>
      <c r="S352" s="49"/>
      <c r="T352" s="49"/>
      <c r="U352" s="49"/>
      <c r="V352" s="50"/>
    </row>
    <row r="353" spans="1:23" s="458" customFormat="1" ht="12.75" customHeight="1" x14ac:dyDescent="0.25">
      <c r="A353" s="1082">
        <f>+D349</f>
        <v>630022</v>
      </c>
      <c r="B353" s="1029" t="str">
        <f>G350</f>
        <v>Machines en vervangen kleine machines sportparken</v>
      </c>
      <c r="C353" s="1025"/>
      <c r="D353" s="1030">
        <v>43803</v>
      </c>
      <c r="E353" s="1030"/>
      <c r="F353" s="1030"/>
      <c r="G353" s="1031" t="s">
        <v>1831</v>
      </c>
      <c r="H353" s="1025"/>
      <c r="I353" s="1026"/>
      <c r="J353" s="318">
        <v>4064</v>
      </c>
      <c r="K353" s="318">
        <v>4170</v>
      </c>
      <c r="L353" s="318">
        <f t="shared" si="178"/>
        <v>4258</v>
      </c>
      <c r="M353" s="318">
        <f t="shared" si="178"/>
        <v>4356</v>
      </c>
      <c r="N353" s="318">
        <f t="shared" si="178"/>
        <v>4456</v>
      </c>
      <c r="O353" s="318">
        <f t="shared" si="178"/>
        <v>4558</v>
      </c>
      <c r="P353" s="1729"/>
      <c r="Q353" s="49"/>
      <c r="R353" s="49"/>
      <c r="S353" s="49"/>
      <c r="T353" s="49"/>
      <c r="U353" s="49"/>
      <c r="V353" s="50"/>
    </row>
    <row r="354" spans="1:23" s="458" customFormat="1" ht="12.75" customHeight="1" x14ac:dyDescent="0.25">
      <c r="A354" s="1082">
        <f>A353</f>
        <v>630022</v>
      </c>
      <c r="B354" s="1029" t="str">
        <f>B353</f>
        <v>Machines en vervangen kleine machines sportparken</v>
      </c>
      <c r="C354" s="1025"/>
      <c r="D354" s="1030">
        <v>43805</v>
      </c>
      <c r="E354" s="1030"/>
      <c r="F354" s="1030"/>
      <c r="G354" s="1031" t="s">
        <v>5328</v>
      </c>
      <c r="H354" s="1025"/>
      <c r="I354" s="1026"/>
      <c r="J354" s="318">
        <f>J1284</f>
        <v>0</v>
      </c>
      <c r="K354" s="318">
        <f t="shared" ref="K354:O354" si="179">K1284</f>
        <v>11738</v>
      </c>
      <c r="L354" s="318">
        <f t="shared" si="179"/>
        <v>2348</v>
      </c>
      <c r="M354" s="318">
        <f t="shared" si="179"/>
        <v>0</v>
      </c>
      <c r="N354" s="318">
        <f t="shared" si="179"/>
        <v>0</v>
      </c>
      <c r="O354" s="318">
        <f t="shared" si="179"/>
        <v>0</v>
      </c>
      <c r="P354" s="1729"/>
      <c r="Q354" s="49"/>
      <c r="R354" s="49"/>
      <c r="S354" s="49"/>
      <c r="T354" s="49"/>
      <c r="U354" s="49"/>
      <c r="V354" s="50"/>
    </row>
    <row r="355" spans="1:23" s="458" customFormat="1" ht="12.75" customHeight="1" x14ac:dyDescent="0.25">
      <c r="A355" s="1082">
        <f>+D349</f>
        <v>630022</v>
      </c>
      <c r="B355" s="1029" t="str">
        <f>G350</f>
        <v>Machines en vervangen kleine machines sportparken</v>
      </c>
      <c r="C355" s="1025"/>
      <c r="D355" s="1030">
        <v>43806</v>
      </c>
      <c r="E355" s="1030"/>
      <c r="F355" s="1030"/>
      <c r="G355" s="1031" t="s">
        <v>1882</v>
      </c>
      <c r="H355" s="1025"/>
      <c r="I355" s="1026"/>
      <c r="J355" s="318">
        <v>4407</v>
      </c>
      <c r="K355" s="318">
        <v>4522</v>
      </c>
      <c r="L355" s="318">
        <f t="shared" si="178"/>
        <v>4617</v>
      </c>
      <c r="M355" s="318">
        <f t="shared" si="178"/>
        <v>4723</v>
      </c>
      <c r="N355" s="318">
        <f t="shared" si="178"/>
        <v>4832</v>
      </c>
      <c r="O355" s="318">
        <f t="shared" si="178"/>
        <v>4943</v>
      </c>
      <c r="P355" s="1729"/>
      <c r="Q355" s="49"/>
      <c r="R355" s="49"/>
      <c r="S355" s="49"/>
      <c r="T355" s="49"/>
      <c r="U355" s="49"/>
      <c r="V355" s="50"/>
    </row>
    <row r="356" spans="1:23" s="458" customFormat="1" ht="12.75" customHeight="1" x14ac:dyDescent="0.25">
      <c r="A356" s="1082">
        <f>+D349</f>
        <v>630022</v>
      </c>
      <c r="B356" s="1029" t="str">
        <f>G350</f>
        <v>Machines en vervangen kleine machines sportparken</v>
      </c>
      <c r="C356" s="1025"/>
      <c r="D356" s="1030">
        <v>43812</v>
      </c>
      <c r="E356" s="1030"/>
      <c r="F356" s="1030"/>
      <c r="G356" s="1031" t="s">
        <v>535</v>
      </c>
      <c r="H356" s="1025"/>
      <c r="I356" s="1026"/>
      <c r="J356" s="1026">
        <v>6237</v>
      </c>
      <c r="K356" s="1026">
        <v>6399</v>
      </c>
      <c r="L356" s="1026">
        <f>L1290</f>
        <v>6533</v>
      </c>
      <c r="M356" s="1026">
        <f>M1290</f>
        <v>6683</v>
      </c>
      <c r="N356" s="1026">
        <f t="shared" ref="N356:O356" si="180">N1290</f>
        <v>6837</v>
      </c>
      <c r="O356" s="1026">
        <f t="shared" si="180"/>
        <v>6994</v>
      </c>
      <c r="P356" s="1729"/>
      <c r="Q356" s="49"/>
      <c r="R356" s="49"/>
      <c r="S356" s="49"/>
      <c r="T356" s="49"/>
      <c r="U356" s="49"/>
      <c r="V356" s="50"/>
    </row>
    <row r="357" spans="1:23" s="458" customFormat="1" ht="12.75" customHeight="1" x14ac:dyDescent="0.25">
      <c r="A357" s="1082">
        <f>+D349</f>
        <v>630022</v>
      </c>
      <c r="B357" s="1029" t="str">
        <f>G350</f>
        <v>Machines en vervangen kleine machines sportparken</v>
      </c>
      <c r="C357" s="1025"/>
      <c r="D357" s="1030">
        <v>47300</v>
      </c>
      <c r="E357" s="1030"/>
      <c r="F357" s="1030"/>
      <c r="G357" s="1031" t="s">
        <v>1033</v>
      </c>
      <c r="H357" s="1025"/>
      <c r="I357" s="1026"/>
      <c r="J357" s="1027">
        <v>0</v>
      </c>
      <c r="K357" s="1027">
        <v>0</v>
      </c>
      <c r="L357" s="1027">
        <v>0</v>
      </c>
      <c r="M357" s="1027">
        <v>0</v>
      </c>
      <c r="N357" s="1027">
        <v>0</v>
      </c>
      <c r="O357" s="1027">
        <v>0</v>
      </c>
      <c r="P357" s="1729"/>
      <c r="Q357" s="49"/>
      <c r="R357" s="49"/>
      <c r="S357" s="49"/>
      <c r="T357" s="49"/>
      <c r="U357" s="49"/>
      <c r="V357" s="50"/>
    </row>
    <row r="358" spans="1:23" s="458" customFormat="1" ht="12.75" customHeight="1" x14ac:dyDescent="0.25">
      <c r="A358" s="1082"/>
      <c r="B358" s="1025"/>
      <c r="C358" s="1025"/>
      <c r="D358" s="1028"/>
      <c r="E358" s="1028"/>
      <c r="F358" s="1028"/>
      <c r="G358" s="693" t="s">
        <v>536</v>
      </c>
      <c r="H358" s="721"/>
      <c r="I358" s="1032"/>
      <c r="J358" s="1897">
        <f>SUM(J352:J357)</f>
        <v>16756</v>
      </c>
      <c r="K358" s="1897">
        <f t="shared" ref="K358:O358" si="181">SUM(K352:K357)</f>
        <v>28930</v>
      </c>
      <c r="L358" s="1897">
        <f t="shared" si="181"/>
        <v>19901</v>
      </c>
      <c r="M358" s="1897">
        <f t="shared" si="181"/>
        <v>17956</v>
      </c>
      <c r="N358" s="1897">
        <f t="shared" si="181"/>
        <v>18369</v>
      </c>
      <c r="O358" s="1897">
        <f t="shared" si="181"/>
        <v>18791</v>
      </c>
      <c r="P358" s="1730"/>
      <c r="Q358" s="49"/>
      <c r="R358" s="49"/>
      <c r="S358" s="49"/>
      <c r="T358" s="49"/>
      <c r="U358" s="49"/>
      <c r="V358" s="50"/>
    </row>
    <row r="359" spans="1:23" ht="12.75" customHeight="1" x14ac:dyDescent="0.25">
      <c r="A359" s="336"/>
      <c r="D359" s="340"/>
      <c r="E359" s="340"/>
      <c r="F359" s="340"/>
      <c r="G359" s="319"/>
      <c r="I359" s="318"/>
      <c r="J359" s="318"/>
      <c r="K359" s="318"/>
      <c r="L359" s="318"/>
      <c r="M359" s="318"/>
      <c r="N359" s="318"/>
      <c r="O359" s="318"/>
      <c r="Q359" s="633"/>
      <c r="V359" s="115"/>
    </row>
    <row r="360" spans="1:23" ht="12.75" customHeight="1" x14ac:dyDescent="0.25">
      <c r="A360" s="336"/>
      <c r="D360" s="340"/>
      <c r="E360" s="340"/>
      <c r="F360" s="340"/>
      <c r="G360" s="319"/>
      <c r="I360" s="318"/>
      <c r="J360" s="318"/>
      <c r="K360" s="318"/>
      <c r="L360" s="318"/>
      <c r="M360" s="318"/>
      <c r="N360" s="318"/>
      <c r="O360" s="318"/>
      <c r="Q360" s="633"/>
      <c r="V360" s="115"/>
    </row>
    <row r="361" spans="1:23" ht="12.75" customHeight="1" x14ac:dyDescent="0.25">
      <c r="A361" s="336"/>
      <c r="D361" s="347">
        <v>630023</v>
      </c>
      <c r="E361" s="476"/>
      <c r="F361" s="476"/>
      <c r="G361" s="332" t="s">
        <v>3453</v>
      </c>
      <c r="H361" s="381"/>
      <c r="I361" s="318"/>
      <c r="J361" s="318"/>
      <c r="K361" s="318"/>
      <c r="L361" s="318"/>
      <c r="M361" s="318"/>
      <c r="N361" s="318"/>
      <c r="O361" s="318"/>
      <c r="Q361" s="633"/>
      <c r="R361" s="1069">
        <v>2025</v>
      </c>
      <c r="S361" s="1069">
        <v>2026</v>
      </c>
      <c r="T361" s="1069">
        <v>2027</v>
      </c>
      <c r="U361" s="1069">
        <v>2028</v>
      </c>
      <c r="V361" s="1069">
        <v>2029</v>
      </c>
      <c r="W361" s="2111">
        <v>2030</v>
      </c>
    </row>
    <row r="362" spans="1:23" ht="12.75" customHeight="1" x14ac:dyDescent="0.25">
      <c r="A362" s="336"/>
      <c r="D362" s="340"/>
      <c r="E362" s="340"/>
      <c r="F362" s="340"/>
      <c r="G362" s="332" t="s">
        <v>2842</v>
      </c>
      <c r="I362" s="318"/>
      <c r="J362" s="318"/>
      <c r="K362" s="318"/>
      <c r="L362" s="318"/>
      <c r="M362" s="318"/>
      <c r="N362" s="318"/>
      <c r="O362" s="318"/>
      <c r="Q362" s="633"/>
      <c r="V362" s="115"/>
      <c r="W362" s="358"/>
    </row>
    <row r="363" spans="1:23" ht="12.75" customHeight="1" x14ac:dyDescent="0.25">
      <c r="A363" s="336">
        <f>+D361</f>
        <v>630023</v>
      </c>
      <c r="B363" s="115" t="str">
        <f>+G361</f>
        <v>Doorbelaste overhead</v>
      </c>
      <c r="D363" s="340">
        <v>42100</v>
      </c>
      <c r="E363" s="340"/>
      <c r="F363" s="340"/>
      <c r="G363" s="319" t="s">
        <v>978</v>
      </c>
      <c r="I363" s="318"/>
      <c r="J363" s="318">
        <v>2415.6999999999998</v>
      </c>
      <c r="K363" s="318">
        <v>2483.27</v>
      </c>
      <c r="L363" s="318">
        <f t="shared" ref="L363:L377" si="182">-T363</f>
        <v>2552.87</v>
      </c>
      <c r="M363" s="318">
        <f t="shared" ref="M363:M377" si="183">-U363</f>
        <v>2624.21</v>
      </c>
      <c r="N363" s="318">
        <f t="shared" ref="N363:O377" si="184">-V363</f>
        <v>2697.58</v>
      </c>
      <c r="O363" s="2114">
        <f t="shared" si="184"/>
        <v>2624.21</v>
      </c>
      <c r="Q363" s="633"/>
      <c r="R363" s="1083">
        <v>-2415.6999999999998</v>
      </c>
      <c r="S363" s="1083">
        <v>-2483.27</v>
      </c>
      <c r="T363" s="1083">
        <v>-2552.87</v>
      </c>
      <c r="U363" s="1083">
        <v>-2624.21</v>
      </c>
      <c r="V363" s="1084">
        <v>-2697.58</v>
      </c>
      <c r="W363" s="358">
        <v>-2624.21</v>
      </c>
    </row>
    <row r="364" spans="1:23" ht="12.75" customHeight="1" x14ac:dyDescent="0.25">
      <c r="A364" s="336">
        <v>630023</v>
      </c>
      <c r="B364" s="115" t="s">
        <v>3453</v>
      </c>
      <c r="D364" s="340">
        <v>42100</v>
      </c>
      <c r="E364" s="340"/>
      <c r="F364" s="340"/>
      <c r="G364" s="319" t="s">
        <v>979</v>
      </c>
      <c r="I364" s="318"/>
      <c r="J364" s="318">
        <v>412.38</v>
      </c>
      <c r="K364" s="318">
        <v>423.97999999999996</v>
      </c>
      <c r="L364" s="318">
        <f t="shared" si="182"/>
        <v>435.86999999999995</v>
      </c>
      <c r="M364" s="318">
        <f t="shared" si="183"/>
        <v>448.04999999999995</v>
      </c>
      <c r="N364" s="318">
        <f t="shared" si="184"/>
        <v>460.52</v>
      </c>
      <c r="O364" s="2114">
        <f t="shared" si="184"/>
        <v>448.04999999999995</v>
      </c>
      <c r="Q364" s="633"/>
      <c r="R364" s="1083">
        <v>-412.38</v>
      </c>
      <c r="S364" s="1083">
        <v>-423.97999999999996</v>
      </c>
      <c r="T364" s="1083">
        <v>-435.86999999999995</v>
      </c>
      <c r="U364" s="1083">
        <v>-448.04999999999995</v>
      </c>
      <c r="V364" s="1084">
        <v>-460.52</v>
      </c>
      <c r="W364" s="358">
        <v>-448.04999999999995</v>
      </c>
    </row>
    <row r="365" spans="1:23" ht="12.75" customHeight="1" x14ac:dyDescent="0.25">
      <c r="A365" s="336">
        <v>630023</v>
      </c>
      <c r="B365" s="115" t="s">
        <v>3453</v>
      </c>
      <c r="D365" s="340">
        <v>42100</v>
      </c>
      <c r="E365" s="340"/>
      <c r="F365" s="340"/>
      <c r="G365" s="319" t="s">
        <v>1578</v>
      </c>
      <c r="I365" s="318"/>
      <c r="J365" s="318">
        <v>55.099999999999994</v>
      </c>
      <c r="K365" s="318">
        <v>56.55</v>
      </c>
      <c r="L365" s="318">
        <f t="shared" si="182"/>
        <v>57.999999999999993</v>
      </c>
      <c r="M365" s="318">
        <f t="shared" si="183"/>
        <v>59.739999999999995</v>
      </c>
      <c r="N365" s="318">
        <f t="shared" si="184"/>
        <v>61.48</v>
      </c>
      <c r="O365" s="2114">
        <f t="shared" si="184"/>
        <v>59.739999999999995</v>
      </c>
      <c r="Q365" s="633"/>
      <c r="R365" s="1083">
        <v>-55.099999999999994</v>
      </c>
      <c r="S365" s="1083">
        <v>-56.55</v>
      </c>
      <c r="T365" s="1083">
        <v>-57.999999999999993</v>
      </c>
      <c r="U365" s="1083">
        <v>-59.739999999999995</v>
      </c>
      <c r="V365" s="1084">
        <v>-61.48</v>
      </c>
      <c r="W365" s="358">
        <v>-59.739999999999995</v>
      </c>
    </row>
    <row r="366" spans="1:23" ht="12.75" customHeight="1" x14ac:dyDescent="0.25">
      <c r="A366" s="336">
        <v>630023</v>
      </c>
      <c r="B366" s="115" t="s">
        <v>3453</v>
      </c>
      <c r="D366" s="340">
        <v>43511</v>
      </c>
      <c r="E366" s="340"/>
      <c r="F366" s="340"/>
      <c r="G366" s="319" t="s">
        <v>560</v>
      </c>
      <c r="I366" s="318"/>
      <c r="J366" s="318">
        <v>5823.49</v>
      </c>
      <c r="K366" s="318">
        <v>5975.74</v>
      </c>
      <c r="L366" s="318">
        <f t="shared" si="182"/>
        <v>6106.24</v>
      </c>
      <c r="M366" s="318">
        <f t="shared" si="183"/>
        <v>6239.6399999999994</v>
      </c>
      <c r="N366" s="318">
        <f t="shared" si="184"/>
        <v>6376.4126999999999</v>
      </c>
      <c r="O366" s="2114">
        <f t="shared" si="184"/>
        <v>6233.5499999999993</v>
      </c>
      <c r="Q366" s="633"/>
      <c r="R366" s="1083">
        <v>-5823.49</v>
      </c>
      <c r="S366" s="1083">
        <v>-5975.74</v>
      </c>
      <c r="T366" s="1083">
        <v>-6106.24</v>
      </c>
      <c r="U366" s="1083">
        <v>-6239.6399999999994</v>
      </c>
      <c r="V366" s="1084">
        <v>-6376.4126999999999</v>
      </c>
      <c r="W366" s="358">
        <v>-6233.5499999999993</v>
      </c>
    </row>
    <row r="367" spans="1:23" ht="12.75" customHeight="1" x14ac:dyDescent="0.25">
      <c r="A367" s="336">
        <v>630023</v>
      </c>
      <c r="B367" s="115" t="s">
        <v>3453</v>
      </c>
      <c r="D367" s="340">
        <v>43801</v>
      </c>
      <c r="E367" s="340"/>
      <c r="F367" s="340"/>
      <c r="G367" s="319" t="s">
        <v>996</v>
      </c>
      <c r="I367" s="318"/>
      <c r="J367" s="318">
        <v>2094.67</v>
      </c>
      <c r="K367" s="318">
        <v>2153.25</v>
      </c>
      <c r="L367" s="318">
        <f t="shared" si="182"/>
        <v>2213.5699999999997</v>
      </c>
      <c r="M367" s="318">
        <f t="shared" si="183"/>
        <v>2275.6299999999997</v>
      </c>
      <c r="N367" s="318">
        <f t="shared" si="184"/>
        <v>2339.4299999999998</v>
      </c>
      <c r="O367" s="2114">
        <f t="shared" si="184"/>
        <v>2275.6299999999997</v>
      </c>
      <c r="Q367" s="633"/>
      <c r="R367" s="1083">
        <v>-2094.67</v>
      </c>
      <c r="S367" s="1083">
        <v>-2153.25</v>
      </c>
      <c r="T367" s="1083">
        <v>-2213.5699999999997</v>
      </c>
      <c r="U367" s="1083">
        <v>-2275.6299999999997</v>
      </c>
      <c r="V367" s="1084">
        <v>-2339.4299999999998</v>
      </c>
      <c r="W367" s="358">
        <v>-2275.6299999999997</v>
      </c>
    </row>
    <row r="368" spans="1:23" ht="12.75" customHeight="1" x14ac:dyDescent="0.25">
      <c r="A368" s="336">
        <v>630023</v>
      </c>
      <c r="B368" s="115" t="s">
        <v>3453</v>
      </c>
      <c r="D368" s="340">
        <v>43802</v>
      </c>
      <c r="E368" s="340"/>
      <c r="F368" s="340"/>
      <c r="G368" s="319" t="s">
        <v>991</v>
      </c>
      <c r="I368" s="318"/>
      <c r="J368" s="318">
        <v>194.29999999999998</v>
      </c>
      <c r="K368" s="318">
        <v>199.80999999999997</v>
      </c>
      <c r="L368" s="318">
        <f t="shared" si="182"/>
        <v>205.32</v>
      </c>
      <c r="M368" s="318">
        <f t="shared" si="183"/>
        <v>211.11999999999998</v>
      </c>
      <c r="N368" s="318">
        <f t="shared" si="184"/>
        <v>216.92</v>
      </c>
      <c r="O368" s="2114">
        <f t="shared" si="184"/>
        <v>211.11999999999998</v>
      </c>
      <c r="Q368" s="633"/>
      <c r="R368" s="1083">
        <v>-194.29999999999998</v>
      </c>
      <c r="S368" s="1083">
        <v>-199.80999999999997</v>
      </c>
      <c r="T368" s="1083">
        <v>-205.32</v>
      </c>
      <c r="U368" s="1083">
        <v>-211.11999999999998</v>
      </c>
      <c r="V368" s="1084">
        <v>-216.92</v>
      </c>
      <c r="W368" s="358">
        <v>-211.11999999999998</v>
      </c>
    </row>
    <row r="369" spans="1:23" ht="12.75" customHeight="1" x14ac:dyDescent="0.25">
      <c r="A369" s="336">
        <v>630023</v>
      </c>
      <c r="B369" s="115" t="s">
        <v>3453</v>
      </c>
      <c r="D369" s="340">
        <v>43803</v>
      </c>
      <c r="E369" s="340"/>
      <c r="F369" s="340"/>
      <c r="G369" s="319" t="s">
        <v>1831</v>
      </c>
      <c r="I369" s="318"/>
      <c r="J369" s="318">
        <v>107.88</v>
      </c>
      <c r="K369" s="318">
        <v>110.77999999999999</v>
      </c>
      <c r="L369" s="318">
        <f t="shared" si="182"/>
        <v>113.97</v>
      </c>
      <c r="M369" s="318">
        <f t="shared" si="183"/>
        <v>117.16</v>
      </c>
      <c r="N369" s="318">
        <f t="shared" si="184"/>
        <v>120.35</v>
      </c>
      <c r="O369" s="2114">
        <f t="shared" si="184"/>
        <v>117.16</v>
      </c>
      <c r="Q369" s="633"/>
      <c r="R369" s="1083">
        <v>-107.88</v>
      </c>
      <c r="S369" s="1083">
        <v>-110.77999999999999</v>
      </c>
      <c r="T369" s="1083">
        <v>-113.97</v>
      </c>
      <c r="U369" s="1083">
        <v>-117.16</v>
      </c>
      <c r="V369" s="1084">
        <v>-120.35</v>
      </c>
      <c r="W369" s="358">
        <v>-117.16</v>
      </c>
    </row>
    <row r="370" spans="1:23" ht="12.75" customHeight="1" x14ac:dyDescent="0.25">
      <c r="A370" s="336">
        <v>630023</v>
      </c>
      <c r="B370" s="115" t="s">
        <v>3453</v>
      </c>
      <c r="D370" s="340">
        <v>43806</v>
      </c>
      <c r="E370" s="340"/>
      <c r="F370" s="340"/>
      <c r="G370" s="319" t="s">
        <v>1832</v>
      </c>
      <c r="I370" s="318"/>
      <c r="J370" s="318">
        <v>158.33999999999997</v>
      </c>
      <c r="K370" s="318">
        <v>162.69</v>
      </c>
      <c r="L370" s="318">
        <f t="shared" si="182"/>
        <v>167.32999999999998</v>
      </c>
      <c r="M370" s="318">
        <f t="shared" si="183"/>
        <v>171.97</v>
      </c>
      <c r="N370" s="318">
        <f t="shared" si="184"/>
        <v>176.89999999999998</v>
      </c>
      <c r="O370" s="2114">
        <f t="shared" si="184"/>
        <v>171.97</v>
      </c>
      <c r="Q370" s="633"/>
      <c r="R370" s="1083">
        <v>-158.33999999999997</v>
      </c>
      <c r="S370" s="1083">
        <v>-162.69</v>
      </c>
      <c r="T370" s="1083">
        <v>-167.32999999999998</v>
      </c>
      <c r="U370" s="1083">
        <v>-171.97</v>
      </c>
      <c r="V370" s="1084">
        <v>-176.89999999999998</v>
      </c>
      <c r="W370" s="358">
        <v>-171.97</v>
      </c>
    </row>
    <row r="371" spans="1:23" ht="12.75" customHeight="1" x14ac:dyDescent="0.25">
      <c r="A371" s="336">
        <v>630023</v>
      </c>
      <c r="B371" s="115" t="s">
        <v>3453</v>
      </c>
      <c r="D371" s="340">
        <v>43806</v>
      </c>
      <c r="E371" s="340"/>
      <c r="F371" s="340"/>
      <c r="G371" s="319" t="s">
        <v>1833</v>
      </c>
      <c r="I371" s="318"/>
      <c r="J371" s="318">
        <v>117.16</v>
      </c>
      <c r="K371" s="318">
        <v>120.35</v>
      </c>
      <c r="L371" s="318">
        <f t="shared" si="182"/>
        <v>123.83</v>
      </c>
      <c r="M371" s="318">
        <f t="shared" si="183"/>
        <v>127.30999999999999</v>
      </c>
      <c r="N371" s="318">
        <f t="shared" si="184"/>
        <v>130.79</v>
      </c>
      <c r="O371" s="2114">
        <f t="shared" si="184"/>
        <v>127.30999999999999</v>
      </c>
      <c r="Q371" s="633"/>
      <c r="R371" s="1083">
        <v>-117.16</v>
      </c>
      <c r="S371" s="1083">
        <v>-120.35</v>
      </c>
      <c r="T371" s="1083">
        <v>-123.83</v>
      </c>
      <c r="U371" s="1083">
        <v>-127.30999999999999</v>
      </c>
      <c r="V371" s="1084">
        <v>-130.79</v>
      </c>
      <c r="W371" s="358">
        <v>-127.30999999999999</v>
      </c>
    </row>
    <row r="372" spans="1:23" ht="12.75" customHeight="1" x14ac:dyDescent="0.25">
      <c r="A372" s="336">
        <v>630023</v>
      </c>
      <c r="B372" s="115" t="s">
        <v>3453</v>
      </c>
      <c r="D372" s="340">
        <v>43806</v>
      </c>
      <c r="E372" s="340"/>
      <c r="F372" s="340"/>
      <c r="G372" s="319" t="s">
        <v>980</v>
      </c>
      <c r="I372" s="318"/>
      <c r="J372" s="318">
        <v>1051.54</v>
      </c>
      <c r="K372" s="318">
        <v>1081.1199999999999</v>
      </c>
      <c r="L372" s="318">
        <f t="shared" si="182"/>
        <v>1111.28</v>
      </c>
      <c r="M372" s="318">
        <f t="shared" si="183"/>
        <v>1142.31</v>
      </c>
      <c r="N372" s="318">
        <f t="shared" si="184"/>
        <v>1174.2099999999998</v>
      </c>
      <c r="O372" s="2114">
        <f t="shared" si="184"/>
        <v>1142.31</v>
      </c>
      <c r="Q372" s="633"/>
      <c r="R372" s="1083">
        <v>-1051.54</v>
      </c>
      <c r="S372" s="1083">
        <v>-1081.1199999999999</v>
      </c>
      <c r="T372" s="1083">
        <v>-1111.28</v>
      </c>
      <c r="U372" s="1083">
        <v>-1142.31</v>
      </c>
      <c r="V372" s="1084">
        <v>-1174.2099999999998</v>
      </c>
      <c r="W372" s="358">
        <v>-1142.31</v>
      </c>
    </row>
    <row r="373" spans="1:23" ht="12.75" customHeight="1" x14ac:dyDescent="0.25">
      <c r="A373" s="336">
        <v>630023</v>
      </c>
      <c r="B373" s="115" t="s">
        <v>3453</v>
      </c>
      <c r="D373" s="340">
        <v>43812</v>
      </c>
      <c r="E373" s="340"/>
      <c r="F373" s="340"/>
      <c r="G373" s="319" t="s">
        <v>535</v>
      </c>
      <c r="I373" s="318"/>
      <c r="J373" s="318">
        <v>4241.83</v>
      </c>
      <c r="K373" s="318">
        <v>4352.03</v>
      </c>
      <c r="L373" s="318">
        <f t="shared" si="182"/>
        <v>4447.7299999999996</v>
      </c>
      <c r="M373" s="318">
        <f t="shared" si="183"/>
        <v>4545.46</v>
      </c>
      <c r="N373" s="318">
        <f t="shared" si="184"/>
        <v>4645.5099999999993</v>
      </c>
      <c r="O373" s="2114">
        <f t="shared" si="184"/>
        <v>4541.1099999999997</v>
      </c>
      <c r="Q373" s="633"/>
      <c r="R373" s="1083">
        <v>-4241.83</v>
      </c>
      <c r="S373" s="1083">
        <v>-4352.03</v>
      </c>
      <c r="T373" s="1083">
        <v>-4447.7299999999996</v>
      </c>
      <c r="U373" s="1083">
        <v>-4545.46</v>
      </c>
      <c r="V373" s="1084">
        <v>-4645.5099999999993</v>
      </c>
      <c r="W373" s="358">
        <v>-4541.1099999999997</v>
      </c>
    </row>
    <row r="374" spans="1:23" ht="12.75" customHeight="1" x14ac:dyDescent="0.25">
      <c r="A374" s="336">
        <v>630023</v>
      </c>
      <c r="B374" s="115" t="s">
        <v>3453</v>
      </c>
      <c r="D374" s="340">
        <v>43814</v>
      </c>
      <c r="E374" s="340"/>
      <c r="F374" s="340"/>
      <c r="G374" s="319" t="s">
        <v>1834</v>
      </c>
      <c r="I374" s="318"/>
      <c r="J374" s="318">
        <v>0</v>
      </c>
      <c r="K374" s="318">
        <v>0</v>
      </c>
      <c r="L374" s="318">
        <f t="shared" si="182"/>
        <v>0</v>
      </c>
      <c r="M374" s="318">
        <f t="shared" si="183"/>
        <v>0</v>
      </c>
      <c r="N374" s="318">
        <f t="shared" si="184"/>
        <v>0</v>
      </c>
      <c r="O374" s="2114">
        <f t="shared" si="184"/>
        <v>0</v>
      </c>
      <c r="Q374" s="633"/>
      <c r="R374" s="1083">
        <v>0</v>
      </c>
      <c r="S374" s="1083">
        <v>0</v>
      </c>
      <c r="T374" s="1083">
        <v>0</v>
      </c>
      <c r="U374" s="1083">
        <v>0</v>
      </c>
      <c r="V374" s="1084">
        <v>0</v>
      </c>
      <c r="W374" s="358">
        <v>0</v>
      </c>
    </row>
    <row r="375" spans="1:23" ht="12.75" customHeight="1" x14ac:dyDescent="0.25">
      <c r="A375" s="336">
        <v>630023</v>
      </c>
      <c r="B375" s="115" t="s">
        <v>3453</v>
      </c>
      <c r="D375" s="340">
        <v>43817</v>
      </c>
      <c r="E375" s="340"/>
      <c r="F375" s="340"/>
      <c r="G375" s="319" t="s">
        <v>1835</v>
      </c>
      <c r="I375" s="318"/>
      <c r="J375" s="318">
        <v>7356.7199999999993</v>
      </c>
      <c r="K375" s="318">
        <v>7548.12</v>
      </c>
      <c r="L375" s="318">
        <f t="shared" si="182"/>
        <v>7714.2899999999991</v>
      </c>
      <c r="M375" s="318">
        <f t="shared" si="183"/>
        <v>7883.94</v>
      </c>
      <c r="N375" s="318">
        <f t="shared" si="184"/>
        <v>8057.36</v>
      </c>
      <c r="O375" s="2114">
        <f t="shared" si="184"/>
        <v>7876.11</v>
      </c>
      <c r="Q375" s="633"/>
      <c r="R375" s="1083">
        <v>-7356.7199999999993</v>
      </c>
      <c r="S375" s="1083">
        <v>-7548.12</v>
      </c>
      <c r="T375" s="1083">
        <v>-7714.2899999999991</v>
      </c>
      <c r="U375" s="1083">
        <v>-7883.94</v>
      </c>
      <c r="V375" s="1084">
        <v>-8057.36</v>
      </c>
      <c r="W375" s="358">
        <v>-7876.11</v>
      </c>
    </row>
    <row r="376" spans="1:23" ht="12.75" customHeight="1" x14ac:dyDescent="0.25">
      <c r="A376" s="336">
        <v>630023</v>
      </c>
      <c r="B376" s="115" t="s">
        <v>3453</v>
      </c>
      <c r="D376" s="340">
        <v>47201</v>
      </c>
      <c r="E376" s="340"/>
      <c r="F376" s="340"/>
      <c r="G376" s="319" t="s">
        <v>3490</v>
      </c>
      <c r="I376" s="318"/>
      <c r="J376" s="318">
        <v>4965.38</v>
      </c>
      <c r="K376" s="318">
        <v>6083.6614181433597</v>
      </c>
      <c r="L376" s="318">
        <f t="shared" si="182"/>
        <v>6387.844489050528</v>
      </c>
      <c r="M376" s="318">
        <f t="shared" si="183"/>
        <v>6707.2367135030545</v>
      </c>
      <c r="N376" s="318">
        <f t="shared" si="184"/>
        <v>7042.5985491782076</v>
      </c>
      <c r="O376" s="2114">
        <f t="shared" si="184"/>
        <v>5748.0899999999992</v>
      </c>
      <c r="Q376" s="633"/>
      <c r="R376" s="1083">
        <v>-4965.38</v>
      </c>
      <c r="S376" s="1083">
        <v>-6083.6614181433597</v>
      </c>
      <c r="T376" s="1083">
        <v>-6387.844489050528</v>
      </c>
      <c r="U376" s="1083">
        <v>-6707.2367135030545</v>
      </c>
      <c r="V376" s="1084">
        <v>-7042.5985491782076</v>
      </c>
      <c r="W376" s="358">
        <v>-5748.0899999999992</v>
      </c>
    </row>
    <row r="377" spans="1:23" ht="12.75" customHeight="1" x14ac:dyDescent="0.25">
      <c r="A377" s="336">
        <v>630023</v>
      </c>
      <c r="B377" s="115" t="s">
        <v>3453</v>
      </c>
      <c r="D377" s="340">
        <v>47300</v>
      </c>
      <c r="E377" s="340"/>
      <c r="F377" s="340"/>
      <c r="G377" s="319" t="s">
        <v>1033</v>
      </c>
      <c r="I377" s="318"/>
      <c r="J377" s="318">
        <v>9152.1099999999988</v>
      </c>
      <c r="K377" s="318">
        <v>9152.1099999999988</v>
      </c>
      <c r="L377" s="318">
        <f t="shared" si="182"/>
        <v>9152.1099999999988</v>
      </c>
      <c r="M377" s="318">
        <f t="shared" si="183"/>
        <v>9152.1099999999988</v>
      </c>
      <c r="N377" s="318">
        <f t="shared" si="184"/>
        <v>9152.1099999999988</v>
      </c>
      <c r="O377" s="2114">
        <f t="shared" si="184"/>
        <v>9152.1099999999988</v>
      </c>
      <c r="Q377" s="633"/>
      <c r="R377" s="1083">
        <v>-9152.1099999999988</v>
      </c>
      <c r="S377" s="1083">
        <v>-9152.1099999999988</v>
      </c>
      <c r="T377" s="1083">
        <v>-9152.1099999999988</v>
      </c>
      <c r="U377" s="1083">
        <v>-9152.1099999999988</v>
      </c>
      <c r="V377" s="1084">
        <v>-9152.1099999999988</v>
      </c>
      <c r="W377" s="358">
        <v>-9152.1099999999988</v>
      </c>
    </row>
    <row r="378" spans="1:23" ht="12.75" customHeight="1" x14ac:dyDescent="0.25">
      <c r="A378" s="336"/>
      <c r="D378" s="340"/>
      <c r="E378" s="340"/>
      <c r="F378" s="340"/>
      <c r="G378" s="319"/>
      <c r="I378" s="318"/>
      <c r="J378" s="318"/>
      <c r="K378" s="318"/>
      <c r="L378" s="318"/>
      <c r="M378" s="318"/>
      <c r="N378" s="318"/>
      <c r="O378" s="2114"/>
      <c r="Q378" s="633"/>
      <c r="R378" s="1083"/>
      <c r="S378" s="1083"/>
      <c r="T378" s="1083"/>
      <c r="U378" s="1083"/>
      <c r="V378" s="1084"/>
      <c r="W378" s="358"/>
    </row>
    <row r="379" spans="1:23" ht="12.75" customHeight="1" x14ac:dyDescent="0.25">
      <c r="A379" s="336"/>
      <c r="D379" s="340"/>
      <c r="E379" s="340"/>
      <c r="F379" s="340"/>
      <c r="G379" s="332" t="s">
        <v>1837</v>
      </c>
      <c r="I379" s="318"/>
      <c r="J379" s="318"/>
      <c r="K379" s="318"/>
      <c r="L379" s="318"/>
      <c r="M379" s="318"/>
      <c r="N379" s="318"/>
      <c r="O379" s="2114"/>
      <c r="Q379" s="394"/>
      <c r="R379" s="1083"/>
      <c r="S379" s="1083"/>
      <c r="T379" s="1083"/>
      <c r="U379" s="1083"/>
      <c r="V379" s="1084"/>
      <c r="W379" s="358"/>
    </row>
    <row r="380" spans="1:23" ht="12.75" customHeight="1" x14ac:dyDescent="0.25">
      <c r="A380" s="336">
        <v>630023</v>
      </c>
      <c r="B380" s="115" t="s">
        <v>3453</v>
      </c>
      <c r="D380" s="340">
        <v>43803</v>
      </c>
      <c r="E380" s="340"/>
      <c r="F380" s="340"/>
      <c r="G380" s="319" t="s">
        <v>1831</v>
      </c>
      <c r="I380" s="318"/>
      <c r="J380" s="318">
        <v>39.15</v>
      </c>
      <c r="K380" s="318">
        <v>40.309999999999995</v>
      </c>
      <c r="L380" s="318">
        <f t="shared" ref="L380:O382" si="185">-T380</f>
        <v>41.47</v>
      </c>
      <c r="M380" s="318">
        <f t="shared" si="185"/>
        <v>42.629999999999995</v>
      </c>
      <c r="N380" s="318">
        <f t="shared" si="185"/>
        <v>43.79</v>
      </c>
      <c r="O380" s="2114">
        <f t="shared" si="185"/>
        <v>42.629999999999995</v>
      </c>
      <c r="Q380" s="633"/>
      <c r="R380" s="1083">
        <v>-39.15</v>
      </c>
      <c r="S380" s="1083">
        <v>-40.309999999999995</v>
      </c>
      <c r="T380" s="1083">
        <v>-41.47</v>
      </c>
      <c r="U380" s="1083">
        <v>-42.629999999999995</v>
      </c>
      <c r="V380" s="1084">
        <v>-43.79</v>
      </c>
      <c r="W380" s="358">
        <v>-42.629999999999995</v>
      </c>
    </row>
    <row r="381" spans="1:23" ht="12.75" customHeight="1" x14ac:dyDescent="0.25">
      <c r="A381" s="336">
        <v>630023</v>
      </c>
      <c r="B381" s="115" t="s">
        <v>3453</v>
      </c>
      <c r="D381" s="340">
        <v>43812</v>
      </c>
      <c r="E381" s="340"/>
      <c r="F381" s="340"/>
      <c r="G381" s="319" t="s">
        <v>535</v>
      </c>
      <c r="I381" s="318"/>
      <c r="J381" s="318">
        <v>5487.67</v>
      </c>
      <c r="K381" s="318">
        <v>5630.3499999999995</v>
      </c>
      <c r="L381" s="318">
        <f t="shared" si="185"/>
        <v>5754.1799999999994</v>
      </c>
      <c r="M381" s="318">
        <f t="shared" si="185"/>
        <v>5880.62</v>
      </c>
      <c r="N381" s="318">
        <f t="shared" si="185"/>
        <v>6009.96</v>
      </c>
      <c r="O381" s="2114">
        <f t="shared" si="185"/>
        <v>5875.11</v>
      </c>
      <c r="Q381" s="633"/>
      <c r="R381" s="1083">
        <v>-5487.67</v>
      </c>
      <c r="S381" s="1083">
        <v>-5630.3499999999995</v>
      </c>
      <c r="T381" s="1083">
        <v>-5754.1799999999994</v>
      </c>
      <c r="U381" s="1083">
        <v>-5880.62</v>
      </c>
      <c r="V381" s="1084">
        <v>-6009.96</v>
      </c>
      <c r="W381" s="358">
        <v>-5875.11</v>
      </c>
    </row>
    <row r="382" spans="1:23" ht="12.75" customHeight="1" x14ac:dyDescent="0.25">
      <c r="A382" s="336">
        <v>630023</v>
      </c>
      <c r="B382" s="115" t="s">
        <v>3453</v>
      </c>
      <c r="D382" s="340">
        <v>43818</v>
      </c>
      <c r="E382" s="340"/>
      <c r="F382" s="340"/>
      <c r="G382" s="319" t="s">
        <v>1838</v>
      </c>
      <c r="I382" s="318"/>
      <c r="J382" s="318">
        <v>2404.1</v>
      </c>
      <c r="K382" s="318">
        <v>2466.4499999999998</v>
      </c>
      <c r="L382" s="318">
        <f t="shared" si="185"/>
        <v>2520.6799999999998</v>
      </c>
      <c r="M382" s="318">
        <f t="shared" si="185"/>
        <v>2576.3599999999997</v>
      </c>
      <c r="N382" s="318">
        <f t="shared" si="185"/>
        <v>2633.2</v>
      </c>
      <c r="O382" s="2114">
        <f t="shared" si="185"/>
        <v>2573.75</v>
      </c>
      <c r="Q382" s="633"/>
      <c r="R382" s="1083">
        <v>-2404.1</v>
      </c>
      <c r="S382" s="1083">
        <v>-2466.4499999999998</v>
      </c>
      <c r="T382" s="1083">
        <v>-2520.6799999999998</v>
      </c>
      <c r="U382" s="1083">
        <v>-2576.3599999999997</v>
      </c>
      <c r="V382" s="1084">
        <v>-2633.2</v>
      </c>
      <c r="W382" s="358">
        <v>-2573.75</v>
      </c>
    </row>
    <row r="383" spans="1:23" ht="12.75" customHeight="1" x14ac:dyDescent="0.25">
      <c r="A383" s="336"/>
      <c r="D383" s="340"/>
      <c r="E383" s="340"/>
      <c r="F383" s="340"/>
      <c r="G383" s="319"/>
      <c r="I383" s="318"/>
      <c r="J383" s="318"/>
      <c r="K383" s="318"/>
      <c r="L383" s="318"/>
      <c r="M383" s="318"/>
      <c r="N383" s="318"/>
      <c r="O383" s="2114"/>
      <c r="Q383" s="633"/>
      <c r="R383" s="1083"/>
      <c r="S383" s="1083"/>
      <c r="T383" s="1083"/>
      <c r="U383" s="1083"/>
      <c r="V383" s="1084"/>
      <c r="W383" s="358"/>
    </row>
    <row r="384" spans="1:23" ht="12.75" customHeight="1" x14ac:dyDescent="0.25">
      <c r="A384" s="336"/>
      <c r="D384" s="340"/>
      <c r="E384" s="340"/>
      <c r="F384" s="340"/>
      <c r="G384" s="332" t="s">
        <v>2843</v>
      </c>
      <c r="I384" s="318"/>
      <c r="J384" s="318"/>
      <c r="K384" s="318"/>
      <c r="L384" s="318"/>
      <c r="M384" s="318"/>
      <c r="N384" s="318"/>
      <c r="O384" s="2114"/>
      <c r="Q384" s="633"/>
      <c r="R384" s="1083"/>
      <c r="S384" s="1083"/>
      <c r="T384" s="1083"/>
      <c r="U384" s="1083"/>
      <c r="V384" s="1084"/>
      <c r="W384" s="358"/>
    </row>
    <row r="385" spans="1:23" ht="12.75" customHeight="1" x14ac:dyDescent="0.25">
      <c r="A385" s="336">
        <v>630023</v>
      </c>
      <c r="B385" s="115" t="s">
        <v>3453</v>
      </c>
      <c r="D385" s="340">
        <v>42100</v>
      </c>
      <c r="E385" s="340"/>
      <c r="F385" s="340"/>
      <c r="G385" s="319" t="s">
        <v>1840</v>
      </c>
      <c r="I385" s="318"/>
      <c r="J385" s="318">
        <v>3918</v>
      </c>
      <c r="K385" s="318">
        <v>4019.6899999999996</v>
      </c>
      <c r="L385" s="318">
        <f t="shared" ref="L385:O389" si="186">-T385</f>
        <v>4108.1399999999994</v>
      </c>
      <c r="M385" s="318">
        <f t="shared" si="186"/>
        <v>4198.62</v>
      </c>
      <c r="N385" s="318">
        <f t="shared" si="186"/>
        <v>4290.84</v>
      </c>
      <c r="O385" s="2114">
        <f t="shared" si="186"/>
        <v>4194.2699999999995</v>
      </c>
      <c r="Q385" s="633"/>
      <c r="R385" s="1083">
        <v>-3917.8999999999996</v>
      </c>
      <c r="S385" s="1083">
        <v>-4019.6899999999996</v>
      </c>
      <c r="T385" s="1083">
        <v>-4108.1399999999994</v>
      </c>
      <c r="U385" s="1083">
        <v>-4198.62</v>
      </c>
      <c r="V385" s="1084">
        <v>-4290.84</v>
      </c>
      <c r="W385" s="358">
        <v>-4194.2699999999995</v>
      </c>
    </row>
    <row r="386" spans="1:23" ht="12.75" customHeight="1" x14ac:dyDescent="0.25">
      <c r="A386" s="336">
        <v>630023</v>
      </c>
      <c r="B386" s="115" t="s">
        <v>3453</v>
      </c>
      <c r="D386" s="340">
        <v>43803</v>
      </c>
      <c r="E386" s="340"/>
      <c r="F386" s="340"/>
      <c r="G386" s="319" t="s">
        <v>1831</v>
      </c>
      <c r="I386" s="318"/>
      <c r="J386" s="318">
        <v>4636</v>
      </c>
      <c r="K386" s="318">
        <v>4756.58</v>
      </c>
      <c r="L386" s="318">
        <f t="shared" si="186"/>
        <v>4861.2699999999995</v>
      </c>
      <c r="M386" s="318">
        <f t="shared" si="186"/>
        <v>4967.99</v>
      </c>
      <c r="N386" s="318">
        <f t="shared" si="186"/>
        <v>5077.6099999999997</v>
      </c>
      <c r="O386" s="2114">
        <f t="shared" si="186"/>
        <v>4963.6399999999994</v>
      </c>
      <c r="Q386" s="633"/>
      <c r="R386" s="1083">
        <v>-4635.9399999999996</v>
      </c>
      <c r="S386" s="1083">
        <v>-4756.58</v>
      </c>
      <c r="T386" s="1083">
        <v>-4861.2699999999995</v>
      </c>
      <c r="U386" s="1083">
        <v>-4967.99</v>
      </c>
      <c r="V386" s="1084">
        <v>-5077.6099999999997</v>
      </c>
      <c r="W386" s="358">
        <v>-4963.6399999999994</v>
      </c>
    </row>
    <row r="387" spans="1:23" ht="12.75" customHeight="1" x14ac:dyDescent="0.25">
      <c r="A387" s="336">
        <v>630023</v>
      </c>
      <c r="B387" s="115" t="s">
        <v>3453</v>
      </c>
      <c r="D387" s="340">
        <v>43806</v>
      </c>
      <c r="E387" s="340"/>
      <c r="F387" s="340"/>
      <c r="G387" s="319" t="s">
        <v>546</v>
      </c>
      <c r="I387" s="318"/>
      <c r="J387" s="318">
        <v>6746</v>
      </c>
      <c r="K387" s="318">
        <v>6921.4299999999994</v>
      </c>
      <c r="L387" s="318">
        <f t="shared" si="186"/>
        <v>7073.6799999999994</v>
      </c>
      <c r="M387" s="318">
        <f t="shared" si="186"/>
        <v>7229.41</v>
      </c>
      <c r="N387" s="318">
        <f t="shared" si="186"/>
        <v>7388.33</v>
      </c>
      <c r="O387" s="2114">
        <f t="shared" si="186"/>
        <v>7222.16</v>
      </c>
      <c r="Q387" s="633"/>
      <c r="R387" s="1083">
        <v>-6745.98</v>
      </c>
      <c r="S387" s="1083">
        <v>-6921.4299999999994</v>
      </c>
      <c r="T387" s="1083">
        <v>-7073.6799999999994</v>
      </c>
      <c r="U387" s="1083">
        <v>-7229.41</v>
      </c>
      <c r="V387" s="1084">
        <v>-7388.33</v>
      </c>
      <c r="W387" s="358">
        <v>-7222.16</v>
      </c>
    </row>
    <row r="388" spans="1:23" ht="12.75" customHeight="1" x14ac:dyDescent="0.25">
      <c r="A388" s="336">
        <v>630023</v>
      </c>
      <c r="B388" s="115" t="s">
        <v>3453</v>
      </c>
      <c r="D388" s="340">
        <v>43812</v>
      </c>
      <c r="E388" s="340"/>
      <c r="F388" s="340"/>
      <c r="G388" s="319" t="s">
        <v>535</v>
      </c>
      <c r="I388" s="318"/>
      <c r="J388" s="318">
        <v>1975</v>
      </c>
      <c r="K388" s="318">
        <v>2026.5199999999998</v>
      </c>
      <c r="L388" s="318">
        <f t="shared" si="186"/>
        <v>2070.89</v>
      </c>
      <c r="M388" s="318">
        <f t="shared" si="186"/>
        <v>2116.71</v>
      </c>
      <c r="N388" s="318">
        <f t="shared" si="186"/>
        <v>2163.1099999999997</v>
      </c>
      <c r="O388" s="2114">
        <f t="shared" si="186"/>
        <v>2114.6799999999998</v>
      </c>
      <c r="Q388" s="633"/>
      <c r="R388" s="1083">
        <v>-1975.1899999999998</v>
      </c>
      <c r="S388" s="1083">
        <v>-2026.5199999999998</v>
      </c>
      <c r="T388" s="1083">
        <v>-2070.89</v>
      </c>
      <c r="U388" s="1083">
        <v>-2116.71</v>
      </c>
      <c r="V388" s="1084">
        <v>-2163.1099999999997</v>
      </c>
      <c r="W388" s="358">
        <v>-2114.6799999999998</v>
      </c>
    </row>
    <row r="389" spans="1:23" ht="12.75" customHeight="1" x14ac:dyDescent="0.25">
      <c r="A389" s="336">
        <v>630023</v>
      </c>
      <c r="B389" s="115" t="s">
        <v>3453</v>
      </c>
      <c r="D389" s="340">
        <v>47300</v>
      </c>
      <c r="E389" s="340"/>
      <c r="F389" s="340"/>
      <c r="G389" s="319" t="s">
        <v>1033</v>
      </c>
      <c r="I389" s="318"/>
      <c r="J389" s="318">
        <v>15834</v>
      </c>
      <c r="K389" s="318">
        <v>13599.55</v>
      </c>
      <c r="L389" s="318">
        <f t="shared" si="186"/>
        <v>15985.089999999998</v>
      </c>
      <c r="M389" s="318">
        <f t="shared" si="186"/>
        <v>15985.089999999998</v>
      </c>
      <c r="N389" s="318">
        <f t="shared" si="186"/>
        <v>15985.089999999998</v>
      </c>
      <c r="O389" s="2114">
        <f t="shared" si="186"/>
        <v>15985.089999999998</v>
      </c>
      <c r="Q389" s="633"/>
      <c r="R389" s="1083">
        <v>-15833.71</v>
      </c>
      <c r="S389" s="1083">
        <v>-13599.55</v>
      </c>
      <c r="T389" s="1083">
        <v>-15985.089999999998</v>
      </c>
      <c r="U389" s="1083">
        <v>-15985.089999999998</v>
      </c>
      <c r="V389" s="1084">
        <v>-15985.089999999998</v>
      </c>
      <c r="W389" s="2121">
        <v>-15985.089999999998</v>
      </c>
    </row>
    <row r="390" spans="1:23" ht="12.75" customHeight="1" thickBot="1" x14ac:dyDescent="0.3">
      <c r="A390" s="336"/>
      <c r="D390" s="340"/>
      <c r="E390" s="340"/>
      <c r="F390" s="340"/>
      <c r="G390" s="319" t="s">
        <v>536</v>
      </c>
      <c r="I390" s="318"/>
      <c r="J390" s="342">
        <v>79186.51999999999</v>
      </c>
      <c r="K390" s="342">
        <v>79364.341418143362</v>
      </c>
      <c r="L390" s="342">
        <f t="shared" ref="L390" si="187">SUM(L363:L389)</f>
        <v>83205.654489050517</v>
      </c>
      <c r="M390" s="342">
        <f>SUM(M363:M389)</f>
        <v>84703.316713503053</v>
      </c>
      <c r="N390" s="342">
        <f>SUM(N363:N389)</f>
        <v>86244.101249178202</v>
      </c>
      <c r="O390" s="2122">
        <f>SUM(O363:O389)</f>
        <v>83699.799999999974</v>
      </c>
      <c r="Q390" s="633"/>
      <c r="R390" s="1083"/>
      <c r="S390" s="1083"/>
      <c r="T390" s="1083"/>
      <c r="U390" s="1083"/>
      <c r="V390" s="1084"/>
    </row>
    <row r="391" spans="1:23" ht="12.75" customHeight="1" thickTop="1" x14ac:dyDescent="0.25">
      <c r="A391" s="336"/>
      <c r="D391" s="340"/>
      <c r="E391" s="340"/>
      <c r="F391" s="340"/>
      <c r="G391" s="319"/>
      <c r="I391" s="318"/>
      <c r="J391" s="318"/>
      <c r="K391" s="318"/>
      <c r="L391" s="318"/>
      <c r="M391" s="318"/>
      <c r="N391" s="318"/>
      <c r="O391" s="318"/>
      <c r="Q391" s="633"/>
      <c r="V391" s="115"/>
    </row>
    <row r="392" spans="1:23" ht="12.75" customHeight="1" x14ac:dyDescent="0.25">
      <c r="A392" s="336"/>
      <c r="D392" s="333">
        <v>630013</v>
      </c>
      <c r="E392" s="331"/>
      <c r="F392" s="331"/>
      <c r="G392" s="332" t="s">
        <v>3442</v>
      </c>
      <c r="I392" s="318"/>
      <c r="J392" s="317"/>
      <c r="K392" s="317"/>
      <c r="L392" s="317"/>
      <c r="M392" s="317"/>
      <c r="N392" s="317"/>
      <c r="O392" s="317"/>
      <c r="Q392" s="633"/>
      <c r="V392" s="115"/>
    </row>
    <row r="393" spans="1:23" ht="12.75" customHeight="1" x14ac:dyDescent="0.25">
      <c r="D393" s="340"/>
      <c r="E393" s="340"/>
      <c r="F393" s="340"/>
      <c r="G393" s="334" t="s">
        <v>554</v>
      </c>
      <c r="I393" s="318"/>
      <c r="J393" s="317"/>
      <c r="K393" s="317"/>
      <c r="L393" s="317"/>
      <c r="M393" s="317"/>
      <c r="N393" s="317"/>
      <c r="O393" s="317"/>
      <c r="Q393" s="633"/>
      <c r="V393" s="115"/>
    </row>
    <row r="394" spans="1:23" ht="12.75" customHeight="1" x14ac:dyDescent="0.25">
      <c r="A394" s="336">
        <f>+D392</f>
        <v>630013</v>
      </c>
      <c r="B394" s="115" t="str">
        <f>G392</f>
        <v>Prinses Beatrixlaan 27 (sporthal)</v>
      </c>
      <c r="D394" s="337">
        <v>83600</v>
      </c>
      <c r="E394" s="337"/>
      <c r="F394" s="337"/>
      <c r="G394" s="319" t="s">
        <v>1010</v>
      </c>
      <c r="I394" s="318"/>
      <c r="J394" s="317">
        <v>-324517.5</v>
      </c>
      <c r="K394" s="317">
        <v>-333636.75</v>
      </c>
      <c r="L394" s="317">
        <f>L1075</f>
        <v>-291635.71999999997</v>
      </c>
      <c r="M394" s="317">
        <f>M1075</f>
        <v>-295131.75</v>
      </c>
      <c r="N394" s="317">
        <f t="shared" ref="N394:O394" si="188">N1075</f>
        <v>-298492</v>
      </c>
      <c r="O394" s="317">
        <f t="shared" si="188"/>
        <v>-305414</v>
      </c>
      <c r="Q394" s="633"/>
      <c r="V394" s="115"/>
    </row>
    <row r="395" spans="1:23" ht="12.75" customHeight="1" thickBot="1" x14ac:dyDescent="0.3">
      <c r="D395" s="340"/>
      <c r="E395" s="340"/>
      <c r="F395" s="340"/>
      <c r="G395" s="319" t="s">
        <v>536</v>
      </c>
      <c r="I395" s="318"/>
      <c r="J395" s="342">
        <v>-324517.5</v>
      </c>
      <c r="K395" s="342">
        <v>-333636.75</v>
      </c>
      <c r="L395" s="342">
        <f>SUM(L394:L394)</f>
        <v>-291635.71999999997</v>
      </c>
      <c r="M395" s="342">
        <f>SUM(M394:M394)</f>
        <v>-295131.75</v>
      </c>
      <c r="N395" s="342">
        <f>SUM(N394:N394)</f>
        <v>-298492</v>
      </c>
      <c r="O395" s="342">
        <f>SUM(O394:O394)</f>
        <v>-305414</v>
      </c>
      <c r="Q395" s="633"/>
      <c r="V395" s="115"/>
    </row>
    <row r="396" spans="1:23" ht="12.75" customHeight="1" thickTop="1" x14ac:dyDescent="0.25">
      <c r="D396" s="340"/>
      <c r="E396" s="340"/>
      <c r="F396" s="340"/>
      <c r="G396" s="319"/>
      <c r="I396" s="318"/>
      <c r="J396" s="318"/>
      <c r="K396" s="318"/>
      <c r="L396" s="318"/>
      <c r="M396" s="318"/>
      <c r="N396" s="318"/>
      <c r="O396" s="318"/>
      <c r="Q396" s="633"/>
      <c r="V396" s="115"/>
    </row>
    <row r="397" spans="1:23" ht="12.75" customHeight="1" x14ac:dyDescent="0.25">
      <c r="D397" s="333">
        <v>630015</v>
      </c>
      <c r="E397" s="331"/>
      <c r="F397" s="331"/>
      <c r="G397" s="332" t="s">
        <v>3444</v>
      </c>
      <c r="I397" s="318"/>
      <c r="J397" s="317"/>
      <c r="K397" s="317"/>
      <c r="L397" s="317"/>
      <c r="M397" s="317"/>
      <c r="N397" s="317"/>
      <c r="O397" s="317"/>
      <c r="Q397" s="633"/>
      <c r="V397" s="115"/>
    </row>
    <row r="398" spans="1:23" ht="12.75" customHeight="1" x14ac:dyDescent="0.25">
      <c r="D398" s="340"/>
      <c r="E398" s="340"/>
      <c r="F398" s="340"/>
      <c r="G398" s="334" t="s">
        <v>554</v>
      </c>
      <c r="I398" s="318"/>
      <c r="J398" s="317"/>
      <c r="K398" s="317"/>
      <c r="L398" s="317"/>
      <c r="M398" s="317"/>
      <c r="N398" s="317"/>
      <c r="O398" s="317"/>
      <c r="Q398" s="633"/>
      <c r="V398" s="115"/>
    </row>
    <row r="399" spans="1:23" ht="12.75" customHeight="1" x14ac:dyDescent="0.25">
      <c r="A399" s="336">
        <f>+D397</f>
        <v>630015</v>
      </c>
      <c r="B399" s="115" t="str">
        <f>G397</f>
        <v>Secr Jansenstraat 7 (gymzaal)</v>
      </c>
      <c r="D399" s="337">
        <v>83600</v>
      </c>
      <c r="E399" s="337"/>
      <c r="F399" s="337"/>
      <c r="G399" s="319" t="s">
        <v>1010</v>
      </c>
      <c r="I399" s="318"/>
      <c r="J399" s="142">
        <v>-19300</v>
      </c>
      <c r="K399" s="142">
        <v>-19810</v>
      </c>
      <c r="L399" s="142">
        <f>L1106</f>
        <v>-20230</v>
      </c>
      <c r="M399" s="142">
        <f>M1106</f>
        <v>-20710</v>
      </c>
      <c r="N399" s="142">
        <f t="shared" ref="N399:O399" si="189">N1106</f>
        <v>-21170</v>
      </c>
      <c r="O399" s="142">
        <f t="shared" si="189"/>
        <v>-21650</v>
      </c>
      <c r="Q399" s="633"/>
      <c r="V399" s="115"/>
    </row>
    <row r="400" spans="1:23" ht="12.75" customHeight="1" thickBot="1" x14ac:dyDescent="0.3">
      <c r="D400" s="340"/>
      <c r="E400" s="340"/>
      <c r="F400" s="340"/>
      <c r="G400" s="319" t="s">
        <v>536</v>
      </c>
      <c r="I400" s="318"/>
      <c r="J400" s="342">
        <v>-19300</v>
      </c>
      <c r="K400" s="342">
        <v>-19810</v>
      </c>
      <c r="L400" s="342">
        <f>SUM(L398:L399)</f>
        <v>-20230</v>
      </c>
      <c r="M400" s="342">
        <f>SUM(M398:M399)</f>
        <v>-20710</v>
      </c>
      <c r="N400" s="342">
        <f>SUM(N398:N399)</f>
        <v>-21170</v>
      </c>
      <c r="O400" s="342">
        <f>SUM(O398:O399)</f>
        <v>-21650</v>
      </c>
      <c r="Q400" s="633"/>
      <c r="V400" s="115"/>
    </row>
    <row r="401" spans="1:22" ht="12.75" customHeight="1" thickTop="1" x14ac:dyDescent="0.25">
      <c r="D401" s="340"/>
      <c r="E401" s="340"/>
      <c r="F401" s="340"/>
      <c r="G401" s="319"/>
      <c r="I401" s="318"/>
      <c r="J401" s="317"/>
      <c r="K401" s="317"/>
      <c r="L401" s="317"/>
      <c r="M401" s="317"/>
      <c r="N401" s="317"/>
      <c r="O401" s="317"/>
      <c r="Q401" s="633"/>
      <c r="V401" s="115"/>
    </row>
    <row r="402" spans="1:22" ht="12.75" customHeight="1" x14ac:dyDescent="0.25">
      <c r="D402" s="333">
        <v>630016</v>
      </c>
      <c r="E402" s="331"/>
      <c r="F402" s="331"/>
      <c r="G402" s="332" t="s">
        <v>3445</v>
      </c>
      <c r="I402" s="318"/>
      <c r="J402" s="317"/>
      <c r="K402" s="317"/>
      <c r="L402" s="317"/>
      <c r="M402" s="317"/>
      <c r="N402" s="317"/>
      <c r="O402" s="317"/>
      <c r="Q402" s="633"/>
      <c r="V402" s="115"/>
    </row>
    <row r="403" spans="1:22" ht="12.75" customHeight="1" x14ac:dyDescent="0.25">
      <c r="D403" s="340"/>
      <c r="E403" s="340"/>
      <c r="F403" s="340"/>
      <c r="G403" s="334" t="s">
        <v>554</v>
      </c>
      <c r="I403" s="318"/>
      <c r="J403" s="317"/>
      <c r="K403" s="317"/>
      <c r="L403" s="317"/>
      <c r="M403" s="317"/>
      <c r="N403" s="317"/>
      <c r="O403" s="317"/>
      <c r="Q403" s="633"/>
      <c r="V403" s="115"/>
    </row>
    <row r="404" spans="1:22" ht="12.75" customHeight="1" x14ac:dyDescent="0.25">
      <c r="A404" s="336">
        <f>+D402</f>
        <v>630016</v>
      </c>
      <c r="B404" s="115" t="str">
        <f>G402</f>
        <v>Haktol 1a (gymzaal)</v>
      </c>
      <c r="D404" s="337">
        <v>83600</v>
      </c>
      <c r="E404" s="337"/>
      <c r="F404" s="337"/>
      <c r="G404" s="319" t="s">
        <v>1010</v>
      </c>
      <c r="I404" s="318"/>
      <c r="J404" s="142">
        <v>-15580</v>
      </c>
      <c r="K404" s="142">
        <v>-15990</v>
      </c>
      <c r="L404" s="142">
        <f>L1135</f>
        <v>-16330</v>
      </c>
      <c r="M404" s="142">
        <f>M1135</f>
        <v>-16710</v>
      </c>
      <c r="N404" s="142">
        <f t="shared" ref="N404:O404" si="190">N1135</f>
        <v>-17090</v>
      </c>
      <c r="O404" s="142">
        <f t="shared" si="190"/>
        <v>-17480</v>
      </c>
      <c r="Q404" s="633"/>
      <c r="V404" s="115"/>
    </row>
    <row r="405" spans="1:22" ht="12.75" customHeight="1" thickBot="1" x14ac:dyDescent="0.3">
      <c r="D405" s="340"/>
      <c r="E405" s="340"/>
      <c r="F405" s="340"/>
      <c r="G405" s="319" t="s">
        <v>536</v>
      </c>
      <c r="I405" s="318"/>
      <c r="J405" s="342">
        <v>-15580</v>
      </c>
      <c r="K405" s="342">
        <v>-15990</v>
      </c>
      <c r="L405" s="342">
        <f>SUM(L403:L404)</f>
        <v>-16330</v>
      </c>
      <c r="M405" s="342">
        <f>SUM(M403:M404)</f>
        <v>-16710</v>
      </c>
      <c r="N405" s="342">
        <f>SUM(N403:N404)</f>
        <v>-17090</v>
      </c>
      <c r="O405" s="342">
        <f>SUM(O403:O404)</f>
        <v>-17480</v>
      </c>
      <c r="Q405" s="633"/>
      <c r="V405" s="115"/>
    </row>
    <row r="406" spans="1:22" ht="12.75" customHeight="1" thickTop="1" x14ac:dyDescent="0.25">
      <c r="D406" s="340"/>
      <c r="E406" s="340"/>
      <c r="F406" s="340"/>
      <c r="G406" s="319"/>
      <c r="I406" s="318"/>
      <c r="J406" s="318"/>
      <c r="K406" s="318"/>
      <c r="L406" s="318"/>
      <c r="M406" s="318"/>
      <c r="N406" s="318"/>
      <c r="O406" s="318"/>
      <c r="Q406" s="633"/>
      <c r="V406" s="115"/>
    </row>
    <row r="407" spans="1:22" ht="12.75" customHeight="1" x14ac:dyDescent="0.25">
      <c r="D407" s="333">
        <v>630017</v>
      </c>
      <c r="E407" s="331"/>
      <c r="F407" s="331"/>
      <c r="G407" s="332" t="s">
        <v>3454</v>
      </c>
      <c r="I407" s="318"/>
      <c r="J407" s="318"/>
      <c r="K407" s="318"/>
      <c r="L407" s="318"/>
      <c r="M407" s="318"/>
      <c r="N407" s="318"/>
      <c r="O407" s="318"/>
      <c r="Q407" s="633"/>
      <c r="V407" s="115"/>
    </row>
    <row r="408" spans="1:22" ht="12.75" customHeight="1" x14ac:dyDescent="0.25">
      <c r="D408" s="340"/>
      <c r="E408" s="340"/>
      <c r="F408" s="340"/>
      <c r="G408" s="334" t="s">
        <v>554</v>
      </c>
      <c r="I408" s="318"/>
      <c r="J408" s="318"/>
      <c r="K408" s="318"/>
      <c r="L408" s="318"/>
      <c r="M408" s="318"/>
      <c r="N408" s="318"/>
      <c r="O408" s="318"/>
      <c r="Q408" s="633"/>
      <c r="V408" s="115"/>
    </row>
    <row r="409" spans="1:22" ht="12.75" customHeight="1" x14ac:dyDescent="0.25">
      <c r="A409" s="336">
        <f>+D407</f>
        <v>630017</v>
      </c>
      <c r="B409" s="115" t="str">
        <f>G407</f>
        <v>J Verleunstraat 29 (gymzaal)</v>
      </c>
      <c r="D409" s="337">
        <v>83600</v>
      </c>
      <c r="E409" s="337"/>
      <c r="F409" s="337"/>
      <c r="G409" s="319" t="s">
        <v>1010</v>
      </c>
      <c r="I409" s="318"/>
      <c r="J409" s="142">
        <v>-12160</v>
      </c>
      <c r="K409" s="142">
        <v>-12500</v>
      </c>
      <c r="L409" s="142">
        <f>L1160</f>
        <v>-12770</v>
      </c>
      <c r="M409" s="142">
        <f>M1160</f>
        <v>-13070</v>
      </c>
      <c r="N409" s="142">
        <f t="shared" ref="N409:O409" si="191">N1160</f>
        <v>-13370</v>
      </c>
      <c r="O409" s="142">
        <f t="shared" si="191"/>
        <v>-13670</v>
      </c>
      <c r="Q409" s="633"/>
      <c r="V409" s="115"/>
    </row>
    <row r="410" spans="1:22" ht="12.75" customHeight="1" thickBot="1" x14ac:dyDescent="0.3">
      <c r="D410" s="340"/>
      <c r="E410" s="340"/>
      <c r="F410" s="340"/>
      <c r="G410" s="319" t="s">
        <v>536</v>
      </c>
      <c r="I410" s="318"/>
      <c r="J410" s="342">
        <v>-12160</v>
      </c>
      <c r="K410" s="342">
        <v>-12500</v>
      </c>
      <c r="L410" s="342">
        <f>SUM(L408:L409)</f>
        <v>-12770</v>
      </c>
      <c r="M410" s="342">
        <f>SUM(M408:M409)</f>
        <v>-13070</v>
      </c>
      <c r="N410" s="342">
        <f>SUM(N408:N409)</f>
        <v>-13370</v>
      </c>
      <c r="O410" s="342">
        <f>SUM(O408:O409)</f>
        <v>-13670</v>
      </c>
      <c r="Q410" s="633"/>
      <c r="V410" s="115"/>
    </row>
    <row r="411" spans="1:22" ht="12.75" customHeight="1" thickTop="1" x14ac:dyDescent="0.25">
      <c r="D411" s="340"/>
      <c r="E411" s="340"/>
      <c r="F411" s="340"/>
      <c r="G411" s="319"/>
      <c r="I411" s="318"/>
      <c r="J411" s="317"/>
      <c r="K411" s="317"/>
      <c r="L411" s="317"/>
      <c r="M411" s="317"/>
      <c r="N411" s="317"/>
      <c r="O411" s="317"/>
      <c r="Q411" s="633"/>
      <c r="V411" s="115"/>
    </row>
    <row r="412" spans="1:22" ht="12.75" customHeight="1" x14ac:dyDescent="0.25">
      <c r="D412" s="333">
        <v>630018</v>
      </c>
      <c r="E412" s="331"/>
      <c r="F412" s="331"/>
      <c r="G412" s="332" t="s">
        <v>3447</v>
      </c>
      <c r="I412" s="318"/>
      <c r="J412" s="317"/>
      <c r="K412" s="317"/>
      <c r="L412" s="317"/>
      <c r="M412" s="317"/>
      <c r="N412" s="317"/>
      <c r="O412" s="317"/>
      <c r="Q412" s="633"/>
      <c r="V412" s="115"/>
    </row>
    <row r="413" spans="1:22" ht="12.75" customHeight="1" x14ac:dyDescent="0.25">
      <c r="D413" s="340"/>
      <c r="E413" s="340"/>
      <c r="F413" s="340"/>
      <c r="G413" s="334" t="s">
        <v>554</v>
      </c>
      <c r="I413" s="318"/>
      <c r="J413" s="317"/>
      <c r="K413" s="317"/>
      <c r="L413" s="317"/>
      <c r="M413" s="317"/>
      <c r="N413" s="317"/>
      <c r="O413" s="317"/>
      <c r="Q413" s="633"/>
      <c r="V413" s="115"/>
    </row>
    <row r="414" spans="1:22" ht="12.75" customHeight="1" x14ac:dyDescent="0.25">
      <c r="A414" s="336">
        <f>+D412</f>
        <v>630018</v>
      </c>
      <c r="B414" s="115" t="str">
        <f>G412</f>
        <v>Rendierhei 10 (gymzaal)</v>
      </c>
      <c r="D414" s="337">
        <v>83600</v>
      </c>
      <c r="E414" s="337"/>
      <c r="F414" s="337"/>
      <c r="G414" s="319" t="s">
        <v>1010</v>
      </c>
      <c r="I414" s="318"/>
      <c r="J414" s="142">
        <v>-29270</v>
      </c>
      <c r="K414" s="142">
        <v>-30060</v>
      </c>
      <c r="L414" s="142">
        <f>L1187</f>
        <v>-30690</v>
      </c>
      <c r="M414" s="142">
        <f>M1187</f>
        <v>-31390</v>
      </c>
      <c r="N414" s="142">
        <f t="shared" ref="N414:O414" si="192">N1187</f>
        <v>-32110</v>
      </c>
      <c r="O414" s="142">
        <f t="shared" si="192"/>
        <v>-32850</v>
      </c>
      <c r="Q414" s="633"/>
      <c r="V414" s="115"/>
    </row>
    <row r="415" spans="1:22" ht="12.75" customHeight="1" thickBot="1" x14ac:dyDescent="0.3">
      <c r="D415" s="340"/>
      <c r="E415" s="340"/>
      <c r="F415" s="340"/>
      <c r="G415" s="319" t="s">
        <v>536</v>
      </c>
      <c r="I415" s="318"/>
      <c r="J415" s="342">
        <v>-29270</v>
      </c>
      <c r="K415" s="342">
        <v>-30060</v>
      </c>
      <c r="L415" s="342">
        <f>SUM(L413:L414)</f>
        <v>-30690</v>
      </c>
      <c r="M415" s="342">
        <f>SUM(M413:M414)</f>
        <v>-31390</v>
      </c>
      <c r="N415" s="342">
        <f>SUM(N413:N414)</f>
        <v>-32110</v>
      </c>
      <c r="O415" s="342">
        <f>SUM(O413:O414)</f>
        <v>-32850</v>
      </c>
      <c r="Q415" s="633"/>
      <c r="V415" s="115"/>
    </row>
    <row r="416" spans="1:22" ht="12.75" customHeight="1" thickTop="1" x14ac:dyDescent="0.25">
      <c r="D416" s="340"/>
      <c r="E416" s="340"/>
      <c r="F416" s="340"/>
      <c r="G416" s="319"/>
      <c r="I416" s="318"/>
      <c r="J416" s="317"/>
      <c r="K416" s="317"/>
      <c r="L416" s="317"/>
      <c r="M416" s="317"/>
      <c r="N416" s="317"/>
      <c r="O416" s="317"/>
      <c r="Q416" s="633"/>
      <c r="V416" s="115"/>
    </row>
    <row r="417" spans="1:22" ht="12.75" customHeight="1" x14ac:dyDescent="0.25">
      <c r="D417" s="333">
        <v>630019</v>
      </c>
      <c r="E417" s="331"/>
      <c r="F417" s="331"/>
      <c r="G417" s="332" t="s">
        <v>3448</v>
      </c>
      <c r="I417" s="318"/>
      <c r="J417" s="317"/>
      <c r="K417" s="317"/>
      <c r="L417" s="317"/>
      <c r="M417" s="317"/>
      <c r="N417" s="317"/>
      <c r="O417" s="317"/>
      <c r="Q417" s="633"/>
      <c r="V417" s="115"/>
    </row>
    <row r="418" spans="1:22" ht="12.75" customHeight="1" x14ac:dyDescent="0.25">
      <c r="D418" s="340"/>
      <c r="E418" s="340"/>
      <c r="F418" s="340"/>
      <c r="G418" s="334" t="s">
        <v>554</v>
      </c>
      <c r="I418" s="318"/>
      <c r="J418" s="317"/>
      <c r="K418" s="317"/>
      <c r="L418" s="317"/>
      <c r="M418" s="317"/>
      <c r="N418" s="317"/>
      <c r="O418" s="317"/>
      <c r="Q418" s="633"/>
      <c r="V418" s="115"/>
    </row>
    <row r="419" spans="1:22" ht="12.75" customHeight="1" x14ac:dyDescent="0.25">
      <c r="A419" s="336">
        <f>+D417</f>
        <v>630019</v>
      </c>
      <c r="B419" s="115" t="str">
        <f>G417</f>
        <v>W de Zwijgerweg 148-150 (gymzaal)</v>
      </c>
      <c r="D419" s="337">
        <v>83600</v>
      </c>
      <c r="E419" s="337"/>
      <c r="F419" s="337"/>
      <c r="G419" s="319" t="s">
        <v>1010</v>
      </c>
      <c r="I419" s="318"/>
      <c r="J419" s="156">
        <v>-18890</v>
      </c>
      <c r="K419" s="156">
        <v>-19370</v>
      </c>
      <c r="L419" s="156">
        <f>L1217</f>
        <v>-19780</v>
      </c>
      <c r="M419" s="156">
        <f>M1217</f>
        <v>-20270</v>
      </c>
      <c r="N419" s="156">
        <f t="shared" ref="N419:O419" si="193">N1217</f>
        <v>-20740</v>
      </c>
      <c r="O419" s="156">
        <f t="shared" si="193"/>
        <v>-21220</v>
      </c>
      <c r="Q419" s="633"/>
      <c r="V419" s="115"/>
    </row>
    <row r="420" spans="1:22" ht="12.75" customHeight="1" thickBot="1" x14ac:dyDescent="0.3">
      <c r="D420" s="340"/>
      <c r="E420" s="340"/>
      <c r="F420" s="340"/>
      <c r="G420" s="319" t="s">
        <v>536</v>
      </c>
      <c r="I420" s="318"/>
      <c r="J420" s="342">
        <v>-18890</v>
      </c>
      <c r="K420" s="342">
        <v>-19370</v>
      </c>
      <c r="L420" s="342">
        <f>SUM(L418:L419)</f>
        <v>-19780</v>
      </c>
      <c r="M420" s="342">
        <f>SUM(M418:M419)</f>
        <v>-20270</v>
      </c>
      <c r="N420" s="342">
        <f>SUM(N418:N419)</f>
        <v>-20740</v>
      </c>
      <c r="O420" s="342">
        <f>SUM(O418:O419)</f>
        <v>-21220</v>
      </c>
      <c r="Q420" s="633"/>
      <c r="V420" s="115"/>
    </row>
    <row r="421" spans="1:22" ht="12.75" customHeight="1" thickTop="1" x14ac:dyDescent="0.25">
      <c r="D421" s="340"/>
      <c r="E421" s="340"/>
      <c r="F421" s="340"/>
      <c r="G421" s="319"/>
      <c r="I421" s="318"/>
      <c r="J421" s="318"/>
      <c r="K421" s="318"/>
      <c r="L421" s="318"/>
      <c r="M421" s="318"/>
      <c r="N421" s="318"/>
      <c r="O421" s="318"/>
      <c r="Q421" s="633"/>
      <c r="V421" s="115"/>
    </row>
    <row r="422" spans="1:22" ht="12.75" customHeight="1" x14ac:dyDescent="0.25">
      <c r="D422" s="333">
        <v>630020</v>
      </c>
      <c r="E422" s="331"/>
      <c r="F422" s="331"/>
      <c r="G422" s="332" t="s">
        <v>3450</v>
      </c>
      <c r="I422" s="318"/>
      <c r="J422" s="318"/>
      <c r="K422" s="318"/>
      <c r="L422" s="318"/>
      <c r="M422" s="318"/>
      <c r="N422" s="318"/>
      <c r="O422" s="318"/>
      <c r="Q422" s="633"/>
      <c r="V422" s="115"/>
    </row>
    <row r="423" spans="1:22" ht="12.75" customHeight="1" x14ac:dyDescent="0.25">
      <c r="D423" s="340"/>
      <c r="E423" s="340"/>
      <c r="F423" s="340"/>
      <c r="G423" s="334" t="s">
        <v>554</v>
      </c>
      <c r="I423" s="318"/>
      <c r="J423" s="318"/>
      <c r="K423" s="318"/>
      <c r="L423" s="318"/>
      <c r="M423" s="318"/>
      <c r="N423" s="318"/>
      <c r="O423" s="318"/>
      <c r="Q423" s="633"/>
      <c r="V423" s="115"/>
    </row>
    <row r="424" spans="1:22" ht="12.75" customHeight="1" x14ac:dyDescent="0.25">
      <c r="A424" s="336">
        <f>+D422</f>
        <v>630020</v>
      </c>
      <c r="B424" s="115" t="str">
        <f>G422</f>
        <v>Sportlaan 7 (zwembad de Dolfijn)</v>
      </c>
      <c r="D424" s="337">
        <v>83600</v>
      </c>
      <c r="E424" s="337"/>
      <c r="F424" s="337"/>
      <c r="G424" s="319" t="s">
        <v>1010</v>
      </c>
      <c r="I424" s="318"/>
      <c r="J424" s="318">
        <v>-3287</v>
      </c>
      <c r="K424" s="318">
        <v>-3373</v>
      </c>
      <c r="L424" s="318">
        <f>+L1301</f>
        <v>-749.5</v>
      </c>
      <c r="M424" s="318">
        <f>+M1301</f>
        <v>-766</v>
      </c>
      <c r="N424" s="318">
        <f t="shared" ref="N424:O424" si="194">+N1301</f>
        <v>-784</v>
      </c>
      <c r="O424" s="318">
        <f t="shared" si="194"/>
        <v>-802</v>
      </c>
      <c r="Q424" s="633"/>
      <c r="V424" s="115"/>
    </row>
    <row r="425" spans="1:22" ht="12.75" customHeight="1" x14ac:dyDescent="0.25">
      <c r="A425" s="336">
        <f>+D422</f>
        <v>630020</v>
      </c>
      <c r="B425" s="115" t="str">
        <f>G422</f>
        <v>Sportlaan 7 (zwembad de Dolfijn)</v>
      </c>
      <c r="D425" s="337">
        <v>83800</v>
      </c>
      <c r="E425" s="337"/>
      <c r="F425" s="337"/>
      <c r="G425" s="319" t="s">
        <v>535</v>
      </c>
      <c r="I425" s="318"/>
      <c r="J425" s="156">
        <v>-144348</v>
      </c>
      <c r="K425" s="156">
        <v>-160510</v>
      </c>
      <c r="L425" s="156">
        <f>L1349</f>
        <v>-161810</v>
      </c>
      <c r="M425" s="156">
        <f>M1349</f>
        <v>-161809</v>
      </c>
      <c r="N425" s="156">
        <f>N1349</f>
        <v>-161809</v>
      </c>
      <c r="O425" s="156">
        <f>O1349</f>
        <v>-161809</v>
      </c>
      <c r="Q425" s="633"/>
      <c r="V425" s="115"/>
    </row>
    <row r="426" spans="1:22" ht="12.75" customHeight="1" thickBot="1" x14ac:dyDescent="0.3">
      <c r="D426" s="340"/>
      <c r="E426" s="340"/>
      <c r="F426" s="340"/>
      <c r="G426" s="319" t="s">
        <v>536</v>
      </c>
      <c r="I426" s="318"/>
      <c r="J426" s="480">
        <v>-147635</v>
      </c>
      <c r="K426" s="480">
        <v>-163883</v>
      </c>
      <c r="L426" s="480">
        <f>SUM(L424:L425)</f>
        <v>-162559.5</v>
      </c>
      <c r="M426" s="480">
        <f>SUM(M424:M425)</f>
        <v>-162575</v>
      </c>
      <c r="N426" s="480">
        <f>SUM(N424:N425)</f>
        <v>-162593</v>
      </c>
      <c r="O426" s="480">
        <f>SUM(O424:O425)</f>
        <v>-162611</v>
      </c>
      <c r="Q426" s="633"/>
      <c r="V426" s="115"/>
    </row>
    <row r="427" spans="1:22" ht="12.75" customHeight="1" thickTop="1" x14ac:dyDescent="0.25">
      <c r="D427" s="340"/>
      <c r="E427" s="340"/>
      <c r="F427" s="340"/>
      <c r="G427" s="319"/>
      <c r="I427" s="318"/>
      <c r="J427" s="318"/>
      <c r="K427" s="318"/>
      <c r="L427" s="318"/>
      <c r="M427" s="318"/>
      <c r="N427" s="318"/>
      <c r="O427" s="318"/>
      <c r="Q427" s="633"/>
      <c r="V427" s="115"/>
    </row>
    <row r="428" spans="1:22" ht="12.75" customHeight="1" x14ac:dyDescent="0.25">
      <c r="A428" s="336"/>
      <c r="D428" s="347">
        <v>630024</v>
      </c>
      <c r="E428" s="476"/>
      <c r="F428" s="476"/>
      <c r="G428" s="332" t="s">
        <v>3491</v>
      </c>
      <c r="H428" s="381"/>
      <c r="I428" s="318"/>
      <c r="J428" s="318"/>
      <c r="K428" s="318"/>
      <c r="L428" s="318"/>
      <c r="M428" s="318"/>
      <c r="N428" s="318"/>
      <c r="O428" s="318"/>
      <c r="Q428" s="633"/>
      <c r="V428" s="115"/>
    </row>
    <row r="429" spans="1:22" ht="12.75" customHeight="1" x14ac:dyDescent="0.25">
      <c r="A429" s="336"/>
      <c r="D429" s="758"/>
      <c r="E429" s="758"/>
      <c r="F429" s="758"/>
      <c r="G429" s="527" t="s">
        <v>554</v>
      </c>
      <c r="H429" s="453"/>
      <c r="I429" s="463"/>
      <c r="J429" s="457"/>
      <c r="K429" s="457"/>
      <c r="L429" s="457"/>
      <c r="M429" s="457"/>
      <c r="N429" s="457"/>
      <c r="O429" s="457"/>
      <c r="Q429" s="633"/>
      <c r="V429" s="115"/>
    </row>
    <row r="430" spans="1:22" ht="12.75" customHeight="1" x14ac:dyDescent="0.25">
      <c r="A430" s="336">
        <f>+D428</f>
        <v>630024</v>
      </c>
      <c r="B430" s="115" t="str">
        <f>+G428</f>
        <v>Spuk Regeling</v>
      </c>
      <c r="D430" s="763">
        <v>84310</v>
      </c>
      <c r="E430" s="763"/>
      <c r="F430" s="763"/>
      <c r="G430" s="453" t="s">
        <v>2134</v>
      </c>
      <c r="H430" s="453"/>
      <c r="I430" s="463"/>
      <c r="J430" s="463">
        <v>-100000</v>
      </c>
      <c r="K430" s="463">
        <v>-100000</v>
      </c>
      <c r="L430" s="463">
        <v>-100000</v>
      </c>
      <c r="M430" s="463">
        <v>-100000</v>
      </c>
      <c r="N430" s="463">
        <v>-100000</v>
      </c>
      <c r="O430" s="463">
        <v>-100000</v>
      </c>
      <c r="Q430" s="633"/>
      <c r="V430" s="115"/>
    </row>
    <row r="431" spans="1:22" ht="12.75" customHeight="1" thickBot="1" x14ac:dyDescent="0.3">
      <c r="A431" s="336"/>
      <c r="D431" s="758"/>
      <c r="E431" s="758"/>
      <c r="F431" s="758"/>
      <c r="G431" s="453" t="s">
        <v>536</v>
      </c>
      <c r="H431" s="453"/>
      <c r="I431" s="463"/>
      <c r="J431" s="1085">
        <v>-100000</v>
      </c>
      <c r="K431" s="1085">
        <v>-100000</v>
      </c>
      <c r="L431" s="1085">
        <f t="shared" ref="L431:M431" si="195">SUM(L430)</f>
        <v>-100000</v>
      </c>
      <c r="M431" s="1085">
        <f t="shared" si="195"/>
        <v>-100000</v>
      </c>
      <c r="N431" s="1085">
        <f t="shared" ref="N431:O431" si="196">SUM(N430)</f>
        <v>-100000</v>
      </c>
      <c r="O431" s="1085">
        <f t="shared" si="196"/>
        <v>-100000</v>
      </c>
      <c r="Q431" s="633"/>
      <c r="V431" s="115"/>
    </row>
    <row r="432" spans="1:22" ht="12.75" customHeight="1" thickTop="1" x14ac:dyDescent="0.25">
      <c r="D432" s="340"/>
      <c r="E432" s="340"/>
      <c r="F432" s="340"/>
      <c r="G432" s="319"/>
      <c r="I432" s="318"/>
      <c r="J432" s="318"/>
      <c r="K432" s="318"/>
      <c r="L432" s="318"/>
      <c r="M432" s="318"/>
      <c r="N432" s="318"/>
      <c r="O432" s="318"/>
      <c r="Q432" s="633"/>
      <c r="V432" s="115"/>
    </row>
    <row r="433" spans="1:22" ht="12.75" customHeight="1" x14ac:dyDescent="0.25">
      <c r="A433" s="336"/>
      <c r="D433" s="333">
        <v>630901</v>
      </c>
      <c r="E433" s="331"/>
      <c r="F433" s="331"/>
      <c r="G433" s="332" t="s">
        <v>3492</v>
      </c>
      <c r="I433" s="316"/>
      <c r="J433" s="335"/>
      <c r="K433" s="335"/>
      <c r="L433" s="335"/>
      <c r="M433" s="335"/>
      <c r="N433" s="335"/>
      <c r="O433" s="335"/>
      <c r="Q433" s="633"/>
      <c r="V433" s="115"/>
    </row>
    <row r="434" spans="1:22" ht="12.75" customHeight="1" x14ac:dyDescent="0.25">
      <c r="A434" s="336"/>
      <c r="D434" s="340"/>
      <c r="E434" s="340"/>
      <c r="F434" s="340"/>
      <c r="G434" s="334" t="s">
        <v>533</v>
      </c>
      <c r="I434" s="316"/>
      <c r="J434" s="335"/>
      <c r="K434" s="335"/>
      <c r="L434" s="335"/>
      <c r="M434" s="335"/>
      <c r="N434" s="335"/>
      <c r="O434" s="335"/>
      <c r="Q434" s="633"/>
      <c r="V434" s="115"/>
    </row>
    <row r="435" spans="1:22" ht="12.75" customHeight="1" x14ac:dyDescent="0.25">
      <c r="A435" s="336">
        <v>630901</v>
      </c>
      <c r="B435" s="115" t="str">
        <f>G433</f>
        <v>Directe toerekening sportaccommodaties</v>
      </c>
      <c r="D435" s="337">
        <v>41100</v>
      </c>
      <c r="E435" s="337"/>
      <c r="F435" s="337"/>
      <c r="G435" s="319" t="s">
        <v>541</v>
      </c>
      <c r="I435" s="318"/>
      <c r="J435" s="317">
        <v>0</v>
      </c>
      <c r="K435" s="317">
        <v>0</v>
      </c>
      <c r="L435" s="317">
        <v>0</v>
      </c>
      <c r="M435" s="317">
        <v>0</v>
      </c>
      <c r="N435" s="317">
        <v>0</v>
      </c>
      <c r="O435" s="317">
        <v>0</v>
      </c>
      <c r="Q435" s="633"/>
      <c r="V435" s="115"/>
    </row>
    <row r="436" spans="1:22" ht="12.75" customHeight="1" x14ac:dyDescent="0.25">
      <c r="A436" s="336">
        <v>630901</v>
      </c>
      <c r="B436" s="115" t="str">
        <f>+G433</f>
        <v>Directe toerekening sportaccommodaties</v>
      </c>
      <c r="D436" s="337">
        <v>41100</v>
      </c>
      <c r="E436" s="337"/>
      <c r="F436" s="337"/>
      <c r="G436" s="319" t="s">
        <v>700</v>
      </c>
      <c r="I436" s="318"/>
      <c r="J436" s="318">
        <v>684137.43200000003</v>
      </c>
      <c r="K436" s="318">
        <v>675750.29</v>
      </c>
      <c r="L436" s="318">
        <f>L1275</f>
        <v>704132</v>
      </c>
      <c r="M436" s="318">
        <f>M1275</f>
        <v>730185</v>
      </c>
      <c r="N436" s="318">
        <f t="shared" ref="N436:O436" si="197">N1275</f>
        <v>757202</v>
      </c>
      <c r="O436" s="318">
        <f t="shared" si="197"/>
        <v>785218</v>
      </c>
      <c r="Q436" s="633"/>
      <c r="V436" s="115"/>
    </row>
    <row r="437" spans="1:22" ht="12.75" customHeight="1" x14ac:dyDescent="0.25">
      <c r="A437" s="336">
        <v>630901</v>
      </c>
      <c r="B437" s="115" t="s">
        <v>3492</v>
      </c>
      <c r="D437" s="2273">
        <v>47300</v>
      </c>
      <c r="E437" s="2273"/>
      <c r="F437" s="2273"/>
      <c r="G437" s="2279" t="s">
        <v>1033</v>
      </c>
      <c r="H437" s="1720"/>
      <c r="I437" s="2277"/>
      <c r="J437" s="2277">
        <v>785327</v>
      </c>
      <c r="K437" s="2277">
        <v>777187</v>
      </c>
      <c r="L437" s="2277">
        <v>808687</v>
      </c>
      <c r="M437" s="2277">
        <v>701859</v>
      </c>
      <c r="N437" s="2277">
        <f>773169+131560</f>
        <v>904729</v>
      </c>
      <c r="O437" s="2114">
        <v>0</v>
      </c>
      <c r="Q437" s="633"/>
      <c r="V437" s="115"/>
    </row>
    <row r="438" spans="1:22" ht="12.75" customHeight="1" x14ac:dyDescent="0.25">
      <c r="A438" s="336">
        <v>630901</v>
      </c>
      <c r="B438" s="115" t="s">
        <v>3492</v>
      </c>
      <c r="D438" s="337">
        <v>41100</v>
      </c>
      <c r="E438" s="337"/>
      <c r="F438" s="337"/>
      <c r="G438" s="319" t="s">
        <v>3493</v>
      </c>
      <c r="I438" s="318"/>
      <c r="J438" s="318">
        <v>7334.3724000000002</v>
      </c>
      <c r="K438" s="318">
        <v>7642.56</v>
      </c>
      <c r="L438" s="318">
        <v>7963.66</v>
      </c>
      <c r="M438" s="318">
        <v>8298.06</v>
      </c>
      <c r="N438" s="318">
        <v>8298.06</v>
      </c>
      <c r="O438" s="318">
        <v>8298.06</v>
      </c>
      <c r="Q438" s="633"/>
      <c r="R438" s="394">
        <v>-12639.78</v>
      </c>
      <c r="S438" s="394">
        <v>-2103.9499999999998</v>
      </c>
      <c r="T438" s="394">
        <v>-2190.08</v>
      </c>
      <c r="U438" s="394">
        <v>-2279.98</v>
      </c>
      <c r="V438" s="114">
        <v>-2373.3599999999997</v>
      </c>
    </row>
    <row r="439" spans="1:22" ht="12.75" customHeight="1" x14ac:dyDescent="0.25">
      <c r="A439" s="336"/>
      <c r="D439" s="337"/>
      <c r="E439" s="337"/>
      <c r="F439" s="337"/>
      <c r="G439" s="319"/>
      <c r="I439" s="318"/>
      <c r="J439" s="318"/>
      <c r="K439" s="318"/>
      <c r="L439" s="318"/>
      <c r="M439" s="318"/>
      <c r="N439" s="318"/>
      <c r="O439" s="318"/>
      <c r="Q439" s="633"/>
      <c r="R439" s="394">
        <v>-21497.670000000002</v>
      </c>
      <c r="S439" s="394">
        <v>-16483.89</v>
      </c>
      <c r="T439" s="394">
        <v>-20290.14</v>
      </c>
      <c r="U439" s="394">
        <v>-20291.59</v>
      </c>
      <c r="V439" s="114">
        <v>-19470.599999999999</v>
      </c>
    </row>
    <row r="440" spans="1:22" ht="12.75" customHeight="1" x14ac:dyDescent="0.25">
      <c r="A440" s="336"/>
      <c r="D440" s="337"/>
      <c r="E440" s="337"/>
      <c r="F440" s="337"/>
      <c r="G440" s="319"/>
      <c r="I440" s="318"/>
      <c r="J440" s="318"/>
      <c r="K440" s="318"/>
      <c r="L440" s="318"/>
      <c r="M440" s="318"/>
      <c r="N440" s="318"/>
      <c r="O440" s="318"/>
      <c r="Q440" s="633"/>
      <c r="V440" s="115"/>
    </row>
    <row r="441" spans="1:22" ht="12.75" customHeight="1" thickBot="1" x14ac:dyDescent="0.3">
      <c r="A441" s="336"/>
      <c r="D441" s="1086"/>
      <c r="E441" s="1087"/>
      <c r="F441" s="1087"/>
      <c r="G441" s="168" t="s">
        <v>536</v>
      </c>
      <c r="H441" s="149"/>
      <c r="I441" s="156"/>
      <c r="J441" s="480">
        <v>1476798.8044</v>
      </c>
      <c r="K441" s="480">
        <v>1460579.85</v>
      </c>
      <c r="L441" s="480">
        <f>SUM(L435:L439)</f>
        <v>1520782.66</v>
      </c>
      <c r="M441" s="480">
        <f>SUM(M435:M439)</f>
        <v>1440342.06</v>
      </c>
      <c r="N441" s="480">
        <f>SUM(N435:N439)</f>
        <v>1670229.06</v>
      </c>
      <c r="O441" s="480">
        <f>SUM(O435:O439)</f>
        <v>793516.06</v>
      </c>
      <c r="Q441" s="633"/>
      <c r="V441" s="115"/>
    </row>
    <row r="442" spans="1:22" ht="12.75" customHeight="1" thickTop="1" x14ac:dyDescent="0.25">
      <c r="A442" s="336"/>
      <c r="D442" s="384"/>
      <c r="E442" s="384"/>
      <c r="F442" s="384"/>
      <c r="G442" s="381"/>
      <c r="Q442" s="633"/>
      <c r="V442" s="115"/>
    </row>
    <row r="443" spans="1:22" ht="12.75" customHeight="1" x14ac:dyDescent="0.25">
      <c r="A443" s="336"/>
      <c r="D443" s="384"/>
      <c r="E443" s="384"/>
      <c r="F443" s="384"/>
      <c r="G443" s="381"/>
    </row>
    <row r="444" spans="1:22" ht="12.75" customHeight="1" x14ac:dyDescent="0.25">
      <c r="D444" s="428" t="s">
        <v>3494</v>
      </c>
      <c r="E444" s="384"/>
      <c r="F444" s="384"/>
      <c r="G444" s="401"/>
      <c r="H444" s="401"/>
    </row>
    <row r="445" spans="1:22" ht="12.75" customHeight="1" x14ac:dyDescent="0.25">
      <c r="D445" s="428" t="s">
        <v>3439</v>
      </c>
      <c r="E445" s="384"/>
      <c r="F445" s="384"/>
      <c r="G445" s="401"/>
      <c r="H445" s="401"/>
    </row>
    <row r="446" spans="1:22" ht="12.75" customHeight="1" x14ac:dyDescent="0.25">
      <c r="D446" s="428"/>
      <c r="E446" s="384"/>
      <c r="F446" s="384"/>
      <c r="G446" s="401"/>
      <c r="H446" s="401"/>
    </row>
    <row r="447" spans="1:22" ht="12.75" customHeight="1" x14ac:dyDescent="0.25">
      <c r="D447" s="411" t="s">
        <v>3495</v>
      </c>
      <c r="E447" s="384"/>
      <c r="F447" s="384"/>
      <c r="G447" s="401"/>
      <c r="H447" s="401"/>
    </row>
    <row r="448" spans="1:22" ht="12.75" customHeight="1" x14ac:dyDescent="0.25">
      <c r="D448" s="411" t="s">
        <v>3496</v>
      </c>
      <c r="E448" s="384"/>
      <c r="F448" s="384"/>
      <c r="G448" s="401"/>
      <c r="H448" s="401"/>
    </row>
    <row r="449" spans="4:22" ht="12.75" customHeight="1" x14ac:dyDescent="0.25">
      <c r="D449" s="393"/>
      <c r="E449" s="382"/>
      <c r="F449" s="382"/>
      <c r="G449" s="397"/>
    </row>
    <row r="450" spans="4:22" ht="12.75" customHeight="1" x14ac:dyDescent="0.25">
      <c r="D450" s="393">
        <v>630001</v>
      </c>
      <c r="E450" s="381" t="s">
        <v>3497</v>
      </c>
      <c r="F450" s="115"/>
    </row>
    <row r="451" spans="4:22" ht="12.75" customHeight="1" x14ac:dyDescent="0.25">
      <c r="D451" s="393"/>
      <c r="E451" s="383" t="s">
        <v>533</v>
      </c>
      <c r="F451" s="115"/>
    </row>
    <row r="452" spans="4:22" ht="12.75" customHeight="1" x14ac:dyDescent="0.25">
      <c r="D452" s="384"/>
      <c r="E452" s="115" t="s">
        <v>3498</v>
      </c>
      <c r="F452" s="115"/>
    </row>
    <row r="453" spans="4:22" ht="12.75" customHeight="1" x14ac:dyDescent="0.25">
      <c r="D453" s="384"/>
      <c r="E453" s="115"/>
      <c r="F453" s="115"/>
    </row>
    <row r="454" spans="4:22" ht="12.75" customHeight="1" x14ac:dyDescent="0.25">
      <c r="D454" s="384"/>
      <c r="E454" s="115"/>
      <c r="F454" s="115"/>
    </row>
    <row r="455" spans="4:22" ht="12.75" customHeight="1" x14ac:dyDescent="0.25">
      <c r="D455" s="393">
        <v>630005</v>
      </c>
      <c r="E455" s="381" t="s">
        <v>3499</v>
      </c>
      <c r="F455" s="115"/>
      <c r="J455" s="395">
        <v>2025</v>
      </c>
      <c r="K455" s="395">
        <v>2026</v>
      </c>
      <c r="L455" s="395">
        <v>2027</v>
      </c>
      <c r="M455" s="395">
        <v>2028</v>
      </c>
      <c r="N455" s="395">
        <v>2029</v>
      </c>
      <c r="O455" s="395">
        <v>2030</v>
      </c>
      <c r="Q455" s="633"/>
      <c r="V455" s="115"/>
    </row>
    <row r="456" spans="4:22" ht="12.75" customHeight="1" x14ac:dyDescent="0.25">
      <c r="D456" s="393"/>
      <c r="E456" s="383" t="s">
        <v>533</v>
      </c>
      <c r="F456" s="115"/>
      <c r="J456" s="531"/>
      <c r="K456" s="531"/>
      <c r="L456" s="531"/>
      <c r="M456" s="531"/>
      <c r="N456" s="531"/>
      <c r="O456" s="531"/>
      <c r="Q456" s="633"/>
      <c r="V456" s="115"/>
    </row>
    <row r="457" spans="4:22" ht="12.75" customHeight="1" x14ac:dyDescent="0.25">
      <c r="D457" s="393"/>
      <c r="E457" s="115" t="s">
        <v>3500</v>
      </c>
      <c r="F457" s="115"/>
      <c r="J457" s="531"/>
      <c r="K457" s="531"/>
      <c r="L457" s="531"/>
      <c r="M457" s="531"/>
      <c r="N457" s="531"/>
      <c r="O457" s="531"/>
      <c r="Q457" s="633"/>
      <c r="V457" s="115"/>
    </row>
    <row r="458" spans="4:22" ht="12.75" customHeight="1" x14ac:dyDescent="0.25">
      <c r="D458" s="393"/>
      <c r="E458" s="115"/>
      <c r="F458" s="115"/>
      <c r="J458" s="531"/>
      <c r="K458" s="531"/>
      <c r="L458" s="531"/>
      <c r="M458" s="531"/>
      <c r="N458" s="531"/>
      <c r="O458" s="531"/>
      <c r="Q458" s="633"/>
      <c r="V458" s="115"/>
    </row>
    <row r="459" spans="4:22" ht="12.75" customHeight="1" x14ac:dyDescent="0.25">
      <c r="D459" s="143">
        <v>43511</v>
      </c>
      <c r="E459" s="115" t="s">
        <v>3501</v>
      </c>
      <c r="F459" s="115"/>
      <c r="Q459" s="633"/>
      <c r="V459" s="115"/>
    </row>
    <row r="460" spans="4:22" ht="12.75" customHeight="1" x14ac:dyDescent="0.25">
      <c r="D460" s="143"/>
      <c r="E460" s="115"/>
      <c r="F460" s="115"/>
      <c r="G460" s="1088"/>
      <c r="H460" s="1088"/>
      <c r="I460" s="1088"/>
      <c r="J460" s="114"/>
      <c r="K460" s="114"/>
      <c r="L460" s="114"/>
      <c r="M460" s="114"/>
      <c r="N460" s="114"/>
      <c r="O460" s="114"/>
      <c r="Q460" s="633"/>
      <c r="V460" s="115"/>
    </row>
    <row r="461" spans="4:22" ht="12.75" customHeight="1" x14ac:dyDescent="0.25">
      <c r="D461" s="143"/>
      <c r="E461" s="115">
        <v>40</v>
      </c>
      <c r="F461" s="115" t="s">
        <v>3502</v>
      </c>
      <c r="G461" s="1088">
        <v>25.27</v>
      </c>
      <c r="H461" s="1088"/>
      <c r="I461" s="1088"/>
      <c r="J461" s="114">
        <v>1010.8</v>
      </c>
      <c r="K461" s="114"/>
      <c r="L461" s="114"/>
      <c r="M461" s="114"/>
      <c r="N461" s="114"/>
      <c r="O461" s="114"/>
      <c r="Q461" s="633"/>
      <c r="V461" s="115"/>
    </row>
    <row r="462" spans="4:22" ht="12.75" customHeight="1" x14ac:dyDescent="0.25">
      <c r="D462" s="143"/>
      <c r="E462" s="115">
        <v>40</v>
      </c>
      <c r="F462" s="115" t="s">
        <v>3502</v>
      </c>
      <c r="G462" s="1088">
        <f>ROUND(G461*T$3,2)</f>
        <v>25.78</v>
      </c>
      <c r="H462" s="1088"/>
      <c r="I462" s="1088"/>
      <c r="J462" s="114"/>
      <c r="K462" s="114">
        <v>1031.2</v>
      </c>
      <c r="L462" s="114"/>
      <c r="M462" s="114"/>
      <c r="N462" s="114"/>
      <c r="O462" s="114"/>
      <c r="Q462" s="633"/>
      <c r="V462" s="115"/>
    </row>
    <row r="463" spans="4:22" ht="12.75" customHeight="1" x14ac:dyDescent="0.25">
      <c r="D463" s="143"/>
      <c r="E463" s="115">
        <v>40</v>
      </c>
      <c r="F463" s="115" t="s">
        <v>3502</v>
      </c>
      <c r="G463" s="1088">
        <f>ROUND(G462*U3,2)</f>
        <v>26.86</v>
      </c>
      <c r="H463" s="1088"/>
      <c r="I463" s="1088"/>
      <c r="J463" s="114"/>
      <c r="K463" s="114"/>
      <c r="L463" s="114">
        <f>$E463*$G463</f>
        <v>1074.4000000000001</v>
      </c>
      <c r="M463" s="114"/>
      <c r="N463" s="114"/>
      <c r="O463" s="114"/>
      <c r="Q463" s="633"/>
      <c r="V463" s="115"/>
    </row>
    <row r="464" spans="4:22" ht="12.75" customHeight="1" x14ac:dyDescent="0.25">
      <c r="D464" s="143"/>
      <c r="E464" s="115">
        <v>41</v>
      </c>
      <c r="F464" s="115" t="s">
        <v>3502</v>
      </c>
      <c r="G464" s="1088">
        <f>ROUND(G463*V$3,2)</f>
        <v>27.85</v>
      </c>
      <c r="H464" s="1088"/>
      <c r="I464" s="1088"/>
      <c r="J464" s="114"/>
      <c r="K464" s="114"/>
      <c r="L464" s="114"/>
      <c r="M464" s="114">
        <f>$E464*$G464</f>
        <v>1141.8500000000001</v>
      </c>
      <c r="N464" s="114"/>
      <c r="O464" s="114"/>
      <c r="Q464" s="633"/>
      <c r="V464" s="115"/>
    </row>
    <row r="465" spans="4:22" ht="12.75" customHeight="1" x14ac:dyDescent="0.25">
      <c r="D465" s="143"/>
      <c r="E465" s="358">
        <v>41</v>
      </c>
      <c r="F465" s="358" t="s">
        <v>3502</v>
      </c>
      <c r="G465" s="2064">
        <f>ROUND(G464*W$3,2)</f>
        <v>28.88</v>
      </c>
      <c r="H465" s="1088"/>
      <c r="I465" s="1088"/>
      <c r="J465" s="114"/>
      <c r="K465" s="114"/>
      <c r="L465" s="114"/>
      <c r="M465" s="114"/>
      <c r="N465" s="114">
        <f>$E465*$G465</f>
        <v>1184.08</v>
      </c>
      <c r="O465" s="114"/>
      <c r="Q465" s="633"/>
      <c r="V465" s="115"/>
    </row>
    <row r="466" spans="4:22" ht="12.75" customHeight="1" x14ac:dyDescent="0.25">
      <c r="D466" s="143"/>
      <c r="E466" s="358">
        <v>41</v>
      </c>
      <c r="F466" s="358" t="s">
        <v>3502</v>
      </c>
      <c r="G466" s="2064">
        <f>ROUND(G465*X$3,2)</f>
        <v>29.95</v>
      </c>
      <c r="H466" s="1088"/>
      <c r="I466" s="1088"/>
      <c r="J466" s="114"/>
      <c r="K466" s="114"/>
      <c r="L466" s="114"/>
      <c r="M466" s="114"/>
      <c r="N466" s="114"/>
      <c r="O466" s="114">
        <f>$E466*$G466</f>
        <v>1227.95</v>
      </c>
      <c r="Q466" s="633"/>
      <c r="V466" s="115"/>
    </row>
    <row r="467" spans="4:22" ht="12.75" customHeight="1" x14ac:dyDescent="0.25">
      <c r="D467" s="143"/>
      <c r="E467" s="358" t="s">
        <v>5301</v>
      </c>
      <c r="F467" s="358"/>
      <c r="G467" s="2064"/>
      <c r="H467" s="1088"/>
      <c r="I467" s="1088"/>
      <c r="J467" s="114"/>
      <c r="K467" s="114"/>
      <c r="L467" s="114"/>
      <c r="M467" s="114"/>
      <c r="N467" s="544">
        <v>-53</v>
      </c>
      <c r="O467" s="114"/>
      <c r="Q467" s="633"/>
      <c r="V467" s="115"/>
    </row>
    <row r="468" spans="4:22" ht="12.75" customHeight="1" thickBot="1" x14ac:dyDescent="0.3">
      <c r="D468" s="143"/>
      <c r="E468" s="115" t="str">
        <f>"Totaal "&amp;D459</f>
        <v>Totaal 43511</v>
      </c>
      <c r="F468" s="115"/>
      <c r="J468" s="1744">
        <f t="shared" ref="J468:M468" si="198">SUM(J458:J467)</f>
        <v>1010.8</v>
      </c>
      <c r="K468" s="1744">
        <f t="shared" si="198"/>
        <v>1031.2</v>
      </c>
      <c r="L468" s="1744">
        <f t="shared" si="198"/>
        <v>1074.4000000000001</v>
      </c>
      <c r="M468" s="1744">
        <f t="shared" si="198"/>
        <v>1141.8500000000001</v>
      </c>
      <c r="N468" s="1744">
        <f>SUM(N458:N467)</f>
        <v>1131.08</v>
      </c>
      <c r="O468" s="1744">
        <f t="shared" ref="O468" si="199">SUM(O458:O467)</f>
        <v>1227.95</v>
      </c>
      <c r="Q468" s="633"/>
      <c r="V468" s="115"/>
    </row>
    <row r="469" spans="4:22" ht="12.75" customHeight="1" thickTop="1" x14ac:dyDescent="0.25">
      <c r="D469" s="143"/>
      <c r="E469" s="115"/>
      <c r="F469" s="115"/>
    </row>
    <row r="470" spans="4:22" ht="12.75" customHeight="1" x14ac:dyDescent="0.25">
      <c r="D470" s="143"/>
      <c r="E470" s="115"/>
      <c r="F470" s="115"/>
    </row>
    <row r="471" spans="4:22" ht="12.75" customHeight="1" x14ac:dyDescent="0.25">
      <c r="D471" s="393">
        <v>630002</v>
      </c>
      <c r="E471" s="381" t="s">
        <v>3503</v>
      </c>
      <c r="F471" s="393"/>
    </row>
    <row r="472" spans="4:22" ht="12.75" customHeight="1" x14ac:dyDescent="0.25">
      <c r="D472" s="143"/>
      <c r="E472" s="383" t="s">
        <v>533</v>
      </c>
      <c r="F472" s="115"/>
    </row>
    <row r="473" spans="4:22" ht="12.75" customHeight="1" x14ac:dyDescent="0.25">
      <c r="D473" s="143"/>
      <c r="E473" s="115" t="s">
        <v>3504</v>
      </c>
      <c r="F473" s="115"/>
    </row>
    <row r="474" spans="4:22" ht="12.75" customHeight="1" x14ac:dyDescent="0.25">
      <c r="D474" s="143"/>
      <c r="E474" s="115"/>
      <c r="F474" s="115"/>
    </row>
    <row r="475" spans="4:22" ht="12.75" customHeight="1" x14ac:dyDescent="0.25">
      <c r="D475" s="143"/>
      <c r="E475" s="115"/>
      <c r="F475" s="115"/>
    </row>
    <row r="476" spans="4:22" ht="12.75" customHeight="1" x14ac:dyDescent="0.25">
      <c r="D476" s="393">
        <v>630003</v>
      </c>
      <c r="E476" s="381" t="s">
        <v>3505</v>
      </c>
      <c r="F476" s="115"/>
    </row>
    <row r="477" spans="4:22" ht="12.75" customHeight="1" x14ac:dyDescent="0.25">
      <c r="D477" s="384"/>
      <c r="E477" s="383" t="s">
        <v>533</v>
      </c>
      <c r="F477" s="115"/>
    </row>
    <row r="478" spans="4:22" ht="12.75" customHeight="1" x14ac:dyDescent="0.25">
      <c r="D478" s="384"/>
      <c r="E478" s="115" t="s">
        <v>3506</v>
      </c>
      <c r="F478" s="115"/>
    </row>
    <row r="479" spans="4:22" ht="12.75" customHeight="1" x14ac:dyDescent="0.25">
      <c r="D479" s="384"/>
      <c r="E479" s="115"/>
      <c r="F479" s="115"/>
    </row>
    <row r="480" spans="4:22" ht="12.75" customHeight="1" x14ac:dyDescent="0.25">
      <c r="D480" s="384"/>
      <c r="E480" s="383"/>
      <c r="F480" s="115"/>
    </row>
    <row r="481" spans="4:22" ht="12.75" customHeight="1" x14ac:dyDescent="0.25">
      <c r="D481" s="393">
        <v>630901</v>
      </c>
      <c r="E481" s="1089" t="s">
        <v>3507</v>
      </c>
      <c r="F481" s="115"/>
      <c r="G481" s="114"/>
      <c r="H481" s="114"/>
      <c r="I481" s="114"/>
    </row>
    <row r="482" spans="4:22" ht="12.75" customHeight="1" x14ac:dyDescent="0.25">
      <c r="D482" s="143">
        <v>47300</v>
      </c>
      <c r="E482" s="308" t="s">
        <v>3508</v>
      </c>
      <c r="F482" s="115"/>
      <c r="G482" s="114"/>
      <c r="H482" s="114"/>
      <c r="I482" s="114"/>
    </row>
    <row r="483" spans="4:22" ht="12.75" customHeight="1" x14ac:dyDescent="0.25">
      <c r="D483" s="143"/>
      <c r="E483" s="308"/>
      <c r="F483" s="115"/>
      <c r="G483" s="114"/>
      <c r="H483" s="114"/>
      <c r="I483" s="114"/>
    </row>
    <row r="484" spans="4:22" ht="12.75" customHeight="1" x14ac:dyDescent="0.25">
      <c r="D484" s="143"/>
      <c r="E484" s="308"/>
      <c r="F484" s="115"/>
      <c r="G484" s="114"/>
      <c r="H484" s="114"/>
      <c r="I484" s="114"/>
    </row>
    <row r="485" spans="4:22" ht="12.75" customHeight="1" x14ac:dyDescent="0.25">
      <c r="D485" s="433">
        <v>630006</v>
      </c>
      <c r="E485" s="381" t="s">
        <v>3461</v>
      </c>
      <c r="F485" s="115"/>
    </row>
    <row r="486" spans="4:22" ht="12.75" customHeight="1" x14ac:dyDescent="0.25">
      <c r="D486" s="648"/>
      <c r="E486" s="115" t="s">
        <v>3509</v>
      </c>
      <c r="F486" s="115"/>
    </row>
    <row r="487" spans="4:22" ht="12.75" customHeight="1" x14ac:dyDescent="0.25">
      <c r="D487" s="648"/>
      <c r="E487" s="115" t="s">
        <v>3510</v>
      </c>
      <c r="F487" s="115"/>
    </row>
    <row r="488" spans="4:22" ht="12.75" customHeight="1" x14ac:dyDescent="0.25">
      <c r="D488" s="648"/>
      <c r="E488" s="381"/>
      <c r="F488" s="115"/>
    </row>
    <row r="489" spans="4:22" ht="12.75" customHeight="1" thickBot="1" x14ac:dyDescent="0.3">
      <c r="D489" s="384">
        <v>43802</v>
      </c>
      <c r="E489" s="115" t="s">
        <v>3511</v>
      </c>
      <c r="F489" s="115"/>
      <c r="J489" s="1744">
        <v>3034</v>
      </c>
      <c r="K489" s="1744">
        <v>3113</v>
      </c>
      <c r="L489" s="1744">
        <f>ROUND(K489*U$2,0)</f>
        <v>3178</v>
      </c>
      <c r="M489" s="1744">
        <f>ROUND(L489*V$2,0)</f>
        <v>3251</v>
      </c>
      <c r="N489" s="1744">
        <f>ROUND(M489*W$2,0)</f>
        <v>3326</v>
      </c>
      <c r="O489" s="1744">
        <f>ROUND(N489*X$2,0)</f>
        <v>3402</v>
      </c>
      <c r="Q489" s="633"/>
      <c r="V489" s="115"/>
    </row>
    <row r="490" spans="4:22" ht="12.75" customHeight="1" thickTop="1" x14ac:dyDescent="0.25">
      <c r="D490" s="384"/>
      <c r="E490" s="115" t="s">
        <v>3512</v>
      </c>
      <c r="F490" s="115"/>
      <c r="Q490" s="633"/>
      <c r="V490" s="115"/>
    </row>
    <row r="491" spans="4:22" ht="12.75" customHeight="1" x14ac:dyDescent="0.25">
      <c r="D491" s="384"/>
      <c r="E491" s="115"/>
      <c r="F491" s="115"/>
      <c r="Q491" s="633"/>
      <c r="V491" s="115"/>
    </row>
    <row r="492" spans="4:22" ht="12.75" customHeight="1" thickBot="1" x14ac:dyDescent="0.3">
      <c r="D492" s="384">
        <v>43511</v>
      </c>
      <c r="E492" s="115" t="s">
        <v>3513</v>
      </c>
      <c r="F492" s="115"/>
      <c r="J492" s="1744">
        <v>24158.872815999999</v>
      </c>
      <c r="K492" s="1744">
        <v>24642.050272320001</v>
      </c>
      <c r="L492" s="1744">
        <f>K492*U3</f>
        <v>25677.01638375744</v>
      </c>
      <c r="M492" s="1744">
        <f>L492*V3</f>
        <v>26627.065989956463</v>
      </c>
      <c r="N492" s="1744">
        <f>M492*W3</f>
        <v>27612.267431584849</v>
      </c>
      <c r="O492" s="1744">
        <f>N492*X3</f>
        <v>28633.921326553485</v>
      </c>
      <c r="Q492" s="633"/>
      <c r="V492" s="115"/>
    </row>
    <row r="493" spans="4:22" ht="12.75" customHeight="1" thickTop="1" x14ac:dyDescent="0.25">
      <c r="D493" s="384"/>
      <c r="E493" s="115" t="s">
        <v>3514</v>
      </c>
      <c r="F493" s="115"/>
      <c r="Q493" s="633"/>
      <c r="V493" s="115"/>
    </row>
    <row r="494" spans="4:22" ht="12.75" customHeight="1" x14ac:dyDescent="0.25">
      <c r="D494" s="384"/>
      <c r="E494" s="115" t="s">
        <v>3515</v>
      </c>
      <c r="F494" s="115"/>
      <c r="Q494" s="633"/>
      <c r="V494" s="115"/>
    </row>
    <row r="495" spans="4:22" ht="12.75" customHeight="1" x14ac:dyDescent="0.25">
      <c r="D495" s="384"/>
      <c r="E495" s="115" t="s">
        <v>3516</v>
      </c>
      <c r="F495" s="115"/>
      <c r="Q495" s="633"/>
      <c r="V495" s="115"/>
    </row>
    <row r="496" spans="4:22" ht="12.75" customHeight="1" x14ac:dyDescent="0.25">
      <c r="D496" s="384"/>
      <c r="E496" s="115"/>
      <c r="F496" s="115"/>
      <c r="Q496" s="633"/>
      <c r="V496" s="115"/>
    </row>
    <row r="497" spans="4:22" ht="12.75" customHeight="1" thickBot="1" x14ac:dyDescent="0.3">
      <c r="D497" s="384">
        <v>43812</v>
      </c>
      <c r="E497" s="115" t="s">
        <v>3517</v>
      </c>
      <c r="F497" s="115"/>
      <c r="J497" s="1744">
        <v>45000</v>
      </c>
      <c r="K497" s="1744">
        <v>46200</v>
      </c>
      <c r="L497" s="1744">
        <f>ROUND(K497*U$2,-2)</f>
        <v>47200</v>
      </c>
      <c r="M497" s="1744">
        <f>ROUND(L497*V$2,-2)</f>
        <v>48300</v>
      </c>
      <c r="N497" s="1744">
        <f>ROUND(M497*W$2,-2)</f>
        <v>49400</v>
      </c>
      <c r="O497" s="1744">
        <f>ROUND(N497*X$2,-2)</f>
        <v>50500</v>
      </c>
      <c r="Q497" s="633"/>
      <c r="V497" s="115"/>
    </row>
    <row r="498" spans="4:22" ht="12.75" customHeight="1" thickTop="1" x14ac:dyDescent="0.25">
      <c r="D498" s="384"/>
      <c r="E498" s="115" t="s">
        <v>3518</v>
      </c>
      <c r="F498" s="115"/>
      <c r="Q498" s="633"/>
      <c r="V498" s="115"/>
    </row>
    <row r="499" spans="4:22" ht="12.75" customHeight="1" x14ac:dyDescent="0.25">
      <c r="D499" s="384"/>
      <c r="E499" s="115" t="s">
        <v>3519</v>
      </c>
      <c r="F499" s="115"/>
    </row>
    <row r="500" spans="4:22" ht="12.75" customHeight="1" x14ac:dyDescent="0.25">
      <c r="D500" s="384"/>
      <c r="E500" s="115"/>
      <c r="F500" s="115"/>
      <c r="G500" s="114"/>
      <c r="H500" s="114"/>
      <c r="I500" s="114"/>
      <c r="J500" s="114"/>
      <c r="K500" s="114"/>
      <c r="L500" s="114"/>
      <c r="M500" s="114"/>
      <c r="N500" s="114"/>
      <c r="O500" s="114"/>
    </row>
    <row r="501" spans="4:22" ht="12.75" customHeight="1" x14ac:dyDescent="0.25">
      <c r="D501" s="143"/>
      <c r="E501" s="308"/>
      <c r="F501" s="115"/>
      <c r="G501" s="114"/>
      <c r="H501" s="114"/>
      <c r="I501" s="114"/>
    </row>
    <row r="502" spans="4:22" ht="12.75" customHeight="1" x14ac:dyDescent="0.25">
      <c r="D502" s="143"/>
      <c r="E502" s="308"/>
      <c r="F502" s="115"/>
      <c r="G502" s="114"/>
      <c r="H502" s="114"/>
      <c r="I502" s="114"/>
    </row>
    <row r="503" spans="4:22" ht="12.75" customHeight="1" x14ac:dyDescent="0.25">
      <c r="D503" s="143"/>
      <c r="E503" s="381" t="s">
        <v>3520</v>
      </c>
      <c r="F503" s="115"/>
    </row>
    <row r="504" spans="4:22" ht="12.75" customHeight="1" x14ac:dyDescent="0.25">
      <c r="D504" s="143"/>
      <c r="E504" s="2583" t="s">
        <v>3521</v>
      </c>
      <c r="F504" s="2583"/>
      <c r="G504" s="2583"/>
      <c r="H504" s="2583"/>
      <c r="I504" s="2583"/>
      <c r="J504" s="2583"/>
      <c r="K504" s="2583"/>
      <c r="L504" s="2583"/>
      <c r="M504" s="2583"/>
      <c r="N504" s="2583"/>
      <c r="O504" s="2024"/>
      <c r="P504" s="1731"/>
      <c r="Q504" s="1090"/>
      <c r="R504" s="1090"/>
    </row>
    <row r="505" spans="4:22" ht="12.75" customHeight="1" x14ac:dyDescent="0.25">
      <c r="D505" s="143"/>
      <c r="E505" s="2583"/>
      <c r="F505" s="2583"/>
      <c r="G505" s="2583"/>
      <c r="H505" s="2583"/>
      <c r="I505" s="2583"/>
      <c r="J505" s="2583"/>
      <c r="K505" s="2583"/>
      <c r="L505" s="2583"/>
      <c r="M505" s="2583"/>
      <c r="N505" s="2583"/>
      <c r="O505" s="2024"/>
      <c r="P505" s="1731"/>
    </row>
    <row r="506" spans="4:22" ht="12.75" customHeight="1" x14ac:dyDescent="0.25">
      <c r="D506" s="143">
        <v>1</v>
      </c>
      <c r="E506" s="2583" t="s">
        <v>3522</v>
      </c>
      <c r="F506" s="2583"/>
      <c r="G506" s="2583"/>
      <c r="H506" s="2583"/>
      <c r="I506" s="2583"/>
      <c r="J506" s="2583"/>
      <c r="K506" s="2583"/>
      <c r="L506" s="2583"/>
      <c r="M506" s="2583"/>
      <c r="N506" s="2583"/>
      <c r="O506" s="2024"/>
      <c r="P506" s="1731"/>
      <c r="Q506" s="1090"/>
      <c r="R506" s="1090"/>
    </row>
    <row r="507" spans="4:22" ht="12.75" customHeight="1" x14ac:dyDescent="0.25">
      <c r="D507" s="143"/>
      <c r="E507" s="2583"/>
      <c r="F507" s="2583"/>
      <c r="G507" s="2583"/>
      <c r="H507" s="2583"/>
      <c r="I507" s="2583"/>
      <c r="J507" s="2583"/>
      <c r="K507" s="2583"/>
      <c r="L507" s="2583"/>
      <c r="M507" s="2583"/>
      <c r="N507" s="2583"/>
      <c r="O507" s="2024"/>
      <c r="P507" s="1731"/>
      <c r="Q507" s="1090"/>
      <c r="R507" s="1090"/>
    </row>
    <row r="508" spans="4:22" ht="12.75" customHeight="1" x14ac:dyDescent="0.25">
      <c r="D508" s="143">
        <v>2</v>
      </c>
      <c r="E508" s="2583" t="s">
        <v>3523</v>
      </c>
      <c r="F508" s="2583"/>
      <c r="G508" s="2583"/>
      <c r="H508" s="2583"/>
      <c r="I508" s="2583"/>
      <c r="J508" s="2583"/>
      <c r="K508" s="2583"/>
      <c r="L508" s="2583"/>
      <c r="M508" s="2583"/>
      <c r="N508" s="2583"/>
      <c r="O508" s="2583"/>
      <c r="P508" s="2583"/>
      <c r="Q508" s="2583"/>
      <c r="R508" s="2583"/>
    </row>
    <row r="509" spans="4:22" ht="12.75" customHeight="1" x14ac:dyDescent="0.25">
      <c r="D509" s="557">
        <v>3</v>
      </c>
      <c r="E509" s="2583" t="s">
        <v>3524</v>
      </c>
      <c r="F509" s="2583"/>
      <c r="G509" s="2583"/>
      <c r="H509" s="2583"/>
      <c r="I509" s="2583"/>
      <c r="J509" s="2583"/>
      <c r="K509" s="2583"/>
      <c r="L509" s="2583"/>
      <c r="M509" s="2583"/>
      <c r="N509" s="2583"/>
      <c r="O509" s="2024"/>
      <c r="P509" s="1731"/>
    </row>
    <row r="510" spans="4:22" ht="12.75" customHeight="1" x14ac:dyDescent="0.25">
      <c r="D510" s="143">
        <v>4</v>
      </c>
      <c r="E510" s="2510" t="s">
        <v>3525</v>
      </c>
      <c r="F510" s="2510"/>
      <c r="G510" s="2510"/>
      <c r="H510" s="2510"/>
      <c r="I510" s="2510"/>
      <c r="J510" s="2510"/>
      <c r="K510" s="2510"/>
      <c r="L510" s="2510"/>
      <c r="M510" s="2510"/>
      <c r="N510" s="2510"/>
      <c r="O510" s="298"/>
      <c r="P510" s="1732"/>
    </row>
    <row r="511" spans="4:22" ht="12.75" customHeight="1" x14ac:dyDescent="0.25">
      <c r="D511" s="143"/>
      <c r="E511" s="2510"/>
      <c r="F511" s="2510"/>
      <c r="G511" s="2510"/>
      <c r="H511" s="2510"/>
      <c r="I511" s="2510"/>
      <c r="J511" s="2510"/>
      <c r="K511" s="2510"/>
      <c r="L511" s="2510"/>
      <c r="M511" s="2510"/>
      <c r="N511" s="2510"/>
      <c r="O511" s="298"/>
      <c r="P511" s="1732"/>
    </row>
    <row r="512" spans="4:22" ht="12.75" customHeight="1" x14ac:dyDescent="0.25">
      <c r="D512" s="143">
        <v>5</v>
      </c>
      <c r="E512" s="2583" t="s">
        <v>3526</v>
      </c>
      <c r="F512" s="2583"/>
      <c r="G512" s="2583"/>
      <c r="H512" s="2583"/>
      <c r="I512" s="2583"/>
      <c r="J512" s="2583"/>
      <c r="K512" s="2583"/>
      <c r="L512" s="2583"/>
      <c r="M512" s="2583"/>
      <c r="N512" s="2583"/>
      <c r="O512" s="2024"/>
      <c r="P512" s="1731"/>
      <c r="Q512" s="1090"/>
      <c r="R512" s="1090"/>
    </row>
    <row r="513" spans="4:19" ht="12.75" customHeight="1" x14ac:dyDescent="0.25">
      <c r="D513" s="143"/>
      <c r="G513" s="381"/>
    </row>
    <row r="514" spans="4:19" ht="12.75" customHeight="1" x14ac:dyDescent="0.25">
      <c r="D514" s="393">
        <v>630001</v>
      </c>
      <c r="E514" s="381" t="s">
        <v>3497</v>
      </c>
      <c r="F514" s="115"/>
    </row>
    <row r="515" spans="4:19" ht="12.75" customHeight="1" x14ac:dyDescent="0.25">
      <c r="D515" s="393"/>
      <c r="E515" s="383" t="s">
        <v>554</v>
      </c>
      <c r="F515" s="115"/>
    </row>
    <row r="516" spans="4:19" ht="12.75" customHeight="1" x14ac:dyDescent="0.25">
      <c r="D516" s="393"/>
      <c r="E516" s="115" t="s">
        <v>3527</v>
      </c>
      <c r="F516" s="115"/>
    </row>
    <row r="517" spans="4:19" ht="12.75" customHeight="1" x14ac:dyDescent="0.25">
      <c r="D517" s="393"/>
      <c r="E517" s="381"/>
      <c r="F517" s="115"/>
    </row>
    <row r="518" spans="4:19" ht="12.75" customHeight="1" x14ac:dyDescent="0.25">
      <c r="D518" s="143">
        <v>83600</v>
      </c>
      <c r="E518" s="115" t="s">
        <v>3528</v>
      </c>
      <c r="F518" s="115"/>
      <c r="S518" s="633" t="s">
        <v>984</v>
      </c>
    </row>
    <row r="519" spans="4:19" ht="12.75" customHeight="1" x14ac:dyDescent="0.25">
      <c r="D519" s="143"/>
      <c r="E519" s="115"/>
      <c r="F519" s="115"/>
    </row>
    <row r="520" spans="4:19" ht="12.75" customHeight="1" x14ac:dyDescent="0.3">
      <c r="D520" s="1091" t="s">
        <v>3529</v>
      </c>
      <c r="E520" s="633"/>
      <c r="G520" s="1092"/>
      <c r="J520" s="160"/>
      <c r="K520" s="1092"/>
      <c r="L520" s="1092"/>
      <c r="M520" s="1092"/>
    </row>
    <row r="521" spans="4:19" ht="12.75" customHeight="1" x14ac:dyDescent="0.3">
      <c r="D521" s="143"/>
      <c r="E521" s="633"/>
      <c r="F521" s="633"/>
      <c r="G521" s="633"/>
      <c r="J521" s="51"/>
      <c r="K521" s="633"/>
    </row>
    <row r="522" spans="4:19" ht="12.75" customHeight="1" x14ac:dyDescent="0.3">
      <c r="D522" s="1091" t="s">
        <v>3530</v>
      </c>
      <c r="E522" s="633"/>
      <c r="G522" s="1092"/>
      <c r="J522" s="51"/>
      <c r="K522" s="633"/>
    </row>
    <row r="523" spans="4:19" ht="12.75" customHeight="1" x14ac:dyDescent="0.3">
      <c r="D523" s="143"/>
      <c r="E523" s="1093"/>
      <c r="F523" s="306"/>
      <c r="G523" s="633"/>
      <c r="J523" s="51"/>
      <c r="K523" s="633"/>
    </row>
    <row r="524" spans="4:19" ht="12.75" customHeight="1" x14ac:dyDescent="0.3">
      <c r="D524" s="143"/>
      <c r="E524" s="1094"/>
      <c r="F524" s="306"/>
      <c r="G524" s="633"/>
      <c r="J524" s="51"/>
      <c r="K524" s="633"/>
      <c r="N524" s="1069" t="s">
        <v>3531</v>
      </c>
      <c r="O524" s="1069" t="s">
        <v>3531</v>
      </c>
      <c r="P524" s="1733" t="s">
        <v>3531</v>
      </c>
    </row>
    <row r="525" spans="4:19" ht="12.75" customHeight="1" x14ac:dyDescent="0.3">
      <c r="D525" s="1095" t="s">
        <v>206</v>
      </c>
      <c r="E525" s="115"/>
      <c r="F525" s="115"/>
      <c r="G525" s="161" t="s">
        <v>3532</v>
      </c>
      <c r="H525" s="1092" t="s">
        <v>3533</v>
      </c>
      <c r="I525" s="1092" t="s">
        <v>3534</v>
      </c>
      <c r="J525" s="161" t="s">
        <v>3535</v>
      </c>
      <c r="K525" s="1092" t="s">
        <v>3536</v>
      </c>
      <c r="L525" s="1092" t="s">
        <v>536</v>
      </c>
      <c r="M525" s="162">
        <v>0.2</v>
      </c>
      <c r="N525" s="163">
        <v>2024</v>
      </c>
      <c r="O525" s="163">
        <v>2024</v>
      </c>
      <c r="P525" s="1734">
        <v>2024</v>
      </c>
    </row>
    <row r="526" spans="4:19" ht="12.75" customHeight="1" x14ac:dyDescent="0.3">
      <c r="D526" s="115"/>
      <c r="E526" s="115"/>
      <c r="F526" s="115"/>
      <c r="G526" s="53"/>
      <c r="H526" s="633"/>
      <c r="I526" s="54"/>
      <c r="J526" s="54"/>
      <c r="K526" s="633"/>
      <c r="L526" s="54"/>
      <c r="M526" s="164"/>
      <c r="N526" s="53"/>
      <c r="O526" s="53"/>
      <c r="P526" s="1735"/>
    </row>
    <row r="527" spans="4:19" ht="12.75" customHeight="1" x14ac:dyDescent="0.3">
      <c r="D527" s="115" t="s">
        <v>3537</v>
      </c>
      <c r="G527" s="115">
        <v>4</v>
      </c>
      <c r="H527" s="52">
        <v>100000</v>
      </c>
      <c r="I527" s="53">
        <v>25</v>
      </c>
      <c r="J527" s="53">
        <f>+H527/I527</f>
        <v>4000</v>
      </c>
      <c r="K527" s="53">
        <v>15000</v>
      </c>
      <c r="L527" s="1096">
        <f t="shared" ref="L527:L534" si="200">SUM(J527:K527)</f>
        <v>19000</v>
      </c>
      <c r="M527" s="53">
        <f>+L527*0.2</f>
        <v>3800</v>
      </c>
      <c r="N527" s="53">
        <v>17640.220540382266</v>
      </c>
      <c r="O527" s="53">
        <v>17640.220540382266</v>
      </c>
      <c r="P527" s="1735">
        <v>17640.220540382266</v>
      </c>
    </row>
    <row r="528" spans="4:19" ht="12.75" customHeight="1" x14ac:dyDescent="0.3">
      <c r="D528" s="115" t="s">
        <v>3538</v>
      </c>
      <c r="G528" s="115">
        <v>1</v>
      </c>
      <c r="H528" s="52">
        <v>200000</v>
      </c>
      <c r="I528" s="53">
        <v>15</v>
      </c>
      <c r="J528" s="53">
        <f t="shared" ref="J528:J534" si="201">+H528/I528</f>
        <v>13333.333333333334</v>
      </c>
      <c r="K528" s="53">
        <v>15000</v>
      </c>
      <c r="L528" s="1096">
        <f t="shared" si="200"/>
        <v>28333.333333333336</v>
      </c>
      <c r="M528" s="53">
        <f t="shared" ref="M528:M534" si="202">+L528*0.2</f>
        <v>5666.6666666666679</v>
      </c>
      <c r="N528" s="53"/>
      <c r="O528" s="53"/>
      <c r="P528" s="1735"/>
    </row>
    <row r="529" spans="4:16" ht="12.75" customHeight="1" x14ac:dyDescent="0.3">
      <c r="D529" s="115" t="s">
        <v>3539</v>
      </c>
      <c r="G529" s="115">
        <v>1</v>
      </c>
      <c r="H529" s="52">
        <v>200000</v>
      </c>
      <c r="I529" s="53">
        <v>30</v>
      </c>
      <c r="J529" s="53">
        <f t="shared" si="201"/>
        <v>6666.666666666667</v>
      </c>
      <c r="K529" s="53"/>
      <c r="L529" s="1096">
        <f t="shared" si="200"/>
        <v>6666.666666666667</v>
      </c>
      <c r="M529" s="53">
        <f t="shared" si="202"/>
        <v>1333.3333333333335</v>
      </c>
      <c r="N529" s="53">
        <v>1691.9807302055774</v>
      </c>
      <c r="O529" s="53">
        <v>1691.9807302055774</v>
      </c>
      <c r="P529" s="1735">
        <v>1691.9807302055774</v>
      </c>
    </row>
    <row r="530" spans="4:16" ht="12.75" customHeight="1" x14ac:dyDescent="0.3">
      <c r="D530" s="115" t="s">
        <v>3540</v>
      </c>
      <c r="G530" s="115">
        <v>1</v>
      </c>
      <c r="H530" s="52">
        <v>175000</v>
      </c>
      <c r="I530" s="53">
        <v>12</v>
      </c>
      <c r="J530" s="53">
        <f t="shared" si="201"/>
        <v>14583.333333333334</v>
      </c>
      <c r="K530" s="53">
        <v>15000</v>
      </c>
      <c r="L530" s="1096">
        <f t="shared" si="200"/>
        <v>29583.333333333336</v>
      </c>
      <c r="M530" s="53">
        <f t="shared" si="202"/>
        <v>5916.6666666666679</v>
      </c>
      <c r="N530" s="53">
        <v>7180.1852938646198</v>
      </c>
      <c r="O530" s="53">
        <v>7180.1852938646198</v>
      </c>
      <c r="P530" s="1735">
        <v>7180.1852938646198</v>
      </c>
    </row>
    <row r="531" spans="4:16" ht="12.75" customHeight="1" x14ac:dyDescent="0.3">
      <c r="D531" s="115" t="s">
        <v>3541</v>
      </c>
      <c r="G531" s="115">
        <v>1</v>
      </c>
      <c r="H531" s="52">
        <v>175000</v>
      </c>
      <c r="I531" s="53">
        <v>30</v>
      </c>
      <c r="J531" s="53">
        <f t="shared" si="201"/>
        <v>5833.333333333333</v>
      </c>
      <c r="K531" s="53"/>
      <c r="L531" s="1096">
        <f t="shared" si="200"/>
        <v>5833.333333333333</v>
      </c>
      <c r="M531" s="53">
        <f t="shared" si="202"/>
        <v>1166.6666666666667</v>
      </c>
      <c r="N531" s="53">
        <v>1415.8111847057</v>
      </c>
      <c r="O531" s="53">
        <v>1415.8111847057</v>
      </c>
      <c r="P531" s="1735">
        <v>1415.8111847057</v>
      </c>
    </row>
    <row r="532" spans="4:16" ht="12.75" customHeight="1" x14ac:dyDescent="0.3">
      <c r="D532" s="115" t="s">
        <v>3542</v>
      </c>
      <c r="G532" s="115">
        <v>1</v>
      </c>
      <c r="H532" s="52">
        <v>417000</v>
      </c>
      <c r="I532" s="53">
        <v>12</v>
      </c>
      <c r="J532" s="53">
        <f t="shared" si="201"/>
        <v>34750</v>
      </c>
      <c r="K532" s="53">
        <v>15000</v>
      </c>
      <c r="L532" s="1096">
        <f t="shared" si="200"/>
        <v>49750</v>
      </c>
      <c r="M532" s="53">
        <f t="shared" si="202"/>
        <v>9950</v>
      </c>
      <c r="N532" s="53">
        <v>9950</v>
      </c>
      <c r="O532" s="53">
        <v>9950</v>
      </c>
      <c r="P532" s="1735">
        <v>9950</v>
      </c>
    </row>
    <row r="533" spans="4:16" ht="12.75" customHeight="1" x14ac:dyDescent="0.3">
      <c r="D533" s="115" t="s">
        <v>3543</v>
      </c>
      <c r="G533" s="115">
        <v>4</v>
      </c>
      <c r="H533" s="52">
        <v>25000</v>
      </c>
      <c r="I533" s="53">
        <v>20</v>
      </c>
      <c r="J533" s="53">
        <f t="shared" si="201"/>
        <v>1250</v>
      </c>
      <c r="K533" s="53">
        <v>500</v>
      </c>
      <c r="L533" s="1096">
        <f t="shared" si="200"/>
        <v>1750</v>
      </c>
      <c r="M533" s="53">
        <f t="shared" si="202"/>
        <v>350</v>
      </c>
      <c r="N533" s="53">
        <v>1442.3149999999996</v>
      </c>
      <c r="O533" s="53">
        <v>1442.3149999999996</v>
      </c>
      <c r="P533" s="1735">
        <v>1442.3149999999996</v>
      </c>
    </row>
    <row r="534" spans="4:16" ht="12.75" customHeight="1" x14ac:dyDescent="0.3">
      <c r="D534" s="115" t="s">
        <v>3544</v>
      </c>
      <c r="G534" s="115">
        <v>12</v>
      </c>
      <c r="H534" s="52">
        <v>60000</v>
      </c>
      <c r="I534" s="53">
        <v>30</v>
      </c>
      <c r="J534" s="53">
        <f t="shared" si="201"/>
        <v>2000</v>
      </c>
      <c r="K534" s="53">
        <v>500</v>
      </c>
      <c r="L534" s="1096">
        <f t="shared" si="200"/>
        <v>2500</v>
      </c>
      <c r="M534" s="53">
        <f t="shared" si="202"/>
        <v>500</v>
      </c>
      <c r="N534" s="53">
        <v>7728.1219852139729</v>
      </c>
      <c r="O534" s="53">
        <v>7728.1219852139729</v>
      </c>
      <c r="P534" s="1735">
        <v>7728.1219852139729</v>
      </c>
    </row>
    <row r="535" spans="4:16" ht="12.75" customHeight="1" x14ac:dyDescent="0.3">
      <c r="D535" s="115" t="s">
        <v>3545</v>
      </c>
      <c r="H535" s="52"/>
      <c r="I535" s="53"/>
      <c r="J535" s="53"/>
      <c r="K535" s="53"/>
      <c r="L535" s="1096"/>
      <c r="M535" s="53"/>
      <c r="N535" s="53"/>
      <c r="O535" s="53"/>
      <c r="P535" s="1735"/>
    </row>
    <row r="536" spans="4:16" ht="12.75" customHeight="1" x14ac:dyDescent="0.3">
      <c r="D536" s="115" t="s">
        <v>3546</v>
      </c>
      <c r="H536" s="52"/>
      <c r="I536" s="53"/>
      <c r="J536" s="53"/>
      <c r="K536" s="53"/>
      <c r="L536" s="1096"/>
      <c r="M536" s="53"/>
      <c r="N536" s="53"/>
      <c r="O536" s="53"/>
      <c r="P536" s="1735"/>
    </row>
    <row r="537" spans="4:16" ht="12.75" customHeight="1" x14ac:dyDescent="0.3">
      <c r="D537" s="115"/>
      <c r="E537" s="115"/>
      <c r="F537" s="115"/>
      <c r="G537" s="53"/>
      <c r="H537" s="53"/>
      <c r="J537" s="53"/>
      <c r="K537" s="53"/>
      <c r="L537" s="1096"/>
      <c r="M537" s="53"/>
      <c r="N537" s="53"/>
      <c r="O537" s="53"/>
      <c r="P537" s="1735"/>
    </row>
    <row r="538" spans="4:16" ht="12.75" customHeight="1" thickBot="1" x14ac:dyDescent="0.35">
      <c r="D538" s="115"/>
      <c r="E538" s="115"/>
      <c r="F538" s="115"/>
      <c r="G538" s="53"/>
      <c r="H538" s="53"/>
      <c r="J538" s="53"/>
      <c r="K538" s="53"/>
      <c r="L538" s="1096"/>
      <c r="M538" s="53"/>
      <c r="N538" s="1898">
        <f>SUM(N527:N534)</f>
        <v>47048.634734372143</v>
      </c>
      <c r="O538" s="1898">
        <f>SUM(O527:O534)</f>
        <v>47048.634734372143</v>
      </c>
      <c r="P538" s="1899">
        <f>SUM(P527:P534)</f>
        <v>47048.634734372143</v>
      </c>
    </row>
    <row r="539" spans="4:16" ht="12.75" customHeight="1" thickTop="1" x14ac:dyDescent="0.3">
      <c r="D539" s="115"/>
      <c r="E539" s="53"/>
      <c r="F539" s="53"/>
      <c r="H539" s="53"/>
      <c r="I539" s="53"/>
      <c r="J539" s="1096"/>
    </row>
    <row r="540" spans="4:16" ht="12.75" customHeight="1" x14ac:dyDescent="0.3">
      <c r="D540" s="143"/>
      <c r="E540" s="394"/>
      <c r="F540" s="306"/>
      <c r="G540" s="633"/>
      <c r="H540" s="1069" t="s">
        <v>3531</v>
      </c>
      <c r="J540" s="54"/>
    </row>
    <row r="541" spans="4:16" ht="12.75" customHeight="1" x14ac:dyDescent="0.25">
      <c r="D541" s="143"/>
      <c r="E541" s="115"/>
      <c r="H541" s="163">
        <v>2024</v>
      </c>
      <c r="I541" s="163">
        <v>2025</v>
      </c>
      <c r="J541" s="163">
        <v>2026</v>
      </c>
      <c r="K541" s="163">
        <v>2027</v>
      </c>
      <c r="L541" s="163">
        <v>2028</v>
      </c>
      <c r="M541" s="163">
        <v>2029</v>
      </c>
      <c r="N541" s="163">
        <v>2030</v>
      </c>
    </row>
    <row r="542" spans="4:16" ht="12.75" customHeight="1" x14ac:dyDescent="0.3">
      <c r="D542" s="143"/>
      <c r="E542" s="115"/>
      <c r="H542" s="53"/>
      <c r="O542" s="1096"/>
    </row>
    <row r="543" spans="4:16" ht="12.75" customHeight="1" x14ac:dyDescent="0.3">
      <c r="D543" s="115" t="s">
        <v>3537</v>
      </c>
      <c r="E543" s="115"/>
      <c r="F543" s="115"/>
      <c r="G543" s="115">
        <v>4</v>
      </c>
      <c r="H543" s="53">
        <v>17640.220540382266</v>
      </c>
      <c r="I543" s="1097">
        <v>18134.146715512969</v>
      </c>
      <c r="J543" s="1097">
        <v>18605.634530116306</v>
      </c>
      <c r="K543" s="1097">
        <f>+J543*U$2</f>
        <v>18996.352855248748</v>
      </c>
      <c r="L543" s="1097">
        <f t="shared" ref="L543:N543" si="203">+K543*V$2</f>
        <v>19433.268970919467</v>
      </c>
      <c r="M543" s="1097">
        <f t="shared" si="203"/>
        <v>19880.234157250612</v>
      </c>
      <c r="N543" s="1097">
        <f t="shared" si="203"/>
        <v>20337.479542867375</v>
      </c>
    </row>
    <row r="544" spans="4:16" ht="12.75" customHeight="1" x14ac:dyDescent="0.3">
      <c r="D544" s="115" t="s">
        <v>3538</v>
      </c>
      <c r="E544" s="115"/>
      <c r="F544" s="115"/>
      <c r="G544" s="115">
        <v>1</v>
      </c>
      <c r="H544" s="53"/>
      <c r="I544" s="1097">
        <v>0</v>
      </c>
      <c r="J544" s="1097">
        <v>0</v>
      </c>
      <c r="K544" s="1097">
        <f t="shared" ref="K544:K550" si="204">+J544*U$2</f>
        <v>0</v>
      </c>
      <c r="L544" s="1097">
        <f t="shared" ref="L544:N553" si="205">+K544*V$2</f>
        <v>0</v>
      </c>
      <c r="M544" s="1097">
        <f t="shared" ref="M544:M550" si="206">+L544*W$2</f>
        <v>0</v>
      </c>
      <c r="N544" s="1097">
        <f t="shared" ref="N544:N550" si="207">+M544*X$2</f>
        <v>0</v>
      </c>
    </row>
    <row r="545" spans="4:23" ht="12.75" customHeight="1" x14ac:dyDescent="0.3">
      <c r="D545" s="115" t="s">
        <v>3539</v>
      </c>
      <c r="E545" s="115"/>
      <c r="F545" s="115"/>
      <c r="G545" s="115">
        <v>1</v>
      </c>
      <c r="H545" s="53">
        <v>1691.9807302055774</v>
      </c>
      <c r="I545" s="1097">
        <v>1739.3561906513337</v>
      </c>
      <c r="J545" s="1097">
        <v>1784.5794516082683</v>
      </c>
      <c r="K545" s="1097">
        <f t="shared" si="204"/>
        <v>1822.0556200920419</v>
      </c>
      <c r="L545" s="1097">
        <f t="shared" si="205"/>
        <v>1863.9628993541587</v>
      </c>
      <c r="M545" s="1097">
        <f t="shared" si="206"/>
        <v>1906.8340460393042</v>
      </c>
      <c r="N545" s="1097">
        <f t="shared" si="207"/>
        <v>1950.6912290982079</v>
      </c>
    </row>
    <row r="546" spans="4:23" ht="12.75" customHeight="1" x14ac:dyDescent="0.3">
      <c r="D546" s="115" t="s">
        <v>3540</v>
      </c>
      <c r="E546" s="115"/>
      <c r="F546" s="115"/>
      <c r="G546" s="115">
        <v>1</v>
      </c>
      <c r="H546" s="53">
        <v>7180.1852938646198</v>
      </c>
      <c r="I546" s="1097">
        <v>7381.2304820928293</v>
      </c>
      <c r="J546" s="1097">
        <v>7573.1424746272432</v>
      </c>
      <c r="K546" s="1097">
        <f t="shared" si="204"/>
        <v>7732.1784665944142</v>
      </c>
      <c r="L546" s="1097">
        <f t="shared" si="205"/>
        <v>7910.0185713260853</v>
      </c>
      <c r="M546" s="1097">
        <f t="shared" si="206"/>
        <v>8091.9489984665843</v>
      </c>
      <c r="N546" s="1097">
        <f t="shared" si="207"/>
        <v>8278.0638254313144</v>
      </c>
    </row>
    <row r="547" spans="4:23" ht="12.75" customHeight="1" x14ac:dyDescent="0.3">
      <c r="D547" s="115" t="s">
        <v>3541</v>
      </c>
      <c r="E547" s="115"/>
      <c r="F547" s="115"/>
      <c r="G547" s="115">
        <v>1</v>
      </c>
      <c r="H547" s="53">
        <v>1415.8111847057</v>
      </c>
      <c r="I547" s="1097">
        <v>1455.4538978774597</v>
      </c>
      <c r="J547" s="1097">
        <v>1493.2956992222737</v>
      </c>
      <c r="K547" s="1097">
        <f t="shared" si="204"/>
        <v>1524.6549089059413</v>
      </c>
      <c r="L547" s="1097">
        <f t="shared" si="205"/>
        <v>1559.7219718107779</v>
      </c>
      <c r="M547" s="1097">
        <f t="shared" si="206"/>
        <v>1595.5955771624256</v>
      </c>
      <c r="N547" s="1097">
        <f t="shared" si="207"/>
        <v>1632.2942754371611</v>
      </c>
    </row>
    <row r="548" spans="4:23" ht="12.75" customHeight="1" x14ac:dyDescent="0.3">
      <c r="D548" s="115" t="s">
        <v>3542</v>
      </c>
      <c r="E548" s="115"/>
      <c r="F548" s="115"/>
      <c r="G548" s="115">
        <v>1</v>
      </c>
      <c r="H548" s="53">
        <v>9950</v>
      </c>
      <c r="I548" s="1097">
        <v>10228.6</v>
      </c>
      <c r="J548" s="1097">
        <v>10494.543600000001</v>
      </c>
      <c r="K548" s="1097">
        <f t="shared" si="204"/>
        <v>10714.929015600001</v>
      </c>
      <c r="L548" s="1097">
        <f t="shared" si="205"/>
        <v>10961.3723829588</v>
      </c>
      <c r="M548" s="1097">
        <f t="shared" si="206"/>
        <v>11213.483947766852</v>
      </c>
      <c r="N548" s="1097">
        <f t="shared" si="207"/>
        <v>11471.394078565489</v>
      </c>
      <c r="R548" s="424"/>
      <c r="S548" s="424"/>
      <c r="T548" s="424"/>
      <c r="U548" s="115"/>
      <c r="V548" s="115"/>
    </row>
    <row r="549" spans="4:23" ht="12.75" customHeight="1" x14ac:dyDescent="0.3">
      <c r="D549" s="115" t="s">
        <v>3543</v>
      </c>
      <c r="E549" s="115"/>
      <c r="F549" s="115"/>
      <c r="G549" s="115">
        <v>4</v>
      </c>
      <c r="H549" s="53">
        <v>1442.3149999999996</v>
      </c>
      <c r="I549" s="1097">
        <v>1482.6998199999996</v>
      </c>
      <c r="J549" s="1097">
        <v>1521.2500153199996</v>
      </c>
      <c r="K549" s="1097">
        <f t="shared" si="204"/>
        <v>1553.1962656417195</v>
      </c>
      <c r="L549" s="1097">
        <f t="shared" si="205"/>
        <v>1588.9197797514789</v>
      </c>
      <c r="M549" s="1097">
        <f t="shared" si="206"/>
        <v>1625.4649346857627</v>
      </c>
      <c r="N549" s="1097">
        <f t="shared" si="207"/>
        <v>1662.850628183535</v>
      </c>
      <c r="O549" s="486"/>
      <c r="P549" s="1736"/>
      <c r="Q549" s="486"/>
      <c r="R549" s="424"/>
      <c r="S549" s="424"/>
      <c r="T549" s="424"/>
      <c r="U549" s="115"/>
      <c r="V549" s="115"/>
    </row>
    <row r="550" spans="4:23" ht="12.75" customHeight="1" x14ac:dyDescent="0.3">
      <c r="D550" s="115" t="s">
        <v>3544</v>
      </c>
      <c r="E550" s="115"/>
      <c r="F550" s="115"/>
      <c r="G550" s="115">
        <v>12</v>
      </c>
      <c r="H550" s="53">
        <v>7728.1219852139729</v>
      </c>
      <c r="I550" s="1097">
        <v>7944.5094007999642</v>
      </c>
      <c r="J550" s="1097">
        <v>8151.0666452207633</v>
      </c>
      <c r="K550" s="1097">
        <f t="shared" si="204"/>
        <v>8322.2390447703983</v>
      </c>
      <c r="L550" s="1097">
        <f t="shared" si="205"/>
        <v>8513.6505428001165</v>
      </c>
      <c r="M550" s="1097">
        <f t="shared" si="206"/>
        <v>8709.464505284519</v>
      </c>
      <c r="N550" s="1097">
        <f t="shared" si="207"/>
        <v>8909.7821889060615</v>
      </c>
      <c r="O550" s="486"/>
      <c r="P550" s="1736"/>
      <c r="Q550" s="486"/>
      <c r="R550" s="424"/>
      <c r="S550" s="424"/>
      <c r="T550" s="424"/>
      <c r="U550" s="1098"/>
    </row>
    <row r="551" spans="4:23" ht="12.75" customHeight="1" x14ac:dyDescent="0.3">
      <c r="D551" s="115" t="s">
        <v>3545</v>
      </c>
      <c r="E551" s="115"/>
      <c r="F551" s="115"/>
      <c r="H551" s="53"/>
      <c r="I551" s="1097"/>
      <c r="J551" s="1097"/>
      <c r="K551" s="1097"/>
      <c r="L551" s="1097"/>
      <c r="M551" s="1097"/>
      <c r="N551" s="1097"/>
      <c r="O551" s="486"/>
      <c r="P551" s="1736"/>
      <c r="Q551" s="486"/>
      <c r="R551" s="424"/>
      <c r="S551" s="424"/>
      <c r="T551" s="424"/>
      <c r="U551" s="1098"/>
    </row>
    <row r="552" spans="4:23" ht="12.75" customHeight="1" x14ac:dyDescent="0.3">
      <c r="D552" s="2634" t="s">
        <v>3546</v>
      </c>
      <c r="E552" s="2634"/>
      <c r="F552" s="2634"/>
      <c r="G552" s="2634"/>
      <c r="H552" s="2635"/>
      <c r="I552" s="2636"/>
      <c r="J552" s="2636"/>
      <c r="K552" s="2636">
        <f>62978.79-50666</f>
        <v>12312.79</v>
      </c>
      <c r="L552" s="2636">
        <f t="shared" si="205"/>
        <v>12595.98417</v>
      </c>
      <c r="M552" s="2636">
        <f t="shared" si="205"/>
        <v>12885.691805909999</v>
      </c>
      <c r="N552" s="2636">
        <f t="shared" si="205"/>
        <v>13182.062717445928</v>
      </c>
      <c r="O552" s="486"/>
      <c r="P552" s="1736"/>
      <c r="Q552" s="486"/>
      <c r="R552" s="424"/>
      <c r="S552" s="424"/>
      <c r="T552" s="424"/>
      <c r="U552" s="1098"/>
    </row>
    <row r="553" spans="4:23" ht="12.75" customHeight="1" x14ac:dyDescent="0.3">
      <c r="D553" s="2634" t="s">
        <v>5442</v>
      </c>
      <c r="E553" s="2634"/>
      <c r="F553" s="2634"/>
      <c r="G553" s="2635"/>
      <c r="H553" s="2634"/>
      <c r="I553" s="2637"/>
      <c r="J553" s="2636"/>
      <c r="K553" s="2636">
        <v>2834</v>
      </c>
      <c r="L553" s="2636">
        <f t="shared" si="205"/>
        <v>2899.1819999999998</v>
      </c>
      <c r="M553" s="2636">
        <f t="shared" si="205"/>
        <v>2965.8631859999996</v>
      </c>
      <c r="N553" s="2636">
        <f t="shared" si="205"/>
        <v>3034.0780392779993</v>
      </c>
      <c r="O553" s="486"/>
      <c r="P553" s="1736"/>
      <c r="Q553" s="486"/>
      <c r="R553" s="424"/>
      <c r="S553" s="424"/>
      <c r="T553" s="424"/>
      <c r="U553" s="1098"/>
    </row>
    <row r="554" spans="4:23" ht="12.75" customHeight="1" thickBot="1" x14ac:dyDescent="0.35">
      <c r="D554" s="1900" t="s">
        <v>3547</v>
      </c>
      <c r="E554" s="1901"/>
      <c r="F554" s="1901"/>
      <c r="G554" s="1902"/>
      <c r="H554" s="1898">
        <f t="shared" ref="H554" si="208">SUM(H543:H553)</f>
        <v>47048.634734372143</v>
      </c>
      <c r="I554" s="1898">
        <v>48365.996506934556</v>
      </c>
      <c r="J554" s="1898">
        <v>49623.512416114863</v>
      </c>
      <c r="K554" s="1898">
        <f>SUM(K543:K553)</f>
        <v>65812.396176853246</v>
      </c>
      <c r="L554" s="1898">
        <f t="shared" ref="L554:N554" si="209">SUM(L543:L553)</f>
        <v>67326.08128892089</v>
      </c>
      <c r="M554" s="1898">
        <f t="shared" si="209"/>
        <v>68874.581158566056</v>
      </c>
      <c r="N554" s="1898">
        <f t="shared" si="209"/>
        <v>70458.696525213076</v>
      </c>
      <c r="O554" s="486"/>
      <c r="P554" s="1736"/>
      <c r="Q554" s="486"/>
      <c r="R554" s="424"/>
      <c r="S554" s="424"/>
      <c r="T554" s="424"/>
      <c r="U554" s="1098"/>
    </row>
    <row r="555" spans="4:23" ht="12.75" customHeight="1" thickTop="1" x14ac:dyDescent="0.3">
      <c r="D555" s="115"/>
      <c r="E555" s="115"/>
      <c r="F555" s="115"/>
      <c r="G555" s="53"/>
      <c r="I555" s="1096"/>
      <c r="J555" s="1097"/>
      <c r="K555" s="1097"/>
      <c r="L555" s="1097"/>
      <c r="M555" s="486"/>
      <c r="N555" s="486"/>
      <c r="O555" s="486"/>
      <c r="P555" s="1736"/>
      <c r="Q555" s="486"/>
      <c r="R555" s="424"/>
      <c r="S555" s="424"/>
      <c r="T555" s="424"/>
      <c r="U555" s="1098"/>
    </row>
    <row r="556" spans="4:23" ht="12.75" customHeight="1" x14ac:dyDescent="0.25">
      <c r="D556" s="393" t="s">
        <v>3548</v>
      </c>
      <c r="E556" s="1069"/>
      <c r="F556" s="1069"/>
      <c r="G556" s="1069"/>
      <c r="H556" s="381"/>
      <c r="I556" s="1675"/>
      <c r="J556" s="1675">
        <v>9166.6666666666661</v>
      </c>
      <c r="K556" s="1675">
        <v>9166.6666666666661</v>
      </c>
      <c r="L556" s="1675">
        <f>55000/6</f>
        <v>9166.6666666666661</v>
      </c>
      <c r="M556" s="1675">
        <f t="shared" ref="M556" si="210">55000/6</f>
        <v>9166.6666666666661</v>
      </c>
      <c r="N556" s="1675">
        <f>55000/6</f>
        <v>9166.6666666666661</v>
      </c>
      <c r="O556" s="1675">
        <f>55000/6</f>
        <v>9166.6666666666661</v>
      </c>
      <c r="P556" s="1737">
        <f>55000/6</f>
        <v>9166.6666666666661</v>
      </c>
      <c r="Q556" s="486" t="s">
        <v>3549</v>
      </c>
      <c r="R556" s="424"/>
      <c r="S556" s="424"/>
      <c r="T556" s="424"/>
      <c r="U556" s="1098"/>
    </row>
    <row r="557" spans="4:23" ht="12.75" customHeight="1" x14ac:dyDescent="0.3">
      <c r="D557" s="384"/>
      <c r="E557" s="115"/>
      <c r="F557" s="115"/>
      <c r="J557" s="114"/>
      <c r="K557" s="114"/>
      <c r="L557" s="114"/>
      <c r="M557" s="114"/>
      <c r="N557" s="114"/>
      <c r="O557" s="114"/>
      <c r="T557" s="54"/>
      <c r="V557" s="54"/>
      <c r="W557" s="53"/>
    </row>
    <row r="558" spans="4:23" ht="12.75" customHeight="1" x14ac:dyDescent="0.3">
      <c r="D558" s="384"/>
      <c r="E558" s="384"/>
      <c r="F558" s="384"/>
      <c r="J558" s="1106">
        <f>+J554+J556</f>
        <v>58790.179082781528</v>
      </c>
      <c r="T558" s="54"/>
      <c r="V558" s="54"/>
      <c r="W558" s="53"/>
    </row>
    <row r="559" spans="4:23" ht="12.75" customHeight="1" x14ac:dyDescent="0.3">
      <c r="D559" s="393">
        <v>630005</v>
      </c>
      <c r="E559" s="381" t="s">
        <v>3499</v>
      </c>
      <c r="F559" s="115"/>
      <c r="T559" s="54"/>
      <c r="V559" s="54"/>
      <c r="W559" s="53"/>
    </row>
    <row r="560" spans="4:23" ht="12.75" customHeight="1" x14ac:dyDescent="0.3">
      <c r="D560" s="393"/>
      <c r="E560" s="383" t="s">
        <v>554</v>
      </c>
      <c r="F560" s="115"/>
      <c r="T560" s="54"/>
      <c r="V560" s="54"/>
      <c r="W560" s="53"/>
    </row>
    <row r="561" spans="4:23" ht="12.75" customHeight="1" x14ac:dyDescent="0.3">
      <c r="D561" s="393"/>
      <c r="E561" s="115" t="s">
        <v>3500</v>
      </c>
      <c r="F561" s="115"/>
      <c r="T561" s="54"/>
      <c r="V561" s="54"/>
      <c r="W561" s="53"/>
    </row>
    <row r="562" spans="4:23" ht="12.75" customHeight="1" x14ac:dyDescent="0.3">
      <c r="D562" s="393"/>
      <c r="E562" s="383"/>
      <c r="F562" s="115"/>
      <c r="T562" s="54"/>
      <c r="V562" s="54"/>
      <c r="W562" s="53"/>
    </row>
    <row r="563" spans="4:23" ht="12.75" customHeight="1" x14ac:dyDescent="0.3">
      <c r="D563" s="143">
        <v>83600</v>
      </c>
      <c r="E563" s="115" t="s">
        <v>3550</v>
      </c>
      <c r="F563" s="115"/>
      <c r="T563" s="54"/>
      <c r="V563" s="54"/>
      <c r="W563" s="53"/>
    </row>
    <row r="564" spans="4:23" ht="12.75" customHeight="1" x14ac:dyDescent="0.3">
      <c r="D564" s="143"/>
      <c r="E564" s="115"/>
      <c r="F564" s="115"/>
      <c r="T564" s="54"/>
      <c r="V564" s="54"/>
      <c r="W564" s="53"/>
    </row>
    <row r="565" spans="4:23" ht="12.75" customHeight="1" x14ac:dyDescent="0.3">
      <c r="D565" s="1091" t="s">
        <v>3551</v>
      </c>
      <c r="E565" s="633"/>
      <c r="G565" s="1092"/>
      <c r="J565" s="51"/>
      <c r="K565" s="633"/>
    </row>
    <row r="566" spans="4:23" ht="12.75" customHeight="1" x14ac:dyDescent="0.3">
      <c r="D566" s="143"/>
      <c r="E566" s="1093"/>
      <c r="F566" s="306"/>
      <c r="G566" s="633"/>
      <c r="J566" s="51"/>
      <c r="K566" s="633"/>
    </row>
    <row r="567" spans="4:23" ht="12.75" customHeight="1" x14ac:dyDescent="0.3">
      <c r="D567" s="143"/>
      <c r="E567" s="1094"/>
      <c r="F567" s="306"/>
      <c r="G567" s="633"/>
      <c r="J567" s="51"/>
      <c r="K567" s="633"/>
      <c r="N567" s="1069" t="s">
        <v>3531</v>
      </c>
      <c r="O567" s="1069" t="s">
        <v>3531</v>
      </c>
      <c r="P567" s="1733" t="s">
        <v>3531</v>
      </c>
    </row>
    <row r="568" spans="4:23" ht="12.75" customHeight="1" x14ac:dyDescent="0.3">
      <c r="D568" s="1095" t="s">
        <v>206</v>
      </c>
      <c r="E568" s="115"/>
      <c r="F568" s="115"/>
      <c r="G568" s="161" t="s">
        <v>3532</v>
      </c>
      <c r="H568" s="1092" t="s">
        <v>3533</v>
      </c>
      <c r="I568" s="1092" t="s">
        <v>3534</v>
      </c>
      <c r="J568" s="161" t="s">
        <v>3535</v>
      </c>
      <c r="K568" s="1092" t="s">
        <v>3536</v>
      </c>
      <c r="L568" s="1092" t="s">
        <v>536</v>
      </c>
      <c r="M568" s="162">
        <v>0.2</v>
      </c>
      <c r="N568" s="163">
        <v>2024</v>
      </c>
      <c r="O568" s="163">
        <v>2024</v>
      </c>
      <c r="P568" s="1734">
        <v>2024</v>
      </c>
    </row>
    <row r="569" spans="4:23" ht="12.75" customHeight="1" x14ac:dyDescent="0.3">
      <c r="D569" s="115"/>
      <c r="E569" s="115"/>
      <c r="F569" s="115"/>
      <c r="G569" s="53"/>
      <c r="H569" s="633"/>
      <c r="I569" s="54"/>
      <c r="J569" s="54"/>
      <c r="K569" s="633"/>
      <c r="L569" s="54"/>
      <c r="M569" s="164"/>
      <c r="N569" s="53"/>
      <c r="O569" s="53"/>
      <c r="P569" s="1735"/>
    </row>
    <row r="570" spans="4:23" ht="12.75" customHeight="1" x14ac:dyDescent="0.3">
      <c r="D570" s="115" t="s">
        <v>3552</v>
      </c>
      <c r="G570" s="115">
        <v>1</v>
      </c>
      <c r="H570" s="52">
        <v>650000</v>
      </c>
      <c r="I570" s="53">
        <v>15</v>
      </c>
      <c r="J570" s="53">
        <f>+H570/I570</f>
        <v>43333.333333333336</v>
      </c>
      <c r="K570" s="53">
        <v>20000</v>
      </c>
      <c r="L570" s="1096">
        <f>SUM(J570:K570)</f>
        <v>63333.333333333336</v>
      </c>
      <c r="M570" s="53">
        <f>+L570*0.2</f>
        <v>12666.666666666668</v>
      </c>
      <c r="N570" s="53">
        <v>13252.203612479476</v>
      </c>
      <c r="O570" s="53">
        <v>13252.203612479476</v>
      </c>
      <c r="P570" s="1735">
        <v>13252.203612479476</v>
      </c>
    </row>
    <row r="571" spans="4:23" ht="12.75" customHeight="1" x14ac:dyDescent="0.3">
      <c r="D571" s="115" t="s">
        <v>3553</v>
      </c>
      <c r="G571" s="115">
        <v>1</v>
      </c>
      <c r="H571" s="52">
        <v>160000</v>
      </c>
      <c r="I571" s="53">
        <v>8</v>
      </c>
      <c r="J571" s="53">
        <f t="shared" ref="J571:J574" si="211">+H571/I571</f>
        <v>20000</v>
      </c>
      <c r="K571" s="53">
        <v>3000</v>
      </c>
      <c r="L571" s="1096">
        <f>SUM(J571:K571)</f>
        <v>23000</v>
      </c>
      <c r="M571" s="53">
        <f t="shared" ref="M571:M573" si="212">+L571*0.2</f>
        <v>4600</v>
      </c>
      <c r="N571" s="53">
        <v>4812.6423645320201</v>
      </c>
      <c r="O571" s="53">
        <v>4812.6423645320201</v>
      </c>
      <c r="P571" s="1735">
        <v>4812.6423645320201</v>
      </c>
    </row>
    <row r="572" spans="4:23" ht="12.75" customHeight="1" x14ac:dyDescent="0.3">
      <c r="D572" s="115" t="s">
        <v>3554</v>
      </c>
      <c r="G572" s="115">
        <v>1</v>
      </c>
      <c r="H572" s="52">
        <v>2500</v>
      </c>
      <c r="I572" s="53">
        <v>20</v>
      </c>
      <c r="J572" s="53">
        <f>+H572/I572</f>
        <v>125</v>
      </c>
      <c r="K572" s="53">
        <v>500</v>
      </c>
      <c r="L572" s="1096">
        <f>SUM(J572:K572)</f>
        <v>625</v>
      </c>
      <c r="M572" s="53">
        <f t="shared" si="212"/>
        <v>125</v>
      </c>
      <c r="N572" s="53">
        <v>130.77832512315271</v>
      </c>
      <c r="O572" s="53">
        <v>130.77832512315271</v>
      </c>
      <c r="P572" s="1735">
        <v>130.77832512315271</v>
      </c>
    </row>
    <row r="573" spans="4:23" ht="12.75" customHeight="1" x14ac:dyDescent="0.3">
      <c r="D573" s="115" t="s">
        <v>3555</v>
      </c>
      <c r="G573" s="115">
        <v>1</v>
      </c>
      <c r="H573" s="52">
        <v>250000</v>
      </c>
      <c r="I573" s="53">
        <v>8</v>
      </c>
      <c r="J573" s="53">
        <f t="shared" si="211"/>
        <v>31250</v>
      </c>
      <c r="K573" s="53">
        <v>2000</v>
      </c>
      <c r="L573" s="1096">
        <f>SUM(J573:K573)</f>
        <v>33250</v>
      </c>
      <c r="M573" s="53">
        <f t="shared" si="212"/>
        <v>6650</v>
      </c>
      <c r="N573" s="53">
        <v>6957.4068965517245</v>
      </c>
      <c r="O573" s="53">
        <v>6957.4068965517245</v>
      </c>
      <c r="P573" s="1735">
        <v>6957.4068965517245</v>
      </c>
    </row>
    <row r="574" spans="4:23" ht="12.75" customHeight="1" x14ac:dyDescent="0.3">
      <c r="D574" s="115" t="s">
        <v>3556</v>
      </c>
      <c r="G574" s="115">
        <v>2</v>
      </c>
      <c r="H574" s="52">
        <v>85000</v>
      </c>
      <c r="I574" s="53">
        <v>30</v>
      </c>
      <c r="J574" s="53">
        <f t="shared" si="211"/>
        <v>2833.3333333333335</v>
      </c>
      <c r="K574" s="53">
        <v>500</v>
      </c>
      <c r="L574" s="1096">
        <f>SUM(J574:K574)</f>
        <v>3333.3333333333335</v>
      </c>
      <c r="M574" s="53">
        <f>+L574*0.2*2</f>
        <v>1333.3333333333335</v>
      </c>
      <c r="N574" s="53">
        <v>1394.968801313629</v>
      </c>
      <c r="O574" s="53">
        <v>1394.968801313629</v>
      </c>
      <c r="P574" s="1735">
        <v>1394.968801313629</v>
      </c>
      <c r="R574" s="1099"/>
    </row>
    <row r="575" spans="4:23" ht="12.75" customHeight="1" x14ac:dyDescent="0.3">
      <c r="D575" s="115"/>
      <c r="H575" s="52"/>
      <c r="I575" s="53"/>
      <c r="J575" s="53"/>
      <c r="K575" s="53"/>
      <c r="L575" s="1096"/>
      <c r="M575" s="53"/>
      <c r="N575" s="53"/>
      <c r="O575" s="53"/>
      <c r="P575" s="1735"/>
    </row>
    <row r="576" spans="4:23" ht="12.75" customHeight="1" thickBot="1" x14ac:dyDescent="0.35">
      <c r="D576" s="115"/>
      <c r="E576" s="115"/>
      <c r="F576" s="115"/>
      <c r="G576" s="53"/>
      <c r="H576" s="53"/>
      <c r="J576" s="53"/>
      <c r="K576" s="53"/>
      <c r="L576" s="1096"/>
      <c r="M576" s="53"/>
      <c r="N576" s="1898">
        <f>SUM(N570:N575)</f>
        <v>26548.000000000004</v>
      </c>
      <c r="O576" s="1898">
        <f>SUM(O570:O575)</f>
        <v>26548.000000000004</v>
      </c>
      <c r="P576" s="1899">
        <f>SUM(P570:P575)</f>
        <v>26548.000000000004</v>
      </c>
    </row>
    <row r="577" spans="4:21" ht="12.75" customHeight="1" thickTop="1" x14ac:dyDescent="0.3">
      <c r="D577" s="143"/>
      <c r="E577" s="394"/>
      <c r="F577" s="306"/>
      <c r="G577" s="633"/>
      <c r="H577" s="1069" t="s">
        <v>3531</v>
      </c>
      <c r="J577" s="54"/>
    </row>
    <row r="578" spans="4:21" ht="12.75" customHeight="1" x14ac:dyDescent="0.25">
      <c r="D578" s="143"/>
      <c r="E578" s="115"/>
      <c r="H578" s="163">
        <v>2024</v>
      </c>
      <c r="I578" s="163">
        <v>2025</v>
      </c>
      <c r="J578" s="163">
        <v>2026</v>
      </c>
      <c r="K578" s="163">
        <v>2027</v>
      </c>
      <c r="L578" s="163">
        <v>2028</v>
      </c>
      <c r="M578" s="163">
        <v>2029</v>
      </c>
      <c r="N578" s="163">
        <v>2030</v>
      </c>
    </row>
    <row r="579" spans="4:21" ht="12.75" customHeight="1" x14ac:dyDescent="0.3">
      <c r="D579" s="143"/>
      <c r="E579" s="115"/>
      <c r="H579" s="53"/>
      <c r="O579" s="1096"/>
    </row>
    <row r="580" spans="4:21" ht="12.75" customHeight="1" x14ac:dyDescent="0.3">
      <c r="D580" s="115" t="s">
        <v>3552</v>
      </c>
      <c r="E580" s="115"/>
      <c r="F580" s="115"/>
      <c r="G580" s="115">
        <v>1</v>
      </c>
      <c r="H580" s="53">
        <v>13252.203612479476</v>
      </c>
      <c r="I580" s="1097">
        <v>13623.265313628901</v>
      </c>
      <c r="J580" s="1097">
        <v>14004.71674241051</v>
      </c>
      <c r="K580" s="1097">
        <f>+J580*U$2</f>
        <v>14298.81579400113</v>
      </c>
      <c r="L580" s="1097">
        <f t="shared" ref="L580:N580" si="213">+K580*V$2</f>
        <v>14627.688557263155</v>
      </c>
      <c r="M580" s="1097">
        <f t="shared" si="213"/>
        <v>14964.125394080205</v>
      </c>
      <c r="N580" s="1097">
        <f t="shared" si="213"/>
        <v>15308.300278144048</v>
      </c>
    </row>
    <row r="581" spans="4:21" ht="12.75" customHeight="1" x14ac:dyDescent="0.3">
      <c r="D581" s="115" t="s">
        <v>3553</v>
      </c>
      <c r="E581" s="115"/>
      <c r="F581" s="115"/>
      <c r="G581" s="115">
        <v>1</v>
      </c>
      <c r="H581" s="53">
        <v>4812.6423645320201</v>
      </c>
      <c r="I581" s="1097">
        <v>4947.3963507389171</v>
      </c>
      <c r="J581" s="1097">
        <v>5085.9234485596071</v>
      </c>
      <c r="K581" s="1097">
        <f t="shared" ref="K581:K584" si="214">+J581*U$2</f>
        <v>5192.727840979358</v>
      </c>
      <c r="L581" s="1097">
        <f t="shared" ref="L581:L585" si="215">+K581*V$2</f>
        <v>5312.160581321883</v>
      </c>
      <c r="M581" s="1097">
        <f t="shared" ref="M581:M585" si="216">+L581*W$2</f>
        <v>5434.3402746922857</v>
      </c>
      <c r="N581" s="1097">
        <f t="shared" ref="N581:N585" si="217">+M581*X$2</f>
        <v>5559.3301010102077</v>
      </c>
    </row>
    <row r="582" spans="4:21" ht="12.75" customHeight="1" x14ac:dyDescent="0.3">
      <c r="D582" s="115" t="s">
        <v>3554</v>
      </c>
      <c r="E582" s="115"/>
      <c r="F582" s="115"/>
      <c r="G582" s="115">
        <v>1</v>
      </c>
      <c r="H582" s="53">
        <v>130.77832512315271</v>
      </c>
      <c r="I582" s="1097">
        <v>134.44011822660099</v>
      </c>
      <c r="J582" s="1097">
        <v>138.20444153694581</v>
      </c>
      <c r="K582" s="1097">
        <f t="shared" si="214"/>
        <v>141.10673480922165</v>
      </c>
      <c r="L582" s="1097">
        <f t="shared" si="215"/>
        <v>144.35218970983374</v>
      </c>
      <c r="M582" s="1097">
        <f t="shared" si="216"/>
        <v>147.6722900731599</v>
      </c>
      <c r="N582" s="1097">
        <f t="shared" si="217"/>
        <v>151.06875274484256</v>
      </c>
    </row>
    <row r="583" spans="4:21" ht="12.75" customHeight="1" x14ac:dyDescent="0.3">
      <c r="D583" s="115" t="s">
        <v>3555</v>
      </c>
      <c r="E583" s="115"/>
      <c r="F583" s="115"/>
      <c r="G583" s="115">
        <v>1</v>
      </c>
      <c r="H583" s="53">
        <v>6957.4068965517245</v>
      </c>
      <c r="I583" s="1097">
        <v>7152.2142896551732</v>
      </c>
      <c r="J583" s="1097">
        <v>7352.4762897655182</v>
      </c>
      <c r="K583" s="1097">
        <f t="shared" si="214"/>
        <v>7506.8782918505931</v>
      </c>
      <c r="L583" s="1097">
        <f t="shared" si="215"/>
        <v>7679.5364925631557</v>
      </c>
      <c r="M583" s="1097">
        <f t="shared" si="216"/>
        <v>7856.1658318921072</v>
      </c>
      <c r="N583" s="1097">
        <f t="shared" si="217"/>
        <v>8036.8576460256254</v>
      </c>
    </row>
    <row r="584" spans="4:21" ht="12.75" customHeight="1" x14ac:dyDescent="0.3">
      <c r="D584" s="115" t="s">
        <v>3556</v>
      </c>
      <c r="E584" s="115"/>
      <c r="F584" s="115"/>
      <c r="G584" s="115">
        <v>2</v>
      </c>
      <c r="H584" s="53">
        <v>1394.968801313629</v>
      </c>
      <c r="I584" s="1097">
        <v>1434.0279277504108</v>
      </c>
      <c r="J584" s="1097">
        <v>1474.1807097274223</v>
      </c>
      <c r="K584" s="1097">
        <f t="shared" si="214"/>
        <v>1505.138504631698</v>
      </c>
      <c r="L584" s="1097">
        <f t="shared" si="215"/>
        <v>1539.7566902382268</v>
      </c>
      <c r="M584" s="1097">
        <f t="shared" si="216"/>
        <v>1575.171094113706</v>
      </c>
      <c r="N584" s="1097">
        <f t="shared" si="217"/>
        <v>1611.400029278321</v>
      </c>
    </row>
    <row r="585" spans="4:21" ht="12.75" customHeight="1" x14ac:dyDescent="0.3">
      <c r="D585" s="2634" t="s">
        <v>5441</v>
      </c>
      <c r="E585" s="2634"/>
      <c r="F585" s="2634"/>
      <c r="G585" s="2635"/>
      <c r="H585" s="2634"/>
      <c r="I585" s="2637"/>
      <c r="J585" s="2636"/>
      <c r="K585" s="2636">
        <f>28588-28645</f>
        <v>-57</v>
      </c>
      <c r="L585" s="2636">
        <f t="shared" si="215"/>
        <v>-58.310999999999993</v>
      </c>
      <c r="M585" s="2636">
        <f t="shared" si="216"/>
        <v>-59.652152999999984</v>
      </c>
      <c r="N585" s="2636">
        <f t="shared" si="217"/>
        <v>-61.024152518999976</v>
      </c>
      <c r="O585" s="486"/>
      <c r="P585" s="1736"/>
      <c r="Q585" s="486"/>
      <c r="R585" s="424"/>
      <c r="S585" s="424"/>
      <c r="T585" s="424"/>
      <c r="U585" s="1098"/>
    </row>
    <row r="586" spans="4:21" ht="12.75" customHeight="1" thickBot="1" x14ac:dyDescent="0.35">
      <c r="D586" s="1900" t="s">
        <v>3547</v>
      </c>
      <c r="E586" s="1901"/>
      <c r="F586" s="1901"/>
      <c r="G586" s="1902"/>
      <c r="H586" s="1898">
        <f t="shared" ref="H586:M586" si="218">SUM(H580:H585)</f>
        <v>26548.000000000004</v>
      </c>
      <c r="I586" s="1898">
        <v>27291.344000000005</v>
      </c>
      <c r="J586" s="1898">
        <v>28055.501632</v>
      </c>
      <c r="K586" s="1898">
        <f>+SUM(K580:K585)</f>
        <v>28587.667166272</v>
      </c>
      <c r="L586" s="1898">
        <f t="shared" si="218"/>
        <v>29245.183511096249</v>
      </c>
      <c r="M586" s="1898">
        <f t="shared" si="218"/>
        <v>29917.822731851466</v>
      </c>
      <c r="N586" s="1898">
        <f t="shared" ref="N586" si="219">SUM(N580:N585)</f>
        <v>30605.932654684046</v>
      </c>
      <c r="O586" s="486"/>
      <c r="P586" s="1736"/>
      <c r="Q586" s="486"/>
      <c r="R586" s="424"/>
      <c r="S586" s="424"/>
      <c r="T586" s="424"/>
      <c r="U586" s="1098"/>
    </row>
    <row r="587" spans="4:21" ht="12.75" customHeight="1" thickTop="1" x14ac:dyDescent="0.25">
      <c r="D587" s="1100"/>
      <c r="E587" s="381"/>
      <c r="F587" s="115"/>
      <c r="G587" s="1101"/>
      <c r="H587" s="1101"/>
      <c r="I587" s="1101"/>
    </row>
    <row r="588" spans="4:21" ht="12.75" customHeight="1" x14ac:dyDescent="0.25">
      <c r="D588" s="1100"/>
      <c r="E588" s="381"/>
      <c r="F588" s="115"/>
      <c r="G588" s="1101"/>
      <c r="H588" s="1101"/>
      <c r="I588" s="1101"/>
    </row>
    <row r="589" spans="4:21" ht="12.75" customHeight="1" x14ac:dyDescent="0.25">
      <c r="D589" s="1100"/>
      <c r="E589" s="381"/>
      <c r="F589" s="115"/>
      <c r="G589" s="1101"/>
      <c r="H589" s="1101"/>
    </row>
    <row r="590" spans="4:21" ht="12.75" customHeight="1" x14ac:dyDescent="0.25">
      <c r="D590" s="393">
        <v>630002</v>
      </c>
      <c r="E590" s="381" t="s">
        <v>3503</v>
      </c>
      <c r="F590" s="115"/>
    </row>
    <row r="591" spans="4:21" ht="12.75" customHeight="1" x14ac:dyDescent="0.25">
      <c r="D591" s="393"/>
      <c r="E591" s="383" t="s">
        <v>554</v>
      </c>
      <c r="F591" s="115"/>
    </row>
    <row r="592" spans="4:21" ht="12.75" customHeight="1" x14ac:dyDescent="0.25">
      <c r="D592" s="393"/>
      <c r="E592" s="115" t="s">
        <v>3504</v>
      </c>
      <c r="F592" s="115"/>
    </row>
    <row r="593" spans="4:19" ht="12.75" customHeight="1" x14ac:dyDescent="0.25">
      <c r="D593" s="393"/>
      <c r="E593" s="115"/>
      <c r="F593" s="115"/>
    </row>
    <row r="594" spans="4:19" ht="12.75" customHeight="1" x14ac:dyDescent="0.25">
      <c r="D594" s="143">
        <v>83600</v>
      </c>
      <c r="E594" s="115" t="s">
        <v>3550</v>
      </c>
      <c r="F594" s="115"/>
    </row>
    <row r="595" spans="4:19" ht="12.75" customHeight="1" x14ac:dyDescent="0.25">
      <c r="D595" s="143"/>
      <c r="E595" s="115"/>
      <c r="F595" s="115"/>
    </row>
    <row r="596" spans="4:19" ht="12.75" customHeight="1" x14ac:dyDescent="0.3">
      <c r="D596" s="1091" t="s">
        <v>3557</v>
      </c>
      <c r="E596" s="633"/>
      <c r="G596" s="1092"/>
      <c r="J596" s="51"/>
      <c r="K596" s="633"/>
    </row>
    <row r="597" spans="4:19" ht="12.75" customHeight="1" x14ac:dyDescent="0.3">
      <c r="D597" s="143"/>
      <c r="E597" s="1093"/>
      <c r="F597" s="306"/>
      <c r="G597" s="633"/>
      <c r="J597" s="51"/>
      <c r="K597" s="633"/>
    </row>
    <row r="598" spans="4:19" ht="12.75" customHeight="1" x14ac:dyDescent="0.3">
      <c r="D598" s="143"/>
      <c r="E598" s="1094"/>
      <c r="F598" s="306"/>
      <c r="G598" s="633"/>
      <c r="J598" s="51"/>
      <c r="K598" s="633"/>
      <c r="N598" s="1069" t="s">
        <v>3531</v>
      </c>
      <c r="O598" s="1069" t="s">
        <v>3531</v>
      </c>
      <c r="P598" s="1733" t="s">
        <v>3531</v>
      </c>
    </row>
    <row r="599" spans="4:19" ht="12.75" customHeight="1" x14ac:dyDescent="0.3">
      <c r="D599" s="1095" t="s">
        <v>206</v>
      </c>
      <c r="E599" s="115"/>
      <c r="F599" s="115"/>
      <c r="G599" s="161" t="s">
        <v>3532</v>
      </c>
      <c r="H599" s="1092" t="s">
        <v>3533</v>
      </c>
      <c r="I599" s="1092" t="s">
        <v>3534</v>
      </c>
      <c r="J599" s="161" t="s">
        <v>3535</v>
      </c>
      <c r="K599" s="1092" t="s">
        <v>3536</v>
      </c>
      <c r="L599" s="1092" t="s">
        <v>536</v>
      </c>
      <c r="M599" s="162">
        <v>0.2</v>
      </c>
      <c r="N599" s="163">
        <v>2024</v>
      </c>
      <c r="O599" s="163">
        <v>2024</v>
      </c>
      <c r="P599" s="1734">
        <v>2024</v>
      </c>
    </row>
    <row r="600" spans="4:19" ht="12.75" customHeight="1" x14ac:dyDescent="0.3">
      <c r="D600" s="115"/>
      <c r="E600" s="115"/>
      <c r="F600" s="115"/>
      <c r="G600" s="53"/>
      <c r="H600" s="633"/>
      <c r="I600" s="54"/>
      <c r="J600" s="54"/>
      <c r="K600" s="633"/>
      <c r="L600" s="54"/>
      <c r="M600" s="164"/>
      <c r="N600" s="53"/>
      <c r="O600" s="53"/>
      <c r="P600" s="1735"/>
    </row>
    <row r="601" spans="4:19" ht="12.75" customHeight="1" x14ac:dyDescent="0.3">
      <c r="D601" s="115" t="s">
        <v>3558</v>
      </c>
      <c r="G601" s="115">
        <v>2</v>
      </c>
      <c r="H601" s="52">
        <v>80000</v>
      </c>
      <c r="I601" s="53">
        <v>30</v>
      </c>
      <c r="J601" s="53">
        <f>+H601/I601</f>
        <v>2666.6666666666665</v>
      </c>
      <c r="K601" s="53"/>
      <c r="L601" s="1096">
        <f t="shared" ref="L601:L607" si="220">SUM(J601:K601)</f>
        <v>2666.6666666666665</v>
      </c>
      <c r="M601" s="53">
        <f>+L601*0.2*2</f>
        <v>1066.6666666666667</v>
      </c>
      <c r="N601" s="53">
        <v>1436</v>
      </c>
      <c r="O601" s="53">
        <v>1436</v>
      </c>
      <c r="P601" s="1735">
        <v>1436</v>
      </c>
    </row>
    <row r="602" spans="4:19" ht="12.75" customHeight="1" x14ac:dyDescent="0.3">
      <c r="D602" s="115"/>
      <c r="H602" s="52"/>
      <c r="I602" s="53"/>
      <c r="J602" s="53"/>
      <c r="K602" s="53"/>
      <c r="L602" s="1096">
        <f t="shared" si="220"/>
        <v>0</v>
      </c>
      <c r="M602" s="53">
        <f t="shared" ref="M602:M607" si="221">+L602*0.2</f>
        <v>0</v>
      </c>
      <c r="N602" s="53">
        <f>+G602*M602</f>
        <v>0</v>
      </c>
      <c r="O602" s="53">
        <f>+H602*N602</f>
        <v>0</v>
      </c>
      <c r="P602" s="1735">
        <f>+H602*N602</f>
        <v>0</v>
      </c>
    </row>
    <row r="603" spans="4:19" ht="12.75" customHeight="1" x14ac:dyDescent="0.3">
      <c r="D603" s="115" t="s">
        <v>3559</v>
      </c>
      <c r="G603" s="115">
        <v>4</v>
      </c>
      <c r="H603" s="52">
        <v>60000</v>
      </c>
      <c r="I603" s="53">
        <v>30</v>
      </c>
      <c r="J603" s="53">
        <f t="shared" ref="J603:J607" si="222">+H603/I603</f>
        <v>2000</v>
      </c>
      <c r="K603" s="53">
        <v>500</v>
      </c>
      <c r="L603" s="1096">
        <f t="shared" si="220"/>
        <v>2500</v>
      </c>
      <c r="M603" s="53">
        <f>+L603*0.2*4</f>
        <v>2000</v>
      </c>
      <c r="N603" s="53">
        <v>2588</v>
      </c>
      <c r="O603" s="53">
        <v>2588</v>
      </c>
      <c r="P603" s="1735">
        <v>2588</v>
      </c>
    </row>
    <row r="604" spans="4:19" ht="12.75" customHeight="1" x14ac:dyDescent="0.3">
      <c r="D604" s="115" t="s">
        <v>3560</v>
      </c>
      <c r="H604" s="52">
        <v>50000</v>
      </c>
      <c r="I604" s="53">
        <v>20</v>
      </c>
      <c r="J604" s="53">
        <f t="shared" si="222"/>
        <v>2500</v>
      </c>
      <c r="K604" s="53">
        <v>500</v>
      </c>
      <c r="L604" s="1096">
        <f t="shared" si="220"/>
        <v>3000</v>
      </c>
      <c r="M604" s="53">
        <f t="shared" si="221"/>
        <v>600</v>
      </c>
      <c r="N604" s="53">
        <f>621*4/6</f>
        <v>414</v>
      </c>
      <c r="O604" s="53">
        <f>621*4/6</f>
        <v>414</v>
      </c>
      <c r="P604" s="1735">
        <f>621*4/6</f>
        <v>414</v>
      </c>
    </row>
    <row r="605" spans="4:19" ht="12.75" customHeight="1" x14ac:dyDescent="0.3">
      <c r="D605" s="115"/>
      <c r="H605" s="52"/>
      <c r="I605" s="53"/>
      <c r="J605" s="53"/>
      <c r="K605" s="53"/>
      <c r="L605" s="1096">
        <f t="shared" si="220"/>
        <v>0</v>
      </c>
      <c r="M605" s="53">
        <f t="shared" si="221"/>
        <v>0</v>
      </c>
      <c r="N605" s="53">
        <f t="shared" ref="N605:O607" si="223">+G605*M605</f>
        <v>0</v>
      </c>
      <c r="O605" s="53">
        <f t="shared" si="223"/>
        <v>0</v>
      </c>
      <c r="P605" s="1735">
        <f>+H605*N605</f>
        <v>0</v>
      </c>
    </row>
    <row r="606" spans="4:19" ht="12.75" customHeight="1" x14ac:dyDescent="0.3">
      <c r="D606" s="115" t="s">
        <v>3561</v>
      </c>
      <c r="G606" s="115">
        <v>1</v>
      </c>
      <c r="H606" s="52">
        <v>175000</v>
      </c>
      <c r="I606" s="53">
        <v>15</v>
      </c>
      <c r="J606" s="53">
        <f t="shared" si="222"/>
        <v>11666.666666666666</v>
      </c>
      <c r="K606" s="53">
        <v>3500</v>
      </c>
      <c r="L606" s="1096">
        <f t="shared" si="220"/>
        <v>15166.666666666666</v>
      </c>
      <c r="M606" s="53">
        <f t="shared" si="221"/>
        <v>3033.3333333333335</v>
      </c>
      <c r="N606" s="53">
        <f t="shared" si="223"/>
        <v>3033.3333333333335</v>
      </c>
      <c r="O606" s="53">
        <f t="shared" si="223"/>
        <v>530833333.33333337</v>
      </c>
      <c r="P606" s="1735">
        <f>+H606*N606</f>
        <v>530833333.33333337</v>
      </c>
    </row>
    <row r="607" spans="4:19" ht="12.75" customHeight="1" x14ac:dyDescent="0.3">
      <c r="D607" s="115" t="s">
        <v>3562</v>
      </c>
      <c r="G607" s="115">
        <v>1</v>
      </c>
      <c r="H607" s="52">
        <v>75000</v>
      </c>
      <c r="I607" s="53">
        <v>15</v>
      </c>
      <c r="J607" s="53">
        <f t="shared" si="222"/>
        <v>5000</v>
      </c>
      <c r="K607" s="53">
        <v>3500</v>
      </c>
      <c r="L607" s="1096">
        <f t="shared" si="220"/>
        <v>8500</v>
      </c>
      <c r="M607" s="53">
        <f t="shared" si="221"/>
        <v>1700</v>
      </c>
      <c r="N607" s="53">
        <f t="shared" si="223"/>
        <v>1700</v>
      </c>
      <c r="O607" s="53">
        <f t="shared" si="223"/>
        <v>127500000</v>
      </c>
      <c r="P607" s="1735">
        <f>+H607*N607</f>
        <v>127500000</v>
      </c>
      <c r="R607" s="1102">
        <f>+N607+N608</f>
        <v>340</v>
      </c>
      <c r="S607" s="633">
        <v>1360</v>
      </c>
    </row>
    <row r="608" spans="4:19" ht="12.75" customHeight="1" x14ac:dyDescent="0.3">
      <c r="D608" s="115" t="s">
        <v>3563</v>
      </c>
      <c r="H608" s="52"/>
      <c r="I608" s="53"/>
      <c r="J608" s="53"/>
      <c r="K608" s="53"/>
      <c r="L608" s="1096"/>
      <c r="M608" s="53"/>
      <c r="N608" s="53">
        <f>-+N607*0.8</f>
        <v>-1360</v>
      </c>
      <c r="O608" s="53">
        <f>-+O607*0.8</f>
        <v>-102000000</v>
      </c>
      <c r="P608" s="1735">
        <f>-+P607*0.8</f>
        <v>-102000000</v>
      </c>
      <c r="R608" s="1102">
        <f>+N609+N610</f>
        <v>41.399999999999949</v>
      </c>
      <c r="S608" s="633">
        <v>166</v>
      </c>
    </row>
    <row r="609" spans="4:22" ht="12.75" customHeight="1" x14ac:dyDescent="0.3">
      <c r="D609" s="115" t="s">
        <v>3564</v>
      </c>
      <c r="H609" s="52"/>
      <c r="I609" s="53"/>
      <c r="J609" s="53"/>
      <c r="K609" s="53"/>
      <c r="L609" s="1096"/>
      <c r="M609" s="53"/>
      <c r="N609" s="53">
        <f>621*0.333333333333333</f>
        <v>206.99999999999977</v>
      </c>
      <c r="O609" s="53">
        <f>621*0.333333333333333</f>
        <v>206.99999999999977</v>
      </c>
      <c r="P609" s="1735">
        <f>621*0.333333333333333</f>
        <v>206.99999999999977</v>
      </c>
    </row>
    <row r="610" spans="4:22" ht="12.75" customHeight="1" x14ac:dyDescent="0.3">
      <c r="D610" s="115" t="s">
        <v>3563</v>
      </c>
      <c r="H610" s="52"/>
      <c r="I610" s="53"/>
      <c r="J610" s="53"/>
      <c r="K610" s="53"/>
      <c r="L610" s="1096"/>
      <c r="M610" s="53"/>
      <c r="N610" s="53">
        <f>-N609*0.8</f>
        <v>-165.59999999999982</v>
      </c>
      <c r="O610" s="53">
        <f>-O609*0.8</f>
        <v>-165.59999999999982</v>
      </c>
      <c r="P610" s="1735">
        <f>-P609*0.8</f>
        <v>-165.59999999999982</v>
      </c>
      <c r="R610" s="1102">
        <f>+R607+R608</f>
        <v>381.4</v>
      </c>
      <c r="S610" s="633">
        <f>+S607+S608</f>
        <v>1526</v>
      </c>
    </row>
    <row r="611" spans="4:22" ht="12.75" customHeight="1" x14ac:dyDescent="0.3">
      <c r="D611" s="115"/>
      <c r="E611" s="115"/>
      <c r="F611" s="115"/>
      <c r="G611" s="53"/>
      <c r="H611" s="53"/>
      <c r="J611" s="53"/>
      <c r="K611" s="53"/>
      <c r="L611" s="1096"/>
      <c r="M611" s="53"/>
      <c r="N611" s="53"/>
      <c r="O611" s="53"/>
      <c r="P611" s="1735"/>
    </row>
    <row r="612" spans="4:22" ht="12.75" customHeight="1" thickBot="1" x14ac:dyDescent="0.35">
      <c r="D612" s="115"/>
      <c r="E612" s="115"/>
      <c r="F612" s="115"/>
      <c r="G612" s="53"/>
      <c r="H612" s="53"/>
      <c r="J612" s="53"/>
      <c r="K612" s="53"/>
      <c r="L612" s="1096"/>
      <c r="M612" s="53"/>
      <c r="N612" s="1898">
        <f>SUM(N601:N611)</f>
        <v>7852.7333333333345</v>
      </c>
      <c r="O612" s="1898">
        <f>SUM(O601:O611)</f>
        <v>556337812.73333335</v>
      </c>
      <c r="P612" s="1899">
        <f>SUM(P601:P611)</f>
        <v>556337812.73333335</v>
      </c>
    </row>
    <row r="613" spans="4:22" ht="12.75" customHeight="1" thickTop="1" x14ac:dyDescent="0.3">
      <c r="D613" s="115"/>
      <c r="E613" s="53"/>
      <c r="F613" s="53"/>
      <c r="H613" s="53"/>
      <c r="I613" s="53"/>
      <c r="J613" s="1096"/>
    </row>
    <row r="614" spans="4:22" ht="12.75" customHeight="1" x14ac:dyDescent="0.3">
      <c r="D614" s="143"/>
      <c r="E614" s="394"/>
      <c r="F614" s="306"/>
      <c r="G614" s="633"/>
      <c r="H614" s="1069" t="s">
        <v>3531</v>
      </c>
      <c r="J614" s="54"/>
    </row>
    <row r="615" spans="4:22" ht="12.75" customHeight="1" x14ac:dyDescent="0.25">
      <c r="D615" s="143"/>
      <c r="E615" s="115"/>
      <c r="H615" s="163">
        <v>2024</v>
      </c>
      <c r="I615" s="163">
        <v>2025</v>
      </c>
      <c r="J615" s="163">
        <v>2026</v>
      </c>
      <c r="K615" s="163">
        <v>2027</v>
      </c>
      <c r="L615" s="163">
        <v>2028</v>
      </c>
      <c r="M615" s="163">
        <v>2029</v>
      </c>
      <c r="N615" s="163">
        <v>2030</v>
      </c>
    </row>
    <row r="616" spans="4:22" ht="12.75" customHeight="1" x14ac:dyDescent="0.3">
      <c r="D616" s="143"/>
      <c r="E616" s="115"/>
      <c r="H616" s="53"/>
      <c r="O616" s="1096"/>
    </row>
    <row r="617" spans="4:22" ht="12.75" customHeight="1" x14ac:dyDescent="0.3">
      <c r="D617" s="115" t="s">
        <v>3558</v>
      </c>
      <c r="E617" s="115"/>
      <c r="F617" s="115"/>
      <c r="G617" s="115">
        <v>2</v>
      </c>
      <c r="H617" s="53">
        <v>1436</v>
      </c>
      <c r="I617" s="1097">
        <v>1476.2080000000001</v>
      </c>
      <c r="J617" s="1097">
        <v>1517.5418240000001</v>
      </c>
      <c r="K617" s="1097">
        <f>+J617*U$2</f>
        <v>1549.410202304</v>
      </c>
      <c r="L617" s="1097">
        <f t="shared" ref="L617:N617" si="224">+K617*V$2</f>
        <v>1585.046636956992</v>
      </c>
      <c r="M617" s="1097">
        <f t="shared" si="224"/>
        <v>1621.5027096070025</v>
      </c>
      <c r="N617" s="1097">
        <f t="shared" si="224"/>
        <v>1658.7972719279635</v>
      </c>
      <c r="P617" s="252">
        <f>+I617/H617</f>
        <v>1.028</v>
      </c>
      <c r="Q617" s="1718">
        <f>+J617/I617</f>
        <v>1.028</v>
      </c>
      <c r="R617" s="1718">
        <f>+K617/J617</f>
        <v>1.0209999999999999</v>
      </c>
    </row>
    <row r="618" spans="4:22" ht="12.75" customHeight="1" x14ac:dyDescent="0.3">
      <c r="D618" s="115"/>
      <c r="E618" s="115"/>
      <c r="F618" s="115"/>
      <c r="H618" s="53">
        <v>0</v>
      </c>
      <c r="I618" s="1097">
        <v>0</v>
      </c>
      <c r="J618" s="1097">
        <v>0</v>
      </c>
      <c r="K618" s="1097">
        <f t="shared" ref="K618:K626" si="225">+J618*U$2</f>
        <v>0</v>
      </c>
      <c r="L618" s="1097">
        <f t="shared" ref="L618:L626" si="226">+K618*V$2</f>
        <v>0</v>
      </c>
      <c r="M618" s="1097">
        <f t="shared" ref="M618:M626" si="227">+L618*W$2</f>
        <v>0</v>
      </c>
      <c r="N618" s="1097">
        <f t="shared" ref="N618:N626" si="228">+M618*X$2</f>
        <v>0</v>
      </c>
      <c r="P618" s="252" t="e">
        <f t="shared" ref="P618:P626" si="229">+I618/H618</f>
        <v>#DIV/0!</v>
      </c>
      <c r="Q618" s="1718" t="e">
        <f t="shared" ref="Q618:Q626" si="230">+J618/I618</f>
        <v>#DIV/0!</v>
      </c>
      <c r="R618" s="1718" t="e">
        <f t="shared" ref="R618:R626" si="231">+K618/J618</f>
        <v>#DIV/0!</v>
      </c>
    </row>
    <row r="619" spans="4:22" ht="12.75" customHeight="1" x14ac:dyDescent="0.3">
      <c r="D619" s="115" t="s">
        <v>3559</v>
      </c>
      <c r="E619" s="115"/>
      <c r="F619" s="115"/>
      <c r="G619" s="115">
        <v>4</v>
      </c>
      <c r="H619" s="53">
        <v>2588</v>
      </c>
      <c r="I619" s="1097">
        <v>2660.4639999999999</v>
      </c>
      <c r="J619" s="1097">
        <v>2734.9569919999999</v>
      </c>
      <c r="K619" s="1097">
        <f t="shared" si="225"/>
        <v>2792.3910888319997</v>
      </c>
      <c r="L619" s="1097">
        <f t="shared" si="226"/>
        <v>2856.6160838751352</v>
      </c>
      <c r="M619" s="1097">
        <f t="shared" si="227"/>
        <v>2922.3182538042629</v>
      </c>
      <c r="N619" s="1097">
        <f t="shared" si="228"/>
        <v>2989.5315736417606</v>
      </c>
      <c r="P619" s="252">
        <f t="shared" si="229"/>
        <v>1.028</v>
      </c>
      <c r="Q619" s="1718">
        <f t="shared" si="230"/>
        <v>1.028</v>
      </c>
      <c r="R619" s="1718">
        <f t="shared" si="231"/>
        <v>1.0209999999999999</v>
      </c>
    </row>
    <row r="620" spans="4:22" ht="12.75" customHeight="1" x14ac:dyDescent="0.3">
      <c r="D620" s="115" t="s">
        <v>3560</v>
      </c>
      <c r="E620" s="115"/>
      <c r="F620" s="115"/>
      <c r="H620" s="53">
        <v>414</v>
      </c>
      <c r="I620" s="1097">
        <v>425.59199999999998</v>
      </c>
      <c r="J620" s="1097">
        <v>437.50857600000001</v>
      </c>
      <c r="K620" s="1097">
        <f t="shared" si="225"/>
        <v>446.69625609599996</v>
      </c>
      <c r="L620" s="1097">
        <f t="shared" si="226"/>
        <v>456.97026998620794</v>
      </c>
      <c r="M620" s="1097">
        <f t="shared" si="227"/>
        <v>467.48058619589068</v>
      </c>
      <c r="N620" s="1097">
        <f t="shared" si="228"/>
        <v>478.23263967839614</v>
      </c>
      <c r="P620" s="252">
        <f t="shared" si="229"/>
        <v>1.028</v>
      </c>
      <c r="Q620" s="1718">
        <f t="shared" si="230"/>
        <v>1.028</v>
      </c>
      <c r="R620" s="1718">
        <f t="shared" si="231"/>
        <v>1.0209999999999999</v>
      </c>
    </row>
    <row r="621" spans="4:22" ht="12.75" customHeight="1" x14ac:dyDescent="0.3">
      <c r="D621" s="115"/>
      <c r="E621" s="115"/>
      <c r="F621" s="115"/>
      <c r="H621" s="53">
        <v>0</v>
      </c>
      <c r="I621" s="1097">
        <v>0</v>
      </c>
      <c r="J621" s="1097">
        <v>0</v>
      </c>
      <c r="K621" s="1097">
        <f t="shared" si="225"/>
        <v>0</v>
      </c>
      <c r="L621" s="1097">
        <f t="shared" si="226"/>
        <v>0</v>
      </c>
      <c r="M621" s="1097">
        <f t="shared" si="227"/>
        <v>0</v>
      </c>
      <c r="N621" s="1097">
        <f t="shared" si="228"/>
        <v>0</v>
      </c>
      <c r="P621" s="252" t="e">
        <f t="shared" si="229"/>
        <v>#DIV/0!</v>
      </c>
      <c r="Q621" s="1718" t="e">
        <f t="shared" si="230"/>
        <v>#DIV/0!</v>
      </c>
      <c r="R621" s="1718" t="e">
        <f t="shared" si="231"/>
        <v>#DIV/0!</v>
      </c>
    </row>
    <row r="622" spans="4:22" ht="12.75" customHeight="1" x14ac:dyDescent="0.3">
      <c r="D622" s="115" t="s">
        <v>3561</v>
      </c>
      <c r="E622" s="115"/>
      <c r="F622" s="115"/>
      <c r="G622" s="115">
        <v>1</v>
      </c>
      <c r="H622" s="53">
        <v>3033.3333333333335</v>
      </c>
      <c r="I622" s="1097">
        <v>3118.2666666666669</v>
      </c>
      <c r="J622" s="1097">
        <v>3205.5781333333334</v>
      </c>
      <c r="K622" s="1097">
        <f t="shared" si="225"/>
        <v>3272.8952741333333</v>
      </c>
      <c r="L622" s="1097">
        <f t="shared" si="226"/>
        <v>3348.1718654383994</v>
      </c>
      <c r="M622" s="1097">
        <f t="shared" si="227"/>
        <v>3425.1798183434821</v>
      </c>
      <c r="N622" s="1097">
        <f t="shared" si="228"/>
        <v>3503.9589541653818</v>
      </c>
      <c r="P622" s="252">
        <f t="shared" si="229"/>
        <v>1.028</v>
      </c>
      <c r="Q622" s="1718">
        <f t="shared" si="230"/>
        <v>1.028</v>
      </c>
      <c r="R622" s="1718">
        <f t="shared" si="231"/>
        <v>1.0209999999999999</v>
      </c>
      <c r="S622" s="424"/>
      <c r="T622" s="424"/>
      <c r="U622" s="115"/>
      <c r="V622" s="115"/>
    </row>
    <row r="623" spans="4:22" ht="12.75" customHeight="1" x14ac:dyDescent="0.3">
      <c r="D623" s="115" t="s">
        <v>3562</v>
      </c>
      <c r="E623" s="115"/>
      <c r="F623" s="115"/>
      <c r="G623" s="115">
        <v>1</v>
      </c>
      <c r="H623" s="53">
        <v>1700</v>
      </c>
      <c r="I623" s="1097">
        <v>1747.6000000000001</v>
      </c>
      <c r="J623" s="1097">
        <v>1796.5328000000002</v>
      </c>
      <c r="K623" s="1097">
        <f t="shared" si="225"/>
        <v>1834.2599888</v>
      </c>
      <c r="L623" s="1097">
        <f t="shared" si="226"/>
        <v>1876.4479685423998</v>
      </c>
      <c r="M623" s="1097">
        <f t="shared" si="227"/>
        <v>1919.6062718188748</v>
      </c>
      <c r="N623" s="1097">
        <f t="shared" si="228"/>
        <v>1963.7572160707086</v>
      </c>
      <c r="O623" s="486"/>
      <c r="P623" s="252">
        <f t="shared" si="229"/>
        <v>1.028</v>
      </c>
      <c r="Q623" s="1718">
        <f t="shared" si="230"/>
        <v>1.028</v>
      </c>
      <c r="R623" s="1718">
        <f t="shared" si="231"/>
        <v>1.0209999999999999</v>
      </c>
      <c r="S623" s="424"/>
      <c r="T623" s="424"/>
      <c r="U623" s="115"/>
      <c r="V623" s="115"/>
    </row>
    <row r="624" spans="4:22" ht="12.75" customHeight="1" x14ac:dyDescent="0.3">
      <c r="D624" s="115" t="s">
        <v>3563</v>
      </c>
      <c r="E624" s="115"/>
      <c r="F624" s="115"/>
      <c r="H624" s="53">
        <v>-1360</v>
      </c>
      <c r="I624" s="1097">
        <v>-1398.08</v>
      </c>
      <c r="J624" s="1097">
        <v>-1437.22624</v>
      </c>
      <c r="K624" s="1097">
        <f t="shared" si="225"/>
        <v>-1467.4079910399998</v>
      </c>
      <c r="L624" s="1097">
        <f t="shared" si="226"/>
        <v>-1501.1583748339197</v>
      </c>
      <c r="M624" s="1097">
        <f t="shared" si="227"/>
        <v>-1535.6850174550996</v>
      </c>
      <c r="N624" s="1097">
        <f t="shared" si="228"/>
        <v>-1571.0057728565666</v>
      </c>
      <c r="O624" s="486"/>
      <c r="P624" s="252">
        <f t="shared" si="229"/>
        <v>1.028</v>
      </c>
      <c r="Q624" s="1718">
        <f t="shared" si="230"/>
        <v>1.028</v>
      </c>
      <c r="R624" s="1718">
        <f t="shared" si="231"/>
        <v>1.0209999999999999</v>
      </c>
      <c r="S624" s="424"/>
      <c r="T624" s="424"/>
      <c r="U624" s="1098"/>
    </row>
    <row r="625" spans="4:22" ht="12.75" customHeight="1" x14ac:dyDescent="0.3">
      <c r="D625" s="115" t="s">
        <v>3564</v>
      </c>
      <c r="E625" s="115"/>
      <c r="F625" s="115"/>
      <c r="H625" s="53">
        <v>207</v>
      </c>
      <c r="I625" s="1097">
        <v>212.79599999999999</v>
      </c>
      <c r="J625" s="1097">
        <v>218.754288</v>
      </c>
      <c r="K625" s="1097">
        <f t="shared" si="225"/>
        <v>223.34812804799998</v>
      </c>
      <c r="L625" s="1097">
        <f t="shared" si="226"/>
        <v>228.48513499310397</v>
      </c>
      <c r="M625" s="1097">
        <f t="shared" si="227"/>
        <v>233.74029309794534</v>
      </c>
      <c r="N625" s="1097">
        <f t="shared" si="228"/>
        <v>239.11631983919807</v>
      </c>
      <c r="O625" s="486"/>
      <c r="P625" s="252">
        <f t="shared" si="229"/>
        <v>1.028</v>
      </c>
      <c r="Q625" s="1718">
        <f t="shared" si="230"/>
        <v>1.028</v>
      </c>
      <c r="R625" s="1718">
        <f t="shared" si="231"/>
        <v>1.0209999999999999</v>
      </c>
      <c r="S625" s="424"/>
      <c r="T625" s="424"/>
      <c r="U625" s="1098"/>
    </row>
    <row r="626" spans="4:22" ht="12.75" customHeight="1" x14ac:dyDescent="0.3">
      <c r="D626" s="115" t="s">
        <v>3563</v>
      </c>
      <c r="E626" s="115"/>
      <c r="F626" s="115"/>
      <c r="H626" s="53">
        <v>-165.60000000000002</v>
      </c>
      <c r="I626" s="1097">
        <v>-170.23680000000002</v>
      </c>
      <c r="J626" s="1097">
        <v>-175.00343040000001</v>
      </c>
      <c r="K626" s="1097">
        <f t="shared" si="225"/>
        <v>-178.67850243839999</v>
      </c>
      <c r="L626" s="1097">
        <f t="shared" si="226"/>
        <v>-182.78810799448317</v>
      </c>
      <c r="M626" s="1097">
        <f t="shared" si="227"/>
        <v>-186.99223447835627</v>
      </c>
      <c r="N626" s="1097">
        <f t="shared" si="228"/>
        <v>-191.29305587135843</v>
      </c>
      <c r="O626" s="486"/>
      <c r="P626" s="252">
        <f t="shared" si="229"/>
        <v>1.028</v>
      </c>
      <c r="Q626" s="1718">
        <f t="shared" si="230"/>
        <v>1.028</v>
      </c>
      <c r="R626" s="1718">
        <f t="shared" si="231"/>
        <v>1.0209999999999999</v>
      </c>
      <c r="S626" s="424"/>
      <c r="T626" s="424"/>
      <c r="U626" s="1098"/>
    </row>
    <row r="627" spans="4:22" ht="12.75" customHeight="1" x14ac:dyDescent="0.3">
      <c r="D627" s="115"/>
      <c r="E627" s="115"/>
      <c r="F627" s="115"/>
      <c r="G627" s="53"/>
      <c r="I627" s="1096"/>
      <c r="J627" s="1097"/>
      <c r="K627" s="1097"/>
      <c r="L627" s="1097"/>
      <c r="M627" s="1097"/>
      <c r="N627" s="1097"/>
      <c r="O627" s="486"/>
      <c r="P627" s="1736"/>
      <c r="Q627" s="486"/>
      <c r="R627" s="424"/>
      <c r="S627" s="424"/>
      <c r="T627" s="424"/>
      <c r="U627" s="1098"/>
    </row>
    <row r="628" spans="4:22" ht="12.75" customHeight="1" thickBot="1" x14ac:dyDescent="0.35">
      <c r="D628" s="1900" t="s">
        <v>3547</v>
      </c>
      <c r="E628" s="1901"/>
      <c r="F628" s="1901"/>
      <c r="G628" s="1902"/>
      <c r="H628" s="1898">
        <f t="shared" ref="H628:M628" si="232">SUM(H617:H627)</f>
        <v>7852.7333333333336</v>
      </c>
      <c r="I628" s="1898">
        <v>8072.6098666666685</v>
      </c>
      <c r="J628" s="1898">
        <v>8298.6429429333348</v>
      </c>
      <c r="K628" s="1898">
        <v>8531.0049453354659</v>
      </c>
      <c r="L628" s="1898">
        <f t="shared" si="232"/>
        <v>8667.7914769638337</v>
      </c>
      <c r="M628" s="1898">
        <f t="shared" si="232"/>
        <v>8867.1506809340026</v>
      </c>
      <c r="N628" s="1898">
        <f t="shared" ref="N628" si="233">SUM(N617:N627)</f>
        <v>9071.095146595484</v>
      </c>
      <c r="O628" s="486"/>
      <c r="P628" s="1736"/>
      <c r="Q628" s="486"/>
      <c r="R628" s="424"/>
      <c r="S628" s="424"/>
      <c r="T628" s="424"/>
      <c r="U628" s="1098"/>
    </row>
    <row r="629" spans="4:22" ht="12.75" customHeight="1" thickTop="1" x14ac:dyDescent="0.25">
      <c r="D629" s="115"/>
      <c r="E629" s="115"/>
      <c r="F629" s="115"/>
      <c r="M629" s="486"/>
      <c r="N629" s="486"/>
      <c r="O629" s="486"/>
      <c r="P629" s="1736"/>
      <c r="Q629" s="486"/>
      <c r="R629" s="424"/>
      <c r="S629" s="424"/>
      <c r="T629" s="424"/>
      <c r="U629" s="1098"/>
    </row>
    <row r="630" spans="4:22" ht="12.75" customHeight="1" x14ac:dyDescent="0.25">
      <c r="D630" s="115"/>
      <c r="E630" s="115"/>
      <c r="F630" s="115"/>
      <c r="M630" s="486"/>
      <c r="N630" s="486"/>
      <c r="O630" s="486"/>
      <c r="P630" s="1736"/>
      <c r="Q630" s="486"/>
      <c r="R630" s="424"/>
      <c r="S630" s="424"/>
      <c r="T630" s="424"/>
      <c r="U630" s="1098"/>
    </row>
    <row r="631" spans="4:22" ht="12.75" customHeight="1" x14ac:dyDescent="0.25">
      <c r="D631" s="143">
        <v>83600</v>
      </c>
      <c r="E631" s="115" t="s">
        <v>3550</v>
      </c>
      <c r="F631" s="115"/>
    </row>
    <row r="632" spans="4:22" ht="12.75" customHeight="1" x14ac:dyDescent="0.25">
      <c r="D632" s="1100"/>
      <c r="E632" s="381"/>
      <c r="F632" s="115"/>
      <c r="G632" s="114"/>
      <c r="H632" s="114"/>
      <c r="I632" s="114"/>
    </row>
    <row r="633" spans="4:22" ht="12.75" customHeight="1" x14ac:dyDescent="0.25">
      <c r="D633" s="393">
        <v>630003</v>
      </c>
      <c r="E633" s="382"/>
      <c r="F633" s="382"/>
      <c r="G633" s="381" t="s">
        <v>3505</v>
      </c>
      <c r="N633" s="114">
        <f>+I624+I626</f>
        <v>-1568.3168000000001</v>
      </c>
      <c r="O633" s="114">
        <f>+J624+J626</f>
        <v>-1612.2296704</v>
      </c>
      <c r="P633" s="252">
        <f>+J624+J626</f>
        <v>-1612.2296704</v>
      </c>
    </row>
    <row r="634" spans="4:22" ht="12.75" customHeight="1" x14ac:dyDescent="0.25">
      <c r="D634" s="393"/>
      <c r="E634" s="382"/>
      <c r="F634" s="382"/>
      <c r="G634" s="383" t="s">
        <v>554</v>
      </c>
    </row>
    <row r="635" spans="4:22" ht="12.75" customHeight="1" x14ac:dyDescent="0.25">
      <c r="D635" s="143">
        <v>832201</v>
      </c>
      <c r="G635" s="115" t="s">
        <v>3565</v>
      </c>
    </row>
    <row r="636" spans="4:22" ht="12.75" customHeight="1" x14ac:dyDescent="0.25">
      <c r="D636" s="143"/>
    </row>
    <row r="637" spans="4:22" ht="12.75" customHeight="1" x14ac:dyDescent="0.25">
      <c r="D637" s="143"/>
    </row>
    <row r="638" spans="4:22" ht="12.75" customHeight="1" x14ac:dyDescent="0.25">
      <c r="D638" s="393">
        <v>630004</v>
      </c>
      <c r="E638" s="382"/>
      <c r="F638" s="382"/>
      <c r="G638" s="381" t="s">
        <v>3566</v>
      </c>
    </row>
    <row r="639" spans="4:22" ht="12.75" customHeight="1" x14ac:dyDescent="0.25">
      <c r="D639" s="393"/>
      <c r="E639" s="382"/>
      <c r="F639" s="382"/>
      <c r="G639" s="381"/>
    </row>
    <row r="640" spans="4:22" ht="12.75" customHeight="1" x14ac:dyDescent="0.25">
      <c r="D640" s="143">
        <v>83600</v>
      </c>
      <c r="F640" s="115" t="s">
        <v>3567</v>
      </c>
      <c r="J640" s="407">
        <v>2025</v>
      </c>
      <c r="K640" s="407">
        <v>2026</v>
      </c>
      <c r="L640" s="407">
        <v>2027</v>
      </c>
      <c r="M640" s="407">
        <v>2028</v>
      </c>
      <c r="N640" s="407">
        <v>2029</v>
      </c>
      <c r="O640" s="407">
        <v>2030</v>
      </c>
      <c r="Q640" s="633"/>
      <c r="V640" s="115"/>
    </row>
    <row r="641" spans="4:22" ht="12.75" customHeight="1" x14ac:dyDescent="0.25">
      <c r="D641" s="384"/>
      <c r="E641" s="384"/>
      <c r="F641" s="384"/>
      <c r="Q641" s="633"/>
      <c r="V641" s="115"/>
    </row>
    <row r="642" spans="4:22" ht="12.75" customHeight="1" x14ac:dyDescent="0.25">
      <c r="D642" s="384"/>
      <c r="E642" s="384"/>
      <c r="F642" s="115">
        <v>2</v>
      </c>
      <c r="G642" s="115" t="s">
        <v>3568</v>
      </c>
      <c r="I642" s="1088">
        <f>687</f>
        <v>687</v>
      </c>
      <c r="J642" s="114"/>
      <c r="K642" s="114"/>
      <c r="L642" s="114"/>
      <c r="M642" s="114"/>
      <c r="N642" s="114"/>
      <c r="O642" s="114"/>
      <c r="Q642" s="633"/>
      <c r="V642" s="115"/>
    </row>
    <row r="643" spans="4:22" ht="12.75" customHeight="1" x14ac:dyDescent="0.25">
      <c r="D643" s="384"/>
      <c r="E643" s="384"/>
      <c r="F643" s="115">
        <v>2</v>
      </c>
      <c r="G643" s="115" t="s">
        <v>3568</v>
      </c>
      <c r="I643" s="1088">
        <v>796.5</v>
      </c>
      <c r="J643" s="114"/>
      <c r="K643" s="114"/>
      <c r="L643" s="114"/>
      <c r="M643" s="114"/>
      <c r="N643" s="114"/>
      <c r="O643" s="114"/>
      <c r="P643" s="252" t="s">
        <v>3569</v>
      </c>
      <c r="Q643" s="633"/>
      <c r="V643" s="115"/>
    </row>
    <row r="644" spans="4:22" ht="12.75" customHeight="1" x14ac:dyDescent="0.25">
      <c r="D644" s="384"/>
      <c r="E644" s="384"/>
      <c r="F644" s="115">
        <v>2</v>
      </c>
      <c r="G644" s="115" t="s">
        <v>3568</v>
      </c>
      <c r="I644" s="1088">
        <f>ROUND(+I643*S$2,0)</f>
        <v>819</v>
      </c>
      <c r="J644" s="114">
        <v>0</v>
      </c>
      <c r="K644" s="114"/>
      <c r="L644" s="114"/>
      <c r="M644" s="114"/>
      <c r="N644" s="114"/>
      <c r="O644" s="114"/>
      <c r="P644" s="252" t="s">
        <v>3570</v>
      </c>
      <c r="Q644" s="633"/>
      <c r="V644" s="115"/>
    </row>
    <row r="645" spans="4:22" ht="12.75" customHeight="1" x14ac:dyDescent="0.25">
      <c r="D645" s="384"/>
      <c r="E645" s="384"/>
      <c r="F645" s="115">
        <v>2</v>
      </c>
      <c r="G645" s="115" t="s">
        <v>3568</v>
      </c>
      <c r="I645" s="1088">
        <f>ROUND(+I644*T$2,0)</f>
        <v>840</v>
      </c>
      <c r="K645" s="114">
        <v>0</v>
      </c>
      <c r="L645" s="114"/>
      <c r="M645" s="114"/>
      <c r="N645" s="114"/>
      <c r="O645" s="114"/>
      <c r="Q645" s="633"/>
      <c r="V645" s="115"/>
    </row>
    <row r="646" spans="4:22" ht="12.75" customHeight="1" x14ac:dyDescent="0.25">
      <c r="D646" s="384"/>
      <c r="E646" s="384"/>
      <c r="F646" s="115">
        <v>2</v>
      </c>
      <c r="G646" s="115" t="s">
        <v>3568</v>
      </c>
      <c r="I646" s="1088">
        <f>ROUND(+I645*T$2,0)</f>
        <v>862</v>
      </c>
      <c r="K646" s="114"/>
      <c r="L646" s="114">
        <v>0</v>
      </c>
      <c r="M646" s="114">
        <v>0</v>
      </c>
      <c r="N646" s="114">
        <v>0</v>
      </c>
      <c r="O646" s="114">
        <v>0</v>
      </c>
      <c r="Q646" s="633"/>
      <c r="V646" s="115"/>
    </row>
    <row r="647" spans="4:22" ht="12.75" customHeight="1" thickBot="1" x14ac:dyDescent="0.3">
      <c r="D647" s="384"/>
      <c r="E647" s="384"/>
      <c r="F647" s="384"/>
      <c r="G647" s="115" t="str">
        <f>"Totaal "&amp;D640</f>
        <v>Totaal 83600</v>
      </c>
      <c r="J647" s="1744">
        <v>0</v>
      </c>
      <c r="K647" s="1744">
        <f>SUM(K641:K645)</f>
        <v>0</v>
      </c>
      <c r="L647" s="1744">
        <f>SUM(L641:L646)</f>
        <v>0</v>
      </c>
      <c r="M647" s="1744">
        <f>SUM(M641:M646)</f>
        <v>0</v>
      </c>
      <c r="N647" s="1744">
        <f>SUM(N641:N646)</f>
        <v>0</v>
      </c>
      <c r="O647" s="1744">
        <f>SUM(O641:O646)</f>
        <v>0</v>
      </c>
      <c r="Q647" s="633"/>
      <c r="V647" s="115"/>
    </row>
    <row r="648" spans="4:22" ht="12.75" customHeight="1" thickTop="1" x14ac:dyDescent="0.25">
      <c r="D648" s="384"/>
      <c r="E648" s="384"/>
      <c r="F648" s="384"/>
      <c r="Q648" s="633"/>
      <c r="V648" s="115"/>
    </row>
    <row r="649" spans="4:22" ht="12.75" customHeight="1" x14ac:dyDescent="0.25">
      <c r="D649" s="143"/>
      <c r="Q649" s="633"/>
      <c r="V649" s="115"/>
    </row>
    <row r="650" spans="4:22" ht="12.75" customHeight="1" x14ac:dyDescent="0.25">
      <c r="D650" s="428" t="s">
        <v>3494</v>
      </c>
      <c r="Q650" s="633"/>
      <c r="V650" s="115"/>
    </row>
    <row r="651" spans="4:22" ht="12.75" customHeight="1" x14ac:dyDescent="0.25">
      <c r="D651" s="428" t="s">
        <v>3440</v>
      </c>
      <c r="Q651" s="633"/>
      <c r="V651" s="115"/>
    </row>
    <row r="652" spans="4:22" ht="12.75" customHeight="1" x14ac:dyDescent="0.25">
      <c r="D652" s="143"/>
      <c r="Q652" s="633"/>
      <c r="V652" s="115"/>
    </row>
    <row r="653" spans="4:22" ht="12.75" customHeight="1" x14ac:dyDescent="0.25">
      <c r="D653" s="393">
        <v>630007</v>
      </c>
      <c r="E653" s="381" t="s">
        <v>3571</v>
      </c>
      <c r="F653" s="115"/>
      <c r="Q653" s="633"/>
      <c r="V653" s="115"/>
    </row>
    <row r="654" spans="4:22" ht="12.75" customHeight="1" x14ac:dyDescent="0.25">
      <c r="D654" s="384"/>
      <c r="E654" s="383" t="s">
        <v>533</v>
      </c>
      <c r="F654" s="115"/>
      <c r="Q654" s="633"/>
      <c r="V654" s="115"/>
    </row>
    <row r="655" spans="4:22" ht="12.75" customHeight="1" x14ac:dyDescent="0.25">
      <c r="D655" s="384"/>
      <c r="E655" s="115" t="s">
        <v>3572</v>
      </c>
      <c r="F655" s="115"/>
      <c r="Q655" s="633"/>
      <c r="V655" s="115"/>
    </row>
    <row r="656" spans="4:22" ht="12.75" customHeight="1" x14ac:dyDescent="0.25">
      <c r="D656" s="384"/>
      <c r="E656" s="115"/>
      <c r="F656" s="115"/>
      <c r="Q656" s="633"/>
      <c r="V656" s="115"/>
    </row>
    <row r="657" spans="4:22" ht="12.75" customHeight="1" x14ac:dyDescent="0.25">
      <c r="D657" s="393">
        <v>630011</v>
      </c>
      <c r="E657" s="381" t="s">
        <v>3573</v>
      </c>
      <c r="F657" s="115"/>
      <c r="J657" s="407">
        <v>2025</v>
      </c>
      <c r="K657" s="407">
        <v>2026</v>
      </c>
      <c r="L657" s="407">
        <v>2027</v>
      </c>
      <c r="M657" s="407">
        <v>2028</v>
      </c>
      <c r="N657" s="407">
        <v>2029</v>
      </c>
      <c r="O657" s="407">
        <v>2030</v>
      </c>
      <c r="Q657" s="633"/>
      <c r="V657" s="115"/>
    </row>
    <row r="658" spans="4:22" ht="12.75" customHeight="1" x14ac:dyDescent="0.25">
      <c r="D658" s="384"/>
      <c r="E658" s="397" t="s">
        <v>1907</v>
      </c>
      <c r="F658" s="115"/>
      <c r="Q658" s="633"/>
      <c r="V658" s="115"/>
    </row>
    <row r="659" spans="4:22" ht="12.75" customHeight="1" x14ac:dyDescent="0.25">
      <c r="D659" s="384"/>
      <c r="E659" s="397"/>
      <c r="F659" s="115"/>
      <c r="Q659" s="633"/>
      <c r="V659" s="115"/>
    </row>
    <row r="660" spans="4:22" ht="12.75" customHeight="1" x14ac:dyDescent="0.25">
      <c r="D660" s="384"/>
      <c r="E660" s="114" t="s">
        <v>3574</v>
      </c>
      <c r="F660" s="115"/>
      <c r="Q660" s="633"/>
      <c r="V660" s="115"/>
    </row>
    <row r="661" spans="4:22" ht="12.75" customHeight="1" x14ac:dyDescent="0.25">
      <c r="D661" s="143">
        <v>43812</v>
      </c>
      <c r="E661" s="115" t="s">
        <v>3575</v>
      </c>
      <c r="F661" s="115"/>
      <c r="J661" s="114">
        <v>5691</v>
      </c>
      <c r="K661" s="114">
        <v>5839</v>
      </c>
      <c r="L661" s="114">
        <f>ROUND(K661*U$2,0)</f>
        <v>5962</v>
      </c>
      <c r="M661" s="114">
        <f>ROUND(L661*V$2,0)</f>
        <v>6099</v>
      </c>
      <c r="N661" s="114">
        <f>ROUND(M661*W$2,0)</f>
        <v>6239</v>
      </c>
      <c r="O661" s="114">
        <f>ROUND(N661*X$2,0)</f>
        <v>6382</v>
      </c>
      <c r="Q661" s="633"/>
      <c r="V661" s="115"/>
    </row>
    <row r="662" spans="4:22" ht="12.75" customHeight="1" thickBot="1" x14ac:dyDescent="0.3">
      <c r="D662" s="143"/>
      <c r="E662" s="115"/>
      <c r="F662" s="115"/>
      <c r="J662" s="1744">
        <v>5691</v>
      </c>
      <c r="K662" s="1744">
        <v>5839</v>
      </c>
      <c r="L662" s="1744">
        <f>SUM(L661:L661)</f>
        <v>5962</v>
      </c>
      <c r="M662" s="1744">
        <f>SUM(M661:M661)</f>
        <v>6099</v>
      </c>
      <c r="N662" s="1744">
        <f>SUM(N661:N661)</f>
        <v>6239</v>
      </c>
      <c r="O662" s="1744">
        <f>SUM(O661:O661)</f>
        <v>6382</v>
      </c>
      <c r="Q662" s="633"/>
      <c r="V662" s="115"/>
    </row>
    <row r="663" spans="4:22" ht="12.75" customHeight="1" thickTop="1" x14ac:dyDescent="0.25">
      <c r="D663" s="143"/>
      <c r="E663" s="115"/>
      <c r="F663" s="115"/>
      <c r="Q663" s="633"/>
      <c r="V663" s="115"/>
    </row>
    <row r="664" spans="4:22" ht="12.75" customHeight="1" x14ac:dyDescent="0.25">
      <c r="D664" s="393">
        <v>630008</v>
      </c>
      <c r="E664" s="381" t="s">
        <v>3576</v>
      </c>
      <c r="F664" s="115"/>
      <c r="J664" s="114"/>
      <c r="K664" s="114"/>
      <c r="L664" s="114"/>
      <c r="M664" s="114"/>
      <c r="N664" s="114"/>
      <c r="O664" s="114"/>
    </row>
    <row r="665" spans="4:22" ht="12.75" customHeight="1" x14ac:dyDescent="0.25">
      <c r="D665" s="384"/>
      <c r="E665" s="383" t="s">
        <v>533</v>
      </c>
      <c r="F665" s="115"/>
      <c r="G665" s="114"/>
      <c r="H665" s="114"/>
      <c r="I665" s="114"/>
      <c r="J665" s="114"/>
      <c r="K665" s="114"/>
      <c r="L665" s="114"/>
      <c r="M665" s="114"/>
      <c r="N665" s="114"/>
      <c r="O665" s="114"/>
    </row>
    <row r="666" spans="4:22" ht="12.75" customHeight="1" x14ac:dyDescent="0.25">
      <c r="D666" s="384"/>
      <c r="E666" s="115" t="s">
        <v>3577</v>
      </c>
      <c r="F666" s="115"/>
      <c r="G666" s="114"/>
      <c r="H666" s="114"/>
      <c r="I666" s="114"/>
      <c r="J666" s="114"/>
      <c r="K666" s="114"/>
      <c r="L666" s="114"/>
      <c r="M666" s="114"/>
      <c r="N666" s="114"/>
      <c r="O666" s="114"/>
    </row>
    <row r="667" spans="4:22" ht="12.75" customHeight="1" x14ac:dyDescent="0.25">
      <c r="D667" s="384"/>
      <c r="E667" s="115"/>
      <c r="F667" s="115"/>
      <c r="G667" s="114"/>
      <c r="H667" s="114"/>
      <c r="I667" s="114"/>
      <c r="J667" s="114"/>
      <c r="K667" s="114"/>
      <c r="L667" s="114"/>
      <c r="M667" s="114"/>
      <c r="N667" s="114"/>
      <c r="O667" s="114"/>
    </row>
    <row r="668" spans="4:22" ht="12.75" customHeight="1" x14ac:dyDescent="0.25">
      <c r="D668" s="143"/>
      <c r="E668" s="115"/>
      <c r="F668" s="115"/>
      <c r="G668" s="114"/>
      <c r="H668" s="114"/>
      <c r="I668" s="114"/>
      <c r="J668" s="114"/>
      <c r="K668" s="114"/>
      <c r="L668" s="114"/>
      <c r="M668" s="114"/>
      <c r="N668" s="114"/>
      <c r="O668" s="114"/>
      <c r="Q668" s="633"/>
      <c r="V668" s="115"/>
    </row>
    <row r="669" spans="4:22" ht="12.75" customHeight="1" x14ac:dyDescent="0.25">
      <c r="D669" s="393">
        <v>630009</v>
      </c>
      <c r="E669" s="381" t="s">
        <v>3467</v>
      </c>
      <c r="F669" s="115"/>
      <c r="G669" s="114"/>
      <c r="H669" s="114"/>
      <c r="I669" s="114"/>
      <c r="J669" s="407">
        <v>2025</v>
      </c>
      <c r="K669" s="407">
        <v>2026</v>
      </c>
      <c r="L669" s="407">
        <v>2027</v>
      </c>
      <c r="M669" s="407">
        <v>2028</v>
      </c>
      <c r="N669" s="407">
        <v>2029</v>
      </c>
      <c r="O669" s="407">
        <v>2030</v>
      </c>
      <c r="Q669" s="633"/>
      <c r="V669" s="115"/>
    </row>
    <row r="670" spans="4:22" ht="12.75" customHeight="1" x14ac:dyDescent="0.25">
      <c r="E670" s="383" t="s">
        <v>3057</v>
      </c>
      <c r="F670" s="115"/>
      <c r="G670" s="114"/>
      <c r="H670" s="114"/>
      <c r="I670" s="114"/>
      <c r="J670" s="151"/>
      <c r="K670" s="151"/>
      <c r="L670" s="151"/>
      <c r="M670" s="151"/>
      <c r="N670" s="151"/>
      <c r="O670" s="151"/>
      <c r="Q670" s="633"/>
      <c r="V670" s="115"/>
    </row>
    <row r="671" spans="4:22" ht="12.75" customHeight="1" x14ac:dyDescent="0.25">
      <c r="D671" s="143">
        <v>43812</v>
      </c>
      <c r="E671" s="115" t="s">
        <v>1293</v>
      </c>
      <c r="F671" s="115"/>
      <c r="G671" s="114"/>
      <c r="H671" s="114"/>
      <c r="I671" s="114"/>
      <c r="J671" s="396"/>
      <c r="K671" s="396"/>
      <c r="L671" s="396"/>
      <c r="M671" s="396"/>
      <c r="N671" s="396"/>
      <c r="O671" s="396"/>
      <c r="Q671" s="633"/>
      <c r="V671" s="115"/>
    </row>
    <row r="672" spans="4:22" ht="12.75" customHeight="1" x14ac:dyDescent="0.25">
      <c r="E672" s="308" t="s">
        <v>3578</v>
      </c>
      <c r="F672" s="115"/>
      <c r="G672" s="114"/>
      <c r="H672" s="114"/>
      <c r="I672" s="114"/>
      <c r="J672" s="114">
        <v>584</v>
      </c>
      <c r="K672" s="114">
        <v>599</v>
      </c>
      <c r="L672" s="114">
        <f t="shared" ref="L672:O674" si="234">ROUND(K672*U$2,0)</f>
        <v>612</v>
      </c>
      <c r="M672" s="114">
        <f t="shared" si="234"/>
        <v>626</v>
      </c>
      <c r="N672" s="114">
        <f t="shared" si="234"/>
        <v>640</v>
      </c>
      <c r="O672" s="114">
        <f t="shared" si="234"/>
        <v>655</v>
      </c>
      <c r="Q672" s="633"/>
      <c r="V672" s="115"/>
    </row>
    <row r="673" spans="4:22" ht="12.75" customHeight="1" x14ac:dyDescent="0.25">
      <c r="E673" s="308" t="s">
        <v>3579</v>
      </c>
      <c r="F673" s="115"/>
      <c r="G673" s="114"/>
      <c r="H673" s="114"/>
      <c r="I673" s="114"/>
      <c r="J673" s="114">
        <v>584</v>
      </c>
      <c r="K673" s="114">
        <v>599</v>
      </c>
      <c r="L673" s="114">
        <f t="shared" si="234"/>
        <v>612</v>
      </c>
      <c r="M673" s="114">
        <f t="shared" si="234"/>
        <v>626</v>
      </c>
      <c r="N673" s="114">
        <f t="shared" si="234"/>
        <v>640</v>
      </c>
      <c r="O673" s="114">
        <f t="shared" si="234"/>
        <v>655</v>
      </c>
      <c r="Q673" s="633"/>
      <c r="V673" s="115"/>
    </row>
    <row r="674" spans="4:22" ht="12.75" customHeight="1" x14ac:dyDescent="0.25">
      <c r="E674" s="308" t="s">
        <v>3580</v>
      </c>
      <c r="F674" s="115"/>
      <c r="G674" s="114"/>
      <c r="H674" s="114"/>
      <c r="I674" s="114"/>
      <c r="J674" s="114">
        <v>483</v>
      </c>
      <c r="K674" s="114">
        <v>496</v>
      </c>
      <c r="L674" s="114">
        <f t="shared" si="234"/>
        <v>506</v>
      </c>
      <c r="M674" s="114">
        <f t="shared" si="234"/>
        <v>518</v>
      </c>
      <c r="N674" s="114">
        <f t="shared" si="234"/>
        <v>530</v>
      </c>
      <c r="O674" s="114">
        <f t="shared" si="234"/>
        <v>542</v>
      </c>
      <c r="Q674" s="633"/>
      <c r="V674" s="115"/>
    </row>
    <row r="675" spans="4:22" ht="12.75" customHeight="1" x14ac:dyDescent="0.25">
      <c r="E675" s="308"/>
      <c r="F675" s="115"/>
      <c r="G675" s="114"/>
      <c r="H675" s="114"/>
      <c r="I675" s="114"/>
      <c r="J675" s="114"/>
      <c r="K675" s="114"/>
      <c r="L675" s="114"/>
      <c r="M675" s="114"/>
      <c r="N675" s="114"/>
      <c r="O675" s="114"/>
      <c r="Q675" s="633"/>
      <c r="V675" s="115"/>
    </row>
    <row r="676" spans="4:22" ht="12.75" customHeight="1" thickBot="1" x14ac:dyDescent="0.3">
      <c r="D676" s="143"/>
      <c r="E676" s="115" t="str">
        <f>"Totaal "&amp;D671</f>
        <v>Totaal 43812</v>
      </c>
      <c r="F676" s="115"/>
      <c r="G676" s="114"/>
      <c r="H676" s="114"/>
      <c r="I676" s="114"/>
      <c r="J676" s="1744">
        <v>1651</v>
      </c>
      <c r="K676" s="1744">
        <v>1694</v>
      </c>
      <c r="L676" s="1744">
        <f>SUM(L672:L674)</f>
        <v>1730</v>
      </c>
      <c r="M676" s="1744">
        <f>SUM(M672:M674)</f>
        <v>1770</v>
      </c>
      <c r="N676" s="1744">
        <f>SUM(N672:N674)</f>
        <v>1810</v>
      </c>
      <c r="O676" s="1744">
        <f>SUM(O672:O674)</f>
        <v>1852</v>
      </c>
      <c r="Q676" s="633"/>
      <c r="V676" s="115"/>
    </row>
    <row r="677" spans="4:22" ht="12.75" customHeight="1" thickTop="1" x14ac:dyDescent="0.25">
      <c r="D677" s="143"/>
      <c r="E677" s="115"/>
      <c r="F677" s="115"/>
      <c r="G677" s="114"/>
      <c r="H677" s="114"/>
      <c r="I677" s="114"/>
      <c r="Q677" s="633"/>
      <c r="V677" s="115"/>
    </row>
    <row r="678" spans="4:22" ht="12.75" customHeight="1" x14ac:dyDescent="0.25">
      <c r="D678" s="143"/>
      <c r="E678" s="115"/>
      <c r="F678" s="115"/>
      <c r="G678" s="396"/>
      <c r="H678" s="396"/>
      <c r="I678" s="396"/>
      <c r="Q678" s="633"/>
      <c r="V678" s="115"/>
    </row>
    <row r="679" spans="4:22" ht="12.75" customHeight="1" x14ac:dyDescent="0.25">
      <c r="D679" s="433">
        <v>630012</v>
      </c>
      <c r="E679" s="381" t="s">
        <v>3581</v>
      </c>
      <c r="F679" s="115"/>
      <c r="Q679" s="633"/>
      <c r="V679" s="115"/>
    </row>
    <row r="680" spans="4:22" ht="12.75" customHeight="1" x14ac:dyDescent="0.25">
      <c r="D680" s="648"/>
      <c r="E680" s="381"/>
      <c r="F680" s="115"/>
      <c r="Q680" s="633"/>
      <c r="V680" s="115"/>
    </row>
    <row r="681" spans="4:22" ht="12.75" customHeight="1" thickBot="1" x14ac:dyDescent="0.3">
      <c r="D681" s="384">
        <v>43802</v>
      </c>
      <c r="E681" s="115" t="s">
        <v>3511</v>
      </c>
      <c r="F681" s="115"/>
      <c r="J681" s="1744">
        <v>1574</v>
      </c>
      <c r="K681" s="1744">
        <v>1615</v>
      </c>
      <c r="L681" s="1744">
        <f>ROUND(K681*U$2,0)</f>
        <v>1649</v>
      </c>
      <c r="M681" s="1744">
        <f>ROUND(L681*V$2,0)</f>
        <v>1687</v>
      </c>
      <c r="N681" s="1744">
        <f>ROUND(M681*W$2,0)</f>
        <v>1726</v>
      </c>
      <c r="O681" s="1744">
        <f>ROUND(N681*X$2,0)</f>
        <v>1766</v>
      </c>
      <c r="Q681" s="633"/>
      <c r="V681" s="115"/>
    </row>
    <row r="682" spans="4:22" ht="12.75" customHeight="1" thickTop="1" x14ac:dyDescent="0.25">
      <c r="D682" s="384"/>
      <c r="E682" s="115" t="s">
        <v>3512</v>
      </c>
      <c r="F682" s="115"/>
      <c r="Q682" s="633"/>
      <c r="V682" s="115"/>
    </row>
    <row r="683" spans="4:22" ht="12.75" customHeight="1" x14ac:dyDescent="0.25">
      <c r="D683" s="384"/>
      <c r="E683" s="115"/>
      <c r="F683" s="115"/>
      <c r="Q683" s="633"/>
      <c r="V683" s="115"/>
    </row>
    <row r="684" spans="4:22" ht="12.75" customHeight="1" thickBot="1" x14ac:dyDescent="0.3">
      <c r="D684" s="384">
        <v>43511</v>
      </c>
      <c r="E684" s="115" t="s">
        <v>3513</v>
      </c>
      <c r="F684" s="115"/>
      <c r="J684" s="1744">
        <v>24158</v>
      </c>
      <c r="K684" s="1744">
        <v>24641</v>
      </c>
      <c r="L684" s="1744">
        <f>ROUND(K684*U$3,0)</f>
        <v>25676</v>
      </c>
      <c r="M684" s="1744">
        <f>ROUND(L684*V$3,0)</f>
        <v>26626</v>
      </c>
      <c r="N684" s="1744">
        <f>ROUND(M684*W$3,0)</f>
        <v>27611</v>
      </c>
      <c r="O684" s="1744">
        <f>ROUND(N684*X$3,0)</f>
        <v>28633</v>
      </c>
      <c r="Q684" s="633"/>
      <c r="V684" s="115"/>
    </row>
    <row r="685" spans="4:22" ht="12.75" customHeight="1" thickTop="1" x14ac:dyDescent="0.25">
      <c r="D685" s="384"/>
      <c r="E685" s="115" t="s">
        <v>3514</v>
      </c>
      <c r="F685" s="115"/>
      <c r="Q685" s="633"/>
      <c r="V685" s="115"/>
    </row>
    <row r="686" spans="4:22" ht="12.75" customHeight="1" x14ac:dyDescent="0.25">
      <c r="D686" s="384"/>
      <c r="E686" s="115" t="s">
        <v>3515</v>
      </c>
      <c r="F686" s="115"/>
      <c r="Q686" s="633"/>
      <c r="V686" s="115"/>
    </row>
    <row r="687" spans="4:22" ht="12.75" customHeight="1" x14ac:dyDescent="0.25">
      <c r="D687" s="384"/>
      <c r="E687" s="115" t="s">
        <v>3516</v>
      </c>
      <c r="F687" s="115"/>
      <c r="Q687" s="633"/>
      <c r="V687" s="115"/>
    </row>
    <row r="688" spans="4:22" ht="12.75" customHeight="1" x14ac:dyDescent="0.25">
      <c r="D688" s="384"/>
      <c r="E688" s="115"/>
      <c r="F688" s="115"/>
      <c r="Q688" s="633"/>
      <c r="V688" s="115"/>
    </row>
    <row r="689" spans="4:23" ht="12.75" customHeight="1" thickBot="1" x14ac:dyDescent="0.3">
      <c r="D689" s="384">
        <v>43812</v>
      </c>
      <c r="E689" s="115" t="s">
        <v>3517</v>
      </c>
      <c r="F689" s="115"/>
      <c r="J689" s="1744">
        <v>44940</v>
      </c>
      <c r="K689" s="1744">
        <v>46108</v>
      </c>
      <c r="L689" s="1744">
        <f>ROUND(K689*U$2,0)</f>
        <v>47076</v>
      </c>
      <c r="M689" s="1744">
        <f>ROUND(L689*V$2,0)</f>
        <v>48159</v>
      </c>
      <c r="N689" s="1744">
        <f>ROUND(M689*W$2,0)</f>
        <v>49267</v>
      </c>
      <c r="O689" s="1744">
        <f>ROUND(N689*X$2,0)</f>
        <v>50400</v>
      </c>
      <c r="Q689" s="633"/>
      <c r="V689" s="115"/>
    </row>
    <row r="690" spans="4:23" ht="12.75" customHeight="1" thickTop="1" x14ac:dyDescent="0.25">
      <c r="D690" s="384"/>
      <c r="E690" s="115" t="s">
        <v>3518</v>
      </c>
      <c r="F690" s="115"/>
    </row>
    <row r="691" spans="4:23" ht="12.75" customHeight="1" x14ac:dyDescent="0.25">
      <c r="D691" s="384"/>
      <c r="E691" s="115" t="s">
        <v>3519</v>
      </c>
      <c r="F691" s="115"/>
      <c r="R691" s="115"/>
      <c r="W691" s="633"/>
    </row>
    <row r="692" spans="4:23" ht="12.75" customHeight="1" x14ac:dyDescent="0.25">
      <c r="D692" s="143"/>
      <c r="R692" s="115"/>
      <c r="W692" s="633"/>
    </row>
    <row r="693" spans="4:23" ht="12.75" customHeight="1" x14ac:dyDescent="0.25">
      <c r="D693" s="143"/>
      <c r="J693" s="151"/>
      <c r="K693" s="151"/>
      <c r="L693" s="151"/>
      <c r="M693" s="151"/>
      <c r="N693" s="151"/>
      <c r="O693" s="151"/>
    </row>
    <row r="694" spans="4:23" ht="12.75" customHeight="1" x14ac:dyDescent="0.25">
      <c r="D694" s="393">
        <v>630007</v>
      </c>
      <c r="E694" s="381" t="s">
        <v>3571</v>
      </c>
      <c r="F694" s="382"/>
      <c r="J694" s="151"/>
      <c r="K694" s="151"/>
      <c r="L694" s="151"/>
      <c r="M694" s="151"/>
      <c r="N694" s="151"/>
      <c r="O694" s="151"/>
    </row>
    <row r="695" spans="4:23" ht="12.75" customHeight="1" x14ac:dyDescent="0.25">
      <c r="D695" s="393"/>
      <c r="E695" s="383" t="s">
        <v>554</v>
      </c>
      <c r="F695" s="382"/>
      <c r="J695" s="151"/>
      <c r="K695" s="151"/>
      <c r="L695" s="151"/>
      <c r="M695" s="151"/>
      <c r="N695" s="151"/>
      <c r="O695" s="151"/>
    </row>
    <row r="696" spans="4:23" ht="12.75" customHeight="1" x14ac:dyDescent="0.25">
      <c r="D696" s="393"/>
      <c r="E696" s="115" t="s">
        <v>3572</v>
      </c>
      <c r="F696" s="382"/>
    </row>
    <row r="697" spans="4:23" ht="12.75" customHeight="1" x14ac:dyDescent="0.25">
      <c r="D697" s="393"/>
      <c r="E697" s="381"/>
      <c r="F697" s="382"/>
    </row>
    <row r="698" spans="4:23" ht="12.75" customHeight="1" x14ac:dyDescent="0.25">
      <c r="D698" s="143">
        <v>83600</v>
      </c>
      <c r="E698" s="115" t="s">
        <v>3582</v>
      </c>
    </row>
    <row r="699" spans="4:23" ht="12.75" customHeight="1" x14ac:dyDescent="0.25">
      <c r="D699" s="143"/>
      <c r="E699" s="115"/>
    </row>
    <row r="700" spans="4:23" ht="12.75" customHeight="1" x14ac:dyDescent="0.25">
      <c r="D700" s="143"/>
      <c r="E700" s="115"/>
    </row>
    <row r="701" spans="4:23" ht="12.75" customHeight="1" x14ac:dyDescent="0.3">
      <c r="D701" s="143"/>
      <c r="E701" s="633"/>
      <c r="F701" s="1092" t="s">
        <v>3529</v>
      </c>
      <c r="G701" s="1092"/>
      <c r="J701" s="160"/>
      <c r="K701" s="1092"/>
      <c r="L701" s="1092"/>
      <c r="M701" s="1092"/>
    </row>
    <row r="702" spans="4:23" ht="12.75" customHeight="1" x14ac:dyDescent="0.3">
      <c r="D702" s="143"/>
      <c r="E702" s="633"/>
      <c r="F702" s="633"/>
      <c r="G702" s="633"/>
      <c r="J702" s="51"/>
      <c r="K702" s="633"/>
    </row>
    <row r="703" spans="4:23" ht="12.75" customHeight="1" x14ac:dyDescent="0.3">
      <c r="D703" s="143"/>
      <c r="E703" s="633"/>
      <c r="F703" s="1091" t="s">
        <v>3583</v>
      </c>
      <c r="G703" s="1092"/>
      <c r="J703" s="51"/>
      <c r="K703" s="633"/>
    </row>
    <row r="704" spans="4:23" ht="12.75" customHeight="1" x14ac:dyDescent="0.3">
      <c r="D704" s="143"/>
      <c r="E704" s="1093"/>
      <c r="F704" s="306"/>
      <c r="G704" s="633"/>
      <c r="J704" s="51"/>
      <c r="K704" s="633"/>
    </row>
    <row r="705" spans="4:16" ht="12.75" customHeight="1" x14ac:dyDescent="0.3">
      <c r="D705" s="143"/>
      <c r="E705" s="1094"/>
      <c r="F705" s="306"/>
      <c r="G705" s="633"/>
      <c r="J705" s="51"/>
      <c r="K705" s="633"/>
      <c r="N705" s="1069" t="s">
        <v>3531</v>
      </c>
      <c r="O705" s="1069" t="s">
        <v>3531</v>
      </c>
      <c r="P705" s="1733" t="s">
        <v>3531</v>
      </c>
    </row>
    <row r="706" spans="4:16" ht="12.75" customHeight="1" x14ac:dyDescent="0.3">
      <c r="D706" s="1095" t="s">
        <v>206</v>
      </c>
      <c r="E706" s="115"/>
      <c r="F706" s="115"/>
      <c r="G706" s="161" t="s">
        <v>3532</v>
      </c>
      <c r="H706" s="1092" t="s">
        <v>3533</v>
      </c>
      <c r="I706" s="1092" t="s">
        <v>3534</v>
      </c>
      <c r="J706" s="161" t="s">
        <v>3535</v>
      </c>
      <c r="K706" s="1092" t="s">
        <v>3536</v>
      </c>
      <c r="L706" s="1092" t="s">
        <v>536</v>
      </c>
      <c r="M706" s="162">
        <v>0.2</v>
      </c>
      <c r="N706" s="163">
        <v>2024</v>
      </c>
      <c r="O706" s="163">
        <v>2024</v>
      </c>
      <c r="P706" s="1734">
        <v>2024</v>
      </c>
    </row>
    <row r="707" spans="4:16" ht="12.75" customHeight="1" x14ac:dyDescent="0.3">
      <c r="D707" s="115"/>
      <c r="E707" s="115"/>
      <c r="F707" s="115"/>
      <c r="G707" s="53"/>
      <c r="H707" s="633"/>
      <c r="I707" s="54"/>
      <c r="J707" s="54"/>
      <c r="K707" s="633"/>
      <c r="L707" s="54"/>
      <c r="M707" s="164"/>
      <c r="N707" s="53"/>
      <c r="O707" s="53"/>
      <c r="P707" s="1735"/>
    </row>
    <row r="708" spans="4:16" ht="12.75" customHeight="1" x14ac:dyDescent="0.3">
      <c r="D708" s="115" t="s">
        <v>3537</v>
      </c>
      <c r="E708" s="115"/>
      <c r="F708" s="115"/>
      <c r="G708" s="53">
        <v>1</v>
      </c>
      <c r="H708" s="53">
        <v>100000</v>
      </c>
      <c r="I708" s="115">
        <v>25</v>
      </c>
      <c r="J708" s="53">
        <f>+H708/I708</f>
        <v>4000</v>
      </c>
      <c r="K708" s="53">
        <v>15000</v>
      </c>
      <c r="L708" s="1096">
        <f t="shared" ref="L708:L721" si="235">SUM(J708:K708)</f>
        <v>19000</v>
      </c>
      <c r="M708" s="53">
        <f>+L708*0.2</f>
        <v>3800</v>
      </c>
      <c r="N708" s="53">
        <v>4822.145081085896</v>
      </c>
      <c r="O708" s="53">
        <v>4822.145081085896</v>
      </c>
      <c r="P708" s="1735">
        <v>4822.145081085896</v>
      </c>
    </row>
    <row r="709" spans="4:16" ht="12.75" customHeight="1" x14ac:dyDescent="0.3">
      <c r="D709" s="115" t="s">
        <v>3584</v>
      </c>
      <c r="E709" s="115"/>
      <c r="F709" s="115"/>
      <c r="G709" s="53">
        <v>1</v>
      </c>
      <c r="H709" s="53">
        <v>200000</v>
      </c>
      <c r="I709" s="115">
        <v>15</v>
      </c>
      <c r="J709" s="53">
        <f t="shared" ref="J709:J721" si="236">+H709/I709</f>
        <v>13333.333333333334</v>
      </c>
      <c r="K709" s="53">
        <v>15000</v>
      </c>
      <c r="L709" s="1096">
        <f t="shared" si="235"/>
        <v>28333.333333333336</v>
      </c>
      <c r="M709" s="53">
        <f t="shared" ref="M709:M720" si="237">+L709*0.2</f>
        <v>5666.6666666666679</v>
      </c>
      <c r="N709" s="53"/>
      <c r="O709" s="53"/>
      <c r="P709" s="1735"/>
    </row>
    <row r="710" spans="4:16" ht="12.75" customHeight="1" x14ac:dyDescent="0.3">
      <c r="D710" s="115" t="s">
        <v>3585</v>
      </c>
      <c r="E710" s="115"/>
      <c r="F710" s="115"/>
      <c r="G710" s="53">
        <v>1</v>
      </c>
      <c r="H710" s="53">
        <v>200000</v>
      </c>
      <c r="I710" s="115">
        <v>30</v>
      </c>
      <c r="J710" s="53">
        <f t="shared" si="236"/>
        <v>6666.666666666667</v>
      </c>
      <c r="K710" s="53"/>
      <c r="L710" s="1096">
        <f t="shared" si="235"/>
        <v>6666.666666666667</v>
      </c>
      <c r="M710" s="53">
        <f t="shared" si="237"/>
        <v>1333.3333333333335</v>
      </c>
      <c r="N710" s="53">
        <v>1691.9807302055774</v>
      </c>
      <c r="O710" s="53">
        <v>1691.9807302055774</v>
      </c>
      <c r="P710" s="1735">
        <v>1691.9807302055774</v>
      </c>
    </row>
    <row r="711" spans="4:16" ht="12.75" customHeight="1" x14ac:dyDescent="0.3">
      <c r="D711" s="115" t="s">
        <v>3586</v>
      </c>
      <c r="E711" s="115"/>
      <c r="F711" s="115"/>
      <c r="G711" s="53">
        <v>1</v>
      </c>
      <c r="H711" s="53">
        <v>200000</v>
      </c>
      <c r="I711" s="115">
        <v>15</v>
      </c>
      <c r="J711" s="53">
        <f t="shared" si="236"/>
        <v>13333.333333333334</v>
      </c>
      <c r="K711" s="53">
        <v>15000</v>
      </c>
      <c r="L711" s="1096">
        <f t="shared" si="235"/>
        <v>28333.333333333336</v>
      </c>
      <c r="M711" s="53">
        <f t="shared" si="237"/>
        <v>5666.6666666666679</v>
      </c>
      <c r="N711" s="53"/>
      <c r="O711" s="53"/>
      <c r="P711" s="1735"/>
    </row>
    <row r="712" spans="4:16" ht="12.75" customHeight="1" x14ac:dyDescent="0.3">
      <c r="D712" s="115" t="s">
        <v>3587</v>
      </c>
      <c r="E712" s="115"/>
      <c r="F712" s="115"/>
      <c r="G712" s="53">
        <v>1</v>
      </c>
      <c r="H712" s="53">
        <v>200000</v>
      </c>
      <c r="I712" s="115">
        <v>30</v>
      </c>
      <c r="J712" s="53">
        <f t="shared" si="236"/>
        <v>6666.666666666667</v>
      </c>
      <c r="K712" s="53"/>
      <c r="L712" s="1096">
        <f t="shared" si="235"/>
        <v>6666.666666666667</v>
      </c>
      <c r="M712" s="53">
        <f t="shared" si="237"/>
        <v>1333.3333333333335</v>
      </c>
      <c r="N712" s="53">
        <v>1691.9807302055774</v>
      </c>
      <c r="O712" s="53">
        <v>1691.9807302055774</v>
      </c>
      <c r="P712" s="1735">
        <v>1691.9807302055774</v>
      </c>
    </row>
    <row r="713" spans="4:16" ht="12.75" customHeight="1" x14ac:dyDescent="0.3">
      <c r="D713" s="115" t="s">
        <v>3588</v>
      </c>
      <c r="E713" s="115"/>
      <c r="F713" s="115"/>
      <c r="G713" s="53">
        <v>1</v>
      </c>
      <c r="H713" s="53">
        <v>208313</v>
      </c>
      <c r="I713" s="115">
        <v>15</v>
      </c>
      <c r="J713" s="53">
        <f t="shared" si="236"/>
        <v>13887.533333333333</v>
      </c>
      <c r="K713" s="53">
        <v>15000</v>
      </c>
      <c r="L713" s="1096">
        <f t="shared" si="235"/>
        <v>28887.533333333333</v>
      </c>
      <c r="M713" s="53">
        <f t="shared" si="237"/>
        <v>5777.5066666666671</v>
      </c>
      <c r="N713" s="53">
        <v>7011.3073357529238</v>
      </c>
      <c r="O713" s="53">
        <v>7011.3073357529238</v>
      </c>
      <c r="P713" s="1735">
        <v>7011.3073357529238</v>
      </c>
    </row>
    <row r="714" spans="4:16" ht="12.75" customHeight="1" x14ac:dyDescent="0.3">
      <c r="D714" s="115" t="s">
        <v>3589</v>
      </c>
      <c r="E714" s="115"/>
      <c r="F714" s="115"/>
      <c r="G714" s="53">
        <v>1</v>
      </c>
      <c r="H714" s="53">
        <v>208313</v>
      </c>
      <c r="I714" s="115">
        <v>30</v>
      </c>
      <c r="J714" s="53">
        <f t="shared" si="236"/>
        <v>6943.7666666666664</v>
      </c>
      <c r="K714" s="53"/>
      <c r="L714" s="1096">
        <f t="shared" si="235"/>
        <v>6943.7666666666664</v>
      </c>
      <c r="M714" s="53">
        <f t="shared" si="237"/>
        <v>1388.7533333333333</v>
      </c>
      <c r="N714" s="53">
        <v>1685.3250018262765</v>
      </c>
      <c r="O714" s="53">
        <v>1685.3250018262765</v>
      </c>
      <c r="P714" s="1735">
        <v>1685.3250018262765</v>
      </c>
    </row>
    <row r="715" spans="4:16" ht="12.75" customHeight="1" x14ac:dyDescent="0.3">
      <c r="D715" s="115" t="s">
        <v>3590</v>
      </c>
      <c r="E715" s="115"/>
      <c r="F715" s="115"/>
      <c r="G715" s="53">
        <v>1</v>
      </c>
      <c r="H715" s="53">
        <v>268015</v>
      </c>
      <c r="I715" s="115">
        <v>15</v>
      </c>
      <c r="J715" s="53">
        <f t="shared" si="236"/>
        <v>17867.666666666668</v>
      </c>
      <c r="K715" s="53">
        <v>15000</v>
      </c>
      <c r="L715" s="1096">
        <f t="shared" si="235"/>
        <v>32867.666666666672</v>
      </c>
      <c r="M715" s="53">
        <f t="shared" si="237"/>
        <v>6573.5333333333347</v>
      </c>
      <c r="N715" s="53">
        <v>6772.218378333333</v>
      </c>
      <c r="O715" s="53">
        <v>6772.218378333333</v>
      </c>
      <c r="P715" s="1735">
        <v>6772.218378333333</v>
      </c>
    </row>
    <row r="716" spans="4:16" ht="12.75" customHeight="1" x14ac:dyDescent="0.3">
      <c r="D716" s="115" t="s">
        <v>3591</v>
      </c>
      <c r="E716" s="115"/>
      <c r="F716" s="115"/>
      <c r="G716" s="53">
        <v>1</v>
      </c>
      <c r="H716" s="53">
        <v>268015</v>
      </c>
      <c r="I716" s="115">
        <v>30</v>
      </c>
      <c r="J716" s="53">
        <f t="shared" si="236"/>
        <v>8933.8333333333339</v>
      </c>
      <c r="K716" s="53"/>
      <c r="L716" s="1096">
        <f t="shared" si="235"/>
        <v>8933.8333333333339</v>
      </c>
      <c r="M716" s="53">
        <f t="shared" si="237"/>
        <v>1786.7666666666669</v>
      </c>
      <c r="N716" s="53">
        <v>1840.7716891666664</v>
      </c>
      <c r="O716" s="53">
        <v>1840.7716891666664</v>
      </c>
      <c r="P716" s="1735">
        <v>1840.7716891666664</v>
      </c>
    </row>
    <row r="717" spans="4:16" ht="12.75" customHeight="1" x14ac:dyDescent="0.3">
      <c r="D717" s="115" t="s">
        <v>3592</v>
      </c>
      <c r="E717" s="115"/>
      <c r="F717" s="115"/>
      <c r="G717" s="53">
        <v>1</v>
      </c>
      <c r="H717" s="53">
        <v>430756</v>
      </c>
      <c r="I717" s="115">
        <v>15</v>
      </c>
      <c r="J717" s="53">
        <f t="shared" si="236"/>
        <v>28717.066666666666</v>
      </c>
      <c r="K717" s="53">
        <v>15000</v>
      </c>
      <c r="L717" s="1096">
        <f t="shared" si="235"/>
        <v>43717.066666666666</v>
      </c>
      <c r="M717" s="53">
        <f t="shared" si="237"/>
        <v>8743.4133333333339</v>
      </c>
      <c r="N717" s="53">
        <v>8743.4133333333339</v>
      </c>
      <c r="O717" s="53">
        <v>8743.4133333333339</v>
      </c>
      <c r="P717" s="1735">
        <v>8743.4133333333339</v>
      </c>
    </row>
    <row r="718" spans="4:16" ht="12.75" customHeight="1" x14ac:dyDescent="0.3">
      <c r="D718" s="115" t="s">
        <v>3593</v>
      </c>
      <c r="E718" s="115"/>
      <c r="F718" s="115"/>
      <c r="G718" s="53">
        <v>1</v>
      </c>
      <c r="H718" s="53">
        <v>337239</v>
      </c>
      <c r="I718" s="115">
        <v>15</v>
      </c>
      <c r="J718" s="53">
        <f t="shared" si="236"/>
        <v>22482.6</v>
      </c>
      <c r="K718" s="53">
        <v>15000</v>
      </c>
      <c r="L718" s="1096">
        <f t="shared" si="235"/>
        <v>37482.6</v>
      </c>
      <c r="M718" s="53">
        <f t="shared" si="237"/>
        <v>7496.52</v>
      </c>
      <c r="N718" s="53">
        <v>7496.52</v>
      </c>
      <c r="O718" s="53">
        <v>7496.52</v>
      </c>
      <c r="P718" s="1735">
        <v>7496.52</v>
      </c>
    </row>
    <row r="719" spans="4:16" ht="12.75" customHeight="1" x14ac:dyDescent="0.3">
      <c r="D719" s="115" t="s">
        <v>3594</v>
      </c>
      <c r="E719" s="115"/>
      <c r="F719" s="115"/>
      <c r="G719" s="53">
        <v>5</v>
      </c>
      <c r="H719" s="53">
        <v>20000</v>
      </c>
      <c r="I719" s="115">
        <v>20</v>
      </c>
      <c r="J719" s="53">
        <f t="shared" si="236"/>
        <v>1000</v>
      </c>
      <c r="K719" s="53">
        <v>500</v>
      </c>
      <c r="L719" s="1096">
        <f t="shared" si="235"/>
        <v>1500</v>
      </c>
      <c r="M719" s="53">
        <f t="shared" si="237"/>
        <v>300</v>
      </c>
      <c r="N719" s="53">
        <v>1545.3374999999996</v>
      </c>
      <c r="O719" s="53">
        <v>1545.3374999999996</v>
      </c>
      <c r="P719" s="1735">
        <v>1545.3374999999996</v>
      </c>
    </row>
    <row r="720" spans="4:16" ht="12.75" customHeight="1" x14ac:dyDescent="0.3">
      <c r="D720" s="115" t="s">
        <v>3544</v>
      </c>
      <c r="E720" s="115"/>
      <c r="F720" s="115"/>
      <c r="G720" s="53">
        <v>15</v>
      </c>
      <c r="H720" s="53">
        <v>60000</v>
      </c>
      <c r="I720" s="115">
        <v>30</v>
      </c>
      <c r="J720" s="53">
        <f t="shared" si="236"/>
        <v>2000</v>
      </c>
      <c r="K720" s="53">
        <v>500</v>
      </c>
      <c r="L720" s="1096">
        <f t="shared" si="235"/>
        <v>2500</v>
      </c>
      <c r="M720" s="53">
        <f t="shared" si="237"/>
        <v>500</v>
      </c>
      <c r="N720" s="53">
        <v>9660.1524815174689</v>
      </c>
      <c r="O720" s="53">
        <v>9660.1524815174689</v>
      </c>
      <c r="P720" s="1735">
        <v>9660.1524815174689</v>
      </c>
    </row>
    <row r="721" spans="4:22" ht="12.75" customHeight="1" x14ac:dyDescent="0.3">
      <c r="D721" s="115" t="s">
        <v>3595</v>
      </c>
      <c r="E721" s="115"/>
      <c r="F721" s="115"/>
      <c r="G721" s="53">
        <v>2</v>
      </c>
      <c r="H721" s="53">
        <v>150000</v>
      </c>
      <c r="I721" s="115">
        <v>30</v>
      </c>
      <c r="J721" s="53">
        <f t="shared" si="236"/>
        <v>5000</v>
      </c>
      <c r="K721" s="53">
        <v>500</v>
      </c>
      <c r="L721" s="1096">
        <f t="shared" si="235"/>
        <v>5500</v>
      </c>
      <c r="M721" s="53">
        <f>+L721*0.2</f>
        <v>1100</v>
      </c>
    </row>
    <row r="722" spans="4:22" ht="12.75" customHeight="1" thickBot="1" x14ac:dyDescent="0.35">
      <c r="D722" s="115"/>
      <c r="E722" s="53"/>
      <c r="F722" s="53"/>
      <c r="H722" s="53"/>
      <c r="I722" s="53"/>
      <c r="J722" s="1096"/>
      <c r="N722" s="1898">
        <f>SUM(N708:N720)</f>
        <v>52961.152261427065</v>
      </c>
      <c r="O722" s="1898">
        <f>SUM(O708:O720)</f>
        <v>52961.152261427065</v>
      </c>
      <c r="P722" s="1899">
        <f>SUM(P708:P720)</f>
        <v>52961.152261427065</v>
      </c>
    </row>
    <row r="723" spans="4:22" ht="12.75" customHeight="1" thickTop="1" x14ac:dyDescent="0.3">
      <c r="D723" s="115"/>
      <c r="E723" s="53"/>
      <c r="F723" s="53"/>
      <c r="H723" s="53"/>
      <c r="I723" s="53"/>
      <c r="J723" s="1096"/>
      <c r="N723" s="1103"/>
      <c r="O723" s="1103"/>
      <c r="P723" s="1734"/>
    </row>
    <row r="724" spans="4:22" ht="12.75" customHeight="1" x14ac:dyDescent="0.3">
      <c r="D724" s="143"/>
      <c r="E724" s="394"/>
      <c r="F724" s="306"/>
      <c r="G724" s="633"/>
      <c r="H724" s="1069" t="s">
        <v>3531</v>
      </c>
      <c r="J724" s="54"/>
    </row>
    <row r="725" spans="4:22" ht="12.75" customHeight="1" x14ac:dyDescent="0.25">
      <c r="D725" s="143"/>
      <c r="E725" s="115"/>
      <c r="H725" s="163">
        <v>2024</v>
      </c>
      <c r="I725" s="163">
        <v>2025</v>
      </c>
      <c r="J725" s="163">
        <v>2026</v>
      </c>
      <c r="K725" s="163">
        <v>2027</v>
      </c>
      <c r="L725" s="163">
        <v>2028</v>
      </c>
      <c r="M725" s="163">
        <v>2029</v>
      </c>
      <c r="N725" s="163">
        <v>2030</v>
      </c>
    </row>
    <row r="726" spans="4:22" ht="12.75" customHeight="1" x14ac:dyDescent="0.3">
      <c r="D726" s="143"/>
      <c r="E726" s="115"/>
      <c r="H726" s="53"/>
      <c r="O726" s="1096"/>
    </row>
    <row r="727" spans="4:22" ht="12.75" customHeight="1" x14ac:dyDescent="0.3">
      <c r="D727" s="115" t="s">
        <v>3537</v>
      </c>
      <c r="E727" s="115"/>
      <c r="F727" s="115"/>
      <c r="G727" s="53">
        <v>1</v>
      </c>
      <c r="H727" s="53">
        <v>4822.145081085896</v>
      </c>
      <c r="I727" s="1097">
        <v>4957.1651433563011</v>
      </c>
      <c r="J727" s="1097">
        <v>5086.0514370835654</v>
      </c>
      <c r="K727" s="1097">
        <f>+J727*U$2</f>
        <v>5192.8585172623198</v>
      </c>
      <c r="L727" s="1097">
        <f t="shared" ref="L727:N727" si="238">+K727*V$2</f>
        <v>5312.2942631593523</v>
      </c>
      <c r="M727" s="1097">
        <f t="shared" si="238"/>
        <v>5434.4770312120172</v>
      </c>
      <c r="N727" s="1097">
        <f t="shared" si="238"/>
        <v>5559.4700029298929</v>
      </c>
    </row>
    <row r="728" spans="4:22" ht="12.75" customHeight="1" x14ac:dyDescent="0.3">
      <c r="D728" s="115" t="s">
        <v>3585</v>
      </c>
      <c r="E728" s="115"/>
      <c r="F728" s="115"/>
      <c r="G728" s="53">
        <v>1</v>
      </c>
      <c r="H728" s="53">
        <v>1691.9807302055774</v>
      </c>
      <c r="I728" s="1097">
        <v>1739.3561906513337</v>
      </c>
      <c r="J728" s="1097">
        <v>1784.5794516082683</v>
      </c>
      <c r="K728" s="1097">
        <f t="shared" ref="K728:K738" si="239">+J728*U$2</f>
        <v>1822.0556200920419</v>
      </c>
      <c r="L728" s="1097">
        <f t="shared" ref="L728:L738" si="240">+K728*V$2</f>
        <v>1863.9628993541587</v>
      </c>
      <c r="M728" s="1097">
        <f t="shared" ref="M728:M738" si="241">+L728*W$2</f>
        <v>1906.8340460393042</v>
      </c>
      <c r="N728" s="1097">
        <f t="shared" ref="N728:N738" si="242">+M728*X$2</f>
        <v>1950.6912290982079</v>
      </c>
    </row>
    <row r="729" spans="4:22" ht="12.75" customHeight="1" x14ac:dyDescent="0.3">
      <c r="D729" s="115" t="s">
        <v>3587</v>
      </c>
      <c r="E729" s="115"/>
      <c r="F729" s="115"/>
      <c r="G729" s="53">
        <v>1</v>
      </c>
      <c r="H729" s="53">
        <v>1691.9807302055774</v>
      </c>
      <c r="I729" s="1097">
        <v>1739.3561906513337</v>
      </c>
      <c r="J729" s="1097">
        <v>1784.5794516082683</v>
      </c>
      <c r="K729" s="1097">
        <f t="shared" si="239"/>
        <v>1822.0556200920419</v>
      </c>
      <c r="L729" s="1097">
        <f t="shared" si="240"/>
        <v>1863.9628993541587</v>
      </c>
      <c r="M729" s="1097">
        <f t="shared" si="241"/>
        <v>1906.8340460393042</v>
      </c>
      <c r="N729" s="1097">
        <f t="shared" si="242"/>
        <v>1950.6912290982079</v>
      </c>
    </row>
    <row r="730" spans="4:22" ht="12.75" customHeight="1" x14ac:dyDescent="0.3">
      <c r="D730" s="115" t="s">
        <v>3588</v>
      </c>
      <c r="E730" s="115"/>
      <c r="F730" s="115"/>
      <c r="G730" s="53">
        <v>1</v>
      </c>
      <c r="H730" s="53">
        <v>7011.3073357529238</v>
      </c>
      <c r="I730" s="1097">
        <v>7207.6239411540055</v>
      </c>
      <c r="J730" s="1097">
        <v>7395.0221636240094</v>
      </c>
      <c r="K730" s="1097">
        <f t="shared" si="239"/>
        <v>7550.3176290601132</v>
      </c>
      <c r="L730" s="1097">
        <f t="shared" si="240"/>
        <v>7723.9749345284954</v>
      </c>
      <c r="M730" s="1097">
        <f t="shared" si="241"/>
        <v>7901.6263580226505</v>
      </c>
      <c r="N730" s="1097">
        <f t="shared" si="242"/>
        <v>8083.3637642571712</v>
      </c>
    </row>
    <row r="731" spans="4:22" ht="12.75" customHeight="1" x14ac:dyDescent="0.3">
      <c r="D731" s="115" t="s">
        <v>3589</v>
      </c>
      <c r="E731" s="115"/>
      <c r="F731" s="115"/>
      <c r="G731" s="53">
        <v>1</v>
      </c>
      <c r="H731" s="53">
        <v>1685.3250018262765</v>
      </c>
      <c r="I731" s="1097">
        <v>1732.5141018774123</v>
      </c>
      <c r="J731" s="1097">
        <v>1777.5594685262249</v>
      </c>
      <c r="K731" s="1097">
        <f t="shared" si="239"/>
        <v>1814.8882173652755</v>
      </c>
      <c r="L731" s="1097">
        <f t="shared" si="240"/>
        <v>1856.6306463646767</v>
      </c>
      <c r="M731" s="1097">
        <f t="shared" si="241"/>
        <v>1899.3331512310642</v>
      </c>
      <c r="N731" s="1097">
        <f t="shared" si="242"/>
        <v>1943.0178137093785</v>
      </c>
    </row>
    <row r="732" spans="4:22" ht="12.75" customHeight="1" x14ac:dyDescent="0.3">
      <c r="D732" s="115" t="s">
        <v>3590</v>
      </c>
      <c r="E732" s="115"/>
      <c r="F732" s="115"/>
      <c r="G732" s="53">
        <v>1</v>
      </c>
      <c r="H732" s="53">
        <v>6772.218378333333</v>
      </c>
      <c r="I732" s="1097">
        <v>6961.8404929266662</v>
      </c>
      <c r="J732" s="1097">
        <v>7142.8483457427601</v>
      </c>
      <c r="K732" s="1097">
        <f t="shared" si="239"/>
        <v>7292.8481610033577</v>
      </c>
      <c r="L732" s="1097">
        <f t="shared" si="240"/>
        <v>7460.5836687064348</v>
      </c>
      <c r="M732" s="1097">
        <f t="shared" si="241"/>
        <v>7632.1770930866824</v>
      </c>
      <c r="N732" s="1097">
        <f t="shared" si="242"/>
        <v>7807.7171662276751</v>
      </c>
      <c r="R732" s="424"/>
      <c r="S732" s="424"/>
      <c r="T732" s="424"/>
      <c r="U732" s="115"/>
      <c r="V732" s="115"/>
    </row>
    <row r="733" spans="4:22" ht="12.75" customHeight="1" x14ac:dyDescent="0.3">
      <c r="D733" s="115" t="s">
        <v>3591</v>
      </c>
      <c r="E733" s="115"/>
      <c r="F733" s="115"/>
      <c r="G733" s="53">
        <v>1</v>
      </c>
      <c r="H733" s="53">
        <v>1840.7716891666664</v>
      </c>
      <c r="I733" s="1097">
        <v>1892.313296463333</v>
      </c>
      <c r="J733" s="1097">
        <v>1941.5134421713797</v>
      </c>
      <c r="K733" s="1097">
        <f t="shared" si="239"/>
        <v>1982.2852244569785</v>
      </c>
      <c r="L733" s="1097">
        <f t="shared" si="240"/>
        <v>2027.8777846194889</v>
      </c>
      <c r="M733" s="1097">
        <f t="shared" si="241"/>
        <v>2074.5189736657371</v>
      </c>
      <c r="N733" s="1097">
        <f t="shared" si="242"/>
        <v>2122.2329100600491</v>
      </c>
      <c r="O733" s="486"/>
      <c r="P733" s="1736"/>
      <c r="Q733" s="486"/>
      <c r="R733" s="424"/>
      <c r="S733" s="424"/>
      <c r="T733" s="424"/>
      <c r="U733" s="115"/>
      <c r="V733" s="115"/>
    </row>
    <row r="734" spans="4:22" ht="12.75" customHeight="1" x14ac:dyDescent="0.3">
      <c r="D734" s="115" t="s">
        <v>3592</v>
      </c>
      <c r="E734" s="115"/>
      <c r="F734" s="115"/>
      <c r="G734" s="53">
        <v>1</v>
      </c>
      <c r="H734" s="53">
        <v>8743.4133333333339</v>
      </c>
      <c r="I734" s="1097">
        <v>8988.2289066666672</v>
      </c>
      <c r="J734" s="1097">
        <v>9221.922858240001</v>
      </c>
      <c r="K734" s="1097">
        <f t="shared" si="239"/>
        <v>9415.5832382630397</v>
      </c>
      <c r="L734" s="1097">
        <f t="shared" si="240"/>
        <v>9632.1416527430883</v>
      </c>
      <c r="M734" s="1097">
        <f t="shared" si="241"/>
        <v>9853.6809107561785</v>
      </c>
      <c r="N734" s="1097">
        <f t="shared" si="242"/>
        <v>10080.31557170357</v>
      </c>
      <c r="O734" s="486"/>
      <c r="P734" s="1736"/>
      <c r="Q734" s="486"/>
      <c r="R734" s="424"/>
      <c r="S734" s="424"/>
      <c r="T734" s="424"/>
      <c r="U734" s="1098"/>
    </row>
    <row r="735" spans="4:22" ht="12.75" customHeight="1" x14ac:dyDescent="0.3">
      <c r="D735" s="115" t="s">
        <v>3593</v>
      </c>
      <c r="E735" s="115"/>
      <c r="F735" s="115"/>
      <c r="G735" s="53">
        <v>1</v>
      </c>
      <c r="H735" s="53">
        <v>7496.52</v>
      </c>
      <c r="I735" s="1097">
        <v>7706.4225600000009</v>
      </c>
      <c r="J735" s="1097">
        <v>7906.7895465600013</v>
      </c>
      <c r="K735" s="1097">
        <f t="shared" si="239"/>
        <v>8072.832127037761</v>
      </c>
      <c r="L735" s="1097">
        <f t="shared" si="240"/>
        <v>8258.5072659596281</v>
      </c>
      <c r="M735" s="1097">
        <f t="shared" si="241"/>
        <v>8448.4529330766982</v>
      </c>
      <c r="N735" s="1097">
        <f t="shared" si="242"/>
        <v>8642.7673505374623</v>
      </c>
      <c r="O735" s="486"/>
      <c r="P735" s="1736"/>
      <c r="Q735" s="486"/>
      <c r="R735" s="424"/>
      <c r="S735" s="424"/>
      <c r="T735" s="424"/>
      <c r="U735" s="1098"/>
    </row>
    <row r="736" spans="4:22" ht="12.75" customHeight="1" x14ac:dyDescent="0.3">
      <c r="D736" s="115" t="s">
        <v>3594</v>
      </c>
      <c r="E736" s="115"/>
      <c r="F736" s="115"/>
      <c r="G736" s="53">
        <v>5</v>
      </c>
      <c r="H736" s="53">
        <v>1545.3374999999996</v>
      </c>
      <c r="I736" s="1097">
        <v>1588.6069499999996</v>
      </c>
      <c r="J736" s="1097">
        <v>1629.9107306999997</v>
      </c>
      <c r="K736" s="1097">
        <f t="shared" si="239"/>
        <v>1664.1388560446997</v>
      </c>
      <c r="L736" s="1097">
        <f t="shared" si="240"/>
        <v>1702.4140497337276</v>
      </c>
      <c r="M736" s="1097">
        <f t="shared" si="241"/>
        <v>1741.5695728776032</v>
      </c>
      <c r="N736" s="1097">
        <f t="shared" si="242"/>
        <v>1781.625673053788</v>
      </c>
      <c r="O736" s="486"/>
      <c r="P736" s="1736"/>
      <c r="Q736" s="486"/>
      <c r="R736" s="424"/>
      <c r="S736" s="424"/>
      <c r="T736" s="424"/>
      <c r="U736" s="1098"/>
    </row>
    <row r="737" spans="4:24" ht="12.75" customHeight="1" x14ac:dyDescent="0.3">
      <c r="D737" s="115" t="s">
        <v>3544</v>
      </c>
      <c r="E737" s="115"/>
      <c r="F737" s="115"/>
      <c r="G737" s="53">
        <v>15</v>
      </c>
      <c r="H737" s="53">
        <v>9660.1524815174689</v>
      </c>
      <c r="I737" s="1097">
        <v>9930.6367509999582</v>
      </c>
      <c r="J737" s="1097">
        <v>10188.833306525958</v>
      </c>
      <c r="K737" s="1097">
        <f t="shared" si="239"/>
        <v>10402.798805963002</v>
      </c>
      <c r="L737" s="1097">
        <f t="shared" si="240"/>
        <v>10642.06317850015</v>
      </c>
      <c r="M737" s="1097">
        <f t="shared" si="241"/>
        <v>10886.830631605651</v>
      </c>
      <c r="N737" s="1097">
        <f t="shared" si="242"/>
        <v>11137.22773613258</v>
      </c>
      <c r="O737" s="486"/>
      <c r="P737" s="1736"/>
      <c r="Q737" s="486"/>
      <c r="R737" s="424"/>
      <c r="S737" s="424"/>
      <c r="T737" s="424"/>
      <c r="U737" s="1104"/>
      <c r="V737" s="1104"/>
      <c r="W737" s="1105"/>
      <c r="X737" s="55"/>
    </row>
    <row r="738" spans="4:24" ht="12.75" customHeight="1" x14ac:dyDescent="0.3">
      <c r="D738" s="115" t="s">
        <v>3595</v>
      </c>
      <c r="E738" s="115"/>
      <c r="F738" s="115"/>
      <c r="G738" s="53">
        <v>2</v>
      </c>
      <c r="H738" s="53"/>
      <c r="I738" s="1097">
        <v>2200</v>
      </c>
      <c r="J738" s="1097">
        <v>2257.2000000000003</v>
      </c>
      <c r="K738" s="1097">
        <f t="shared" si="239"/>
        <v>2304.6012000000001</v>
      </c>
      <c r="L738" s="1097">
        <f t="shared" si="240"/>
        <v>2357.6070276</v>
      </c>
      <c r="M738" s="1097">
        <f t="shared" si="241"/>
        <v>2411.8319892347999</v>
      </c>
      <c r="N738" s="1097">
        <f t="shared" si="242"/>
        <v>2467.3041249872003</v>
      </c>
      <c r="O738" s="486"/>
      <c r="P738" s="1736"/>
      <c r="Q738" s="486"/>
      <c r="R738" s="424"/>
      <c r="S738" s="424"/>
      <c r="T738" s="424"/>
      <c r="U738" s="1098"/>
    </row>
    <row r="739" spans="4:24" ht="12.75" customHeight="1" x14ac:dyDescent="0.3">
      <c r="D739" s="115"/>
      <c r="E739" s="115"/>
      <c r="F739" s="115"/>
      <c r="G739" s="53"/>
      <c r="I739" s="1096"/>
      <c r="J739" s="1097"/>
      <c r="K739" s="1097"/>
      <c r="L739" s="1097"/>
      <c r="M739" s="1097"/>
      <c r="N739" s="1097"/>
      <c r="O739" s="486"/>
      <c r="P739" s="1736"/>
      <c r="Q739" s="486"/>
      <c r="R739" s="424"/>
      <c r="S739" s="424"/>
      <c r="T739" s="424"/>
      <c r="U739" s="1098"/>
    </row>
    <row r="740" spans="4:24" ht="12.75" customHeight="1" thickBot="1" x14ac:dyDescent="0.35">
      <c r="D740" s="1900" t="s">
        <v>3547</v>
      </c>
      <c r="E740" s="1901"/>
      <c r="F740" s="1901"/>
      <c r="G740" s="1902"/>
      <c r="H740" s="1898">
        <f>SUM(H727:H739)</f>
        <v>52961.152261427065</v>
      </c>
      <c r="I740" s="1898">
        <v>56644.064524747009</v>
      </c>
      <c r="J740" s="1898">
        <v>58116.810202390436</v>
      </c>
      <c r="K740" s="1898">
        <v>59395.38002684302</v>
      </c>
      <c r="L740" s="1898">
        <f t="shared" ref="L740" si="243">SUM(L727:L739)</f>
        <v>60702.020270623361</v>
      </c>
      <c r="M740" s="1898">
        <f t="shared" ref="M740:N740" si="244">SUM(M727:M739)</f>
        <v>62098.166736847699</v>
      </c>
      <c r="N740" s="1898">
        <f t="shared" si="244"/>
        <v>63526.424571795185</v>
      </c>
      <c r="O740" s="486"/>
      <c r="P740" s="1736"/>
      <c r="Q740" s="486"/>
      <c r="R740" s="424"/>
      <c r="S740" s="424"/>
      <c r="T740" s="424"/>
      <c r="U740" s="1098"/>
    </row>
    <row r="741" spans="4:24" ht="12.75" customHeight="1" thickTop="1" x14ac:dyDescent="0.3">
      <c r="D741" s="115"/>
      <c r="E741" s="115"/>
      <c r="F741" s="115"/>
      <c r="G741" s="53"/>
      <c r="I741" s="1096"/>
      <c r="J741" s="1097"/>
      <c r="K741" s="1097"/>
      <c r="L741" s="1097"/>
      <c r="M741" s="486"/>
      <c r="N741" s="486"/>
      <c r="O741" s="486"/>
      <c r="P741" s="1736"/>
      <c r="Q741" s="486"/>
      <c r="R741" s="424"/>
      <c r="S741" s="424"/>
      <c r="T741" s="424"/>
      <c r="U741" s="1098"/>
    </row>
    <row r="742" spans="4:24" ht="12.75" customHeight="1" x14ac:dyDescent="0.25">
      <c r="D742" s="143"/>
      <c r="E742" s="633"/>
      <c r="F742" s="633"/>
      <c r="G742" s="633"/>
      <c r="I742" s="633"/>
      <c r="K742" s="1106"/>
      <c r="L742" s="486"/>
      <c r="M742" s="486"/>
      <c r="N742" s="486"/>
      <c r="O742" s="486"/>
      <c r="P742" s="1736"/>
      <c r="Q742" s="486"/>
      <c r="R742" s="424"/>
      <c r="S742" s="424"/>
      <c r="T742" s="424"/>
      <c r="U742" s="1098"/>
    </row>
    <row r="743" spans="4:24" ht="12.75" customHeight="1" x14ac:dyDescent="0.3">
      <c r="D743" s="336"/>
      <c r="E743" s="115"/>
      <c r="I743" s="114"/>
      <c r="S743" s="1092"/>
      <c r="T743" s="1092"/>
      <c r="U743" s="160"/>
      <c r="V743" s="1092"/>
      <c r="W743" s="1095"/>
      <c r="X743" s="1095"/>
    </row>
    <row r="744" spans="4:24" ht="12.75" customHeight="1" x14ac:dyDescent="0.3">
      <c r="D744" s="393">
        <v>630011</v>
      </c>
      <c r="E744" s="381" t="s">
        <v>3573</v>
      </c>
      <c r="F744" s="382"/>
      <c r="S744" s="1092"/>
      <c r="T744" s="1092"/>
      <c r="U744" s="51"/>
    </row>
    <row r="745" spans="4:24" ht="12.75" customHeight="1" x14ac:dyDescent="0.3">
      <c r="D745" s="393"/>
      <c r="E745" s="383" t="s">
        <v>554</v>
      </c>
      <c r="F745" s="382"/>
      <c r="S745" s="1092"/>
      <c r="T745" s="1092"/>
      <c r="U745" s="51"/>
    </row>
    <row r="746" spans="4:24" ht="12.75" customHeight="1" x14ac:dyDescent="0.3">
      <c r="D746" s="393"/>
      <c r="E746" s="114" t="s">
        <v>3574</v>
      </c>
      <c r="F746" s="382"/>
      <c r="S746" s="1092"/>
      <c r="T746" s="1092"/>
      <c r="U746" s="51"/>
    </row>
    <row r="747" spans="4:24" ht="12.75" customHeight="1" x14ac:dyDescent="0.3">
      <c r="D747" s="393"/>
      <c r="E747" s="381"/>
      <c r="F747" s="382"/>
      <c r="S747" s="1092"/>
      <c r="T747" s="1092"/>
      <c r="U747" s="54"/>
      <c r="W747" s="53"/>
      <c r="X747" s="53"/>
    </row>
    <row r="748" spans="4:24" ht="12.75" customHeight="1" x14ac:dyDescent="0.3">
      <c r="D748" s="143">
        <v>83600</v>
      </c>
      <c r="E748" s="115" t="s">
        <v>3582</v>
      </c>
      <c r="U748" s="54"/>
      <c r="W748" s="53"/>
      <c r="X748" s="53"/>
    </row>
    <row r="749" spans="4:24" ht="12.75" customHeight="1" x14ac:dyDescent="0.3">
      <c r="D749" s="143"/>
      <c r="E749" s="115"/>
      <c r="U749" s="54"/>
      <c r="W749" s="53"/>
      <c r="X749" s="53"/>
    </row>
    <row r="750" spans="4:24" ht="12.75" customHeight="1" x14ac:dyDescent="0.3">
      <c r="D750" s="143"/>
      <c r="E750" s="633"/>
      <c r="F750" s="1092" t="s">
        <v>3529</v>
      </c>
      <c r="G750" s="1092"/>
      <c r="J750" s="160"/>
      <c r="K750" s="1092"/>
      <c r="L750" s="1092"/>
      <c r="M750" s="1092"/>
    </row>
    <row r="751" spans="4:24" ht="12.75" customHeight="1" x14ac:dyDescent="0.3">
      <c r="D751" s="143"/>
      <c r="E751" s="633"/>
      <c r="F751" s="633"/>
      <c r="G751" s="633"/>
      <c r="J751" s="51"/>
      <c r="K751" s="633"/>
    </row>
    <row r="752" spans="4:24" ht="12.75" customHeight="1" x14ac:dyDescent="0.3">
      <c r="D752" s="143"/>
      <c r="E752" s="633"/>
      <c r="F752" s="1091" t="s">
        <v>3596</v>
      </c>
      <c r="G752" s="1092"/>
      <c r="J752" s="51"/>
      <c r="K752" s="633"/>
    </row>
    <row r="753" spans="4:17" ht="12.75" customHeight="1" x14ac:dyDescent="0.3">
      <c r="D753" s="143"/>
      <c r="E753" s="1093"/>
      <c r="F753" s="306"/>
      <c r="G753" s="633"/>
      <c r="J753" s="51"/>
      <c r="K753" s="633"/>
    </row>
    <row r="754" spans="4:17" ht="12.75" customHeight="1" x14ac:dyDescent="0.3">
      <c r="D754" s="143"/>
      <c r="E754" s="1094"/>
      <c r="F754" s="306"/>
      <c r="G754" s="633"/>
      <c r="J754" s="51"/>
      <c r="K754" s="633"/>
      <c r="N754" s="1069" t="s">
        <v>3531</v>
      </c>
      <c r="O754" s="1069" t="s">
        <v>3531</v>
      </c>
      <c r="P754" s="1733" t="s">
        <v>3531</v>
      </c>
      <c r="Q754" s="1069" t="s">
        <v>3531</v>
      </c>
    </row>
    <row r="755" spans="4:17" ht="12.75" customHeight="1" x14ac:dyDescent="0.3">
      <c r="D755" s="1095" t="s">
        <v>206</v>
      </c>
      <c r="E755" s="115"/>
      <c r="F755" s="115"/>
      <c r="G755" s="161" t="s">
        <v>3532</v>
      </c>
      <c r="H755" s="1092" t="s">
        <v>3533</v>
      </c>
      <c r="I755" s="1092" t="s">
        <v>3534</v>
      </c>
      <c r="J755" s="161" t="s">
        <v>3535</v>
      </c>
      <c r="K755" s="1092" t="s">
        <v>3536</v>
      </c>
      <c r="L755" s="1092" t="s">
        <v>536</v>
      </c>
      <c r="M755" s="162">
        <v>0.2</v>
      </c>
      <c r="N755" s="163">
        <v>2024</v>
      </c>
      <c r="O755" s="163">
        <v>2024</v>
      </c>
      <c r="P755" s="1734">
        <v>2024</v>
      </c>
      <c r="Q755" s="163">
        <v>2025</v>
      </c>
    </row>
    <row r="756" spans="4:17" ht="12.75" customHeight="1" x14ac:dyDescent="0.3">
      <c r="D756" s="115"/>
      <c r="E756" s="115"/>
      <c r="F756" s="115"/>
      <c r="G756" s="53"/>
      <c r="H756" s="633"/>
      <c r="I756" s="54"/>
      <c r="J756" s="54"/>
      <c r="K756" s="633"/>
      <c r="L756" s="54"/>
      <c r="M756" s="164"/>
      <c r="N756" s="53"/>
      <c r="O756" s="53"/>
      <c r="P756" s="1735"/>
    </row>
    <row r="757" spans="4:17" ht="12.75" customHeight="1" x14ac:dyDescent="0.3">
      <c r="D757" s="115" t="s">
        <v>3597</v>
      </c>
      <c r="E757" s="115"/>
      <c r="F757" s="115"/>
      <c r="G757" s="53">
        <v>3</v>
      </c>
      <c r="H757" s="53">
        <v>150000</v>
      </c>
      <c r="I757" s="115">
        <v>12</v>
      </c>
      <c r="J757" s="53">
        <f>+H757/I757</f>
        <v>12500</v>
      </c>
      <c r="K757" s="53">
        <v>10000</v>
      </c>
      <c r="L757" s="1096">
        <f>SUM(J757:K757)*G757</f>
        <v>67500</v>
      </c>
      <c r="M757" s="53">
        <f>+L757*0.2</f>
        <v>13500</v>
      </c>
      <c r="N757" s="53">
        <v>15902</v>
      </c>
      <c r="O757" s="53">
        <v>15902</v>
      </c>
      <c r="P757" s="1735">
        <v>15902</v>
      </c>
      <c r="Q757" s="252"/>
    </row>
    <row r="758" spans="4:17" ht="12.75" customHeight="1" x14ac:dyDescent="0.3">
      <c r="D758" s="115" t="s">
        <v>3598</v>
      </c>
      <c r="E758" s="115"/>
      <c r="F758" s="115"/>
      <c r="G758" s="53">
        <v>3</v>
      </c>
      <c r="H758" s="53">
        <v>175000</v>
      </c>
      <c r="I758" s="115">
        <v>36</v>
      </c>
      <c r="J758" s="53">
        <f>+H758/I758</f>
        <v>4861.1111111111113</v>
      </c>
      <c r="K758" s="53"/>
      <c r="L758" s="1096">
        <f>SUM(J758:K758)*G758</f>
        <v>14583.333333333334</v>
      </c>
      <c r="M758" s="53">
        <f>+L758*0.2</f>
        <v>2916.666666666667</v>
      </c>
      <c r="N758" s="53">
        <v>3436</v>
      </c>
      <c r="O758" s="53">
        <v>3436</v>
      </c>
      <c r="P758" s="1735">
        <v>3436</v>
      </c>
      <c r="Q758" s="252"/>
    </row>
    <row r="759" spans="4:17" ht="12.75" customHeight="1" x14ac:dyDescent="0.3">
      <c r="D759" s="115" t="s">
        <v>3599</v>
      </c>
      <c r="E759" s="115"/>
      <c r="F759" s="115"/>
      <c r="G759" s="53">
        <v>1</v>
      </c>
      <c r="H759" s="53">
        <v>100000</v>
      </c>
      <c r="I759" s="115">
        <v>15</v>
      </c>
      <c r="J759" s="53">
        <f t="shared" ref="J759:J766" si="245">+H759/I759</f>
        <v>6666.666666666667</v>
      </c>
      <c r="K759" s="53">
        <v>7500</v>
      </c>
      <c r="L759" s="1096">
        <f>SUM(J759:K759)</f>
        <v>14166.666666666668</v>
      </c>
      <c r="M759" s="53">
        <f t="shared" ref="M759:M766" si="246">+L759*0.2</f>
        <v>2833.3333333333339</v>
      </c>
      <c r="N759" s="53">
        <v>3595</v>
      </c>
      <c r="O759" s="53">
        <v>3595</v>
      </c>
      <c r="P759" s="1735">
        <v>3595</v>
      </c>
      <c r="Q759" s="252"/>
    </row>
    <row r="760" spans="4:17" ht="12.75" customHeight="1" x14ac:dyDescent="0.3">
      <c r="D760" s="115" t="s">
        <v>3600</v>
      </c>
      <c r="E760" s="115"/>
      <c r="F760" s="115"/>
      <c r="G760" s="53">
        <v>1</v>
      </c>
      <c r="H760" s="53">
        <v>125000</v>
      </c>
      <c r="I760" s="115">
        <v>30</v>
      </c>
      <c r="J760" s="53">
        <f t="shared" si="245"/>
        <v>4166.666666666667</v>
      </c>
      <c r="K760" s="53"/>
      <c r="L760" s="1096">
        <f>SUM(J760:K760)</f>
        <v>4166.666666666667</v>
      </c>
      <c r="M760" s="53">
        <f t="shared" si="246"/>
        <v>833.33333333333348</v>
      </c>
      <c r="N760" s="53">
        <v>1057</v>
      </c>
      <c r="O760" s="53">
        <v>1057</v>
      </c>
      <c r="P760" s="1735">
        <v>1057</v>
      </c>
      <c r="Q760" s="252"/>
    </row>
    <row r="761" spans="4:17" ht="12.75" customHeight="1" x14ac:dyDescent="0.3">
      <c r="D761" s="115" t="s">
        <v>3601</v>
      </c>
      <c r="E761" s="115"/>
      <c r="F761" s="115"/>
      <c r="G761" s="53">
        <v>2</v>
      </c>
      <c r="H761" s="53">
        <v>420000</v>
      </c>
      <c r="I761" s="115">
        <v>30</v>
      </c>
      <c r="J761" s="53">
        <f t="shared" si="245"/>
        <v>14000</v>
      </c>
      <c r="K761" s="53">
        <v>10000</v>
      </c>
      <c r="L761" s="1096">
        <f t="shared" ref="L761:L766" si="247">SUM(J761:K761)*G761</f>
        <v>48000</v>
      </c>
      <c r="M761" s="53">
        <f t="shared" si="246"/>
        <v>9600</v>
      </c>
      <c r="N761" s="53"/>
      <c r="O761" s="53"/>
      <c r="P761" s="1735"/>
      <c r="Q761" s="252">
        <v>18000</v>
      </c>
    </row>
    <row r="762" spans="4:17" ht="12.75" customHeight="1" x14ac:dyDescent="0.3">
      <c r="D762" s="115" t="s">
        <v>3602</v>
      </c>
      <c r="E762" s="115"/>
      <c r="F762" s="115"/>
      <c r="G762" s="53">
        <v>2</v>
      </c>
      <c r="H762" s="53">
        <v>175000</v>
      </c>
      <c r="I762" s="115">
        <v>36</v>
      </c>
      <c r="J762" s="53">
        <f t="shared" si="245"/>
        <v>4861.1111111111113</v>
      </c>
      <c r="K762" s="53"/>
      <c r="L762" s="1096">
        <f t="shared" si="247"/>
        <v>9722.2222222222226</v>
      </c>
      <c r="M762" s="53">
        <f t="shared" si="246"/>
        <v>1944.4444444444446</v>
      </c>
      <c r="N762" s="53"/>
      <c r="O762" s="53"/>
      <c r="P762" s="1735"/>
      <c r="Q762" s="252">
        <f t="shared" ref="Q762:Q764" si="248">+M762</f>
        <v>1944.4444444444446</v>
      </c>
    </row>
    <row r="763" spans="4:17" ht="12.75" customHeight="1" x14ac:dyDescent="0.3">
      <c r="D763" s="115" t="s">
        <v>3603</v>
      </c>
      <c r="E763" s="115"/>
      <c r="F763" s="115"/>
      <c r="G763" s="56">
        <v>1.5</v>
      </c>
      <c r="H763" s="53">
        <v>260000</v>
      </c>
      <c r="I763" s="115">
        <v>12</v>
      </c>
      <c r="J763" s="53">
        <f t="shared" si="245"/>
        <v>21666.666666666668</v>
      </c>
      <c r="K763" s="53">
        <v>10000</v>
      </c>
      <c r="L763" s="1096">
        <f t="shared" si="247"/>
        <v>47500</v>
      </c>
      <c r="M763" s="53">
        <f t="shared" si="246"/>
        <v>9500</v>
      </c>
      <c r="N763" s="53"/>
      <c r="O763" s="53"/>
      <c r="P763" s="1735"/>
      <c r="Q763" s="252">
        <f t="shared" si="248"/>
        <v>9500</v>
      </c>
    </row>
    <row r="764" spans="4:17" ht="12.75" customHeight="1" x14ac:dyDescent="0.3">
      <c r="D764" s="115" t="s">
        <v>3604</v>
      </c>
      <c r="E764" s="115"/>
      <c r="F764" s="115"/>
      <c r="G764" s="56">
        <v>1.5</v>
      </c>
      <c r="H764" s="53">
        <v>175000</v>
      </c>
      <c r="I764" s="115">
        <v>36</v>
      </c>
      <c r="J764" s="53">
        <f t="shared" si="245"/>
        <v>4861.1111111111113</v>
      </c>
      <c r="K764" s="53"/>
      <c r="L764" s="1096">
        <f t="shared" si="247"/>
        <v>7291.666666666667</v>
      </c>
      <c r="M764" s="53">
        <f t="shared" si="246"/>
        <v>1458.3333333333335</v>
      </c>
      <c r="N764" s="53"/>
      <c r="O764" s="53"/>
      <c r="P764" s="1735"/>
      <c r="Q764" s="252">
        <f t="shared" si="248"/>
        <v>1458.3333333333335</v>
      </c>
    </row>
    <row r="765" spans="4:17" ht="12.75" customHeight="1" x14ac:dyDescent="0.3">
      <c r="D765" s="115" t="s">
        <v>3594</v>
      </c>
      <c r="E765" s="115"/>
      <c r="F765" s="115"/>
      <c r="G765" s="53">
        <v>3</v>
      </c>
      <c r="H765" s="53">
        <v>20000</v>
      </c>
      <c r="I765" s="115">
        <v>20</v>
      </c>
      <c r="J765" s="53">
        <f t="shared" si="245"/>
        <v>1000</v>
      </c>
      <c r="K765" s="53">
        <v>500</v>
      </c>
      <c r="L765" s="1096">
        <f t="shared" si="247"/>
        <v>4500</v>
      </c>
      <c r="M765" s="53">
        <f t="shared" si="246"/>
        <v>900</v>
      </c>
      <c r="N765" s="53">
        <v>927</v>
      </c>
      <c r="O765" s="53">
        <v>927</v>
      </c>
      <c r="P765" s="1735">
        <v>927</v>
      </c>
      <c r="Q765" s="252">
        <f>+P765*S2</f>
        <v>952.95600000000002</v>
      </c>
    </row>
    <row r="766" spans="4:17" ht="12.75" customHeight="1" x14ac:dyDescent="0.3">
      <c r="D766" s="115" t="s">
        <v>3559</v>
      </c>
      <c r="E766" s="115"/>
      <c r="F766" s="115"/>
      <c r="G766" s="53">
        <v>7</v>
      </c>
      <c r="H766" s="53">
        <v>85000</v>
      </c>
      <c r="I766" s="115">
        <v>30</v>
      </c>
      <c r="J766" s="53">
        <f t="shared" si="245"/>
        <v>2833.3333333333335</v>
      </c>
      <c r="K766" s="53"/>
      <c r="L766" s="1096">
        <f t="shared" si="247"/>
        <v>19833.333333333336</v>
      </c>
      <c r="M766" s="53">
        <f t="shared" si="246"/>
        <v>3966.6666666666674</v>
      </c>
      <c r="N766" s="53">
        <v>4673</v>
      </c>
      <c r="O766" s="53">
        <v>4673</v>
      </c>
      <c r="P766" s="1735">
        <v>4673</v>
      </c>
      <c r="Q766" s="252">
        <v>4804</v>
      </c>
    </row>
    <row r="767" spans="4:17" ht="12.75" customHeight="1" thickBot="1" x14ac:dyDescent="0.35">
      <c r="D767" s="115"/>
      <c r="E767" s="53"/>
      <c r="F767" s="53"/>
      <c r="H767" s="53"/>
      <c r="I767" s="53"/>
      <c r="J767" s="1096"/>
      <c r="N767" s="1898">
        <f>SUM(N757:N766)</f>
        <v>29590</v>
      </c>
      <c r="O767" s="1898">
        <f>SUM(O757:O766)</f>
        <v>29590</v>
      </c>
      <c r="P767" s="1899">
        <f>SUM(P757:P766)</f>
        <v>29590</v>
      </c>
      <c r="Q767" s="1898">
        <f>SUM(Q757:Q766)</f>
        <v>36659.733777777772</v>
      </c>
    </row>
    <row r="768" spans="4:17" ht="12.75" customHeight="1" thickTop="1" x14ac:dyDescent="0.3">
      <c r="D768" s="115"/>
      <c r="E768" s="53"/>
      <c r="F768" s="53"/>
      <c r="H768" s="53"/>
      <c r="I768" s="53"/>
      <c r="J768" s="1096"/>
      <c r="N768" s="1103"/>
      <c r="O768" s="1103"/>
      <c r="P768" s="1734"/>
    </row>
    <row r="769" spans="4:24" ht="12.75" customHeight="1" x14ac:dyDescent="0.3">
      <c r="D769" s="143"/>
      <c r="E769" s="394"/>
      <c r="F769" s="306"/>
      <c r="G769" s="633"/>
      <c r="H769" s="1069" t="s">
        <v>3531</v>
      </c>
      <c r="J769" s="54"/>
    </row>
    <row r="770" spans="4:24" ht="12.75" customHeight="1" x14ac:dyDescent="0.25">
      <c r="D770" s="143"/>
      <c r="E770" s="115"/>
      <c r="H770" s="163">
        <v>2024</v>
      </c>
      <c r="I770" s="163">
        <v>2025</v>
      </c>
      <c r="J770" s="163">
        <v>2026</v>
      </c>
      <c r="K770" s="163">
        <v>2027</v>
      </c>
      <c r="L770" s="163">
        <v>2028</v>
      </c>
      <c r="M770" s="163">
        <v>2029</v>
      </c>
      <c r="N770" s="163">
        <v>2030</v>
      </c>
    </row>
    <row r="771" spans="4:24" ht="12.75" customHeight="1" x14ac:dyDescent="0.3">
      <c r="D771" s="143"/>
      <c r="E771" s="115"/>
      <c r="H771" s="53"/>
      <c r="O771" s="1096"/>
    </row>
    <row r="772" spans="4:24" ht="12.75" customHeight="1" x14ac:dyDescent="0.3">
      <c r="D772" s="115" t="s">
        <v>3597</v>
      </c>
      <c r="E772" s="115"/>
      <c r="F772" s="115"/>
      <c r="G772" s="53">
        <v>3</v>
      </c>
      <c r="H772" s="53">
        <v>15902</v>
      </c>
      <c r="I772" s="1097">
        <v>16347.256000000001</v>
      </c>
      <c r="J772" s="1097">
        <v>16772.284656000003</v>
      </c>
      <c r="K772" s="1097">
        <f>+J772*U$2</f>
        <v>17124.502633776003</v>
      </c>
      <c r="L772" s="1097">
        <f t="shared" ref="L772:N772" si="249">+K772*V$2</f>
        <v>17518.36619435285</v>
      </c>
      <c r="M772" s="1097">
        <f t="shared" si="249"/>
        <v>17921.288616822963</v>
      </c>
      <c r="N772" s="1097">
        <f t="shared" si="249"/>
        <v>18333.47825500989</v>
      </c>
    </row>
    <row r="773" spans="4:24" ht="12.75" customHeight="1" x14ac:dyDescent="0.3">
      <c r="D773" s="115" t="s">
        <v>3598</v>
      </c>
      <c r="E773" s="115"/>
      <c r="F773" s="115"/>
      <c r="G773" s="53">
        <v>3</v>
      </c>
      <c r="H773" s="53">
        <v>3436</v>
      </c>
      <c r="I773" s="1097">
        <v>3532.2080000000001</v>
      </c>
      <c r="J773" s="1097">
        <v>3624.045408</v>
      </c>
      <c r="K773" s="1097">
        <f t="shared" ref="K773:K781" si="250">+J773*U$2</f>
        <v>3700.1503615679994</v>
      </c>
      <c r="L773" s="1097">
        <f t="shared" ref="L773:L782" si="251">+K773*V$2</f>
        <v>3785.253819884063</v>
      </c>
      <c r="M773" s="1097">
        <f t="shared" ref="M773:M782" si="252">+L773*W$2</f>
        <v>3872.3146577413959</v>
      </c>
      <c r="N773" s="1097">
        <f t="shared" ref="N773:N782" si="253">+M773*X$2</f>
        <v>3961.3778948694476</v>
      </c>
    </row>
    <row r="774" spans="4:24" ht="12.75" customHeight="1" x14ac:dyDescent="0.3">
      <c r="D774" s="115" t="s">
        <v>3599</v>
      </c>
      <c r="E774" s="115"/>
      <c r="F774" s="115"/>
      <c r="G774" s="53">
        <v>1</v>
      </c>
      <c r="H774" s="53">
        <v>3595</v>
      </c>
      <c r="I774" s="1097">
        <v>3695.6600000000003</v>
      </c>
      <c r="J774" s="1097">
        <v>3791.7471600000003</v>
      </c>
      <c r="K774" s="1097">
        <f t="shared" si="250"/>
        <v>3871.3738503600002</v>
      </c>
      <c r="L774" s="1097">
        <f t="shared" si="251"/>
        <v>3960.4154489182797</v>
      </c>
      <c r="M774" s="1097">
        <f t="shared" si="252"/>
        <v>4051.5050042434</v>
      </c>
      <c r="N774" s="1097">
        <f t="shared" si="253"/>
        <v>4144.6896193409975</v>
      </c>
    </row>
    <row r="775" spans="4:24" ht="12.75" customHeight="1" x14ac:dyDescent="0.3">
      <c r="D775" s="115" t="s">
        <v>3600</v>
      </c>
      <c r="E775" s="115"/>
      <c r="F775" s="115"/>
      <c r="G775" s="53">
        <v>1</v>
      </c>
      <c r="H775" s="53">
        <v>1057</v>
      </c>
      <c r="I775" s="1097">
        <v>1086.596</v>
      </c>
      <c r="J775" s="1097">
        <v>1114.8474960000001</v>
      </c>
      <c r="K775" s="1097">
        <f t="shared" si="250"/>
        <v>1138.259293416</v>
      </c>
      <c r="L775" s="1097">
        <f t="shared" si="251"/>
        <v>1164.4392571645678</v>
      </c>
      <c r="M775" s="1097">
        <f t="shared" si="252"/>
        <v>1191.2213600793527</v>
      </c>
      <c r="N775" s="1097">
        <f t="shared" si="253"/>
        <v>1218.6194513611777</v>
      </c>
    </row>
    <row r="776" spans="4:24" ht="12.75" customHeight="1" x14ac:dyDescent="0.3">
      <c r="D776" s="115" t="s">
        <v>3605</v>
      </c>
      <c r="E776" s="115"/>
      <c r="F776" s="115"/>
      <c r="G776" s="53">
        <v>2</v>
      </c>
      <c r="H776" s="53"/>
      <c r="I776" s="1097">
        <v>0</v>
      </c>
      <c r="J776" s="1097">
        <v>0</v>
      </c>
      <c r="K776" s="1097">
        <f t="shared" si="250"/>
        <v>0</v>
      </c>
      <c r="L776" s="1097">
        <f t="shared" si="251"/>
        <v>0</v>
      </c>
      <c r="M776" s="1097">
        <f t="shared" si="252"/>
        <v>0</v>
      </c>
      <c r="N776" s="1097">
        <f t="shared" si="253"/>
        <v>0</v>
      </c>
    </row>
    <row r="777" spans="4:24" ht="12.75" customHeight="1" x14ac:dyDescent="0.3">
      <c r="D777" s="115" t="s">
        <v>3606</v>
      </c>
      <c r="E777" s="115"/>
      <c r="F777" s="115"/>
      <c r="G777" s="53">
        <v>2</v>
      </c>
      <c r="H777" s="53"/>
      <c r="I777" s="1097">
        <v>0</v>
      </c>
      <c r="J777" s="1097">
        <v>0</v>
      </c>
      <c r="K777" s="1097">
        <f t="shared" si="250"/>
        <v>0</v>
      </c>
      <c r="L777" s="1097">
        <f t="shared" si="251"/>
        <v>0</v>
      </c>
      <c r="M777" s="1097">
        <f t="shared" si="252"/>
        <v>0</v>
      </c>
      <c r="N777" s="1097">
        <f t="shared" si="253"/>
        <v>0</v>
      </c>
      <c r="R777" s="424"/>
      <c r="S777" s="424"/>
      <c r="T777" s="424"/>
      <c r="U777" s="115"/>
      <c r="V777" s="115"/>
    </row>
    <row r="778" spans="4:24" ht="12.75" customHeight="1" x14ac:dyDescent="0.3">
      <c r="D778" s="115" t="s">
        <v>3607</v>
      </c>
      <c r="E778" s="115"/>
      <c r="F778" s="115"/>
      <c r="G778" s="53">
        <v>1.5</v>
      </c>
      <c r="H778" s="53"/>
      <c r="I778" s="1097">
        <v>0</v>
      </c>
      <c r="J778" s="1097">
        <v>0</v>
      </c>
      <c r="K778" s="1097">
        <f t="shared" si="250"/>
        <v>0</v>
      </c>
      <c r="L778" s="1097">
        <f t="shared" si="251"/>
        <v>0</v>
      </c>
      <c r="M778" s="1097">
        <f t="shared" si="252"/>
        <v>0</v>
      </c>
      <c r="N778" s="1097">
        <f t="shared" si="253"/>
        <v>0</v>
      </c>
      <c r="O778" s="486"/>
      <c r="P778" s="1736"/>
      <c r="Q778" s="486"/>
      <c r="R778" s="424"/>
      <c r="S778" s="424"/>
      <c r="T778" s="424"/>
      <c r="U778" s="115"/>
      <c r="V778" s="115"/>
    </row>
    <row r="779" spans="4:24" ht="12.75" customHeight="1" x14ac:dyDescent="0.3">
      <c r="D779" s="115" t="s">
        <v>3604</v>
      </c>
      <c r="E779" s="115"/>
      <c r="F779" s="115"/>
      <c r="G779" s="53">
        <v>1.5</v>
      </c>
      <c r="H779" s="53"/>
      <c r="I779" s="1097">
        <v>0</v>
      </c>
      <c r="J779" s="1097">
        <v>0</v>
      </c>
      <c r="K779" s="1097">
        <f t="shared" si="250"/>
        <v>0</v>
      </c>
      <c r="L779" s="1097">
        <f t="shared" si="251"/>
        <v>0</v>
      </c>
      <c r="M779" s="1097">
        <f t="shared" si="252"/>
        <v>0</v>
      </c>
      <c r="N779" s="1097">
        <f t="shared" si="253"/>
        <v>0</v>
      </c>
      <c r="O779" s="486"/>
      <c r="P779" s="1736"/>
      <c r="Q779" s="486"/>
      <c r="R779" s="424"/>
      <c r="S779" s="424"/>
      <c r="T779" s="424"/>
      <c r="U779" s="1098"/>
    </row>
    <row r="780" spans="4:24" ht="12.75" customHeight="1" x14ac:dyDescent="0.3">
      <c r="D780" s="115" t="s">
        <v>3594</v>
      </c>
      <c r="E780" s="115"/>
      <c r="F780" s="115"/>
      <c r="G780" s="53">
        <v>3</v>
      </c>
      <c r="H780" s="53">
        <v>927</v>
      </c>
      <c r="I780" s="1097">
        <v>952.95600000000002</v>
      </c>
      <c r="J780" s="1097">
        <v>977.73285600000008</v>
      </c>
      <c r="K780" s="1097">
        <f t="shared" si="250"/>
        <v>998.26524597599996</v>
      </c>
      <c r="L780" s="1097">
        <f t="shared" si="251"/>
        <v>1021.2253466334479</v>
      </c>
      <c r="M780" s="1097">
        <f t="shared" si="252"/>
        <v>1044.7135296060171</v>
      </c>
      <c r="N780" s="1097">
        <f t="shared" si="253"/>
        <v>1068.7419407869554</v>
      </c>
      <c r="O780" s="486"/>
      <c r="P780" s="1736"/>
      <c r="Q780" s="486"/>
      <c r="R780" s="424"/>
      <c r="S780" s="424"/>
      <c r="T780" s="424"/>
      <c r="U780" s="1098"/>
    </row>
    <row r="781" spans="4:24" ht="12.75" customHeight="1" x14ac:dyDescent="0.3">
      <c r="D781" s="115" t="s">
        <v>3559</v>
      </c>
      <c r="E781" s="115"/>
      <c r="F781" s="115"/>
      <c r="G781" s="53">
        <v>7</v>
      </c>
      <c r="H781" s="53">
        <v>4673</v>
      </c>
      <c r="I781" s="1097">
        <v>4803.8440000000001</v>
      </c>
      <c r="J781" s="1097">
        <v>4928.7439439999998</v>
      </c>
      <c r="K781" s="1097">
        <f t="shared" si="250"/>
        <v>5032.2475668239995</v>
      </c>
      <c r="L781" s="1097">
        <f t="shared" si="251"/>
        <v>5147.9892608609507</v>
      </c>
      <c r="M781" s="1097">
        <f t="shared" si="252"/>
        <v>5266.393013860752</v>
      </c>
      <c r="N781" s="1097">
        <f t="shared" si="253"/>
        <v>5387.520053179549</v>
      </c>
      <c r="O781" s="486"/>
      <c r="P781" s="1736"/>
      <c r="Q781" s="486"/>
      <c r="R781" s="424"/>
      <c r="S781" s="424"/>
      <c r="T781" s="424"/>
      <c r="U781" s="1098"/>
    </row>
    <row r="782" spans="4:24" ht="12.75" customHeight="1" x14ac:dyDescent="0.3">
      <c r="D782" s="2634" t="s">
        <v>5440</v>
      </c>
      <c r="E782" s="2634"/>
      <c r="F782" s="2634"/>
      <c r="G782" s="2635"/>
      <c r="H782" s="2634"/>
      <c r="I782" s="2637"/>
      <c r="J782" s="2636"/>
      <c r="K782" s="2636">
        <f>38402-31865</f>
        <v>6537</v>
      </c>
      <c r="L782" s="2636">
        <f t="shared" si="251"/>
        <v>6687.3509999999997</v>
      </c>
      <c r="M782" s="2636">
        <f t="shared" si="252"/>
        <v>6841.1600729999991</v>
      </c>
      <c r="N782" s="2636">
        <f t="shared" si="253"/>
        <v>6998.5067546789987</v>
      </c>
      <c r="O782" s="486"/>
      <c r="P782" s="1736"/>
      <c r="Q782" s="486"/>
      <c r="R782" s="424"/>
      <c r="S782" s="424"/>
      <c r="T782" s="424"/>
      <c r="U782" s="1098"/>
    </row>
    <row r="783" spans="4:24" ht="12.75" customHeight="1" thickBot="1" x14ac:dyDescent="0.35">
      <c r="D783" s="1900" t="s">
        <v>3547</v>
      </c>
      <c r="E783" s="1901"/>
      <c r="F783" s="1901"/>
      <c r="G783" s="1902"/>
      <c r="H783" s="1898">
        <f t="shared" ref="H783:M783" si="254">SUM(H772:H782)</f>
        <v>29590</v>
      </c>
      <c r="I783" s="1898">
        <v>30418.52</v>
      </c>
      <c r="J783" s="1898">
        <v>31209.401519999999</v>
      </c>
      <c r="K783" s="1898">
        <f>+SUM(K772:K782)</f>
        <v>38401.798951920005</v>
      </c>
      <c r="L783" s="1898">
        <f t="shared" ref="L783:N783" si="255">+SUM(L772:L782)</f>
        <v>39285.04032781416</v>
      </c>
      <c r="M783" s="1898">
        <f t="shared" si="255"/>
        <v>40188.596255353885</v>
      </c>
      <c r="N783" s="1898">
        <f t="shared" si="255"/>
        <v>41112.933969227022</v>
      </c>
      <c r="O783" s="486"/>
      <c r="P783" s="1736"/>
      <c r="Q783" s="486"/>
      <c r="R783" s="424"/>
      <c r="S783" s="424"/>
      <c r="T783" s="424"/>
      <c r="U783" s="1098"/>
    </row>
    <row r="784" spans="4:24" ht="12.75" customHeight="1" thickTop="1" thickBot="1" x14ac:dyDescent="0.35">
      <c r="D784" s="143"/>
      <c r="I784" s="381"/>
      <c r="K784" s="114"/>
      <c r="U784" s="54"/>
      <c r="W784" s="1902">
        <f>SUM(W747:W748)</f>
        <v>0</v>
      </c>
      <c r="X784" s="53"/>
    </row>
    <row r="785" spans="4:24" ht="12.75" customHeight="1" thickTop="1" x14ac:dyDescent="0.25">
      <c r="I785" s="114"/>
      <c r="J785" s="114"/>
      <c r="K785" s="114"/>
      <c r="L785" s="114"/>
      <c r="M785" s="114"/>
      <c r="N785" s="114"/>
      <c r="O785" s="114"/>
      <c r="U785" s="1104" t="s">
        <v>3608</v>
      </c>
      <c r="V785" s="1104" t="s">
        <v>1618</v>
      </c>
      <c r="W785" s="1105" t="s">
        <v>536</v>
      </c>
      <c r="X785" s="55">
        <v>0.2</v>
      </c>
    </row>
    <row r="786" spans="4:24" ht="12.75" customHeight="1" x14ac:dyDescent="0.25">
      <c r="D786" s="393">
        <v>630008</v>
      </c>
      <c r="E786" s="381" t="s">
        <v>3576</v>
      </c>
      <c r="F786" s="382"/>
      <c r="I786" s="114"/>
      <c r="J786" s="114"/>
      <c r="K786" s="114"/>
      <c r="L786" s="114"/>
      <c r="M786" s="114"/>
      <c r="N786" s="114"/>
      <c r="O786" s="114"/>
      <c r="U786" s="1098" t="s">
        <v>3609</v>
      </c>
    </row>
    <row r="787" spans="4:24" ht="12.75" customHeight="1" x14ac:dyDescent="0.3">
      <c r="D787" s="384"/>
      <c r="E787" s="383" t="s">
        <v>554</v>
      </c>
      <c r="F787" s="384"/>
      <c r="I787" s="114"/>
      <c r="J787" s="114"/>
      <c r="K787" s="114"/>
      <c r="L787" s="114"/>
      <c r="M787" s="114"/>
      <c r="N787" s="114"/>
      <c r="O787" s="114"/>
      <c r="S787" s="633">
        <v>3.5</v>
      </c>
      <c r="T787" s="633" t="s">
        <v>3610</v>
      </c>
      <c r="U787" s="1102">
        <f>+S787*W784</f>
        <v>0</v>
      </c>
      <c r="V787" s="1102">
        <f>+S787*X747</f>
        <v>0</v>
      </c>
      <c r="W787" s="1096">
        <f>+U787+V787</f>
        <v>0</v>
      </c>
      <c r="X787" s="52">
        <f>+W787*0.2</f>
        <v>0</v>
      </c>
    </row>
    <row r="788" spans="4:24" ht="12.75" customHeight="1" x14ac:dyDescent="0.3">
      <c r="D788" s="384"/>
      <c r="E788" s="115" t="s">
        <v>3577</v>
      </c>
      <c r="F788" s="384"/>
      <c r="I788" s="114"/>
      <c r="J788" s="114"/>
      <c r="K788" s="114"/>
      <c r="L788" s="114"/>
      <c r="M788" s="114"/>
      <c r="N788" s="114"/>
      <c r="O788" s="114"/>
      <c r="S788" s="633">
        <v>3</v>
      </c>
      <c r="T788" s="633" t="s">
        <v>3611</v>
      </c>
      <c r="U788" s="1102" t="e">
        <f>+S788*#REF!</f>
        <v>#REF!</v>
      </c>
      <c r="V788" s="1102" t="e">
        <f>+S788*#REF!</f>
        <v>#REF!</v>
      </c>
      <c r="W788" s="1096" t="e">
        <f t="shared" ref="W788:W789" si="256">+U788+V788</f>
        <v>#REF!</v>
      </c>
      <c r="X788" s="52" t="e">
        <f t="shared" ref="X788:X789" si="257">+W788*0.2</f>
        <v>#REF!</v>
      </c>
    </row>
    <row r="789" spans="4:24" ht="12.75" customHeight="1" x14ac:dyDescent="0.3">
      <c r="E789" s="115"/>
      <c r="I789" s="114"/>
      <c r="J789" s="114"/>
      <c r="K789" s="114"/>
      <c r="L789" s="114"/>
      <c r="M789" s="114"/>
      <c r="N789" s="114"/>
      <c r="O789" s="114"/>
      <c r="S789" s="633">
        <v>7</v>
      </c>
      <c r="T789" s="633" t="s">
        <v>3559</v>
      </c>
      <c r="U789" s="1102" t="e">
        <f>+S789*#REF!</f>
        <v>#REF!</v>
      </c>
      <c r="V789" s="1102" t="e">
        <f>+S789*#REF!</f>
        <v>#REF!</v>
      </c>
      <c r="W789" s="1096" t="e">
        <f t="shared" si="256"/>
        <v>#REF!</v>
      </c>
      <c r="X789" s="52" t="e">
        <f t="shared" si="257"/>
        <v>#REF!</v>
      </c>
    </row>
    <row r="790" spans="4:24" ht="12.75" customHeight="1" x14ac:dyDescent="0.25">
      <c r="D790" s="393">
        <v>630010</v>
      </c>
      <c r="E790" s="381" t="s">
        <v>3612</v>
      </c>
      <c r="F790" s="382"/>
      <c r="I790" s="114"/>
      <c r="J790" s="114"/>
      <c r="K790" s="114"/>
      <c r="L790" s="114"/>
      <c r="M790" s="114"/>
      <c r="N790" s="114"/>
      <c r="O790" s="114"/>
    </row>
    <row r="791" spans="4:24" ht="12.75" customHeight="1" thickBot="1" x14ac:dyDescent="0.3">
      <c r="D791" s="384"/>
      <c r="E791" s="383" t="s">
        <v>554</v>
      </c>
      <c r="F791" s="384"/>
      <c r="I791" s="114"/>
      <c r="J791" s="114"/>
      <c r="K791" s="114"/>
      <c r="L791" s="114"/>
      <c r="M791" s="114"/>
      <c r="N791" s="114"/>
      <c r="O791" s="114"/>
      <c r="X791" s="1903" t="e">
        <f>SUM(X787:X789)</f>
        <v>#REF!</v>
      </c>
    </row>
    <row r="792" spans="4:24" ht="12.75" customHeight="1" thickTop="1" x14ac:dyDescent="0.25">
      <c r="D792" s="384"/>
      <c r="E792" s="115" t="s">
        <v>3613</v>
      </c>
      <c r="F792" s="384"/>
      <c r="I792" s="114"/>
      <c r="J792" s="114"/>
      <c r="K792" s="114"/>
      <c r="L792" s="114"/>
      <c r="M792" s="114"/>
      <c r="N792" s="114"/>
      <c r="O792" s="114"/>
      <c r="Q792" s="633"/>
      <c r="V792" s="115"/>
    </row>
    <row r="793" spans="4:24" ht="12.75" customHeight="1" x14ac:dyDescent="0.25">
      <c r="E793" s="115"/>
      <c r="I793" s="114"/>
      <c r="J793" s="114"/>
      <c r="K793" s="114"/>
      <c r="L793" s="114"/>
      <c r="M793" s="114"/>
      <c r="N793" s="114"/>
      <c r="O793" s="114"/>
      <c r="Q793" s="633"/>
      <c r="V793" s="115"/>
    </row>
    <row r="794" spans="4:24" ht="12.75" customHeight="1" x14ac:dyDescent="0.25">
      <c r="D794" s="393">
        <v>630009</v>
      </c>
      <c r="E794" s="381" t="s">
        <v>3467</v>
      </c>
      <c r="F794" s="382"/>
      <c r="I794" s="114"/>
      <c r="J794" s="407">
        <v>2025</v>
      </c>
      <c r="K794" s="407">
        <v>2026</v>
      </c>
      <c r="L794" s="407">
        <v>2027</v>
      </c>
      <c r="M794" s="407">
        <v>2028</v>
      </c>
      <c r="N794" s="407">
        <v>2029</v>
      </c>
      <c r="O794" s="407">
        <v>2030</v>
      </c>
      <c r="Q794" s="633"/>
      <c r="V794" s="115"/>
    </row>
    <row r="795" spans="4:24" ht="12.75" customHeight="1" x14ac:dyDescent="0.25">
      <c r="D795" s="393"/>
      <c r="E795" s="381"/>
      <c r="F795" s="382"/>
      <c r="I795" s="114"/>
      <c r="J795" s="531"/>
      <c r="K795" s="531"/>
      <c r="L795" s="531"/>
      <c r="M795" s="531"/>
      <c r="N795" s="531"/>
      <c r="O795" s="531"/>
      <c r="Q795" s="633"/>
      <c r="V795" s="115"/>
    </row>
    <row r="796" spans="4:24" ht="12.75" customHeight="1" x14ac:dyDescent="0.25">
      <c r="D796" s="384">
        <v>83600</v>
      </c>
      <c r="E796" s="308" t="s">
        <v>3614</v>
      </c>
      <c r="F796" s="384"/>
      <c r="I796" s="114"/>
      <c r="J796" s="115">
        <v>0</v>
      </c>
      <c r="K796" s="115">
        <v>0</v>
      </c>
      <c r="L796" s="115">
        <v>0</v>
      </c>
      <c r="M796" s="115">
        <v>1</v>
      </c>
      <c r="N796" s="115">
        <v>1</v>
      </c>
      <c r="O796" s="115">
        <v>1</v>
      </c>
      <c r="Q796" s="633"/>
      <c r="V796" s="115"/>
    </row>
    <row r="797" spans="4:24" ht="12.75" customHeight="1" x14ac:dyDescent="0.25">
      <c r="D797" s="384"/>
      <c r="E797" s="308" t="s">
        <v>3615</v>
      </c>
      <c r="F797" s="384"/>
      <c r="I797" s="114"/>
      <c r="J797" s="114">
        <v>-568</v>
      </c>
      <c r="K797" s="114">
        <v>-587</v>
      </c>
      <c r="L797" s="114">
        <f>ROUND(K797*U$2,0)</f>
        <v>-599</v>
      </c>
      <c r="M797" s="114">
        <f>ROUND(L797*V$2,0)</f>
        <v>-613</v>
      </c>
      <c r="N797" s="114">
        <f>ROUND(M797*W$2,0)</f>
        <v>-627</v>
      </c>
      <c r="O797" s="114">
        <f>ROUND(N797*X$2,0)</f>
        <v>-641</v>
      </c>
      <c r="Q797" s="633"/>
      <c r="V797" s="115"/>
    </row>
    <row r="798" spans="4:24" ht="12.75" customHeight="1" thickBot="1" x14ac:dyDescent="0.3">
      <c r="D798" s="384"/>
      <c r="E798" s="115" t="str">
        <f>"Totaal "&amp;D796</f>
        <v>Totaal 83600</v>
      </c>
      <c r="F798" s="384"/>
      <c r="I798" s="114"/>
      <c r="J798" s="1904">
        <v>-568</v>
      </c>
      <c r="K798" s="1904">
        <v>-587</v>
      </c>
      <c r="L798" s="1904">
        <f t="shared" ref="L798:M798" si="258">SUM(L795:L797)</f>
        <v>-599</v>
      </c>
      <c r="M798" s="1904">
        <f t="shared" si="258"/>
        <v>-612</v>
      </c>
      <c r="N798" s="1904">
        <f t="shared" ref="N798:O798" si="259">SUM(N795:N797)</f>
        <v>-626</v>
      </c>
      <c r="O798" s="1904">
        <f t="shared" si="259"/>
        <v>-640</v>
      </c>
      <c r="Q798" s="633"/>
      <c r="V798" s="115"/>
    </row>
    <row r="799" spans="4:24" ht="12.75" customHeight="1" thickTop="1" x14ac:dyDescent="0.25">
      <c r="D799" s="384"/>
      <c r="E799" s="115"/>
      <c r="F799" s="384"/>
      <c r="I799" s="114"/>
      <c r="Q799" s="633"/>
      <c r="V799" s="115"/>
    </row>
    <row r="800" spans="4:24" ht="12.75" customHeight="1" x14ac:dyDescent="0.25">
      <c r="D800" s="393">
        <v>630901</v>
      </c>
      <c r="E800" s="381" t="s">
        <v>3616</v>
      </c>
      <c r="F800" s="115"/>
      <c r="S800" s="633" t="s">
        <v>984</v>
      </c>
    </row>
    <row r="801" spans="4:22" ht="12.75" customHeight="1" x14ac:dyDescent="0.25">
      <c r="D801" s="143"/>
      <c r="E801" s="115"/>
      <c r="F801" s="115"/>
    </row>
    <row r="802" spans="4:22" ht="12.75" customHeight="1" x14ac:dyDescent="0.25">
      <c r="D802" s="143">
        <v>47300</v>
      </c>
      <c r="E802" s="301" t="s">
        <v>3617</v>
      </c>
      <c r="G802" s="381"/>
      <c r="H802" s="381"/>
      <c r="J802" s="407">
        <v>2025</v>
      </c>
      <c r="K802" s="407">
        <v>2026</v>
      </c>
      <c r="L802" s="407">
        <v>2027</v>
      </c>
      <c r="M802" s="407">
        <v>2028</v>
      </c>
      <c r="N802" s="407">
        <v>2029</v>
      </c>
      <c r="O802" s="407">
        <v>2030</v>
      </c>
      <c r="Q802" s="633"/>
      <c r="V802" s="115"/>
    </row>
    <row r="803" spans="4:22" ht="12.75" customHeight="1" x14ac:dyDescent="0.25">
      <c r="D803" s="143"/>
      <c r="E803" s="301"/>
      <c r="G803" s="381"/>
      <c r="H803" s="381"/>
      <c r="Q803" s="633"/>
      <c r="V803" s="115"/>
    </row>
    <row r="804" spans="4:22" ht="12.75" customHeight="1" x14ac:dyDescent="0.25">
      <c r="D804" s="143"/>
      <c r="E804" s="396" t="s">
        <v>2506</v>
      </c>
      <c r="G804" s="381"/>
      <c r="H804" s="381"/>
      <c r="Q804" s="633"/>
      <c r="V804" s="115"/>
    </row>
    <row r="805" spans="4:22" ht="12.75" customHeight="1" x14ac:dyDescent="0.25">
      <c r="D805" s="143"/>
      <c r="E805" s="301" t="s">
        <v>3618</v>
      </c>
      <c r="G805" s="381"/>
      <c r="H805" s="381"/>
      <c r="J805" s="151"/>
      <c r="K805" s="151"/>
      <c r="L805" s="151"/>
      <c r="M805" s="151"/>
      <c r="N805" s="151"/>
      <c r="O805" s="151"/>
      <c r="Q805" s="633"/>
      <c r="V805" s="115"/>
    </row>
    <row r="806" spans="4:22" ht="12.75" customHeight="1" x14ac:dyDescent="0.25">
      <c r="D806" s="143"/>
      <c r="E806" s="301" t="s">
        <v>3619</v>
      </c>
      <c r="G806" s="381"/>
      <c r="H806" s="381"/>
      <c r="J806" s="151"/>
      <c r="K806" s="151"/>
      <c r="L806" s="151"/>
      <c r="M806" s="151"/>
      <c r="N806" s="151"/>
      <c r="O806" s="151"/>
      <c r="Q806" s="633"/>
      <c r="V806" s="115"/>
    </row>
    <row r="807" spans="4:22" ht="12.75" customHeight="1" x14ac:dyDescent="0.25">
      <c r="D807" s="143"/>
      <c r="E807" s="301" t="s">
        <v>3620</v>
      </c>
      <c r="G807" s="381"/>
      <c r="H807" s="381"/>
      <c r="J807" s="151"/>
      <c r="K807" s="151"/>
      <c r="L807" s="151"/>
      <c r="M807" s="151"/>
      <c r="N807" s="151"/>
      <c r="O807" s="151"/>
      <c r="Q807" s="633"/>
      <c r="V807" s="115"/>
    </row>
    <row r="808" spans="4:22" ht="12.75" customHeight="1" x14ac:dyDescent="0.25">
      <c r="D808" s="143"/>
      <c r="E808" s="301" t="s">
        <v>3621</v>
      </c>
      <c r="G808" s="381"/>
      <c r="H808" s="381"/>
      <c r="J808" s="151"/>
      <c r="K808" s="151"/>
      <c r="L808" s="151"/>
      <c r="M808" s="151"/>
      <c r="N808" s="151"/>
      <c r="O808" s="151"/>
      <c r="Q808" s="633"/>
      <c r="V808" s="115"/>
    </row>
    <row r="809" spans="4:22" ht="12.75" customHeight="1" x14ac:dyDescent="0.25">
      <c r="D809" s="143"/>
      <c r="E809" s="301"/>
      <c r="G809" s="381"/>
      <c r="H809" s="381"/>
      <c r="J809" s="151"/>
      <c r="K809" s="151"/>
      <c r="L809" s="151"/>
      <c r="M809" s="151"/>
      <c r="N809" s="151"/>
      <c r="O809" s="151"/>
      <c r="Q809" s="633"/>
      <c r="V809" s="115"/>
    </row>
    <row r="810" spans="4:22" ht="12.75" customHeight="1" x14ac:dyDescent="0.25">
      <c r="D810" s="143"/>
      <c r="E810" s="396" t="s">
        <v>2515</v>
      </c>
      <c r="G810" s="381"/>
      <c r="H810" s="381"/>
      <c r="J810" s="151"/>
      <c r="K810" s="151"/>
      <c r="L810" s="151"/>
      <c r="M810" s="151"/>
      <c r="N810" s="151"/>
      <c r="O810" s="151"/>
      <c r="Q810" s="633"/>
      <c r="V810" s="115"/>
    </row>
    <row r="811" spans="4:22" ht="12.75" customHeight="1" x14ac:dyDescent="0.25">
      <c r="D811" s="143"/>
      <c r="E811" s="301" t="s">
        <v>3622</v>
      </c>
      <c r="G811" s="381"/>
      <c r="H811" s="381"/>
      <c r="J811" s="151"/>
      <c r="K811" s="151"/>
      <c r="L811" s="151"/>
      <c r="M811" s="151"/>
      <c r="N811" s="151"/>
      <c r="O811" s="151"/>
      <c r="Q811" s="633"/>
      <c r="V811" s="115"/>
    </row>
    <row r="812" spans="4:22" ht="12.75" customHeight="1" x14ac:dyDescent="0.25">
      <c r="D812" s="143"/>
      <c r="E812" s="301" t="s">
        <v>3623</v>
      </c>
      <c r="G812" s="381"/>
      <c r="H812" s="381"/>
      <c r="J812" s="151"/>
      <c r="K812" s="151"/>
      <c r="L812" s="151"/>
      <c r="M812" s="151"/>
      <c r="N812" s="151"/>
      <c r="O812" s="151"/>
      <c r="Q812" s="633"/>
      <c r="V812" s="115"/>
    </row>
    <row r="813" spans="4:22" ht="12.75" customHeight="1" x14ac:dyDescent="0.25">
      <c r="D813" s="143"/>
      <c r="E813" s="301" t="s">
        <v>3624</v>
      </c>
      <c r="G813" s="381"/>
      <c r="H813" s="381"/>
      <c r="J813" s="151"/>
      <c r="K813" s="151"/>
      <c r="L813" s="151"/>
      <c r="M813" s="151"/>
      <c r="N813" s="151"/>
      <c r="O813" s="151"/>
      <c r="Q813" s="633"/>
      <c r="V813" s="115"/>
    </row>
    <row r="814" spans="4:22" ht="12.75" customHeight="1" x14ac:dyDescent="0.25">
      <c r="D814" s="143"/>
      <c r="E814" s="301"/>
      <c r="G814" s="381"/>
      <c r="H814" s="381"/>
      <c r="J814" s="151"/>
      <c r="K814" s="151"/>
      <c r="L814" s="151"/>
      <c r="M814" s="151"/>
      <c r="N814" s="151"/>
      <c r="O814" s="151"/>
      <c r="Q814" s="633"/>
      <c r="V814" s="115"/>
    </row>
    <row r="815" spans="4:22" ht="12.75" customHeight="1" x14ac:dyDescent="0.25">
      <c r="D815" s="143"/>
      <c r="E815" s="396" t="s">
        <v>3625</v>
      </c>
      <c r="G815" s="381"/>
      <c r="H815" s="381"/>
      <c r="J815" s="151"/>
      <c r="K815" s="151"/>
      <c r="L815" s="151"/>
      <c r="M815" s="151"/>
      <c r="N815" s="151"/>
      <c r="O815" s="151"/>
      <c r="Q815" s="633"/>
      <c r="V815" s="115"/>
    </row>
    <row r="816" spans="4:22" ht="12.75" customHeight="1" x14ac:dyDescent="0.25">
      <c r="D816" s="143"/>
      <c r="E816" s="301" t="s">
        <v>3626</v>
      </c>
      <c r="G816" s="381"/>
      <c r="H816" s="381"/>
      <c r="J816" s="151"/>
      <c r="K816" s="151"/>
      <c r="L816" s="151"/>
      <c r="M816" s="151"/>
      <c r="N816" s="151"/>
      <c r="O816" s="151"/>
      <c r="Q816" s="633"/>
      <c r="V816" s="115"/>
    </row>
    <row r="817" spans="4:22" ht="12.75" customHeight="1" x14ac:dyDescent="0.25">
      <c r="D817" s="143"/>
      <c r="E817" s="301" t="s">
        <v>3627</v>
      </c>
      <c r="G817" s="381"/>
      <c r="H817" s="381"/>
      <c r="J817" s="151"/>
      <c r="K817" s="151"/>
      <c r="L817" s="151"/>
      <c r="M817" s="151"/>
      <c r="N817" s="151"/>
      <c r="O817" s="151"/>
      <c r="Q817" s="633"/>
      <c r="V817" s="115"/>
    </row>
    <row r="818" spans="4:22" ht="12.75" customHeight="1" x14ac:dyDescent="0.25">
      <c r="D818" s="143"/>
      <c r="E818" s="301" t="s">
        <v>3628</v>
      </c>
      <c r="G818" s="381"/>
      <c r="H818" s="381"/>
      <c r="J818" s="151"/>
      <c r="K818" s="151"/>
      <c r="L818" s="151"/>
      <c r="M818" s="151"/>
      <c r="N818" s="151"/>
      <c r="O818" s="151"/>
      <c r="Q818" s="633"/>
      <c r="V818" s="115"/>
    </row>
    <row r="819" spans="4:22" ht="12.75" customHeight="1" x14ac:dyDescent="0.25">
      <c r="D819" s="143"/>
      <c r="E819" s="301" t="s">
        <v>3629</v>
      </c>
      <c r="G819" s="381"/>
      <c r="H819" s="381"/>
      <c r="J819" s="151"/>
      <c r="K819" s="151"/>
      <c r="L819" s="151"/>
      <c r="M819" s="151"/>
      <c r="N819" s="151"/>
      <c r="O819" s="151"/>
      <c r="Q819" s="633"/>
      <c r="V819" s="115"/>
    </row>
    <row r="820" spans="4:22" ht="12.75" customHeight="1" x14ac:dyDescent="0.25">
      <c r="D820" s="143"/>
      <c r="E820" s="301"/>
      <c r="G820" s="381"/>
      <c r="H820" s="381"/>
      <c r="J820" s="151"/>
      <c r="K820" s="151"/>
      <c r="L820" s="151"/>
      <c r="M820" s="151"/>
      <c r="N820" s="151"/>
      <c r="O820" s="151"/>
      <c r="Q820" s="633"/>
      <c r="V820" s="115"/>
    </row>
    <row r="821" spans="4:22" ht="12.75" customHeight="1" x14ac:dyDescent="0.25">
      <c r="D821" s="143"/>
      <c r="E821" s="301"/>
      <c r="G821" s="381"/>
      <c r="H821" s="381"/>
      <c r="J821" s="151"/>
      <c r="K821" s="151"/>
      <c r="L821" s="151"/>
      <c r="M821" s="151"/>
      <c r="N821" s="151"/>
      <c r="O821" s="151"/>
      <c r="Q821" s="633"/>
      <c r="V821" s="115"/>
    </row>
    <row r="822" spans="4:22" ht="12.75" customHeight="1" x14ac:dyDescent="0.25">
      <c r="D822" s="143"/>
      <c r="E822" s="396" t="s">
        <v>635</v>
      </c>
      <c r="G822" s="381"/>
      <c r="H822" s="381"/>
      <c r="J822" s="151"/>
      <c r="K822" s="151"/>
      <c r="L822" s="151"/>
      <c r="M822" s="151"/>
      <c r="N822" s="151"/>
      <c r="O822" s="151"/>
      <c r="Q822" s="633"/>
      <c r="V822" s="115"/>
    </row>
    <row r="823" spans="4:22" ht="12.75" customHeight="1" x14ac:dyDescent="0.25">
      <c r="D823" s="143"/>
      <c r="E823" s="301" t="s">
        <v>3630</v>
      </c>
      <c r="G823" s="381"/>
      <c r="H823" s="381"/>
      <c r="J823" s="151"/>
      <c r="K823" s="151"/>
      <c r="L823" s="151"/>
      <c r="M823" s="151"/>
      <c r="N823" s="151"/>
      <c r="O823" s="151"/>
      <c r="Q823" s="633"/>
      <c r="V823" s="115"/>
    </row>
    <row r="824" spans="4:22" ht="12.75" customHeight="1" x14ac:dyDescent="0.25">
      <c r="D824" s="143"/>
      <c r="E824" s="301"/>
      <c r="G824" s="381"/>
      <c r="H824" s="381"/>
      <c r="J824" s="151"/>
      <c r="K824" s="151"/>
      <c r="L824" s="151"/>
      <c r="M824" s="151"/>
      <c r="N824" s="151"/>
      <c r="O824" s="151"/>
      <c r="Q824" s="633"/>
      <c r="V824" s="115"/>
    </row>
    <row r="825" spans="4:22" ht="12.75" customHeight="1" x14ac:dyDescent="0.25">
      <c r="D825" s="143"/>
      <c r="E825" s="301" t="s">
        <v>3631</v>
      </c>
      <c r="G825" s="381"/>
      <c r="H825" s="381"/>
      <c r="J825" s="151"/>
      <c r="K825" s="151"/>
      <c r="L825" s="151"/>
      <c r="M825" s="151"/>
      <c r="N825" s="151"/>
      <c r="O825" s="151"/>
      <c r="Q825" s="633"/>
      <c r="V825" s="115"/>
    </row>
    <row r="826" spans="4:22" ht="12.75" customHeight="1" x14ac:dyDescent="0.25">
      <c r="D826" s="143"/>
      <c r="E826" s="301"/>
      <c r="G826" s="381"/>
      <c r="H826" s="381"/>
      <c r="J826" s="151"/>
      <c r="K826" s="151"/>
      <c r="L826" s="151"/>
      <c r="M826" s="151"/>
      <c r="N826" s="151"/>
      <c r="O826" s="151"/>
      <c r="Q826" s="633"/>
      <c r="V826" s="115"/>
    </row>
    <row r="827" spans="4:22" ht="12.75" customHeight="1" thickBot="1" x14ac:dyDescent="0.3">
      <c r="D827" s="143"/>
      <c r="E827" s="301" t="s">
        <v>536</v>
      </c>
      <c r="G827" s="381"/>
      <c r="H827" s="381"/>
      <c r="J827" s="1778"/>
      <c r="K827" s="1778"/>
      <c r="L827" s="1778"/>
      <c r="M827" s="1778"/>
      <c r="N827" s="1778"/>
      <c r="O827" s="1778"/>
      <c r="Q827" s="633"/>
      <c r="V827" s="115"/>
    </row>
    <row r="828" spans="4:22" ht="12.75" customHeight="1" thickTop="1" x14ac:dyDescent="0.25">
      <c r="D828" s="384"/>
      <c r="E828" s="384"/>
      <c r="F828" s="384"/>
      <c r="Q828" s="633"/>
      <c r="V828" s="115"/>
    </row>
    <row r="829" spans="4:22" ht="12.75" customHeight="1" x14ac:dyDescent="0.25">
      <c r="D829" s="428" t="s">
        <v>3494</v>
      </c>
      <c r="E829" s="384"/>
      <c r="F829" s="384"/>
      <c r="G829" s="381"/>
      <c r="I829" s="114"/>
      <c r="J829" s="114"/>
      <c r="K829" s="114"/>
      <c r="L829" s="114"/>
      <c r="M829" s="114"/>
      <c r="N829" s="114"/>
      <c r="O829" s="114"/>
    </row>
    <row r="830" spans="4:22" ht="12.75" customHeight="1" x14ac:dyDescent="0.25">
      <c r="D830" s="428" t="s">
        <v>3632</v>
      </c>
      <c r="E830" s="384"/>
      <c r="F830" s="384"/>
      <c r="G830" s="381"/>
      <c r="I830" s="114"/>
      <c r="J830" s="114"/>
      <c r="K830" s="114"/>
      <c r="L830" s="114"/>
      <c r="M830" s="114"/>
      <c r="N830" s="114"/>
      <c r="O830" s="114"/>
    </row>
    <row r="831" spans="4:22" ht="12.75" customHeight="1" x14ac:dyDescent="0.25">
      <c r="D831" s="384"/>
      <c r="E831" s="384"/>
      <c r="F831" s="384"/>
      <c r="I831" s="114"/>
      <c r="J831" s="114"/>
      <c r="K831" s="114"/>
      <c r="L831" s="114"/>
      <c r="M831" s="114"/>
      <c r="N831" s="114"/>
      <c r="O831" s="114"/>
      <c r="Q831" s="633"/>
      <c r="V831" s="115"/>
    </row>
    <row r="832" spans="4:22" ht="12.75" customHeight="1" x14ac:dyDescent="0.25">
      <c r="D832" s="393">
        <v>630013</v>
      </c>
      <c r="E832" s="381" t="s">
        <v>3633</v>
      </c>
      <c r="F832" s="382"/>
      <c r="I832" s="114"/>
      <c r="J832" s="407">
        <v>2025</v>
      </c>
      <c r="K832" s="407">
        <v>2026</v>
      </c>
      <c r="L832" s="407">
        <v>2027</v>
      </c>
      <c r="M832" s="407">
        <v>2028</v>
      </c>
      <c r="N832" s="407">
        <v>2029</v>
      </c>
      <c r="O832" s="407">
        <v>2030</v>
      </c>
      <c r="Q832" s="633"/>
      <c r="V832" s="115"/>
    </row>
    <row r="833" spans="4:22" ht="12.75" customHeight="1" x14ac:dyDescent="0.25">
      <c r="D833" s="393"/>
      <c r="E833" s="397" t="s">
        <v>533</v>
      </c>
      <c r="F833" s="382"/>
      <c r="I833" s="114"/>
      <c r="J833" s="531"/>
      <c r="K833" s="531"/>
      <c r="L833" s="531"/>
      <c r="M833" s="531"/>
      <c r="N833" s="531"/>
      <c r="O833" s="531"/>
      <c r="Q833" s="633"/>
      <c r="V833" s="115"/>
    </row>
    <row r="834" spans="4:22" ht="12.75" customHeight="1" x14ac:dyDescent="0.25">
      <c r="D834" s="393"/>
      <c r="E834" s="114" t="s">
        <v>3634</v>
      </c>
      <c r="F834" s="382"/>
      <c r="I834" s="114"/>
      <c r="J834" s="531"/>
      <c r="K834" s="531"/>
      <c r="L834" s="531"/>
      <c r="M834" s="531"/>
      <c r="N834" s="531"/>
      <c r="O834" s="531"/>
      <c r="Q834" s="633"/>
      <c r="V834" s="115"/>
    </row>
    <row r="835" spans="4:22" ht="12.75" customHeight="1" x14ac:dyDescent="0.25">
      <c r="D835" s="393"/>
      <c r="E835" s="410"/>
      <c r="F835" s="382"/>
      <c r="I835" s="114"/>
      <c r="J835" s="531"/>
      <c r="K835" s="531"/>
      <c r="L835" s="531"/>
      <c r="M835" s="531"/>
      <c r="N835" s="531"/>
      <c r="O835" s="531"/>
      <c r="Q835" s="633"/>
      <c r="V835" s="115"/>
    </row>
    <row r="836" spans="4:22" ht="12.75" customHeight="1" x14ac:dyDescent="0.25">
      <c r="D836" s="143">
        <v>43511</v>
      </c>
      <c r="E836" s="115" t="s">
        <v>3635</v>
      </c>
      <c r="I836" s="114"/>
      <c r="J836" s="114">
        <v>10353</v>
      </c>
      <c r="K836" s="114">
        <v>10560</v>
      </c>
      <c r="L836" s="114">
        <f>ROUND(K836*U$3,0)</f>
        <v>11004</v>
      </c>
      <c r="M836" s="114">
        <f>ROUND(L836*V$3,0)</f>
        <v>11411</v>
      </c>
      <c r="N836" s="114">
        <f>ROUND(M836*W$3,0)</f>
        <v>11833</v>
      </c>
      <c r="O836" s="114">
        <f>ROUND(N836*X$3,0)</f>
        <v>12271</v>
      </c>
      <c r="Q836" s="633"/>
      <c r="V836" s="115"/>
    </row>
    <row r="837" spans="4:22" ht="12.75" customHeight="1" thickBot="1" x14ac:dyDescent="0.3">
      <c r="D837" s="143"/>
      <c r="E837" s="115" t="str">
        <f>"Totaal "&amp;D836</f>
        <v>Totaal 43511</v>
      </c>
      <c r="I837" s="114"/>
      <c r="J837" s="1744">
        <v>10353</v>
      </c>
      <c r="K837" s="1744">
        <v>10560</v>
      </c>
      <c r="L837" s="1744">
        <f>SUM(L836:L836)</f>
        <v>11004</v>
      </c>
      <c r="M837" s="1744">
        <f>SUM(M836:M836)</f>
        <v>11411</v>
      </c>
      <c r="N837" s="1744">
        <f>SUM(N836:N836)</f>
        <v>11833</v>
      </c>
      <c r="O837" s="1744">
        <f>SUM(O836:O836)</f>
        <v>12271</v>
      </c>
      <c r="Q837" s="633"/>
      <c r="V837" s="115"/>
    </row>
    <row r="838" spans="4:22" ht="12.75" customHeight="1" thickTop="1" x14ac:dyDescent="0.25">
      <c r="D838" s="393"/>
      <c r="E838" s="410"/>
      <c r="F838" s="382"/>
      <c r="I838" s="114"/>
      <c r="J838" s="396"/>
      <c r="K838" s="396"/>
      <c r="L838" s="396"/>
      <c r="M838" s="396"/>
      <c r="N838" s="396"/>
      <c r="O838" s="396"/>
      <c r="Q838" s="633"/>
      <c r="V838" s="115"/>
    </row>
    <row r="839" spans="4:22" ht="12.75" customHeight="1" x14ac:dyDescent="0.25">
      <c r="D839" s="143">
        <v>43511</v>
      </c>
      <c r="E839" s="115" t="s">
        <v>3636</v>
      </c>
      <c r="I839" s="114"/>
      <c r="J839" s="114">
        <v>515</v>
      </c>
      <c r="K839" s="114">
        <v>525</v>
      </c>
      <c r="L839" s="114">
        <f>ROUND(K839*U$3,0)</f>
        <v>547</v>
      </c>
      <c r="M839" s="114">
        <f>ROUND(L839*V$3,0)</f>
        <v>567</v>
      </c>
      <c r="N839" s="114">
        <f>ROUND(M839*W$3,0)</f>
        <v>588</v>
      </c>
      <c r="O839" s="114">
        <f>ROUND(N839*X$3,0)</f>
        <v>610</v>
      </c>
      <c r="Q839" s="633"/>
      <c r="V839" s="115"/>
    </row>
    <row r="840" spans="4:22" ht="12.75" customHeight="1" thickBot="1" x14ac:dyDescent="0.3">
      <c r="D840" s="143"/>
      <c r="E840" s="115" t="str">
        <f>"Totaal "&amp;D839</f>
        <v>Totaal 43511</v>
      </c>
      <c r="I840" s="114"/>
      <c r="J840" s="1744">
        <v>515</v>
      </c>
      <c r="K840" s="1744">
        <v>525</v>
      </c>
      <c r="L840" s="1744">
        <f>SUM(L839:L839)</f>
        <v>547</v>
      </c>
      <c r="M840" s="1744">
        <f>SUM(M839:M839)</f>
        <v>567</v>
      </c>
      <c r="N840" s="1744">
        <f>SUM(N839:N839)</f>
        <v>588</v>
      </c>
      <c r="O840" s="1744">
        <f>SUM(O839:O839)</f>
        <v>610</v>
      </c>
      <c r="Q840" s="633"/>
      <c r="V840" s="115"/>
    </row>
    <row r="841" spans="4:22" ht="12.75" customHeight="1" thickTop="1" x14ac:dyDescent="0.25">
      <c r="D841" s="143"/>
      <c r="E841" s="115"/>
      <c r="I841" s="114"/>
      <c r="J841" s="114"/>
      <c r="K841" s="114"/>
      <c r="L841" s="114"/>
      <c r="M841" s="114"/>
      <c r="N841" s="114"/>
      <c r="O841" s="114"/>
      <c r="Q841" s="633"/>
      <c r="V841" s="115"/>
    </row>
    <row r="842" spans="4:22" ht="12.75" customHeight="1" x14ac:dyDescent="0.25">
      <c r="D842" s="143">
        <v>43801</v>
      </c>
      <c r="E842" s="115" t="s">
        <v>996</v>
      </c>
      <c r="H842" s="405"/>
      <c r="I842" s="114"/>
      <c r="J842" s="114">
        <v>18473</v>
      </c>
      <c r="K842" s="114">
        <v>18953</v>
      </c>
      <c r="L842" s="114">
        <f>ROUND(K842*U$2,0)</f>
        <v>19351</v>
      </c>
      <c r="M842" s="114">
        <f>ROUND(L842*V$2,0)</f>
        <v>19796</v>
      </c>
      <c r="N842" s="114">
        <f>ROUND(M842*W$2,0)</f>
        <v>20251</v>
      </c>
      <c r="O842" s="114">
        <f>ROUND(N842*X$2,0)</f>
        <v>20717</v>
      </c>
      <c r="Q842" s="633"/>
      <c r="V842" s="115"/>
    </row>
    <row r="843" spans="4:22" ht="12.75" customHeight="1" thickBot="1" x14ac:dyDescent="0.3">
      <c r="D843" s="384"/>
      <c r="E843" s="115" t="s">
        <v>1610</v>
      </c>
      <c r="F843" s="384"/>
      <c r="H843" s="399"/>
      <c r="I843" s="114"/>
      <c r="J843" s="1744">
        <v>18473</v>
      </c>
      <c r="K843" s="1744">
        <v>18953</v>
      </c>
      <c r="L843" s="1744">
        <f>SUM(L842:L842)</f>
        <v>19351</v>
      </c>
      <c r="M843" s="1744">
        <f>SUM(M842:M842)</f>
        <v>19796</v>
      </c>
      <c r="N843" s="1744">
        <f>SUM(N842:N842)</f>
        <v>20251</v>
      </c>
      <c r="O843" s="1744">
        <f>SUM(O842:O842)</f>
        <v>20717</v>
      </c>
      <c r="Q843" s="633"/>
      <c r="V843" s="115"/>
    </row>
    <row r="844" spans="4:22" ht="12.75" customHeight="1" thickTop="1" x14ac:dyDescent="0.25">
      <c r="D844" s="384"/>
      <c r="E844" s="115"/>
      <c r="F844" s="384"/>
      <c r="H844" s="399"/>
      <c r="I844" s="114"/>
      <c r="J844" s="114"/>
      <c r="K844" s="114"/>
      <c r="L844" s="114"/>
      <c r="M844" s="114"/>
      <c r="N844" s="114"/>
      <c r="O844" s="114"/>
      <c r="Q844" s="633"/>
      <c r="V844" s="115"/>
    </row>
    <row r="845" spans="4:22" ht="12.75" customHeight="1" x14ac:dyDescent="0.25">
      <c r="D845" s="384">
        <v>43802</v>
      </c>
      <c r="E845" s="115" t="s">
        <v>991</v>
      </c>
      <c r="F845" s="384"/>
      <c r="H845" s="399"/>
      <c r="I845" s="114"/>
      <c r="J845" s="114">
        <v>21946</v>
      </c>
      <c r="K845" s="114">
        <v>22517</v>
      </c>
      <c r="L845" s="114">
        <f>ROUND(K845*U$2,0)</f>
        <v>22990</v>
      </c>
      <c r="M845" s="114">
        <f>ROUND(L845*V$2,0)</f>
        <v>23519</v>
      </c>
      <c r="N845" s="114">
        <f>ROUND(M845*W$2,0)</f>
        <v>24060</v>
      </c>
      <c r="O845" s="114">
        <f>ROUND(N845*X$2,0)</f>
        <v>24613</v>
      </c>
      <c r="Q845" s="633"/>
      <c r="V845" s="115"/>
    </row>
    <row r="846" spans="4:22" ht="12.75" customHeight="1" thickBot="1" x14ac:dyDescent="0.3">
      <c r="D846" s="384"/>
      <c r="E846" s="115" t="s">
        <v>1612</v>
      </c>
      <c r="F846" s="384"/>
      <c r="H846" s="399"/>
      <c r="I846" s="114"/>
      <c r="J846" s="1744">
        <v>21946</v>
      </c>
      <c r="K846" s="1744">
        <v>22517</v>
      </c>
      <c r="L846" s="1744">
        <f>SUM(L845:L845)</f>
        <v>22990</v>
      </c>
      <c r="M846" s="1744">
        <f>SUM(M845:M845)</f>
        <v>23519</v>
      </c>
      <c r="N846" s="1744">
        <f>SUM(N845:N845)</f>
        <v>24060</v>
      </c>
      <c r="O846" s="1744">
        <f>SUM(O845:O845)</f>
        <v>24613</v>
      </c>
      <c r="Q846" s="633"/>
      <c r="V846" s="115"/>
    </row>
    <row r="847" spans="4:22" ht="12.75" customHeight="1" thickTop="1" x14ac:dyDescent="0.25">
      <c r="D847" s="384"/>
      <c r="E847" s="384"/>
      <c r="F847" s="384"/>
      <c r="H847" s="399"/>
      <c r="I847" s="114"/>
      <c r="J847" s="114"/>
      <c r="K847" s="114"/>
      <c r="L847" s="114"/>
      <c r="M847" s="114"/>
      <c r="N847" s="114"/>
      <c r="O847" s="114"/>
      <c r="Q847" s="633"/>
      <c r="V847" s="115"/>
    </row>
    <row r="848" spans="4:22" ht="12.75" customHeight="1" x14ac:dyDescent="0.25">
      <c r="D848" s="383" t="s">
        <v>1613</v>
      </c>
      <c r="E848" s="384"/>
      <c r="F848" s="384"/>
      <c r="H848" s="399"/>
      <c r="I848" s="114"/>
      <c r="J848" s="114"/>
      <c r="K848" s="114"/>
      <c r="L848" s="114"/>
      <c r="M848" s="114"/>
      <c r="N848" s="114"/>
      <c r="O848" s="114"/>
      <c r="Q848" s="633"/>
      <c r="V848" s="115"/>
    </row>
    <row r="849" spans="4:22" ht="12.75" customHeight="1" x14ac:dyDescent="0.25">
      <c r="D849" s="383" t="s">
        <v>1614</v>
      </c>
      <c r="E849" s="384"/>
      <c r="F849" s="384"/>
      <c r="H849" s="399"/>
      <c r="I849" s="114"/>
      <c r="J849" s="114"/>
      <c r="K849" s="114"/>
      <c r="L849" s="114"/>
      <c r="M849" s="114"/>
      <c r="N849" s="114"/>
      <c r="O849" s="114"/>
      <c r="Q849" s="633"/>
      <c r="V849" s="115"/>
    </row>
    <row r="850" spans="4:22" ht="12.75" customHeight="1" x14ac:dyDescent="0.25">
      <c r="D850" s="384"/>
      <c r="E850" s="384"/>
      <c r="F850" s="384"/>
      <c r="H850" s="399"/>
      <c r="I850" s="114"/>
      <c r="J850" s="114"/>
      <c r="K850" s="114"/>
      <c r="L850" s="114"/>
      <c r="M850" s="114"/>
      <c r="N850" s="114"/>
      <c r="O850" s="114"/>
      <c r="Q850" s="633"/>
      <c r="V850" s="115"/>
    </row>
    <row r="851" spans="4:22" ht="12.75" customHeight="1" x14ac:dyDescent="0.25">
      <c r="D851" s="384">
        <v>42100</v>
      </c>
      <c r="E851" s="115" t="s">
        <v>3637</v>
      </c>
      <c r="F851" s="384"/>
      <c r="H851" s="399"/>
      <c r="I851" s="114"/>
      <c r="J851" s="114">
        <v>23737</v>
      </c>
      <c r="K851" s="114">
        <v>24354</v>
      </c>
      <c r="L851" s="114">
        <f>ROUND(K851*U$2,0)</f>
        <v>24865</v>
      </c>
      <c r="M851" s="114">
        <f>ROUND(L851*V$2,0)</f>
        <v>25437</v>
      </c>
      <c r="N851" s="114">
        <f>ROUND(M851*W$2,0)</f>
        <v>26022</v>
      </c>
      <c r="O851" s="114">
        <f>ROUND(N851*X$2,0)</f>
        <v>26621</v>
      </c>
      <c r="Q851" s="633"/>
      <c r="V851" s="115"/>
    </row>
    <row r="852" spans="4:22" ht="12.75" customHeight="1" thickBot="1" x14ac:dyDescent="0.3">
      <c r="D852" s="115"/>
      <c r="E852" s="115" t="s">
        <v>1039</v>
      </c>
      <c r="F852" s="400"/>
      <c r="H852" s="399"/>
      <c r="I852" s="114"/>
      <c r="J852" s="1744">
        <v>23737</v>
      </c>
      <c r="K852" s="1744">
        <v>24354</v>
      </c>
      <c r="L852" s="1744">
        <f>SUM(L851:L851)</f>
        <v>24865</v>
      </c>
      <c r="M852" s="1744">
        <f>SUM(M851:M851)</f>
        <v>25437</v>
      </c>
      <c r="N852" s="1744">
        <f>SUM(N851:N851)</f>
        <v>26022</v>
      </c>
      <c r="O852" s="1744">
        <f>SUM(O851:O851)</f>
        <v>26621</v>
      </c>
      <c r="Q852" s="633"/>
      <c r="V852" s="115"/>
    </row>
    <row r="853" spans="4:22" ht="12.75" customHeight="1" thickTop="1" x14ac:dyDescent="0.25">
      <c r="D853" s="384"/>
      <c r="E853" s="399"/>
      <c r="F853" s="384"/>
      <c r="H853" s="399"/>
      <c r="I853" s="114"/>
      <c r="J853" s="399"/>
      <c r="K853" s="399"/>
      <c r="L853" s="399"/>
      <c r="M853" s="399"/>
      <c r="N853" s="399"/>
      <c r="O853" s="399"/>
      <c r="Q853" s="633"/>
      <c r="V853" s="115"/>
    </row>
    <row r="854" spans="4:22" ht="12.75" customHeight="1" x14ac:dyDescent="0.25">
      <c r="D854" s="143">
        <v>43812</v>
      </c>
      <c r="E854" s="115" t="s">
        <v>3638</v>
      </c>
      <c r="I854" s="114"/>
      <c r="J854" s="114">
        <v>444</v>
      </c>
      <c r="K854" s="114">
        <v>456</v>
      </c>
      <c r="L854" s="114">
        <f>ROUND(K854*U$2,0)</f>
        <v>466</v>
      </c>
      <c r="M854" s="114">
        <f>ROUND(L854*V$2,0)</f>
        <v>477</v>
      </c>
      <c r="N854" s="114">
        <f>ROUND(M854*W$2,0)</f>
        <v>488</v>
      </c>
      <c r="O854" s="114">
        <f>ROUND(N854*X$2,0)</f>
        <v>499</v>
      </c>
      <c r="Q854" s="633"/>
      <c r="V854" s="115"/>
    </row>
    <row r="855" spans="4:22" ht="12.75" customHeight="1" x14ac:dyDescent="0.25">
      <c r="D855" s="384"/>
      <c r="E855" s="308" t="s">
        <v>3639</v>
      </c>
      <c r="F855" s="384"/>
      <c r="I855" s="114"/>
      <c r="J855" s="114"/>
      <c r="K855" s="114"/>
      <c r="L855" s="114"/>
      <c r="M855" s="114"/>
      <c r="N855" s="114"/>
      <c r="O855" s="114"/>
      <c r="Q855" s="633"/>
      <c r="V855" s="115"/>
    </row>
    <row r="856" spans="4:22" ht="12.75" customHeight="1" x14ac:dyDescent="0.25">
      <c r="D856" s="384"/>
      <c r="E856" s="308" t="s">
        <v>3640</v>
      </c>
      <c r="F856" s="384"/>
      <c r="I856" s="114"/>
      <c r="J856" s="114"/>
      <c r="K856" s="114"/>
      <c r="L856" s="114"/>
      <c r="M856" s="114"/>
      <c r="N856" s="114"/>
      <c r="O856" s="114"/>
      <c r="Q856" s="633"/>
      <c r="V856" s="115"/>
    </row>
    <row r="857" spans="4:22" ht="12.75" customHeight="1" x14ac:dyDescent="0.25">
      <c r="D857" s="384"/>
      <c r="E857" s="308" t="s">
        <v>3641</v>
      </c>
      <c r="F857" s="384"/>
      <c r="I857" s="114"/>
      <c r="J857" s="114"/>
      <c r="K857" s="114"/>
      <c r="L857" s="114"/>
      <c r="M857" s="114"/>
      <c r="N857" s="114"/>
      <c r="O857" s="114"/>
      <c r="Q857" s="633"/>
      <c r="V857" s="115"/>
    </row>
    <row r="858" spans="4:22" ht="12.75" customHeight="1" x14ac:dyDescent="0.25">
      <c r="D858" s="384"/>
      <c r="E858" s="308" t="s">
        <v>3642</v>
      </c>
      <c r="F858" s="384"/>
      <c r="I858" s="114"/>
      <c r="J858" s="114"/>
      <c r="K858" s="114"/>
      <c r="L858" s="114"/>
      <c r="M858" s="114"/>
      <c r="N858" s="114"/>
      <c r="O858" s="114"/>
      <c r="Q858" s="633"/>
      <c r="V858" s="115"/>
    </row>
    <row r="859" spans="4:22" ht="12.75" customHeight="1" x14ac:dyDescent="0.25">
      <c r="D859" s="384"/>
      <c r="E859" s="308" t="s">
        <v>3643</v>
      </c>
      <c r="F859" s="384"/>
      <c r="I859" s="114"/>
      <c r="J859" s="114"/>
      <c r="K859" s="114"/>
      <c r="L859" s="114"/>
      <c r="M859" s="114"/>
      <c r="N859" s="114"/>
      <c r="O859" s="114"/>
      <c r="Q859" s="633"/>
      <c r="V859" s="115"/>
    </row>
    <row r="860" spans="4:22" ht="12.75" customHeight="1" x14ac:dyDescent="0.25">
      <c r="D860" s="384"/>
      <c r="E860" s="308" t="s">
        <v>3644</v>
      </c>
      <c r="F860" s="384"/>
      <c r="I860" s="114"/>
      <c r="J860" s="114"/>
      <c r="K860" s="114"/>
      <c r="L860" s="114"/>
      <c r="M860" s="114"/>
      <c r="N860" s="114"/>
      <c r="O860" s="114"/>
      <c r="Q860" s="633"/>
      <c r="V860" s="115"/>
    </row>
    <row r="861" spans="4:22" ht="12.75" customHeight="1" x14ac:dyDescent="0.25">
      <c r="D861" s="384"/>
      <c r="E861" s="308"/>
      <c r="F861" s="384"/>
      <c r="I861" s="114"/>
      <c r="J861" s="114"/>
      <c r="K861" s="114"/>
      <c r="L861" s="114"/>
      <c r="M861" s="114"/>
      <c r="N861" s="114"/>
      <c r="O861" s="114"/>
      <c r="Q861" s="633"/>
      <c r="V861" s="115"/>
    </row>
    <row r="862" spans="4:22" ht="12.75" customHeight="1" x14ac:dyDescent="0.25">
      <c r="D862" s="384"/>
      <c r="E862" s="308" t="s">
        <v>3645</v>
      </c>
      <c r="F862" s="384"/>
      <c r="I862" s="114"/>
      <c r="J862" s="114">
        <v>602</v>
      </c>
      <c r="K862" s="114">
        <v>618</v>
      </c>
      <c r="L862" s="114">
        <f t="shared" ref="L862:O864" si="260">ROUND(K862*U$2,0)</f>
        <v>631</v>
      </c>
      <c r="M862" s="114">
        <f t="shared" si="260"/>
        <v>646</v>
      </c>
      <c r="N862" s="114">
        <f t="shared" si="260"/>
        <v>661</v>
      </c>
      <c r="O862" s="114">
        <f t="shared" si="260"/>
        <v>676</v>
      </c>
      <c r="Q862" s="633"/>
      <c r="V862" s="115"/>
    </row>
    <row r="863" spans="4:22" ht="12.75" customHeight="1" x14ac:dyDescent="0.25">
      <c r="D863" s="384"/>
      <c r="E863" s="308" t="s">
        <v>3646</v>
      </c>
      <c r="F863" s="384"/>
      <c r="I863" s="114"/>
      <c r="J863" s="114">
        <v>26992</v>
      </c>
      <c r="K863" s="114">
        <v>27694</v>
      </c>
      <c r="L863" s="114">
        <f t="shared" si="260"/>
        <v>28276</v>
      </c>
      <c r="M863" s="114">
        <f t="shared" si="260"/>
        <v>28926</v>
      </c>
      <c r="N863" s="114">
        <f t="shared" si="260"/>
        <v>29591</v>
      </c>
      <c r="O863" s="114">
        <f t="shared" si="260"/>
        <v>30272</v>
      </c>
      <c r="Q863" s="633"/>
      <c r="V863" s="115"/>
    </row>
    <row r="864" spans="4:22" ht="12.75" customHeight="1" x14ac:dyDescent="0.25">
      <c r="D864" s="384"/>
      <c r="E864" s="308" t="s">
        <v>3647</v>
      </c>
      <c r="F864" s="384"/>
      <c r="I864" s="114"/>
      <c r="J864" s="114">
        <v>2270</v>
      </c>
      <c r="K864" s="114">
        <v>2329</v>
      </c>
      <c r="L864" s="114">
        <f t="shared" si="260"/>
        <v>2378</v>
      </c>
      <c r="M864" s="114">
        <f t="shared" si="260"/>
        <v>2433</v>
      </c>
      <c r="N864" s="114">
        <f t="shared" si="260"/>
        <v>2489</v>
      </c>
      <c r="O864" s="114">
        <f t="shared" si="260"/>
        <v>2546</v>
      </c>
      <c r="Q864" s="633"/>
      <c r="V864" s="115"/>
    </row>
    <row r="865" spans="4:22" ht="12.75" customHeight="1" x14ac:dyDescent="0.25">
      <c r="D865" s="143"/>
      <c r="E865" s="308"/>
      <c r="I865" s="114"/>
      <c r="J865" s="114"/>
      <c r="K865" s="114"/>
      <c r="L865" s="114"/>
      <c r="M865" s="114"/>
      <c r="N865" s="114"/>
      <c r="O865" s="114"/>
      <c r="Q865" s="633"/>
      <c r="V865" s="115"/>
    </row>
    <row r="866" spans="4:22" ht="12.75" customHeight="1" thickBot="1" x14ac:dyDescent="0.3">
      <c r="D866" s="143"/>
      <c r="E866" s="115" t="str">
        <f>"Totaal "&amp;D854</f>
        <v>Totaal 43812</v>
      </c>
      <c r="I866" s="114"/>
      <c r="J866" s="1744">
        <v>30308</v>
      </c>
      <c r="K866" s="1744">
        <v>31097</v>
      </c>
      <c r="L866" s="1744">
        <f>SUM(L854:L865)</f>
        <v>31751</v>
      </c>
      <c r="M866" s="1744">
        <f>SUM(M854:M865)</f>
        <v>32482</v>
      </c>
      <c r="N866" s="1744">
        <f>SUM(N854:N865)</f>
        <v>33229</v>
      </c>
      <c r="O866" s="1744">
        <f>SUM(O854:O865)</f>
        <v>33993</v>
      </c>
      <c r="Q866" s="633"/>
      <c r="V866" s="115"/>
    </row>
    <row r="867" spans="4:22" ht="12.75" customHeight="1" thickTop="1" x14ac:dyDescent="0.25">
      <c r="D867" s="143"/>
      <c r="E867" s="115"/>
      <c r="I867" s="114"/>
      <c r="J867" s="114"/>
      <c r="K867" s="114"/>
      <c r="L867" s="114"/>
      <c r="M867" s="114"/>
      <c r="N867" s="114"/>
      <c r="O867" s="114"/>
      <c r="Q867" s="633"/>
      <c r="V867" s="115"/>
    </row>
    <row r="868" spans="4:22" ht="12.75" customHeight="1" x14ac:dyDescent="0.25">
      <c r="D868" s="143">
        <v>43818</v>
      </c>
      <c r="E868" s="115" t="s">
        <v>1878</v>
      </c>
      <c r="I868" s="114"/>
      <c r="J868" s="114">
        <v>607</v>
      </c>
      <c r="K868" s="114">
        <v>623</v>
      </c>
      <c r="L868" s="114">
        <f>ROUND(K868*U$2,0)</f>
        <v>636</v>
      </c>
      <c r="M868" s="114">
        <f>ROUND(L868*V$2,0)</f>
        <v>651</v>
      </c>
      <c r="N868" s="114">
        <f>ROUND(M868*W$2,0)</f>
        <v>666</v>
      </c>
      <c r="O868" s="114">
        <f>ROUND(N868*X$2,0)</f>
        <v>681</v>
      </c>
      <c r="Q868" s="633"/>
      <c r="V868" s="115"/>
    </row>
    <row r="869" spans="4:22" ht="12.75" customHeight="1" thickBot="1" x14ac:dyDescent="0.3">
      <c r="D869" s="143"/>
      <c r="E869" s="115" t="s">
        <v>638</v>
      </c>
      <c r="I869" s="114"/>
      <c r="J869" s="1744">
        <v>607</v>
      </c>
      <c r="K869" s="1744">
        <v>623</v>
      </c>
      <c r="L869" s="1744">
        <f>SUM(L867:L868)</f>
        <v>636</v>
      </c>
      <c r="M869" s="1744">
        <f>SUM(M867:M868)</f>
        <v>651</v>
      </c>
      <c r="N869" s="1744">
        <f>SUM(N867:N868)</f>
        <v>666</v>
      </c>
      <c r="O869" s="1744">
        <f>SUM(O867:O868)</f>
        <v>681</v>
      </c>
      <c r="Q869" s="633"/>
      <c r="V869" s="115"/>
    </row>
    <row r="870" spans="4:22" ht="12.75" customHeight="1" thickTop="1" x14ac:dyDescent="0.25">
      <c r="D870" s="143"/>
      <c r="E870" s="115"/>
      <c r="I870" s="114"/>
      <c r="J870" s="114"/>
      <c r="K870" s="114"/>
      <c r="L870" s="114"/>
      <c r="M870" s="114"/>
      <c r="N870" s="114"/>
      <c r="O870" s="114"/>
      <c r="Q870" s="633"/>
      <c r="V870" s="115"/>
    </row>
    <row r="871" spans="4:22" ht="12.75" customHeight="1" x14ac:dyDescent="0.25">
      <c r="D871" s="143">
        <v>43818</v>
      </c>
      <c r="E871" s="115" t="s">
        <v>1879</v>
      </c>
      <c r="I871" s="114"/>
      <c r="J871" s="114">
        <v>1798</v>
      </c>
      <c r="K871" s="114">
        <v>1845</v>
      </c>
      <c r="L871" s="114">
        <f>ROUND(K871*U$2,0)</f>
        <v>1884</v>
      </c>
      <c r="M871" s="114">
        <f>ROUND(L871*V$2,0)</f>
        <v>1927</v>
      </c>
      <c r="N871" s="114">
        <f>ROUND(M871*W$2,0)</f>
        <v>1971</v>
      </c>
      <c r="O871" s="114">
        <f>ROUND(N871*X$2,0)</f>
        <v>2016</v>
      </c>
      <c r="Q871" s="633"/>
      <c r="V871" s="115"/>
    </row>
    <row r="872" spans="4:22" ht="12.75" customHeight="1" thickBot="1" x14ac:dyDescent="0.3">
      <c r="D872" s="143"/>
      <c r="E872" s="115" t="s">
        <v>638</v>
      </c>
      <c r="I872" s="114"/>
      <c r="J872" s="1744">
        <v>1798</v>
      </c>
      <c r="K872" s="1744">
        <v>1845</v>
      </c>
      <c r="L872" s="1744">
        <f>SUM(L870:L871)</f>
        <v>1884</v>
      </c>
      <c r="M872" s="1744">
        <f>SUM(M870:M871)</f>
        <v>1927</v>
      </c>
      <c r="N872" s="1744">
        <f>SUM(N870:N871)</f>
        <v>1971</v>
      </c>
      <c r="O872" s="1744">
        <f>SUM(O870:O871)</f>
        <v>2016</v>
      </c>
      <c r="Q872" s="633"/>
      <c r="V872" s="115"/>
    </row>
    <row r="873" spans="4:22" ht="12.75" customHeight="1" thickTop="1" x14ac:dyDescent="0.25">
      <c r="D873" s="143"/>
      <c r="E873" s="115"/>
      <c r="I873" s="114"/>
      <c r="J873" s="114"/>
      <c r="K873" s="114"/>
      <c r="L873" s="114"/>
      <c r="M873" s="114"/>
      <c r="N873" s="114"/>
      <c r="O873" s="114"/>
      <c r="Q873" s="633"/>
      <c r="V873" s="115"/>
    </row>
    <row r="874" spans="4:22" ht="12.75" customHeight="1" x14ac:dyDescent="0.25">
      <c r="D874" s="143">
        <v>43812</v>
      </c>
      <c r="E874" s="115" t="s">
        <v>3648</v>
      </c>
      <c r="I874" s="114"/>
      <c r="J874" s="114">
        <v>0</v>
      </c>
      <c r="K874" s="114">
        <v>0</v>
      </c>
      <c r="L874" s="114">
        <v>0</v>
      </c>
      <c r="M874" s="114">
        <v>0</v>
      </c>
      <c r="N874" s="114">
        <v>0</v>
      </c>
      <c r="O874" s="114">
        <v>0</v>
      </c>
      <c r="Q874" s="633"/>
      <c r="V874" s="115"/>
    </row>
    <row r="875" spans="4:22" ht="12.75" customHeight="1" thickBot="1" x14ac:dyDescent="0.3">
      <c r="D875" s="143"/>
      <c r="E875" s="115" t="s">
        <v>619</v>
      </c>
      <c r="I875" s="114"/>
      <c r="J875" s="1744">
        <v>0</v>
      </c>
      <c r="K875" s="1744">
        <v>0</v>
      </c>
      <c r="L875" s="1744">
        <f>+L874</f>
        <v>0</v>
      </c>
      <c r="M875" s="1744">
        <f>+M874</f>
        <v>0</v>
      </c>
      <c r="N875" s="1744">
        <f>+N874</f>
        <v>0</v>
      </c>
      <c r="O875" s="1744">
        <f>+O874</f>
        <v>0</v>
      </c>
      <c r="Q875" s="633"/>
      <c r="V875" s="115"/>
    </row>
    <row r="876" spans="4:22" ht="12.75" customHeight="1" thickTop="1" x14ac:dyDescent="0.25">
      <c r="D876" s="384"/>
      <c r="E876" s="115"/>
      <c r="F876" s="384"/>
      <c r="I876" s="114"/>
      <c r="J876" s="114"/>
      <c r="K876" s="114"/>
      <c r="L876" s="114"/>
      <c r="M876" s="114"/>
      <c r="N876" s="114"/>
      <c r="O876" s="114"/>
      <c r="Q876" s="633"/>
      <c r="V876" s="115"/>
    </row>
    <row r="877" spans="4:22" ht="12.75" customHeight="1" x14ac:dyDescent="0.25">
      <c r="D877" s="143">
        <v>43812</v>
      </c>
      <c r="E877" s="115" t="s">
        <v>3649</v>
      </c>
      <c r="I877" s="114"/>
      <c r="J877" s="114"/>
      <c r="K877" s="114"/>
      <c r="L877" s="114"/>
      <c r="M877" s="114"/>
      <c r="N877" s="114"/>
      <c r="O877" s="114"/>
    </row>
    <row r="878" spans="4:22" ht="12.75" customHeight="1" x14ac:dyDescent="0.25">
      <c r="D878" s="384"/>
      <c r="E878" s="115"/>
      <c r="F878" s="384"/>
      <c r="I878" s="114"/>
      <c r="J878" s="114"/>
      <c r="K878" s="114"/>
      <c r="L878" s="114"/>
      <c r="M878" s="114"/>
      <c r="N878" s="114"/>
      <c r="O878" s="114"/>
    </row>
    <row r="879" spans="4:22" ht="12.75" customHeight="1" x14ac:dyDescent="0.25">
      <c r="D879" s="143">
        <v>47201</v>
      </c>
      <c r="E879" s="115" t="s">
        <v>3650</v>
      </c>
      <c r="I879" s="114"/>
      <c r="J879" s="114"/>
      <c r="K879" s="114"/>
      <c r="L879" s="114"/>
      <c r="M879" s="114"/>
      <c r="N879" s="114"/>
      <c r="O879" s="114"/>
    </row>
    <row r="880" spans="4:22" ht="12.75" customHeight="1" x14ac:dyDescent="0.25">
      <c r="D880" s="143"/>
      <c r="E880" s="115"/>
      <c r="I880" s="114"/>
      <c r="J880" s="114"/>
      <c r="K880" s="114"/>
      <c r="L880" s="114"/>
      <c r="M880" s="114"/>
      <c r="N880" s="114"/>
      <c r="O880" s="114"/>
    </row>
    <row r="881" spans="4:22" ht="12.75" customHeight="1" x14ac:dyDescent="0.25">
      <c r="D881" s="393">
        <v>630014</v>
      </c>
      <c r="E881" s="381" t="s">
        <v>3651</v>
      </c>
      <c r="F881" s="382"/>
      <c r="I881" s="531"/>
      <c r="J881" s="531"/>
      <c r="K881" s="531"/>
      <c r="L881" s="531"/>
      <c r="M881" s="531"/>
      <c r="N881" s="531"/>
      <c r="O881" s="531"/>
      <c r="P881" s="1738"/>
    </row>
    <row r="882" spans="4:22" ht="12.75" customHeight="1" x14ac:dyDescent="0.25">
      <c r="D882" s="393"/>
      <c r="E882" s="397" t="s">
        <v>533</v>
      </c>
      <c r="F882" s="382"/>
      <c r="I882" s="531"/>
      <c r="J882" s="531"/>
      <c r="K882" s="531"/>
      <c r="L882" s="531"/>
      <c r="M882" s="531"/>
      <c r="N882" s="531"/>
      <c r="O882" s="531"/>
      <c r="P882" s="1738"/>
    </row>
    <row r="883" spans="4:22" ht="12.75" customHeight="1" x14ac:dyDescent="0.25">
      <c r="D883" s="393"/>
      <c r="E883" s="114" t="s">
        <v>3652</v>
      </c>
      <c r="F883" s="382"/>
      <c r="I883" s="531"/>
      <c r="J883" s="531"/>
      <c r="K883" s="531"/>
      <c r="L883" s="531"/>
      <c r="M883" s="531"/>
      <c r="N883" s="531"/>
      <c r="O883" s="531"/>
      <c r="P883" s="1738"/>
    </row>
    <row r="884" spans="4:22" ht="12.75" customHeight="1" x14ac:dyDescent="0.25">
      <c r="D884" s="393"/>
      <c r="E884" s="114"/>
      <c r="F884" s="382"/>
      <c r="I884" s="531"/>
      <c r="J884" s="531"/>
      <c r="K884" s="531"/>
      <c r="L884" s="531"/>
      <c r="M884" s="531"/>
      <c r="N884" s="531"/>
      <c r="O884" s="531"/>
      <c r="Q884" s="633"/>
      <c r="V884" s="115"/>
    </row>
    <row r="885" spans="4:22" ht="12.75" customHeight="1" x14ac:dyDescent="0.25">
      <c r="D885" s="393">
        <v>630015</v>
      </c>
      <c r="E885" s="381" t="s">
        <v>3653</v>
      </c>
      <c r="F885" s="382"/>
      <c r="I885" s="531"/>
      <c r="J885" s="407">
        <v>2025</v>
      </c>
      <c r="K885" s="407">
        <v>2026</v>
      </c>
      <c r="L885" s="407">
        <v>2027</v>
      </c>
      <c r="M885" s="407">
        <v>2028</v>
      </c>
      <c r="N885" s="407">
        <v>2029</v>
      </c>
      <c r="O885" s="407">
        <v>2030</v>
      </c>
      <c r="Q885" s="633"/>
      <c r="V885" s="115"/>
    </row>
    <row r="886" spans="4:22" ht="12.75" customHeight="1" x14ac:dyDescent="0.25">
      <c r="D886" s="393"/>
      <c r="E886" s="397" t="s">
        <v>533</v>
      </c>
      <c r="F886" s="382"/>
      <c r="I886" s="531"/>
      <c r="J886" s="531"/>
      <c r="K886" s="531"/>
      <c r="L886" s="531"/>
      <c r="M886" s="531"/>
      <c r="N886" s="531"/>
      <c r="O886" s="531"/>
      <c r="Q886" s="633"/>
      <c r="V886" s="115"/>
    </row>
    <row r="887" spans="4:22" ht="12.75" customHeight="1" x14ac:dyDescent="0.25">
      <c r="D887" s="393"/>
      <c r="E887" s="114" t="s">
        <v>3654</v>
      </c>
      <c r="F887" s="382"/>
      <c r="I887" s="531"/>
      <c r="J887" s="531"/>
      <c r="K887" s="531"/>
      <c r="L887" s="531"/>
      <c r="M887" s="531"/>
      <c r="N887" s="531"/>
      <c r="O887" s="531"/>
      <c r="Q887" s="633"/>
      <c r="V887" s="115"/>
    </row>
    <row r="888" spans="4:22" ht="12.75" customHeight="1" x14ac:dyDescent="0.25">
      <c r="D888" s="115"/>
      <c r="E888" s="115"/>
      <c r="F888" s="400"/>
      <c r="I888" s="531"/>
      <c r="J888" s="114"/>
      <c r="K888" s="114"/>
      <c r="L888" s="114"/>
      <c r="M888" s="114"/>
      <c r="N888" s="114"/>
      <c r="O888" s="114"/>
      <c r="Q888" s="633"/>
      <c r="V888" s="115"/>
    </row>
    <row r="889" spans="4:22" ht="12.75" customHeight="1" x14ac:dyDescent="0.25">
      <c r="D889" s="143">
        <v>43511</v>
      </c>
      <c r="E889" s="115" t="s">
        <v>3636</v>
      </c>
      <c r="I889" s="531"/>
      <c r="J889" s="114">
        <v>167</v>
      </c>
      <c r="K889" s="114">
        <v>170</v>
      </c>
      <c r="L889" s="114">
        <f>ROUND(K889*U$3,0)</f>
        <v>177</v>
      </c>
      <c r="M889" s="114">
        <f>ROUND(L889*V$3,0)</f>
        <v>184</v>
      </c>
      <c r="N889" s="114">
        <f>ROUND(M889*W$3,0)</f>
        <v>191</v>
      </c>
      <c r="O889" s="114">
        <f>ROUND(N889*X$3,0)</f>
        <v>198</v>
      </c>
      <c r="Q889" s="633"/>
      <c r="V889" s="115"/>
    </row>
    <row r="890" spans="4:22" ht="12.75" customHeight="1" thickBot="1" x14ac:dyDescent="0.3">
      <c r="E890" s="115" t="str">
        <f>"Totaal "&amp;D889</f>
        <v>Totaal 43511</v>
      </c>
      <c r="I890" s="531"/>
      <c r="J890" s="1744">
        <v>167</v>
      </c>
      <c r="K890" s="1744">
        <v>170</v>
      </c>
      <c r="L890" s="1744">
        <f>SUM(L889:L889)</f>
        <v>177</v>
      </c>
      <c r="M890" s="1744">
        <f>SUM(M889:M889)</f>
        <v>184</v>
      </c>
      <c r="N890" s="1744">
        <f>SUM(N889:N889)</f>
        <v>191</v>
      </c>
      <c r="O890" s="1744">
        <f>SUM(O889:O889)</f>
        <v>198</v>
      </c>
      <c r="Q890" s="633"/>
      <c r="V890" s="115"/>
    </row>
    <row r="891" spans="4:22" ht="12.75" customHeight="1" thickTop="1" x14ac:dyDescent="0.25">
      <c r="D891" s="143"/>
      <c r="E891" s="115"/>
      <c r="I891" s="531"/>
      <c r="J891" s="114"/>
      <c r="K891" s="114"/>
      <c r="L891" s="114"/>
      <c r="M891" s="114"/>
      <c r="N891" s="114"/>
      <c r="O891" s="114"/>
      <c r="Q891" s="633"/>
      <c r="V891" s="115"/>
    </row>
    <row r="892" spans="4:22" ht="12.75" customHeight="1" x14ac:dyDescent="0.25">
      <c r="D892" s="143">
        <v>43802</v>
      </c>
      <c r="E892" s="115" t="s">
        <v>3479</v>
      </c>
      <c r="I892" s="531"/>
      <c r="J892" s="114">
        <v>1438</v>
      </c>
      <c r="K892" s="114">
        <v>1475</v>
      </c>
      <c r="L892" s="114">
        <f>ROUND(K892*U$2,0)</f>
        <v>1506</v>
      </c>
      <c r="M892" s="114">
        <f>ROUND(L892*V$2,0)</f>
        <v>1541</v>
      </c>
      <c r="N892" s="114">
        <f>ROUND(M892*W$2,0)</f>
        <v>1576</v>
      </c>
      <c r="O892" s="114">
        <f>ROUND(N892*X$2,0)</f>
        <v>1612</v>
      </c>
      <c r="Q892" s="633"/>
      <c r="V892" s="115"/>
    </row>
    <row r="893" spans="4:22" ht="12.75" customHeight="1" thickBot="1" x14ac:dyDescent="0.3">
      <c r="D893" s="143"/>
      <c r="E893" s="115" t="s">
        <v>1612</v>
      </c>
      <c r="I893" s="531"/>
      <c r="J893" s="1744">
        <v>1438</v>
      </c>
      <c r="K893" s="1744">
        <v>1475</v>
      </c>
      <c r="L893" s="1744">
        <f>+L892</f>
        <v>1506</v>
      </c>
      <c r="M893" s="1744">
        <f>+M892</f>
        <v>1541</v>
      </c>
      <c r="N893" s="1744">
        <f>+N892</f>
        <v>1576</v>
      </c>
      <c r="O893" s="1744">
        <f>+O892</f>
        <v>1612</v>
      </c>
      <c r="Q893" s="633"/>
      <c r="V893" s="115"/>
    </row>
    <row r="894" spans="4:22" ht="12.75" customHeight="1" thickTop="1" x14ac:dyDescent="0.25">
      <c r="D894" s="143"/>
      <c r="E894" s="115"/>
      <c r="I894" s="531"/>
      <c r="J894" s="114"/>
      <c r="K894" s="114"/>
      <c r="L894" s="114"/>
      <c r="M894" s="114"/>
      <c r="N894" s="114"/>
      <c r="O894" s="114"/>
      <c r="Q894" s="633"/>
      <c r="V894" s="115"/>
    </row>
    <row r="895" spans="4:22" ht="12.75" customHeight="1" x14ac:dyDescent="0.25">
      <c r="D895" s="143">
        <v>43812</v>
      </c>
      <c r="E895" s="115" t="s">
        <v>3655</v>
      </c>
      <c r="I895" s="531"/>
      <c r="J895" s="396"/>
      <c r="K895" s="396"/>
      <c r="L895" s="396"/>
      <c r="M895" s="396"/>
      <c r="N895" s="396"/>
      <c r="O895" s="396"/>
      <c r="Q895" s="633"/>
      <c r="V895" s="115"/>
    </row>
    <row r="896" spans="4:22" ht="12.75" customHeight="1" x14ac:dyDescent="0.25">
      <c r="D896" s="143"/>
      <c r="E896" s="115" t="s">
        <v>3656</v>
      </c>
      <c r="I896" s="531"/>
      <c r="J896" s="114"/>
      <c r="K896" s="114"/>
      <c r="L896" s="114"/>
      <c r="M896" s="114"/>
      <c r="N896" s="114"/>
      <c r="O896" s="114"/>
      <c r="Q896" s="633"/>
      <c r="V896" s="115"/>
    </row>
    <row r="897" spans="4:22" ht="12.75" customHeight="1" x14ac:dyDescent="0.25">
      <c r="D897" s="384"/>
      <c r="E897" s="308" t="s">
        <v>3657</v>
      </c>
      <c r="F897" s="384"/>
      <c r="I897" s="531"/>
      <c r="J897" s="114">
        <v>8362</v>
      </c>
      <c r="K897" s="114">
        <v>8579</v>
      </c>
      <c r="L897" s="114">
        <f t="shared" ref="L897:O901" si="261">ROUND(K897*U$2,0)</f>
        <v>8759</v>
      </c>
      <c r="M897" s="114">
        <f t="shared" si="261"/>
        <v>8960</v>
      </c>
      <c r="N897" s="114">
        <f t="shared" si="261"/>
        <v>9166</v>
      </c>
      <c r="O897" s="114">
        <f t="shared" si="261"/>
        <v>9377</v>
      </c>
      <c r="Q897" s="633"/>
      <c r="V897" s="115"/>
    </row>
    <row r="898" spans="4:22" ht="12.75" customHeight="1" x14ac:dyDescent="0.25">
      <c r="D898" s="384"/>
      <c r="E898" s="308" t="s">
        <v>3658</v>
      </c>
      <c r="F898" s="384"/>
      <c r="I898" s="531"/>
      <c r="J898" s="114">
        <v>575</v>
      </c>
      <c r="K898" s="114">
        <v>590</v>
      </c>
      <c r="L898" s="114">
        <f t="shared" si="261"/>
        <v>602</v>
      </c>
      <c r="M898" s="114">
        <f t="shared" si="261"/>
        <v>616</v>
      </c>
      <c r="N898" s="114">
        <f t="shared" si="261"/>
        <v>630</v>
      </c>
      <c r="O898" s="114">
        <f t="shared" si="261"/>
        <v>644</v>
      </c>
      <c r="Q898" s="633"/>
      <c r="V898" s="115"/>
    </row>
    <row r="899" spans="4:22" ht="12.75" customHeight="1" x14ac:dyDescent="0.25">
      <c r="D899" s="384"/>
      <c r="E899" s="308" t="s">
        <v>3659</v>
      </c>
      <c r="F899" s="384"/>
      <c r="I899" s="531"/>
      <c r="J899" s="114">
        <v>382</v>
      </c>
      <c r="K899" s="114">
        <v>392</v>
      </c>
      <c r="L899" s="114">
        <f t="shared" si="261"/>
        <v>400</v>
      </c>
      <c r="M899" s="114">
        <f t="shared" si="261"/>
        <v>409</v>
      </c>
      <c r="N899" s="114">
        <f t="shared" si="261"/>
        <v>418</v>
      </c>
      <c r="O899" s="114">
        <f t="shared" si="261"/>
        <v>428</v>
      </c>
      <c r="Q899" s="633"/>
      <c r="V899" s="115"/>
    </row>
    <row r="900" spans="4:22" ht="12.75" customHeight="1" x14ac:dyDescent="0.25">
      <c r="D900" s="384"/>
      <c r="E900" s="308" t="s">
        <v>1869</v>
      </c>
      <c r="F900" s="384"/>
      <c r="I900" s="531"/>
      <c r="J900" s="114">
        <v>382</v>
      </c>
      <c r="K900" s="114">
        <v>392</v>
      </c>
      <c r="L900" s="114">
        <f t="shared" si="261"/>
        <v>400</v>
      </c>
      <c r="M900" s="114">
        <f t="shared" si="261"/>
        <v>409</v>
      </c>
      <c r="N900" s="114">
        <f t="shared" si="261"/>
        <v>418</v>
      </c>
      <c r="O900" s="114">
        <f t="shared" si="261"/>
        <v>428</v>
      </c>
      <c r="Q900" s="633"/>
      <c r="V900" s="115"/>
    </row>
    <row r="901" spans="4:22" ht="12.75" customHeight="1" x14ac:dyDescent="0.25">
      <c r="D901" s="384"/>
      <c r="E901" s="308" t="s">
        <v>3660</v>
      </c>
      <c r="F901" s="384"/>
      <c r="I901" s="531"/>
      <c r="J901" s="114">
        <v>2334</v>
      </c>
      <c r="K901" s="114">
        <v>2395</v>
      </c>
      <c r="L901" s="114">
        <f t="shared" si="261"/>
        <v>2445</v>
      </c>
      <c r="M901" s="114">
        <f t="shared" si="261"/>
        <v>2501</v>
      </c>
      <c r="N901" s="114">
        <f t="shared" si="261"/>
        <v>2559</v>
      </c>
      <c r="O901" s="114">
        <f t="shared" si="261"/>
        <v>2618</v>
      </c>
      <c r="Q901" s="633"/>
      <c r="V901" s="115"/>
    </row>
    <row r="902" spans="4:22" ht="12.75" customHeight="1" thickBot="1" x14ac:dyDescent="0.3">
      <c r="D902" s="143"/>
      <c r="E902" s="115" t="str">
        <f>"Totaal "&amp;D895</f>
        <v>Totaal 43812</v>
      </c>
      <c r="I902" s="531"/>
      <c r="J902" s="1744">
        <v>12035</v>
      </c>
      <c r="K902" s="1744">
        <v>12348</v>
      </c>
      <c r="L902" s="1744">
        <f>SUM(L897:L901)</f>
        <v>12606</v>
      </c>
      <c r="M902" s="1744">
        <f>SUM(M897:M901)</f>
        <v>12895</v>
      </c>
      <c r="N902" s="1744">
        <f>SUM(N897:N901)</f>
        <v>13191</v>
      </c>
      <c r="O902" s="1744">
        <f>SUM(O897:O901)</f>
        <v>13495</v>
      </c>
      <c r="Q902" s="633"/>
      <c r="V902" s="115"/>
    </row>
    <row r="903" spans="4:22" ht="12.75" customHeight="1" thickTop="1" x14ac:dyDescent="0.25">
      <c r="D903" s="384"/>
      <c r="E903" s="115"/>
      <c r="F903" s="384"/>
      <c r="I903" s="531"/>
      <c r="J903" s="114"/>
      <c r="K903" s="114"/>
      <c r="L903" s="114"/>
      <c r="M903" s="114"/>
      <c r="N903" s="114"/>
      <c r="O903" s="114"/>
      <c r="Q903" s="633"/>
      <c r="V903" s="115"/>
    </row>
    <row r="904" spans="4:22" ht="12.75" customHeight="1" x14ac:dyDescent="0.25">
      <c r="D904" s="143">
        <v>47201</v>
      </c>
      <c r="E904" s="115" t="s">
        <v>3650</v>
      </c>
      <c r="I904" s="531"/>
      <c r="J904" s="114"/>
      <c r="K904" s="114"/>
      <c r="L904" s="114"/>
      <c r="M904" s="114"/>
      <c r="N904" s="114"/>
      <c r="O904" s="114"/>
      <c r="Q904" s="633"/>
      <c r="V904" s="115"/>
    </row>
    <row r="905" spans="4:22" ht="12.75" customHeight="1" x14ac:dyDescent="0.25">
      <c r="D905" s="143"/>
      <c r="G905" s="401"/>
      <c r="H905" s="401"/>
      <c r="I905" s="531"/>
      <c r="J905" s="401"/>
      <c r="K905" s="401"/>
      <c r="L905" s="401"/>
      <c r="M905" s="401"/>
      <c r="N905" s="401"/>
      <c r="O905" s="401"/>
      <c r="Q905" s="633"/>
      <c r="V905" s="115"/>
    </row>
    <row r="906" spans="4:22" ht="12.75" customHeight="1" x14ac:dyDescent="0.25">
      <c r="D906" s="143"/>
      <c r="G906" s="401"/>
      <c r="H906" s="401"/>
      <c r="I906" s="531"/>
      <c r="J906" s="401"/>
      <c r="K906" s="401"/>
      <c r="L906" s="401"/>
      <c r="M906" s="401"/>
      <c r="N906" s="401"/>
      <c r="O906" s="401"/>
      <c r="Q906" s="633"/>
      <c r="V906" s="115"/>
    </row>
    <row r="907" spans="4:22" ht="12.75" customHeight="1" x14ac:dyDescent="0.25">
      <c r="D907" s="393">
        <v>630016</v>
      </c>
      <c r="E907" s="381" t="s">
        <v>3661</v>
      </c>
      <c r="F907" s="115"/>
      <c r="I907" s="531"/>
      <c r="J907" s="407">
        <v>2025</v>
      </c>
      <c r="K907" s="407">
        <v>2026</v>
      </c>
      <c r="L907" s="407">
        <v>2027</v>
      </c>
      <c r="M907" s="407">
        <v>2028</v>
      </c>
      <c r="N907" s="407">
        <v>2029</v>
      </c>
      <c r="O907" s="407">
        <v>2030</v>
      </c>
      <c r="Q907" s="633"/>
      <c r="V907" s="115"/>
    </row>
    <row r="908" spans="4:22" ht="12.75" customHeight="1" x14ac:dyDescent="0.25">
      <c r="D908" s="393"/>
      <c r="E908" s="383" t="s">
        <v>533</v>
      </c>
      <c r="F908" s="115"/>
      <c r="I908" s="531"/>
      <c r="J908" s="531"/>
      <c r="K908" s="531"/>
      <c r="L908" s="531"/>
      <c r="M908" s="531"/>
      <c r="N908" s="531"/>
      <c r="O908" s="531"/>
      <c r="Q908" s="633"/>
      <c r="V908" s="115"/>
    </row>
    <row r="909" spans="4:22" ht="12.75" customHeight="1" x14ac:dyDescent="0.25">
      <c r="D909" s="393"/>
      <c r="E909" s="115" t="s">
        <v>3662</v>
      </c>
      <c r="F909" s="115"/>
      <c r="I909" s="531"/>
      <c r="J909" s="531"/>
      <c r="K909" s="531"/>
      <c r="L909" s="531"/>
      <c r="M909" s="531"/>
      <c r="N909" s="531"/>
      <c r="O909" s="531"/>
      <c r="Q909" s="633"/>
      <c r="V909" s="115"/>
    </row>
    <row r="910" spans="4:22" ht="12.75" customHeight="1" x14ac:dyDescent="0.25">
      <c r="D910" s="115"/>
      <c r="E910" s="115"/>
      <c r="F910" s="115"/>
      <c r="I910" s="114"/>
      <c r="J910" s="114"/>
      <c r="K910" s="114"/>
      <c r="L910" s="114"/>
      <c r="M910" s="114"/>
      <c r="N910" s="114"/>
      <c r="O910" s="114"/>
      <c r="Q910" s="633"/>
      <c r="V910" s="115"/>
    </row>
    <row r="911" spans="4:22" ht="12.75" customHeight="1" x14ac:dyDescent="0.25">
      <c r="D911" s="143">
        <v>43511</v>
      </c>
      <c r="E911" s="115" t="s">
        <v>3636</v>
      </c>
      <c r="F911" s="115"/>
      <c r="I911" s="114"/>
      <c r="J911" s="114">
        <v>296</v>
      </c>
      <c r="K911" s="114">
        <v>302</v>
      </c>
      <c r="L911" s="114">
        <f>ROUND(K911*U$3,0)</f>
        <v>315</v>
      </c>
      <c r="M911" s="114">
        <f>ROUND(L911*V$3,0)</f>
        <v>327</v>
      </c>
      <c r="N911" s="114">
        <f>ROUND(M911*W$3,0)</f>
        <v>339</v>
      </c>
      <c r="O911" s="114">
        <f>ROUND(N911*X$3,0)</f>
        <v>352</v>
      </c>
      <c r="Q911" s="633"/>
      <c r="V911" s="115"/>
    </row>
    <row r="912" spans="4:22" ht="12.75" customHeight="1" thickBot="1" x14ac:dyDescent="0.3">
      <c r="D912" s="143"/>
      <c r="E912" s="115" t="str">
        <f>"Totaal "&amp;D911</f>
        <v>Totaal 43511</v>
      </c>
      <c r="F912" s="115"/>
      <c r="I912" s="114"/>
      <c r="J912" s="1744">
        <v>296</v>
      </c>
      <c r="K912" s="1744">
        <v>302</v>
      </c>
      <c r="L912" s="1744">
        <f>SUM(L911:L911)</f>
        <v>315</v>
      </c>
      <c r="M912" s="1744">
        <f>SUM(M911:M911)</f>
        <v>327</v>
      </c>
      <c r="N912" s="1744">
        <f>SUM(N911:N911)</f>
        <v>339</v>
      </c>
      <c r="O912" s="1744">
        <f>SUM(O911:O911)</f>
        <v>352</v>
      </c>
      <c r="Q912" s="633"/>
      <c r="V912" s="115"/>
    </row>
    <row r="913" spans="4:22" ht="12.75" customHeight="1" thickTop="1" x14ac:dyDescent="0.25">
      <c r="D913" s="143"/>
      <c r="E913" s="115"/>
      <c r="F913" s="115"/>
      <c r="I913" s="114"/>
      <c r="J913" s="114"/>
      <c r="K913" s="114"/>
      <c r="L913" s="114"/>
      <c r="M913" s="114"/>
      <c r="N913" s="114"/>
      <c r="O913" s="114"/>
      <c r="Q913" s="633"/>
      <c r="V913" s="115"/>
    </row>
    <row r="914" spans="4:22" ht="12.75" customHeight="1" x14ac:dyDescent="0.25">
      <c r="D914" s="143">
        <v>43812</v>
      </c>
      <c r="E914" s="115" t="s">
        <v>3663</v>
      </c>
      <c r="F914" s="115"/>
      <c r="I914" s="114"/>
      <c r="J914" s="396"/>
      <c r="K914" s="396"/>
      <c r="L914" s="396"/>
      <c r="M914" s="396"/>
      <c r="N914" s="396"/>
      <c r="O914" s="396"/>
      <c r="Q914" s="633"/>
      <c r="V914" s="115"/>
    </row>
    <row r="915" spans="4:22" ht="12.75" customHeight="1" x14ac:dyDescent="0.25">
      <c r="D915" s="384"/>
      <c r="E915" s="308" t="s">
        <v>3657</v>
      </c>
      <c r="F915" s="115"/>
      <c r="I915" s="114"/>
      <c r="J915" s="114">
        <v>8700</v>
      </c>
      <c r="K915" s="114">
        <v>8926</v>
      </c>
      <c r="L915" s="114">
        <f t="shared" ref="L915:O919" si="262">ROUND(K915*U$2,0)</f>
        <v>9113</v>
      </c>
      <c r="M915" s="114">
        <f t="shared" si="262"/>
        <v>9323</v>
      </c>
      <c r="N915" s="114">
        <f t="shared" si="262"/>
        <v>9537</v>
      </c>
      <c r="O915" s="114">
        <f t="shared" si="262"/>
        <v>9756</v>
      </c>
      <c r="Q915" s="633"/>
      <c r="V915" s="115"/>
    </row>
    <row r="916" spans="4:22" ht="12.75" customHeight="1" x14ac:dyDescent="0.25">
      <c r="D916" s="384"/>
      <c r="E916" s="308" t="s">
        <v>3658</v>
      </c>
      <c r="F916" s="115"/>
      <c r="I916" s="114"/>
      <c r="J916" s="114">
        <v>575</v>
      </c>
      <c r="K916" s="114">
        <v>590</v>
      </c>
      <c r="L916" s="114">
        <f t="shared" si="262"/>
        <v>602</v>
      </c>
      <c r="M916" s="114">
        <f t="shared" si="262"/>
        <v>616</v>
      </c>
      <c r="N916" s="114">
        <f t="shared" si="262"/>
        <v>630</v>
      </c>
      <c r="O916" s="114">
        <f t="shared" si="262"/>
        <v>644</v>
      </c>
      <c r="Q916" s="633"/>
      <c r="V916" s="115"/>
    </row>
    <row r="917" spans="4:22" ht="12.75" customHeight="1" x14ac:dyDescent="0.25">
      <c r="D917" s="384"/>
      <c r="E917" s="308" t="s">
        <v>3659</v>
      </c>
      <c r="F917" s="115"/>
      <c r="I917" s="114"/>
      <c r="J917" s="114">
        <v>382</v>
      </c>
      <c r="K917" s="114">
        <v>392</v>
      </c>
      <c r="L917" s="114">
        <f t="shared" si="262"/>
        <v>400</v>
      </c>
      <c r="M917" s="114">
        <f t="shared" si="262"/>
        <v>409</v>
      </c>
      <c r="N917" s="114">
        <f t="shared" si="262"/>
        <v>418</v>
      </c>
      <c r="O917" s="114">
        <f t="shared" si="262"/>
        <v>428</v>
      </c>
      <c r="Q917" s="633"/>
      <c r="V917" s="115"/>
    </row>
    <row r="918" spans="4:22" ht="12.75" customHeight="1" x14ac:dyDescent="0.25">
      <c r="D918" s="384"/>
      <c r="E918" s="308" t="s">
        <v>1869</v>
      </c>
      <c r="F918" s="115"/>
      <c r="I918" s="114"/>
      <c r="J918" s="114">
        <v>556</v>
      </c>
      <c r="K918" s="114">
        <v>570</v>
      </c>
      <c r="L918" s="114">
        <f t="shared" si="262"/>
        <v>582</v>
      </c>
      <c r="M918" s="114">
        <f t="shared" si="262"/>
        <v>595</v>
      </c>
      <c r="N918" s="114">
        <f t="shared" si="262"/>
        <v>609</v>
      </c>
      <c r="O918" s="114">
        <f t="shared" si="262"/>
        <v>623</v>
      </c>
      <c r="Q918" s="633"/>
      <c r="V918" s="115"/>
    </row>
    <row r="919" spans="4:22" ht="12.75" customHeight="1" x14ac:dyDescent="0.25">
      <c r="D919" s="384"/>
      <c r="E919" s="308" t="s">
        <v>3660</v>
      </c>
      <c r="F919" s="115"/>
      <c r="I919" s="114"/>
      <c r="J919" s="114">
        <v>2334</v>
      </c>
      <c r="K919" s="114">
        <v>2395</v>
      </c>
      <c r="L919" s="114">
        <f t="shared" si="262"/>
        <v>2445</v>
      </c>
      <c r="M919" s="114">
        <f t="shared" si="262"/>
        <v>2501</v>
      </c>
      <c r="N919" s="114">
        <f t="shared" si="262"/>
        <v>2559</v>
      </c>
      <c r="O919" s="114">
        <f t="shared" si="262"/>
        <v>2618</v>
      </c>
      <c r="Q919" s="633"/>
      <c r="V919" s="115"/>
    </row>
    <row r="920" spans="4:22" ht="12.75" customHeight="1" thickBot="1" x14ac:dyDescent="0.3">
      <c r="D920" s="143"/>
      <c r="E920" s="115" t="str">
        <f>"Totaal "&amp;D914</f>
        <v>Totaal 43812</v>
      </c>
      <c r="F920" s="115"/>
      <c r="I920" s="114"/>
      <c r="J920" s="1744">
        <v>12547</v>
      </c>
      <c r="K920" s="1744">
        <v>12873</v>
      </c>
      <c r="L920" s="1744">
        <f>SUM(L915:L919)</f>
        <v>13142</v>
      </c>
      <c r="M920" s="1744">
        <f>SUM(M915:M919)</f>
        <v>13444</v>
      </c>
      <c r="N920" s="1744">
        <f>SUM(N915:N919)</f>
        <v>13753</v>
      </c>
      <c r="O920" s="1744">
        <f>SUM(O915:O919)</f>
        <v>14069</v>
      </c>
      <c r="Q920" s="633"/>
      <c r="V920" s="115"/>
    </row>
    <row r="921" spans="4:22" ht="12.75" customHeight="1" thickTop="1" x14ac:dyDescent="0.25">
      <c r="D921" s="384"/>
      <c r="E921" s="115"/>
      <c r="F921" s="115"/>
      <c r="I921" s="114"/>
      <c r="J921" s="114"/>
      <c r="K921" s="114"/>
      <c r="L921" s="114"/>
      <c r="M921" s="114"/>
      <c r="N921" s="114"/>
      <c r="O921" s="114"/>
      <c r="Q921" s="633"/>
      <c r="V921" s="115"/>
    </row>
    <row r="922" spans="4:22" ht="12.75" customHeight="1" x14ac:dyDescent="0.25">
      <c r="D922" s="143">
        <v>47201</v>
      </c>
      <c r="E922" s="115" t="s">
        <v>3664</v>
      </c>
      <c r="F922" s="115"/>
      <c r="I922" s="114"/>
      <c r="J922" s="114"/>
      <c r="K922" s="114"/>
      <c r="L922" s="114"/>
      <c r="M922" s="114"/>
      <c r="N922" s="114"/>
      <c r="O922" s="114"/>
      <c r="Q922" s="633"/>
      <c r="V922" s="115"/>
    </row>
    <row r="923" spans="4:22" ht="12.75" customHeight="1" x14ac:dyDescent="0.25">
      <c r="D923" s="143"/>
      <c r="E923" s="115"/>
      <c r="F923" s="115"/>
      <c r="I923" s="114"/>
      <c r="J923" s="114"/>
      <c r="K923" s="114"/>
      <c r="L923" s="114"/>
      <c r="M923" s="114"/>
      <c r="N923" s="114"/>
      <c r="O923" s="114"/>
      <c r="Q923" s="633"/>
      <c r="V923" s="115"/>
    </row>
    <row r="924" spans="4:22" ht="12.75" customHeight="1" x14ac:dyDescent="0.25">
      <c r="D924" s="393">
        <v>630017</v>
      </c>
      <c r="E924" s="381" t="s">
        <v>3665</v>
      </c>
      <c r="F924" s="115"/>
      <c r="I924" s="114"/>
      <c r="J924" s="407">
        <v>2025</v>
      </c>
      <c r="K924" s="407">
        <v>2026</v>
      </c>
      <c r="L924" s="407">
        <v>2027</v>
      </c>
      <c r="M924" s="407">
        <v>2028</v>
      </c>
      <c r="N924" s="407">
        <v>2029</v>
      </c>
      <c r="O924" s="407">
        <v>2030</v>
      </c>
      <c r="Q924" s="633"/>
      <c r="V924" s="115"/>
    </row>
    <row r="925" spans="4:22" ht="12.75" customHeight="1" x14ac:dyDescent="0.25">
      <c r="D925" s="393"/>
      <c r="E925" s="383" t="s">
        <v>533</v>
      </c>
      <c r="F925" s="115"/>
      <c r="I925" s="114"/>
      <c r="J925" s="531"/>
      <c r="K925" s="531"/>
      <c r="L925" s="531"/>
      <c r="M925" s="531"/>
      <c r="N925" s="531"/>
      <c r="O925" s="531"/>
      <c r="Q925" s="633"/>
      <c r="V925" s="115"/>
    </row>
    <row r="926" spans="4:22" ht="12.75" customHeight="1" x14ac:dyDescent="0.25">
      <c r="D926" s="393"/>
      <c r="E926" s="114" t="s">
        <v>3666</v>
      </c>
      <c r="F926" s="115"/>
      <c r="I926" s="114"/>
      <c r="J926" s="531"/>
      <c r="K926" s="531"/>
      <c r="L926" s="531"/>
      <c r="M926" s="531"/>
      <c r="N926" s="531"/>
      <c r="O926" s="531"/>
      <c r="Q926" s="633"/>
      <c r="V926" s="115"/>
    </row>
    <row r="927" spans="4:22" ht="12.75" customHeight="1" x14ac:dyDescent="0.25">
      <c r="D927" s="115"/>
      <c r="E927" s="115"/>
      <c r="F927" s="115"/>
      <c r="I927" s="114"/>
      <c r="J927" s="114"/>
      <c r="K927" s="114"/>
      <c r="L927" s="114"/>
      <c r="M927" s="114"/>
      <c r="N927" s="114"/>
      <c r="O927" s="114"/>
      <c r="Q927" s="633"/>
      <c r="V927" s="115"/>
    </row>
    <row r="928" spans="4:22" ht="12.75" customHeight="1" x14ac:dyDescent="0.25">
      <c r="D928" s="143">
        <v>43511</v>
      </c>
      <c r="E928" s="115" t="s">
        <v>3636</v>
      </c>
      <c r="F928" s="115"/>
      <c r="I928" s="114"/>
      <c r="J928" s="114">
        <v>39</v>
      </c>
      <c r="K928" s="114">
        <v>40</v>
      </c>
      <c r="L928" s="114">
        <f>ROUND(K928*U$3,0)</f>
        <v>42</v>
      </c>
      <c r="M928" s="114">
        <f>ROUND(L928*V$3,0)</f>
        <v>44</v>
      </c>
      <c r="N928" s="114">
        <f>ROUND(M928*W$3,0)</f>
        <v>46</v>
      </c>
      <c r="O928" s="114">
        <f>ROUND(N928*X$3,0)</f>
        <v>48</v>
      </c>
      <c r="Q928" s="633"/>
      <c r="V928" s="115"/>
    </row>
    <row r="929" spans="4:22" ht="12.75" customHeight="1" thickBot="1" x14ac:dyDescent="0.3">
      <c r="D929" s="143"/>
      <c r="E929" s="115" t="str">
        <f>"Totaal "&amp;D928</f>
        <v>Totaal 43511</v>
      </c>
      <c r="F929" s="115"/>
      <c r="I929" s="114"/>
      <c r="J929" s="1744">
        <v>39</v>
      </c>
      <c r="K929" s="1744">
        <v>40</v>
      </c>
      <c r="L929" s="1744">
        <f>SUM(L928:L928)</f>
        <v>42</v>
      </c>
      <c r="M929" s="1744">
        <f>SUM(M928:M928)</f>
        <v>44</v>
      </c>
      <c r="N929" s="1744">
        <f>SUM(N928:N928)</f>
        <v>46</v>
      </c>
      <c r="O929" s="1744">
        <f>SUM(O928:O928)</f>
        <v>48</v>
      </c>
      <c r="Q929" s="633"/>
      <c r="V929" s="115"/>
    </row>
    <row r="930" spans="4:22" ht="12.75" customHeight="1" thickTop="1" x14ac:dyDescent="0.25">
      <c r="D930" s="143"/>
      <c r="E930" s="115"/>
      <c r="F930" s="115"/>
      <c r="I930" s="114"/>
      <c r="J930" s="114"/>
      <c r="K930" s="114"/>
      <c r="L930" s="114"/>
      <c r="M930" s="114"/>
      <c r="N930" s="114"/>
      <c r="O930" s="114"/>
      <c r="Q930" s="633"/>
      <c r="V930" s="115"/>
    </row>
    <row r="931" spans="4:22" ht="12.75" customHeight="1" x14ac:dyDescent="0.25">
      <c r="D931" s="143">
        <v>43802</v>
      </c>
      <c r="E931" s="115" t="s">
        <v>3479</v>
      </c>
      <c r="F931" s="115"/>
      <c r="I931" s="114"/>
      <c r="J931" s="114">
        <v>2164</v>
      </c>
      <c r="K931" s="114">
        <v>2220</v>
      </c>
      <c r="L931" s="114">
        <f>ROUND(K931*U$2,0)</f>
        <v>2267</v>
      </c>
      <c r="M931" s="114">
        <f>ROUND(L931*V$2,0)</f>
        <v>2319</v>
      </c>
      <c r="N931" s="114">
        <f>ROUND(M931*W$2,0)</f>
        <v>2372</v>
      </c>
      <c r="O931" s="114">
        <f>ROUND(N931*X$2,0)</f>
        <v>2427</v>
      </c>
      <c r="Q931" s="633"/>
      <c r="V931" s="115"/>
    </row>
    <row r="932" spans="4:22" ht="12.75" customHeight="1" thickBot="1" x14ac:dyDescent="0.3">
      <c r="D932" s="143"/>
      <c r="E932" s="115" t="s">
        <v>1612</v>
      </c>
      <c r="F932" s="115"/>
      <c r="I932" s="114"/>
      <c r="J932" s="1744">
        <v>2164</v>
      </c>
      <c r="K932" s="1744">
        <v>2220</v>
      </c>
      <c r="L932" s="1744">
        <f>+L931</f>
        <v>2267</v>
      </c>
      <c r="M932" s="1744">
        <f>+M931</f>
        <v>2319</v>
      </c>
      <c r="N932" s="1744">
        <f>+N931</f>
        <v>2372</v>
      </c>
      <c r="O932" s="1744">
        <f>+O931</f>
        <v>2427</v>
      </c>
      <c r="Q932" s="633"/>
      <c r="V932" s="115"/>
    </row>
    <row r="933" spans="4:22" ht="12.75" customHeight="1" thickTop="1" x14ac:dyDescent="0.25">
      <c r="D933" s="143"/>
      <c r="E933" s="115"/>
      <c r="F933" s="115"/>
      <c r="I933" s="114"/>
      <c r="J933" s="114"/>
      <c r="K933" s="114"/>
      <c r="L933" s="114"/>
      <c r="M933" s="114"/>
      <c r="N933" s="114"/>
      <c r="O933" s="114"/>
      <c r="Q933" s="633"/>
      <c r="V933" s="115"/>
    </row>
    <row r="934" spans="4:22" ht="12.75" customHeight="1" x14ac:dyDescent="0.25">
      <c r="D934" s="143">
        <v>43812</v>
      </c>
      <c r="E934" s="115" t="s">
        <v>3663</v>
      </c>
      <c r="F934" s="115"/>
      <c r="I934" s="114"/>
      <c r="Q934" s="633"/>
      <c r="V934" s="115"/>
    </row>
    <row r="935" spans="4:22" ht="12.75" customHeight="1" x14ac:dyDescent="0.25">
      <c r="D935" s="384"/>
      <c r="E935" s="308" t="s">
        <v>3657</v>
      </c>
      <c r="F935" s="115"/>
      <c r="I935" s="114"/>
      <c r="J935" s="114">
        <v>7789</v>
      </c>
      <c r="K935" s="114">
        <v>7992</v>
      </c>
      <c r="L935" s="114">
        <f t="shared" ref="L935:O939" si="263">ROUND(K935*U$2,0)</f>
        <v>8160</v>
      </c>
      <c r="M935" s="114">
        <f t="shared" si="263"/>
        <v>8348</v>
      </c>
      <c r="N935" s="114">
        <f t="shared" si="263"/>
        <v>8540</v>
      </c>
      <c r="O935" s="114">
        <f t="shared" si="263"/>
        <v>8736</v>
      </c>
      <c r="Q935" s="633"/>
      <c r="V935" s="115"/>
    </row>
    <row r="936" spans="4:22" ht="12.75" customHeight="1" x14ac:dyDescent="0.25">
      <c r="D936" s="384"/>
      <c r="E936" s="308" t="s">
        <v>3658</v>
      </c>
      <c r="F936" s="115"/>
      <c r="I936" s="114"/>
      <c r="J936" s="114">
        <v>540</v>
      </c>
      <c r="K936" s="114">
        <v>554</v>
      </c>
      <c r="L936" s="114">
        <f t="shared" si="263"/>
        <v>566</v>
      </c>
      <c r="M936" s="114">
        <f t="shared" si="263"/>
        <v>579</v>
      </c>
      <c r="N936" s="114">
        <f t="shared" si="263"/>
        <v>592</v>
      </c>
      <c r="O936" s="114">
        <f t="shared" si="263"/>
        <v>606</v>
      </c>
      <c r="Q936" s="633"/>
      <c r="V936" s="115"/>
    </row>
    <row r="937" spans="4:22" ht="12.75" customHeight="1" x14ac:dyDescent="0.25">
      <c r="D937" s="384"/>
      <c r="E937" s="308" t="s">
        <v>3659</v>
      </c>
      <c r="F937" s="115"/>
      <c r="I937" s="114"/>
      <c r="J937" s="114">
        <v>382</v>
      </c>
      <c r="K937" s="114">
        <v>392</v>
      </c>
      <c r="L937" s="114">
        <f t="shared" si="263"/>
        <v>400</v>
      </c>
      <c r="M937" s="114">
        <f t="shared" si="263"/>
        <v>409</v>
      </c>
      <c r="N937" s="114">
        <f t="shared" si="263"/>
        <v>418</v>
      </c>
      <c r="O937" s="114">
        <f t="shared" si="263"/>
        <v>428</v>
      </c>
      <c r="Q937" s="633"/>
      <c r="V937" s="115"/>
    </row>
    <row r="938" spans="4:22" ht="12.75" customHeight="1" x14ac:dyDescent="0.25">
      <c r="D938" s="384"/>
      <c r="E938" s="308" t="s">
        <v>1869</v>
      </c>
      <c r="F938" s="115"/>
      <c r="I938" s="114"/>
      <c r="J938" s="114">
        <v>421</v>
      </c>
      <c r="K938" s="114">
        <v>432</v>
      </c>
      <c r="L938" s="114">
        <f t="shared" si="263"/>
        <v>441</v>
      </c>
      <c r="M938" s="114">
        <f t="shared" si="263"/>
        <v>451</v>
      </c>
      <c r="N938" s="114">
        <f t="shared" si="263"/>
        <v>461</v>
      </c>
      <c r="O938" s="114">
        <f t="shared" si="263"/>
        <v>472</v>
      </c>
      <c r="Q938" s="633"/>
      <c r="V938" s="115"/>
    </row>
    <row r="939" spans="4:22" ht="12.75" customHeight="1" x14ac:dyDescent="0.25">
      <c r="D939" s="384"/>
      <c r="E939" s="308" t="s">
        <v>3660</v>
      </c>
      <c r="F939" s="115"/>
      <c r="I939" s="114"/>
      <c r="J939" s="114">
        <v>2334</v>
      </c>
      <c r="K939" s="114">
        <v>2395</v>
      </c>
      <c r="L939" s="114">
        <f t="shared" si="263"/>
        <v>2445</v>
      </c>
      <c r="M939" s="114">
        <f t="shared" si="263"/>
        <v>2501</v>
      </c>
      <c r="N939" s="114">
        <f t="shared" si="263"/>
        <v>2559</v>
      </c>
      <c r="O939" s="114">
        <f t="shared" si="263"/>
        <v>2618</v>
      </c>
      <c r="Q939" s="633"/>
      <c r="V939" s="115"/>
    </row>
    <row r="940" spans="4:22" ht="12.75" customHeight="1" thickBot="1" x14ac:dyDescent="0.3">
      <c r="D940" s="143"/>
      <c r="E940" s="115" t="str">
        <f>"Totaal "&amp;D934</f>
        <v>Totaal 43812</v>
      </c>
      <c r="F940" s="115"/>
      <c r="I940" s="114"/>
      <c r="J940" s="1744">
        <v>11466</v>
      </c>
      <c r="K940" s="1744">
        <v>11765</v>
      </c>
      <c r="L940" s="1744">
        <f>SUM(L935:L939)</f>
        <v>12012</v>
      </c>
      <c r="M940" s="1744">
        <f>SUM(M935:M939)</f>
        <v>12288</v>
      </c>
      <c r="N940" s="1744">
        <f>SUM(N935:N939)</f>
        <v>12570</v>
      </c>
      <c r="O940" s="1744">
        <f>SUM(O935:O939)</f>
        <v>12860</v>
      </c>
      <c r="Q940" s="633"/>
      <c r="V940" s="115"/>
    </row>
    <row r="941" spans="4:22" ht="12.75" customHeight="1" thickTop="1" x14ac:dyDescent="0.25">
      <c r="D941" s="143"/>
      <c r="E941" s="115"/>
      <c r="F941" s="115"/>
      <c r="I941" s="114"/>
      <c r="J941" s="114"/>
      <c r="K941" s="114"/>
      <c r="L941" s="114"/>
      <c r="M941" s="114"/>
      <c r="N941" s="114"/>
      <c r="O941" s="114"/>
      <c r="Q941" s="633"/>
      <c r="V941" s="115"/>
    </row>
    <row r="942" spans="4:22" ht="12.75" customHeight="1" x14ac:dyDescent="0.25">
      <c r="D942" s="143">
        <v>47201</v>
      </c>
      <c r="E942" s="115" t="s">
        <v>3664</v>
      </c>
      <c r="F942" s="115"/>
      <c r="I942" s="114"/>
      <c r="J942" s="114"/>
      <c r="K942" s="114"/>
      <c r="L942" s="114"/>
      <c r="M942" s="114"/>
      <c r="N942" s="114"/>
      <c r="O942" s="114"/>
      <c r="Q942" s="633"/>
      <c r="V942" s="115"/>
    </row>
    <row r="943" spans="4:22" ht="12.75" customHeight="1" x14ac:dyDescent="0.25">
      <c r="D943" s="143"/>
      <c r="I943" s="114"/>
      <c r="J943" s="114"/>
      <c r="K943" s="114"/>
      <c r="L943" s="114"/>
      <c r="M943" s="114"/>
      <c r="N943" s="114"/>
      <c r="O943" s="114"/>
      <c r="Q943" s="633"/>
      <c r="V943" s="115"/>
    </row>
    <row r="944" spans="4:22" ht="12.75" customHeight="1" x14ac:dyDescent="0.25">
      <c r="D944" s="393">
        <v>630018</v>
      </c>
      <c r="E944" s="381" t="s">
        <v>3667</v>
      </c>
      <c r="F944" s="382"/>
      <c r="I944" s="114"/>
      <c r="J944" s="407">
        <v>2025</v>
      </c>
      <c r="K944" s="407">
        <v>2026</v>
      </c>
      <c r="L944" s="407">
        <v>2027</v>
      </c>
      <c r="M944" s="407">
        <v>2028</v>
      </c>
      <c r="N944" s="407">
        <v>2029</v>
      </c>
      <c r="O944" s="407">
        <v>2030</v>
      </c>
      <c r="Q944" s="633"/>
      <c r="V944" s="115"/>
    </row>
    <row r="945" spans="4:22" ht="12.75" customHeight="1" x14ac:dyDescent="0.25">
      <c r="D945" s="393"/>
      <c r="E945" s="383" t="s">
        <v>533</v>
      </c>
      <c r="F945" s="382"/>
      <c r="I945" s="114"/>
      <c r="J945" s="486"/>
      <c r="K945" s="486"/>
      <c r="L945" s="486"/>
      <c r="M945" s="486"/>
      <c r="N945" s="486"/>
      <c r="O945" s="486"/>
      <c r="Q945" s="633"/>
      <c r="V945" s="115"/>
    </row>
    <row r="946" spans="4:22" ht="12.75" customHeight="1" x14ac:dyDescent="0.25">
      <c r="D946" s="393"/>
      <c r="E946" s="114" t="s">
        <v>3668</v>
      </c>
      <c r="F946" s="382"/>
      <c r="I946" s="114"/>
      <c r="J946" s="486"/>
      <c r="K946" s="486"/>
      <c r="L946" s="486"/>
      <c r="M946" s="486"/>
      <c r="N946" s="486"/>
      <c r="O946" s="486"/>
      <c r="Q946" s="633"/>
      <c r="V946" s="115"/>
    </row>
    <row r="947" spans="4:22" ht="12.75" customHeight="1" x14ac:dyDescent="0.25">
      <c r="D947" s="115"/>
      <c r="E947" s="115"/>
      <c r="F947" s="400"/>
      <c r="I947" s="114"/>
      <c r="J947" s="114"/>
      <c r="K947" s="114"/>
      <c r="L947" s="114"/>
      <c r="M947" s="114"/>
      <c r="N947" s="114"/>
      <c r="O947" s="114"/>
      <c r="Q947" s="633"/>
      <c r="V947" s="115"/>
    </row>
    <row r="948" spans="4:22" ht="12.75" customHeight="1" x14ac:dyDescent="0.25">
      <c r="D948" s="143">
        <v>43511</v>
      </c>
      <c r="E948" s="115" t="s">
        <v>3636</v>
      </c>
      <c r="I948" s="114"/>
      <c r="J948" s="114">
        <v>296</v>
      </c>
      <c r="K948" s="114">
        <v>302</v>
      </c>
      <c r="L948" s="114">
        <f>ROUND(K948*U$3,0)</f>
        <v>315</v>
      </c>
      <c r="M948" s="114">
        <f>ROUND(L948*V$3,0)</f>
        <v>327</v>
      </c>
      <c r="N948" s="114">
        <f>ROUND(M948*W$3,0)</f>
        <v>339</v>
      </c>
      <c r="O948" s="114">
        <f>ROUND(N948*X$3,0)</f>
        <v>352</v>
      </c>
      <c r="Q948" s="633"/>
      <c r="V948" s="115"/>
    </row>
    <row r="949" spans="4:22" ht="12.75" customHeight="1" thickBot="1" x14ac:dyDescent="0.3">
      <c r="D949" s="143"/>
      <c r="E949" s="115" t="str">
        <f>"Totaal "&amp;D948</f>
        <v>Totaal 43511</v>
      </c>
      <c r="I949" s="114"/>
      <c r="J949" s="1744">
        <v>296</v>
      </c>
      <c r="K949" s="1744">
        <v>302</v>
      </c>
      <c r="L949" s="1744">
        <f>SUM(L948:L948)</f>
        <v>315</v>
      </c>
      <c r="M949" s="1744">
        <f>SUM(M948:M948)</f>
        <v>327</v>
      </c>
      <c r="N949" s="1744">
        <f>SUM(N948:N948)</f>
        <v>339</v>
      </c>
      <c r="O949" s="1744">
        <f>SUM(O948:O948)</f>
        <v>352</v>
      </c>
      <c r="Q949" s="633"/>
      <c r="V949" s="115"/>
    </row>
    <row r="950" spans="4:22" ht="12.75" customHeight="1" thickTop="1" x14ac:dyDescent="0.25">
      <c r="D950" s="143"/>
      <c r="E950" s="115"/>
      <c r="I950" s="114"/>
      <c r="J950" s="114"/>
      <c r="K950" s="114"/>
      <c r="L950" s="114"/>
      <c r="M950" s="114"/>
      <c r="N950" s="114"/>
      <c r="O950" s="114"/>
      <c r="Q950" s="633"/>
      <c r="V950" s="115"/>
    </row>
    <row r="951" spans="4:22" ht="12.75" customHeight="1" x14ac:dyDescent="0.25">
      <c r="D951" s="143">
        <v>43802</v>
      </c>
      <c r="E951" s="115" t="s">
        <v>3479</v>
      </c>
      <c r="I951" s="114"/>
      <c r="J951" s="114">
        <v>2369</v>
      </c>
      <c r="K951" s="114">
        <v>2431</v>
      </c>
      <c r="L951" s="114">
        <f>ROUND(K951*U$2,0)</f>
        <v>2482</v>
      </c>
      <c r="M951" s="114">
        <f>ROUND(L951*V$2,0)</f>
        <v>2539</v>
      </c>
      <c r="N951" s="114">
        <f>ROUND(M951*W$2,0)</f>
        <v>2597</v>
      </c>
      <c r="O951" s="114">
        <f>ROUND(N951*X$2,0)</f>
        <v>2657</v>
      </c>
      <c r="Q951" s="633"/>
      <c r="V951" s="115"/>
    </row>
    <row r="952" spans="4:22" ht="12.75" customHeight="1" thickBot="1" x14ac:dyDescent="0.3">
      <c r="D952" s="143"/>
      <c r="E952" s="115" t="s">
        <v>1612</v>
      </c>
      <c r="I952" s="114"/>
      <c r="J952" s="1744">
        <v>2369</v>
      </c>
      <c r="K952" s="1744">
        <v>2431</v>
      </c>
      <c r="L952" s="1744">
        <f>+L951</f>
        <v>2482</v>
      </c>
      <c r="M952" s="1744">
        <f>+M951</f>
        <v>2539</v>
      </c>
      <c r="N952" s="1744">
        <f>+N951</f>
        <v>2597</v>
      </c>
      <c r="O952" s="1744">
        <f>+O951</f>
        <v>2657</v>
      </c>
      <c r="Q952" s="633"/>
      <c r="V952" s="115"/>
    </row>
    <row r="953" spans="4:22" ht="12.75" customHeight="1" thickTop="1" x14ac:dyDescent="0.25">
      <c r="D953" s="143"/>
      <c r="E953" s="115"/>
      <c r="I953" s="114"/>
      <c r="J953" s="114"/>
      <c r="K953" s="114"/>
      <c r="L953" s="114"/>
      <c r="M953" s="114"/>
      <c r="N953" s="114"/>
      <c r="O953" s="114"/>
      <c r="Q953" s="633"/>
      <c r="V953" s="115"/>
    </row>
    <row r="954" spans="4:22" ht="12.75" customHeight="1" x14ac:dyDescent="0.25">
      <c r="D954" s="143">
        <v>43812</v>
      </c>
      <c r="E954" s="115" t="s">
        <v>3663</v>
      </c>
      <c r="I954" s="114"/>
      <c r="J954" s="396"/>
      <c r="K954" s="396"/>
      <c r="L954" s="396"/>
      <c r="M954" s="396"/>
      <c r="N954" s="396"/>
      <c r="O954" s="396"/>
      <c r="Q954" s="633"/>
      <c r="V954" s="115"/>
    </row>
    <row r="955" spans="4:22" ht="12.75" customHeight="1" x14ac:dyDescent="0.25">
      <c r="D955" s="384"/>
      <c r="E955" s="308" t="s">
        <v>3657</v>
      </c>
      <c r="F955" s="384"/>
      <c r="I955" s="114"/>
      <c r="J955" s="114">
        <v>10278</v>
      </c>
      <c r="K955" s="114">
        <v>10545</v>
      </c>
      <c r="L955" s="114">
        <f t="shared" ref="L955:O960" si="264">ROUND(K955*U$2,0)</f>
        <v>10766</v>
      </c>
      <c r="M955" s="114">
        <f t="shared" si="264"/>
        <v>11014</v>
      </c>
      <c r="N955" s="114">
        <f t="shared" si="264"/>
        <v>11267</v>
      </c>
      <c r="O955" s="114">
        <f t="shared" si="264"/>
        <v>11526</v>
      </c>
      <c r="Q955" s="633"/>
      <c r="V955" s="115"/>
    </row>
    <row r="956" spans="4:22" ht="12.75" customHeight="1" x14ac:dyDescent="0.25">
      <c r="D956" s="384"/>
      <c r="E956" s="308" t="s">
        <v>3658</v>
      </c>
      <c r="F956" s="384"/>
      <c r="I956" s="114"/>
      <c r="J956" s="114">
        <v>575</v>
      </c>
      <c r="K956" s="114">
        <v>590</v>
      </c>
      <c r="L956" s="114">
        <f t="shared" si="264"/>
        <v>602</v>
      </c>
      <c r="M956" s="114">
        <f t="shared" si="264"/>
        <v>616</v>
      </c>
      <c r="N956" s="114">
        <f t="shared" si="264"/>
        <v>630</v>
      </c>
      <c r="O956" s="114">
        <f t="shared" si="264"/>
        <v>644</v>
      </c>
      <c r="Q956" s="633"/>
      <c r="V956" s="115"/>
    </row>
    <row r="957" spans="4:22" ht="12.75" customHeight="1" x14ac:dyDescent="0.25">
      <c r="D957" s="384"/>
      <c r="E957" s="308" t="s">
        <v>3640</v>
      </c>
      <c r="F957" s="384"/>
      <c r="I957" s="114"/>
      <c r="J957" s="114">
        <v>382</v>
      </c>
      <c r="K957" s="114">
        <v>392</v>
      </c>
      <c r="L957" s="114">
        <f t="shared" si="264"/>
        <v>400</v>
      </c>
      <c r="M957" s="114">
        <f t="shared" si="264"/>
        <v>409</v>
      </c>
      <c r="N957" s="114">
        <f t="shared" si="264"/>
        <v>418</v>
      </c>
      <c r="O957" s="114">
        <f t="shared" si="264"/>
        <v>428</v>
      </c>
      <c r="Q957" s="633"/>
      <c r="V957" s="115"/>
    </row>
    <row r="958" spans="4:22" ht="12.75" customHeight="1" x14ac:dyDescent="0.25">
      <c r="D958" s="384"/>
      <c r="E958" s="308" t="s">
        <v>3659</v>
      </c>
      <c r="F958" s="384"/>
      <c r="I958" s="114"/>
      <c r="J958" s="114">
        <v>382</v>
      </c>
      <c r="K958" s="114">
        <v>392</v>
      </c>
      <c r="L958" s="114">
        <f t="shared" si="264"/>
        <v>400</v>
      </c>
      <c r="M958" s="114">
        <f t="shared" si="264"/>
        <v>409</v>
      </c>
      <c r="N958" s="114">
        <f t="shared" si="264"/>
        <v>418</v>
      </c>
      <c r="O958" s="114">
        <f t="shared" si="264"/>
        <v>428</v>
      </c>
      <c r="Q958" s="633"/>
      <c r="V958" s="115"/>
    </row>
    <row r="959" spans="4:22" ht="12.75" customHeight="1" x14ac:dyDescent="0.25">
      <c r="D959" s="384"/>
      <c r="E959" s="308" t="s">
        <v>1869</v>
      </c>
      <c r="F959" s="384"/>
      <c r="I959" s="114"/>
      <c r="J959" s="114">
        <v>376</v>
      </c>
      <c r="K959" s="114">
        <v>386</v>
      </c>
      <c r="L959" s="114">
        <f t="shared" si="264"/>
        <v>394</v>
      </c>
      <c r="M959" s="114">
        <f t="shared" si="264"/>
        <v>403</v>
      </c>
      <c r="N959" s="114">
        <f t="shared" si="264"/>
        <v>412</v>
      </c>
      <c r="O959" s="114">
        <f t="shared" si="264"/>
        <v>421</v>
      </c>
      <c r="Q959" s="633"/>
      <c r="V959" s="115"/>
    </row>
    <row r="960" spans="4:22" ht="12.75" customHeight="1" x14ac:dyDescent="0.25">
      <c r="D960" s="384"/>
      <c r="E960" s="308" t="s">
        <v>3660</v>
      </c>
      <c r="F960" s="384"/>
      <c r="I960" s="114"/>
      <c r="J960" s="114">
        <v>2824</v>
      </c>
      <c r="K960" s="114">
        <v>2897</v>
      </c>
      <c r="L960" s="114">
        <f t="shared" si="264"/>
        <v>2958</v>
      </c>
      <c r="M960" s="114">
        <f t="shared" si="264"/>
        <v>3026</v>
      </c>
      <c r="N960" s="114">
        <f t="shared" si="264"/>
        <v>3096</v>
      </c>
      <c r="O960" s="114">
        <f t="shared" si="264"/>
        <v>3167</v>
      </c>
      <c r="Q960" s="633"/>
      <c r="V960" s="115"/>
    </row>
    <row r="961" spans="4:22" ht="12.75" customHeight="1" thickBot="1" x14ac:dyDescent="0.3">
      <c r="D961" s="143"/>
      <c r="E961" s="115" t="str">
        <f>"Totaal "&amp;D954</f>
        <v>Totaal 43812</v>
      </c>
      <c r="I961" s="114"/>
      <c r="J961" s="1744">
        <v>14817</v>
      </c>
      <c r="K961" s="1744">
        <v>15202</v>
      </c>
      <c r="L961" s="1744">
        <f>SUM(L955:L960)</f>
        <v>15520</v>
      </c>
      <c r="M961" s="1744">
        <f>SUM(M955:M960)</f>
        <v>15877</v>
      </c>
      <c r="N961" s="1744">
        <f>SUM(N955:N960)</f>
        <v>16241</v>
      </c>
      <c r="O961" s="1744">
        <f>SUM(O955:O960)</f>
        <v>16614</v>
      </c>
      <c r="Q961" s="633"/>
      <c r="V961" s="115"/>
    </row>
    <row r="962" spans="4:22" ht="12.75" customHeight="1" thickTop="1" x14ac:dyDescent="0.25">
      <c r="D962" s="384"/>
      <c r="E962" s="115"/>
      <c r="F962" s="384"/>
      <c r="I962" s="114"/>
      <c r="J962" s="114"/>
      <c r="K962" s="114"/>
      <c r="L962" s="114"/>
      <c r="M962" s="114"/>
      <c r="N962" s="114"/>
      <c r="O962" s="114"/>
      <c r="Q962" s="633"/>
      <c r="V962" s="115"/>
    </row>
    <row r="963" spans="4:22" ht="12.75" customHeight="1" x14ac:dyDescent="0.25">
      <c r="D963" s="143">
        <v>47201</v>
      </c>
      <c r="E963" s="115" t="s">
        <v>3664</v>
      </c>
      <c r="I963" s="114"/>
      <c r="J963" s="114"/>
      <c r="K963" s="114"/>
      <c r="L963" s="114"/>
      <c r="M963" s="114"/>
      <c r="N963" s="114"/>
      <c r="O963" s="114"/>
      <c r="Q963" s="633"/>
      <c r="V963" s="115"/>
    </row>
    <row r="964" spans="4:22" ht="12.75" customHeight="1" x14ac:dyDescent="0.25">
      <c r="D964" s="143"/>
      <c r="E964" s="115"/>
      <c r="I964" s="114"/>
      <c r="J964" s="114"/>
      <c r="K964" s="114"/>
      <c r="L964" s="114"/>
      <c r="M964" s="114"/>
      <c r="N964" s="114"/>
      <c r="O964" s="114"/>
      <c r="Q964" s="633"/>
      <c r="V964" s="115"/>
    </row>
    <row r="965" spans="4:22" ht="12.75" customHeight="1" x14ac:dyDescent="0.25">
      <c r="D965" s="393">
        <v>630019</v>
      </c>
      <c r="E965" s="381" t="s">
        <v>3669</v>
      </c>
      <c r="F965" s="382"/>
      <c r="I965" s="114"/>
      <c r="J965" s="407">
        <v>2025</v>
      </c>
      <c r="K965" s="407">
        <v>2026</v>
      </c>
      <c r="L965" s="407">
        <v>2027</v>
      </c>
      <c r="M965" s="407">
        <v>2028</v>
      </c>
      <c r="N965" s="407">
        <v>2029</v>
      </c>
      <c r="O965" s="407">
        <v>2030</v>
      </c>
      <c r="Q965" s="633"/>
      <c r="V965" s="115"/>
    </row>
    <row r="966" spans="4:22" ht="12.75" customHeight="1" x14ac:dyDescent="0.25">
      <c r="D966" s="393"/>
      <c r="E966" s="383" t="s">
        <v>533</v>
      </c>
      <c r="F966" s="382"/>
      <c r="I966" s="114"/>
      <c r="J966" s="486"/>
      <c r="K966" s="486"/>
      <c r="L966" s="486"/>
      <c r="M966" s="486"/>
      <c r="N966" s="486"/>
      <c r="O966" s="486"/>
      <c r="Q966" s="633"/>
      <c r="V966" s="115"/>
    </row>
    <row r="967" spans="4:22" ht="12.75" customHeight="1" x14ac:dyDescent="0.25">
      <c r="D967" s="393"/>
      <c r="E967" s="114" t="s">
        <v>3670</v>
      </c>
      <c r="F967" s="382"/>
      <c r="I967" s="114"/>
      <c r="J967" s="486"/>
      <c r="K967" s="486"/>
      <c r="L967" s="486"/>
      <c r="M967" s="486"/>
      <c r="N967" s="486"/>
      <c r="O967" s="486"/>
      <c r="Q967" s="633"/>
      <c r="V967" s="115"/>
    </row>
    <row r="968" spans="4:22" ht="12.75" customHeight="1" x14ac:dyDescent="0.25">
      <c r="D968" s="393"/>
      <c r="E968" s="410"/>
      <c r="F968" s="382"/>
      <c r="I968" s="114"/>
      <c r="J968" s="531"/>
      <c r="K968" s="531"/>
      <c r="L968" s="531"/>
      <c r="M968" s="531"/>
      <c r="N968" s="531"/>
      <c r="O968" s="531"/>
      <c r="Q968" s="633"/>
      <c r="V968" s="115"/>
    </row>
    <row r="969" spans="4:22" ht="12.75" customHeight="1" x14ac:dyDescent="0.25">
      <c r="D969" s="143">
        <v>43818</v>
      </c>
      <c r="E969" s="115" t="s">
        <v>3671</v>
      </c>
      <c r="I969" s="114"/>
      <c r="Q969" s="633"/>
      <c r="V969" s="115"/>
    </row>
    <row r="970" spans="4:22" ht="12.75" customHeight="1" x14ac:dyDescent="0.25">
      <c r="D970" s="143"/>
      <c r="E970" s="115"/>
      <c r="I970" s="114"/>
      <c r="Q970" s="633"/>
      <c r="V970" s="115"/>
    </row>
    <row r="971" spans="4:22" ht="12.75" customHeight="1" x14ac:dyDescent="0.25">
      <c r="D971" s="143">
        <v>43812</v>
      </c>
      <c r="E971" s="115" t="s">
        <v>1702</v>
      </c>
      <c r="I971" s="114"/>
      <c r="Q971" s="633"/>
      <c r="V971" s="115"/>
    </row>
    <row r="972" spans="4:22" ht="12.75" customHeight="1" x14ac:dyDescent="0.25">
      <c r="E972" s="308" t="s">
        <v>3660</v>
      </c>
      <c r="I972" s="114"/>
      <c r="J972" s="114">
        <v>29</v>
      </c>
      <c r="K972" s="114">
        <v>30</v>
      </c>
      <c r="L972" s="114">
        <f t="shared" ref="L972:O973" si="265">ROUND(K972*U$2,0)</f>
        <v>31</v>
      </c>
      <c r="M972" s="114">
        <f t="shared" si="265"/>
        <v>32</v>
      </c>
      <c r="N972" s="114">
        <f t="shared" si="265"/>
        <v>33</v>
      </c>
      <c r="O972" s="114">
        <f t="shared" si="265"/>
        <v>34</v>
      </c>
      <c r="Q972" s="633"/>
      <c r="V972" s="115"/>
    </row>
    <row r="973" spans="4:22" ht="12.75" customHeight="1" x14ac:dyDescent="0.25">
      <c r="E973" s="308" t="s">
        <v>3640</v>
      </c>
      <c r="I973" s="114"/>
      <c r="J973" s="114">
        <v>29</v>
      </c>
      <c r="K973" s="114">
        <v>30</v>
      </c>
      <c r="L973" s="114">
        <f t="shared" si="265"/>
        <v>31</v>
      </c>
      <c r="M973" s="114">
        <f t="shared" si="265"/>
        <v>32</v>
      </c>
      <c r="N973" s="114">
        <f t="shared" si="265"/>
        <v>33</v>
      </c>
      <c r="O973" s="114">
        <f t="shared" si="265"/>
        <v>34</v>
      </c>
      <c r="Q973" s="633"/>
      <c r="V973" s="115"/>
    </row>
    <row r="974" spans="4:22" ht="12.75" customHeight="1" thickBot="1" x14ac:dyDescent="0.3">
      <c r="D974" s="143"/>
      <c r="E974" s="115" t="str">
        <f>"Totaal "&amp;D971</f>
        <v>Totaal 43812</v>
      </c>
      <c r="I974" s="114"/>
      <c r="J974" s="1901">
        <v>58</v>
      </c>
      <c r="K974" s="1901">
        <v>60</v>
      </c>
      <c r="L974" s="1901">
        <f>SUM(L972:L973)</f>
        <v>62</v>
      </c>
      <c r="M974" s="1901">
        <f>SUM(M972:M973)</f>
        <v>64</v>
      </c>
      <c r="N974" s="1901">
        <f>SUM(N972:N973)</f>
        <v>66</v>
      </c>
      <c r="O974" s="1901">
        <f>SUM(O972:O973)</f>
        <v>68</v>
      </c>
      <c r="Q974" s="633"/>
      <c r="V974" s="115"/>
    </row>
    <row r="975" spans="4:22" ht="12.75" customHeight="1" thickTop="1" x14ac:dyDescent="0.25">
      <c r="Q975" s="633"/>
      <c r="V975" s="115"/>
    </row>
    <row r="976" spans="4:22" ht="12.75" customHeight="1" x14ac:dyDescent="0.25">
      <c r="D976" s="143"/>
      <c r="I976" s="114"/>
      <c r="J976" s="114"/>
      <c r="K976" s="114"/>
      <c r="L976" s="114"/>
      <c r="M976" s="114"/>
      <c r="N976" s="114"/>
      <c r="O976" s="114"/>
      <c r="Q976" s="633"/>
      <c r="V976" s="115"/>
    </row>
    <row r="977" spans="4:22" ht="12.75" customHeight="1" x14ac:dyDescent="0.25">
      <c r="D977" s="143"/>
      <c r="I977" s="114"/>
      <c r="J977" s="114"/>
      <c r="K977" s="114"/>
      <c r="L977" s="114"/>
      <c r="M977" s="114"/>
      <c r="N977" s="114"/>
      <c r="O977" s="114"/>
      <c r="Q977" s="633"/>
      <c r="V977" s="115"/>
    </row>
    <row r="978" spans="4:22" ht="12.75" customHeight="1" x14ac:dyDescent="0.25">
      <c r="D978" s="393">
        <v>630026</v>
      </c>
      <c r="E978" s="312" t="s">
        <v>3672</v>
      </c>
      <c r="F978" s="382"/>
      <c r="I978" s="114"/>
      <c r="J978" s="407">
        <v>2025</v>
      </c>
      <c r="K978" s="407">
        <v>2026</v>
      </c>
      <c r="L978" s="407">
        <v>2027</v>
      </c>
      <c r="M978" s="407">
        <v>2028</v>
      </c>
      <c r="N978" s="407">
        <v>2029</v>
      </c>
      <c r="O978" s="407">
        <v>2030</v>
      </c>
      <c r="Q978" s="633"/>
      <c r="V978" s="115"/>
    </row>
    <row r="979" spans="4:22" ht="12.75" customHeight="1" x14ac:dyDescent="0.25">
      <c r="D979" s="143"/>
      <c r="E979" s="396" t="s">
        <v>3673</v>
      </c>
      <c r="I979" s="114"/>
      <c r="J979" s="114"/>
      <c r="K979" s="114"/>
      <c r="L979" s="114"/>
      <c r="M979" s="114"/>
      <c r="N979" s="114"/>
      <c r="O979" s="114"/>
      <c r="Q979" s="633"/>
      <c r="V979" s="115"/>
    </row>
    <row r="980" spans="4:22" ht="12.75" customHeight="1" x14ac:dyDescent="0.25">
      <c r="D980" s="143">
        <v>43812</v>
      </c>
      <c r="E980" s="301" t="s">
        <v>3674</v>
      </c>
      <c r="I980" s="114"/>
      <c r="J980" s="114"/>
      <c r="K980" s="114"/>
      <c r="L980" s="114"/>
      <c r="M980" s="114">
        <v>15000</v>
      </c>
      <c r="N980" s="114">
        <v>30000</v>
      </c>
      <c r="O980" s="544">
        <v>0</v>
      </c>
      <c r="Q980" s="633"/>
      <c r="V980" s="115"/>
    </row>
    <row r="981" spans="4:22" ht="12.75" customHeight="1" thickBot="1" x14ac:dyDescent="0.3">
      <c r="D981" s="143"/>
      <c r="E981" s="301"/>
      <c r="I981" s="114"/>
      <c r="J981" s="1744">
        <v>0</v>
      </c>
      <c r="K981" s="1744">
        <v>0</v>
      </c>
      <c r="L981" s="1744">
        <f t="shared" ref="L981:M981" si="266">SUM(L979:L980)</f>
        <v>0</v>
      </c>
      <c r="M981" s="1744">
        <f t="shared" si="266"/>
        <v>15000</v>
      </c>
      <c r="N981" s="1744">
        <f t="shared" ref="N981:O981" si="267">SUM(N979:N980)</f>
        <v>30000</v>
      </c>
      <c r="O981" s="1744">
        <f t="shared" si="267"/>
        <v>0</v>
      </c>
      <c r="Q981" s="633"/>
      <c r="V981" s="115"/>
    </row>
    <row r="982" spans="4:22" ht="12.75" customHeight="1" thickTop="1" x14ac:dyDescent="0.25">
      <c r="D982" s="143"/>
      <c r="E982" s="301"/>
      <c r="I982" s="114"/>
      <c r="J982" s="114"/>
      <c r="K982" s="114"/>
      <c r="L982" s="114"/>
      <c r="M982" s="114"/>
      <c r="N982" s="114"/>
      <c r="O982" s="114"/>
      <c r="Q982" s="633"/>
      <c r="V982" s="115"/>
    </row>
    <row r="983" spans="4:22" ht="12.75" customHeight="1" x14ac:dyDescent="0.25">
      <c r="D983" s="143"/>
      <c r="E983" s="301"/>
      <c r="I983" s="114"/>
      <c r="J983" s="114"/>
      <c r="K983" s="114"/>
      <c r="L983" s="114"/>
      <c r="M983" s="114"/>
      <c r="N983" s="114"/>
      <c r="O983" s="114"/>
      <c r="Q983" s="633"/>
      <c r="V983" s="115"/>
    </row>
    <row r="984" spans="4:22" ht="12.75" customHeight="1" x14ac:dyDescent="0.25">
      <c r="D984" s="143"/>
      <c r="E984" s="301"/>
      <c r="I984" s="114"/>
      <c r="J984" s="114"/>
      <c r="K984" s="114"/>
      <c r="L984" s="114"/>
      <c r="M984" s="114"/>
      <c r="N984" s="114"/>
      <c r="O984" s="114"/>
      <c r="Q984" s="633"/>
      <c r="V984" s="115"/>
    </row>
    <row r="985" spans="4:22" ht="12.75" customHeight="1" x14ac:dyDescent="0.25">
      <c r="D985" s="393">
        <v>630013</v>
      </c>
      <c r="E985" s="381" t="s">
        <v>3442</v>
      </c>
      <c r="F985" s="382"/>
      <c r="I985" s="114"/>
      <c r="J985" s="407">
        <v>2025</v>
      </c>
      <c r="K985" s="407">
        <v>2026</v>
      </c>
      <c r="L985" s="407">
        <v>2027</v>
      </c>
      <c r="M985" s="407">
        <v>2028</v>
      </c>
      <c r="N985" s="407">
        <v>2029</v>
      </c>
      <c r="O985" s="407">
        <v>2030</v>
      </c>
      <c r="Q985" s="633"/>
      <c r="V985" s="115"/>
    </row>
    <row r="986" spans="4:22" ht="12.75" customHeight="1" x14ac:dyDescent="0.25">
      <c r="D986" s="393"/>
      <c r="E986" s="397" t="s">
        <v>554</v>
      </c>
      <c r="F986" s="382"/>
      <c r="I986" s="114"/>
      <c r="J986" s="531"/>
      <c r="K986" s="531"/>
      <c r="L986" s="531"/>
      <c r="M986" s="531"/>
      <c r="N986" s="531"/>
      <c r="O986" s="531"/>
      <c r="Q986" s="633"/>
      <c r="V986" s="115"/>
    </row>
    <row r="987" spans="4:22" ht="12.75" customHeight="1" x14ac:dyDescent="0.25">
      <c r="D987" s="393"/>
      <c r="E987" s="114" t="s">
        <v>3634</v>
      </c>
      <c r="F987" s="382"/>
      <c r="I987" s="114"/>
      <c r="J987" s="531"/>
      <c r="K987" s="531"/>
      <c r="L987" s="531"/>
      <c r="M987" s="531"/>
      <c r="N987" s="531"/>
      <c r="O987" s="531"/>
      <c r="Q987" s="633"/>
      <c r="V987" s="115"/>
    </row>
    <row r="988" spans="4:22" ht="12.75" customHeight="1" x14ac:dyDescent="0.25">
      <c r="D988" s="393"/>
      <c r="E988" s="397"/>
      <c r="F988" s="382"/>
      <c r="I988" s="114"/>
      <c r="J988" s="531"/>
      <c r="K988" s="531"/>
      <c r="L988" s="531"/>
      <c r="M988" s="531"/>
      <c r="N988" s="531"/>
      <c r="O988" s="531"/>
      <c r="Q988" s="633"/>
      <c r="V988" s="115"/>
    </row>
    <row r="989" spans="4:22" ht="12.75" customHeight="1" x14ac:dyDescent="0.25">
      <c r="D989" s="143">
        <v>83600</v>
      </c>
      <c r="E989" s="115" t="s">
        <v>3675</v>
      </c>
      <c r="I989" s="114"/>
      <c r="Q989" s="633"/>
      <c r="V989" s="115"/>
    </row>
    <row r="990" spans="4:22" ht="12.75" customHeight="1" x14ac:dyDescent="0.25">
      <c r="F990" s="398">
        <v>1100</v>
      </c>
      <c r="G990" s="115" t="s">
        <v>3502</v>
      </c>
      <c r="H990" s="1088">
        <v>47.38</v>
      </c>
      <c r="J990" s="114">
        <v>-52120</v>
      </c>
      <c r="K990" s="114"/>
      <c r="L990" s="114"/>
      <c r="M990" s="114"/>
      <c r="N990" s="114"/>
      <c r="O990" s="114"/>
      <c r="Q990" s="633"/>
      <c r="V990" s="115"/>
    </row>
    <row r="991" spans="4:22" ht="12.75" customHeight="1" x14ac:dyDescent="0.25">
      <c r="F991" s="398">
        <v>1100</v>
      </c>
      <c r="G991" s="115" t="s">
        <v>3502</v>
      </c>
      <c r="H991" s="1088">
        <f>ROUND(+H990*T$2,2)</f>
        <v>48.61</v>
      </c>
      <c r="J991" s="114"/>
      <c r="K991" s="114">
        <v>-53470</v>
      </c>
      <c r="L991" s="114"/>
      <c r="M991" s="114"/>
      <c r="N991" s="114"/>
      <c r="O991" s="114"/>
      <c r="Q991" s="633"/>
      <c r="V991" s="115"/>
    </row>
    <row r="992" spans="4:22" ht="12.75" customHeight="1" x14ac:dyDescent="0.25">
      <c r="F992" s="398">
        <v>1100</v>
      </c>
      <c r="G992" s="115" t="s">
        <v>3502</v>
      </c>
      <c r="H992" s="1088">
        <f>ROUND(+H991*U$2,2)</f>
        <v>49.63</v>
      </c>
      <c r="J992" s="114"/>
      <c r="K992" s="114"/>
      <c r="L992" s="114">
        <f>-ROUND($F992*$H992,-1)</f>
        <v>-54590</v>
      </c>
      <c r="M992" s="114"/>
      <c r="N992" s="114"/>
      <c r="O992" s="114"/>
      <c r="Q992" s="633"/>
      <c r="V992" s="115"/>
    </row>
    <row r="993" spans="5:22" ht="12.75" customHeight="1" x14ac:dyDescent="0.25">
      <c r="F993" s="398">
        <v>1100</v>
      </c>
      <c r="G993" s="115" t="s">
        <v>3502</v>
      </c>
      <c r="H993" s="1088">
        <f>ROUND(+H992*V$2,2)</f>
        <v>50.77</v>
      </c>
      <c r="J993" s="114"/>
      <c r="K993" s="114"/>
      <c r="L993" s="114"/>
      <c r="M993" s="114">
        <f t="shared" ref="M993:O995" si="268">-ROUND($F993*$H993,-1)</f>
        <v>-55850</v>
      </c>
      <c r="N993" s="114"/>
      <c r="O993" s="114"/>
      <c r="Q993" s="633"/>
      <c r="V993" s="115"/>
    </row>
    <row r="994" spans="5:22" ht="12.75" customHeight="1" x14ac:dyDescent="0.25">
      <c r="F994" s="398">
        <v>1100</v>
      </c>
      <c r="G994" s="115" t="s">
        <v>3502</v>
      </c>
      <c r="H994" s="1088">
        <f>ROUND(+H993*W$2,2)</f>
        <v>51.94</v>
      </c>
      <c r="J994" s="114"/>
      <c r="K994" s="114"/>
      <c r="L994" s="114"/>
      <c r="M994" s="114"/>
      <c r="N994" s="114">
        <f t="shared" si="268"/>
        <v>-57130</v>
      </c>
      <c r="O994" s="114"/>
      <c r="Q994" s="633"/>
      <c r="V994" s="115"/>
    </row>
    <row r="995" spans="5:22" ht="12.75" customHeight="1" x14ac:dyDescent="0.25">
      <c r="F995" s="2063">
        <v>1100</v>
      </c>
      <c r="G995" s="358" t="s">
        <v>3502</v>
      </c>
      <c r="H995" s="2064">
        <f>ROUND(+H994*X$2,2)</f>
        <v>53.13</v>
      </c>
      <c r="J995" s="114"/>
      <c r="K995" s="114"/>
      <c r="L995" s="114"/>
      <c r="M995" s="114"/>
      <c r="N995" s="114"/>
      <c r="O995" s="114">
        <f t="shared" si="268"/>
        <v>-58440</v>
      </c>
      <c r="Q995" s="633"/>
      <c r="V995" s="115"/>
    </row>
    <row r="996" spans="5:22" ht="12.75" customHeight="1" x14ac:dyDescent="0.25">
      <c r="E996" s="398"/>
      <c r="F996" s="115"/>
      <c r="G996" s="1088"/>
      <c r="J996" s="114"/>
      <c r="K996" s="114"/>
      <c r="L996" s="114"/>
      <c r="M996" s="114"/>
      <c r="N996" s="114"/>
      <c r="O996" s="114"/>
      <c r="Q996" s="633"/>
      <c r="V996" s="115"/>
    </row>
    <row r="997" spans="5:22" ht="12.75" customHeight="1" x14ac:dyDescent="0.25">
      <c r="E997" s="114" t="s">
        <v>3676</v>
      </c>
      <c r="F997" s="115"/>
      <c r="G997" s="1088"/>
      <c r="Q997" s="633"/>
      <c r="V997" s="115"/>
    </row>
    <row r="998" spans="5:22" ht="12.75" customHeight="1" x14ac:dyDescent="0.25">
      <c r="F998" s="398">
        <v>700</v>
      </c>
      <c r="G998" s="115" t="s">
        <v>3502</v>
      </c>
      <c r="H998" s="1088">
        <v>14.79</v>
      </c>
      <c r="J998" s="114"/>
      <c r="K998" s="114"/>
      <c r="L998" s="114"/>
      <c r="M998" s="114"/>
      <c r="N998" s="114"/>
      <c r="O998" s="114"/>
      <c r="Q998" s="633"/>
      <c r="V998" s="115"/>
    </row>
    <row r="999" spans="5:22" ht="12.75" customHeight="1" x14ac:dyDescent="0.25">
      <c r="F999" s="398">
        <v>700</v>
      </c>
      <c r="G999" s="115" t="s">
        <v>3502</v>
      </c>
      <c r="H999" s="1088">
        <f>ROUND(+H998*S$2,2)</f>
        <v>15.2</v>
      </c>
      <c r="J999" s="114">
        <v>-10640</v>
      </c>
      <c r="K999" s="114"/>
      <c r="L999" s="114"/>
      <c r="M999" s="114"/>
      <c r="N999" s="114"/>
      <c r="O999" s="114"/>
      <c r="Q999" s="633"/>
      <c r="V999" s="115"/>
    </row>
    <row r="1000" spans="5:22" ht="12.75" customHeight="1" x14ac:dyDescent="0.25">
      <c r="F1000" s="398">
        <v>700</v>
      </c>
      <c r="G1000" s="115" t="s">
        <v>3502</v>
      </c>
      <c r="H1000" s="1088">
        <f>ROUND(+H999*T$2,2)</f>
        <v>15.6</v>
      </c>
      <c r="J1000" s="114"/>
      <c r="K1000" s="114">
        <v>-10920</v>
      </c>
      <c r="L1000" s="114"/>
      <c r="M1000" s="114"/>
      <c r="N1000" s="114"/>
      <c r="O1000" s="114"/>
      <c r="Q1000" s="633"/>
      <c r="V1000" s="115"/>
    </row>
    <row r="1001" spans="5:22" ht="12.75" customHeight="1" x14ac:dyDescent="0.25">
      <c r="F1001" s="398">
        <v>700</v>
      </c>
      <c r="G1001" s="115" t="s">
        <v>3502</v>
      </c>
      <c r="H1001" s="1088">
        <f>ROUND(+H1000*U$2,2)</f>
        <v>15.93</v>
      </c>
      <c r="J1001" s="114"/>
      <c r="K1001" s="114"/>
      <c r="L1001" s="114">
        <f>-ROUND($F1001*$H1001,-1)</f>
        <v>-11150</v>
      </c>
      <c r="M1001" s="114"/>
      <c r="N1001" s="114"/>
      <c r="O1001" s="114"/>
      <c r="Q1001" s="633"/>
      <c r="V1001" s="115"/>
    </row>
    <row r="1002" spans="5:22" ht="12.75" customHeight="1" x14ac:dyDescent="0.25">
      <c r="F1002" s="398">
        <v>700</v>
      </c>
      <c r="G1002" s="115" t="s">
        <v>3502</v>
      </c>
      <c r="H1002" s="1088">
        <f>ROUND(+H1001*V$2,2)</f>
        <v>16.3</v>
      </c>
      <c r="J1002" s="114"/>
      <c r="K1002" s="114"/>
      <c r="L1002" s="114"/>
      <c r="M1002" s="114">
        <f t="shared" ref="M1002:O1004" si="269">-ROUND($F1002*$H1002,-1)</f>
        <v>-11410</v>
      </c>
      <c r="N1002" s="114"/>
      <c r="O1002" s="114"/>
      <c r="Q1002" s="633"/>
      <c r="V1002" s="115"/>
    </row>
    <row r="1003" spans="5:22" ht="12.75" customHeight="1" x14ac:dyDescent="0.25">
      <c r="F1003" s="398">
        <v>700</v>
      </c>
      <c r="G1003" s="115" t="s">
        <v>3502</v>
      </c>
      <c r="H1003" s="1088">
        <f>ROUND(+H1002*W$2,2)</f>
        <v>16.670000000000002</v>
      </c>
      <c r="J1003" s="114"/>
      <c r="K1003" s="114"/>
      <c r="L1003" s="114"/>
      <c r="M1003" s="114"/>
      <c r="N1003" s="114">
        <f t="shared" si="269"/>
        <v>-11670</v>
      </c>
      <c r="O1003" s="114"/>
      <c r="Q1003" s="633"/>
      <c r="V1003" s="115"/>
    </row>
    <row r="1004" spans="5:22" ht="12.75" customHeight="1" x14ac:dyDescent="0.25">
      <c r="F1004" s="2063">
        <v>700</v>
      </c>
      <c r="G1004" s="358" t="s">
        <v>3502</v>
      </c>
      <c r="H1004" s="2064">
        <f>ROUND(+H1003*X$2,2)</f>
        <v>17.05</v>
      </c>
      <c r="J1004" s="114"/>
      <c r="K1004" s="114"/>
      <c r="L1004" s="114"/>
      <c r="M1004" s="114"/>
      <c r="N1004" s="114"/>
      <c r="O1004" s="114">
        <f t="shared" si="269"/>
        <v>-11940</v>
      </c>
      <c r="Q1004" s="633"/>
      <c r="V1004" s="115"/>
    </row>
    <row r="1005" spans="5:22" ht="12.75" customHeight="1" x14ac:dyDescent="0.25">
      <c r="E1005" s="398"/>
      <c r="F1005" s="2111" t="s">
        <v>5301</v>
      </c>
      <c r="G1005" s="1088"/>
      <c r="J1005" s="431"/>
      <c r="K1005" s="431"/>
      <c r="L1005" s="2151">
        <v>-3216</v>
      </c>
      <c r="M1005" s="2151">
        <v>-1153</v>
      </c>
      <c r="N1005" s="2151">
        <v>1134</v>
      </c>
      <c r="O1005" s="431"/>
      <c r="Q1005" s="633"/>
      <c r="V1005" s="115"/>
    </row>
    <row r="1006" spans="5:22" ht="12.75" customHeight="1" x14ac:dyDescent="0.25">
      <c r="E1006" s="114" t="s">
        <v>3677</v>
      </c>
      <c r="F1006" s="115"/>
      <c r="G1006" s="114"/>
      <c r="J1006" s="114">
        <v>-62760</v>
      </c>
      <c r="K1006" s="114">
        <v>-64390</v>
      </c>
      <c r="L1006" s="114">
        <f>SUM(L989:L1005)</f>
        <v>-68956</v>
      </c>
      <c r="M1006" s="114">
        <f>SUM(M989:M1005)</f>
        <v>-68413</v>
      </c>
      <c r="N1006" s="114">
        <f>SUM(N989:N1005)</f>
        <v>-67666</v>
      </c>
      <c r="O1006" s="114">
        <f>SUM(O989:O1005)</f>
        <v>-70380</v>
      </c>
      <c r="Q1006" s="633"/>
      <c r="V1006" s="115"/>
    </row>
    <row r="1007" spans="5:22" ht="12.75" customHeight="1" x14ac:dyDescent="0.25">
      <c r="E1007" s="114"/>
      <c r="F1007" s="115"/>
      <c r="G1007" s="114"/>
      <c r="J1007" s="114"/>
      <c r="K1007" s="114"/>
      <c r="L1007" s="114"/>
      <c r="M1007" s="114"/>
      <c r="N1007" s="114"/>
      <c r="O1007" s="114"/>
      <c r="Q1007" s="633"/>
      <c r="V1007" s="115"/>
    </row>
    <row r="1008" spans="5:22" ht="12.75" customHeight="1" x14ac:dyDescent="0.25">
      <c r="E1008" s="114" t="s">
        <v>3678</v>
      </c>
      <c r="F1008" s="115"/>
      <c r="G1008" s="114"/>
      <c r="J1008" s="114">
        <v>-2943</v>
      </c>
      <c r="K1008" s="114">
        <v>-3020</v>
      </c>
      <c r="L1008" s="114">
        <f>ROUND(K1008*U$2,0)</f>
        <v>-3083</v>
      </c>
      <c r="M1008" s="114">
        <f>ROUND(L1008*V$2,0)</f>
        <v>-3154</v>
      </c>
      <c r="N1008" s="114">
        <f>ROUND(M1008*W$2,0)</f>
        <v>-3227</v>
      </c>
      <c r="O1008" s="114">
        <f>ROUND(N1008*X$2,0)</f>
        <v>-3301</v>
      </c>
      <c r="Q1008" s="633"/>
      <c r="V1008" s="115"/>
    </row>
    <row r="1009" spans="5:23" ht="12.75" customHeight="1" x14ac:dyDescent="0.25">
      <c r="E1009" s="114"/>
      <c r="F1009" s="115"/>
      <c r="G1009" s="114"/>
      <c r="J1009" s="114"/>
      <c r="K1009" s="114"/>
      <c r="L1009" s="114"/>
      <c r="M1009" s="114"/>
      <c r="N1009" s="114"/>
      <c r="O1009" s="114"/>
      <c r="Q1009" s="633"/>
      <c r="S1009" s="633" t="s">
        <v>3679</v>
      </c>
      <c r="T1009" s="1107">
        <v>43.5</v>
      </c>
      <c r="V1009" s="115"/>
      <c r="W1009" s="115">
        <v>44.45</v>
      </c>
    </row>
    <row r="1010" spans="5:23" ht="12.75" customHeight="1" x14ac:dyDescent="0.25">
      <c r="E1010" s="114" t="s">
        <v>3680</v>
      </c>
      <c r="F1010" s="115"/>
      <c r="G1010" s="396"/>
      <c r="J1010" s="396"/>
      <c r="K1010" s="396"/>
      <c r="L1010" s="396"/>
      <c r="M1010" s="396"/>
      <c r="N1010" s="396"/>
      <c r="O1010" s="396"/>
      <c r="Q1010" s="633"/>
      <c r="S1010" s="633" t="s">
        <v>3681</v>
      </c>
      <c r="T1010" s="1107">
        <v>28.9</v>
      </c>
      <c r="V1010" s="115"/>
      <c r="W1010" s="115">
        <f>+W1011*2</f>
        <v>29.62</v>
      </c>
    </row>
    <row r="1011" spans="5:23" ht="12.75" customHeight="1" x14ac:dyDescent="0.25">
      <c r="F1011" s="114"/>
      <c r="H1011" s="1088"/>
      <c r="J1011" s="114"/>
      <c r="K1011" s="114"/>
      <c r="L1011" s="114"/>
      <c r="M1011" s="114"/>
      <c r="N1011" s="114"/>
      <c r="O1011" s="114"/>
      <c r="Q1011" s="633"/>
      <c r="S1011" s="633" t="s">
        <v>3682</v>
      </c>
      <c r="T1011" s="1107">
        <v>14.5</v>
      </c>
      <c r="V1011" s="115"/>
      <c r="W1011" s="115">
        <v>14.81</v>
      </c>
    </row>
    <row r="1012" spans="5:23" ht="12.75" customHeight="1" x14ac:dyDescent="0.25">
      <c r="F1012" s="114">
        <v>2500</v>
      </c>
      <c r="G1012" s="115" t="s">
        <v>3502</v>
      </c>
      <c r="H1012" s="1088">
        <v>14.79</v>
      </c>
      <c r="J1012" s="114"/>
      <c r="K1012" s="114"/>
      <c r="L1012" s="114"/>
      <c r="M1012" s="114"/>
      <c r="N1012" s="114"/>
      <c r="O1012" s="114"/>
      <c r="Q1012" s="633"/>
      <c r="S1012" s="633" t="s">
        <v>3683</v>
      </c>
      <c r="T1012" s="633" t="s">
        <v>3684</v>
      </c>
      <c r="V1012" s="115"/>
      <c r="W1012" s="115">
        <v>14.26</v>
      </c>
    </row>
    <row r="1013" spans="5:23" ht="12.75" customHeight="1" x14ac:dyDescent="0.25">
      <c r="F1013" s="114">
        <v>2500</v>
      </c>
      <c r="G1013" s="115" t="s">
        <v>3502</v>
      </c>
      <c r="H1013" s="1088">
        <f>ROUND(+H1012*S$2,2)</f>
        <v>15.2</v>
      </c>
      <c r="J1013" s="114">
        <v>-38000</v>
      </c>
      <c r="K1013" s="114"/>
      <c r="L1013" s="114"/>
      <c r="M1013" s="114"/>
      <c r="N1013" s="114"/>
      <c r="O1013" s="114"/>
      <c r="Q1013" s="633"/>
      <c r="T1013" s="633" t="s">
        <v>3685</v>
      </c>
      <c r="V1013" s="115"/>
    </row>
    <row r="1014" spans="5:23" ht="12.75" customHeight="1" x14ac:dyDescent="0.25">
      <c r="F1014" s="114">
        <v>2500</v>
      </c>
      <c r="G1014" s="115" t="s">
        <v>3502</v>
      </c>
      <c r="H1014" s="1088">
        <f>ROUND(+H1013*T$2,2)</f>
        <v>15.6</v>
      </c>
      <c r="J1014" s="114"/>
      <c r="K1014" s="114">
        <v>-39000</v>
      </c>
      <c r="L1014" s="114"/>
      <c r="M1014" s="114"/>
      <c r="N1014" s="114"/>
      <c r="O1014" s="114"/>
      <c r="Q1014" s="633"/>
      <c r="T1014" s="633" t="s">
        <v>3686</v>
      </c>
      <c r="V1014" s="115"/>
    </row>
    <row r="1015" spans="5:23" ht="12.75" customHeight="1" x14ac:dyDescent="0.25">
      <c r="F1015" s="114">
        <v>2500</v>
      </c>
      <c r="G1015" s="115" t="s">
        <v>3502</v>
      </c>
      <c r="H1015" s="1088">
        <f>ROUND(+H1014*U$2,2)</f>
        <v>15.93</v>
      </c>
      <c r="J1015" s="114"/>
      <c r="K1015" s="114"/>
      <c r="L1015" s="114">
        <f>-ROUND($F1015*$H1015,-1)</f>
        <v>-39830</v>
      </c>
      <c r="M1015" s="114"/>
      <c r="N1015" s="114"/>
      <c r="O1015" s="114"/>
      <c r="Q1015" s="633"/>
      <c r="V1015" s="115"/>
    </row>
    <row r="1016" spans="5:23" ht="12.75" customHeight="1" x14ac:dyDescent="0.25">
      <c r="F1016" s="114">
        <v>2500</v>
      </c>
      <c r="G1016" s="115" t="s">
        <v>3502</v>
      </c>
      <c r="H1016" s="1088">
        <f>ROUND(+H1015*V$2,2)</f>
        <v>16.3</v>
      </c>
      <c r="J1016" s="114"/>
      <c r="K1016" s="114"/>
      <c r="L1016" s="114"/>
      <c r="M1016" s="114">
        <f>-F1016*H1016</f>
        <v>-40750</v>
      </c>
      <c r="N1016" s="114"/>
      <c r="O1016" s="114"/>
      <c r="Q1016" s="633"/>
      <c r="V1016" s="115"/>
    </row>
    <row r="1017" spans="5:23" ht="12.75" customHeight="1" x14ac:dyDescent="0.25">
      <c r="F1017" s="114">
        <v>2500</v>
      </c>
      <c r="G1017" s="115" t="s">
        <v>3502</v>
      </c>
      <c r="H1017" s="1088">
        <f>ROUND(+H1016*W$2,2)</f>
        <v>16.670000000000002</v>
      </c>
      <c r="J1017" s="114"/>
      <c r="K1017" s="114"/>
      <c r="L1017" s="114"/>
      <c r="M1017" s="114"/>
      <c r="N1017" s="114">
        <f>-F1017*H1017</f>
        <v>-41675.000000000007</v>
      </c>
      <c r="O1017" s="114"/>
      <c r="Q1017" s="633"/>
      <c r="V1017" s="115"/>
    </row>
    <row r="1018" spans="5:23" ht="12.75" customHeight="1" x14ac:dyDescent="0.25">
      <c r="F1018" s="544">
        <v>2500</v>
      </c>
      <c r="G1018" s="358" t="s">
        <v>3502</v>
      </c>
      <c r="H1018" s="1088">
        <f>ROUND(+H1017*X$2,2)</f>
        <v>17.05</v>
      </c>
      <c r="J1018" s="114"/>
      <c r="K1018" s="114"/>
      <c r="L1018" s="114"/>
      <c r="M1018" s="114"/>
      <c r="N1018" s="114"/>
      <c r="O1018" s="114">
        <f>-F1018*H1018</f>
        <v>-42625</v>
      </c>
      <c r="Q1018" s="633"/>
      <c r="V1018" s="115"/>
    </row>
    <row r="1019" spans="5:23" ht="12.75" customHeight="1" x14ac:dyDescent="0.25">
      <c r="E1019" s="114"/>
      <c r="I1019" s="1088"/>
      <c r="J1019" s="114"/>
      <c r="K1019" s="114"/>
      <c r="L1019" s="114"/>
      <c r="M1019" s="114"/>
      <c r="N1019" s="114"/>
      <c r="O1019" s="114"/>
      <c r="Q1019" s="633"/>
      <c r="S1019" s="633" t="s">
        <v>3687</v>
      </c>
      <c r="T1019" s="1107">
        <v>14</v>
      </c>
      <c r="V1019" s="115"/>
      <c r="W1019" s="115">
        <v>14.26</v>
      </c>
    </row>
    <row r="1020" spans="5:23" ht="12.75" customHeight="1" thickBot="1" x14ac:dyDescent="0.3">
      <c r="E1020" s="114" t="s">
        <v>3688</v>
      </c>
      <c r="I1020" s="1105" t="s">
        <v>3689</v>
      </c>
      <c r="J1020" s="1744">
        <v>-103703</v>
      </c>
      <c r="K1020" s="1744">
        <v>-106410</v>
      </c>
      <c r="L1020" s="1744">
        <f>SUM(L1006:L1019)</f>
        <v>-111869</v>
      </c>
      <c r="M1020" s="1744">
        <f>SUM(M1006:M1019)</f>
        <v>-112317</v>
      </c>
      <c r="N1020" s="1744">
        <f>SUM(N1006:N1019)</f>
        <v>-112568</v>
      </c>
      <c r="O1020" s="1744">
        <f>SUM(O1006:O1019)</f>
        <v>-116306</v>
      </c>
      <c r="Q1020" s="633"/>
      <c r="S1020" s="633" t="s">
        <v>3690</v>
      </c>
      <c r="T1020" s="1107">
        <v>27.9</v>
      </c>
      <c r="V1020" s="115"/>
      <c r="W1020" s="115">
        <v>28.54</v>
      </c>
    </row>
    <row r="1021" spans="5:23" ht="12.75" customHeight="1" thickTop="1" x14ac:dyDescent="0.25">
      <c r="E1021" s="114"/>
      <c r="I1021" s="114"/>
      <c r="J1021" s="114"/>
      <c r="K1021" s="114"/>
      <c r="L1021" s="114"/>
      <c r="M1021" s="114"/>
      <c r="N1021" s="114"/>
      <c r="O1021" s="114"/>
      <c r="Q1021" s="633"/>
      <c r="S1021" s="633" t="s">
        <v>3691</v>
      </c>
      <c r="T1021" s="1107">
        <v>14</v>
      </c>
      <c r="V1021" s="115"/>
      <c r="W1021" s="115">
        <v>14.26</v>
      </c>
    </row>
    <row r="1022" spans="5:23" ht="12.75" customHeight="1" x14ac:dyDescent="0.25">
      <c r="E1022" s="114" t="s">
        <v>3692</v>
      </c>
      <c r="I1022" s="531"/>
      <c r="J1022" s="531"/>
      <c r="K1022" s="531"/>
      <c r="L1022" s="531"/>
      <c r="M1022" s="531"/>
      <c r="N1022" s="531"/>
      <c r="O1022" s="531"/>
      <c r="Q1022" s="633"/>
      <c r="V1022" s="115"/>
    </row>
    <row r="1023" spans="5:23" ht="12.75" customHeight="1" x14ac:dyDescent="0.25">
      <c r="E1023" s="114"/>
      <c r="I1023" s="114"/>
      <c r="J1023" s="114"/>
      <c r="K1023" s="114"/>
      <c r="L1023" s="114"/>
      <c r="M1023" s="114"/>
      <c r="N1023" s="114"/>
      <c r="O1023" s="114"/>
      <c r="Q1023" s="633"/>
      <c r="V1023" s="115"/>
    </row>
    <row r="1024" spans="5:23" ht="12.75" customHeight="1" x14ac:dyDescent="0.25">
      <c r="E1024" s="114" t="s">
        <v>3693</v>
      </c>
      <c r="I1024" s="114"/>
      <c r="J1024" s="114"/>
      <c r="K1024" s="114"/>
      <c r="L1024" s="114"/>
      <c r="M1024" s="114"/>
      <c r="N1024" s="114"/>
      <c r="O1024" s="114"/>
      <c r="Q1024" s="633"/>
      <c r="V1024" s="115"/>
    </row>
    <row r="1025" spans="5:22" ht="12.75" customHeight="1" x14ac:dyDescent="0.25">
      <c r="E1025" s="115"/>
      <c r="H1025" s="114" t="s">
        <v>3694</v>
      </c>
      <c r="I1025" s="114"/>
      <c r="J1025" s="114">
        <v>-44690</v>
      </c>
      <c r="K1025" s="114">
        <v>-46164</v>
      </c>
      <c r="L1025" s="114">
        <v>-47269.440000000002</v>
      </c>
      <c r="M1025" s="114">
        <f t="shared" ref="M1025:O1029" si="270">ROUND(L1025*V$2,0)</f>
        <v>-48357</v>
      </c>
      <c r="N1025" s="114">
        <f t="shared" si="270"/>
        <v>-49469</v>
      </c>
      <c r="O1025" s="114">
        <f t="shared" si="270"/>
        <v>-50607</v>
      </c>
      <c r="Q1025" s="633"/>
      <c r="V1025" s="115"/>
    </row>
    <row r="1026" spans="5:22" ht="12.75" customHeight="1" x14ac:dyDescent="0.25">
      <c r="E1026" s="115"/>
      <c r="H1026" s="114" t="s">
        <v>3695</v>
      </c>
      <c r="I1026" s="114"/>
      <c r="J1026" s="114">
        <v>-10635</v>
      </c>
      <c r="K1026" s="114">
        <v>-10986</v>
      </c>
      <c r="L1026" s="114">
        <v>-11293.16</v>
      </c>
      <c r="M1026" s="114">
        <f t="shared" si="270"/>
        <v>-11553</v>
      </c>
      <c r="N1026" s="114">
        <f t="shared" si="270"/>
        <v>-11819</v>
      </c>
      <c r="O1026" s="114">
        <f t="shared" si="270"/>
        <v>-12091</v>
      </c>
      <c r="Q1026" s="633"/>
      <c r="V1026" s="115"/>
    </row>
    <row r="1027" spans="5:22" ht="12.75" customHeight="1" x14ac:dyDescent="0.25">
      <c r="E1027" s="115"/>
      <c r="H1027" s="114" t="s">
        <v>3696</v>
      </c>
      <c r="I1027" s="114"/>
      <c r="J1027" s="114">
        <v>-19413</v>
      </c>
      <c r="K1027" s="114">
        <v>-20053</v>
      </c>
      <c r="L1027" s="114">
        <v>-20613.7</v>
      </c>
      <c r="M1027" s="114">
        <f t="shared" si="270"/>
        <v>-21088</v>
      </c>
      <c r="N1027" s="114">
        <f t="shared" si="270"/>
        <v>-21573</v>
      </c>
      <c r="O1027" s="114">
        <f t="shared" si="270"/>
        <v>-22069</v>
      </c>
      <c r="Q1027" s="633"/>
      <c r="V1027" s="115"/>
    </row>
    <row r="1028" spans="5:22" ht="12.75" customHeight="1" x14ac:dyDescent="0.25">
      <c r="E1028" s="115"/>
      <c r="H1028" s="114" t="s">
        <v>3697</v>
      </c>
      <c r="I1028" s="114"/>
      <c r="J1028" s="114">
        <v>-12665</v>
      </c>
      <c r="K1028" s="114">
        <v>-13083</v>
      </c>
      <c r="L1028" s="114">
        <v>-13448.53</v>
      </c>
      <c r="M1028" s="114">
        <f t="shared" si="270"/>
        <v>-13758</v>
      </c>
      <c r="N1028" s="114">
        <f t="shared" si="270"/>
        <v>-14074</v>
      </c>
      <c r="O1028" s="114">
        <f t="shared" si="270"/>
        <v>-14398</v>
      </c>
      <c r="Q1028" s="633"/>
      <c r="V1028" s="115"/>
    </row>
    <row r="1029" spans="5:22" ht="12.75" customHeight="1" x14ac:dyDescent="0.25">
      <c r="E1029" s="115"/>
      <c r="H1029" s="114" t="s">
        <v>3698</v>
      </c>
      <c r="I1029" s="114"/>
      <c r="J1029" s="114">
        <v>-7362</v>
      </c>
      <c r="K1029" s="114">
        <v>-7605</v>
      </c>
      <c r="L1029" s="114">
        <v>-7817.14</v>
      </c>
      <c r="M1029" s="114">
        <f t="shared" si="270"/>
        <v>-7997</v>
      </c>
      <c r="N1029" s="114">
        <f t="shared" si="270"/>
        <v>-8181</v>
      </c>
      <c r="O1029" s="114">
        <f t="shared" si="270"/>
        <v>-8369</v>
      </c>
      <c r="Q1029" s="633"/>
      <c r="V1029" s="115"/>
    </row>
    <row r="1030" spans="5:22" ht="12.75" customHeight="1" x14ac:dyDescent="0.25">
      <c r="E1030" s="114" t="s">
        <v>3699</v>
      </c>
      <c r="I1030" s="114"/>
      <c r="J1030" s="564">
        <v>-94765</v>
      </c>
      <c r="K1030" s="564">
        <v>-97891</v>
      </c>
      <c r="L1030" s="564">
        <f>SUM(L1025:L1029)</f>
        <v>-100441.97</v>
      </c>
      <c r="M1030" s="564">
        <f>SUM(M1025:M1029)</f>
        <v>-102753</v>
      </c>
      <c r="N1030" s="564">
        <f>SUM(N1025:N1029)</f>
        <v>-105116</v>
      </c>
      <c r="O1030" s="564">
        <f>SUM(O1025:O1029)</f>
        <v>-107534</v>
      </c>
      <c r="Q1030" s="633"/>
      <c r="V1030" s="115"/>
    </row>
    <row r="1031" spans="5:22" ht="12.75" customHeight="1" x14ac:dyDescent="0.25">
      <c r="E1031" s="114"/>
      <c r="I1031" s="114"/>
      <c r="J1031" s="114"/>
      <c r="K1031" s="114"/>
      <c r="L1031" s="114"/>
      <c r="M1031" s="114"/>
      <c r="N1031" s="114"/>
      <c r="O1031" s="114"/>
      <c r="Q1031" s="633"/>
      <c r="V1031" s="115"/>
    </row>
    <row r="1032" spans="5:22" ht="12.75" customHeight="1" x14ac:dyDescent="0.25">
      <c r="E1032" s="114" t="s">
        <v>1221</v>
      </c>
      <c r="I1032" s="114"/>
      <c r="J1032" s="114">
        <v>-1556</v>
      </c>
      <c r="K1032" s="114">
        <v>-1596</v>
      </c>
      <c r="L1032" s="114">
        <f>ROUND(K1032*U$2,0)</f>
        <v>-1630</v>
      </c>
      <c r="M1032" s="114">
        <f>ROUND(L1032*V$2,0)</f>
        <v>-1667</v>
      </c>
      <c r="N1032" s="114">
        <f>ROUND(M1032*W$2,0)</f>
        <v>-1705</v>
      </c>
      <c r="O1032" s="114">
        <f>ROUND(N1032*X$2,0)</f>
        <v>-1744</v>
      </c>
      <c r="Q1032" s="633"/>
      <c r="V1032" s="115"/>
    </row>
    <row r="1033" spans="5:22" ht="12.75" customHeight="1" x14ac:dyDescent="0.25">
      <c r="E1033" s="114"/>
      <c r="I1033" s="114"/>
      <c r="J1033" s="114"/>
      <c r="K1033" s="114"/>
      <c r="L1033" s="114"/>
      <c r="M1033" s="114"/>
      <c r="N1033" s="114"/>
      <c r="O1033" s="114"/>
      <c r="Q1033" s="633"/>
      <c r="V1033" s="115"/>
    </row>
    <row r="1034" spans="5:22" ht="12.75" customHeight="1" x14ac:dyDescent="0.25">
      <c r="E1034" s="115" t="s">
        <v>3700</v>
      </c>
      <c r="I1034" s="114"/>
      <c r="J1034" s="114"/>
      <c r="K1034" s="114"/>
      <c r="L1034" s="114"/>
      <c r="M1034" s="114"/>
      <c r="N1034" s="114"/>
      <c r="O1034" s="114"/>
      <c r="Q1034" s="633"/>
      <c r="V1034" s="115"/>
    </row>
    <row r="1035" spans="5:22" ht="12.75" customHeight="1" x14ac:dyDescent="0.25">
      <c r="E1035" s="398">
        <v>1000</v>
      </c>
      <c r="F1035" s="115" t="s">
        <v>3502</v>
      </c>
      <c r="G1035" s="1088">
        <v>46.09</v>
      </c>
      <c r="J1035" s="114">
        <v>-47380</v>
      </c>
      <c r="K1035" s="114"/>
      <c r="L1035" s="114"/>
      <c r="M1035" s="114"/>
      <c r="N1035" s="114"/>
      <c r="O1035" s="114"/>
      <c r="Q1035" s="633"/>
      <c r="V1035" s="115"/>
    </row>
    <row r="1036" spans="5:22" ht="12.75" customHeight="1" x14ac:dyDescent="0.25">
      <c r="E1036" s="398">
        <v>1000</v>
      </c>
      <c r="F1036" s="115" t="s">
        <v>3502</v>
      </c>
      <c r="G1036" s="1088">
        <f>ROUND(+G1035*S$2,2)</f>
        <v>47.38</v>
      </c>
      <c r="J1036" s="114"/>
      <c r="K1036" s="114">
        <v>-47380</v>
      </c>
      <c r="L1036" s="114"/>
      <c r="M1036" s="114"/>
      <c r="N1036" s="114"/>
      <c r="O1036" s="114"/>
      <c r="Q1036" s="633"/>
      <c r="V1036" s="115"/>
    </row>
    <row r="1037" spans="5:22" ht="12.75" customHeight="1" x14ac:dyDescent="0.25">
      <c r="E1037" s="398">
        <v>1000</v>
      </c>
      <c r="F1037" s="115" t="s">
        <v>3502</v>
      </c>
      <c r="G1037" s="1088">
        <f>ROUND(+G1036*U$2,2)</f>
        <v>48.37</v>
      </c>
      <c r="J1037" s="114"/>
      <c r="K1037" s="114"/>
      <c r="L1037" s="114">
        <v>-47380</v>
      </c>
      <c r="M1037" s="114"/>
      <c r="N1037" s="114"/>
      <c r="O1037" s="114"/>
      <c r="Q1037" s="633"/>
      <c r="V1037" s="115"/>
    </row>
    <row r="1038" spans="5:22" ht="12.75" customHeight="1" x14ac:dyDescent="0.25">
      <c r="E1038" s="398">
        <v>1000</v>
      </c>
      <c r="F1038" s="115" t="s">
        <v>3502</v>
      </c>
      <c r="G1038" s="1088">
        <f>ROUND(+G1037*V$2,2)</f>
        <v>49.48</v>
      </c>
      <c r="J1038" s="114"/>
      <c r="K1038" s="114"/>
      <c r="L1038" s="114"/>
      <c r="M1038" s="114">
        <v>-47380</v>
      </c>
      <c r="Q1038" s="633"/>
      <c r="V1038" s="115"/>
    </row>
    <row r="1039" spans="5:22" ht="12.75" customHeight="1" x14ac:dyDescent="0.25">
      <c r="E1039" s="2063">
        <v>1000</v>
      </c>
      <c r="F1039" s="358" t="s">
        <v>3502</v>
      </c>
      <c r="G1039" s="2064">
        <f>ROUND(+G1038*W$2,2)</f>
        <v>50.62</v>
      </c>
      <c r="J1039" s="114"/>
      <c r="K1039" s="114"/>
      <c r="L1039" s="114"/>
      <c r="M1039" s="114"/>
      <c r="N1039" s="114">
        <v>-47380</v>
      </c>
      <c r="Q1039" s="633"/>
      <c r="V1039" s="115"/>
    </row>
    <row r="1040" spans="5:22" ht="12.75" customHeight="1" x14ac:dyDescent="0.25">
      <c r="E1040" s="2063">
        <v>1000</v>
      </c>
      <c r="F1040" s="358" t="s">
        <v>3502</v>
      </c>
      <c r="G1040" s="2064">
        <f>ROUND(+G1039*X$2,2)</f>
        <v>51.78</v>
      </c>
      <c r="J1040" s="114"/>
      <c r="K1040" s="114"/>
      <c r="L1040" s="114"/>
      <c r="M1040" s="114"/>
      <c r="N1040" s="114"/>
      <c r="O1040" s="114">
        <v>-47380</v>
      </c>
      <c r="Q1040" s="633"/>
      <c r="V1040" s="115"/>
    </row>
    <row r="1041" spans="5:22" ht="12.75" customHeight="1" x14ac:dyDescent="0.25">
      <c r="E1041" s="398"/>
      <c r="F1041" s="115"/>
      <c r="G1041" s="1088"/>
      <c r="J1041" s="114"/>
      <c r="K1041" s="114"/>
      <c r="L1041" s="114"/>
      <c r="M1041" s="114"/>
      <c r="N1041" s="114"/>
      <c r="O1041" s="114"/>
      <c r="Q1041" s="633"/>
      <c r="V1041" s="115"/>
    </row>
    <row r="1042" spans="5:22" ht="12.75" customHeight="1" x14ac:dyDescent="0.25">
      <c r="E1042" s="115" t="s">
        <v>3683</v>
      </c>
      <c r="F1042" s="115"/>
      <c r="G1042" s="1088"/>
      <c r="J1042" s="114"/>
      <c r="K1042" s="114"/>
      <c r="L1042" s="114"/>
      <c r="M1042" s="114"/>
      <c r="N1042" s="114"/>
      <c r="O1042" s="114"/>
      <c r="Q1042" s="633"/>
      <c r="V1042" s="115"/>
    </row>
    <row r="1043" spans="5:22" ht="12.75" customHeight="1" x14ac:dyDescent="0.25">
      <c r="E1043" s="398">
        <v>950</v>
      </c>
      <c r="F1043" s="115" t="s">
        <v>3502</v>
      </c>
      <c r="G1043" s="1088">
        <v>14.79</v>
      </c>
      <c r="J1043" s="114"/>
      <c r="K1043" s="114"/>
      <c r="L1043" s="114"/>
      <c r="M1043" s="114"/>
      <c r="N1043" s="114"/>
      <c r="O1043" s="114"/>
      <c r="Q1043" s="633"/>
      <c r="V1043" s="115"/>
    </row>
    <row r="1044" spans="5:22" ht="12.75" customHeight="1" x14ac:dyDescent="0.25">
      <c r="E1044" s="398">
        <v>950</v>
      </c>
      <c r="F1044" s="115" t="s">
        <v>3502</v>
      </c>
      <c r="G1044" s="1088">
        <f>ROUND(+G1043*S$2,2)</f>
        <v>15.2</v>
      </c>
      <c r="J1044" s="114">
        <v>-14440</v>
      </c>
      <c r="K1044" s="114"/>
      <c r="L1044" s="114"/>
      <c r="M1044" s="114"/>
      <c r="N1044" s="114"/>
      <c r="O1044" s="114"/>
      <c r="Q1044" s="633"/>
      <c r="V1044" s="115"/>
    </row>
    <row r="1045" spans="5:22" ht="12.75" customHeight="1" x14ac:dyDescent="0.25">
      <c r="E1045" s="398">
        <v>950</v>
      </c>
      <c r="F1045" s="115" t="s">
        <v>3502</v>
      </c>
      <c r="G1045" s="1088">
        <f>ROUND(+G1044*T$2,2)</f>
        <v>15.6</v>
      </c>
      <c r="J1045" s="114"/>
      <c r="K1045" s="114">
        <v>-14820</v>
      </c>
      <c r="L1045" s="114"/>
      <c r="M1045" s="114"/>
      <c r="N1045" s="114"/>
      <c r="O1045" s="114"/>
      <c r="Q1045" s="633"/>
      <c r="V1045" s="115"/>
    </row>
    <row r="1046" spans="5:22" ht="12.75" customHeight="1" x14ac:dyDescent="0.25">
      <c r="E1046" s="398">
        <v>950</v>
      </c>
      <c r="F1046" s="115" t="s">
        <v>3502</v>
      </c>
      <c r="G1046" s="1088">
        <f>ROUND(+G1045*U$2,2)</f>
        <v>15.93</v>
      </c>
      <c r="J1046" s="114"/>
      <c r="K1046" s="114"/>
      <c r="L1046" s="114">
        <f>-$E1046*$G1046</f>
        <v>-15133.5</v>
      </c>
      <c r="M1046" s="114"/>
      <c r="N1046" s="114"/>
      <c r="O1046" s="114"/>
      <c r="Q1046" s="633"/>
      <c r="V1046" s="115"/>
    </row>
    <row r="1047" spans="5:22" ht="12.75" customHeight="1" x14ac:dyDescent="0.25">
      <c r="E1047" s="2063">
        <v>950</v>
      </c>
      <c r="F1047" s="358" t="s">
        <v>3502</v>
      </c>
      <c r="G1047" s="2064">
        <f>ROUND(+G1046*V$2,2)</f>
        <v>16.3</v>
      </c>
      <c r="J1047" s="114"/>
      <c r="K1047" s="114"/>
      <c r="L1047" s="114"/>
      <c r="M1047" s="114">
        <f>-$E1047*$G1047</f>
        <v>-15485</v>
      </c>
      <c r="N1047" s="114"/>
      <c r="O1047" s="114"/>
      <c r="Q1047" s="633"/>
      <c r="V1047" s="115"/>
    </row>
    <row r="1048" spans="5:22" ht="12.75" customHeight="1" x14ac:dyDescent="0.25">
      <c r="E1048" s="2063">
        <v>950</v>
      </c>
      <c r="F1048" s="358" t="s">
        <v>3502</v>
      </c>
      <c r="G1048" s="2064">
        <f>ROUND(+G1047*W$2,2)</f>
        <v>16.670000000000002</v>
      </c>
      <c r="J1048" s="114"/>
      <c r="K1048" s="114"/>
      <c r="L1048" s="114"/>
      <c r="M1048" s="114"/>
      <c r="N1048" s="114">
        <f>-$E1048*$G1048</f>
        <v>-15836.500000000002</v>
      </c>
      <c r="O1048" s="114"/>
      <c r="Q1048" s="633"/>
      <c r="V1048" s="115"/>
    </row>
    <row r="1049" spans="5:22" ht="12.75" customHeight="1" x14ac:dyDescent="0.25">
      <c r="E1049" s="2063">
        <v>950</v>
      </c>
      <c r="F1049" s="358" t="s">
        <v>3502</v>
      </c>
      <c r="G1049" s="2064">
        <f>ROUND(+G1048*X$2,2)</f>
        <v>17.05</v>
      </c>
      <c r="J1049" s="114"/>
      <c r="K1049" s="114"/>
      <c r="L1049" s="114"/>
      <c r="M1049" s="114"/>
      <c r="N1049" s="114"/>
      <c r="O1049" s="114">
        <f>-$E1049*$G1049</f>
        <v>-16197.5</v>
      </c>
      <c r="Q1049" s="633"/>
      <c r="V1049" s="115"/>
    </row>
    <row r="1050" spans="5:22" ht="12.75" customHeight="1" x14ac:dyDescent="0.25">
      <c r="E1050" s="398"/>
      <c r="F1050" s="115"/>
      <c r="G1050" s="1088"/>
      <c r="J1050" s="114"/>
      <c r="K1050" s="114"/>
      <c r="L1050" s="114"/>
      <c r="M1050" s="114"/>
      <c r="N1050" s="114"/>
      <c r="O1050" s="114"/>
      <c r="Q1050" s="633"/>
      <c r="V1050" s="115"/>
    </row>
    <row r="1051" spans="5:22" ht="12.75" customHeight="1" x14ac:dyDescent="0.25">
      <c r="E1051" s="398">
        <v>290</v>
      </c>
      <c r="F1051" s="115" t="s">
        <v>3701</v>
      </c>
      <c r="I1051" s="1088">
        <v>27.65</v>
      </c>
      <c r="J1051" s="114">
        <v>-9352</v>
      </c>
      <c r="K1051" s="114">
        <v>-9595</v>
      </c>
      <c r="L1051" s="114">
        <f>ROUND(K1051*U$2,0)</f>
        <v>-9796</v>
      </c>
      <c r="M1051" s="114">
        <f>ROUND(L1051*V$2,0)</f>
        <v>-10021</v>
      </c>
      <c r="N1051" s="114">
        <f>ROUND(M1051*W$2,0)</f>
        <v>-10251</v>
      </c>
      <c r="O1051" s="114">
        <f>ROUND(N1051*X$2,0)</f>
        <v>-10487</v>
      </c>
      <c r="Q1051" s="633"/>
      <c r="V1051" s="115"/>
    </row>
    <row r="1052" spans="5:22" ht="12.75" customHeight="1" x14ac:dyDescent="0.25">
      <c r="E1052" s="114" t="s">
        <v>3702</v>
      </c>
      <c r="I1052" s="396"/>
      <c r="J1052" s="564">
        <v>-167493</v>
      </c>
      <c r="K1052" s="564">
        <v>-172512</v>
      </c>
      <c r="L1052" s="564">
        <f>SUM(L1030:L1051)</f>
        <v>-174381.47</v>
      </c>
      <c r="M1052" s="564">
        <f>SUM(M1030:M1051)</f>
        <v>-177306</v>
      </c>
      <c r="N1052" s="564">
        <f>SUM(N1030:N1051)</f>
        <v>-180288.5</v>
      </c>
      <c r="O1052" s="564">
        <f>SUM(O1030:O1051)</f>
        <v>-183342.5</v>
      </c>
      <c r="Q1052" s="633"/>
      <c r="V1052" s="115"/>
    </row>
    <row r="1053" spans="5:22" ht="12.75" customHeight="1" x14ac:dyDescent="0.25">
      <c r="E1053" s="114"/>
      <c r="I1053" s="396"/>
      <c r="J1053" s="114"/>
      <c r="K1053" s="114"/>
      <c r="L1053" s="114"/>
      <c r="M1053" s="114"/>
      <c r="N1053" s="114"/>
      <c r="O1053" s="114"/>
      <c r="Q1053" s="633"/>
      <c r="V1053" s="115"/>
    </row>
    <row r="1054" spans="5:22" ht="12.75" customHeight="1" x14ac:dyDescent="0.25">
      <c r="E1054" s="114" t="s">
        <v>3703</v>
      </c>
      <c r="I1054" s="114"/>
      <c r="Q1054" s="633"/>
      <c r="V1054" s="115"/>
    </row>
    <row r="1055" spans="5:22" ht="12.75" customHeight="1" x14ac:dyDescent="0.25">
      <c r="E1055" s="114"/>
      <c r="I1055" s="1088"/>
      <c r="J1055" s="114"/>
      <c r="K1055" s="114"/>
      <c r="L1055" s="114"/>
      <c r="M1055" s="114"/>
      <c r="N1055" s="114"/>
      <c r="O1055" s="114"/>
      <c r="Q1055" s="633"/>
      <c r="V1055" s="115"/>
    </row>
    <row r="1056" spans="5:22" ht="12.75" customHeight="1" x14ac:dyDescent="0.25">
      <c r="E1056" s="114">
        <v>325</v>
      </c>
      <c r="F1056" s="115" t="s">
        <v>3502</v>
      </c>
      <c r="G1056" s="1088">
        <v>15.39</v>
      </c>
      <c r="J1056" s="114"/>
      <c r="K1056" s="114"/>
      <c r="L1056" s="114"/>
      <c r="M1056" s="114"/>
      <c r="N1056" s="114"/>
      <c r="O1056" s="114"/>
      <c r="Q1056" s="633"/>
      <c r="V1056" s="115"/>
    </row>
    <row r="1057" spans="5:22" ht="12.75" customHeight="1" x14ac:dyDescent="0.25">
      <c r="E1057" s="114">
        <v>325</v>
      </c>
      <c r="F1057" s="115" t="s">
        <v>3502</v>
      </c>
      <c r="G1057" s="1088">
        <f>ROUND(+G1056*S$2,2)</f>
        <v>15.82</v>
      </c>
      <c r="J1057" s="114">
        <v>-5141.5</v>
      </c>
      <c r="K1057" s="114"/>
      <c r="L1057" s="114"/>
      <c r="M1057" s="114"/>
      <c r="N1057" s="114"/>
      <c r="O1057" s="114"/>
      <c r="Q1057" s="633"/>
      <c r="V1057" s="115"/>
    </row>
    <row r="1058" spans="5:22" ht="12.75" customHeight="1" x14ac:dyDescent="0.25">
      <c r="E1058" s="114">
        <v>325</v>
      </c>
      <c r="F1058" s="115" t="s">
        <v>3502</v>
      </c>
      <c r="G1058" s="1088">
        <f>ROUND(+G1057*T$2,2)</f>
        <v>16.23</v>
      </c>
      <c r="J1058" s="114"/>
      <c r="K1058" s="114">
        <v>-5274.75</v>
      </c>
      <c r="L1058" s="114"/>
      <c r="M1058" s="114"/>
      <c r="N1058" s="114"/>
      <c r="O1058" s="114"/>
      <c r="Q1058" s="633"/>
      <c r="V1058" s="115"/>
    </row>
    <row r="1059" spans="5:22" ht="12.75" customHeight="1" x14ac:dyDescent="0.25">
      <c r="E1059" s="114">
        <v>325</v>
      </c>
      <c r="F1059" s="115" t="s">
        <v>3502</v>
      </c>
      <c r="G1059" s="1088">
        <f>ROUND(+G1058*U$2,2)</f>
        <v>16.57</v>
      </c>
      <c r="J1059" s="114"/>
      <c r="K1059" s="114"/>
      <c r="L1059" s="114">
        <f>-$E1059*$G1059</f>
        <v>-5385.25</v>
      </c>
      <c r="M1059" s="114"/>
      <c r="N1059" s="114"/>
      <c r="O1059" s="114"/>
      <c r="Q1059" s="633"/>
      <c r="V1059" s="115"/>
    </row>
    <row r="1060" spans="5:22" ht="12.75" customHeight="1" x14ac:dyDescent="0.25">
      <c r="E1060" s="544">
        <v>325</v>
      </c>
      <c r="F1060" s="358" t="s">
        <v>3502</v>
      </c>
      <c r="G1060" s="2064">
        <f>ROUND(+G1059*V$2,2)</f>
        <v>16.95</v>
      </c>
      <c r="J1060" s="114"/>
      <c r="K1060" s="114"/>
      <c r="L1060" s="114"/>
      <c r="M1060" s="114">
        <f>-$E1060*$G1060</f>
        <v>-5508.75</v>
      </c>
      <c r="N1060" s="114"/>
      <c r="O1060" s="114"/>
      <c r="Q1060" s="633"/>
      <c r="V1060" s="115"/>
    </row>
    <row r="1061" spans="5:22" ht="12.75" customHeight="1" x14ac:dyDescent="0.25">
      <c r="E1061" s="544">
        <v>325</v>
      </c>
      <c r="F1061" s="358" t="s">
        <v>3502</v>
      </c>
      <c r="G1061" s="2064">
        <f>ROUND(+G1060*W$2,2)</f>
        <v>17.34</v>
      </c>
      <c r="J1061" s="114"/>
      <c r="K1061" s="114"/>
      <c r="L1061" s="114"/>
      <c r="M1061" s="114"/>
      <c r="N1061" s="114">
        <f>-$E1061*$G1061</f>
        <v>-5635.5</v>
      </c>
      <c r="O1061" s="114"/>
      <c r="Q1061" s="633"/>
      <c r="V1061" s="115"/>
    </row>
    <row r="1062" spans="5:22" ht="12.75" customHeight="1" x14ac:dyDescent="0.25">
      <c r="E1062" s="544">
        <v>325</v>
      </c>
      <c r="F1062" s="358" t="s">
        <v>3502</v>
      </c>
      <c r="G1062" s="2064">
        <f>ROUND(+G1061*X$2,2)</f>
        <v>17.739999999999998</v>
      </c>
      <c r="J1062" s="114"/>
      <c r="K1062" s="114"/>
      <c r="L1062" s="114"/>
      <c r="M1062" s="114"/>
      <c r="N1062" s="114"/>
      <c r="O1062" s="114">
        <f>-$E1062*$G1062</f>
        <v>-5765.4999999999991</v>
      </c>
      <c r="Q1062" s="633"/>
      <c r="V1062" s="115"/>
    </row>
    <row r="1063" spans="5:22" ht="12.75" customHeight="1" x14ac:dyDescent="0.25">
      <c r="E1063" s="114"/>
      <c r="I1063" s="114"/>
      <c r="J1063" s="114"/>
      <c r="K1063" s="114"/>
      <c r="L1063" s="114"/>
      <c r="M1063" s="114"/>
      <c r="N1063" s="114"/>
      <c r="O1063" s="114"/>
      <c r="Q1063" s="633"/>
      <c r="V1063" s="115"/>
    </row>
    <row r="1064" spans="5:22" ht="12.75" customHeight="1" x14ac:dyDescent="0.25">
      <c r="E1064" s="114" t="s">
        <v>3704</v>
      </c>
      <c r="I1064" s="114"/>
      <c r="J1064" s="114"/>
      <c r="K1064" s="114"/>
      <c r="L1064" s="114"/>
      <c r="M1064" s="114"/>
      <c r="N1064" s="114"/>
      <c r="O1064" s="114"/>
      <c r="Q1064" s="633"/>
      <c r="V1064" s="115"/>
    </row>
    <row r="1065" spans="5:22" ht="12.75" customHeight="1" x14ac:dyDescent="0.25">
      <c r="E1065" s="114">
        <v>2000</v>
      </c>
      <c r="F1065" s="308" t="s">
        <v>3705</v>
      </c>
      <c r="H1065" s="1088">
        <v>23.43</v>
      </c>
      <c r="J1065" s="114"/>
      <c r="K1065" s="114"/>
      <c r="L1065" s="114"/>
      <c r="M1065" s="114"/>
      <c r="N1065" s="114"/>
      <c r="O1065" s="114"/>
      <c r="Q1065" s="633"/>
      <c r="V1065" s="115"/>
    </row>
    <row r="1066" spans="5:22" ht="12.75" customHeight="1" x14ac:dyDescent="0.25">
      <c r="E1066" s="114">
        <v>2000</v>
      </c>
      <c r="F1066" s="308" t="s">
        <v>3705</v>
      </c>
      <c r="H1066" s="1088">
        <f>ROUND(+H1065*S$2,2)</f>
        <v>24.09</v>
      </c>
      <c r="J1066" s="114">
        <v>-48180</v>
      </c>
      <c r="K1066" s="114"/>
      <c r="L1066" s="114"/>
      <c r="M1066" s="114"/>
      <c r="N1066" s="114"/>
      <c r="O1066" s="114"/>
      <c r="Q1066" s="633"/>
      <c r="V1066" s="115"/>
    </row>
    <row r="1067" spans="5:22" ht="12.75" customHeight="1" x14ac:dyDescent="0.25">
      <c r="E1067" s="114">
        <v>2000</v>
      </c>
      <c r="F1067" s="308" t="s">
        <v>3705</v>
      </c>
      <c r="H1067" s="1088">
        <f>ROUND(+H1066*T$2,2)</f>
        <v>24.72</v>
      </c>
      <c r="J1067" s="114"/>
      <c r="K1067" s="114">
        <v>-49440</v>
      </c>
      <c r="L1067" s="114"/>
      <c r="M1067" s="114"/>
      <c r="N1067" s="114"/>
      <c r="O1067" s="114"/>
      <c r="Q1067" s="633"/>
      <c r="V1067" s="115"/>
    </row>
    <row r="1068" spans="5:22" ht="12.75" customHeight="1" x14ac:dyDescent="0.25">
      <c r="E1068" s="114">
        <v>2000</v>
      </c>
      <c r="F1068" s="308" t="s">
        <v>3705</v>
      </c>
      <c r="H1068" s="1088">
        <f>ROUND(+H1067*U$2,2)</f>
        <v>25.24</v>
      </c>
      <c r="J1068" s="114"/>
      <c r="K1068" s="114"/>
      <c r="L1068" s="114">
        <f>-$E1068*$H1068</f>
        <v>-50480</v>
      </c>
      <c r="M1068" s="114"/>
      <c r="N1068" s="114"/>
      <c r="O1068" s="114"/>
      <c r="Q1068" s="633"/>
      <c r="V1068" s="115"/>
    </row>
    <row r="1069" spans="5:22" ht="12.75" customHeight="1" x14ac:dyDescent="0.25">
      <c r="E1069" s="544">
        <v>2000</v>
      </c>
      <c r="F1069" s="2059" t="s">
        <v>3705</v>
      </c>
      <c r="G1069" s="358"/>
      <c r="H1069" s="2064">
        <f>ROUND(+H1068*V$2,2)</f>
        <v>25.82</v>
      </c>
      <c r="J1069" s="114"/>
      <c r="K1069" s="114"/>
      <c r="L1069" s="114"/>
      <c r="M1069" s="114">
        <f>-$E1069*$H1069</f>
        <v>-51640</v>
      </c>
      <c r="N1069" s="114"/>
      <c r="O1069" s="114"/>
      <c r="Q1069" s="633"/>
      <c r="V1069" s="115"/>
    </row>
    <row r="1070" spans="5:22" ht="12.75" customHeight="1" x14ac:dyDescent="0.25">
      <c r="E1070" s="544">
        <v>2000</v>
      </c>
      <c r="F1070" s="2059" t="s">
        <v>3705</v>
      </c>
      <c r="G1070" s="358"/>
      <c r="H1070" s="2064">
        <f>ROUND(+H1069*W$2,2)</f>
        <v>26.41</v>
      </c>
      <c r="J1070" s="114"/>
      <c r="K1070" s="114"/>
      <c r="L1070" s="114"/>
      <c r="M1070" s="114"/>
      <c r="N1070" s="114">
        <f>-$E1070*$H1070</f>
        <v>-52820</v>
      </c>
      <c r="O1070" s="114"/>
      <c r="Q1070" s="633"/>
      <c r="V1070" s="115"/>
    </row>
    <row r="1071" spans="5:22" ht="12.75" customHeight="1" x14ac:dyDescent="0.25">
      <c r="E1071" s="544">
        <v>2000</v>
      </c>
      <c r="F1071" s="2059" t="s">
        <v>3705</v>
      </c>
      <c r="G1071" s="358"/>
      <c r="H1071" s="2064">
        <f>ROUND(+H1070*X$2,2)</f>
        <v>27.02</v>
      </c>
      <c r="J1071" s="114"/>
      <c r="K1071" s="114"/>
      <c r="L1071" s="114"/>
      <c r="M1071" s="114"/>
      <c r="N1071" s="114"/>
      <c r="O1071" s="114">
        <f>-$E1071*$H1071</f>
        <v>-54040</v>
      </c>
      <c r="Q1071" s="633"/>
      <c r="V1071" s="115"/>
    </row>
    <row r="1072" spans="5:22" ht="12.75" customHeight="1" thickBot="1" x14ac:dyDescent="0.3">
      <c r="E1072" s="114" t="s">
        <v>3706</v>
      </c>
      <c r="I1072" s="1105" t="s">
        <v>3707</v>
      </c>
      <c r="J1072" s="1744">
        <v>-220814.5</v>
      </c>
      <c r="K1072" s="1744">
        <v>-227226.75</v>
      </c>
      <c r="L1072" s="1744">
        <f>SUM(L1052:L1067)</f>
        <v>-179766.72</v>
      </c>
      <c r="M1072" s="1744">
        <f>SUM(M1052:M1067)</f>
        <v>-182814.75</v>
      </c>
      <c r="N1072" s="1744">
        <f>SUM(N1052:N1067)</f>
        <v>-185924</v>
      </c>
      <c r="O1072" s="1744">
        <f>SUM(O1052:O1067)</f>
        <v>-189108</v>
      </c>
      <c r="Q1072" s="633"/>
      <c r="V1072" s="115"/>
    </row>
    <row r="1073" spans="4:22" ht="12.75" customHeight="1" thickTop="1" x14ac:dyDescent="0.25">
      <c r="E1073" s="114"/>
      <c r="I1073" s="1105"/>
      <c r="J1073" s="114"/>
      <c r="K1073" s="114"/>
      <c r="L1073" s="114"/>
      <c r="M1073" s="114"/>
      <c r="N1073" s="114"/>
      <c r="O1073" s="114"/>
      <c r="Q1073" s="633"/>
      <c r="V1073" s="115"/>
    </row>
    <row r="1074" spans="4:22" ht="12.75" customHeight="1" x14ac:dyDescent="0.25">
      <c r="E1074" s="114"/>
      <c r="I1074" s="394"/>
      <c r="J1074" s="114"/>
      <c r="K1074" s="114"/>
      <c r="L1074" s="114"/>
      <c r="M1074" s="114"/>
      <c r="N1074" s="114"/>
      <c r="O1074" s="114"/>
      <c r="Q1074" s="633"/>
      <c r="V1074" s="115"/>
    </row>
    <row r="1075" spans="4:22" ht="12.75" customHeight="1" thickBot="1" x14ac:dyDescent="0.3">
      <c r="E1075" s="114" t="s">
        <v>3708</v>
      </c>
      <c r="I1075" s="1105" t="s">
        <v>3709</v>
      </c>
      <c r="J1075" s="1744">
        <v>-324517.5</v>
      </c>
      <c r="K1075" s="1744">
        <v>-333636.75</v>
      </c>
      <c r="L1075" s="1744">
        <f>L1020+L1072</f>
        <v>-291635.71999999997</v>
      </c>
      <c r="M1075" s="1744">
        <f>M1020+M1072</f>
        <v>-295131.75</v>
      </c>
      <c r="N1075" s="1744">
        <f>N1020+N1072</f>
        <v>-298492</v>
      </c>
      <c r="O1075" s="1744">
        <f>O1020+O1072</f>
        <v>-305414</v>
      </c>
      <c r="Q1075" s="633"/>
      <c r="V1075" s="115"/>
    </row>
    <row r="1076" spans="4:22" ht="12.75" customHeight="1" thickTop="1" x14ac:dyDescent="0.25">
      <c r="Q1076" s="633"/>
      <c r="V1076" s="115"/>
    </row>
    <row r="1077" spans="4:22" ht="12.75" customHeight="1" x14ac:dyDescent="0.25">
      <c r="F1077" s="382"/>
      <c r="I1077" s="531"/>
      <c r="J1077" s="531"/>
      <c r="K1077" s="531"/>
      <c r="L1077" s="531"/>
      <c r="M1077" s="531"/>
      <c r="N1077" s="531"/>
      <c r="O1077" s="531"/>
      <c r="Q1077" s="633"/>
      <c r="V1077" s="115"/>
    </row>
    <row r="1078" spans="4:22" ht="12.75" customHeight="1" x14ac:dyDescent="0.25">
      <c r="D1078" s="393"/>
      <c r="E1078" s="383" t="s">
        <v>554</v>
      </c>
      <c r="F1078" s="382"/>
      <c r="I1078" s="531"/>
      <c r="J1078" s="531"/>
      <c r="K1078" s="531"/>
      <c r="L1078" s="531"/>
      <c r="M1078" s="531"/>
      <c r="N1078" s="531"/>
      <c r="O1078" s="531"/>
      <c r="Q1078" s="633"/>
      <c r="V1078" s="115"/>
    </row>
    <row r="1079" spans="4:22" ht="12.75" customHeight="1" x14ac:dyDescent="0.25">
      <c r="E1079" s="115" t="s">
        <v>3710</v>
      </c>
      <c r="I1079" s="114"/>
      <c r="J1079" s="114"/>
      <c r="K1079" s="114"/>
      <c r="L1079" s="114"/>
      <c r="M1079" s="114"/>
      <c r="N1079" s="114"/>
      <c r="O1079" s="114"/>
    </row>
    <row r="1080" spans="4:22" ht="12.75" customHeight="1" x14ac:dyDescent="0.25">
      <c r="E1080" s="115"/>
      <c r="I1080" s="114"/>
      <c r="J1080" s="114"/>
      <c r="K1080" s="114"/>
      <c r="L1080" s="114"/>
      <c r="M1080" s="114"/>
      <c r="N1080" s="114"/>
      <c r="O1080" s="114"/>
    </row>
    <row r="1081" spans="4:22" ht="12.75" customHeight="1" x14ac:dyDescent="0.25">
      <c r="D1081" s="393">
        <v>630015</v>
      </c>
      <c r="E1081" s="381" t="s">
        <v>3711</v>
      </c>
      <c r="I1081" s="114"/>
      <c r="J1081" s="114"/>
      <c r="K1081" s="114"/>
      <c r="L1081" s="114"/>
      <c r="M1081" s="114"/>
      <c r="N1081" s="114"/>
      <c r="O1081" s="114"/>
    </row>
    <row r="1082" spans="4:22" ht="12.75" customHeight="1" x14ac:dyDescent="0.25">
      <c r="D1082" s="393"/>
      <c r="E1082" s="383" t="s">
        <v>554</v>
      </c>
      <c r="F1082" s="382"/>
      <c r="I1082" s="114"/>
      <c r="J1082" s="531"/>
      <c r="K1082" s="531"/>
      <c r="L1082" s="531"/>
      <c r="M1082" s="531"/>
      <c r="N1082" s="531"/>
      <c r="O1082" s="531"/>
      <c r="P1082" s="1738"/>
    </row>
    <row r="1083" spans="4:22" ht="12.75" customHeight="1" x14ac:dyDescent="0.25">
      <c r="D1083" s="393"/>
      <c r="E1083" s="114" t="s">
        <v>3654</v>
      </c>
      <c r="F1083" s="382"/>
      <c r="I1083" s="114"/>
      <c r="J1083" s="531"/>
      <c r="K1083" s="531"/>
      <c r="L1083" s="531"/>
      <c r="M1083" s="531"/>
      <c r="N1083" s="531"/>
      <c r="O1083" s="531"/>
      <c r="P1083" s="1738"/>
    </row>
    <row r="1084" spans="4:22" ht="12.75" customHeight="1" x14ac:dyDescent="0.25">
      <c r="D1084" s="393"/>
      <c r="E1084" s="114"/>
      <c r="F1084" s="382"/>
      <c r="I1084" s="114"/>
      <c r="J1084" s="531"/>
      <c r="K1084" s="531"/>
      <c r="L1084" s="531"/>
      <c r="M1084" s="531"/>
      <c r="N1084" s="531"/>
      <c r="O1084" s="531"/>
      <c r="P1084" s="1738"/>
    </row>
    <row r="1085" spans="4:22" ht="12.75" customHeight="1" x14ac:dyDescent="0.25">
      <c r="D1085" s="143">
        <v>83600</v>
      </c>
      <c r="E1085" s="115" t="s">
        <v>3712</v>
      </c>
      <c r="I1085" s="114"/>
    </row>
    <row r="1086" spans="4:22" ht="12.75" customHeight="1" x14ac:dyDescent="0.25">
      <c r="E1086" s="114"/>
      <c r="I1086" s="1088"/>
      <c r="J1086" s="114"/>
      <c r="K1086" s="114"/>
      <c r="L1086" s="114"/>
      <c r="M1086" s="114"/>
      <c r="N1086" s="114"/>
      <c r="O1086" s="114"/>
      <c r="Q1086" s="633"/>
      <c r="V1086" s="115"/>
    </row>
    <row r="1087" spans="4:22" ht="12.75" customHeight="1" x14ac:dyDescent="0.25">
      <c r="G1087" s="114">
        <v>450</v>
      </c>
      <c r="H1087" s="115" t="s">
        <v>3502</v>
      </c>
      <c r="I1087" s="1088">
        <v>14.79</v>
      </c>
      <c r="J1087" s="114"/>
      <c r="K1087" s="114"/>
      <c r="L1087" s="114"/>
      <c r="M1087" s="114"/>
      <c r="N1087" s="114"/>
      <c r="O1087" s="114"/>
      <c r="Q1087" s="633"/>
      <c r="V1087" s="115"/>
    </row>
    <row r="1088" spans="4:22" ht="12.75" customHeight="1" x14ac:dyDescent="0.25">
      <c r="G1088" s="114">
        <v>450</v>
      </c>
      <c r="H1088" s="115" t="s">
        <v>3502</v>
      </c>
      <c r="I1088" s="1088">
        <f>ROUND(+I1087*S$2,2)</f>
        <v>15.2</v>
      </c>
      <c r="J1088" s="114">
        <v>-6840</v>
      </c>
      <c r="K1088" s="114"/>
      <c r="L1088" s="114"/>
      <c r="M1088" s="114"/>
      <c r="N1088" s="114"/>
      <c r="O1088" s="114"/>
      <c r="Q1088" s="633"/>
      <c r="V1088" s="115"/>
    </row>
    <row r="1089" spans="5:22" ht="12.75" customHeight="1" x14ac:dyDescent="0.25">
      <c r="G1089" s="114">
        <v>450</v>
      </c>
      <c r="H1089" s="115" t="s">
        <v>3502</v>
      </c>
      <c r="I1089" s="1088">
        <f>ROUND(+I1088*T$2,2)</f>
        <v>15.6</v>
      </c>
      <c r="J1089" s="114"/>
      <c r="K1089" s="114">
        <v>-7020</v>
      </c>
      <c r="L1089" s="114"/>
      <c r="M1089" s="114"/>
      <c r="N1089" s="114"/>
      <c r="O1089" s="114"/>
      <c r="Q1089" s="633"/>
      <c r="V1089" s="115"/>
    </row>
    <row r="1090" spans="5:22" ht="12.75" customHeight="1" x14ac:dyDescent="0.25">
      <c r="G1090" s="114">
        <v>450</v>
      </c>
      <c r="H1090" s="115" t="s">
        <v>3502</v>
      </c>
      <c r="I1090" s="1088">
        <f>ROUND(+I1089*U$2,2)</f>
        <v>15.93</v>
      </c>
      <c r="J1090" s="114"/>
      <c r="K1090" s="114"/>
      <c r="L1090" s="114">
        <f>-ROUND($G1090*$I1090,-1)</f>
        <v>-7170</v>
      </c>
      <c r="M1090" s="114"/>
      <c r="N1090" s="114"/>
      <c r="O1090" s="114"/>
      <c r="Q1090" s="633"/>
      <c r="V1090" s="115"/>
    </row>
    <row r="1091" spans="5:22" ht="12.75" customHeight="1" x14ac:dyDescent="0.25">
      <c r="G1091" s="544">
        <v>450</v>
      </c>
      <c r="H1091" s="358" t="s">
        <v>3502</v>
      </c>
      <c r="I1091" s="2064">
        <f>ROUND(+I1090*V$2,2)</f>
        <v>16.3</v>
      </c>
      <c r="J1091" s="114"/>
      <c r="K1091" s="114"/>
      <c r="L1091" s="114"/>
      <c r="M1091" s="114">
        <f>-ROUND($G1091*$I1091,-1)</f>
        <v>-7340</v>
      </c>
      <c r="N1091" s="114"/>
      <c r="O1091" s="114"/>
      <c r="Q1091" s="633"/>
      <c r="V1091" s="115"/>
    </row>
    <row r="1092" spans="5:22" ht="12.75" customHeight="1" x14ac:dyDescent="0.25">
      <c r="G1092" s="544">
        <v>450</v>
      </c>
      <c r="H1092" s="358" t="s">
        <v>3502</v>
      </c>
      <c r="I1092" s="2064">
        <f>ROUND(+I1091*W$2,2)</f>
        <v>16.670000000000002</v>
      </c>
      <c r="J1092" s="114"/>
      <c r="K1092" s="114"/>
      <c r="L1092" s="114"/>
      <c r="M1092" s="114"/>
      <c r="N1092" s="114">
        <f>-ROUND($G1092*$I1092,-1)</f>
        <v>-7500</v>
      </c>
      <c r="O1092" s="114"/>
      <c r="Q1092" s="633"/>
      <c r="V1092" s="115"/>
    </row>
    <row r="1093" spans="5:22" ht="12.75" customHeight="1" x14ac:dyDescent="0.25">
      <c r="G1093" s="544">
        <v>450</v>
      </c>
      <c r="H1093" s="358" t="s">
        <v>3502</v>
      </c>
      <c r="I1093" s="2064">
        <f>ROUND(+I1092*X$2,2)</f>
        <v>17.05</v>
      </c>
      <c r="J1093" s="114"/>
      <c r="K1093" s="114"/>
      <c r="L1093" s="114"/>
      <c r="M1093" s="114"/>
      <c r="N1093" s="114"/>
      <c r="O1093" s="114">
        <f>-ROUND($G1093*$I1093,-1)</f>
        <v>-7670</v>
      </c>
      <c r="Q1093" s="633"/>
      <c r="V1093" s="115"/>
    </row>
    <row r="1094" spans="5:22" ht="12.6" customHeight="1" x14ac:dyDescent="0.25">
      <c r="E1094" s="115" t="s">
        <v>3713</v>
      </c>
      <c r="J1094" s="114"/>
      <c r="K1094" s="114"/>
      <c r="L1094" s="114"/>
      <c r="M1094" s="114"/>
      <c r="N1094" s="114"/>
      <c r="O1094" s="114"/>
      <c r="Q1094" s="633"/>
      <c r="V1094" s="115"/>
    </row>
    <row r="1095" spans="5:22" ht="12.75" customHeight="1" x14ac:dyDescent="0.25">
      <c r="E1095" s="115"/>
      <c r="I1095" s="1088"/>
      <c r="J1095" s="114"/>
      <c r="K1095" s="114"/>
      <c r="L1095" s="114"/>
      <c r="M1095" s="114"/>
      <c r="N1095" s="114"/>
      <c r="O1095" s="114"/>
      <c r="Q1095" s="633"/>
      <c r="V1095" s="115"/>
    </row>
    <row r="1096" spans="5:22" ht="12.75" customHeight="1" x14ac:dyDescent="0.25">
      <c r="I1096" s="1088"/>
      <c r="J1096" s="114"/>
      <c r="K1096" s="114"/>
      <c r="L1096" s="114"/>
      <c r="M1096" s="114"/>
      <c r="N1096" s="114"/>
      <c r="O1096" s="114"/>
      <c r="Q1096" s="633"/>
      <c r="V1096" s="115"/>
    </row>
    <row r="1097" spans="5:22" ht="12.75" customHeight="1" x14ac:dyDescent="0.25">
      <c r="I1097" s="1088"/>
      <c r="J1097" s="114"/>
      <c r="K1097" s="114"/>
      <c r="L1097" s="114"/>
      <c r="M1097" s="114"/>
      <c r="N1097" s="114"/>
      <c r="O1097" s="114"/>
      <c r="Q1097" s="633"/>
      <c r="V1097" s="115"/>
    </row>
    <row r="1098" spans="5:22" ht="12.75" customHeight="1" x14ac:dyDescent="0.25">
      <c r="G1098" s="115">
        <v>820</v>
      </c>
      <c r="H1098" s="115" t="s">
        <v>3502</v>
      </c>
      <c r="I1098" s="1088">
        <v>14.79</v>
      </c>
      <c r="J1098" s="114"/>
      <c r="K1098" s="114"/>
      <c r="L1098" s="114"/>
      <c r="M1098" s="114"/>
      <c r="N1098" s="114"/>
      <c r="O1098" s="114"/>
      <c r="Q1098" s="633"/>
      <c r="V1098" s="115"/>
    </row>
    <row r="1099" spans="5:22" ht="12.75" customHeight="1" x14ac:dyDescent="0.25">
      <c r="G1099" s="115">
        <v>820</v>
      </c>
      <c r="H1099" s="115" t="s">
        <v>3502</v>
      </c>
      <c r="I1099" s="1088">
        <f>ROUND(+I1098*S$2,2)</f>
        <v>15.2</v>
      </c>
      <c r="J1099" s="114">
        <v>-12460</v>
      </c>
      <c r="K1099" s="114"/>
      <c r="L1099" s="114"/>
      <c r="M1099" s="114"/>
      <c r="N1099" s="114"/>
      <c r="O1099" s="114"/>
      <c r="Q1099" s="633"/>
      <c r="V1099" s="115"/>
    </row>
    <row r="1100" spans="5:22" ht="12.75" customHeight="1" x14ac:dyDescent="0.25">
      <c r="G1100" s="115">
        <v>820</v>
      </c>
      <c r="H1100" s="115" t="s">
        <v>3502</v>
      </c>
      <c r="I1100" s="1088">
        <f>ROUND(+I1099*T$2,2)</f>
        <v>15.6</v>
      </c>
      <c r="J1100" s="114"/>
      <c r="K1100" s="114">
        <v>-12790</v>
      </c>
      <c r="L1100" s="114"/>
      <c r="M1100" s="114"/>
      <c r="N1100" s="114"/>
      <c r="O1100" s="114"/>
      <c r="Q1100" s="633"/>
      <c r="V1100" s="115"/>
    </row>
    <row r="1101" spans="5:22" ht="12.75" customHeight="1" x14ac:dyDescent="0.25">
      <c r="G1101" s="115">
        <v>820</v>
      </c>
      <c r="H1101" s="115" t="s">
        <v>3502</v>
      </c>
      <c r="I1101" s="1088">
        <f>ROUND(+I1100*U$2,2)</f>
        <v>15.93</v>
      </c>
      <c r="J1101" s="114"/>
      <c r="K1101" s="114"/>
      <c r="L1101" s="114">
        <f>-ROUND($G1101*$I1101,-1)</f>
        <v>-13060</v>
      </c>
      <c r="M1101" s="114"/>
      <c r="N1101" s="114"/>
      <c r="O1101" s="114"/>
      <c r="Q1101" s="633"/>
      <c r="V1101" s="115"/>
    </row>
    <row r="1102" spans="5:22" ht="12.75" customHeight="1" x14ac:dyDescent="0.25">
      <c r="G1102" s="358">
        <v>820</v>
      </c>
      <c r="H1102" s="358" t="s">
        <v>3502</v>
      </c>
      <c r="I1102" s="2064">
        <f>ROUND(+I1101*V$2,2)</f>
        <v>16.3</v>
      </c>
      <c r="J1102" s="114"/>
      <c r="K1102" s="114"/>
      <c r="L1102" s="114"/>
      <c r="M1102" s="114">
        <f>-ROUND($G1102*$I1102,-1)</f>
        <v>-13370</v>
      </c>
      <c r="N1102" s="114"/>
      <c r="O1102" s="114"/>
      <c r="Q1102" s="633"/>
      <c r="V1102" s="115"/>
    </row>
    <row r="1103" spans="5:22" ht="12.75" customHeight="1" x14ac:dyDescent="0.25">
      <c r="G1103" s="358">
        <v>820</v>
      </c>
      <c r="H1103" s="358" t="s">
        <v>3502</v>
      </c>
      <c r="I1103" s="2064">
        <f>ROUND(+I1102*W$2,2)</f>
        <v>16.670000000000002</v>
      </c>
      <c r="J1103" s="114"/>
      <c r="K1103" s="114"/>
      <c r="L1103" s="114"/>
      <c r="M1103" s="114"/>
      <c r="N1103" s="114">
        <f>-ROUND($G1103*$I1103,-1)</f>
        <v>-13670</v>
      </c>
      <c r="O1103" s="114"/>
      <c r="Q1103" s="633"/>
      <c r="V1103" s="115"/>
    </row>
    <row r="1104" spans="5:22" ht="12.75" customHeight="1" x14ac:dyDescent="0.25">
      <c r="G1104" s="358">
        <v>820</v>
      </c>
      <c r="H1104" s="358" t="s">
        <v>3502</v>
      </c>
      <c r="I1104" s="2064">
        <f>ROUND(+I1103*X$2,2)</f>
        <v>17.05</v>
      </c>
      <c r="J1104" s="114"/>
      <c r="K1104" s="114"/>
      <c r="L1104" s="114"/>
      <c r="M1104" s="114"/>
      <c r="N1104" s="114"/>
      <c r="O1104" s="114">
        <f>-ROUND($G1104*$I1104,-1)</f>
        <v>-13980</v>
      </c>
      <c r="Q1104" s="633"/>
      <c r="V1104" s="115"/>
    </row>
    <row r="1105" spans="4:22" ht="12.75" customHeight="1" x14ac:dyDescent="0.25">
      <c r="E1105" s="115"/>
      <c r="I1105" s="1088"/>
      <c r="J1105" s="114"/>
      <c r="K1105" s="114"/>
      <c r="L1105" s="114"/>
      <c r="M1105" s="114"/>
      <c r="N1105" s="114"/>
      <c r="O1105" s="114"/>
      <c r="Q1105" s="633"/>
      <c r="V1105" s="115"/>
    </row>
    <row r="1106" spans="4:22" ht="12.75" customHeight="1" thickBot="1" x14ac:dyDescent="0.3">
      <c r="E1106" s="115" t="str">
        <f>"Totaal "&amp;D1085</f>
        <v>Totaal 83600</v>
      </c>
      <c r="I1106" s="394"/>
      <c r="J1106" s="1779">
        <v>-19300</v>
      </c>
      <c r="K1106" s="1779">
        <v>-19810</v>
      </c>
      <c r="L1106" s="1779">
        <f>SUM(L1086:L1105)</f>
        <v>-20230</v>
      </c>
      <c r="M1106" s="1779">
        <f>SUM(M1086:M1105)</f>
        <v>-20710</v>
      </c>
      <c r="N1106" s="1779">
        <f>SUM(N1086:N1105)</f>
        <v>-21170</v>
      </c>
      <c r="O1106" s="1779">
        <f>SUM(O1086:O1105)</f>
        <v>-21650</v>
      </c>
      <c r="Q1106" s="633"/>
      <c r="V1106" s="115"/>
    </row>
    <row r="1107" spans="4:22" ht="12.75" customHeight="1" thickTop="1" x14ac:dyDescent="0.25">
      <c r="I1107" s="114"/>
      <c r="Q1107" s="633"/>
      <c r="V1107" s="115"/>
    </row>
    <row r="1108" spans="4:22" ht="12.75" customHeight="1" x14ac:dyDescent="0.25">
      <c r="I1108" s="114"/>
      <c r="Q1108" s="633"/>
      <c r="V1108" s="115"/>
    </row>
    <row r="1109" spans="4:22" ht="12.75" customHeight="1" x14ac:dyDescent="0.25">
      <c r="D1109" s="393">
        <v>630016</v>
      </c>
      <c r="E1109" s="381" t="s">
        <v>3445</v>
      </c>
      <c r="F1109" s="382"/>
      <c r="I1109" s="114"/>
      <c r="J1109" s="407">
        <v>2025</v>
      </c>
      <c r="K1109" s="407">
        <v>2026</v>
      </c>
      <c r="L1109" s="407">
        <v>2027</v>
      </c>
      <c r="M1109" s="407">
        <v>2028</v>
      </c>
      <c r="N1109" s="407">
        <v>2029</v>
      </c>
      <c r="O1109" s="407">
        <v>2030</v>
      </c>
      <c r="Q1109" s="633"/>
      <c r="V1109" s="115"/>
    </row>
    <row r="1110" spans="4:22" ht="12.75" customHeight="1" x14ac:dyDescent="0.25">
      <c r="D1110" s="393"/>
      <c r="E1110" s="383" t="s">
        <v>554</v>
      </c>
      <c r="F1110" s="382"/>
      <c r="I1110" s="114"/>
      <c r="J1110" s="531"/>
      <c r="K1110" s="531"/>
      <c r="L1110" s="531"/>
      <c r="M1110" s="531"/>
      <c r="N1110" s="531"/>
      <c r="O1110" s="531"/>
      <c r="Q1110" s="633"/>
      <c r="V1110" s="115"/>
    </row>
    <row r="1111" spans="4:22" ht="12.75" customHeight="1" x14ac:dyDescent="0.25">
      <c r="D1111" s="393"/>
      <c r="E1111" s="115" t="s">
        <v>3662</v>
      </c>
      <c r="F1111" s="382"/>
      <c r="I1111" s="114"/>
      <c r="J1111" s="531"/>
      <c r="K1111" s="531"/>
      <c r="L1111" s="531"/>
      <c r="M1111" s="531"/>
      <c r="N1111" s="531"/>
      <c r="O1111" s="531"/>
      <c r="Q1111" s="633"/>
      <c r="V1111" s="115"/>
    </row>
    <row r="1112" spans="4:22" ht="12.75" customHeight="1" x14ac:dyDescent="0.25">
      <c r="D1112" s="393"/>
      <c r="E1112" s="410"/>
      <c r="F1112" s="382"/>
      <c r="I1112" s="114"/>
      <c r="J1112" s="531"/>
      <c r="K1112" s="531"/>
      <c r="L1112" s="531"/>
      <c r="M1112" s="531"/>
      <c r="N1112" s="531"/>
      <c r="O1112" s="531"/>
      <c r="Q1112" s="633"/>
      <c r="V1112" s="115"/>
    </row>
    <row r="1113" spans="4:22" ht="12.75" customHeight="1" x14ac:dyDescent="0.25">
      <c r="D1113" s="143">
        <v>83600</v>
      </c>
      <c r="E1113" s="115" t="s">
        <v>3714</v>
      </c>
      <c r="I1113" s="114"/>
      <c r="Q1113" s="633"/>
      <c r="V1113" s="115"/>
    </row>
    <row r="1114" spans="4:22" ht="12.75" customHeight="1" x14ac:dyDescent="0.25">
      <c r="I1114" s="1088"/>
      <c r="J1114" s="114"/>
      <c r="K1114" s="114"/>
      <c r="L1114" s="114"/>
      <c r="M1114" s="114"/>
      <c r="N1114" s="114"/>
      <c r="O1114" s="114"/>
      <c r="Q1114" s="633"/>
      <c r="V1114" s="115"/>
    </row>
    <row r="1115" spans="4:22" ht="12.75" customHeight="1" x14ac:dyDescent="0.25">
      <c r="I1115" s="1088"/>
      <c r="J1115" s="114"/>
      <c r="K1115" s="114"/>
      <c r="L1115" s="114"/>
      <c r="M1115" s="114"/>
      <c r="N1115" s="114"/>
      <c r="O1115" s="114"/>
      <c r="Q1115" s="633"/>
      <c r="V1115" s="115"/>
    </row>
    <row r="1116" spans="4:22" ht="12.75" customHeight="1" x14ac:dyDescent="0.25">
      <c r="G1116" s="115">
        <v>500</v>
      </c>
      <c r="H1116" s="115" t="s">
        <v>3502</v>
      </c>
      <c r="I1116" s="1088">
        <v>14.79</v>
      </c>
      <c r="J1116" s="114"/>
      <c r="K1116" s="114"/>
      <c r="L1116" s="114"/>
      <c r="M1116" s="114"/>
      <c r="N1116" s="114"/>
      <c r="O1116" s="114"/>
      <c r="Q1116" s="633"/>
      <c r="V1116" s="115"/>
    </row>
    <row r="1117" spans="4:22" ht="12.75" customHeight="1" x14ac:dyDescent="0.25">
      <c r="G1117" s="115">
        <v>500</v>
      </c>
      <c r="H1117" s="115" t="s">
        <v>3502</v>
      </c>
      <c r="I1117" s="1088">
        <f>ROUND(+I1116*S$2,2)</f>
        <v>15.2</v>
      </c>
      <c r="J1117" s="114">
        <v>-7600</v>
      </c>
      <c r="K1117" s="114"/>
      <c r="L1117" s="114"/>
      <c r="M1117" s="114"/>
      <c r="N1117" s="114"/>
      <c r="O1117" s="114"/>
      <c r="Q1117" s="633"/>
      <c r="V1117" s="115"/>
    </row>
    <row r="1118" spans="4:22" ht="12.75" customHeight="1" x14ac:dyDescent="0.25">
      <c r="G1118" s="115">
        <v>500</v>
      </c>
      <c r="H1118" s="115" t="s">
        <v>3502</v>
      </c>
      <c r="I1118" s="1088">
        <f>ROUND(+I1117*T$2,2)</f>
        <v>15.6</v>
      </c>
      <c r="J1118" s="114"/>
      <c r="K1118" s="114">
        <v>-7800</v>
      </c>
      <c r="L1118" s="114"/>
      <c r="M1118" s="114"/>
      <c r="N1118" s="114"/>
      <c r="O1118" s="114"/>
      <c r="Q1118" s="633"/>
      <c r="V1118" s="115"/>
    </row>
    <row r="1119" spans="4:22" ht="12.75" customHeight="1" x14ac:dyDescent="0.25">
      <c r="G1119" s="115">
        <v>500</v>
      </c>
      <c r="H1119" s="115" t="s">
        <v>3502</v>
      </c>
      <c r="I1119" s="1088">
        <f>ROUND(+I1118*U$2,2)</f>
        <v>15.93</v>
      </c>
      <c r="J1119" s="114"/>
      <c r="K1119" s="114"/>
      <c r="L1119" s="114">
        <f>-ROUND($G1119*$I1119,-1)</f>
        <v>-7970</v>
      </c>
      <c r="M1119" s="114"/>
      <c r="N1119" s="114"/>
      <c r="O1119" s="114"/>
      <c r="Q1119" s="633"/>
      <c r="V1119" s="115"/>
    </row>
    <row r="1120" spans="4:22" ht="12.75" customHeight="1" x14ac:dyDescent="0.25">
      <c r="G1120" s="358">
        <v>500</v>
      </c>
      <c r="H1120" s="358" t="s">
        <v>3502</v>
      </c>
      <c r="I1120" s="2064">
        <f>ROUND(+I1119*V$2,2)</f>
        <v>16.3</v>
      </c>
      <c r="J1120" s="114"/>
      <c r="K1120" s="114"/>
      <c r="L1120" s="114"/>
      <c r="M1120" s="114">
        <f>-ROUND($G1120*$I1120,-1)</f>
        <v>-8150</v>
      </c>
      <c r="N1120" s="114"/>
      <c r="O1120" s="114"/>
      <c r="Q1120" s="633"/>
      <c r="V1120" s="115"/>
    </row>
    <row r="1121" spans="5:22" ht="12.75" customHeight="1" x14ac:dyDescent="0.25">
      <c r="G1121" s="358">
        <v>500</v>
      </c>
      <c r="H1121" s="358" t="s">
        <v>3502</v>
      </c>
      <c r="I1121" s="2064">
        <f>ROUND(+I1120*W$2,2)</f>
        <v>16.670000000000002</v>
      </c>
      <c r="J1121" s="114"/>
      <c r="K1121" s="114"/>
      <c r="L1121" s="114"/>
      <c r="M1121" s="114"/>
      <c r="N1121" s="114">
        <f>-ROUND($G1121*$I1121,-1)</f>
        <v>-8340</v>
      </c>
      <c r="O1121" s="114"/>
      <c r="Q1121" s="633"/>
      <c r="V1121" s="115"/>
    </row>
    <row r="1122" spans="5:22" ht="12.75" customHeight="1" x14ac:dyDescent="0.25">
      <c r="G1122" s="358">
        <v>500</v>
      </c>
      <c r="H1122" s="358" t="s">
        <v>3502</v>
      </c>
      <c r="I1122" s="2064">
        <f>ROUND(+I1121*X$2,2)</f>
        <v>17.05</v>
      </c>
      <c r="J1122" s="114"/>
      <c r="K1122" s="114"/>
      <c r="L1122" s="114"/>
      <c r="M1122" s="114"/>
      <c r="N1122" s="114"/>
      <c r="O1122" s="114">
        <f>-ROUND($G1122*$I1122,-1)</f>
        <v>-8530</v>
      </c>
      <c r="Q1122" s="633"/>
      <c r="V1122" s="115"/>
    </row>
    <row r="1123" spans="5:22" ht="12.75" customHeight="1" x14ac:dyDescent="0.25">
      <c r="E1123" s="115"/>
      <c r="I1123" s="1088"/>
      <c r="J1123" s="114"/>
      <c r="K1123" s="114"/>
      <c r="L1123" s="114"/>
      <c r="M1123" s="114"/>
      <c r="N1123" s="114"/>
      <c r="O1123" s="114"/>
      <c r="Q1123" s="633"/>
      <c r="V1123" s="115"/>
    </row>
    <row r="1124" spans="5:22" ht="12.75" customHeight="1" x14ac:dyDescent="0.25">
      <c r="E1124" s="115" t="s">
        <v>3713</v>
      </c>
      <c r="J1124" s="114"/>
      <c r="K1124" s="114"/>
      <c r="L1124" s="114"/>
      <c r="M1124" s="114"/>
      <c r="N1124" s="114"/>
      <c r="O1124" s="114"/>
      <c r="Q1124" s="633"/>
      <c r="V1124" s="115"/>
    </row>
    <row r="1125" spans="5:22" ht="12.75" customHeight="1" x14ac:dyDescent="0.25">
      <c r="I1125" s="1088"/>
      <c r="J1125" s="114"/>
      <c r="K1125" s="114"/>
      <c r="L1125" s="114"/>
      <c r="M1125" s="114"/>
      <c r="N1125" s="114"/>
      <c r="O1125" s="114"/>
      <c r="Q1125" s="633"/>
      <c r="V1125" s="115"/>
    </row>
    <row r="1126" spans="5:22" ht="12.75" customHeight="1" x14ac:dyDescent="0.25">
      <c r="I1126" s="1088"/>
      <c r="J1126" s="114"/>
      <c r="K1126" s="114"/>
      <c r="L1126" s="114"/>
      <c r="M1126" s="114"/>
      <c r="N1126" s="114"/>
      <c r="O1126" s="114"/>
      <c r="Q1126" s="633"/>
      <c r="V1126" s="115"/>
    </row>
    <row r="1127" spans="5:22" ht="12.75" customHeight="1" x14ac:dyDescent="0.25">
      <c r="G1127" s="115">
        <v>525</v>
      </c>
      <c r="H1127" s="115" t="s">
        <v>3502</v>
      </c>
      <c r="I1127" s="1088">
        <v>14.79</v>
      </c>
      <c r="J1127" s="114"/>
      <c r="K1127" s="114"/>
      <c r="L1127" s="114"/>
      <c r="M1127" s="114"/>
      <c r="N1127" s="114"/>
      <c r="O1127" s="114"/>
      <c r="Q1127" s="633"/>
      <c r="V1127" s="115"/>
    </row>
    <row r="1128" spans="5:22" ht="12.75" customHeight="1" x14ac:dyDescent="0.25">
      <c r="G1128" s="115">
        <v>525</v>
      </c>
      <c r="H1128" s="115" t="s">
        <v>3502</v>
      </c>
      <c r="I1128" s="1088">
        <f>ROUND(+I1127*S$2,2)</f>
        <v>15.2</v>
      </c>
      <c r="J1128" s="114">
        <v>-7980</v>
      </c>
      <c r="K1128" s="114"/>
      <c r="L1128" s="114"/>
      <c r="M1128" s="114"/>
      <c r="N1128" s="114"/>
      <c r="O1128" s="114"/>
      <c r="Q1128" s="633"/>
      <c r="V1128" s="115"/>
    </row>
    <row r="1129" spans="5:22" ht="12.75" customHeight="1" x14ac:dyDescent="0.25">
      <c r="G1129" s="115">
        <v>525</v>
      </c>
      <c r="H1129" s="115" t="s">
        <v>3502</v>
      </c>
      <c r="I1129" s="1088">
        <f>ROUND(+I1128*T$2,2)</f>
        <v>15.6</v>
      </c>
      <c r="J1129" s="114"/>
      <c r="K1129" s="114">
        <v>-8190</v>
      </c>
      <c r="L1129" s="114"/>
      <c r="M1129" s="114"/>
      <c r="N1129" s="114"/>
      <c r="O1129" s="114"/>
      <c r="Q1129" s="633"/>
      <c r="V1129" s="115"/>
    </row>
    <row r="1130" spans="5:22" ht="12.75" customHeight="1" x14ac:dyDescent="0.25">
      <c r="G1130" s="115">
        <v>525</v>
      </c>
      <c r="H1130" s="115" t="s">
        <v>3502</v>
      </c>
      <c r="I1130" s="1088">
        <f>ROUND(+I1129*U$2,2)</f>
        <v>15.93</v>
      </c>
      <c r="J1130" s="114"/>
      <c r="K1130" s="114"/>
      <c r="L1130" s="114">
        <f>-ROUND($G1130*$I1130,-1)</f>
        <v>-8360</v>
      </c>
      <c r="M1130" s="114"/>
      <c r="N1130" s="114"/>
      <c r="O1130" s="114"/>
      <c r="Q1130" s="633"/>
      <c r="V1130" s="115"/>
    </row>
    <row r="1131" spans="5:22" ht="12.75" customHeight="1" x14ac:dyDescent="0.25">
      <c r="G1131" s="358">
        <v>525</v>
      </c>
      <c r="H1131" s="358" t="s">
        <v>3502</v>
      </c>
      <c r="I1131" s="2064">
        <f>ROUND(+I1130*V$2,2)</f>
        <v>16.3</v>
      </c>
      <c r="J1131" s="114"/>
      <c r="K1131" s="114"/>
      <c r="L1131" s="114"/>
      <c r="M1131" s="114">
        <f>-ROUND($G1131*$I1131,-1)</f>
        <v>-8560</v>
      </c>
      <c r="N1131" s="114"/>
      <c r="O1131" s="114"/>
      <c r="Q1131" s="633"/>
      <c r="V1131" s="115"/>
    </row>
    <row r="1132" spans="5:22" ht="12.75" customHeight="1" x14ac:dyDescent="0.25">
      <c r="G1132" s="358">
        <v>525</v>
      </c>
      <c r="H1132" s="358" t="s">
        <v>3502</v>
      </c>
      <c r="I1132" s="2064">
        <f>ROUND(+I1131*W$2,2)</f>
        <v>16.670000000000002</v>
      </c>
      <c r="J1132" s="114"/>
      <c r="K1132" s="114"/>
      <c r="L1132" s="114"/>
      <c r="M1132" s="114"/>
      <c r="N1132" s="114">
        <f>-ROUND($G1132*$I1132,-1)</f>
        <v>-8750</v>
      </c>
      <c r="O1132" s="114"/>
      <c r="Q1132" s="633"/>
      <c r="V1132" s="115"/>
    </row>
    <row r="1133" spans="5:22" ht="12.75" customHeight="1" x14ac:dyDescent="0.25">
      <c r="G1133" s="358">
        <v>525</v>
      </c>
      <c r="H1133" s="358" t="s">
        <v>3502</v>
      </c>
      <c r="I1133" s="2064">
        <f>ROUND(+I1132*X$2,2)</f>
        <v>17.05</v>
      </c>
      <c r="J1133" s="114"/>
      <c r="K1133" s="114"/>
      <c r="L1133" s="114"/>
      <c r="M1133" s="114"/>
      <c r="N1133" s="114"/>
      <c r="O1133" s="114">
        <f>-ROUND($G1133*$I1133,-1)</f>
        <v>-8950</v>
      </c>
      <c r="Q1133" s="633"/>
      <c r="V1133" s="115"/>
    </row>
    <row r="1134" spans="5:22" ht="12.75" customHeight="1" x14ac:dyDescent="0.25">
      <c r="E1134" s="115"/>
      <c r="I1134" s="1088"/>
      <c r="J1134" s="114"/>
      <c r="K1134" s="114"/>
      <c r="L1134" s="114"/>
      <c r="M1134" s="114"/>
      <c r="N1134" s="114"/>
      <c r="O1134" s="114"/>
      <c r="Q1134" s="633"/>
      <c r="V1134" s="115"/>
    </row>
    <row r="1135" spans="5:22" ht="12.75" customHeight="1" thickBot="1" x14ac:dyDescent="0.3">
      <c r="E1135" s="115" t="str">
        <f>"Totaal "&amp;D1113</f>
        <v>Totaal 83600</v>
      </c>
      <c r="I1135" s="114"/>
      <c r="J1135" s="1744">
        <v>-15580</v>
      </c>
      <c r="K1135" s="1744">
        <v>-15990</v>
      </c>
      <c r="L1135" s="1744">
        <f>SUM(L1114:L1134)</f>
        <v>-16330</v>
      </c>
      <c r="M1135" s="1744">
        <f>SUM(M1114:M1134)</f>
        <v>-16710</v>
      </c>
      <c r="N1135" s="1744">
        <f>SUM(N1114:N1134)</f>
        <v>-17090</v>
      </c>
      <c r="O1135" s="1744">
        <f>SUM(O1114:O1134)</f>
        <v>-17480</v>
      </c>
      <c r="Q1135" s="633"/>
      <c r="V1135" s="115"/>
    </row>
    <row r="1136" spans="5:22" ht="12.75" customHeight="1" thickTop="1" x14ac:dyDescent="0.25">
      <c r="I1136" s="114"/>
      <c r="J1136" s="114"/>
      <c r="K1136" s="114"/>
      <c r="L1136" s="114"/>
      <c r="M1136" s="114"/>
      <c r="N1136" s="114"/>
      <c r="O1136" s="114"/>
      <c r="Q1136" s="633"/>
      <c r="V1136" s="115"/>
    </row>
    <row r="1137" spans="4:22" ht="12.75" customHeight="1" x14ac:dyDescent="0.25">
      <c r="I1137" s="114"/>
      <c r="J1137" s="114"/>
      <c r="K1137" s="114"/>
      <c r="L1137" s="114"/>
      <c r="M1137" s="114"/>
      <c r="N1137" s="114"/>
      <c r="O1137" s="114"/>
      <c r="Q1137" s="633"/>
      <c r="V1137" s="115"/>
    </row>
    <row r="1138" spans="4:22" ht="12.75" customHeight="1" x14ac:dyDescent="0.25">
      <c r="D1138" s="393">
        <v>630017</v>
      </c>
      <c r="E1138" s="381" t="s">
        <v>3454</v>
      </c>
      <c r="F1138" s="382"/>
      <c r="I1138" s="114"/>
      <c r="J1138" s="407">
        <v>2025</v>
      </c>
      <c r="K1138" s="407">
        <v>2026</v>
      </c>
      <c r="L1138" s="407">
        <v>2027</v>
      </c>
      <c r="M1138" s="407">
        <v>2028</v>
      </c>
      <c r="N1138" s="407">
        <v>2029</v>
      </c>
      <c r="O1138" s="407">
        <v>2030</v>
      </c>
      <c r="Q1138" s="633"/>
      <c r="V1138" s="115"/>
    </row>
    <row r="1139" spans="4:22" ht="12.75" customHeight="1" x14ac:dyDescent="0.25">
      <c r="D1139" s="393"/>
      <c r="E1139" s="383" t="s">
        <v>554</v>
      </c>
      <c r="F1139" s="382"/>
      <c r="I1139" s="114"/>
      <c r="J1139" s="531"/>
      <c r="K1139" s="531"/>
      <c r="L1139" s="531"/>
      <c r="M1139" s="531"/>
      <c r="N1139" s="531"/>
      <c r="O1139" s="531"/>
      <c r="Q1139" s="633"/>
      <c r="V1139" s="115"/>
    </row>
    <row r="1140" spans="4:22" ht="12.75" customHeight="1" x14ac:dyDescent="0.25">
      <c r="D1140" s="393"/>
      <c r="E1140" s="114" t="s">
        <v>3666</v>
      </c>
      <c r="F1140" s="382"/>
      <c r="I1140" s="114"/>
      <c r="J1140" s="531"/>
      <c r="K1140" s="531"/>
      <c r="L1140" s="531"/>
      <c r="M1140" s="531"/>
      <c r="N1140" s="531"/>
      <c r="O1140" s="531"/>
      <c r="Q1140" s="633"/>
      <c r="V1140" s="115"/>
    </row>
    <row r="1141" spans="4:22" ht="12.75" customHeight="1" x14ac:dyDescent="0.25">
      <c r="D1141" s="393"/>
      <c r="E1141" s="410"/>
      <c r="F1141" s="382"/>
      <c r="I1141" s="114"/>
      <c r="J1141" s="396"/>
      <c r="K1141" s="396"/>
      <c r="L1141" s="396"/>
      <c r="M1141" s="396"/>
      <c r="N1141" s="396"/>
      <c r="O1141" s="396"/>
      <c r="Q1141" s="633"/>
      <c r="V1141" s="115"/>
    </row>
    <row r="1142" spans="4:22" ht="12.75" customHeight="1" x14ac:dyDescent="0.25">
      <c r="D1142" s="143">
        <v>83600</v>
      </c>
      <c r="E1142" s="115" t="s">
        <v>3715</v>
      </c>
      <c r="I1142" s="114"/>
      <c r="Q1142" s="633"/>
      <c r="V1142" s="115"/>
    </row>
    <row r="1143" spans="4:22" ht="12.75" customHeight="1" x14ac:dyDescent="0.25">
      <c r="G1143" s="115">
        <v>475</v>
      </c>
      <c r="H1143" s="115" t="s">
        <v>3502</v>
      </c>
      <c r="I1143" s="1088">
        <v>14.79</v>
      </c>
      <c r="J1143" s="114"/>
      <c r="K1143" s="114"/>
      <c r="L1143" s="114"/>
      <c r="M1143" s="114"/>
      <c r="N1143" s="114"/>
      <c r="O1143" s="114"/>
      <c r="Q1143" s="633"/>
      <c r="V1143" s="115"/>
    </row>
    <row r="1144" spans="4:22" ht="12.75" customHeight="1" x14ac:dyDescent="0.25">
      <c r="G1144" s="115">
        <v>475</v>
      </c>
      <c r="H1144" s="115" t="s">
        <v>3502</v>
      </c>
      <c r="I1144" s="1088">
        <f>ROUND(+I1143*S$2,2)</f>
        <v>15.2</v>
      </c>
      <c r="J1144" s="114">
        <v>-7220</v>
      </c>
      <c r="K1144" s="114"/>
      <c r="L1144" s="114"/>
      <c r="M1144" s="114"/>
      <c r="N1144" s="114"/>
      <c r="O1144" s="114"/>
      <c r="Q1144" s="633"/>
      <c r="V1144" s="115"/>
    </row>
    <row r="1145" spans="4:22" ht="12.75" customHeight="1" x14ac:dyDescent="0.25">
      <c r="G1145" s="115">
        <v>475</v>
      </c>
      <c r="H1145" s="115" t="s">
        <v>3502</v>
      </c>
      <c r="I1145" s="1088">
        <f>ROUND(+I1144*S$2,2)</f>
        <v>15.63</v>
      </c>
      <c r="J1145" s="114"/>
      <c r="K1145" s="114">
        <v>-7420</v>
      </c>
      <c r="L1145" s="114"/>
      <c r="M1145" s="114"/>
      <c r="N1145" s="114"/>
      <c r="O1145" s="114"/>
      <c r="Q1145" s="633"/>
      <c r="V1145" s="115"/>
    </row>
    <row r="1146" spans="4:22" ht="12.75" customHeight="1" x14ac:dyDescent="0.25">
      <c r="G1146" s="115">
        <v>475</v>
      </c>
      <c r="H1146" s="115" t="s">
        <v>3502</v>
      </c>
      <c r="I1146" s="1088">
        <f>ROUND(+I1145*U$2,2)</f>
        <v>15.96</v>
      </c>
      <c r="J1146" s="114"/>
      <c r="K1146" s="114"/>
      <c r="L1146" s="114">
        <f>-ROUND($G1146*$I1146,-1)</f>
        <v>-7580</v>
      </c>
      <c r="M1146" s="114"/>
      <c r="N1146" s="114"/>
      <c r="O1146" s="114"/>
      <c r="Q1146" s="633"/>
      <c r="V1146" s="115"/>
    </row>
    <row r="1147" spans="4:22" ht="12.75" customHeight="1" x14ac:dyDescent="0.25">
      <c r="G1147" s="358">
        <v>475</v>
      </c>
      <c r="H1147" s="358" t="s">
        <v>3502</v>
      </c>
      <c r="I1147" s="2064">
        <f>ROUND(+I1146*V$2,2)</f>
        <v>16.329999999999998</v>
      </c>
      <c r="J1147" s="114"/>
      <c r="K1147" s="114"/>
      <c r="L1147" s="114"/>
      <c r="M1147" s="114">
        <f>-ROUND($G1147*$I1147,-1)</f>
        <v>-7760</v>
      </c>
      <c r="N1147" s="114"/>
      <c r="O1147" s="114"/>
      <c r="Q1147" s="633"/>
      <c r="V1147" s="115"/>
    </row>
    <row r="1148" spans="4:22" ht="12.75" customHeight="1" x14ac:dyDescent="0.25">
      <c r="G1148" s="358">
        <v>475</v>
      </c>
      <c r="H1148" s="358" t="s">
        <v>3502</v>
      </c>
      <c r="I1148" s="2064">
        <f>ROUND(+I1147*W$2,2)</f>
        <v>16.71</v>
      </c>
      <c r="J1148" s="114"/>
      <c r="K1148" s="114"/>
      <c r="L1148" s="114"/>
      <c r="M1148" s="114"/>
      <c r="N1148" s="114">
        <f>-ROUND($G1148*$I1148,-1)</f>
        <v>-7940</v>
      </c>
      <c r="O1148" s="114"/>
      <c r="Q1148" s="633"/>
      <c r="V1148" s="115"/>
    </row>
    <row r="1149" spans="4:22" ht="12.75" customHeight="1" x14ac:dyDescent="0.25">
      <c r="G1149" s="358">
        <v>475</v>
      </c>
      <c r="H1149" s="358" t="s">
        <v>3502</v>
      </c>
      <c r="I1149" s="2064">
        <f>ROUND(+I1148*X$2,2)</f>
        <v>17.09</v>
      </c>
      <c r="J1149" s="114"/>
      <c r="K1149" s="114"/>
      <c r="L1149" s="114"/>
      <c r="M1149" s="114"/>
      <c r="N1149" s="114"/>
      <c r="O1149" s="114">
        <f>-ROUND($G1149*$I1149,-1)</f>
        <v>-8120</v>
      </c>
      <c r="Q1149" s="633"/>
      <c r="V1149" s="115"/>
    </row>
    <row r="1150" spans="4:22" ht="12.75" customHeight="1" x14ac:dyDescent="0.25">
      <c r="E1150" s="115"/>
      <c r="I1150" s="1088"/>
      <c r="J1150" s="114"/>
      <c r="K1150" s="114"/>
      <c r="L1150" s="114"/>
      <c r="M1150" s="114"/>
      <c r="N1150" s="114"/>
      <c r="O1150" s="114"/>
      <c r="Q1150" s="633"/>
      <c r="V1150" s="115"/>
    </row>
    <row r="1151" spans="4:22" ht="12.75" customHeight="1" x14ac:dyDescent="0.25">
      <c r="E1151" s="115" t="s">
        <v>3713</v>
      </c>
      <c r="Q1151" s="633"/>
      <c r="V1151" s="115"/>
    </row>
    <row r="1152" spans="4:22" ht="12.75" customHeight="1" x14ac:dyDescent="0.25">
      <c r="G1152" s="115">
        <v>325</v>
      </c>
      <c r="H1152" s="115" t="s">
        <v>3502</v>
      </c>
      <c r="I1152" s="1088">
        <v>14.79</v>
      </c>
      <c r="J1152" s="114"/>
      <c r="K1152" s="114"/>
      <c r="L1152" s="114"/>
      <c r="M1152" s="114"/>
      <c r="N1152" s="114"/>
      <c r="O1152" s="114"/>
      <c r="Q1152" s="633"/>
      <c r="V1152" s="115"/>
    </row>
    <row r="1153" spans="4:22" ht="12.75" customHeight="1" x14ac:dyDescent="0.25">
      <c r="G1153" s="115">
        <v>325</v>
      </c>
      <c r="H1153" s="115" t="s">
        <v>3502</v>
      </c>
      <c r="I1153" s="1088">
        <f>ROUND(+I1152*S$2,2)</f>
        <v>15.2</v>
      </c>
      <c r="J1153" s="114">
        <v>-4940</v>
      </c>
      <c r="K1153" s="114"/>
      <c r="L1153" s="114"/>
      <c r="M1153" s="114"/>
      <c r="N1153" s="114"/>
      <c r="O1153" s="114"/>
      <c r="Q1153" s="633"/>
      <c r="V1153" s="115"/>
    </row>
    <row r="1154" spans="4:22" ht="12.75" customHeight="1" x14ac:dyDescent="0.25">
      <c r="G1154" s="115">
        <v>325</v>
      </c>
      <c r="H1154" s="115" t="s">
        <v>3502</v>
      </c>
      <c r="I1154" s="1088">
        <f>ROUND(+I1153*S$2,2)</f>
        <v>15.63</v>
      </c>
      <c r="J1154" s="114"/>
      <c r="K1154" s="114">
        <v>-5080</v>
      </c>
      <c r="L1154" s="114"/>
      <c r="M1154" s="114"/>
      <c r="N1154" s="114"/>
      <c r="O1154" s="114"/>
      <c r="Q1154" s="633"/>
      <c r="V1154" s="115"/>
    </row>
    <row r="1155" spans="4:22" ht="12.75" customHeight="1" x14ac:dyDescent="0.25">
      <c r="G1155" s="115">
        <v>325</v>
      </c>
      <c r="H1155" s="115" t="s">
        <v>3502</v>
      </c>
      <c r="I1155" s="1088">
        <f>ROUND(+I1154*U$2,2)</f>
        <v>15.96</v>
      </c>
      <c r="J1155" s="114"/>
      <c r="K1155" s="114"/>
      <c r="L1155" s="114">
        <f>-ROUND($G1155*$I1155,-1)</f>
        <v>-5190</v>
      </c>
      <c r="M1155" s="114"/>
      <c r="N1155" s="114"/>
      <c r="O1155" s="114"/>
      <c r="Q1155" s="633"/>
      <c r="V1155" s="115"/>
    </row>
    <row r="1156" spans="4:22" ht="12.75" customHeight="1" x14ac:dyDescent="0.25">
      <c r="G1156" s="358">
        <v>325</v>
      </c>
      <c r="H1156" s="358" t="s">
        <v>3502</v>
      </c>
      <c r="I1156" s="2064">
        <f>ROUND(+I1155*V$2,2)</f>
        <v>16.329999999999998</v>
      </c>
      <c r="J1156" s="114"/>
      <c r="K1156" s="114"/>
      <c r="L1156" s="114"/>
      <c r="M1156" s="114">
        <f>-ROUND($G1156*$I1156,-1)</f>
        <v>-5310</v>
      </c>
      <c r="N1156" s="114"/>
      <c r="O1156" s="114"/>
      <c r="Q1156" s="633"/>
      <c r="V1156" s="115"/>
    </row>
    <row r="1157" spans="4:22" ht="12.75" customHeight="1" x14ac:dyDescent="0.25">
      <c r="G1157" s="358">
        <v>325</v>
      </c>
      <c r="H1157" s="358" t="s">
        <v>3502</v>
      </c>
      <c r="I1157" s="2064">
        <f>ROUND(+I1156*W$2,2)</f>
        <v>16.71</v>
      </c>
      <c r="J1157" s="114"/>
      <c r="K1157" s="114"/>
      <c r="L1157" s="114"/>
      <c r="M1157" s="114"/>
      <c r="N1157" s="114">
        <f>-ROUND($G1157*$I1157,-1)</f>
        <v>-5430</v>
      </c>
      <c r="O1157" s="114"/>
      <c r="Q1157" s="633"/>
      <c r="V1157" s="115"/>
    </row>
    <row r="1158" spans="4:22" ht="12.75" customHeight="1" x14ac:dyDescent="0.25">
      <c r="G1158" s="358">
        <v>325</v>
      </c>
      <c r="H1158" s="358" t="s">
        <v>3502</v>
      </c>
      <c r="I1158" s="2064">
        <f>ROUND(+I1157*X$2,2)</f>
        <v>17.09</v>
      </c>
      <c r="J1158" s="114"/>
      <c r="K1158" s="114"/>
      <c r="L1158" s="114"/>
      <c r="M1158" s="114"/>
      <c r="N1158" s="114"/>
      <c r="O1158" s="114">
        <f>-ROUND($G1158*$I1158,-1)</f>
        <v>-5550</v>
      </c>
      <c r="Q1158" s="633"/>
      <c r="V1158" s="115"/>
    </row>
    <row r="1159" spans="4:22" ht="12.75" customHeight="1" x14ac:dyDescent="0.25">
      <c r="E1159" s="115"/>
      <c r="I1159" s="1088"/>
      <c r="J1159" s="114"/>
      <c r="K1159" s="114"/>
      <c r="L1159" s="114"/>
      <c r="M1159" s="114"/>
      <c r="N1159" s="114"/>
      <c r="O1159" s="114"/>
      <c r="Q1159" s="633"/>
      <c r="V1159" s="115"/>
    </row>
    <row r="1160" spans="4:22" ht="12.75" customHeight="1" thickBot="1" x14ac:dyDescent="0.3">
      <c r="E1160" s="115" t="str">
        <f>"Totaal "&amp;D1142</f>
        <v>Totaal 83600</v>
      </c>
      <c r="I1160" s="114"/>
      <c r="J1160" s="1744">
        <v>-12160</v>
      </c>
      <c r="K1160" s="1744">
        <v>-12500</v>
      </c>
      <c r="L1160" s="1744">
        <f>SUM(L1143:L1159)</f>
        <v>-12770</v>
      </c>
      <c r="M1160" s="1744">
        <f>SUM(M1143:M1159)</f>
        <v>-13070</v>
      </c>
      <c r="N1160" s="1744">
        <f>SUM(N1143:N1159)</f>
        <v>-13370</v>
      </c>
      <c r="O1160" s="1744">
        <f>SUM(O1143:O1159)</f>
        <v>-13670</v>
      </c>
      <c r="Q1160" s="633"/>
      <c r="V1160" s="115"/>
    </row>
    <row r="1161" spans="4:22" ht="12.75" customHeight="1" thickTop="1" x14ac:dyDescent="0.25">
      <c r="I1161" s="114"/>
      <c r="J1161" s="114"/>
      <c r="K1161" s="114"/>
      <c r="L1161" s="114"/>
      <c r="M1161" s="114"/>
      <c r="N1161" s="114"/>
      <c r="O1161" s="114"/>
      <c r="Q1161" s="633"/>
      <c r="V1161" s="115"/>
    </row>
    <row r="1162" spans="4:22" ht="12.75" customHeight="1" x14ac:dyDescent="0.25">
      <c r="Q1162" s="633"/>
      <c r="V1162" s="115"/>
    </row>
    <row r="1163" spans="4:22" ht="12.75" customHeight="1" x14ac:dyDescent="0.25">
      <c r="D1163" s="393">
        <v>630018</v>
      </c>
      <c r="E1163" s="381" t="s">
        <v>3447</v>
      </c>
      <c r="F1163" s="382"/>
      <c r="J1163" s="407">
        <v>2025</v>
      </c>
      <c r="K1163" s="407">
        <v>2026</v>
      </c>
      <c r="L1163" s="407">
        <v>2027</v>
      </c>
      <c r="M1163" s="407">
        <v>2028</v>
      </c>
      <c r="N1163" s="407">
        <v>2029</v>
      </c>
      <c r="O1163" s="407">
        <v>2030</v>
      </c>
      <c r="Q1163" s="633"/>
      <c r="V1163" s="115"/>
    </row>
    <row r="1164" spans="4:22" ht="12.75" customHeight="1" x14ac:dyDescent="0.25">
      <c r="D1164" s="393"/>
      <c r="E1164" s="383" t="s">
        <v>554</v>
      </c>
      <c r="F1164" s="382"/>
      <c r="J1164" s="531"/>
      <c r="K1164" s="531"/>
      <c r="L1164" s="531"/>
      <c r="M1164" s="531"/>
      <c r="N1164" s="531"/>
      <c r="O1164" s="531"/>
      <c r="Q1164" s="633"/>
      <c r="V1164" s="115"/>
    </row>
    <row r="1165" spans="4:22" ht="12.75" customHeight="1" x14ac:dyDescent="0.25">
      <c r="D1165" s="393"/>
      <c r="E1165" s="114" t="s">
        <v>3668</v>
      </c>
      <c r="F1165" s="382"/>
      <c r="J1165" s="531"/>
      <c r="K1165" s="531"/>
      <c r="L1165" s="531"/>
      <c r="M1165" s="531"/>
      <c r="N1165" s="531"/>
      <c r="O1165" s="531"/>
      <c r="Q1165" s="633"/>
      <c r="V1165" s="115"/>
    </row>
    <row r="1166" spans="4:22" ht="12.75" customHeight="1" x14ac:dyDescent="0.25">
      <c r="D1166" s="393"/>
      <c r="E1166" s="114"/>
      <c r="F1166" s="382"/>
      <c r="J1166" s="531"/>
      <c r="K1166" s="531"/>
      <c r="L1166" s="531"/>
      <c r="M1166" s="531"/>
      <c r="N1166" s="531"/>
      <c r="O1166" s="531"/>
      <c r="Q1166" s="633"/>
      <c r="V1166" s="115"/>
    </row>
    <row r="1167" spans="4:22" ht="12.75" customHeight="1" x14ac:dyDescent="0.25">
      <c r="D1167" s="143">
        <v>83600</v>
      </c>
      <c r="E1167" s="115" t="s">
        <v>3716</v>
      </c>
      <c r="Q1167" s="633"/>
      <c r="V1167" s="115"/>
    </row>
    <row r="1168" spans="4:22" ht="12.75" customHeight="1" x14ac:dyDescent="0.25">
      <c r="G1168" s="115">
        <v>1050</v>
      </c>
      <c r="H1168" s="115" t="s">
        <v>3502</v>
      </c>
      <c r="I1168" s="1088">
        <v>14.6</v>
      </c>
      <c r="J1168" s="114"/>
      <c r="K1168" s="114"/>
      <c r="L1168" s="114"/>
      <c r="M1168" s="114"/>
      <c r="N1168" s="114"/>
      <c r="O1168" s="114"/>
      <c r="Q1168" s="633"/>
      <c r="V1168" s="115"/>
    </row>
    <row r="1169" spans="5:22" ht="12.75" customHeight="1" x14ac:dyDescent="0.25">
      <c r="G1169" s="115">
        <v>1050</v>
      </c>
      <c r="H1169" s="115" t="s">
        <v>3502</v>
      </c>
      <c r="I1169" s="1088">
        <f>ROUND(+I1168*S$2,2)</f>
        <v>15.01</v>
      </c>
      <c r="J1169" s="114">
        <v>-15760</v>
      </c>
      <c r="K1169" s="114"/>
      <c r="L1169" s="114"/>
      <c r="M1169" s="114"/>
      <c r="N1169" s="114"/>
      <c r="O1169" s="114"/>
      <c r="Q1169" s="633"/>
      <c r="V1169" s="115"/>
    </row>
    <row r="1170" spans="5:22" ht="12.75" customHeight="1" x14ac:dyDescent="0.25">
      <c r="G1170" s="115">
        <v>1050</v>
      </c>
      <c r="H1170" s="115" t="s">
        <v>3502</v>
      </c>
      <c r="I1170" s="1088">
        <f>ROUND(+I1169*S$2,2)</f>
        <v>15.43</v>
      </c>
      <c r="J1170" s="114"/>
      <c r="K1170" s="114">
        <v>-16200</v>
      </c>
      <c r="L1170" s="114"/>
      <c r="M1170" s="114"/>
      <c r="N1170" s="114"/>
      <c r="O1170" s="114"/>
      <c r="Q1170" s="633"/>
      <c r="V1170" s="115"/>
    </row>
    <row r="1171" spans="5:22" ht="12.75" customHeight="1" x14ac:dyDescent="0.25">
      <c r="G1171" s="115">
        <v>1050</v>
      </c>
      <c r="H1171" s="115" t="s">
        <v>3502</v>
      </c>
      <c r="I1171" s="1088">
        <f>ROUND(+I1170*U$2,2)</f>
        <v>15.75</v>
      </c>
      <c r="J1171" s="114"/>
      <c r="K1171" s="114"/>
      <c r="L1171" s="114">
        <f>-ROUND($G1171*$I1171,-1)</f>
        <v>-16540</v>
      </c>
      <c r="M1171" s="114"/>
      <c r="N1171" s="114"/>
      <c r="O1171" s="114"/>
      <c r="Q1171" s="633"/>
      <c r="V1171" s="115"/>
    </row>
    <row r="1172" spans="5:22" ht="12.75" customHeight="1" x14ac:dyDescent="0.25">
      <c r="G1172" s="358">
        <v>1050</v>
      </c>
      <c r="H1172" s="358" t="s">
        <v>3502</v>
      </c>
      <c r="I1172" s="2064">
        <f>ROUND(+I1171*V$2,2)</f>
        <v>16.11</v>
      </c>
      <c r="J1172" s="114"/>
      <c r="K1172" s="114"/>
      <c r="L1172" s="114"/>
      <c r="M1172" s="114">
        <f>-ROUND($G1172*$I1172,-1)</f>
        <v>-16920</v>
      </c>
      <c r="N1172" s="114"/>
      <c r="O1172" s="114"/>
      <c r="Q1172" s="633"/>
      <c r="V1172" s="115"/>
    </row>
    <row r="1173" spans="5:22" ht="12.75" customHeight="1" x14ac:dyDescent="0.25">
      <c r="G1173" s="358">
        <v>1050</v>
      </c>
      <c r="H1173" s="358" t="s">
        <v>3502</v>
      </c>
      <c r="I1173" s="2064">
        <f>ROUND(+I1172*W$2,2)</f>
        <v>16.48</v>
      </c>
      <c r="J1173" s="114"/>
      <c r="K1173" s="114"/>
      <c r="L1173" s="114"/>
      <c r="M1173" s="114"/>
      <c r="N1173" s="114">
        <f>-ROUND($G1173*$I1173,-1)</f>
        <v>-17300</v>
      </c>
      <c r="O1173" s="114"/>
      <c r="Q1173" s="633"/>
      <c r="V1173" s="115"/>
    </row>
    <row r="1174" spans="5:22" ht="12.75" customHeight="1" x14ac:dyDescent="0.25">
      <c r="G1174" s="358">
        <v>1050</v>
      </c>
      <c r="H1174" s="358" t="s">
        <v>3502</v>
      </c>
      <c r="I1174" s="2064">
        <f>ROUND(+I1173*X$2,2)</f>
        <v>16.86</v>
      </c>
      <c r="J1174" s="114"/>
      <c r="K1174" s="114"/>
      <c r="L1174" s="114"/>
      <c r="M1174" s="114"/>
      <c r="N1174" s="114"/>
      <c r="O1174" s="114">
        <f>-ROUND($G1174*$I1174,-1)</f>
        <v>-17700</v>
      </c>
      <c r="Q1174" s="633"/>
      <c r="V1174" s="115"/>
    </row>
    <row r="1175" spans="5:22" ht="12.75" customHeight="1" x14ac:dyDescent="0.25">
      <c r="E1175" s="115"/>
      <c r="I1175" s="1088"/>
      <c r="J1175" s="114"/>
      <c r="K1175" s="114"/>
      <c r="L1175" s="114"/>
      <c r="M1175" s="114"/>
      <c r="N1175" s="114"/>
      <c r="O1175" s="114"/>
      <c r="Q1175" s="633"/>
      <c r="V1175" s="115"/>
    </row>
    <row r="1176" spans="5:22" ht="12.75" customHeight="1" x14ac:dyDescent="0.25">
      <c r="E1176" s="115" t="s">
        <v>3713</v>
      </c>
      <c r="Q1176" s="633"/>
      <c r="V1176" s="115"/>
    </row>
    <row r="1177" spans="5:22" ht="12.75" customHeight="1" x14ac:dyDescent="0.25">
      <c r="G1177" s="115">
        <v>900</v>
      </c>
      <c r="H1177" s="115" t="s">
        <v>3502</v>
      </c>
      <c r="I1177" s="1088">
        <v>14.6</v>
      </c>
      <c r="J1177" s="114"/>
      <c r="K1177" s="114"/>
      <c r="L1177" s="114"/>
      <c r="M1177" s="114"/>
      <c r="N1177" s="114"/>
      <c r="O1177" s="114"/>
      <c r="Q1177" s="633"/>
      <c r="V1177" s="115"/>
    </row>
    <row r="1178" spans="5:22" ht="12.75" customHeight="1" x14ac:dyDescent="0.25">
      <c r="G1178" s="115">
        <v>900</v>
      </c>
      <c r="H1178" s="115" t="s">
        <v>3502</v>
      </c>
      <c r="I1178" s="1088">
        <f>ROUND(+I1168*S$2,2)</f>
        <v>15.01</v>
      </c>
      <c r="J1178" s="114">
        <v>-13510</v>
      </c>
      <c r="K1178" s="114"/>
      <c r="L1178" s="114"/>
      <c r="M1178" s="114"/>
      <c r="N1178" s="114"/>
      <c r="O1178" s="114"/>
      <c r="Q1178" s="633"/>
      <c r="V1178" s="115"/>
    </row>
    <row r="1179" spans="5:22" ht="12.75" customHeight="1" x14ac:dyDescent="0.25">
      <c r="G1179" s="115">
        <v>900</v>
      </c>
      <c r="H1179" s="115" t="s">
        <v>3502</v>
      </c>
      <c r="I1179" s="1088">
        <f>ROUND(+I1178*$T$2,2)</f>
        <v>15.4</v>
      </c>
      <c r="J1179" s="114"/>
      <c r="K1179" s="114">
        <v>-13860</v>
      </c>
      <c r="L1179" s="114"/>
      <c r="M1179" s="114"/>
      <c r="N1179" s="114"/>
      <c r="O1179" s="114"/>
      <c r="Q1179" s="633"/>
      <c r="V1179" s="115"/>
    </row>
    <row r="1180" spans="5:22" ht="12.75" customHeight="1" x14ac:dyDescent="0.25">
      <c r="G1180" s="115">
        <v>900</v>
      </c>
      <c r="H1180" s="115" t="s">
        <v>3502</v>
      </c>
      <c r="I1180" s="1088">
        <f>ROUND(+I1179*U$2,2)</f>
        <v>15.72</v>
      </c>
      <c r="J1180" s="114"/>
      <c r="K1180" s="114"/>
      <c r="L1180" s="114">
        <f>-ROUND($G1180*$I1180,-1)</f>
        <v>-14150</v>
      </c>
      <c r="M1180" s="114"/>
      <c r="N1180" s="114"/>
      <c r="O1180" s="114"/>
      <c r="Q1180" s="633"/>
      <c r="V1180" s="115"/>
    </row>
    <row r="1181" spans="5:22" ht="12.75" customHeight="1" x14ac:dyDescent="0.25">
      <c r="G1181" s="358">
        <v>900</v>
      </c>
      <c r="H1181" s="358" t="s">
        <v>3502</v>
      </c>
      <c r="I1181" s="2064">
        <f>ROUND(+I1180*V$2,2)</f>
        <v>16.079999999999998</v>
      </c>
      <c r="J1181" s="114"/>
      <c r="K1181" s="114"/>
      <c r="L1181" s="114"/>
      <c r="M1181" s="114">
        <f>-ROUND($G1181*$I1181,-1)</f>
        <v>-14470</v>
      </c>
      <c r="N1181" s="114"/>
      <c r="O1181" s="114"/>
      <c r="Q1181" s="633"/>
      <c r="V1181" s="115"/>
    </row>
    <row r="1182" spans="5:22" ht="12.75" customHeight="1" x14ac:dyDescent="0.25">
      <c r="G1182" s="358">
        <v>900</v>
      </c>
      <c r="H1182" s="358" t="s">
        <v>3502</v>
      </c>
      <c r="I1182" s="2064">
        <f>ROUND(+I1181*W$2,2)</f>
        <v>16.45</v>
      </c>
      <c r="J1182" s="114"/>
      <c r="K1182" s="114"/>
      <c r="L1182" s="114"/>
      <c r="M1182" s="114"/>
      <c r="N1182" s="114">
        <f>-ROUND($G1182*$I1182,-1)</f>
        <v>-14810</v>
      </c>
      <c r="O1182" s="114"/>
      <c r="Q1182" s="633"/>
      <c r="V1182" s="115"/>
    </row>
    <row r="1183" spans="5:22" ht="12.75" customHeight="1" x14ac:dyDescent="0.25">
      <c r="G1183" s="358">
        <v>900</v>
      </c>
      <c r="H1183" s="358" t="s">
        <v>3502</v>
      </c>
      <c r="I1183" s="2064">
        <f>ROUND(+I1182*X$2,2)</f>
        <v>16.829999999999998</v>
      </c>
      <c r="J1183" s="114"/>
      <c r="K1183" s="114"/>
      <c r="L1183" s="114"/>
      <c r="M1183" s="114"/>
      <c r="N1183" s="114"/>
      <c r="O1183" s="114">
        <f>-ROUND($G1183*$I1183,-1)</f>
        <v>-15150</v>
      </c>
      <c r="Q1183" s="633"/>
      <c r="V1183" s="115"/>
    </row>
    <row r="1184" spans="5:22" ht="12.75" customHeight="1" x14ac:dyDescent="0.25">
      <c r="I1184" s="1088"/>
      <c r="J1184" s="114"/>
      <c r="K1184" s="114"/>
      <c r="L1184" s="114"/>
      <c r="M1184" s="114"/>
      <c r="N1184" s="114"/>
      <c r="O1184" s="114"/>
      <c r="Q1184" s="633"/>
      <c r="V1184" s="115"/>
    </row>
    <row r="1185" spans="4:22" ht="12.75" customHeight="1" x14ac:dyDescent="0.25">
      <c r="I1185" s="1088"/>
      <c r="J1185" s="114"/>
      <c r="K1185" s="114"/>
      <c r="L1185" s="114"/>
      <c r="M1185" s="114"/>
      <c r="N1185" s="114"/>
      <c r="O1185" s="114"/>
      <c r="Q1185" s="633"/>
      <c r="V1185" s="115"/>
    </row>
    <row r="1186" spans="4:22" ht="12.75" customHeight="1" x14ac:dyDescent="0.25">
      <c r="E1186" s="115"/>
      <c r="I1186" s="1088"/>
      <c r="J1186" s="114"/>
      <c r="K1186" s="114"/>
      <c r="L1186" s="114"/>
      <c r="M1186" s="114"/>
      <c r="N1186" s="114"/>
      <c r="O1186" s="114"/>
      <c r="Q1186" s="633"/>
      <c r="V1186" s="115"/>
    </row>
    <row r="1187" spans="4:22" ht="12.75" customHeight="1" thickBot="1" x14ac:dyDescent="0.3">
      <c r="E1187" s="115" t="str">
        <f>"Totaal "&amp;D1167</f>
        <v>Totaal 83600</v>
      </c>
      <c r="J1187" s="1744">
        <v>-29270</v>
      </c>
      <c r="K1187" s="1744">
        <v>-30060</v>
      </c>
      <c r="L1187" s="1744">
        <f>SUM(L1167:L1186)</f>
        <v>-30690</v>
      </c>
      <c r="M1187" s="1744">
        <f>SUM(M1167:M1186)</f>
        <v>-31390</v>
      </c>
      <c r="N1187" s="1744">
        <f>SUM(N1167:N1186)</f>
        <v>-32110</v>
      </c>
      <c r="O1187" s="1744">
        <f>SUM(O1167:O1186)</f>
        <v>-32850</v>
      </c>
      <c r="Q1187" s="633"/>
      <c r="V1187" s="115"/>
    </row>
    <row r="1188" spans="4:22" ht="12.75" customHeight="1" thickTop="1" x14ac:dyDescent="0.25">
      <c r="J1188" s="151"/>
      <c r="K1188" s="151"/>
      <c r="L1188" s="151"/>
      <c r="M1188" s="151"/>
      <c r="N1188" s="151"/>
      <c r="O1188" s="151"/>
      <c r="Q1188" s="633"/>
      <c r="V1188" s="115"/>
    </row>
    <row r="1189" spans="4:22" ht="12.75" customHeight="1" x14ac:dyDescent="0.25">
      <c r="I1189" s="151"/>
      <c r="J1189" s="151"/>
      <c r="K1189" s="151"/>
      <c r="L1189" s="151"/>
      <c r="M1189" s="151"/>
      <c r="N1189" s="151"/>
      <c r="O1189" s="151"/>
      <c r="Q1189" s="633"/>
      <c r="V1189" s="115"/>
    </row>
    <row r="1190" spans="4:22" ht="12.75" customHeight="1" x14ac:dyDescent="0.25">
      <c r="D1190" s="393">
        <v>630019</v>
      </c>
      <c r="E1190" s="381" t="s">
        <v>3448</v>
      </c>
      <c r="F1190" s="115"/>
      <c r="Q1190" s="633"/>
      <c r="V1190" s="115"/>
    </row>
    <row r="1191" spans="4:22" ht="12.75" customHeight="1" x14ac:dyDescent="0.25">
      <c r="D1191" s="393"/>
      <c r="E1191" s="383" t="s">
        <v>554</v>
      </c>
      <c r="F1191" s="115"/>
      <c r="Q1191" s="633"/>
      <c r="V1191" s="115"/>
    </row>
    <row r="1192" spans="4:22" ht="12.75" customHeight="1" x14ac:dyDescent="0.25">
      <c r="E1192" s="2510" t="s">
        <v>3717</v>
      </c>
      <c r="F1192" s="2510"/>
      <c r="G1192" s="2510"/>
      <c r="H1192" s="2510"/>
      <c r="I1192" s="2510"/>
      <c r="J1192" s="399"/>
      <c r="K1192" s="399"/>
      <c r="L1192" s="399"/>
      <c r="M1192" s="399"/>
      <c r="N1192" s="399"/>
      <c r="O1192" s="399"/>
      <c r="Q1192" s="633"/>
      <c r="V1192" s="115"/>
    </row>
    <row r="1193" spans="4:22" ht="12.75" customHeight="1" x14ac:dyDescent="0.25">
      <c r="D1193" s="143"/>
      <c r="E1193" s="2510"/>
      <c r="F1193" s="2510"/>
      <c r="G1193" s="2510"/>
      <c r="H1193" s="2510"/>
      <c r="I1193" s="2510"/>
      <c r="J1193" s="399"/>
      <c r="K1193" s="399"/>
      <c r="L1193" s="399"/>
      <c r="M1193" s="399"/>
      <c r="N1193" s="399"/>
      <c r="O1193" s="399"/>
      <c r="Q1193" s="633"/>
      <c r="V1193" s="115"/>
    </row>
    <row r="1194" spans="4:22" ht="12.75" customHeight="1" x14ac:dyDescent="0.25">
      <c r="D1194" s="143"/>
      <c r="E1194" s="2510"/>
      <c r="F1194" s="2510"/>
      <c r="G1194" s="2510"/>
      <c r="H1194" s="2510"/>
      <c r="I1194" s="2510"/>
      <c r="J1194" s="399"/>
      <c r="K1194" s="399"/>
      <c r="L1194" s="399"/>
      <c r="M1194" s="399"/>
      <c r="N1194" s="399"/>
      <c r="O1194" s="399"/>
      <c r="Q1194" s="633"/>
      <c r="V1194" s="115"/>
    </row>
    <row r="1195" spans="4:22" ht="12.75" customHeight="1" x14ac:dyDescent="0.25">
      <c r="D1195" s="143">
        <v>83600</v>
      </c>
      <c r="I1195" s="484"/>
      <c r="J1195" s="407">
        <v>2025</v>
      </c>
      <c r="K1195" s="407">
        <v>2026</v>
      </c>
      <c r="L1195" s="407">
        <v>2027</v>
      </c>
      <c r="M1195" s="407">
        <v>2028</v>
      </c>
      <c r="N1195" s="407">
        <v>2029</v>
      </c>
      <c r="O1195" s="407">
        <v>2030</v>
      </c>
      <c r="Q1195" s="633"/>
      <c r="V1195" s="115"/>
    </row>
    <row r="1196" spans="4:22" ht="12.75" customHeight="1" x14ac:dyDescent="0.25">
      <c r="D1196" s="143"/>
      <c r="G1196" s="115" t="s">
        <v>3718</v>
      </c>
      <c r="I1196" s="484"/>
      <c r="Q1196" s="633"/>
      <c r="V1196" s="115"/>
    </row>
    <row r="1197" spans="4:22" ht="12.75" customHeight="1" x14ac:dyDescent="0.25">
      <c r="D1197" s="143"/>
      <c r="G1197" s="308"/>
      <c r="I1197" s="1088"/>
      <c r="J1197" s="114"/>
      <c r="K1197" s="114"/>
      <c r="L1197" s="114"/>
      <c r="M1197" s="114"/>
      <c r="N1197" s="114"/>
      <c r="O1197" s="114"/>
      <c r="Q1197" s="633"/>
      <c r="V1197" s="115"/>
    </row>
    <row r="1198" spans="4:22" ht="12.75" customHeight="1" x14ac:dyDescent="0.25">
      <c r="D1198" s="143"/>
      <c r="G1198" s="308"/>
      <c r="I1198" s="1088"/>
      <c r="J1198" s="114"/>
      <c r="K1198" s="114"/>
      <c r="L1198" s="114"/>
      <c r="M1198" s="114"/>
      <c r="N1198" s="114"/>
      <c r="O1198" s="114"/>
      <c r="Q1198" s="633"/>
      <c r="V1198" s="115"/>
    </row>
    <row r="1199" spans="4:22" ht="12.75" customHeight="1" x14ac:dyDescent="0.25">
      <c r="D1199" s="143"/>
      <c r="G1199" s="308">
        <v>450</v>
      </c>
      <c r="H1199" s="115" t="s">
        <v>3502</v>
      </c>
      <c r="I1199" s="1088">
        <v>29.63</v>
      </c>
      <c r="J1199" s="114"/>
      <c r="K1199" s="114"/>
      <c r="L1199" s="114"/>
      <c r="M1199" s="114"/>
      <c r="N1199" s="114"/>
      <c r="O1199" s="114"/>
      <c r="Q1199" s="633"/>
      <c r="V1199" s="115"/>
    </row>
    <row r="1200" spans="4:22" ht="12.75" customHeight="1" x14ac:dyDescent="0.25">
      <c r="D1200" s="143"/>
      <c r="G1200" s="308">
        <v>450</v>
      </c>
      <c r="H1200" s="115" t="s">
        <v>3502</v>
      </c>
      <c r="I1200" s="1088">
        <f>ROUND(+I1199*S$2,2)</f>
        <v>30.46</v>
      </c>
      <c r="J1200" s="114">
        <v>-13710</v>
      </c>
      <c r="K1200" s="114"/>
      <c r="L1200" s="114"/>
      <c r="M1200" s="114"/>
      <c r="N1200" s="114"/>
      <c r="O1200" s="114"/>
      <c r="Q1200" s="633"/>
      <c r="V1200" s="115"/>
    </row>
    <row r="1201" spans="4:22" ht="12.75" customHeight="1" x14ac:dyDescent="0.25">
      <c r="D1201" s="143"/>
      <c r="G1201" s="308">
        <v>450</v>
      </c>
      <c r="H1201" s="115" t="s">
        <v>3502</v>
      </c>
      <c r="I1201" s="1088">
        <f>ROUND(+I1200*T$2,2)</f>
        <v>31.25</v>
      </c>
      <c r="J1201" s="114"/>
      <c r="K1201" s="114">
        <v>-14060</v>
      </c>
      <c r="L1201" s="114"/>
      <c r="M1201" s="114"/>
      <c r="N1201" s="114"/>
      <c r="O1201" s="114"/>
      <c r="Q1201" s="633"/>
      <c r="V1201" s="115"/>
    </row>
    <row r="1202" spans="4:22" ht="12.75" customHeight="1" x14ac:dyDescent="0.25">
      <c r="D1202" s="143"/>
      <c r="G1202" s="308">
        <v>450</v>
      </c>
      <c r="H1202" s="115" t="s">
        <v>3502</v>
      </c>
      <c r="I1202" s="1088">
        <f>ROUND(+I1201*U$2,2)</f>
        <v>31.91</v>
      </c>
      <c r="J1202" s="114"/>
      <c r="K1202" s="114"/>
      <c r="L1202" s="114">
        <f>-ROUND($G1202*$I1202,-1)</f>
        <v>-14360</v>
      </c>
      <c r="Q1202" s="633"/>
      <c r="V1202" s="115"/>
    </row>
    <row r="1203" spans="4:22" ht="12.75" customHeight="1" x14ac:dyDescent="0.25">
      <c r="D1203" s="143"/>
      <c r="G1203" s="308">
        <v>451</v>
      </c>
      <c r="H1203" s="115" t="s">
        <v>3502</v>
      </c>
      <c r="I1203" s="1088">
        <f>ROUND(+I1202*V$2,2)</f>
        <v>32.64</v>
      </c>
      <c r="J1203" s="114"/>
      <c r="K1203" s="114"/>
      <c r="L1203" s="114"/>
      <c r="M1203" s="114">
        <f>-ROUND($G1203*$I1203,-1)</f>
        <v>-14720</v>
      </c>
      <c r="N1203" s="114"/>
      <c r="O1203" s="114"/>
      <c r="Q1203" s="633"/>
      <c r="V1203" s="115"/>
    </row>
    <row r="1204" spans="4:22" ht="12.75" customHeight="1" x14ac:dyDescent="0.25">
      <c r="D1204" s="143"/>
      <c r="G1204" s="2059">
        <v>451</v>
      </c>
      <c r="H1204" s="358" t="s">
        <v>3502</v>
      </c>
      <c r="I1204" s="2064">
        <f>ROUND(+I1203*W$2,2)</f>
        <v>33.39</v>
      </c>
      <c r="J1204" s="114"/>
      <c r="K1204" s="114"/>
      <c r="L1204" s="114"/>
      <c r="M1204" s="114"/>
      <c r="N1204" s="114">
        <f>-ROUND($G1204*$I1204,-1)</f>
        <v>-15060</v>
      </c>
      <c r="O1204" s="114"/>
      <c r="Q1204" s="633"/>
      <c r="V1204" s="115"/>
    </row>
    <row r="1205" spans="4:22" ht="12.75" customHeight="1" x14ac:dyDescent="0.25">
      <c r="D1205" s="143"/>
      <c r="G1205" s="2059">
        <v>451</v>
      </c>
      <c r="H1205" s="358" t="s">
        <v>3502</v>
      </c>
      <c r="I1205" s="2064">
        <f>ROUND(+I1204*X$2,2)</f>
        <v>34.159999999999997</v>
      </c>
      <c r="J1205" s="114"/>
      <c r="K1205" s="114"/>
      <c r="L1205" s="114"/>
      <c r="M1205" s="114"/>
      <c r="N1205" s="114"/>
      <c r="O1205" s="114">
        <f>-ROUND($G1205*$I1205,-1)</f>
        <v>-15410</v>
      </c>
      <c r="Q1205" s="633"/>
      <c r="V1205" s="115"/>
    </row>
    <row r="1206" spans="4:22" ht="12.75" customHeight="1" x14ac:dyDescent="0.25">
      <c r="D1206" s="143"/>
      <c r="G1206" s="115" t="s">
        <v>3719</v>
      </c>
      <c r="Q1206" s="633"/>
      <c r="V1206" s="115"/>
    </row>
    <row r="1207" spans="4:22" ht="12.75" customHeight="1" x14ac:dyDescent="0.25">
      <c r="D1207" s="143"/>
      <c r="I1207" s="1088"/>
      <c r="J1207" s="114"/>
      <c r="K1207" s="114"/>
      <c r="L1207" s="114"/>
      <c r="M1207" s="114"/>
      <c r="N1207" s="114"/>
      <c r="O1207" s="114"/>
      <c r="Q1207" s="633"/>
      <c r="V1207" s="115"/>
    </row>
    <row r="1208" spans="4:22" ht="12.75" customHeight="1" x14ac:dyDescent="0.25">
      <c r="D1208" s="143"/>
      <c r="I1208" s="1088"/>
      <c r="J1208" s="114"/>
      <c r="K1208" s="114"/>
      <c r="L1208" s="114"/>
      <c r="M1208" s="114"/>
      <c r="N1208" s="114"/>
      <c r="O1208" s="114"/>
      <c r="Q1208" s="633"/>
      <c r="V1208" s="115"/>
    </row>
    <row r="1209" spans="4:22" ht="12.75" customHeight="1" x14ac:dyDescent="0.25">
      <c r="D1209" s="143"/>
      <c r="G1209" s="115">
        <v>170</v>
      </c>
      <c r="H1209" s="115" t="s">
        <v>3502</v>
      </c>
      <c r="I1209" s="1088">
        <v>14.6</v>
      </c>
      <c r="J1209" s="114"/>
      <c r="K1209" s="114"/>
      <c r="L1209" s="114"/>
      <c r="M1209" s="114"/>
      <c r="N1209" s="114"/>
      <c r="O1209" s="114"/>
      <c r="Q1209" s="633"/>
      <c r="V1209" s="115"/>
    </row>
    <row r="1210" spans="4:22" ht="12.75" customHeight="1" x14ac:dyDescent="0.25">
      <c r="D1210" s="143"/>
      <c r="G1210" s="115">
        <v>170</v>
      </c>
      <c r="H1210" s="115" t="s">
        <v>3502</v>
      </c>
      <c r="I1210" s="1088">
        <f>ROUND(+I1199*S$2,2)</f>
        <v>30.46</v>
      </c>
      <c r="J1210" s="114">
        <v>-5180</v>
      </c>
      <c r="K1210" s="114"/>
      <c r="L1210" s="114"/>
      <c r="M1210" s="114"/>
      <c r="N1210" s="114"/>
      <c r="O1210" s="114"/>
      <c r="Q1210" s="633"/>
      <c r="V1210" s="115"/>
    </row>
    <row r="1211" spans="4:22" ht="12.75" customHeight="1" x14ac:dyDescent="0.25">
      <c r="D1211" s="143"/>
      <c r="G1211" s="115">
        <v>170</v>
      </c>
      <c r="H1211" s="115" t="s">
        <v>3502</v>
      </c>
      <c r="I1211" s="1088">
        <f>ROUND(+I1210*$T$2,2)</f>
        <v>31.25</v>
      </c>
      <c r="J1211" s="114"/>
      <c r="K1211" s="114">
        <v>-5310</v>
      </c>
      <c r="L1211" s="114"/>
      <c r="M1211" s="114"/>
      <c r="N1211" s="114"/>
      <c r="O1211" s="114"/>
      <c r="Q1211" s="633"/>
      <c r="V1211" s="115"/>
    </row>
    <row r="1212" spans="4:22" ht="12.75" customHeight="1" x14ac:dyDescent="0.25">
      <c r="D1212" s="143"/>
      <c r="G1212" s="115">
        <v>170</v>
      </c>
      <c r="H1212" s="115" t="s">
        <v>3502</v>
      </c>
      <c r="I1212" s="1088">
        <f>ROUND(+I1211*U$2,2)</f>
        <v>31.91</v>
      </c>
      <c r="J1212" s="114"/>
      <c r="K1212" s="114"/>
      <c r="L1212" s="114">
        <f>-ROUND($G1212*$I1212,-1)</f>
        <v>-5420</v>
      </c>
      <c r="M1212" s="114"/>
      <c r="N1212" s="114"/>
      <c r="O1212" s="114"/>
      <c r="Q1212" s="633"/>
      <c r="V1212" s="115"/>
    </row>
    <row r="1213" spans="4:22" ht="12.75" customHeight="1" x14ac:dyDescent="0.25">
      <c r="D1213" s="143"/>
      <c r="G1213" s="358">
        <v>170</v>
      </c>
      <c r="H1213" s="358" t="s">
        <v>3502</v>
      </c>
      <c r="I1213" s="2064">
        <f>ROUND(+I1212*V$2,2)</f>
        <v>32.64</v>
      </c>
      <c r="J1213" s="114"/>
      <c r="K1213" s="114"/>
      <c r="L1213" s="114"/>
      <c r="M1213" s="114">
        <f>-ROUND($G1213*$I1213,-1)</f>
        <v>-5550</v>
      </c>
      <c r="N1213" s="114"/>
      <c r="O1213" s="114"/>
      <c r="Q1213" s="633"/>
      <c r="V1213" s="115"/>
    </row>
    <row r="1214" spans="4:22" ht="12.75" customHeight="1" x14ac:dyDescent="0.25">
      <c r="D1214" s="143"/>
      <c r="G1214" s="358">
        <v>170</v>
      </c>
      <c r="H1214" s="358" t="s">
        <v>3502</v>
      </c>
      <c r="I1214" s="2064">
        <f>ROUND(+I1213*W$2,2)</f>
        <v>33.39</v>
      </c>
      <c r="J1214" s="114"/>
      <c r="K1214" s="114"/>
      <c r="L1214" s="114"/>
      <c r="M1214" s="114"/>
      <c r="N1214" s="114">
        <f>-ROUND($G1214*$I1214,-1)</f>
        <v>-5680</v>
      </c>
      <c r="O1214" s="114"/>
      <c r="Q1214" s="633"/>
      <c r="V1214" s="115"/>
    </row>
    <row r="1215" spans="4:22" ht="12.75" customHeight="1" x14ac:dyDescent="0.25">
      <c r="D1215" s="143"/>
      <c r="G1215" s="358">
        <v>170</v>
      </c>
      <c r="H1215" s="358" t="s">
        <v>3502</v>
      </c>
      <c r="I1215" s="2064">
        <f>ROUND(+I1214*X$2,2)</f>
        <v>34.159999999999997</v>
      </c>
      <c r="J1215" s="114"/>
      <c r="K1215" s="114"/>
      <c r="L1215" s="114"/>
      <c r="M1215" s="114"/>
      <c r="N1215" s="114"/>
      <c r="O1215" s="114">
        <f>-ROUND($G1215*$I1215,-1)</f>
        <v>-5810</v>
      </c>
      <c r="Q1215" s="633"/>
      <c r="V1215" s="115"/>
    </row>
    <row r="1216" spans="4:22" ht="12.75" customHeight="1" x14ac:dyDescent="0.25">
      <c r="D1216" s="143"/>
      <c r="I1216" s="1088"/>
      <c r="J1216" s="114"/>
      <c r="K1216" s="114"/>
      <c r="L1216" s="114"/>
      <c r="M1216" s="114"/>
      <c r="N1216" s="114"/>
      <c r="O1216" s="114"/>
      <c r="Q1216" s="633"/>
      <c r="V1216" s="115"/>
    </row>
    <row r="1217" spans="4:22" ht="12.75" customHeight="1" thickBot="1" x14ac:dyDescent="0.3">
      <c r="G1217" s="115" t="str">
        <f>"Totaal "&amp;D1195</f>
        <v>Totaal 83600</v>
      </c>
      <c r="I1217" s="484"/>
      <c r="J1217" s="1744">
        <v>-18890</v>
      </c>
      <c r="K1217" s="1744">
        <v>-19370</v>
      </c>
      <c r="L1217" s="1744">
        <f>SUM(L1197:L1216)</f>
        <v>-19780</v>
      </c>
      <c r="M1217" s="1744">
        <f>SUM(M1197:M1216)</f>
        <v>-20270</v>
      </c>
      <c r="N1217" s="1744">
        <f>SUM(N1197:N1216)</f>
        <v>-20740</v>
      </c>
      <c r="O1217" s="1744">
        <f>SUM(O1197:O1216)</f>
        <v>-21220</v>
      </c>
      <c r="Q1217" s="633"/>
      <c r="V1217" s="115"/>
    </row>
    <row r="1218" spans="4:22" ht="12.75" customHeight="1" thickTop="1" x14ac:dyDescent="0.25">
      <c r="I1218" s="484"/>
      <c r="J1218" s="114"/>
      <c r="K1218" s="114"/>
      <c r="L1218" s="114"/>
      <c r="M1218" s="114"/>
      <c r="N1218" s="114"/>
      <c r="O1218" s="114"/>
      <c r="Q1218" s="633"/>
      <c r="V1218" s="115"/>
    </row>
    <row r="1219" spans="4:22" ht="12.75" customHeight="1" x14ac:dyDescent="0.25">
      <c r="D1219" s="428" t="s">
        <v>3494</v>
      </c>
      <c r="I1219" s="484"/>
      <c r="Q1219" s="633"/>
      <c r="V1219" s="115"/>
    </row>
    <row r="1220" spans="4:22" ht="12.75" customHeight="1" x14ac:dyDescent="0.25">
      <c r="D1220" s="428" t="s">
        <v>3720</v>
      </c>
      <c r="I1220" s="484"/>
      <c r="Q1220" s="633"/>
      <c r="V1220" s="115"/>
    </row>
    <row r="1221" spans="4:22" ht="12.75" customHeight="1" x14ac:dyDescent="0.25">
      <c r="I1221" s="484"/>
      <c r="Q1221" s="633"/>
      <c r="V1221" s="115"/>
    </row>
    <row r="1222" spans="4:22" ht="12.75" customHeight="1" x14ac:dyDescent="0.25">
      <c r="I1222" s="484"/>
      <c r="Q1222" s="633"/>
      <c r="V1222" s="115"/>
    </row>
    <row r="1223" spans="4:22" ht="12.75" customHeight="1" x14ac:dyDescent="0.25">
      <c r="D1223" s="393">
        <v>630020</v>
      </c>
      <c r="E1223" s="410" t="s">
        <v>3721</v>
      </c>
      <c r="F1223" s="382"/>
      <c r="I1223" s="151"/>
      <c r="J1223" s="407">
        <v>2025</v>
      </c>
      <c r="K1223" s="407">
        <v>2026</v>
      </c>
      <c r="L1223" s="407">
        <v>2027</v>
      </c>
      <c r="M1223" s="407">
        <v>2028</v>
      </c>
      <c r="N1223" s="407">
        <v>2029</v>
      </c>
      <c r="O1223" s="407">
        <v>2030</v>
      </c>
      <c r="Q1223" s="633"/>
      <c r="V1223" s="115"/>
    </row>
    <row r="1224" spans="4:22" ht="12.75" customHeight="1" x14ac:dyDescent="0.25">
      <c r="D1224" s="393"/>
      <c r="E1224" s="410"/>
      <c r="F1224" s="382"/>
      <c r="I1224" s="151"/>
      <c r="J1224" s="151"/>
      <c r="K1224" s="151"/>
      <c r="L1224" s="151"/>
      <c r="M1224" s="151"/>
      <c r="N1224" s="151"/>
      <c r="O1224" s="151"/>
      <c r="Q1224" s="633"/>
      <c r="V1224" s="115"/>
    </row>
    <row r="1225" spans="4:22" ht="12.75" customHeight="1" x14ac:dyDescent="0.25">
      <c r="D1225" s="143">
        <v>43511</v>
      </c>
      <c r="E1225" s="401" t="s">
        <v>3722</v>
      </c>
      <c r="H1225" s="484"/>
      <c r="I1225" s="114"/>
      <c r="J1225" s="114">
        <v>44621</v>
      </c>
      <c r="K1225" s="114">
        <v>45513</v>
      </c>
      <c r="L1225" s="114">
        <f>ROUND(K1225*U$3,0)</f>
        <v>47425</v>
      </c>
      <c r="M1225" s="114">
        <f>ROUND(L1225*V$3,0)</f>
        <v>49180</v>
      </c>
      <c r="N1225" s="114">
        <f>ROUND(M1225*W$3,0)</f>
        <v>51000</v>
      </c>
      <c r="O1225" s="114">
        <f>ROUND(N1225*X$3,0)</f>
        <v>52887</v>
      </c>
      <c r="Q1225" s="633"/>
      <c r="V1225" s="115"/>
    </row>
    <row r="1226" spans="4:22" ht="12.75" customHeight="1" x14ac:dyDescent="0.25">
      <c r="D1226" s="143"/>
      <c r="E1226" s="563" t="s">
        <v>1711</v>
      </c>
      <c r="H1226" s="484"/>
      <c r="I1226" s="114"/>
      <c r="J1226" s="114"/>
      <c r="K1226" s="114"/>
      <c r="L1226" s="114"/>
      <c r="M1226" s="114"/>
      <c r="N1226" s="114"/>
      <c r="O1226" s="114"/>
      <c r="Q1226" s="633"/>
      <c r="V1226" s="115"/>
    </row>
    <row r="1227" spans="4:22" ht="12.75" customHeight="1" x14ac:dyDescent="0.25">
      <c r="D1227" s="143"/>
      <c r="E1227" s="401" t="s">
        <v>3723</v>
      </c>
      <c r="H1227" s="484"/>
      <c r="I1227" s="114"/>
      <c r="J1227" s="114">
        <v>26200</v>
      </c>
      <c r="K1227" s="114">
        <v>27500</v>
      </c>
      <c r="L1227" s="114">
        <v>28800</v>
      </c>
      <c r="M1227" s="114">
        <v>28801</v>
      </c>
      <c r="N1227" s="114">
        <v>28801</v>
      </c>
      <c r="O1227" s="114">
        <v>28801</v>
      </c>
      <c r="Q1227" s="633"/>
      <c r="V1227" s="115"/>
    </row>
    <row r="1228" spans="4:22" ht="12.75" customHeight="1" thickBot="1" x14ac:dyDescent="0.3">
      <c r="D1228" s="143"/>
      <c r="E1228" s="401"/>
      <c r="H1228" s="484"/>
      <c r="I1228" s="114"/>
      <c r="J1228" s="1744">
        <v>70821</v>
      </c>
      <c r="K1228" s="1744">
        <v>73013</v>
      </c>
      <c r="L1228" s="1744">
        <f t="shared" ref="L1228:M1228" si="271">SUM(L1225:L1227)</f>
        <v>76225</v>
      </c>
      <c r="M1228" s="1744">
        <f t="shared" si="271"/>
        <v>77981</v>
      </c>
      <c r="N1228" s="1744">
        <f t="shared" ref="N1228:O1228" si="272">SUM(N1225:N1227)</f>
        <v>79801</v>
      </c>
      <c r="O1228" s="1744">
        <f t="shared" si="272"/>
        <v>81688</v>
      </c>
      <c r="Q1228" s="633"/>
      <c r="V1228" s="115"/>
    </row>
    <row r="1229" spans="4:22" ht="12.75" customHeight="1" thickTop="1" x14ac:dyDescent="0.25">
      <c r="D1229" s="143"/>
      <c r="E1229" s="401"/>
      <c r="H1229" s="484"/>
      <c r="I1229" s="114"/>
      <c r="Q1229" s="633"/>
      <c r="V1229" s="115"/>
    </row>
    <row r="1230" spans="4:22" ht="12.75" customHeight="1" x14ac:dyDescent="0.25">
      <c r="D1230" s="143">
        <v>43511</v>
      </c>
      <c r="E1230" s="115" t="s">
        <v>3724</v>
      </c>
      <c r="I1230" s="114"/>
      <c r="J1230" s="114">
        <v>3651</v>
      </c>
      <c r="K1230" s="114">
        <v>3746</v>
      </c>
      <c r="L1230" s="2123">
        <f>ROUND(K1230*U$2,0)</f>
        <v>3825</v>
      </c>
      <c r="M1230" s="2123">
        <f>ROUND(L1230*V$2,0)</f>
        <v>3913</v>
      </c>
      <c r="N1230" s="2123">
        <f>ROUND(M1230*W$2,0)</f>
        <v>4003</v>
      </c>
      <c r="O1230" s="2123">
        <f>ROUND(N1230*X$2,0)</f>
        <v>4095</v>
      </c>
      <c r="P1230" s="2124" t="s">
        <v>5286</v>
      </c>
      <c r="Q1230" s="633"/>
      <c r="V1230" s="115"/>
    </row>
    <row r="1231" spans="4:22" ht="12.75" customHeight="1" x14ac:dyDescent="0.25">
      <c r="D1231" s="384"/>
      <c r="E1231" s="115" t="s">
        <v>3725</v>
      </c>
      <c r="F1231" s="384"/>
      <c r="I1231" s="114"/>
      <c r="J1231" s="114"/>
      <c r="K1231" s="114"/>
      <c r="L1231" s="114"/>
      <c r="M1231" s="114"/>
      <c r="N1231" s="114"/>
      <c r="O1231" s="114"/>
      <c r="Q1231" s="633"/>
      <c r="V1231" s="115"/>
    </row>
    <row r="1232" spans="4:22" ht="12.75" customHeight="1" thickBot="1" x14ac:dyDescent="0.3">
      <c r="D1232" s="143"/>
      <c r="E1232" s="115" t="str">
        <f>"Totaal "&amp;D1230</f>
        <v>Totaal 43511</v>
      </c>
      <c r="I1232" s="114"/>
      <c r="J1232" s="1744">
        <v>3651</v>
      </c>
      <c r="K1232" s="1744">
        <v>3746</v>
      </c>
      <c r="L1232" s="1744">
        <f>SUM(L1230:L1231)</f>
        <v>3825</v>
      </c>
      <c r="M1232" s="1744">
        <f>SUM(M1230:M1231)</f>
        <v>3913</v>
      </c>
      <c r="N1232" s="1744">
        <f>SUM(N1230:N1231)</f>
        <v>4003</v>
      </c>
      <c r="O1232" s="1744">
        <f>SUM(O1230:O1231)</f>
        <v>4095</v>
      </c>
      <c r="Q1232" s="633"/>
      <c r="V1232" s="115"/>
    </row>
    <row r="1233" spans="4:22" ht="12.75" customHeight="1" thickTop="1" x14ac:dyDescent="0.25">
      <c r="E1233" s="115"/>
      <c r="I1233" s="114"/>
      <c r="J1233" s="151"/>
      <c r="K1233" s="151"/>
      <c r="L1233" s="151"/>
      <c r="M1233" s="151"/>
      <c r="N1233" s="151"/>
      <c r="O1233" s="151"/>
      <c r="Q1233" s="633"/>
      <c r="V1233" s="115"/>
    </row>
    <row r="1234" spans="4:22" ht="12.75" customHeight="1" x14ac:dyDescent="0.25">
      <c r="D1234" s="143">
        <v>43801</v>
      </c>
      <c r="E1234" s="308" t="s">
        <v>3726</v>
      </c>
      <c r="I1234" s="114"/>
      <c r="J1234" s="114">
        <v>9787</v>
      </c>
      <c r="K1234" s="114">
        <v>10041</v>
      </c>
      <c r="L1234" s="114">
        <f>ROUND(K1234*U$2,0)</f>
        <v>10252</v>
      </c>
      <c r="M1234" s="114">
        <f>ROUND(L1234*V$2,0)</f>
        <v>10488</v>
      </c>
      <c r="N1234" s="114">
        <f>ROUND(M1234*W$2,0)</f>
        <v>10729</v>
      </c>
      <c r="O1234" s="114">
        <f>ROUND(N1234*X$2,0)</f>
        <v>10976</v>
      </c>
      <c r="Q1234" s="633"/>
      <c r="V1234" s="115"/>
    </row>
    <row r="1235" spans="4:22" ht="12.75" customHeight="1" thickBot="1" x14ac:dyDescent="0.3">
      <c r="E1235" s="115" t="str">
        <f>"Totaal "&amp;D1234</f>
        <v>Totaal 43801</v>
      </c>
      <c r="I1235" s="114"/>
      <c r="J1235" s="1744">
        <v>9787</v>
      </c>
      <c r="K1235" s="1744">
        <v>10041</v>
      </c>
      <c r="L1235" s="1744">
        <f>SUM(L1234:L1234)</f>
        <v>10252</v>
      </c>
      <c r="M1235" s="1744">
        <f>SUM(M1234:M1234)</f>
        <v>10488</v>
      </c>
      <c r="N1235" s="1744">
        <f>SUM(N1234:N1234)</f>
        <v>10729</v>
      </c>
      <c r="O1235" s="1744">
        <f>SUM(O1234:O1234)</f>
        <v>10976</v>
      </c>
      <c r="Q1235" s="633"/>
      <c r="V1235" s="115"/>
    </row>
    <row r="1236" spans="4:22" ht="12.75" customHeight="1" thickTop="1" x14ac:dyDescent="0.25">
      <c r="E1236" s="115"/>
      <c r="I1236" s="114"/>
      <c r="J1236" s="114"/>
      <c r="K1236" s="114"/>
      <c r="L1236" s="114"/>
      <c r="M1236" s="114"/>
      <c r="N1236" s="114"/>
      <c r="O1236" s="114"/>
      <c r="Q1236" s="633"/>
      <c r="V1236" s="115"/>
    </row>
    <row r="1237" spans="4:22" ht="12.75" customHeight="1" x14ac:dyDescent="0.25">
      <c r="D1237" s="143">
        <v>43201</v>
      </c>
      <c r="E1237" s="115" t="s">
        <v>3727</v>
      </c>
      <c r="I1237" s="114"/>
      <c r="J1237" s="114">
        <v>575</v>
      </c>
      <c r="K1237" s="114">
        <v>590</v>
      </c>
      <c r="L1237" s="114">
        <f>ROUND(K1237*U$2,0)</f>
        <v>602</v>
      </c>
      <c r="M1237" s="114">
        <f>ROUND(L1237*V$2,0)</f>
        <v>616</v>
      </c>
      <c r="N1237" s="114">
        <f>ROUND(M1237*W$2,0)</f>
        <v>630</v>
      </c>
      <c r="O1237" s="114">
        <f>ROUND(N1237*X$2,0)</f>
        <v>644</v>
      </c>
      <c r="Q1237" s="633"/>
      <c r="V1237" s="115"/>
    </row>
    <row r="1238" spans="4:22" ht="12.75" customHeight="1" thickBot="1" x14ac:dyDescent="0.3">
      <c r="D1238" s="143"/>
      <c r="E1238" s="115" t="str">
        <f>"Totaal "&amp;D1237</f>
        <v>Totaal 43201</v>
      </c>
      <c r="I1238" s="114"/>
      <c r="J1238" s="1744">
        <v>575</v>
      </c>
      <c r="K1238" s="1744">
        <v>590</v>
      </c>
      <c r="L1238" s="1744">
        <f>SUM(L1237:L1237)</f>
        <v>602</v>
      </c>
      <c r="M1238" s="1744">
        <f>SUM(M1237:M1237)</f>
        <v>616</v>
      </c>
      <c r="N1238" s="1744">
        <f>SUM(N1237:N1237)</f>
        <v>630</v>
      </c>
      <c r="O1238" s="1744">
        <f>SUM(O1237:O1237)</f>
        <v>644</v>
      </c>
      <c r="Q1238" s="633"/>
      <c r="V1238" s="115"/>
    </row>
    <row r="1239" spans="4:22" ht="12.75" customHeight="1" thickTop="1" x14ac:dyDescent="0.25">
      <c r="D1239" s="143"/>
      <c r="E1239" s="115"/>
      <c r="I1239" s="114"/>
      <c r="J1239" s="114"/>
      <c r="K1239" s="114"/>
      <c r="L1239" s="114"/>
      <c r="M1239" s="114"/>
      <c r="N1239" s="114"/>
      <c r="O1239" s="114"/>
      <c r="Q1239" s="633"/>
      <c r="V1239" s="115"/>
    </row>
    <row r="1240" spans="4:22" ht="12.75" customHeight="1" x14ac:dyDescent="0.25">
      <c r="D1240" s="143">
        <v>43812</v>
      </c>
      <c r="E1240" s="115" t="s">
        <v>3728</v>
      </c>
      <c r="I1240" s="114"/>
      <c r="J1240" s="1108"/>
      <c r="K1240" s="1108"/>
      <c r="L1240" s="1108"/>
      <c r="M1240" s="1108"/>
      <c r="N1240" s="1108"/>
      <c r="O1240" s="1108"/>
      <c r="Q1240" s="633"/>
      <c r="V1240" s="115"/>
    </row>
    <row r="1241" spans="4:22" ht="12.75" customHeight="1" x14ac:dyDescent="0.25">
      <c r="E1241" s="308" t="s">
        <v>3729</v>
      </c>
      <c r="I1241" s="114"/>
      <c r="J1241" s="114">
        <v>232</v>
      </c>
      <c r="K1241" s="114">
        <v>238</v>
      </c>
      <c r="L1241" s="114">
        <f t="shared" ref="L1241:L1253" si="273">ROUND(K1241*U$2,0)</f>
        <v>243</v>
      </c>
      <c r="M1241" s="114">
        <f t="shared" ref="M1241:M1253" si="274">ROUND(L1241*V$2,0)</f>
        <v>249</v>
      </c>
      <c r="N1241" s="114">
        <f t="shared" ref="N1241:O1253" si="275">ROUND(M1241*W$2,0)</f>
        <v>255</v>
      </c>
      <c r="O1241" s="114">
        <f t="shared" si="275"/>
        <v>261</v>
      </c>
      <c r="Q1241" s="633"/>
      <c r="V1241" s="115"/>
    </row>
    <row r="1242" spans="4:22" ht="12.75" customHeight="1" x14ac:dyDescent="0.25">
      <c r="E1242" s="308" t="s">
        <v>3730</v>
      </c>
      <c r="I1242" s="114"/>
      <c r="J1242" s="114">
        <v>856</v>
      </c>
      <c r="K1242" s="114">
        <v>878</v>
      </c>
      <c r="L1242" s="114">
        <f t="shared" si="273"/>
        <v>896</v>
      </c>
      <c r="M1242" s="114">
        <f t="shared" si="274"/>
        <v>917</v>
      </c>
      <c r="N1242" s="114">
        <f t="shared" si="275"/>
        <v>938</v>
      </c>
      <c r="O1242" s="114">
        <f t="shared" si="275"/>
        <v>960</v>
      </c>
      <c r="Q1242" s="633"/>
      <c r="V1242" s="115"/>
    </row>
    <row r="1243" spans="4:22" ht="12.75" customHeight="1" x14ac:dyDescent="0.25">
      <c r="E1243" s="308" t="s">
        <v>3731</v>
      </c>
      <c r="I1243" s="114"/>
      <c r="J1243" s="114">
        <v>233</v>
      </c>
      <c r="K1243" s="114">
        <v>239</v>
      </c>
      <c r="L1243" s="114">
        <f t="shared" si="273"/>
        <v>244</v>
      </c>
      <c r="M1243" s="114">
        <f t="shared" si="274"/>
        <v>250</v>
      </c>
      <c r="N1243" s="114">
        <f t="shared" si="275"/>
        <v>256</v>
      </c>
      <c r="O1243" s="114">
        <f t="shared" si="275"/>
        <v>262</v>
      </c>
      <c r="Q1243" s="633"/>
      <c r="V1243" s="115"/>
    </row>
    <row r="1244" spans="4:22" ht="12.75" customHeight="1" x14ac:dyDescent="0.25">
      <c r="E1244" s="308" t="s">
        <v>3732</v>
      </c>
      <c r="I1244" s="114"/>
      <c r="J1244" s="114">
        <v>766</v>
      </c>
      <c r="K1244" s="114">
        <v>786</v>
      </c>
      <c r="L1244" s="114">
        <f t="shared" si="273"/>
        <v>803</v>
      </c>
      <c r="M1244" s="114">
        <f t="shared" si="274"/>
        <v>821</v>
      </c>
      <c r="N1244" s="114">
        <f t="shared" si="275"/>
        <v>840</v>
      </c>
      <c r="O1244" s="114">
        <f t="shared" si="275"/>
        <v>859</v>
      </c>
      <c r="Q1244" s="633"/>
      <c r="V1244" s="115"/>
    </row>
    <row r="1245" spans="4:22" ht="12.75" customHeight="1" x14ac:dyDescent="0.25">
      <c r="E1245" s="308" t="s">
        <v>3733</v>
      </c>
      <c r="I1245" s="114"/>
      <c r="J1245" s="114">
        <v>1959</v>
      </c>
      <c r="K1245" s="114">
        <v>2010</v>
      </c>
      <c r="L1245" s="114">
        <f t="shared" si="273"/>
        <v>2052</v>
      </c>
      <c r="M1245" s="114">
        <f t="shared" si="274"/>
        <v>2099</v>
      </c>
      <c r="N1245" s="114">
        <f t="shared" si="275"/>
        <v>2147</v>
      </c>
      <c r="O1245" s="114">
        <f t="shared" si="275"/>
        <v>2196</v>
      </c>
      <c r="Q1245" s="633"/>
      <c r="V1245" s="115"/>
    </row>
    <row r="1246" spans="4:22" ht="12.75" customHeight="1" x14ac:dyDescent="0.25">
      <c r="E1246" s="308" t="s">
        <v>3734</v>
      </c>
      <c r="I1246" s="114"/>
      <c r="J1246" s="114">
        <v>8272</v>
      </c>
      <c r="K1246" s="114">
        <v>8487</v>
      </c>
      <c r="L1246" s="114">
        <f t="shared" si="273"/>
        <v>8665</v>
      </c>
      <c r="M1246" s="114">
        <f t="shared" si="274"/>
        <v>8864</v>
      </c>
      <c r="N1246" s="114">
        <f t="shared" si="275"/>
        <v>9068</v>
      </c>
      <c r="O1246" s="114">
        <f t="shared" si="275"/>
        <v>9277</v>
      </c>
      <c r="Q1246" s="633"/>
      <c r="V1246" s="115"/>
    </row>
    <row r="1247" spans="4:22" ht="12.75" customHeight="1" x14ac:dyDescent="0.25">
      <c r="E1247" s="308" t="s">
        <v>3735</v>
      </c>
      <c r="I1247" s="114"/>
      <c r="J1247" s="114">
        <v>1240</v>
      </c>
      <c r="K1247" s="114">
        <v>1272</v>
      </c>
      <c r="L1247" s="114">
        <f t="shared" si="273"/>
        <v>1299</v>
      </c>
      <c r="M1247" s="114">
        <f t="shared" si="274"/>
        <v>1329</v>
      </c>
      <c r="N1247" s="114">
        <f t="shared" si="275"/>
        <v>1360</v>
      </c>
      <c r="O1247" s="114">
        <f t="shared" si="275"/>
        <v>1391</v>
      </c>
      <c r="Q1247" s="633"/>
      <c r="V1247" s="115"/>
    </row>
    <row r="1248" spans="4:22" ht="12.75" customHeight="1" x14ac:dyDescent="0.25">
      <c r="E1248" s="308" t="s">
        <v>3642</v>
      </c>
      <c r="I1248" s="114"/>
      <c r="J1248" s="114">
        <v>160</v>
      </c>
      <c r="K1248" s="114">
        <v>164</v>
      </c>
      <c r="L1248" s="114">
        <f t="shared" si="273"/>
        <v>167</v>
      </c>
      <c r="M1248" s="114">
        <f t="shared" si="274"/>
        <v>171</v>
      </c>
      <c r="N1248" s="114">
        <f t="shared" si="275"/>
        <v>175</v>
      </c>
      <c r="O1248" s="114">
        <f t="shared" si="275"/>
        <v>179</v>
      </c>
      <c r="Q1248" s="633"/>
      <c r="V1248" s="115"/>
    </row>
    <row r="1249" spans="4:22" ht="12.75" customHeight="1" x14ac:dyDescent="0.25">
      <c r="E1249" s="308" t="s">
        <v>3736</v>
      </c>
      <c r="I1249" s="114"/>
      <c r="J1249" s="114">
        <v>537</v>
      </c>
      <c r="K1249" s="114">
        <v>551</v>
      </c>
      <c r="L1249" s="114">
        <f t="shared" si="273"/>
        <v>563</v>
      </c>
      <c r="M1249" s="114">
        <f t="shared" si="274"/>
        <v>576</v>
      </c>
      <c r="N1249" s="114">
        <f t="shared" si="275"/>
        <v>589</v>
      </c>
      <c r="O1249" s="114">
        <f t="shared" si="275"/>
        <v>603</v>
      </c>
      <c r="Q1249" s="633"/>
      <c r="V1249" s="115"/>
    </row>
    <row r="1250" spans="4:22" ht="12.75" customHeight="1" x14ac:dyDescent="0.25">
      <c r="E1250" s="308" t="s">
        <v>3640</v>
      </c>
      <c r="I1250" s="114"/>
      <c r="J1250" s="114">
        <v>230</v>
      </c>
      <c r="K1250" s="114">
        <v>236</v>
      </c>
      <c r="L1250" s="114">
        <f t="shared" si="273"/>
        <v>241</v>
      </c>
      <c r="M1250" s="114">
        <f t="shared" si="274"/>
        <v>247</v>
      </c>
      <c r="N1250" s="114">
        <f t="shared" si="275"/>
        <v>253</v>
      </c>
      <c r="O1250" s="114">
        <f t="shared" si="275"/>
        <v>259</v>
      </c>
      <c r="Q1250" s="633"/>
      <c r="V1250" s="115"/>
    </row>
    <row r="1251" spans="4:22" ht="12.75" customHeight="1" x14ac:dyDescent="0.25">
      <c r="E1251" s="308" t="s">
        <v>3737</v>
      </c>
      <c r="I1251" s="114"/>
      <c r="J1251" s="114">
        <v>398</v>
      </c>
      <c r="K1251" s="114">
        <v>408</v>
      </c>
      <c r="L1251" s="114">
        <f t="shared" si="273"/>
        <v>417</v>
      </c>
      <c r="M1251" s="114">
        <f t="shared" si="274"/>
        <v>427</v>
      </c>
      <c r="N1251" s="114">
        <f t="shared" si="275"/>
        <v>437</v>
      </c>
      <c r="O1251" s="114">
        <f t="shared" si="275"/>
        <v>447</v>
      </c>
      <c r="Q1251" s="633"/>
      <c r="V1251" s="115"/>
    </row>
    <row r="1252" spans="4:22" ht="12.75" customHeight="1" x14ac:dyDescent="0.25">
      <c r="E1252" s="308" t="s">
        <v>1869</v>
      </c>
      <c r="I1252" s="114"/>
      <c r="J1252" s="114">
        <v>6562</v>
      </c>
      <c r="K1252" s="114">
        <v>6733</v>
      </c>
      <c r="L1252" s="114">
        <f t="shared" si="273"/>
        <v>6874</v>
      </c>
      <c r="M1252" s="114">
        <f t="shared" si="274"/>
        <v>7032</v>
      </c>
      <c r="N1252" s="114">
        <f t="shared" si="275"/>
        <v>7194</v>
      </c>
      <c r="O1252" s="114">
        <f t="shared" si="275"/>
        <v>7359</v>
      </c>
      <c r="Q1252" s="633"/>
      <c r="V1252" s="115"/>
    </row>
    <row r="1253" spans="4:22" ht="12.75" customHeight="1" x14ac:dyDescent="0.25">
      <c r="E1253" s="308" t="s">
        <v>3738</v>
      </c>
      <c r="I1253" s="114"/>
      <c r="J1253" s="114">
        <v>7000</v>
      </c>
      <c r="K1253" s="114">
        <v>7182</v>
      </c>
      <c r="L1253" s="114">
        <f t="shared" si="273"/>
        <v>7333</v>
      </c>
      <c r="M1253" s="114">
        <f t="shared" si="274"/>
        <v>7502</v>
      </c>
      <c r="N1253" s="114">
        <f t="shared" si="275"/>
        <v>7675</v>
      </c>
      <c r="O1253" s="114">
        <f t="shared" si="275"/>
        <v>7852</v>
      </c>
      <c r="Q1253" s="633"/>
      <c r="V1253" s="115"/>
    </row>
    <row r="1254" spans="4:22" ht="12.75" customHeight="1" x14ac:dyDescent="0.25">
      <c r="E1254" s="308" t="s">
        <v>3739</v>
      </c>
      <c r="I1254" s="114"/>
      <c r="J1254" s="114">
        <v>-6871</v>
      </c>
      <c r="K1254" s="114">
        <v>-7029</v>
      </c>
      <c r="L1254" s="114">
        <v>-7029</v>
      </c>
      <c r="M1254" s="114">
        <v>-7028</v>
      </c>
      <c r="N1254" s="114">
        <v>-7028</v>
      </c>
      <c r="O1254" s="114">
        <v>-7028</v>
      </c>
      <c r="Q1254" s="633"/>
      <c r="V1254" s="115"/>
    </row>
    <row r="1255" spans="4:22" ht="12.75" customHeight="1" thickBot="1" x14ac:dyDescent="0.3">
      <c r="D1255" s="143"/>
      <c r="E1255" s="115" t="str">
        <f>"Totaal "&amp;D1246</f>
        <v xml:space="preserve">Totaal </v>
      </c>
      <c r="H1255" s="306">
        <v>43812</v>
      </c>
      <c r="I1255" s="114"/>
      <c r="J1255" s="1744">
        <v>21574</v>
      </c>
      <c r="K1255" s="1744">
        <v>22155</v>
      </c>
      <c r="L1255" s="1744">
        <f t="shared" ref="L1255:M1255" si="276">SUM(L1241:L1254)</f>
        <v>22768</v>
      </c>
      <c r="M1255" s="1744">
        <f t="shared" si="276"/>
        <v>23456</v>
      </c>
      <c r="N1255" s="1744">
        <f t="shared" ref="N1255:O1255" si="277">SUM(N1241:N1254)</f>
        <v>24159</v>
      </c>
      <c r="O1255" s="1744">
        <f t="shared" si="277"/>
        <v>24877</v>
      </c>
      <c r="Q1255" s="633"/>
      <c r="V1255" s="115"/>
    </row>
    <row r="1256" spans="4:22" ht="12.75" customHeight="1" thickTop="1" x14ac:dyDescent="0.25">
      <c r="D1256" s="143"/>
      <c r="E1256" s="115"/>
      <c r="I1256" s="114"/>
      <c r="J1256" s="114"/>
      <c r="K1256" s="114"/>
      <c r="L1256" s="114"/>
      <c r="M1256" s="114"/>
      <c r="N1256" s="114"/>
      <c r="O1256" s="114"/>
      <c r="Q1256" s="633"/>
      <c r="V1256" s="115"/>
    </row>
    <row r="1257" spans="4:22" ht="12.75" customHeight="1" x14ac:dyDescent="0.25">
      <c r="D1257" s="143">
        <v>43817</v>
      </c>
      <c r="E1257" s="115" t="s">
        <v>3740</v>
      </c>
      <c r="I1257" s="114"/>
      <c r="J1257" s="114">
        <v>6871</v>
      </c>
      <c r="K1257" s="114">
        <v>7029</v>
      </c>
      <c r="L1257" s="114">
        <v>7029</v>
      </c>
      <c r="M1257" s="114">
        <v>7030</v>
      </c>
      <c r="N1257" s="114">
        <v>7030</v>
      </c>
      <c r="O1257" s="114">
        <v>7030</v>
      </c>
      <c r="Q1257" s="633"/>
      <c r="V1257" s="115"/>
    </row>
    <row r="1258" spans="4:22" ht="12.75" customHeight="1" thickBot="1" x14ac:dyDescent="0.3">
      <c r="D1258" s="143"/>
      <c r="E1258" s="115" t="str">
        <f>"Totaal "&amp;D1257</f>
        <v>Totaal 43817</v>
      </c>
      <c r="I1258" s="114"/>
      <c r="J1258" s="1744">
        <v>6871</v>
      </c>
      <c r="K1258" s="1744">
        <v>7029</v>
      </c>
      <c r="L1258" s="1744">
        <f>+L1257</f>
        <v>7029</v>
      </c>
      <c r="M1258" s="1744">
        <f>+M1257</f>
        <v>7030</v>
      </c>
      <c r="N1258" s="1744">
        <f>+N1257</f>
        <v>7030</v>
      </c>
      <c r="O1258" s="1744">
        <f>+O1257</f>
        <v>7030</v>
      </c>
      <c r="Q1258" s="633"/>
      <c r="V1258" s="115"/>
    </row>
    <row r="1259" spans="4:22" ht="12.75" customHeight="1" thickTop="1" x14ac:dyDescent="0.25">
      <c r="E1259" s="115"/>
      <c r="I1259" s="114"/>
      <c r="J1259" s="114"/>
      <c r="K1259" s="114"/>
      <c r="L1259" s="114"/>
      <c r="M1259" s="114"/>
      <c r="N1259" s="114"/>
      <c r="O1259" s="114"/>
      <c r="Q1259" s="633"/>
      <c r="V1259" s="115"/>
    </row>
    <row r="1260" spans="4:22" ht="12.75" customHeight="1" x14ac:dyDescent="0.25">
      <c r="J1260" s="114"/>
      <c r="K1260" s="114"/>
      <c r="L1260" s="114"/>
      <c r="M1260" s="114"/>
      <c r="N1260" s="114"/>
      <c r="O1260" s="114"/>
      <c r="Q1260" s="633"/>
      <c r="V1260" s="115"/>
    </row>
    <row r="1261" spans="4:22" ht="12.75" customHeight="1" x14ac:dyDescent="0.25">
      <c r="D1261" s="393">
        <v>630901</v>
      </c>
      <c r="E1261" s="381" t="s">
        <v>3741</v>
      </c>
      <c r="F1261" s="382"/>
      <c r="J1261" s="1109">
        <v>2025</v>
      </c>
      <c r="K1261" s="1109">
        <v>2026</v>
      </c>
      <c r="L1261" s="1109">
        <v>2027</v>
      </c>
      <c r="M1261" s="1109">
        <v>2028</v>
      </c>
      <c r="N1261" s="1109">
        <v>2029</v>
      </c>
      <c r="O1261" s="1109">
        <v>2030</v>
      </c>
      <c r="Q1261" s="633"/>
      <c r="V1261" s="115"/>
    </row>
    <row r="1262" spans="4:22" ht="12.75" customHeight="1" x14ac:dyDescent="0.25">
      <c r="D1262" s="384"/>
      <c r="E1262" s="383"/>
      <c r="F1262" s="384"/>
      <c r="J1262" s="114"/>
      <c r="K1262" s="114"/>
      <c r="L1262" s="114"/>
      <c r="M1262" s="114"/>
      <c r="N1262" s="114"/>
      <c r="O1262" s="114"/>
      <c r="Q1262" s="633"/>
      <c r="V1262" s="115"/>
    </row>
    <row r="1263" spans="4:22" ht="12.75" customHeight="1" x14ac:dyDescent="0.25">
      <c r="D1263" s="143">
        <v>41100</v>
      </c>
      <c r="E1263" s="115" t="s">
        <v>541</v>
      </c>
      <c r="Q1263" s="633"/>
      <c r="V1263" s="115"/>
    </row>
    <row r="1264" spans="4:22" ht="12.75" customHeight="1" x14ac:dyDescent="0.25">
      <c r="E1264" s="308" t="s">
        <v>2672</v>
      </c>
      <c r="J1264" s="114">
        <v>0</v>
      </c>
      <c r="K1264" s="114">
        <v>0</v>
      </c>
      <c r="L1264" s="114">
        <f t="shared" ref="L1264:L1272" si="278">ROUND(K1264*U$3,0)</f>
        <v>0</v>
      </c>
      <c r="M1264" s="114">
        <f t="shared" ref="M1264:M1272" si="279">ROUND(L1264*V$3,0)</f>
        <v>0</v>
      </c>
      <c r="N1264" s="114">
        <f t="shared" ref="N1264:N1272" si="280">ROUND(M1264*W$3,0)</f>
        <v>0</v>
      </c>
      <c r="O1264" s="114">
        <f t="shared" ref="O1264:O1272" si="281">ROUND(N1264*X$3,0)</f>
        <v>0</v>
      </c>
      <c r="Q1264" s="633"/>
      <c r="V1264" s="115"/>
    </row>
    <row r="1265" spans="1:23" ht="12.75" customHeight="1" x14ac:dyDescent="0.25">
      <c r="E1265" s="308" t="s">
        <v>3742</v>
      </c>
      <c r="J1265" s="114">
        <v>0</v>
      </c>
      <c r="K1265" s="114">
        <v>0</v>
      </c>
      <c r="L1265" s="114">
        <f t="shared" si="278"/>
        <v>0</v>
      </c>
      <c r="M1265" s="114">
        <f t="shared" si="279"/>
        <v>0</v>
      </c>
      <c r="N1265" s="114">
        <f t="shared" si="280"/>
        <v>0</v>
      </c>
      <c r="O1265" s="114">
        <f t="shared" si="281"/>
        <v>0</v>
      </c>
      <c r="Q1265" s="633"/>
      <c r="V1265" s="115"/>
    </row>
    <row r="1266" spans="1:23" ht="12.75" customHeight="1" x14ac:dyDescent="0.25">
      <c r="E1266" s="308" t="s">
        <v>706</v>
      </c>
      <c r="J1266" s="114">
        <v>0</v>
      </c>
      <c r="K1266" s="114">
        <v>0</v>
      </c>
      <c r="L1266" s="114">
        <f t="shared" si="278"/>
        <v>0</v>
      </c>
      <c r="M1266" s="114">
        <f t="shared" si="279"/>
        <v>0</v>
      </c>
      <c r="N1266" s="114">
        <f t="shared" si="280"/>
        <v>0</v>
      </c>
      <c r="O1266" s="114">
        <f t="shared" si="281"/>
        <v>0</v>
      </c>
      <c r="Q1266" s="633"/>
      <c r="V1266" s="115"/>
    </row>
    <row r="1267" spans="1:23" ht="12.75" customHeight="1" x14ac:dyDescent="0.25">
      <c r="E1267" s="308" t="s">
        <v>3743</v>
      </c>
      <c r="J1267" s="114">
        <v>453953.9</v>
      </c>
      <c r="K1267" s="114">
        <v>453719.77</v>
      </c>
      <c r="L1267" s="114">
        <f t="shared" si="278"/>
        <v>472776</v>
      </c>
      <c r="M1267" s="114">
        <f t="shared" si="279"/>
        <v>490269</v>
      </c>
      <c r="N1267" s="114">
        <f t="shared" si="280"/>
        <v>508409</v>
      </c>
      <c r="O1267" s="114">
        <f t="shared" si="281"/>
        <v>527220</v>
      </c>
      <c r="Q1267" s="633"/>
      <c r="V1267" s="115"/>
    </row>
    <row r="1268" spans="1:23" ht="12.75" customHeight="1" x14ac:dyDescent="0.25">
      <c r="E1268" s="308" t="s">
        <v>1029</v>
      </c>
      <c r="J1268" s="114">
        <v>48002</v>
      </c>
      <c r="K1268" s="114">
        <v>47933</v>
      </c>
      <c r="L1268" s="114">
        <f t="shared" si="278"/>
        <v>49946</v>
      </c>
      <c r="M1268" s="114">
        <f t="shared" si="279"/>
        <v>51794</v>
      </c>
      <c r="N1268" s="114">
        <f t="shared" si="280"/>
        <v>53710</v>
      </c>
      <c r="O1268" s="114">
        <f t="shared" si="281"/>
        <v>55697</v>
      </c>
      <c r="Q1268" s="633"/>
      <c r="V1268" s="115"/>
    </row>
    <row r="1269" spans="1:23" ht="12.75" customHeight="1" x14ac:dyDescent="0.25">
      <c r="E1269" s="308" t="s">
        <v>1030</v>
      </c>
      <c r="J1269" s="114">
        <v>34631</v>
      </c>
      <c r="K1269" s="114">
        <v>36443</v>
      </c>
      <c r="L1269" s="114">
        <f t="shared" si="278"/>
        <v>37974</v>
      </c>
      <c r="M1269" s="114">
        <f t="shared" si="279"/>
        <v>39379</v>
      </c>
      <c r="N1269" s="114">
        <f t="shared" si="280"/>
        <v>40836</v>
      </c>
      <c r="O1269" s="114">
        <f t="shared" si="281"/>
        <v>42347</v>
      </c>
      <c r="Q1269" s="633"/>
      <c r="V1269" s="115"/>
    </row>
    <row r="1270" spans="1:23" ht="12.75" customHeight="1" x14ac:dyDescent="0.25">
      <c r="E1270" s="308" t="s">
        <v>1028</v>
      </c>
      <c r="J1270" s="114">
        <v>17785</v>
      </c>
      <c r="K1270" s="114">
        <v>13459</v>
      </c>
      <c r="L1270" s="114">
        <f t="shared" si="278"/>
        <v>14024</v>
      </c>
      <c r="M1270" s="114">
        <f t="shared" si="279"/>
        <v>14543</v>
      </c>
      <c r="N1270" s="114">
        <f t="shared" si="280"/>
        <v>15081</v>
      </c>
      <c r="O1270" s="114">
        <f t="shared" si="281"/>
        <v>15639</v>
      </c>
      <c r="Q1270" s="633"/>
      <c r="V1270" s="115"/>
    </row>
    <row r="1271" spans="1:23" ht="12.75" customHeight="1" x14ac:dyDescent="0.25">
      <c r="E1271" s="308" t="s">
        <v>3089</v>
      </c>
      <c r="J1271" s="114">
        <v>109403.28</v>
      </c>
      <c r="K1271" s="114">
        <v>113796.25</v>
      </c>
      <c r="L1271" s="114">
        <f t="shared" si="278"/>
        <v>118576</v>
      </c>
      <c r="M1271" s="114">
        <f t="shared" si="279"/>
        <v>122963</v>
      </c>
      <c r="N1271" s="114">
        <f t="shared" si="280"/>
        <v>127513</v>
      </c>
      <c r="O1271" s="114">
        <f t="shared" si="281"/>
        <v>132231</v>
      </c>
      <c r="Q1271" s="633"/>
      <c r="V1271" s="115"/>
    </row>
    <row r="1272" spans="1:23" ht="12.75" customHeight="1" x14ac:dyDescent="0.25">
      <c r="E1272" s="308" t="s">
        <v>3142</v>
      </c>
      <c r="J1272" s="114">
        <v>20362.252</v>
      </c>
      <c r="K1272" s="114">
        <v>10399.27</v>
      </c>
      <c r="L1272" s="114">
        <f t="shared" si="278"/>
        <v>10836</v>
      </c>
      <c r="M1272" s="114">
        <f t="shared" si="279"/>
        <v>11237</v>
      </c>
      <c r="N1272" s="114">
        <f t="shared" si="280"/>
        <v>11653</v>
      </c>
      <c r="O1272" s="114">
        <f t="shared" si="281"/>
        <v>12084</v>
      </c>
      <c r="Q1272" s="633"/>
      <c r="V1272" s="115"/>
    </row>
    <row r="1273" spans="1:23" ht="12.75" customHeight="1" x14ac:dyDescent="0.25">
      <c r="E1273" s="458"/>
      <c r="J1273" s="114"/>
      <c r="K1273" s="114"/>
      <c r="L1273" s="114"/>
      <c r="M1273" s="114"/>
      <c r="N1273" s="114"/>
      <c r="O1273" s="114"/>
      <c r="Q1273" s="633"/>
      <c r="V1273" s="115"/>
    </row>
    <row r="1274" spans="1:23" ht="12.75" customHeight="1" x14ac:dyDescent="0.25">
      <c r="E1274" s="308"/>
      <c r="J1274" s="114"/>
      <c r="K1274" s="114"/>
      <c r="L1274" s="114"/>
      <c r="M1274" s="114"/>
      <c r="N1274" s="114"/>
      <c r="O1274" s="114"/>
      <c r="Q1274" s="633"/>
      <c r="V1274" s="115"/>
    </row>
    <row r="1275" spans="1:23" ht="12.75" customHeight="1" thickBot="1" x14ac:dyDescent="0.3">
      <c r="E1275" s="115" t="str">
        <f>"Totaal "&amp;D1263</f>
        <v>Totaal 41100</v>
      </c>
      <c r="J1275" s="1744">
        <v>684137.43200000003</v>
      </c>
      <c r="K1275" s="1744">
        <v>675750.29</v>
      </c>
      <c r="L1275" s="1744">
        <f>SUM(L1264:L1274)</f>
        <v>704132</v>
      </c>
      <c r="M1275" s="1744">
        <f>SUM(M1264:M1274)</f>
        <v>730185</v>
      </c>
      <c r="N1275" s="1744">
        <f>SUM(N1264:N1274)</f>
        <v>757202</v>
      </c>
      <c r="O1275" s="1744">
        <f>SUM(O1264:O1274)</f>
        <v>785218</v>
      </c>
      <c r="Q1275" s="633"/>
      <c r="V1275" s="115"/>
    </row>
    <row r="1276" spans="1:23" ht="12.75" customHeight="1" thickTop="1" x14ac:dyDescent="0.25">
      <c r="E1276" s="115"/>
      <c r="J1276" s="114"/>
      <c r="K1276" s="114"/>
      <c r="L1276" s="114"/>
      <c r="M1276" s="114"/>
      <c r="N1276" s="114"/>
      <c r="O1276" s="114"/>
      <c r="Q1276" s="633"/>
      <c r="V1276" s="115"/>
    </row>
    <row r="1277" spans="1:23" s="458" customFormat="1" ht="12.75" customHeight="1" x14ac:dyDescent="0.25">
      <c r="A1277" s="1024"/>
      <c r="D1277" s="1110">
        <v>630022</v>
      </c>
      <c r="E1277" s="647" t="s">
        <v>3744</v>
      </c>
      <c r="F1277" s="1111"/>
      <c r="P1277" s="1729"/>
      <c r="Q1277" s="633"/>
      <c r="R1277" s="633"/>
      <c r="S1277" s="633"/>
      <c r="T1277" s="633"/>
      <c r="U1277" s="633"/>
      <c r="V1277" s="115"/>
      <c r="W1277" s="115"/>
    </row>
    <row r="1278" spans="1:23" s="458" customFormat="1" ht="12.75" customHeight="1" x14ac:dyDescent="0.25">
      <c r="A1278" s="1024"/>
      <c r="D1278" s="1024"/>
      <c r="E1278" s="1112" t="s">
        <v>1293</v>
      </c>
      <c r="F1278" s="1112" t="s">
        <v>3745</v>
      </c>
      <c r="P1278" s="1729"/>
      <c r="Q1278" s="49"/>
      <c r="R1278" s="49"/>
      <c r="S1278" s="49"/>
      <c r="T1278" s="49"/>
      <c r="U1278" s="49"/>
      <c r="V1278" s="50"/>
    </row>
    <row r="1279" spans="1:23" s="458" customFormat="1" ht="12.75" customHeight="1" x14ac:dyDescent="0.25">
      <c r="A1279" s="1024"/>
      <c r="D1279" s="1024"/>
      <c r="F1279" s="1112" t="s">
        <v>3746</v>
      </c>
      <c r="P1279" s="1729"/>
      <c r="R1279" s="49"/>
      <c r="S1279" s="49"/>
      <c r="T1279" s="49"/>
      <c r="U1279" s="49"/>
      <c r="V1279" s="49"/>
      <c r="W1279" s="50"/>
    </row>
    <row r="1280" spans="1:23" s="458" customFormat="1" ht="12.75" customHeight="1" x14ac:dyDescent="0.25">
      <c r="A1280" s="1024"/>
      <c r="D1280" s="1024"/>
      <c r="F1280" s="1112" t="s">
        <v>3747</v>
      </c>
      <c r="P1280" s="1729"/>
      <c r="R1280" s="49"/>
      <c r="S1280" s="49"/>
      <c r="T1280" s="49"/>
      <c r="U1280" s="49"/>
      <c r="V1280" s="49"/>
      <c r="W1280" s="50"/>
    </row>
    <row r="1281" spans="1:23" s="458" customFormat="1" ht="12.75" customHeight="1" x14ac:dyDescent="0.25">
      <c r="A1281" s="1024"/>
      <c r="D1281" s="1024"/>
      <c r="P1281" s="1729"/>
      <c r="Q1281" s="49"/>
      <c r="R1281" s="49"/>
      <c r="S1281" s="49"/>
      <c r="T1281" s="49"/>
      <c r="U1281" s="49"/>
      <c r="V1281" s="50"/>
    </row>
    <row r="1282" spans="1:23" s="458" customFormat="1" ht="12.75" customHeight="1" x14ac:dyDescent="0.25">
      <c r="A1282" s="1024"/>
      <c r="D1282" s="1024">
        <v>43805</v>
      </c>
      <c r="E1282" s="458" t="s">
        <v>730</v>
      </c>
      <c r="P1282" s="1729"/>
      <c r="Q1282" s="49"/>
      <c r="R1282" s="49"/>
      <c r="S1282" s="49"/>
      <c r="T1282" s="49"/>
      <c r="U1282" s="49"/>
      <c r="V1282" s="50"/>
    </row>
    <row r="1283" spans="1:23" s="458" customFormat="1" ht="12.75" customHeight="1" x14ac:dyDescent="0.25">
      <c r="A1283" s="1024"/>
      <c r="D1283" s="1024"/>
      <c r="E1283" s="2210" t="s">
        <v>5331</v>
      </c>
      <c r="F1283" s="2210"/>
      <c r="G1283" s="2210"/>
      <c r="H1283" s="2210"/>
      <c r="I1283" s="2211"/>
      <c r="J1283" s="2211"/>
      <c r="K1283" s="2211">
        <v>11738</v>
      </c>
      <c r="L1283" s="2211">
        <v>2348</v>
      </c>
      <c r="M1283" s="2211"/>
      <c r="N1283" s="2211"/>
      <c r="O1283" s="2211"/>
      <c r="P1283" s="1729"/>
      <c r="Q1283" s="49"/>
      <c r="R1283" s="49"/>
      <c r="S1283" s="49"/>
      <c r="T1283" s="49"/>
      <c r="U1283" s="49"/>
      <c r="V1283" s="50"/>
    </row>
    <row r="1284" spans="1:23" s="458" customFormat="1" ht="12.75" customHeight="1" thickBot="1" x14ac:dyDescent="0.3">
      <c r="A1284" s="1024"/>
      <c r="D1284" s="1024"/>
      <c r="J1284" s="2208">
        <f>SUM(J1280:J1283)</f>
        <v>0</v>
      </c>
      <c r="K1284" s="2208">
        <f t="shared" ref="K1284:O1284" si="282">SUM(K1280:K1283)</f>
        <v>11738</v>
      </c>
      <c r="L1284" s="2208">
        <f t="shared" si="282"/>
        <v>2348</v>
      </c>
      <c r="M1284" s="2208">
        <f t="shared" si="282"/>
        <v>0</v>
      </c>
      <c r="N1284" s="2208">
        <f t="shared" si="282"/>
        <v>0</v>
      </c>
      <c r="O1284" s="2208">
        <f t="shared" si="282"/>
        <v>0</v>
      </c>
      <c r="P1284" s="1729"/>
      <c r="Q1284" s="49"/>
      <c r="R1284" s="49"/>
      <c r="S1284" s="49"/>
      <c r="T1284" s="49"/>
      <c r="U1284" s="49"/>
      <c r="V1284" s="50"/>
    </row>
    <row r="1285" spans="1:23" s="458" customFormat="1" ht="12.75" customHeight="1" thickTop="1" x14ac:dyDescent="0.25">
      <c r="A1285" s="1024"/>
      <c r="D1285" s="1024"/>
      <c r="P1285" s="1729"/>
      <c r="Q1285" s="49"/>
      <c r="R1285" s="49"/>
      <c r="S1285" s="49"/>
      <c r="T1285" s="49"/>
      <c r="U1285" s="49"/>
      <c r="V1285" s="50"/>
    </row>
    <row r="1286" spans="1:23" s="458" customFormat="1" ht="12.75" customHeight="1" x14ac:dyDescent="0.25">
      <c r="A1286" s="1024"/>
      <c r="D1286" s="1024">
        <v>43812</v>
      </c>
      <c r="E1286" s="458" t="s">
        <v>565</v>
      </c>
      <c r="F1286" s="1113"/>
      <c r="H1286" s="496"/>
      <c r="J1286" s="114">
        <v>6237</v>
      </c>
      <c r="K1286" s="114">
        <v>6399</v>
      </c>
      <c r="L1286" s="114">
        <f>ROUND(K1286*U$2,0)</f>
        <v>6533</v>
      </c>
      <c r="M1286" s="114">
        <f>ROUND(L1286*V$2,0)</f>
        <v>6683</v>
      </c>
      <c r="N1286" s="114">
        <f>ROUND(M1286*W$2,0)</f>
        <v>6837</v>
      </c>
      <c r="O1286" s="114">
        <f>ROUND(N1286*X$2,0)</f>
        <v>6994</v>
      </c>
      <c r="P1286" s="1739"/>
      <c r="Q1286" s="49"/>
      <c r="R1286" s="49"/>
      <c r="S1286" s="49"/>
      <c r="T1286" s="49"/>
      <c r="U1286" s="49"/>
      <c r="V1286" s="50"/>
    </row>
    <row r="1287" spans="1:23" s="458" customFormat="1" ht="12.75" customHeight="1" x14ac:dyDescent="0.25">
      <c r="A1287" s="1024"/>
      <c r="D1287" s="1024"/>
      <c r="E1287" s="458" t="s">
        <v>1293</v>
      </c>
      <c r="F1287" s="1113"/>
      <c r="H1287" s="496"/>
      <c r="J1287" s="1114"/>
      <c r="K1287" s="1114"/>
      <c r="L1287" s="1114"/>
      <c r="M1287" s="1114"/>
      <c r="N1287" s="1114"/>
      <c r="O1287" s="1114"/>
      <c r="P1287" s="1740"/>
      <c r="Q1287" s="49"/>
      <c r="R1287" s="49"/>
      <c r="S1287" s="49"/>
      <c r="T1287" s="49"/>
      <c r="U1287" s="49"/>
      <c r="V1287" s="50"/>
    </row>
    <row r="1288" spans="1:23" s="458" customFormat="1" ht="12.75" customHeight="1" x14ac:dyDescent="0.25">
      <c r="A1288" s="1024"/>
      <c r="D1288" s="1115"/>
      <c r="E1288" s="1112" t="s">
        <v>3748</v>
      </c>
      <c r="F1288" s="1116"/>
      <c r="J1288" s="533"/>
      <c r="K1288" s="533"/>
      <c r="L1288" s="533"/>
      <c r="M1288" s="533"/>
      <c r="N1288" s="533"/>
      <c r="O1288" s="533"/>
      <c r="P1288" s="1739"/>
      <c r="Q1288" s="49"/>
      <c r="R1288" s="49"/>
      <c r="S1288" s="49"/>
      <c r="T1288" s="49"/>
      <c r="U1288" s="49"/>
      <c r="V1288" s="50"/>
    </row>
    <row r="1289" spans="1:23" s="458" customFormat="1" ht="12.75" customHeight="1" x14ac:dyDescent="0.25">
      <c r="A1289" s="1024"/>
      <c r="D1289" s="1024"/>
      <c r="E1289" s="1112" t="s">
        <v>3749</v>
      </c>
      <c r="F1289" s="1113"/>
      <c r="H1289" s="496"/>
      <c r="J1289" s="533"/>
      <c r="K1289" s="533"/>
      <c r="L1289" s="533"/>
      <c r="M1289" s="533"/>
      <c r="N1289" s="533"/>
      <c r="O1289" s="533"/>
      <c r="P1289" s="1739"/>
      <c r="Q1289" s="49"/>
      <c r="R1289" s="49"/>
      <c r="S1289" s="49"/>
      <c r="T1289" s="49"/>
      <c r="U1289" s="49"/>
      <c r="V1289" s="50"/>
    </row>
    <row r="1290" spans="1:23" s="458" customFormat="1" ht="12.75" customHeight="1" x14ac:dyDescent="0.25">
      <c r="A1290" s="1024"/>
      <c r="D1290" s="1024"/>
      <c r="E1290" s="1668" t="str">
        <f>"Totaal "&amp;D1286</f>
        <v>Totaal 43812</v>
      </c>
      <c r="F1290" s="1113"/>
      <c r="J1290" s="2209">
        <v>6237</v>
      </c>
      <c r="K1290" s="2209">
        <v>6399</v>
      </c>
      <c r="L1290" s="2209">
        <f>SUM(L1286:L1289)</f>
        <v>6533</v>
      </c>
      <c r="M1290" s="2209">
        <f>SUM(M1286:M1289)</f>
        <v>6683</v>
      </c>
      <c r="N1290" s="2209">
        <f>SUM(N1286:N1289)</f>
        <v>6837</v>
      </c>
      <c r="O1290" s="2209">
        <f>SUM(O1286:O1289)</f>
        <v>6994</v>
      </c>
      <c r="P1290" s="1730"/>
      <c r="Q1290" s="49"/>
      <c r="R1290" s="49"/>
      <c r="S1290" s="49"/>
      <c r="T1290" s="49"/>
      <c r="U1290" s="49"/>
      <c r="V1290" s="50"/>
    </row>
    <row r="1291" spans="1:23" s="458" customFormat="1" ht="12.75" customHeight="1" x14ac:dyDescent="0.25">
      <c r="A1291" s="1024"/>
      <c r="D1291" s="1024"/>
      <c r="E1291" s="1113"/>
      <c r="F1291" s="1113"/>
      <c r="G1291" s="1117"/>
      <c r="H1291" s="647"/>
      <c r="J1291" s="1118"/>
      <c r="K1291" s="1118"/>
      <c r="L1291" s="1118"/>
      <c r="M1291" s="1118"/>
      <c r="N1291" s="1118"/>
      <c r="O1291" s="1118"/>
      <c r="P1291" s="1730"/>
      <c r="Q1291" s="49"/>
      <c r="R1291" s="49"/>
      <c r="S1291" s="49"/>
      <c r="T1291" s="49"/>
      <c r="U1291" s="49"/>
      <c r="V1291" s="50"/>
    </row>
    <row r="1292" spans="1:23" s="458" customFormat="1" ht="12.75" customHeight="1" x14ac:dyDescent="0.25">
      <c r="A1292" s="1024"/>
      <c r="D1292" s="1024"/>
      <c r="E1292" s="1113"/>
      <c r="F1292" s="1113"/>
      <c r="G1292" s="1117"/>
      <c r="H1292" s="647"/>
      <c r="J1292" s="1119"/>
      <c r="K1292" s="1119"/>
      <c r="L1292" s="1119"/>
      <c r="M1292" s="1119"/>
      <c r="N1292" s="1119"/>
      <c r="O1292" s="1119"/>
      <c r="P1292" s="1730"/>
      <c r="Q1292" s="49"/>
      <c r="R1292" s="49"/>
      <c r="S1292" s="49"/>
      <c r="T1292" s="49"/>
      <c r="U1292" s="49"/>
      <c r="V1292" s="50"/>
    </row>
    <row r="1293" spans="1:23" ht="12.75" customHeight="1" x14ac:dyDescent="0.25">
      <c r="D1293" s="393">
        <v>630020</v>
      </c>
      <c r="E1293" s="410" t="s">
        <v>3721</v>
      </c>
      <c r="F1293" s="382"/>
      <c r="I1293" s="114"/>
      <c r="J1293" s="1109">
        <v>2025</v>
      </c>
      <c r="K1293" s="1109">
        <v>2026</v>
      </c>
      <c r="L1293" s="1109">
        <v>2027</v>
      </c>
      <c r="M1293" s="1109">
        <v>2028</v>
      </c>
      <c r="N1293" s="1109">
        <v>2029</v>
      </c>
      <c r="O1293" s="1109">
        <v>2030</v>
      </c>
      <c r="Q1293" s="49"/>
      <c r="R1293" s="49"/>
      <c r="S1293" s="49"/>
      <c r="T1293" s="49"/>
      <c r="U1293" s="49"/>
      <c r="V1293" s="50"/>
      <c r="W1293" s="458"/>
    </row>
    <row r="1294" spans="1:23" ht="12.75" customHeight="1" x14ac:dyDescent="0.25">
      <c r="D1294" s="393"/>
      <c r="E1294" s="382"/>
      <c r="F1294" s="382"/>
      <c r="G1294" s="397"/>
      <c r="H1294" s="383"/>
      <c r="I1294" s="397"/>
      <c r="J1294" s="1108"/>
      <c r="K1294" s="1108"/>
      <c r="L1294" s="1108"/>
      <c r="M1294" s="1108"/>
      <c r="N1294" s="1108"/>
      <c r="O1294" s="1108"/>
      <c r="P1294" s="1741"/>
    </row>
    <row r="1295" spans="1:23" ht="12.75" customHeight="1" x14ac:dyDescent="0.25">
      <c r="D1295" s="143">
        <v>83600</v>
      </c>
      <c r="E1295" s="2514" t="s">
        <v>3750</v>
      </c>
      <c r="F1295" s="2514"/>
      <c r="G1295" s="2514"/>
      <c r="H1295" s="2514"/>
      <c r="I1295" s="2514"/>
      <c r="J1295" s="2514"/>
      <c r="K1295" s="2514"/>
      <c r="L1295" s="2514"/>
      <c r="M1295" s="2514"/>
    </row>
    <row r="1296" spans="1:23" ht="12.75" customHeight="1" x14ac:dyDescent="0.25">
      <c r="D1296" s="143"/>
      <c r="E1296" s="2514"/>
      <c r="F1296" s="2514"/>
      <c r="G1296" s="2514"/>
      <c r="H1296" s="2514"/>
      <c r="I1296" s="2514"/>
      <c r="J1296" s="2514"/>
      <c r="K1296" s="2514"/>
      <c r="L1296" s="2514"/>
      <c r="M1296" s="2514"/>
    </row>
    <row r="1297" spans="4:22" ht="12.75" customHeight="1" x14ac:dyDescent="0.25">
      <c r="D1297" s="143"/>
      <c r="E1297" s="2514"/>
      <c r="F1297" s="2514"/>
      <c r="G1297" s="2514"/>
      <c r="H1297" s="2514"/>
      <c r="I1297" s="2514"/>
      <c r="J1297" s="2514"/>
      <c r="K1297" s="2514"/>
      <c r="L1297" s="2514"/>
      <c r="M1297" s="2514"/>
    </row>
    <row r="1298" spans="4:22" ht="12.75" customHeight="1" x14ac:dyDescent="0.25">
      <c r="D1298" s="143"/>
      <c r="E1298" s="2514"/>
      <c r="F1298" s="2514"/>
      <c r="G1298" s="2514"/>
      <c r="H1298" s="2514"/>
      <c r="I1298" s="2514"/>
      <c r="J1298" s="2514"/>
      <c r="K1298" s="2514"/>
      <c r="L1298" s="2514"/>
      <c r="M1298" s="2514"/>
    </row>
    <row r="1299" spans="4:22" ht="12.75" customHeight="1" x14ac:dyDescent="0.25">
      <c r="D1299" s="143"/>
      <c r="E1299" s="301" t="s">
        <v>3751</v>
      </c>
      <c r="I1299" s="151"/>
      <c r="J1299" s="114">
        <v>-3059</v>
      </c>
      <c r="K1299" s="114">
        <v>-3139</v>
      </c>
      <c r="L1299" s="114">
        <v>-510.5</v>
      </c>
      <c r="M1299" s="114">
        <f t="shared" ref="L1299:O1300" si="283">ROUND(L1299*V$2,0)</f>
        <v>-522</v>
      </c>
      <c r="N1299" s="114">
        <f t="shared" si="283"/>
        <v>-534</v>
      </c>
      <c r="O1299" s="114">
        <f t="shared" si="283"/>
        <v>-546</v>
      </c>
      <c r="Q1299" s="633"/>
      <c r="V1299" s="115"/>
    </row>
    <row r="1300" spans="4:22" ht="12.75" customHeight="1" x14ac:dyDescent="0.25">
      <c r="D1300" s="143"/>
      <c r="E1300" s="115" t="s">
        <v>3752</v>
      </c>
      <c r="I1300" s="151"/>
      <c r="J1300" s="114">
        <v>-228</v>
      </c>
      <c r="K1300" s="114">
        <v>-234</v>
      </c>
      <c r="L1300" s="114">
        <f t="shared" si="283"/>
        <v>-239</v>
      </c>
      <c r="M1300" s="114">
        <f t="shared" si="283"/>
        <v>-244</v>
      </c>
      <c r="N1300" s="114">
        <f t="shared" si="283"/>
        <v>-250</v>
      </c>
      <c r="O1300" s="114">
        <f t="shared" si="283"/>
        <v>-256</v>
      </c>
      <c r="Q1300" s="633"/>
      <c r="V1300" s="115"/>
    </row>
    <row r="1301" spans="4:22" ht="12.75" customHeight="1" thickBot="1" x14ac:dyDescent="0.3">
      <c r="D1301" s="384"/>
      <c r="E1301" s="115" t="s">
        <v>3753</v>
      </c>
      <c r="F1301" s="384"/>
      <c r="H1301" s="114"/>
      <c r="I1301" s="151"/>
      <c r="J1301" s="1779">
        <v>-3287</v>
      </c>
      <c r="K1301" s="1779">
        <v>-3373</v>
      </c>
      <c r="L1301" s="1779">
        <f>SUM(L1299:L1300)</f>
        <v>-749.5</v>
      </c>
      <c r="M1301" s="1779">
        <f>SUM(M1299:M1300)</f>
        <v>-766</v>
      </c>
      <c r="N1301" s="1779">
        <f>SUM(N1299:N1300)</f>
        <v>-784</v>
      </c>
      <c r="O1301" s="1779">
        <f>SUM(O1299:O1300)</f>
        <v>-802</v>
      </c>
      <c r="Q1301" s="633"/>
      <c r="V1301" s="115"/>
    </row>
    <row r="1302" spans="4:22" ht="12.75" customHeight="1" thickTop="1" x14ac:dyDescent="0.25">
      <c r="D1302" s="384"/>
      <c r="E1302" s="384"/>
      <c r="F1302" s="384"/>
      <c r="H1302" s="114"/>
      <c r="I1302" s="151"/>
      <c r="J1302" s="151"/>
      <c r="K1302" s="151"/>
      <c r="L1302" s="151"/>
      <c r="M1302" s="151"/>
      <c r="N1302" s="151"/>
      <c r="O1302" s="151"/>
      <c r="Q1302" s="633"/>
      <c r="V1302" s="115"/>
    </row>
    <row r="1303" spans="4:22" ht="12.75" customHeight="1" x14ac:dyDescent="0.25">
      <c r="D1303" s="393"/>
      <c r="E1303" s="382"/>
      <c r="F1303" s="382"/>
      <c r="G1303" s="397"/>
      <c r="H1303" s="383"/>
      <c r="I1303" s="397"/>
      <c r="J1303" s="1108"/>
      <c r="K1303" s="1108"/>
      <c r="L1303" s="1108"/>
      <c r="M1303" s="1108"/>
      <c r="N1303" s="1108"/>
      <c r="O1303" s="1108"/>
      <c r="P1303" s="1741"/>
    </row>
    <row r="1304" spans="4:22" ht="12.75" customHeight="1" x14ac:dyDescent="0.25">
      <c r="D1304" s="143">
        <v>83800</v>
      </c>
      <c r="G1304" s="115" t="s">
        <v>3754</v>
      </c>
      <c r="I1304" s="114"/>
    </row>
    <row r="1305" spans="4:22" ht="12.75" customHeight="1" x14ac:dyDescent="0.25">
      <c r="D1305" s="143"/>
      <c r="G1305" s="115" t="s">
        <v>3755</v>
      </c>
      <c r="I1305" s="114"/>
      <c r="Q1305" s="633"/>
      <c r="V1305" s="115"/>
    </row>
    <row r="1306" spans="4:22" ht="12.75" customHeight="1" x14ac:dyDescent="0.25">
      <c r="D1306" s="143"/>
      <c r="G1306" s="114">
        <v>10000</v>
      </c>
      <c r="H1306" s="115" t="s">
        <v>3756</v>
      </c>
      <c r="I1306" s="636">
        <v>4.5</v>
      </c>
      <c r="J1306" s="114">
        <v>-45000</v>
      </c>
      <c r="K1306" s="114"/>
      <c r="L1306" s="114"/>
      <c r="M1306" s="114"/>
      <c r="N1306" s="114"/>
      <c r="O1306" s="114"/>
      <c r="Q1306" s="633"/>
      <c r="V1306" s="115"/>
    </row>
    <row r="1307" spans="4:22" ht="12.75" customHeight="1" x14ac:dyDescent="0.25">
      <c r="D1307" s="143"/>
      <c r="G1307" s="114">
        <v>10000</v>
      </c>
      <c r="H1307" s="115" t="s">
        <v>3756</v>
      </c>
      <c r="I1307" s="636">
        <v>5.0999999999999996</v>
      </c>
      <c r="J1307" s="114"/>
      <c r="K1307" s="114">
        <v>-51000</v>
      </c>
      <c r="L1307" s="114"/>
      <c r="M1307" s="114"/>
      <c r="N1307" s="114"/>
      <c r="O1307" s="114"/>
      <c r="Q1307" s="633"/>
      <c r="V1307" s="115"/>
    </row>
    <row r="1308" spans="4:22" ht="12.75" customHeight="1" x14ac:dyDescent="0.25">
      <c r="D1308" s="143"/>
      <c r="G1308" s="114">
        <v>10000</v>
      </c>
      <c r="H1308" s="115" t="s">
        <v>3756</v>
      </c>
      <c r="I1308" s="636">
        <f>+I1307</f>
        <v>5.0999999999999996</v>
      </c>
      <c r="J1308" s="114"/>
      <c r="K1308" s="114"/>
      <c r="L1308" s="114">
        <f>-ROUND($G1308*$I1308,0)</f>
        <v>-51000</v>
      </c>
      <c r="M1308" s="114"/>
      <c r="N1308" s="114"/>
      <c r="O1308" s="114"/>
      <c r="Q1308" s="633"/>
      <c r="V1308" s="115"/>
    </row>
    <row r="1309" spans="4:22" ht="12.75" customHeight="1" x14ac:dyDescent="0.25">
      <c r="D1309" s="143"/>
      <c r="G1309" s="114">
        <v>10000</v>
      </c>
      <c r="H1309" s="115" t="s">
        <v>3756</v>
      </c>
      <c r="I1309" s="636">
        <f>+I1308</f>
        <v>5.0999999999999996</v>
      </c>
      <c r="J1309" s="114"/>
      <c r="K1309" s="114"/>
      <c r="L1309" s="114"/>
      <c r="M1309" s="114">
        <f>-ROUND($G1309*$I1309,0)</f>
        <v>-51000</v>
      </c>
      <c r="N1309" s="114"/>
      <c r="O1309" s="114"/>
      <c r="Q1309" s="633"/>
      <c r="V1309" s="115"/>
    </row>
    <row r="1310" spans="4:22" ht="12.75" customHeight="1" x14ac:dyDescent="0.25">
      <c r="D1310" s="143"/>
      <c r="G1310" s="114">
        <v>10000</v>
      </c>
      <c r="H1310" s="115" t="s">
        <v>3756</v>
      </c>
      <c r="I1310" s="636">
        <f>+I1309</f>
        <v>5.0999999999999996</v>
      </c>
      <c r="J1310" s="114"/>
      <c r="K1310" s="114"/>
      <c r="L1310" s="114"/>
      <c r="M1310" s="114"/>
      <c r="N1310" s="114">
        <f>-ROUND($G1310*$I1310,0)</f>
        <v>-51000</v>
      </c>
      <c r="O1310" s="114"/>
      <c r="Q1310" s="633"/>
      <c r="V1310" s="115"/>
    </row>
    <row r="1311" spans="4:22" ht="12.75" customHeight="1" x14ac:dyDescent="0.25">
      <c r="D1311" s="143"/>
      <c r="G1311" s="544">
        <v>10000</v>
      </c>
      <c r="H1311" s="358" t="s">
        <v>3756</v>
      </c>
      <c r="I1311" s="2028">
        <f t="shared" ref="I1311" si="284">+I1310</f>
        <v>5.0999999999999996</v>
      </c>
      <c r="J1311" s="114"/>
      <c r="K1311" s="114"/>
      <c r="L1311" s="114"/>
      <c r="M1311" s="114"/>
      <c r="N1311" s="114"/>
      <c r="O1311" s="114">
        <f>-ROUND($G1311*$I1311,0)</f>
        <v>-51000</v>
      </c>
      <c r="Q1311" s="633"/>
      <c r="V1311" s="115"/>
    </row>
    <row r="1312" spans="4:22" ht="12.75" customHeight="1" x14ac:dyDescent="0.25">
      <c r="D1312" s="143"/>
      <c r="G1312" s="115" t="s">
        <v>3757</v>
      </c>
      <c r="I1312" s="633"/>
      <c r="Q1312" s="633"/>
      <c r="V1312" s="115"/>
    </row>
    <row r="1313" spans="4:22" ht="12.75" customHeight="1" x14ac:dyDescent="0.25">
      <c r="D1313" s="143"/>
      <c r="G1313" s="114">
        <v>1450</v>
      </c>
      <c r="H1313" s="115" t="s">
        <v>3758</v>
      </c>
      <c r="I1313" s="636">
        <v>33.5</v>
      </c>
      <c r="J1313" s="114">
        <v>-48575</v>
      </c>
      <c r="K1313" s="114"/>
      <c r="L1313" s="114"/>
      <c r="M1313" s="114"/>
      <c r="N1313" s="114"/>
      <c r="O1313" s="114"/>
      <c r="Q1313" s="633"/>
      <c r="V1313" s="115"/>
    </row>
    <row r="1314" spans="4:22" ht="12.75" customHeight="1" x14ac:dyDescent="0.25">
      <c r="D1314" s="143"/>
      <c r="G1314" s="114">
        <v>1450</v>
      </c>
      <c r="H1314" s="115" t="s">
        <v>3758</v>
      </c>
      <c r="I1314" s="636">
        <v>37.74</v>
      </c>
      <c r="J1314" s="114"/>
      <c r="K1314" s="114">
        <v>-54723</v>
      </c>
      <c r="L1314" s="114"/>
      <c r="M1314" s="114"/>
      <c r="N1314" s="114"/>
      <c r="O1314" s="114"/>
      <c r="Q1314" s="633"/>
      <c r="V1314" s="115"/>
    </row>
    <row r="1315" spans="4:22" ht="12.75" customHeight="1" x14ac:dyDescent="0.25">
      <c r="D1315" s="143"/>
      <c r="G1315" s="114">
        <v>1450</v>
      </c>
      <c r="H1315" s="115" t="s">
        <v>3758</v>
      </c>
      <c r="I1315" s="636">
        <f>+I1314</f>
        <v>37.74</v>
      </c>
      <c r="J1315" s="114"/>
      <c r="K1315" s="114"/>
      <c r="L1315" s="114">
        <f>-ROUND($G1315*$I1315,0)</f>
        <v>-54723</v>
      </c>
      <c r="M1315" s="114"/>
      <c r="N1315" s="114"/>
      <c r="O1315" s="114"/>
      <c r="Q1315" s="633"/>
      <c r="V1315" s="115"/>
    </row>
    <row r="1316" spans="4:22" ht="12.75" customHeight="1" x14ac:dyDescent="0.25">
      <c r="D1316" s="143"/>
      <c r="G1316" s="114">
        <v>1450</v>
      </c>
      <c r="H1316" s="115" t="s">
        <v>3758</v>
      </c>
      <c r="I1316" s="636">
        <f>+I1315</f>
        <v>37.74</v>
      </c>
      <c r="J1316" s="114"/>
      <c r="K1316" s="114"/>
      <c r="L1316" s="114"/>
      <c r="M1316" s="114">
        <f>-ROUND($G1316*$I1316,0)</f>
        <v>-54723</v>
      </c>
      <c r="N1316" s="114"/>
      <c r="O1316" s="114"/>
      <c r="Q1316" s="633"/>
      <c r="V1316" s="115"/>
    </row>
    <row r="1317" spans="4:22" ht="12.75" customHeight="1" x14ac:dyDescent="0.25">
      <c r="D1317" s="143"/>
      <c r="G1317" s="114">
        <v>1450</v>
      </c>
      <c r="H1317" s="115" t="s">
        <v>3758</v>
      </c>
      <c r="I1317" s="636">
        <f>+I1316</f>
        <v>37.74</v>
      </c>
      <c r="J1317" s="114"/>
      <c r="K1317" s="114"/>
      <c r="L1317" s="114"/>
      <c r="M1317" s="114"/>
      <c r="N1317" s="114">
        <f>-ROUND($G1317*$I1317,0)</f>
        <v>-54723</v>
      </c>
      <c r="O1317" s="114"/>
      <c r="Q1317" s="633"/>
      <c r="V1317" s="115"/>
    </row>
    <row r="1318" spans="4:22" ht="12.75" customHeight="1" x14ac:dyDescent="0.25">
      <c r="D1318" s="143"/>
      <c r="G1318" s="544">
        <v>1450</v>
      </c>
      <c r="H1318" s="358" t="s">
        <v>3758</v>
      </c>
      <c r="I1318" s="2028">
        <f>+I1317</f>
        <v>37.74</v>
      </c>
      <c r="J1318" s="114"/>
      <c r="K1318" s="114"/>
      <c r="L1318" s="114"/>
      <c r="M1318" s="114"/>
      <c r="N1318" s="114"/>
      <c r="O1318" s="114">
        <f>-ROUND($G1318*$I1318,0)</f>
        <v>-54723</v>
      </c>
      <c r="Q1318" s="633"/>
      <c r="V1318" s="115"/>
    </row>
    <row r="1319" spans="4:22" ht="12.75" customHeight="1" x14ac:dyDescent="0.25">
      <c r="D1319" s="143"/>
      <c r="G1319" s="115" t="s">
        <v>3759</v>
      </c>
      <c r="I1319" s="633"/>
      <c r="Q1319" s="633"/>
      <c r="V1319" s="115"/>
    </row>
    <row r="1320" spans="4:22" ht="12.75" customHeight="1" x14ac:dyDescent="0.25">
      <c r="D1320" s="143"/>
      <c r="G1320" s="115">
        <v>425</v>
      </c>
      <c r="H1320" s="115" t="s">
        <v>3760</v>
      </c>
      <c r="I1320" s="636">
        <v>29.5</v>
      </c>
      <c r="J1320" s="114">
        <v>-12538</v>
      </c>
      <c r="K1320" s="114"/>
      <c r="L1320" s="114"/>
      <c r="M1320" s="114"/>
      <c r="N1320" s="114"/>
      <c r="O1320" s="114"/>
      <c r="Q1320" s="633"/>
      <c r="V1320" s="115"/>
    </row>
    <row r="1321" spans="4:22" ht="12.75" customHeight="1" x14ac:dyDescent="0.25">
      <c r="D1321" s="143"/>
      <c r="G1321" s="115">
        <v>425</v>
      </c>
      <c r="H1321" s="115" t="s">
        <v>3760</v>
      </c>
      <c r="I1321" s="636">
        <v>33.15</v>
      </c>
      <c r="J1321" s="114"/>
      <c r="K1321" s="114">
        <v>-14089</v>
      </c>
      <c r="L1321" s="114"/>
      <c r="M1321" s="114"/>
      <c r="N1321" s="114"/>
      <c r="O1321" s="114"/>
      <c r="Q1321" s="633"/>
      <c r="V1321" s="115"/>
    </row>
    <row r="1322" spans="4:22" ht="12.75" customHeight="1" x14ac:dyDescent="0.25">
      <c r="D1322" s="143"/>
      <c r="G1322" s="115">
        <v>425</v>
      </c>
      <c r="H1322" s="115" t="s">
        <v>3760</v>
      </c>
      <c r="I1322" s="636">
        <f>+I1321</f>
        <v>33.15</v>
      </c>
      <c r="J1322" s="114"/>
      <c r="K1322" s="114"/>
      <c r="L1322" s="114">
        <f>-ROUND($G1322*$I1322,0)</f>
        <v>-14089</v>
      </c>
      <c r="M1322" s="114"/>
      <c r="N1322" s="114"/>
      <c r="O1322" s="114"/>
      <c r="Q1322" s="633"/>
      <c r="V1322" s="115"/>
    </row>
    <row r="1323" spans="4:22" ht="12.75" customHeight="1" x14ac:dyDescent="0.25">
      <c r="D1323" s="143"/>
      <c r="G1323" s="115">
        <v>425</v>
      </c>
      <c r="H1323" s="115" t="s">
        <v>3760</v>
      </c>
      <c r="I1323" s="636">
        <f>+I1322</f>
        <v>33.15</v>
      </c>
      <c r="J1323" s="114"/>
      <c r="K1323" s="114"/>
      <c r="L1323" s="114"/>
      <c r="M1323" s="114">
        <f>-ROUND($G1323*$I1323,0)</f>
        <v>-14089</v>
      </c>
      <c r="N1323" s="114"/>
      <c r="O1323" s="114"/>
      <c r="Q1323" s="633"/>
      <c r="V1323" s="115"/>
    </row>
    <row r="1324" spans="4:22" ht="12.75" customHeight="1" x14ac:dyDescent="0.25">
      <c r="D1324" s="143"/>
      <c r="G1324" s="115">
        <v>425</v>
      </c>
      <c r="H1324" s="115" t="s">
        <v>3760</v>
      </c>
      <c r="I1324" s="636">
        <f>+I1323</f>
        <v>33.15</v>
      </c>
      <c r="J1324" s="114"/>
      <c r="K1324" s="114"/>
      <c r="L1324" s="114"/>
      <c r="M1324" s="114"/>
      <c r="N1324" s="114">
        <f>-ROUND($G1324*$I1324,0)</f>
        <v>-14089</v>
      </c>
      <c r="O1324" s="114"/>
      <c r="Q1324" s="633"/>
      <c r="V1324" s="115"/>
    </row>
    <row r="1325" spans="4:22" ht="12.75" customHeight="1" x14ac:dyDescent="0.25">
      <c r="D1325" s="143"/>
      <c r="G1325" s="358">
        <v>425</v>
      </c>
      <c r="H1325" s="358" t="s">
        <v>3760</v>
      </c>
      <c r="I1325" s="2028">
        <f>+I1324</f>
        <v>33.15</v>
      </c>
      <c r="J1325" s="114"/>
      <c r="K1325" s="114"/>
      <c r="L1325" s="114"/>
      <c r="M1325" s="114"/>
      <c r="N1325" s="114"/>
      <c r="O1325" s="114">
        <f>-ROUND($G1325*$I1325,0)</f>
        <v>-14089</v>
      </c>
      <c r="Q1325" s="633"/>
      <c r="V1325" s="115"/>
    </row>
    <row r="1326" spans="4:22" ht="12.75" customHeight="1" x14ac:dyDescent="0.25">
      <c r="D1326" s="143"/>
      <c r="G1326" s="115" t="s">
        <v>3761</v>
      </c>
      <c r="I1326" s="633"/>
      <c r="Q1326" s="633"/>
      <c r="V1326" s="115"/>
    </row>
    <row r="1327" spans="4:22" ht="12.75" customHeight="1" x14ac:dyDescent="0.25">
      <c r="D1327" s="143"/>
      <c r="G1327" s="115">
        <v>35</v>
      </c>
      <c r="H1327" s="115" t="s">
        <v>3762</v>
      </c>
      <c r="I1327" s="636">
        <v>53</v>
      </c>
      <c r="J1327" s="114"/>
      <c r="K1327" s="114"/>
      <c r="L1327" s="114"/>
      <c r="M1327" s="114"/>
      <c r="N1327" s="114"/>
      <c r="O1327" s="114"/>
      <c r="Q1327" s="633"/>
      <c r="V1327" s="115"/>
    </row>
    <row r="1328" spans="4:22" ht="12.75" customHeight="1" x14ac:dyDescent="0.25">
      <c r="D1328" s="143"/>
      <c r="G1328" s="115">
        <v>35</v>
      </c>
      <c r="H1328" s="115" t="s">
        <v>3762</v>
      </c>
      <c r="I1328" s="636">
        <v>53</v>
      </c>
      <c r="J1328" s="114"/>
      <c r="K1328" s="114"/>
      <c r="L1328" s="114"/>
      <c r="M1328" s="114"/>
      <c r="N1328" s="114"/>
      <c r="O1328" s="114"/>
      <c r="Q1328" s="633"/>
      <c r="V1328" s="115"/>
    </row>
    <row r="1329" spans="4:22" ht="12.75" customHeight="1" x14ac:dyDescent="0.25">
      <c r="D1329" s="143"/>
      <c r="G1329" s="115">
        <v>35</v>
      </c>
      <c r="H1329" s="115" t="s">
        <v>3762</v>
      </c>
      <c r="I1329" s="636">
        <v>53</v>
      </c>
      <c r="J1329" s="114"/>
      <c r="K1329" s="114"/>
      <c r="L1329" s="114"/>
      <c r="M1329" s="114"/>
      <c r="N1329" s="114"/>
      <c r="O1329" s="114"/>
      <c r="Q1329" s="633"/>
      <c r="V1329" s="115"/>
    </row>
    <row r="1330" spans="4:22" ht="12.75" customHeight="1" x14ac:dyDescent="0.25">
      <c r="D1330" s="143"/>
      <c r="G1330" s="115">
        <v>35</v>
      </c>
      <c r="H1330" s="115" t="s">
        <v>3762</v>
      </c>
      <c r="I1330" s="636">
        <v>53</v>
      </c>
      <c r="J1330" s="114">
        <v>-1855</v>
      </c>
      <c r="K1330" s="114"/>
      <c r="L1330" s="114"/>
      <c r="M1330" s="114"/>
      <c r="N1330" s="114"/>
      <c r="O1330" s="114"/>
      <c r="Q1330" s="633"/>
      <c r="V1330" s="115"/>
    </row>
    <row r="1331" spans="4:22" ht="12.75" customHeight="1" x14ac:dyDescent="0.25">
      <c r="D1331" s="143"/>
      <c r="G1331" s="115">
        <v>35</v>
      </c>
      <c r="H1331" s="115" t="s">
        <v>3762</v>
      </c>
      <c r="I1331" s="636">
        <v>61.2</v>
      </c>
      <c r="J1331" s="114"/>
      <c r="K1331" s="114">
        <v>-2142</v>
      </c>
      <c r="L1331" s="114"/>
      <c r="M1331" s="114"/>
      <c r="N1331" s="114"/>
      <c r="O1331" s="114"/>
      <c r="Q1331" s="633"/>
      <c r="V1331" s="115"/>
    </row>
    <row r="1332" spans="4:22" ht="12.75" customHeight="1" x14ac:dyDescent="0.25">
      <c r="D1332" s="143"/>
      <c r="G1332" s="115">
        <v>35</v>
      </c>
      <c r="H1332" s="115" t="s">
        <v>3762</v>
      </c>
      <c r="I1332" s="636">
        <f>+I1331</f>
        <v>61.2</v>
      </c>
      <c r="J1332" s="114"/>
      <c r="K1332" s="114"/>
      <c r="L1332" s="114">
        <f>-ROUND($G1332*$I1332,0)</f>
        <v>-2142</v>
      </c>
      <c r="M1332" s="114"/>
      <c r="N1332" s="114"/>
      <c r="O1332" s="114"/>
      <c r="Q1332" s="633"/>
      <c r="V1332" s="115"/>
    </row>
    <row r="1333" spans="4:22" ht="12.75" customHeight="1" x14ac:dyDescent="0.25">
      <c r="D1333" s="143"/>
      <c r="G1333" s="115">
        <v>35</v>
      </c>
      <c r="H1333" s="115" t="s">
        <v>3762</v>
      </c>
      <c r="I1333" s="636">
        <f>+I1332</f>
        <v>61.2</v>
      </c>
      <c r="J1333" s="114"/>
      <c r="K1333" s="114"/>
      <c r="L1333" s="114"/>
      <c r="M1333" s="114">
        <f>-ROUND($G1333*$I1333,0)</f>
        <v>-2142</v>
      </c>
      <c r="N1333" s="114"/>
      <c r="O1333" s="114"/>
      <c r="Q1333" s="633"/>
      <c r="V1333" s="115"/>
    </row>
    <row r="1334" spans="4:22" ht="12.75" customHeight="1" x14ac:dyDescent="0.25">
      <c r="D1334" s="143"/>
      <c r="G1334" s="115">
        <v>35</v>
      </c>
      <c r="H1334" s="115" t="s">
        <v>3762</v>
      </c>
      <c r="I1334" s="636">
        <f>+I1333</f>
        <v>61.2</v>
      </c>
      <c r="J1334" s="114"/>
      <c r="K1334" s="114"/>
      <c r="L1334" s="114"/>
      <c r="M1334" s="114"/>
      <c r="N1334" s="114">
        <f>-ROUND($G1334*$I1334,0)</f>
        <v>-2142</v>
      </c>
      <c r="O1334" s="114"/>
      <c r="Q1334" s="633"/>
      <c r="V1334" s="115"/>
    </row>
    <row r="1335" spans="4:22" ht="12.75" customHeight="1" x14ac:dyDescent="0.25">
      <c r="D1335" s="143"/>
      <c r="G1335" s="358">
        <v>35</v>
      </c>
      <c r="H1335" s="358" t="s">
        <v>3762</v>
      </c>
      <c r="I1335" s="2028">
        <f>+I1334</f>
        <v>61.2</v>
      </c>
      <c r="J1335" s="114"/>
      <c r="K1335" s="114"/>
      <c r="L1335" s="114"/>
      <c r="M1335" s="114"/>
      <c r="N1335" s="114"/>
      <c r="O1335" s="114">
        <f>-ROUND($G1335*$I1335,0)</f>
        <v>-2142</v>
      </c>
      <c r="Q1335" s="633"/>
      <c r="V1335" s="115"/>
    </row>
    <row r="1336" spans="4:22" ht="12.75" customHeight="1" x14ac:dyDescent="0.25">
      <c r="D1336" s="143"/>
      <c r="G1336" s="115" t="s">
        <v>3763</v>
      </c>
      <c r="I1336" s="633"/>
      <c r="Q1336" s="633"/>
      <c r="V1336" s="115"/>
    </row>
    <row r="1337" spans="4:22" ht="12.75" customHeight="1" x14ac:dyDescent="0.25">
      <c r="D1337" s="143"/>
      <c r="G1337" s="115">
        <v>60</v>
      </c>
      <c r="H1337" s="115" t="s">
        <v>3764</v>
      </c>
      <c r="I1337" s="636">
        <v>118</v>
      </c>
      <c r="J1337" s="114">
        <v>-7080</v>
      </c>
      <c r="K1337" s="114"/>
      <c r="L1337" s="114"/>
      <c r="M1337" s="114"/>
      <c r="N1337" s="114"/>
      <c r="O1337" s="114"/>
      <c r="Q1337" s="633"/>
      <c r="V1337" s="115"/>
    </row>
    <row r="1338" spans="4:22" ht="12.75" customHeight="1" x14ac:dyDescent="0.25">
      <c r="D1338" s="143"/>
      <c r="G1338" s="115">
        <v>60</v>
      </c>
      <c r="H1338" s="115" t="s">
        <v>3764</v>
      </c>
      <c r="I1338" s="636">
        <v>132.6</v>
      </c>
      <c r="J1338" s="114"/>
      <c r="K1338" s="114">
        <v>-7956</v>
      </c>
      <c r="L1338" s="114"/>
      <c r="M1338" s="114"/>
      <c r="N1338" s="114"/>
      <c r="O1338" s="114"/>
      <c r="Q1338" s="633"/>
      <c r="V1338" s="115"/>
    </row>
    <row r="1339" spans="4:22" ht="12.75" customHeight="1" x14ac:dyDescent="0.25">
      <c r="D1339" s="143"/>
      <c r="G1339" s="115">
        <v>60</v>
      </c>
      <c r="H1339" s="115" t="s">
        <v>3764</v>
      </c>
      <c r="I1339" s="636">
        <f>+I1338</f>
        <v>132.6</v>
      </c>
      <c r="J1339" s="114"/>
      <c r="K1339" s="114"/>
      <c r="L1339" s="114">
        <f>-ROUND($G1339*$I1339,0)</f>
        <v>-7956</v>
      </c>
      <c r="M1339" s="114"/>
      <c r="N1339" s="114"/>
      <c r="O1339" s="114"/>
      <c r="Q1339" s="633"/>
      <c r="V1339" s="115"/>
    </row>
    <row r="1340" spans="4:22" ht="12.75" customHeight="1" x14ac:dyDescent="0.25">
      <c r="D1340" s="143"/>
      <c r="G1340" s="115">
        <v>60</v>
      </c>
      <c r="H1340" s="115" t="s">
        <v>3764</v>
      </c>
      <c r="I1340" s="636">
        <f>+I1339</f>
        <v>132.6</v>
      </c>
      <c r="J1340" s="114"/>
      <c r="K1340" s="114"/>
      <c r="L1340" s="114"/>
      <c r="M1340" s="114">
        <f>-ROUND($G1340*$I1340,0)</f>
        <v>-7956</v>
      </c>
      <c r="N1340" s="114"/>
      <c r="O1340" s="114"/>
      <c r="Q1340" s="633"/>
      <c r="V1340" s="115"/>
    </row>
    <row r="1341" spans="4:22" ht="12.75" customHeight="1" x14ac:dyDescent="0.25">
      <c r="D1341" s="143"/>
      <c r="G1341" s="115">
        <v>60</v>
      </c>
      <c r="H1341" s="115" t="s">
        <v>3764</v>
      </c>
      <c r="I1341" s="636">
        <f>+I1340</f>
        <v>132.6</v>
      </c>
      <c r="J1341" s="114"/>
      <c r="K1341" s="114"/>
      <c r="L1341" s="114"/>
      <c r="M1341" s="114"/>
      <c r="N1341" s="114">
        <f>-ROUND($G1341*$I1341,0)</f>
        <v>-7956</v>
      </c>
      <c r="O1341" s="114"/>
      <c r="Q1341" s="633"/>
      <c r="V1341" s="115"/>
    </row>
    <row r="1342" spans="4:22" ht="12.75" customHeight="1" x14ac:dyDescent="0.25">
      <c r="D1342" s="143"/>
      <c r="G1342" s="358">
        <v>60</v>
      </c>
      <c r="H1342" s="358" t="s">
        <v>3764</v>
      </c>
      <c r="I1342" s="2028">
        <f>+I1341</f>
        <v>132.6</v>
      </c>
      <c r="J1342" s="114"/>
      <c r="K1342" s="114"/>
      <c r="L1342" s="114"/>
      <c r="M1342" s="114"/>
      <c r="N1342" s="114"/>
      <c r="O1342" s="114">
        <f>-ROUND($G1342*$I1342,0)</f>
        <v>-7956</v>
      </c>
      <c r="Q1342" s="633"/>
      <c r="V1342" s="115"/>
    </row>
    <row r="1343" spans="4:22" ht="12.75" customHeight="1" x14ac:dyDescent="0.25">
      <c r="D1343" s="143"/>
      <c r="I1343" s="636"/>
      <c r="J1343" s="114"/>
      <c r="K1343" s="114"/>
      <c r="L1343" s="114"/>
      <c r="M1343" s="114"/>
      <c r="N1343" s="114"/>
      <c r="O1343" s="114"/>
      <c r="Q1343" s="633"/>
      <c r="V1343" s="115"/>
    </row>
    <row r="1344" spans="4:22" ht="12.75" customHeight="1" x14ac:dyDescent="0.25">
      <c r="D1344" s="143"/>
      <c r="I1344" s="636"/>
      <c r="J1344" s="114"/>
      <c r="K1344" s="114"/>
      <c r="L1344" s="114"/>
      <c r="M1344" s="114"/>
      <c r="N1344" s="114"/>
      <c r="O1344" s="114"/>
      <c r="Q1344" s="633"/>
      <c r="V1344" s="115"/>
    </row>
    <row r="1345" spans="4:22" ht="12.75" customHeight="1" x14ac:dyDescent="0.25">
      <c r="D1345" s="143"/>
      <c r="G1345" s="383" t="s">
        <v>1711</v>
      </c>
      <c r="I1345" s="1120"/>
      <c r="J1345" s="114"/>
      <c r="K1345" s="114"/>
      <c r="L1345" s="114"/>
      <c r="M1345" s="114"/>
      <c r="N1345" s="114"/>
      <c r="O1345" s="114"/>
      <c r="Q1345" s="633"/>
      <c r="V1345" s="115"/>
    </row>
    <row r="1346" spans="4:22" ht="12.75" customHeight="1" x14ac:dyDescent="0.25">
      <c r="D1346" s="143"/>
      <c r="G1346" s="115" t="s">
        <v>3765</v>
      </c>
      <c r="I1346" s="1120"/>
      <c r="J1346" s="114">
        <v>-29300</v>
      </c>
      <c r="K1346" s="114">
        <v>-30600</v>
      </c>
      <c r="L1346" s="114">
        <v>-31900</v>
      </c>
      <c r="M1346" s="114">
        <v>-31899</v>
      </c>
      <c r="N1346" s="114">
        <v>-31899</v>
      </c>
      <c r="O1346" s="114">
        <v>-31899</v>
      </c>
      <c r="Q1346" s="633"/>
      <c r="V1346" s="115"/>
    </row>
    <row r="1347" spans="4:22" ht="12.75" customHeight="1" x14ac:dyDescent="0.25">
      <c r="D1347" s="143"/>
      <c r="I1347" s="636"/>
      <c r="J1347" s="114"/>
      <c r="K1347" s="114"/>
      <c r="L1347" s="114"/>
      <c r="M1347" s="114"/>
      <c r="N1347" s="114"/>
      <c r="O1347" s="114"/>
      <c r="Q1347" s="633"/>
      <c r="V1347" s="115"/>
    </row>
    <row r="1348" spans="4:22" ht="12.75" customHeight="1" x14ac:dyDescent="0.25">
      <c r="D1348" s="143"/>
      <c r="I1348" s="636"/>
      <c r="J1348" s="114"/>
      <c r="K1348" s="114"/>
      <c r="L1348" s="114"/>
      <c r="M1348" s="114"/>
      <c r="N1348" s="114"/>
      <c r="O1348" s="114"/>
      <c r="Q1348" s="633"/>
      <c r="V1348" s="115"/>
    </row>
    <row r="1349" spans="4:22" ht="12.75" customHeight="1" x14ac:dyDescent="0.25">
      <c r="D1349" s="143"/>
      <c r="G1349" s="115" t="s">
        <v>3766</v>
      </c>
      <c r="I1349" s="114"/>
      <c r="J1349" s="564">
        <v>-144348</v>
      </c>
      <c r="K1349" s="564">
        <v>-160510</v>
      </c>
      <c r="L1349" s="564">
        <f>SUM(L1304:L1348)</f>
        <v>-161810</v>
      </c>
      <c r="M1349" s="564">
        <f>SUM(M1304:M1348)</f>
        <v>-161809</v>
      </c>
      <c r="N1349" s="564">
        <f>SUM(N1304:N1348)</f>
        <v>-161809</v>
      </c>
      <c r="O1349" s="564">
        <f>SUM(O1304:O1348)</f>
        <v>-161809</v>
      </c>
      <c r="Q1349" s="633"/>
      <c r="V1349" s="115"/>
    </row>
    <row r="1350" spans="4:22" ht="12.75" customHeight="1" x14ac:dyDescent="0.25">
      <c r="D1350" s="143"/>
      <c r="I1350" s="114"/>
    </row>
    <row r="1351" spans="4:22" ht="12.75" customHeight="1" x14ac:dyDescent="0.25">
      <c r="D1351" s="143"/>
      <c r="G1351" s="115" t="s">
        <v>3767</v>
      </c>
      <c r="I1351" s="1120"/>
      <c r="J1351" s="1120"/>
      <c r="K1351" s="1120"/>
      <c r="L1351" s="1120"/>
      <c r="M1351" s="1120"/>
      <c r="N1351" s="1120"/>
      <c r="O1351" s="1120"/>
      <c r="P1351" s="1742"/>
    </row>
    <row r="1352" spans="4:22" ht="12.75" customHeight="1" x14ac:dyDescent="0.25">
      <c r="D1352" s="143"/>
      <c r="G1352" s="115" t="s">
        <v>3768</v>
      </c>
      <c r="I1352" s="114"/>
      <c r="J1352" s="114"/>
      <c r="K1352" s="114"/>
      <c r="L1352" s="114"/>
      <c r="M1352" s="114"/>
      <c r="N1352" s="114"/>
      <c r="O1352" s="114"/>
    </row>
    <row r="1353" spans="4:22" ht="12.75" customHeight="1" x14ac:dyDescent="0.25">
      <c r="D1353" s="143"/>
      <c r="I1353" s="1120"/>
      <c r="J1353" s="1120"/>
      <c r="K1353" s="1120"/>
      <c r="L1353" s="1120"/>
      <c r="M1353" s="1120"/>
      <c r="N1353" s="1120"/>
      <c r="O1353" s="1120"/>
      <c r="P1353" s="1742"/>
    </row>
    <row r="1354" spans="4:22" ht="12.75" customHeight="1" x14ac:dyDescent="0.25">
      <c r="D1354" s="143"/>
      <c r="I1354" s="1120"/>
      <c r="J1354" s="114"/>
      <c r="K1354" s="114"/>
      <c r="L1354" s="114"/>
      <c r="M1354" s="114"/>
      <c r="N1354" s="114"/>
      <c r="O1354" s="114"/>
    </row>
    <row r="1355" spans="4:22" ht="12.75" customHeight="1" x14ac:dyDescent="0.25">
      <c r="D1355" s="143"/>
      <c r="I1355" s="1120"/>
      <c r="J1355" s="114"/>
      <c r="K1355" s="114"/>
      <c r="L1355" s="114"/>
      <c r="M1355" s="114"/>
      <c r="N1355" s="114"/>
      <c r="O1355" s="114"/>
    </row>
    <row r="1356" spans="4:22" ht="12.75" customHeight="1" x14ac:dyDescent="0.25">
      <c r="D1356" s="393"/>
      <c r="E1356" s="382"/>
      <c r="F1356" s="382"/>
      <c r="G1356" s="410"/>
      <c r="I1356" s="114"/>
      <c r="J1356" s="114"/>
      <c r="K1356" s="114"/>
      <c r="L1356" s="114"/>
      <c r="M1356" s="114"/>
      <c r="N1356" s="114"/>
      <c r="O1356" s="114"/>
    </row>
    <row r="1357" spans="4:22" ht="12.75" customHeight="1" x14ac:dyDescent="0.25">
      <c r="D1357" s="384"/>
      <c r="E1357" s="384"/>
      <c r="F1357" s="384"/>
      <c r="J1357" s="114"/>
      <c r="K1357" s="114"/>
      <c r="L1357" s="114"/>
      <c r="M1357" s="114"/>
      <c r="N1357" s="114"/>
      <c r="O1357" s="114"/>
    </row>
    <row r="1358" spans="4:22" ht="12.75" customHeight="1" x14ac:dyDescent="0.25">
      <c r="D1358" s="384"/>
      <c r="E1358" s="384"/>
      <c r="F1358" s="384"/>
      <c r="J1358" s="114"/>
      <c r="K1358" s="114"/>
      <c r="L1358" s="114"/>
      <c r="M1358" s="114"/>
      <c r="N1358" s="114"/>
      <c r="O1358" s="114"/>
    </row>
    <row r="1359" spans="4:22" ht="12.75" customHeight="1" x14ac:dyDescent="0.25">
      <c r="D1359" s="384"/>
      <c r="E1359" s="384"/>
      <c r="F1359" s="384"/>
    </row>
    <row r="1360" spans="4:22" ht="12.75" customHeight="1" x14ac:dyDescent="0.25">
      <c r="D1360" s="384"/>
      <c r="E1360" s="384"/>
      <c r="F1360" s="384"/>
    </row>
    <row r="1361" spans="4:15" ht="12.75" customHeight="1" x14ac:dyDescent="0.25">
      <c r="D1361" s="384"/>
      <c r="E1361" s="384"/>
      <c r="F1361" s="384"/>
    </row>
    <row r="1362" spans="4:15" ht="12.75" customHeight="1" x14ac:dyDescent="0.25">
      <c r="D1362" s="384"/>
      <c r="E1362" s="384"/>
      <c r="F1362" s="384"/>
    </row>
    <row r="1363" spans="4:15" ht="12.75" customHeight="1" x14ac:dyDescent="0.25">
      <c r="D1363" s="384"/>
      <c r="E1363" s="384"/>
      <c r="F1363" s="384"/>
      <c r="J1363" s="114"/>
      <c r="K1363" s="114"/>
      <c r="L1363" s="114"/>
      <c r="M1363" s="114"/>
      <c r="N1363" s="114"/>
      <c r="O1363" s="114"/>
    </row>
    <row r="1364" spans="4:15" ht="12.75" customHeight="1" x14ac:dyDescent="0.25">
      <c r="D1364" s="384"/>
      <c r="E1364" s="384"/>
      <c r="F1364" s="384"/>
      <c r="J1364" s="114"/>
      <c r="K1364" s="114"/>
      <c r="L1364" s="114"/>
      <c r="M1364" s="114"/>
      <c r="N1364" s="114"/>
      <c r="O1364" s="114"/>
    </row>
    <row r="1365" spans="4:15" ht="12.75" customHeight="1" x14ac:dyDescent="0.25">
      <c r="D1365" s="384"/>
      <c r="E1365" s="384"/>
      <c r="F1365" s="384"/>
    </row>
    <row r="1366" spans="4:15" ht="12.75" customHeight="1" x14ac:dyDescent="0.25">
      <c r="D1366" s="384"/>
      <c r="E1366" s="384"/>
      <c r="F1366" s="384"/>
    </row>
    <row r="1367" spans="4:15" ht="12.75" customHeight="1" x14ac:dyDescent="0.25">
      <c r="D1367" s="384"/>
      <c r="E1367" s="384"/>
      <c r="F1367" s="384"/>
    </row>
    <row r="1368" spans="4:15" ht="12.75" customHeight="1" x14ac:dyDescent="0.25">
      <c r="D1368" s="384"/>
      <c r="E1368" s="384"/>
      <c r="F1368" s="384"/>
    </row>
    <row r="1369" spans="4:15" ht="12.75" customHeight="1" x14ac:dyDescent="0.25">
      <c r="D1369" s="384"/>
      <c r="E1369" s="384"/>
      <c r="F1369" s="384"/>
    </row>
    <row r="1370" spans="4:15" ht="12.75" customHeight="1" x14ac:dyDescent="0.25">
      <c r="D1370" s="384"/>
      <c r="E1370" s="384"/>
      <c r="F1370" s="384"/>
    </row>
    <row r="1371" spans="4:15" ht="12.75" customHeight="1" x14ac:dyDescent="0.25">
      <c r="D1371" s="384"/>
      <c r="E1371" s="384"/>
      <c r="F1371" s="384"/>
    </row>
    <row r="1372" spans="4:15" ht="12.75" customHeight="1" x14ac:dyDescent="0.25">
      <c r="D1372" s="384"/>
      <c r="E1372" s="384"/>
      <c r="F1372" s="384"/>
    </row>
  </sheetData>
  <mergeCells count="11">
    <mergeCell ref="E508:R508"/>
    <mergeCell ref="D106:D107"/>
    <mergeCell ref="F106:F107"/>
    <mergeCell ref="G106:H107"/>
    <mergeCell ref="E504:N505"/>
    <mergeCell ref="E506:N507"/>
    <mergeCell ref="E509:N509"/>
    <mergeCell ref="E510:N511"/>
    <mergeCell ref="E512:N512"/>
    <mergeCell ref="E1192:I1194"/>
    <mergeCell ref="E1295:M1298"/>
  </mergeCells>
  <hyperlinks>
    <hyperlink ref="A1" location="Inhoudsopgave!A1" display="Inhoudsopgave" xr:uid="{573CB7CB-D5E1-4F18-9FCA-72D5C16D05BB}"/>
  </hyperlinks>
  <pageMargins left="0.59055118110236227" right="0.39370078740157483" top="0.39370078740157483" bottom="0.39370078740157483" header="0.51181102362204722" footer="0.51181102362204722"/>
  <pageSetup paperSize="9" scale="66" orientation="portrait" useFirstPageNumber="1" r:id="rId1"/>
  <headerFooter alignWithMargins="0"/>
  <rowBreaks count="18" manualBreakCount="18">
    <brk id="65" min="3" max="14" man="1"/>
    <brk id="103" min="3" max="14" man="1"/>
    <brk id="183" min="3" max="14" man="1"/>
    <brk id="249" min="3" max="14" man="1"/>
    <brk id="329" min="3" max="14" man="1"/>
    <brk id="415" min="3" max="14" man="1"/>
    <brk id="443" min="3" max="14" man="1"/>
    <brk id="502" min="3" max="14" man="1"/>
    <brk id="586" min="3" max="14" man="1"/>
    <brk id="649" min="3" max="14" man="1"/>
    <brk id="693" min="3" max="14" man="1"/>
    <brk id="743" min="3" max="14" man="1"/>
    <brk id="828" min="3" max="14" man="1"/>
    <brk id="906" min="3" max="14" man="1"/>
    <brk id="984" min="3" max="14" man="1"/>
    <brk id="1080" min="3" max="14" man="1"/>
    <brk id="1189" min="3" max="14" man="1"/>
    <brk id="1260" min="3" max="14" man="1"/>
  </rowBreaks>
  <ignoredErrors>
    <ignoredError sqref="L981:M981 K647:N647" formulaRange="1"/>
    <ignoredError sqref="L276:M279 L299:M299 M603 L281:M288" formula="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CC03-0EA3-411F-8E49-C26482EE1680}">
  <sheetPr codeName="Blad27"/>
  <dimension ref="A1:W251"/>
  <sheetViews>
    <sheetView showGridLines="0" view="pageBreakPreview" topLeftCell="D214" zoomScaleNormal="100" zoomScaleSheetLayoutView="100" workbookViewId="0">
      <selection activeCell="L249" sqref="L249"/>
    </sheetView>
  </sheetViews>
  <sheetFormatPr defaultColWidth="9.109375" defaultRowHeight="12.75" customHeight="1" x14ac:dyDescent="0.25"/>
  <cols>
    <col min="1" max="1" width="8" style="400" bestFit="1" customWidth="1"/>
    <col min="2" max="3" width="16.44140625" style="115" customWidth="1"/>
    <col min="4" max="4" width="9.6640625" style="301" customWidth="1"/>
    <col min="5" max="6" width="9.6640625" style="143" customWidth="1"/>
    <col min="7" max="9" width="12.6640625" style="115" customWidth="1"/>
    <col min="10" max="15" width="11.6640625" style="115" customWidth="1"/>
    <col min="16" max="17" width="13.33203125" style="115" bestFit="1" customWidth="1"/>
    <col min="18" max="18" width="11.33203125" style="115" bestFit="1" customWidth="1"/>
    <col min="19" max="19" width="10.88671875" style="115" customWidth="1"/>
    <col min="20" max="20" width="11.33203125" style="115" bestFit="1" customWidth="1"/>
    <col min="21"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E2" s="301"/>
      <c r="F2" s="301"/>
      <c r="H2" s="115" t="s">
        <v>3399</v>
      </c>
      <c r="I2" s="114"/>
      <c r="J2" s="114"/>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E3" s="301"/>
      <c r="F3" s="301"/>
      <c r="I3" s="114"/>
      <c r="J3" s="114"/>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E4" s="301"/>
      <c r="F4" s="301"/>
      <c r="I4" s="114"/>
      <c r="J4" s="114"/>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E5" s="301"/>
      <c r="F5" s="301"/>
      <c r="I5" s="114"/>
      <c r="J5" s="114"/>
    </row>
    <row r="6" spans="1:23" ht="12.75" customHeight="1" x14ac:dyDescent="0.25">
      <c r="D6" s="301" t="s">
        <v>66</v>
      </c>
      <c r="E6" s="301"/>
      <c r="F6" s="301"/>
      <c r="H6" s="115" t="s">
        <v>3769</v>
      </c>
      <c r="I6" s="114"/>
      <c r="J6" s="114"/>
    </row>
    <row r="7" spans="1:23" ht="12.75" customHeight="1" x14ac:dyDescent="0.25">
      <c r="E7" s="301"/>
      <c r="F7" s="301"/>
      <c r="I7" s="114"/>
      <c r="J7" s="114"/>
    </row>
    <row r="8" spans="1:23" ht="12.75" customHeight="1" x14ac:dyDescent="0.25">
      <c r="E8" s="301"/>
      <c r="F8" s="301"/>
      <c r="I8" s="114"/>
      <c r="J8" s="114"/>
    </row>
    <row r="9" spans="1:23" ht="12.75" customHeight="1" x14ac:dyDescent="0.25">
      <c r="E9" s="301"/>
      <c r="F9" s="301"/>
      <c r="I9" s="114"/>
      <c r="J9" s="114"/>
    </row>
    <row r="10" spans="1:23" ht="12.75" customHeight="1" x14ac:dyDescent="0.25">
      <c r="E10" s="301"/>
      <c r="F10" s="301"/>
      <c r="I10" s="114"/>
      <c r="J10" s="114"/>
    </row>
    <row r="11" spans="1:23" ht="12.75" customHeight="1" x14ac:dyDescent="0.25">
      <c r="E11" s="301"/>
      <c r="F11" s="301"/>
      <c r="I11" s="114"/>
      <c r="J11" s="114"/>
    </row>
    <row r="12" spans="1:23" ht="12.75" customHeight="1" x14ac:dyDescent="0.25">
      <c r="E12" s="301"/>
      <c r="F12" s="301"/>
      <c r="I12" s="114"/>
      <c r="J12" s="114"/>
    </row>
    <row r="13" spans="1:23" ht="12.75" customHeight="1" x14ac:dyDescent="0.25">
      <c r="E13" s="301"/>
      <c r="F13" s="301"/>
      <c r="I13" s="114"/>
      <c r="J13" s="114"/>
    </row>
    <row r="14" spans="1:23" ht="12.75" customHeight="1" x14ac:dyDescent="0.25">
      <c r="E14" s="301"/>
      <c r="F14" s="301"/>
      <c r="I14" s="114"/>
      <c r="J14" s="114"/>
    </row>
    <row r="15" spans="1:23" ht="12.75" customHeight="1" x14ac:dyDescent="0.25">
      <c r="E15" s="301"/>
      <c r="F15" s="301"/>
      <c r="I15" s="114"/>
      <c r="J15" s="114"/>
    </row>
    <row r="16" spans="1:23" ht="12.75" customHeight="1" x14ac:dyDescent="0.25">
      <c r="E16" s="301"/>
      <c r="F16" s="301"/>
      <c r="I16" s="114"/>
      <c r="J16" s="114"/>
    </row>
    <row r="17" spans="5:10" ht="12.75" customHeight="1" x14ac:dyDescent="0.25">
      <c r="E17" s="301"/>
      <c r="F17" s="301"/>
      <c r="I17" s="114"/>
      <c r="J17" s="114"/>
    </row>
    <row r="18" spans="5:10" ht="12.75" customHeight="1" x14ac:dyDescent="0.25">
      <c r="E18" s="301"/>
      <c r="F18" s="301"/>
      <c r="I18" s="114"/>
      <c r="J18" s="114"/>
    </row>
    <row r="19" spans="5:10" ht="12.75" customHeight="1" x14ac:dyDescent="0.25">
      <c r="E19" s="301"/>
      <c r="F19" s="301"/>
      <c r="I19" s="114"/>
      <c r="J19" s="114"/>
    </row>
    <row r="20" spans="5:10" ht="12.75" customHeight="1" x14ac:dyDescent="0.25">
      <c r="E20" s="301"/>
      <c r="F20" s="301"/>
      <c r="I20" s="114"/>
      <c r="J20" s="114"/>
    </row>
    <row r="21" spans="5:10" ht="12.75" customHeight="1" x14ac:dyDescent="0.25">
      <c r="E21" s="301"/>
      <c r="F21" s="301"/>
      <c r="I21" s="114"/>
      <c r="J21" s="114"/>
    </row>
    <row r="22" spans="5:10" ht="12.75" customHeight="1" x14ac:dyDescent="0.25">
      <c r="E22" s="301"/>
      <c r="F22" s="301"/>
      <c r="I22" s="114"/>
      <c r="J22" s="114"/>
    </row>
    <row r="23" spans="5:10" ht="12.75" customHeight="1" x14ac:dyDescent="0.25">
      <c r="E23" s="301"/>
      <c r="F23" s="301"/>
      <c r="I23" s="114"/>
      <c r="J23" s="114"/>
    </row>
    <row r="24" spans="5:10" ht="12.75" customHeight="1" x14ac:dyDescent="0.25">
      <c r="E24" s="301"/>
      <c r="F24" s="301"/>
      <c r="I24" s="114"/>
      <c r="J24" s="114"/>
    </row>
    <row r="25" spans="5:10" ht="12.75" customHeight="1" x14ac:dyDescent="0.25">
      <c r="E25" s="301"/>
      <c r="F25" s="301"/>
      <c r="I25" s="114"/>
      <c r="J25" s="114"/>
    </row>
    <row r="26" spans="5:10" ht="12.75" customHeight="1" x14ac:dyDescent="0.25">
      <c r="E26" s="301"/>
      <c r="F26" s="301"/>
      <c r="I26" s="114"/>
      <c r="J26" s="114"/>
    </row>
    <row r="27" spans="5:10" ht="12.75" customHeight="1" x14ac:dyDescent="0.25">
      <c r="E27" s="301"/>
      <c r="F27" s="301"/>
      <c r="I27" s="114"/>
      <c r="J27" s="114"/>
    </row>
    <row r="28" spans="5:10" ht="12.75" customHeight="1" x14ac:dyDescent="0.25">
      <c r="E28" s="301"/>
      <c r="F28" s="301"/>
      <c r="I28" s="114"/>
      <c r="J28" s="114"/>
    </row>
    <row r="29" spans="5:10" ht="12.75" customHeight="1" x14ac:dyDescent="0.25">
      <c r="E29" s="301"/>
      <c r="F29" s="301"/>
      <c r="I29" s="114"/>
      <c r="J29" s="114"/>
    </row>
    <row r="30" spans="5:10" ht="12.75" customHeight="1" x14ac:dyDescent="0.25">
      <c r="E30" s="301"/>
      <c r="F30" s="301"/>
      <c r="I30" s="114"/>
      <c r="J30" s="114"/>
    </row>
    <row r="31" spans="5:10" ht="12.75" customHeight="1" x14ac:dyDescent="0.25">
      <c r="E31" s="301"/>
      <c r="F31" s="301"/>
      <c r="I31" s="114"/>
      <c r="J31" s="114"/>
    </row>
    <row r="32" spans="5:10" ht="12.75" customHeight="1" x14ac:dyDescent="0.25">
      <c r="E32" s="301"/>
      <c r="F32" s="301"/>
      <c r="I32" s="114"/>
      <c r="J32" s="114"/>
    </row>
    <row r="33" spans="4:20" ht="12.75" customHeight="1" x14ac:dyDescent="0.25">
      <c r="E33" s="301"/>
      <c r="F33" s="301"/>
      <c r="I33" s="114"/>
      <c r="J33" s="114"/>
    </row>
    <row r="34" spans="4:20" ht="12.75" customHeight="1" x14ac:dyDescent="0.25">
      <c r="E34" s="301"/>
      <c r="F34" s="301"/>
      <c r="I34" s="114"/>
      <c r="J34" s="114"/>
    </row>
    <row r="35" spans="4:20" ht="12.75" customHeight="1" x14ac:dyDescent="0.25">
      <c r="D35" s="452" t="s">
        <v>507</v>
      </c>
      <c r="E35" s="438"/>
      <c r="F35" s="438"/>
      <c r="G35" s="453"/>
      <c r="H35" s="453"/>
      <c r="I35" s="453"/>
      <c r="J35" s="453"/>
    </row>
    <row r="36" spans="4:20" ht="12.75" customHeight="1" x14ac:dyDescent="0.25">
      <c r="D36" s="438"/>
      <c r="E36" s="438"/>
      <c r="F36" s="438"/>
      <c r="G36" s="453"/>
      <c r="H36" s="453"/>
      <c r="I36" s="453"/>
      <c r="J36" s="453"/>
    </row>
    <row r="37" spans="4:20" ht="12.75" customHeight="1" x14ac:dyDescent="0.25">
      <c r="D37" s="1746" t="s">
        <v>508</v>
      </c>
      <c r="E37" s="1747"/>
      <c r="F37" s="1747"/>
      <c r="G37" s="1748"/>
      <c r="H37" s="1748"/>
      <c r="I37" s="1749"/>
      <c r="J37" s="1749">
        <v>2025</v>
      </c>
      <c r="K37" s="1749">
        <v>2026</v>
      </c>
      <c r="L37" s="1749">
        <v>2027</v>
      </c>
      <c r="M37" s="1749">
        <v>2028</v>
      </c>
      <c r="N37" s="1749">
        <v>2029</v>
      </c>
      <c r="O37" s="1749">
        <v>2030</v>
      </c>
      <c r="P37" s="381"/>
      <c r="Q37" s="381"/>
      <c r="R37" s="381"/>
      <c r="S37" s="381"/>
      <c r="T37" s="381"/>
    </row>
    <row r="38" spans="4:20" ht="12.75" customHeight="1" x14ac:dyDescent="0.3">
      <c r="D38" s="454" t="str">
        <f>G80</f>
        <v>Cultuurloper/CMK</v>
      </c>
      <c r="E38" s="455"/>
      <c r="F38" s="456"/>
      <c r="G38" s="453"/>
      <c r="H38" s="453"/>
      <c r="I38" s="518"/>
      <c r="J38" s="457">
        <v>580</v>
      </c>
      <c r="K38" s="457">
        <f t="shared" ref="K38" si="0">K84</f>
        <v>595</v>
      </c>
      <c r="L38" s="457">
        <f t="shared" ref="L38:M38" si="1">L84</f>
        <v>597</v>
      </c>
      <c r="M38" s="457">
        <f t="shared" si="1"/>
        <v>621</v>
      </c>
      <c r="N38" s="457">
        <f t="shared" ref="N38:O38" si="2">N84</f>
        <v>665</v>
      </c>
      <c r="O38" s="457">
        <f t="shared" si="2"/>
        <v>690</v>
      </c>
      <c r="P38" s="37"/>
      <c r="Q38" s="37"/>
      <c r="R38" s="37"/>
      <c r="S38" s="37"/>
      <c r="T38" s="37"/>
    </row>
    <row r="39" spans="4:20" ht="12.75" customHeight="1" x14ac:dyDescent="0.3">
      <c r="D39" s="454" t="str">
        <f>G86</f>
        <v>Onderhoud en advies kunstwerken</v>
      </c>
      <c r="E39" s="455"/>
      <c r="F39" s="456"/>
      <c r="G39" s="453"/>
      <c r="H39" s="453"/>
      <c r="I39" s="518"/>
      <c r="J39" s="457">
        <v>12260</v>
      </c>
      <c r="K39" s="457">
        <f t="shared" ref="K39" si="3">K89</f>
        <v>12580</v>
      </c>
      <c r="L39" s="457">
        <f t="shared" ref="L39:M39" si="4">L89</f>
        <v>12840</v>
      </c>
      <c r="M39" s="457">
        <f t="shared" si="4"/>
        <v>13140</v>
      </c>
      <c r="N39" s="457">
        <f t="shared" ref="N39:O39" si="5">N89</f>
        <v>13440</v>
      </c>
      <c r="O39" s="457">
        <f t="shared" si="5"/>
        <v>13750</v>
      </c>
      <c r="P39" s="37"/>
      <c r="Q39" s="37"/>
      <c r="R39" s="37"/>
      <c r="S39" s="37"/>
      <c r="T39" s="37"/>
    </row>
    <row r="40" spans="4:20" ht="12.75" customHeight="1" x14ac:dyDescent="0.3">
      <c r="D40" s="454" t="str">
        <f>G91</f>
        <v>Cultuurorganisaties</v>
      </c>
      <c r="E40" s="455"/>
      <c r="F40" s="456"/>
      <c r="G40" s="453"/>
      <c r="H40" s="453"/>
      <c r="I40" s="518"/>
      <c r="J40" s="25">
        <v>144729</v>
      </c>
      <c r="K40" s="25">
        <f t="shared" ref="K40" si="6">K94</f>
        <v>160896</v>
      </c>
      <c r="L40" s="25">
        <f t="shared" ref="L40:M40" si="7">L94</f>
        <v>164274</v>
      </c>
      <c r="M40" s="25">
        <f t="shared" si="7"/>
        <v>168050</v>
      </c>
      <c r="N40" s="25">
        <f t="shared" ref="N40:O40" si="8">N94</f>
        <v>171912</v>
      </c>
      <c r="O40" s="25">
        <f t="shared" si="8"/>
        <v>175863</v>
      </c>
      <c r="P40" s="37"/>
      <c r="Q40" s="37"/>
      <c r="R40" s="37"/>
      <c r="S40" s="37"/>
      <c r="T40" s="37"/>
    </row>
    <row r="41" spans="4:20" ht="12.75" customHeight="1" x14ac:dyDescent="0.3">
      <c r="D41" s="454" t="s">
        <v>3770</v>
      </c>
      <c r="E41" s="455"/>
      <c r="F41" s="456"/>
      <c r="G41" s="453"/>
      <c r="H41" s="453"/>
      <c r="I41" s="518"/>
      <c r="J41" s="25">
        <v>20579</v>
      </c>
      <c r="K41" s="25">
        <f t="shared" ref="K41" si="9">+K99</f>
        <v>21114</v>
      </c>
      <c r="L41" s="25">
        <f t="shared" ref="L41:M41" si="10">+L99</f>
        <v>21557</v>
      </c>
      <c r="M41" s="25">
        <f t="shared" si="10"/>
        <v>22053</v>
      </c>
      <c r="N41" s="25">
        <f t="shared" ref="N41:O41" si="11">+N99</f>
        <v>22560</v>
      </c>
      <c r="O41" s="25">
        <f t="shared" si="11"/>
        <v>23079</v>
      </c>
      <c r="P41" s="37"/>
      <c r="Q41" s="37"/>
      <c r="R41" s="37"/>
      <c r="S41" s="37"/>
      <c r="T41" s="37"/>
    </row>
    <row r="42" spans="4:20" ht="12.75" customHeight="1" x14ac:dyDescent="0.3">
      <c r="D42" s="454" t="str">
        <f>G69</f>
        <v>Cursusaanbod welzijn</v>
      </c>
      <c r="E42" s="455"/>
      <c r="F42" s="456"/>
      <c r="G42" s="453"/>
      <c r="H42" s="453"/>
      <c r="I42" s="518"/>
      <c r="J42" s="25">
        <v>64926</v>
      </c>
      <c r="K42" s="25">
        <f>K72</f>
        <v>66225</v>
      </c>
      <c r="L42" s="25">
        <f>L72</f>
        <v>69006</v>
      </c>
      <c r="M42" s="25">
        <f>M72</f>
        <v>71559</v>
      </c>
      <c r="N42" s="25">
        <f>N72</f>
        <v>74207</v>
      </c>
      <c r="O42" s="25">
        <f>O72</f>
        <v>76953</v>
      </c>
      <c r="P42" s="37"/>
      <c r="Q42" s="37"/>
      <c r="R42" s="37"/>
      <c r="S42" s="37"/>
      <c r="T42" s="37"/>
    </row>
    <row r="43" spans="4:20" ht="12.75" customHeight="1" x14ac:dyDescent="0.3">
      <c r="D43" s="454" t="str">
        <f>G74</f>
        <v>Cultuureducatie</v>
      </c>
      <c r="E43" s="455"/>
      <c r="F43" s="456"/>
      <c r="G43" s="453"/>
      <c r="H43" s="453"/>
      <c r="I43" s="518"/>
      <c r="J43" s="25">
        <v>243926.61630400002</v>
      </c>
      <c r="K43" s="25">
        <f>K78</f>
        <v>223527.91232790402</v>
      </c>
      <c r="L43" s="25">
        <f>L78</f>
        <v>236668.76948679</v>
      </c>
      <c r="M43" s="25">
        <f>M78</f>
        <v>248316.50218498614</v>
      </c>
      <c r="N43" s="25">
        <f>N78</f>
        <v>260427.91473524086</v>
      </c>
      <c r="O43" s="25">
        <f>O78</f>
        <v>273020.78077415144</v>
      </c>
      <c r="P43" s="37"/>
      <c r="Q43" s="37"/>
      <c r="R43" s="37"/>
      <c r="S43" s="37"/>
      <c r="T43" s="37"/>
    </row>
    <row r="44" spans="4:20" ht="12.75" customHeight="1" x14ac:dyDescent="0.3">
      <c r="D44" s="454" t="str">
        <f>G123</f>
        <v>Directe toerekening cultuur (incl kunst)</v>
      </c>
      <c r="E44" s="455"/>
      <c r="F44" s="456"/>
      <c r="G44" s="453"/>
      <c r="H44" s="453"/>
      <c r="I44" s="518"/>
      <c r="J44" s="25">
        <v>231738.82</v>
      </c>
      <c r="K44" s="25">
        <f t="shared" ref="K44" si="12">K126</f>
        <v>197752.58000000002</v>
      </c>
      <c r="L44" s="25">
        <f t="shared" ref="L44:M44" si="13">L126</f>
        <v>206059</v>
      </c>
      <c r="M44" s="25">
        <f t="shared" si="13"/>
        <v>213683</v>
      </c>
      <c r="N44" s="25">
        <f t="shared" ref="N44:O44" si="14">N126</f>
        <v>221589</v>
      </c>
      <c r="O44" s="25">
        <f t="shared" si="14"/>
        <v>229789</v>
      </c>
      <c r="P44" s="37"/>
      <c r="Q44" s="37"/>
      <c r="R44" s="37"/>
      <c r="S44" s="37"/>
      <c r="T44" s="37"/>
    </row>
    <row r="45" spans="4:20" ht="12.75" customHeight="1" x14ac:dyDescent="0.3">
      <c r="D45" s="454" t="str">
        <f>G101</f>
        <v>Max de Bossusstraat 1 (Tejaterke)</v>
      </c>
      <c r="E45" s="455"/>
      <c r="F45" s="456"/>
      <c r="G45" s="453"/>
      <c r="H45" s="453"/>
      <c r="I45" s="518"/>
      <c r="J45" s="25">
        <v>1804</v>
      </c>
      <c r="K45" s="25">
        <f>K104</f>
        <v>1851</v>
      </c>
      <c r="L45" s="25">
        <f>L104</f>
        <v>1890</v>
      </c>
      <c r="M45" s="25">
        <f>M104</f>
        <v>1933</v>
      </c>
      <c r="N45" s="25">
        <f>N104</f>
        <v>1977</v>
      </c>
      <c r="O45" s="25">
        <f>O104</f>
        <v>2022</v>
      </c>
      <c r="P45" s="37"/>
      <c r="Q45" s="37"/>
      <c r="R45" s="37"/>
      <c r="S45" s="37"/>
      <c r="T45" s="37"/>
    </row>
    <row r="46" spans="4:20" ht="12.75" customHeight="1" x14ac:dyDescent="0.3">
      <c r="D46" s="454" t="str">
        <f>+B111</f>
        <v>Community art</v>
      </c>
      <c r="E46" s="455"/>
      <c r="F46" s="456"/>
      <c r="G46" s="453"/>
      <c r="H46" s="453"/>
      <c r="I46" s="518"/>
      <c r="J46" s="25">
        <v>58410</v>
      </c>
      <c r="K46" s="25">
        <f t="shared" ref="K46" si="15">+K112</f>
        <v>59930</v>
      </c>
      <c r="L46" s="25">
        <f t="shared" ref="L46:M46" si="16">+L112</f>
        <v>61190</v>
      </c>
      <c r="M46" s="25">
        <f t="shared" si="16"/>
        <v>62600</v>
      </c>
      <c r="N46" s="25">
        <f t="shared" ref="N46:O46" si="17">+N112</f>
        <v>64040</v>
      </c>
      <c r="O46" s="25">
        <f t="shared" si="17"/>
        <v>65510</v>
      </c>
      <c r="P46" s="37"/>
      <c r="Q46" s="37"/>
      <c r="R46" s="37"/>
      <c r="S46" s="37"/>
      <c r="T46" s="37"/>
    </row>
    <row r="47" spans="4:20" ht="12.75" customHeight="1" x14ac:dyDescent="0.3">
      <c r="D47" s="454" t="s">
        <v>3771</v>
      </c>
      <c r="E47" s="455"/>
      <c r="F47" s="456"/>
      <c r="G47" s="453"/>
      <c r="H47" s="453"/>
      <c r="I47" s="518"/>
      <c r="J47" s="28">
        <v>30000</v>
      </c>
      <c r="K47" s="28">
        <f t="shared" ref="K47" si="18">+K120</f>
        <v>107000</v>
      </c>
      <c r="L47" s="28">
        <f t="shared" ref="L47:M47" si="19">+L120</f>
        <v>30000</v>
      </c>
      <c r="M47" s="28">
        <f t="shared" si="19"/>
        <v>30000</v>
      </c>
      <c r="N47" s="28">
        <f t="shared" ref="N47:O47" si="20">+N120</f>
        <v>30000</v>
      </c>
      <c r="O47" s="28">
        <f t="shared" si="20"/>
        <v>30000</v>
      </c>
      <c r="P47" s="37"/>
      <c r="Q47" s="37"/>
      <c r="R47" s="37"/>
      <c r="S47" s="37"/>
      <c r="T47" s="37"/>
    </row>
    <row r="48" spans="4:20" ht="12.75" customHeight="1" x14ac:dyDescent="0.3">
      <c r="D48" s="454" t="s">
        <v>3772</v>
      </c>
      <c r="E48" s="455"/>
      <c r="F48" s="456"/>
      <c r="G48" s="453"/>
      <c r="H48" s="453"/>
      <c r="I48" s="518"/>
      <c r="J48" s="28">
        <v>32150</v>
      </c>
      <c r="K48" s="28">
        <f>+K108</f>
        <v>34680</v>
      </c>
      <c r="L48" s="28">
        <f>+L108</f>
        <v>36770</v>
      </c>
      <c r="M48" s="28">
        <f>+M108</f>
        <v>39110</v>
      </c>
      <c r="N48" s="28">
        <f>+N108</f>
        <v>41500</v>
      </c>
      <c r="O48" s="28">
        <f>+O108</f>
        <v>43950</v>
      </c>
      <c r="P48" s="37"/>
      <c r="Q48" s="37"/>
      <c r="R48" s="37"/>
      <c r="S48" s="37"/>
      <c r="T48" s="37"/>
    </row>
    <row r="49" spans="1:20" ht="12.75" customHeight="1" x14ac:dyDescent="0.3">
      <c r="D49" s="454"/>
      <c r="E49" s="455"/>
      <c r="F49" s="456"/>
      <c r="G49" s="453"/>
      <c r="H49" s="453"/>
      <c r="I49" s="518"/>
      <c r="J49" s="26"/>
      <c r="K49" s="26"/>
      <c r="L49" s="26"/>
      <c r="M49" s="26"/>
      <c r="N49" s="26"/>
      <c r="O49" s="26"/>
      <c r="P49" s="37"/>
      <c r="Q49" s="37"/>
      <c r="R49" s="37"/>
      <c r="S49" s="37"/>
      <c r="T49" s="37"/>
    </row>
    <row r="50" spans="1:20" ht="12.75" customHeight="1" x14ac:dyDescent="0.3">
      <c r="D50" s="1751" t="s">
        <v>525</v>
      </c>
      <c r="E50" s="1752"/>
      <c r="F50" s="1753"/>
      <c r="G50" s="1754"/>
      <c r="H50" s="1754"/>
      <c r="I50" s="1757"/>
      <c r="J50" s="1755">
        <v>841103.43630399997</v>
      </c>
      <c r="K50" s="1755">
        <f t="shared" ref="K50:N50" si="21">SUM(K38:K49)</f>
        <v>886151.4923279041</v>
      </c>
      <c r="L50" s="1755">
        <f t="shared" si="21"/>
        <v>840851.76948679006</v>
      </c>
      <c r="M50" s="1755">
        <f t="shared" si="21"/>
        <v>871065.50218498614</v>
      </c>
      <c r="N50" s="1755">
        <f t="shared" si="21"/>
        <v>902317.91473524086</v>
      </c>
      <c r="O50" s="1755">
        <f t="shared" ref="O50" si="22">SUM(O38:O49)</f>
        <v>934626.78077415144</v>
      </c>
      <c r="P50" s="37"/>
      <c r="Q50" s="37"/>
      <c r="R50" s="37"/>
      <c r="S50" s="37"/>
      <c r="T50" s="37"/>
    </row>
    <row r="51" spans="1:20" ht="12.75" customHeight="1" x14ac:dyDescent="0.25">
      <c r="D51" s="438"/>
      <c r="E51" s="455"/>
      <c r="F51" s="456"/>
      <c r="G51" s="453"/>
      <c r="H51" s="453"/>
      <c r="I51" s="453"/>
      <c r="J51" s="453"/>
      <c r="K51" s="453"/>
      <c r="L51" s="453"/>
      <c r="M51" s="453"/>
      <c r="N51" s="453"/>
      <c r="O51" s="453"/>
    </row>
    <row r="52" spans="1:20" ht="12.75" customHeight="1" x14ac:dyDescent="0.25">
      <c r="D52" s="1746" t="s">
        <v>526</v>
      </c>
      <c r="E52" s="1747"/>
      <c r="F52" s="1747"/>
      <c r="G52" s="1748"/>
      <c r="H52" s="1748"/>
      <c r="I52" s="1749"/>
      <c r="J52" s="1749">
        <v>2025</v>
      </c>
      <c r="K52" s="1749">
        <v>2026</v>
      </c>
      <c r="L52" s="1749">
        <v>2027</v>
      </c>
      <c r="M52" s="1749">
        <v>2028</v>
      </c>
      <c r="N52" s="1749">
        <v>2029</v>
      </c>
      <c r="O52" s="1749">
        <v>2030</v>
      </c>
      <c r="P52" s="381"/>
      <c r="Q52" s="381"/>
      <c r="R52" s="381"/>
      <c r="S52" s="381"/>
      <c r="T52" s="381"/>
    </row>
    <row r="53" spans="1:20" s="305" customFormat="1" ht="12.75" customHeight="1" x14ac:dyDescent="0.25">
      <c r="A53" s="400"/>
      <c r="B53" s="115"/>
      <c r="C53" s="115"/>
      <c r="D53" s="1887"/>
      <c r="E53" s="748"/>
      <c r="F53" s="748"/>
      <c r="G53" s="618"/>
      <c r="H53" s="618"/>
      <c r="I53" s="518"/>
      <c r="J53" s="463"/>
      <c r="K53" s="463"/>
      <c r="L53" s="463"/>
      <c r="M53" s="463"/>
      <c r="N53" s="463"/>
      <c r="O53" s="463"/>
      <c r="P53" s="236"/>
      <c r="Q53" s="236"/>
      <c r="R53" s="236"/>
      <c r="S53" s="236"/>
      <c r="T53" s="236"/>
    </row>
    <row r="54" spans="1:20" ht="12.75" customHeight="1" x14ac:dyDescent="0.3">
      <c r="D54" s="454" t="str">
        <f>G133</f>
        <v>Max de Bossusstraat 1 (Tejaterke)</v>
      </c>
      <c r="E54" s="455"/>
      <c r="F54" s="456"/>
      <c r="G54" s="453"/>
      <c r="H54" s="453"/>
      <c r="I54" s="518"/>
      <c r="J54" s="457">
        <v>-500</v>
      </c>
      <c r="K54" s="457">
        <f t="shared" ref="K54" si="23">K136</f>
        <v>-531</v>
      </c>
      <c r="L54" s="457">
        <f t="shared" ref="L54:M54" si="24">L136</f>
        <v>-545.80999999999995</v>
      </c>
      <c r="M54" s="457">
        <f t="shared" si="24"/>
        <v>-558</v>
      </c>
      <c r="N54" s="457">
        <f t="shared" ref="N54:O54" si="25">N136</f>
        <v>-571</v>
      </c>
      <c r="O54" s="457">
        <f t="shared" si="25"/>
        <v>-584</v>
      </c>
      <c r="P54" s="37"/>
      <c r="Q54" s="37"/>
      <c r="R54" s="37"/>
      <c r="S54" s="37"/>
      <c r="T54" s="37"/>
    </row>
    <row r="55" spans="1:20" ht="12.75" customHeight="1" x14ac:dyDescent="0.3">
      <c r="D55" s="454" t="s">
        <v>3771</v>
      </c>
      <c r="E55" s="455"/>
      <c r="F55" s="456"/>
      <c r="G55" s="453"/>
      <c r="H55" s="453"/>
      <c r="I55" s="518"/>
      <c r="J55" s="457"/>
      <c r="K55" s="457">
        <f>+K131</f>
        <v>0</v>
      </c>
      <c r="L55" s="457">
        <f>+L131</f>
        <v>-16155.2</v>
      </c>
      <c r="M55" s="457">
        <f>+M131</f>
        <v>-16752.8</v>
      </c>
      <c r="N55" s="457">
        <f>+N131</f>
        <v>-17372.8</v>
      </c>
      <c r="O55" s="457">
        <f>+O131</f>
        <v>-18015.600000000002</v>
      </c>
      <c r="P55" s="37"/>
      <c r="Q55" s="37"/>
      <c r="R55" s="37"/>
      <c r="S55" s="37"/>
      <c r="T55" s="37"/>
    </row>
    <row r="56" spans="1:20" ht="12.75" customHeight="1" x14ac:dyDescent="0.3">
      <c r="D56" s="464"/>
      <c r="E56" s="465"/>
      <c r="F56" s="466"/>
      <c r="G56" s="467"/>
      <c r="H56" s="467"/>
      <c r="I56" s="518"/>
      <c r="J56" s="463"/>
      <c r="K56" s="463"/>
      <c r="L56" s="463"/>
      <c r="M56" s="463"/>
      <c r="N56" s="463"/>
      <c r="O56" s="463"/>
      <c r="P56" s="37"/>
      <c r="Q56" s="37"/>
      <c r="R56" s="37"/>
      <c r="S56" s="37"/>
      <c r="T56" s="37"/>
    </row>
    <row r="57" spans="1:20" ht="12.75" customHeight="1" x14ac:dyDescent="0.3">
      <c r="D57" s="1751" t="s">
        <v>328</v>
      </c>
      <c r="E57" s="1752"/>
      <c r="F57" s="1753"/>
      <c r="G57" s="1754"/>
      <c r="H57" s="1754"/>
      <c r="I57" s="1757"/>
      <c r="J57" s="1755">
        <v>-500</v>
      </c>
      <c r="K57" s="1755">
        <f>SUM(K53:K56)</f>
        <v>-531</v>
      </c>
      <c r="L57" s="1755">
        <f>SUM(L53:L56)</f>
        <v>-16701.010000000002</v>
      </c>
      <c r="M57" s="1755">
        <f>SUM(M53:M56)</f>
        <v>-17310.8</v>
      </c>
      <c r="N57" s="1755">
        <f>SUM(N53:N56)</f>
        <v>-17943.8</v>
      </c>
      <c r="O57" s="1755">
        <f>SUM(O53:O56)</f>
        <v>-18599.600000000002</v>
      </c>
      <c r="P57" s="37"/>
      <c r="Q57" s="37"/>
      <c r="R57" s="37"/>
      <c r="S57" s="37"/>
      <c r="T57" s="37"/>
    </row>
    <row r="58" spans="1:20" ht="12.75" customHeight="1" x14ac:dyDescent="0.3">
      <c r="D58" s="438"/>
      <c r="E58" s="455"/>
      <c r="F58" s="456"/>
      <c r="G58" s="453"/>
      <c r="H58" s="453"/>
      <c r="I58" s="453"/>
      <c r="J58" s="469"/>
      <c r="K58" s="469"/>
      <c r="L58" s="469"/>
      <c r="M58" s="469"/>
      <c r="N58" s="469"/>
      <c r="O58" s="469"/>
      <c r="P58" s="37"/>
      <c r="Q58" s="37"/>
      <c r="R58" s="37"/>
      <c r="S58" s="37"/>
      <c r="T58" s="37"/>
    </row>
    <row r="59" spans="1:20" ht="12.75" customHeight="1" x14ac:dyDescent="0.3">
      <c r="D59" s="1751" t="s">
        <v>527</v>
      </c>
      <c r="E59" s="1756"/>
      <c r="F59" s="1756"/>
      <c r="G59" s="1754"/>
      <c r="H59" s="1754"/>
      <c r="I59" s="1754"/>
      <c r="J59" s="1758">
        <v>840603.43630399997</v>
      </c>
      <c r="K59" s="1758">
        <f>K50+K57</f>
        <v>885620.4923279041</v>
      </c>
      <c r="L59" s="1758">
        <f>L50+L57</f>
        <v>824150.75948679005</v>
      </c>
      <c r="M59" s="1758">
        <f>M50+M57</f>
        <v>853754.70218498609</v>
      </c>
      <c r="N59" s="1758">
        <f>N50+N57</f>
        <v>884374.11473524082</v>
      </c>
      <c r="O59" s="1758">
        <f>O50+O57</f>
        <v>916027.18077415146</v>
      </c>
      <c r="P59" s="37"/>
      <c r="Q59" s="37"/>
      <c r="R59" s="37"/>
      <c r="S59" s="37"/>
      <c r="T59" s="37"/>
    </row>
    <row r="60" spans="1:20" ht="12.75" customHeight="1" x14ac:dyDescent="0.3">
      <c r="D60" s="438"/>
      <c r="E60" s="455"/>
      <c r="F60" s="456"/>
      <c r="G60" s="453"/>
      <c r="H60" s="453"/>
      <c r="I60" s="453"/>
      <c r="J60" s="469"/>
      <c r="K60" s="469"/>
      <c r="L60" s="469"/>
      <c r="M60" s="469"/>
      <c r="N60" s="469"/>
      <c r="O60" s="469"/>
      <c r="P60" s="37"/>
      <c r="Q60" s="37"/>
      <c r="R60" s="37"/>
      <c r="S60" s="37"/>
      <c r="T60" s="37"/>
    </row>
    <row r="61" spans="1:20" ht="12.75" customHeight="1" x14ac:dyDescent="0.3">
      <c r="D61" s="438"/>
      <c r="E61" s="455"/>
      <c r="F61" s="456"/>
      <c r="G61" s="453"/>
      <c r="H61" s="453"/>
      <c r="I61" s="453"/>
      <c r="J61" s="469"/>
      <c r="K61" s="469"/>
      <c r="L61" s="469"/>
      <c r="M61" s="469"/>
      <c r="N61" s="469"/>
      <c r="O61" s="469"/>
      <c r="P61" s="37"/>
      <c r="Q61" s="37"/>
      <c r="R61" s="37"/>
      <c r="S61" s="37"/>
      <c r="T61" s="37"/>
    </row>
    <row r="62" spans="1:20" ht="12.75" customHeight="1" x14ac:dyDescent="0.25">
      <c r="D62" s="453"/>
      <c r="E62" s="453"/>
      <c r="F62" s="453"/>
      <c r="G62" s="453"/>
      <c r="H62" s="453"/>
      <c r="I62" s="453"/>
      <c r="J62" s="469"/>
      <c r="K62" s="469"/>
      <c r="L62" s="469"/>
      <c r="M62" s="469"/>
      <c r="N62" s="469"/>
      <c r="O62" s="469"/>
    </row>
    <row r="63" spans="1:20" ht="12.75" customHeight="1" x14ac:dyDescent="0.25">
      <c r="D63" s="438"/>
      <c r="E63" s="438"/>
      <c r="F63" s="438"/>
      <c r="G63" s="453"/>
      <c r="H63" s="453"/>
      <c r="I63" s="453"/>
      <c r="J63" s="469"/>
      <c r="K63" s="469"/>
      <c r="L63" s="469"/>
      <c r="M63" s="469"/>
      <c r="N63" s="469"/>
      <c r="O63" s="469"/>
    </row>
    <row r="64" spans="1:20" ht="12.75" customHeight="1" x14ac:dyDescent="0.25">
      <c r="D64" s="312" t="s">
        <v>528</v>
      </c>
      <c r="E64" s="382"/>
      <c r="F64" s="382"/>
    </row>
    <row r="66" spans="1:22" ht="12.75" customHeight="1" x14ac:dyDescent="0.25">
      <c r="A66" s="516"/>
      <c r="B66" s="453"/>
      <c r="C66" s="453"/>
      <c r="D66" s="2523" t="s">
        <v>529</v>
      </c>
      <c r="E66" s="1761" t="s">
        <v>530</v>
      </c>
      <c r="F66" s="2552" t="s">
        <v>531</v>
      </c>
      <c r="G66" s="2525" t="s">
        <v>206</v>
      </c>
      <c r="H66" s="2526"/>
      <c r="I66" s="1773"/>
      <c r="J66" s="1763"/>
      <c r="K66" s="1763"/>
      <c r="L66" s="1763"/>
      <c r="M66" s="1763"/>
      <c r="N66" s="1763"/>
      <c r="O66" s="1763"/>
      <c r="P66" s="453"/>
      <c r="Q66" s="453"/>
      <c r="R66" s="453"/>
      <c r="S66" s="453"/>
      <c r="T66" s="453"/>
      <c r="U66" s="453"/>
      <c r="V66" s="453"/>
    </row>
    <row r="67" spans="1:22" ht="12.75" customHeight="1" x14ac:dyDescent="0.25">
      <c r="A67" s="516"/>
      <c r="B67" s="453"/>
      <c r="C67" s="453"/>
      <c r="D67" s="2524"/>
      <c r="E67" s="472" t="s">
        <v>532</v>
      </c>
      <c r="F67" s="2553"/>
      <c r="G67" s="2527"/>
      <c r="H67" s="2528"/>
      <c r="I67" s="521"/>
      <c r="J67" s="1764">
        <v>2025</v>
      </c>
      <c r="K67" s="1764">
        <v>2026</v>
      </c>
      <c r="L67" s="1764">
        <v>2027</v>
      </c>
      <c r="M67" s="1764">
        <v>2028</v>
      </c>
      <c r="N67" s="1764">
        <v>2029</v>
      </c>
      <c r="O67" s="1764">
        <v>2030</v>
      </c>
      <c r="P67" s="453"/>
      <c r="Q67" s="453"/>
      <c r="R67" s="453"/>
      <c r="S67" s="453"/>
      <c r="T67" s="453"/>
      <c r="U67" s="453"/>
      <c r="V67" s="453"/>
    </row>
    <row r="68" spans="1:22" ht="12.75" customHeight="1" x14ac:dyDescent="0.25">
      <c r="D68" s="1772"/>
      <c r="E68" s="1772"/>
      <c r="F68" s="1772"/>
      <c r="G68" s="1774"/>
      <c r="H68" s="326"/>
      <c r="I68" s="316"/>
      <c r="J68" s="1775"/>
      <c r="K68" s="1775"/>
      <c r="L68" s="1775"/>
      <c r="M68" s="1775"/>
      <c r="N68" s="1775"/>
      <c r="O68" s="1775"/>
    </row>
    <row r="69" spans="1:22" ht="12.75" customHeight="1" x14ac:dyDescent="0.25">
      <c r="A69" s="143"/>
      <c r="D69" s="347">
        <v>631001</v>
      </c>
      <c r="E69" s="331"/>
      <c r="F69" s="476"/>
      <c r="G69" s="332" t="s">
        <v>3773</v>
      </c>
      <c r="I69" s="318"/>
      <c r="J69" s="318"/>
      <c r="K69" s="318"/>
      <c r="L69" s="318"/>
      <c r="M69" s="318"/>
      <c r="N69" s="318"/>
      <c r="O69" s="318"/>
    </row>
    <row r="70" spans="1:22" ht="12.75" customHeight="1" x14ac:dyDescent="0.25">
      <c r="D70" s="340"/>
      <c r="E70" s="340"/>
      <c r="F70" s="340"/>
      <c r="G70" s="334" t="s">
        <v>533</v>
      </c>
      <c r="I70" s="318"/>
      <c r="J70" s="318"/>
      <c r="K70" s="318"/>
      <c r="L70" s="318"/>
      <c r="M70" s="318"/>
      <c r="N70" s="318"/>
      <c r="O70" s="318"/>
    </row>
    <row r="71" spans="1:22" ht="12.75" customHeight="1" x14ac:dyDescent="0.25">
      <c r="A71" s="143">
        <f>+D69</f>
        <v>631001</v>
      </c>
      <c r="B71" s="115" t="str">
        <f>G69</f>
        <v>Cursusaanbod welzijn</v>
      </c>
      <c r="D71" s="337">
        <v>44380</v>
      </c>
      <c r="E71" s="337"/>
      <c r="F71" s="337"/>
      <c r="G71" s="319" t="s">
        <v>3402</v>
      </c>
      <c r="I71" s="318"/>
      <c r="J71" s="318">
        <v>64926</v>
      </c>
      <c r="K71" s="318">
        <v>66225</v>
      </c>
      <c r="L71" s="318">
        <f>L207</f>
        <v>69006</v>
      </c>
      <c r="M71" s="318">
        <f>M207</f>
        <v>71559</v>
      </c>
      <c r="N71" s="318">
        <f>N207</f>
        <v>74207</v>
      </c>
      <c r="O71" s="318">
        <f>O207</f>
        <v>76953</v>
      </c>
    </row>
    <row r="72" spans="1:22" ht="12.75" customHeight="1" thickBot="1" x14ac:dyDescent="0.3">
      <c r="D72" s="340"/>
      <c r="E72" s="340"/>
      <c r="F72" s="340"/>
      <c r="G72" s="319" t="s">
        <v>536</v>
      </c>
      <c r="I72" s="318"/>
      <c r="J72" s="342">
        <v>64926</v>
      </c>
      <c r="K72" s="342">
        <v>66225</v>
      </c>
      <c r="L72" s="342">
        <f>SUM(L71:L71)</f>
        <v>69006</v>
      </c>
      <c r="M72" s="342">
        <f>SUM(M71:M71)</f>
        <v>71559</v>
      </c>
      <c r="N72" s="342">
        <f>SUM(N71:N71)</f>
        <v>74207</v>
      </c>
      <c r="O72" s="342">
        <f>SUM(O71:O71)</f>
        <v>76953</v>
      </c>
    </row>
    <row r="73" spans="1:22" ht="12.75" customHeight="1" thickTop="1" x14ac:dyDescent="0.25">
      <c r="D73" s="340"/>
      <c r="E73" s="340"/>
      <c r="F73" s="340"/>
      <c r="G73" s="319"/>
      <c r="I73" s="318"/>
      <c r="J73" s="318"/>
      <c r="K73" s="318"/>
      <c r="L73" s="318"/>
      <c r="M73" s="318"/>
      <c r="N73" s="318"/>
      <c r="O73" s="318"/>
    </row>
    <row r="74" spans="1:22" ht="12.75" customHeight="1" x14ac:dyDescent="0.25">
      <c r="D74" s="347">
        <v>631002</v>
      </c>
      <c r="E74" s="331"/>
      <c r="F74" s="476"/>
      <c r="G74" s="332" t="s">
        <v>3774</v>
      </c>
      <c r="I74" s="318"/>
      <c r="J74" s="318"/>
      <c r="K74" s="318"/>
      <c r="L74" s="318"/>
      <c r="M74" s="318"/>
      <c r="N74" s="318"/>
      <c r="O74" s="318"/>
    </row>
    <row r="75" spans="1:22" ht="12.75" customHeight="1" x14ac:dyDescent="0.25">
      <c r="D75" s="340"/>
      <c r="E75" s="340"/>
      <c r="F75" s="340"/>
      <c r="G75" s="334" t="s">
        <v>533</v>
      </c>
      <c r="I75" s="318"/>
      <c r="J75" s="318"/>
      <c r="K75" s="318"/>
      <c r="L75" s="318"/>
      <c r="M75" s="318"/>
      <c r="N75" s="318"/>
      <c r="O75" s="318"/>
    </row>
    <row r="76" spans="1:22" ht="12.75" customHeight="1" x14ac:dyDescent="0.25">
      <c r="A76" s="143">
        <f>+D74</f>
        <v>631002</v>
      </c>
      <c r="B76" s="115" t="str">
        <f>G74</f>
        <v>Cultuureducatie</v>
      </c>
      <c r="D76" s="337">
        <v>44380</v>
      </c>
      <c r="E76" s="337"/>
      <c r="F76" s="337"/>
      <c r="G76" s="319" t="s">
        <v>3402</v>
      </c>
      <c r="I76" s="318"/>
      <c r="J76" s="318">
        <v>243926.61630400002</v>
      </c>
      <c r="K76" s="318">
        <v>223527.91232790402</v>
      </c>
      <c r="L76" s="318">
        <f>L217</f>
        <v>236668.76948679</v>
      </c>
      <c r="M76" s="318">
        <f>M217</f>
        <v>248316.50218498614</v>
      </c>
      <c r="N76" s="318">
        <f>N217</f>
        <v>260427.91473524086</v>
      </c>
      <c r="O76" s="318">
        <f>O217</f>
        <v>273020.78077415144</v>
      </c>
    </row>
    <row r="77" spans="1:22" ht="12.75" customHeight="1" x14ac:dyDescent="0.25">
      <c r="A77" s="143"/>
      <c r="D77" s="337"/>
      <c r="E77" s="337"/>
      <c r="F77" s="337"/>
      <c r="G77" s="319"/>
      <c r="I77" s="318"/>
      <c r="J77" s="318"/>
      <c r="K77" s="318"/>
      <c r="L77" s="318"/>
      <c r="M77" s="318"/>
      <c r="N77" s="318"/>
      <c r="O77" s="318"/>
    </row>
    <row r="78" spans="1:22" ht="12.75" customHeight="1" thickBot="1" x14ac:dyDescent="0.3">
      <c r="D78" s="337"/>
      <c r="E78" s="337"/>
      <c r="F78" s="337"/>
      <c r="G78" s="319" t="s">
        <v>536</v>
      </c>
      <c r="I78" s="318"/>
      <c r="J78" s="480">
        <v>243926.61630400002</v>
      </c>
      <c r="K78" s="480">
        <v>223527.91232790402</v>
      </c>
      <c r="L78" s="480">
        <f t="shared" ref="L78:M78" si="26">+L76+L77</f>
        <v>236668.76948679</v>
      </c>
      <c r="M78" s="480">
        <f t="shared" si="26"/>
        <v>248316.50218498614</v>
      </c>
      <c r="N78" s="480">
        <f t="shared" ref="N78:O78" si="27">+N76+N77</f>
        <v>260427.91473524086</v>
      </c>
      <c r="O78" s="480">
        <f t="shared" si="27"/>
        <v>273020.78077415144</v>
      </c>
    </row>
    <row r="79" spans="1:22" ht="12.75" customHeight="1" thickTop="1" x14ac:dyDescent="0.25">
      <c r="D79" s="352"/>
      <c r="E79" s="352"/>
      <c r="F79" s="352"/>
      <c r="G79" s="354"/>
      <c r="H79" s="355"/>
      <c r="I79" s="316"/>
      <c r="J79" s="316"/>
      <c r="K79" s="316"/>
      <c r="L79" s="316"/>
      <c r="M79" s="316"/>
      <c r="N79" s="316"/>
      <c r="O79" s="316"/>
    </row>
    <row r="80" spans="1:22" ht="12.75" customHeight="1" x14ac:dyDescent="0.25">
      <c r="A80" s="143"/>
      <c r="D80" s="347">
        <v>631004</v>
      </c>
      <c r="E80" s="476"/>
      <c r="F80" s="476"/>
      <c r="G80" s="332" t="s">
        <v>3775</v>
      </c>
      <c r="I80" s="318"/>
      <c r="J80" s="318"/>
      <c r="K80" s="318"/>
      <c r="L80" s="318"/>
      <c r="M80" s="318"/>
      <c r="N80" s="318"/>
      <c r="O80" s="318"/>
    </row>
    <row r="81" spans="1:15" ht="12.75" customHeight="1" x14ac:dyDescent="0.25">
      <c r="A81" s="143"/>
      <c r="D81" s="340"/>
      <c r="E81" s="340"/>
      <c r="F81" s="340"/>
      <c r="G81" s="334" t="s">
        <v>533</v>
      </c>
      <c r="I81" s="318"/>
      <c r="J81" s="318"/>
      <c r="K81" s="318"/>
      <c r="L81" s="318"/>
      <c r="M81" s="318"/>
      <c r="N81" s="318"/>
      <c r="O81" s="318"/>
    </row>
    <row r="82" spans="1:15" ht="12.75" customHeight="1" x14ac:dyDescent="0.25">
      <c r="A82" s="143">
        <f>+D80</f>
        <v>631004</v>
      </c>
      <c r="B82" s="115" t="str">
        <f>G80</f>
        <v>Cultuurloper/CMK</v>
      </c>
      <c r="D82" s="337">
        <v>43806</v>
      </c>
      <c r="E82" s="337"/>
      <c r="F82" s="337"/>
      <c r="G82" s="319" t="s">
        <v>3106</v>
      </c>
      <c r="I82" s="318"/>
      <c r="J82" s="317">
        <v>580</v>
      </c>
      <c r="K82" s="317">
        <v>595</v>
      </c>
      <c r="L82" s="317">
        <f>ROUND(K82*T$2,0)</f>
        <v>607</v>
      </c>
      <c r="M82" s="317">
        <f>ROUND(L82*U$2,0)</f>
        <v>621</v>
      </c>
      <c r="N82" s="317">
        <f>ROUND(M82*V$2,0)</f>
        <v>635</v>
      </c>
      <c r="O82" s="317">
        <f>ROUND(N82*W$2,0)</f>
        <v>650</v>
      </c>
    </row>
    <row r="83" spans="1:15" ht="12.75" customHeight="1" x14ac:dyDescent="0.25">
      <c r="A83" s="143">
        <f>+D80</f>
        <v>631004</v>
      </c>
      <c r="B83" s="115" t="str">
        <f>G80</f>
        <v>Cultuurloper/CMK</v>
      </c>
      <c r="D83" s="337">
        <v>43812</v>
      </c>
      <c r="E83" s="337"/>
      <c r="F83" s="337"/>
      <c r="G83" s="319" t="s">
        <v>535</v>
      </c>
      <c r="I83" s="318"/>
      <c r="J83" s="317">
        <v>0</v>
      </c>
      <c r="K83" s="317">
        <v>0</v>
      </c>
      <c r="L83" s="317">
        <f>L152</f>
        <v>-10</v>
      </c>
      <c r="M83" s="317">
        <f>M152</f>
        <v>0</v>
      </c>
      <c r="N83" s="317">
        <f>N152</f>
        <v>30</v>
      </c>
      <c r="O83" s="317">
        <f>O152</f>
        <v>40</v>
      </c>
    </row>
    <row r="84" spans="1:15" ht="12.75" customHeight="1" thickBot="1" x14ac:dyDescent="0.3">
      <c r="A84" s="143"/>
      <c r="D84" s="340"/>
      <c r="E84" s="340"/>
      <c r="F84" s="340"/>
      <c r="G84" s="319" t="s">
        <v>536</v>
      </c>
      <c r="I84" s="318"/>
      <c r="J84" s="480">
        <v>580</v>
      </c>
      <c r="K84" s="480">
        <v>595</v>
      </c>
      <c r="L84" s="480">
        <f t="shared" ref="L84:M84" si="28">SUM(L81:L83)</f>
        <v>597</v>
      </c>
      <c r="M84" s="480">
        <f t="shared" si="28"/>
        <v>621</v>
      </c>
      <c r="N84" s="480">
        <f t="shared" ref="N84:O84" si="29">SUM(N81:N83)</f>
        <v>665</v>
      </c>
      <c r="O84" s="480">
        <f t="shared" si="29"/>
        <v>690</v>
      </c>
    </row>
    <row r="85" spans="1:15" ht="12.75" customHeight="1" thickTop="1" x14ac:dyDescent="0.25">
      <c r="A85" s="143"/>
      <c r="D85" s="340"/>
      <c r="E85" s="340"/>
      <c r="F85" s="340"/>
      <c r="G85" s="319"/>
      <c r="I85" s="318"/>
      <c r="J85" s="318"/>
      <c r="K85" s="318"/>
      <c r="L85" s="318"/>
      <c r="M85" s="318"/>
      <c r="N85" s="318"/>
      <c r="O85" s="318"/>
    </row>
    <row r="86" spans="1:15" ht="12.75" customHeight="1" x14ac:dyDescent="0.25">
      <c r="A86" s="143"/>
      <c r="D86" s="347">
        <v>631005</v>
      </c>
      <c r="E86" s="476"/>
      <c r="F86" s="476"/>
      <c r="G86" s="332" t="s">
        <v>3776</v>
      </c>
      <c r="I86" s="318"/>
      <c r="J86" s="318"/>
      <c r="K86" s="318"/>
      <c r="L86" s="318"/>
      <c r="M86" s="318"/>
      <c r="N86" s="318"/>
      <c r="O86" s="318"/>
    </row>
    <row r="87" spans="1:15" ht="12.75" customHeight="1" x14ac:dyDescent="0.25">
      <c r="A87" s="143"/>
      <c r="D87" s="340"/>
      <c r="E87" s="340"/>
      <c r="F87" s="340"/>
      <c r="G87" s="334" t="s">
        <v>533</v>
      </c>
      <c r="I87" s="318"/>
      <c r="J87" s="318"/>
      <c r="K87" s="318"/>
      <c r="L87" s="318"/>
      <c r="M87" s="318"/>
      <c r="N87" s="318"/>
      <c r="O87" s="318"/>
    </row>
    <row r="88" spans="1:15" ht="12.75" customHeight="1" x14ac:dyDescent="0.25">
      <c r="A88" s="143">
        <f>+D86</f>
        <v>631005</v>
      </c>
      <c r="B88" s="115" t="str">
        <f>G86</f>
        <v>Onderhoud en advies kunstwerken</v>
      </c>
      <c r="D88" s="337">
        <v>43812</v>
      </c>
      <c r="E88" s="337"/>
      <c r="F88" s="337"/>
      <c r="G88" s="319" t="s">
        <v>535</v>
      </c>
      <c r="I88" s="318"/>
      <c r="J88" s="318">
        <v>12260</v>
      </c>
      <c r="K88" s="318">
        <v>12580</v>
      </c>
      <c r="L88" s="318">
        <f t="shared" ref="L88:M88" si="30">L182</f>
        <v>12840</v>
      </c>
      <c r="M88" s="318">
        <f t="shared" si="30"/>
        <v>13140</v>
      </c>
      <c r="N88" s="318">
        <f t="shared" ref="N88:O88" si="31">N182</f>
        <v>13440</v>
      </c>
      <c r="O88" s="318">
        <f t="shared" si="31"/>
        <v>13750</v>
      </c>
    </row>
    <row r="89" spans="1:15" ht="12.75" customHeight="1" thickBot="1" x14ac:dyDescent="0.3">
      <c r="A89" s="143"/>
      <c r="D89" s="340"/>
      <c r="E89" s="340"/>
      <c r="F89" s="340"/>
      <c r="G89" s="319" t="s">
        <v>536</v>
      </c>
      <c r="I89" s="318"/>
      <c r="J89" s="480">
        <v>12260</v>
      </c>
      <c r="K89" s="480">
        <v>12580</v>
      </c>
      <c r="L89" s="480">
        <f>SUM(L88)</f>
        <v>12840</v>
      </c>
      <c r="M89" s="480">
        <f>SUM(M88)</f>
        <v>13140</v>
      </c>
      <c r="N89" s="480">
        <f>SUM(N88)</f>
        <v>13440</v>
      </c>
      <c r="O89" s="480">
        <f>SUM(O88)</f>
        <v>13750</v>
      </c>
    </row>
    <row r="90" spans="1:15" ht="12.75" customHeight="1" thickTop="1" x14ac:dyDescent="0.25">
      <c r="A90" s="143"/>
      <c r="D90" s="340"/>
      <c r="E90" s="340"/>
      <c r="F90" s="340"/>
      <c r="G90" s="319"/>
      <c r="I90" s="318"/>
      <c r="J90" s="318"/>
      <c r="K90" s="318"/>
      <c r="L90" s="318"/>
      <c r="M90" s="318"/>
      <c r="N90" s="318"/>
      <c r="O90" s="318"/>
    </row>
    <row r="91" spans="1:15" ht="12.75" customHeight="1" x14ac:dyDescent="0.25">
      <c r="A91" s="143"/>
      <c r="D91" s="347">
        <v>631006</v>
      </c>
      <c r="E91" s="476"/>
      <c r="F91" s="476"/>
      <c r="G91" s="332" t="s">
        <v>3777</v>
      </c>
      <c r="I91" s="318"/>
      <c r="J91" s="318"/>
      <c r="K91" s="318"/>
      <c r="L91" s="318"/>
      <c r="M91" s="318"/>
      <c r="N91" s="318"/>
      <c r="O91" s="318"/>
    </row>
    <row r="92" spans="1:15" ht="12.75" customHeight="1" x14ac:dyDescent="0.25">
      <c r="A92" s="143"/>
      <c r="D92" s="340"/>
      <c r="E92" s="340"/>
      <c r="F92" s="340"/>
      <c r="G92" s="334" t="s">
        <v>533</v>
      </c>
      <c r="I92" s="318"/>
      <c r="J92" s="318"/>
      <c r="K92" s="318"/>
      <c r="L92" s="318"/>
      <c r="M92" s="318"/>
      <c r="N92" s="318"/>
      <c r="O92" s="318"/>
    </row>
    <row r="93" spans="1:15" ht="12.75" customHeight="1" x14ac:dyDescent="0.25">
      <c r="A93" s="143">
        <f>+D91</f>
        <v>631006</v>
      </c>
      <c r="B93" s="115" t="str">
        <f>G91</f>
        <v>Cultuurorganisaties</v>
      </c>
      <c r="D93" s="337">
        <v>44380</v>
      </c>
      <c r="E93" s="337"/>
      <c r="F93" s="337"/>
      <c r="G93" s="319" t="s">
        <v>3402</v>
      </c>
      <c r="I93" s="318"/>
      <c r="J93" s="318">
        <v>144729</v>
      </c>
      <c r="K93" s="318">
        <v>160896</v>
      </c>
      <c r="L93" s="318">
        <f t="shared" ref="L93:M93" si="32">L196</f>
        <v>164274</v>
      </c>
      <c r="M93" s="318">
        <f t="shared" si="32"/>
        <v>168050</v>
      </c>
      <c r="N93" s="318">
        <f t="shared" ref="N93:O93" si="33">N196</f>
        <v>171912</v>
      </c>
      <c r="O93" s="318">
        <f t="shared" si="33"/>
        <v>175863</v>
      </c>
    </row>
    <row r="94" spans="1:15" ht="12.75" customHeight="1" thickBot="1" x14ac:dyDescent="0.3">
      <c r="A94" s="143"/>
      <c r="D94" s="340"/>
      <c r="E94" s="340"/>
      <c r="F94" s="340"/>
      <c r="G94" s="319" t="s">
        <v>536</v>
      </c>
      <c r="I94" s="318"/>
      <c r="J94" s="480">
        <v>144729</v>
      </c>
      <c r="K94" s="480">
        <v>160896</v>
      </c>
      <c r="L94" s="480">
        <f>SUM(L93)</f>
        <v>164274</v>
      </c>
      <c r="M94" s="480">
        <f>SUM(M93)</f>
        <v>168050</v>
      </c>
      <c r="N94" s="480">
        <f>SUM(N93)</f>
        <v>171912</v>
      </c>
      <c r="O94" s="480">
        <f>SUM(O93)</f>
        <v>175863</v>
      </c>
    </row>
    <row r="95" spans="1:15" ht="12.75" customHeight="1" thickTop="1" x14ac:dyDescent="0.25">
      <c r="A95" s="143"/>
      <c r="D95" s="340"/>
      <c r="E95" s="340"/>
      <c r="F95" s="340"/>
      <c r="G95" s="319"/>
      <c r="I95" s="318"/>
      <c r="J95" s="318"/>
      <c r="K95" s="318"/>
      <c r="L95" s="318"/>
      <c r="M95" s="318"/>
      <c r="N95" s="318"/>
      <c r="O95" s="318"/>
    </row>
    <row r="96" spans="1:15" ht="12.75" customHeight="1" x14ac:dyDescent="0.25">
      <c r="A96" s="143"/>
      <c r="D96" s="347">
        <v>631007</v>
      </c>
      <c r="E96" s="476"/>
      <c r="F96" s="476"/>
      <c r="G96" s="332" t="s">
        <v>3770</v>
      </c>
      <c r="I96" s="318"/>
      <c r="J96" s="318"/>
      <c r="K96" s="318"/>
      <c r="L96" s="318"/>
      <c r="M96" s="318"/>
      <c r="N96" s="318"/>
      <c r="O96" s="318"/>
    </row>
    <row r="97" spans="1:15" ht="12.75" customHeight="1" x14ac:dyDescent="0.25">
      <c r="A97" s="143"/>
      <c r="D97" s="340"/>
      <c r="E97" s="340"/>
      <c r="F97" s="340"/>
      <c r="G97" s="334" t="s">
        <v>533</v>
      </c>
      <c r="I97" s="318"/>
      <c r="J97" s="318"/>
      <c r="K97" s="318"/>
      <c r="L97" s="318"/>
      <c r="M97" s="318"/>
      <c r="N97" s="318"/>
      <c r="O97" s="318"/>
    </row>
    <row r="98" spans="1:15" ht="12.75" customHeight="1" x14ac:dyDescent="0.25">
      <c r="A98" s="143">
        <f>+D96</f>
        <v>631007</v>
      </c>
      <c r="B98" s="301" t="str">
        <f>G96</f>
        <v>Lokale omroep</v>
      </c>
      <c r="D98" s="337">
        <v>44380</v>
      </c>
      <c r="E98" s="337"/>
      <c r="F98" s="337"/>
      <c r="G98" s="319" t="s">
        <v>3402</v>
      </c>
      <c r="I98" s="318"/>
      <c r="J98" s="318">
        <v>20579</v>
      </c>
      <c r="K98" s="318">
        <v>21114</v>
      </c>
      <c r="L98" s="318">
        <f t="shared" ref="L98:M98" si="34">+L201</f>
        <v>21557</v>
      </c>
      <c r="M98" s="318">
        <f t="shared" si="34"/>
        <v>22053</v>
      </c>
      <c r="N98" s="318">
        <f t="shared" ref="N98:O98" si="35">+N201</f>
        <v>22560</v>
      </c>
      <c r="O98" s="318">
        <f t="shared" si="35"/>
        <v>23079</v>
      </c>
    </row>
    <row r="99" spans="1:15" ht="12.75" customHeight="1" thickBot="1" x14ac:dyDescent="0.3">
      <c r="A99" s="143"/>
      <c r="D99" s="340"/>
      <c r="E99" s="340"/>
      <c r="F99" s="340"/>
      <c r="G99" s="319" t="s">
        <v>536</v>
      </c>
      <c r="I99" s="318"/>
      <c r="J99" s="480">
        <v>20579</v>
      </c>
      <c r="K99" s="480">
        <v>21114</v>
      </c>
      <c r="L99" s="480">
        <f>SUM(L98)</f>
        <v>21557</v>
      </c>
      <c r="M99" s="480">
        <f>SUM(M98)</f>
        <v>22053</v>
      </c>
      <c r="N99" s="480">
        <f>SUM(N98)</f>
        <v>22560</v>
      </c>
      <c r="O99" s="480">
        <f>SUM(O98)</f>
        <v>23079</v>
      </c>
    </row>
    <row r="100" spans="1:15" ht="12.75" customHeight="1" thickTop="1" x14ac:dyDescent="0.25">
      <c r="A100" s="143"/>
      <c r="D100" s="340"/>
      <c r="E100" s="340"/>
      <c r="F100" s="340"/>
      <c r="G100" s="319"/>
      <c r="I100" s="318"/>
      <c r="J100" s="318"/>
      <c r="K100" s="318"/>
      <c r="L100" s="318"/>
      <c r="M100" s="318"/>
      <c r="N100" s="318"/>
      <c r="O100" s="318"/>
    </row>
    <row r="101" spans="1:15" ht="12.75" customHeight="1" x14ac:dyDescent="0.25">
      <c r="D101" s="333">
        <v>631009</v>
      </c>
      <c r="E101" s="331"/>
      <c r="F101" s="331"/>
      <c r="G101" s="332" t="s">
        <v>3778</v>
      </c>
      <c r="I101" s="318"/>
      <c r="J101" s="317"/>
      <c r="K101" s="317"/>
      <c r="L101" s="317"/>
      <c r="M101" s="317"/>
      <c r="N101" s="317"/>
      <c r="O101" s="317"/>
    </row>
    <row r="102" spans="1:15" ht="12.75" customHeight="1" x14ac:dyDescent="0.25">
      <c r="D102" s="340"/>
      <c r="E102" s="340"/>
      <c r="F102" s="340"/>
      <c r="G102" s="334" t="s">
        <v>533</v>
      </c>
      <c r="I102" s="318"/>
      <c r="J102" s="317"/>
      <c r="K102" s="317"/>
      <c r="L102" s="317"/>
      <c r="M102" s="317"/>
      <c r="N102" s="317"/>
      <c r="O102" s="317"/>
    </row>
    <row r="103" spans="1:15" ht="12.75" customHeight="1" x14ac:dyDescent="0.25">
      <c r="A103" s="143">
        <f>+D101</f>
        <v>631009</v>
      </c>
      <c r="B103" s="115" t="str">
        <f>G101</f>
        <v>Max de Bossusstraat 1 (Tejaterke)</v>
      </c>
      <c r="D103" s="337">
        <v>42100</v>
      </c>
      <c r="E103" s="337"/>
      <c r="F103" s="337"/>
      <c r="G103" s="319" t="s">
        <v>978</v>
      </c>
      <c r="I103" s="318"/>
      <c r="J103" s="317">
        <v>1804</v>
      </c>
      <c r="K103" s="317">
        <v>1851</v>
      </c>
      <c r="L103" s="317">
        <f>ROUND(K103*T$2,0)</f>
        <v>1890</v>
      </c>
      <c r="M103" s="317">
        <f>ROUND(L103*U$2,0)</f>
        <v>1933</v>
      </c>
      <c r="N103" s="317">
        <f>ROUND(M103*V$2,0)</f>
        <v>1977</v>
      </c>
      <c r="O103" s="317">
        <f>ROUND(N103*W$2,0)</f>
        <v>2022</v>
      </c>
    </row>
    <row r="104" spans="1:15" ht="12.75" customHeight="1" thickBot="1" x14ac:dyDescent="0.3">
      <c r="D104" s="340"/>
      <c r="E104" s="340"/>
      <c r="F104" s="340"/>
      <c r="G104" s="319" t="s">
        <v>536</v>
      </c>
      <c r="I104" s="318"/>
      <c r="J104" s="342">
        <v>1804</v>
      </c>
      <c r="K104" s="342">
        <v>1851</v>
      </c>
      <c r="L104" s="342">
        <f>SUM(L103:L103)</f>
        <v>1890</v>
      </c>
      <c r="M104" s="342">
        <f>SUM(M103:M103)</f>
        <v>1933</v>
      </c>
      <c r="N104" s="342">
        <f>SUM(N103:N103)</f>
        <v>1977</v>
      </c>
      <c r="O104" s="342">
        <f>SUM(O103:O103)</f>
        <v>2022</v>
      </c>
    </row>
    <row r="105" spans="1:15" ht="12.75" customHeight="1" thickTop="1" x14ac:dyDescent="0.25">
      <c r="D105" s="340"/>
      <c r="E105" s="340"/>
      <c r="F105" s="340"/>
      <c r="G105" s="319"/>
      <c r="I105" s="318"/>
      <c r="J105" s="318"/>
      <c r="K105" s="318"/>
      <c r="L105" s="318"/>
      <c r="M105" s="318"/>
      <c r="N105" s="318"/>
      <c r="O105" s="318"/>
    </row>
    <row r="106" spans="1:15" ht="12.75" customHeight="1" x14ac:dyDescent="0.25">
      <c r="D106" s="347">
        <v>631010</v>
      </c>
      <c r="E106" s="340"/>
      <c r="F106" s="340"/>
      <c r="G106" s="332" t="s">
        <v>3772</v>
      </c>
      <c r="I106" s="318"/>
      <c r="J106" s="318"/>
      <c r="K106" s="318"/>
      <c r="L106" s="318"/>
      <c r="M106" s="318"/>
      <c r="N106" s="318"/>
      <c r="O106" s="318"/>
    </row>
    <row r="107" spans="1:15" ht="12.75" customHeight="1" x14ac:dyDescent="0.25">
      <c r="A107" s="400">
        <v>631010</v>
      </c>
      <c r="B107" s="115" t="s">
        <v>3772</v>
      </c>
      <c r="D107" s="340">
        <v>43812</v>
      </c>
      <c r="E107" s="340"/>
      <c r="F107" s="340"/>
      <c r="G107" s="319" t="s">
        <v>3779</v>
      </c>
      <c r="I107" s="318"/>
      <c r="J107" s="318">
        <v>32150</v>
      </c>
      <c r="K107" s="318">
        <v>34680</v>
      </c>
      <c r="L107" s="318">
        <f>+L160</f>
        <v>36770</v>
      </c>
      <c r="M107" s="318">
        <f>+M160</f>
        <v>39110</v>
      </c>
      <c r="N107" s="318">
        <f>+N160</f>
        <v>41500</v>
      </c>
      <c r="O107" s="318">
        <f>+O160</f>
        <v>43950</v>
      </c>
    </row>
    <row r="108" spans="1:15" ht="12.75" customHeight="1" thickBot="1" x14ac:dyDescent="0.3">
      <c r="D108" s="340"/>
      <c r="E108" s="340"/>
      <c r="F108" s="340"/>
      <c r="G108" s="319"/>
      <c r="I108" s="318"/>
      <c r="J108" s="480">
        <v>32150</v>
      </c>
      <c r="K108" s="480">
        <v>34680</v>
      </c>
      <c r="L108" s="480">
        <f>+L107</f>
        <v>36770</v>
      </c>
      <c r="M108" s="480">
        <f>+M107</f>
        <v>39110</v>
      </c>
      <c r="N108" s="480">
        <f>+N107</f>
        <v>41500</v>
      </c>
      <c r="O108" s="480">
        <f>+O107</f>
        <v>43950</v>
      </c>
    </row>
    <row r="109" spans="1:15" ht="12.75" customHeight="1" thickTop="1" x14ac:dyDescent="0.25">
      <c r="D109" s="340"/>
      <c r="E109" s="340"/>
      <c r="F109" s="340"/>
      <c r="G109" s="319"/>
      <c r="I109" s="318"/>
      <c r="J109" s="318"/>
      <c r="K109" s="318"/>
      <c r="L109" s="318"/>
      <c r="M109" s="318"/>
      <c r="N109" s="318"/>
      <c r="O109" s="318"/>
    </row>
    <row r="110" spans="1:15" ht="12.75" customHeight="1" x14ac:dyDescent="0.25">
      <c r="D110" s="347">
        <v>631011</v>
      </c>
      <c r="E110" s="340"/>
      <c r="F110" s="340"/>
      <c r="G110" s="332" t="s">
        <v>3780</v>
      </c>
      <c r="I110" s="318"/>
      <c r="J110" s="318"/>
      <c r="K110" s="318"/>
      <c r="L110" s="318"/>
      <c r="M110" s="318"/>
      <c r="N110" s="318"/>
      <c r="O110" s="318"/>
    </row>
    <row r="111" spans="1:15" ht="12.75" customHeight="1" x14ac:dyDescent="0.25">
      <c r="A111" s="400">
        <v>631011</v>
      </c>
      <c r="B111" s="115" t="str">
        <f>+G110</f>
        <v>Community art</v>
      </c>
      <c r="D111" s="340">
        <v>43812</v>
      </c>
      <c r="E111" s="340"/>
      <c r="F111" s="340"/>
      <c r="G111" s="319" t="s">
        <v>3779</v>
      </c>
      <c r="I111" s="318"/>
      <c r="J111" s="318">
        <v>58410</v>
      </c>
      <c r="K111" s="318">
        <v>59930</v>
      </c>
      <c r="L111" s="318">
        <f>+L165</f>
        <v>61190</v>
      </c>
      <c r="M111" s="318">
        <f>+M165</f>
        <v>62600</v>
      </c>
      <c r="N111" s="318">
        <f>+N165</f>
        <v>64040</v>
      </c>
      <c r="O111" s="318">
        <f>+O165</f>
        <v>65510</v>
      </c>
    </row>
    <row r="112" spans="1:15" ht="12.75" customHeight="1" thickBot="1" x14ac:dyDescent="0.3">
      <c r="D112" s="340"/>
      <c r="E112" s="340"/>
      <c r="F112" s="340"/>
      <c r="G112" s="319"/>
      <c r="I112" s="318"/>
      <c r="J112" s="480">
        <v>58410</v>
      </c>
      <c r="K112" s="480">
        <v>59930</v>
      </c>
      <c r="L112" s="480">
        <f>+L111</f>
        <v>61190</v>
      </c>
      <c r="M112" s="480">
        <f>+M111</f>
        <v>62600</v>
      </c>
      <c r="N112" s="480">
        <f>+N111</f>
        <v>64040</v>
      </c>
      <c r="O112" s="480">
        <f>+O111</f>
        <v>65510</v>
      </c>
    </row>
    <row r="113" spans="1:15" ht="12.75" customHeight="1" thickTop="1" x14ac:dyDescent="0.25">
      <c r="D113" s="340"/>
      <c r="E113" s="340"/>
      <c r="F113" s="340"/>
      <c r="G113" s="319"/>
      <c r="I113" s="318"/>
      <c r="J113" s="318"/>
      <c r="K113" s="318"/>
      <c r="L113" s="318"/>
      <c r="M113" s="318"/>
      <c r="N113" s="318"/>
      <c r="O113" s="318"/>
    </row>
    <row r="114" spans="1:15" ht="12.75" customHeight="1" x14ac:dyDescent="0.25">
      <c r="D114" s="347">
        <v>631012</v>
      </c>
      <c r="E114" s="340"/>
      <c r="F114" s="340"/>
      <c r="G114" s="332" t="s">
        <v>3781</v>
      </c>
      <c r="I114" s="318"/>
      <c r="J114" s="318"/>
      <c r="K114" s="318"/>
      <c r="L114" s="318"/>
      <c r="M114" s="318"/>
      <c r="N114" s="318"/>
      <c r="O114" s="318"/>
    </row>
    <row r="115" spans="1:15" ht="12.75" customHeight="1" x14ac:dyDescent="0.25">
      <c r="D115" s="340"/>
      <c r="E115" s="340"/>
      <c r="F115" s="340"/>
      <c r="G115" s="319"/>
      <c r="I115" s="318"/>
      <c r="J115" s="318"/>
      <c r="K115" s="318"/>
      <c r="L115" s="318"/>
      <c r="M115" s="318"/>
      <c r="N115" s="318"/>
      <c r="O115" s="318"/>
    </row>
    <row r="116" spans="1:15" ht="12.75" customHeight="1" x14ac:dyDescent="0.25">
      <c r="D116" s="337"/>
      <c r="E116" s="337"/>
      <c r="F116" s="337"/>
      <c r="G116" s="319"/>
      <c r="I116" s="318"/>
      <c r="J116" s="318"/>
      <c r="K116" s="318"/>
      <c r="L116" s="318"/>
      <c r="M116" s="318"/>
      <c r="N116" s="318"/>
      <c r="O116" s="318"/>
    </row>
    <row r="117" spans="1:15" ht="12.75" customHeight="1" x14ac:dyDescent="0.25">
      <c r="D117" s="347">
        <v>631013</v>
      </c>
      <c r="E117" s="340"/>
      <c r="F117" s="340"/>
      <c r="G117" s="332" t="s">
        <v>3771</v>
      </c>
      <c r="I117" s="318"/>
      <c r="J117" s="318"/>
      <c r="K117" s="318"/>
      <c r="L117" s="318"/>
      <c r="M117" s="318"/>
      <c r="N117" s="318"/>
      <c r="O117" s="318"/>
    </row>
    <row r="118" spans="1:15" ht="12.75" customHeight="1" x14ac:dyDescent="0.25">
      <c r="D118" s="340">
        <v>43200</v>
      </c>
      <c r="E118" s="340"/>
      <c r="F118" s="340"/>
      <c r="G118" s="319" t="s">
        <v>2832</v>
      </c>
      <c r="I118" s="318"/>
      <c r="J118" s="318">
        <f>J172</f>
        <v>0</v>
      </c>
      <c r="K118" s="318">
        <f t="shared" ref="K118:O118" si="36">K172</f>
        <v>77000</v>
      </c>
      <c r="L118" s="318">
        <f t="shared" si="36"/>
        <v>0</v>
      </c>
      <c r="M118" s="318">
        <f t="shared" si="36"/>
        <v>0</v>
      </c>
      <c r="N118" s="318">
        <f t="shared" si="36"/>
        <v>0</v>
      </c>
      <c r="O118" s="318">
        <f t="shared" si="36"/>
        <v>0</v>
      </c>
    </row>
    <row r="119" spans="1:15" ht="12.75" customHeight="1" x14ac:dyDescent="0.25">
      <c r="A119" s="400">
        <v>631013</v>
      </c>
      <c r="B119" s="115" t="s">
        <v>3771</v>
      </c>
      <c r="D119" s="340">
        <v>43812</v>
      </c>
      <c r="E119" s="340"/>
      <c r="F119" s="340"/>
      <c r="G119" s="319" t="s">
        <v>3779</v>
      </c>
      <c r="I119" s="318"/>
      <c r="J119" s="318">
        <v>30000</v>
      </c>
      <c r="K119" s="318">
        <v>30000</v>
      </c>
      <c r="L119" s="318">
        <f t="shared" ref="L119:M119" si="37">+L175</f>
        <v>30000</v>
      </c>
      <c r="M119" s="318">
        <f t="shared" si="37"/>
        <v>30000</v>
      </c>
      <c r="N119" s="318">
        <f t="shared" ref="N119:O119" si="38">+N175</f>
        <v>30000</v>
      </c>
      <c r="O119" s="318">
        <f t="shared" si="38"/>
        <v>30000</v>
      </c>
    </row>
    <row r="120" spans="1:15" ht="12.75" customHeight="1" thickBot="1" x14ac:dyDescent="0.3">
      <c r="D120" s="340"/>
      <c r="E120" s="340"/>
      <c r="F120" s="340"/>
      <c r="G120" s="319"/>
      <c r="I120" s="318"/>
      <c r="J120" s="480">
        <f>SUM(J118:J119)</f>
        <v>30000</v>
      </c>
      <c r="K120" s="480">
        <f t="shared" ref="K120:O120" si="39">SUM(K118:K119)</f>
        <v>107000</v>
      </c>
      <c r="L120" s="480">
        <f t="shared" si="39"/>
        <v>30000</v>
      </c>
      <c r="M120" s="480">
        <f t="shared" si="39"/>
        <v>30000</v>
      </c>
      <c r="N120" s="480">
        <f t="shared" si="39"/>
        <v>30000</v>
      </c>
      <c r="O120" s="480">
        <f t="shared" si="39"/>
        <v>30000</v>
      </c>
    </row>
    <row r="121" spans="1:15" ht="12.75" customHeight="1" thickTop="1" x14ac:dyDescent="0.25">
      <c r="D121" s="337"/>
      <c r="E121" s="337"/>
      <c r="F121" s="337"/>
      <c r="G121" s="319"/>
      <c r="I121" s="318"/>
      <c r="J121" s="318"/>
      <c r="K121" s="318"/>
      <c r="L121" s="318"/>
      <c r="M121" s="318"/>
      <c r="N121" s="318"/>
      <c r="O121" s="318"/>
    </row>
    <row r="122" spans="1:15" ht="12.75" customHeight="1" x14ac:dyDescent="0.25">
      <c r="D122" s="337"/>
      <c r="E122" s="337"/>
      <c r="F122" s="337"/>
      <c r="G122" s="319"/>
      <c r="I122" s="318"/>
      <c r="J122" s="318"/>
      <c r="K122" s="318"/>
      <c r="L122" s="318"/>
      <c r="M122" s="318"/>
      <c r="N122" s="318"/>
      <c r="O122" s="318"/>
    </row>
    <row r="123" spans="1:15" ht="12.75" customHeight="1" x14ac:dyDescent="0.25">
      <c r="D123" s="347">
        <v>631901</v>
      </c>
      <c r="E123" s="331"/>
      <c r="F123" s="476"/>
      <c r="G123" s="332" t="s">
        <v>3782</v>
      </c>
      <c r="I123" s="318"/>
      <c r="J123" s="318"/>
      <c r="K123" s="318"/>
      <c r="L123" s="318"/>
      <c r="M123" s="318"/>
      <c r="N123" s="318"/>
      <c r="O123" s="318"/>
    </row>
    <row r="124" spans="1:15" ht="12.75" customHeight="1" x14ac:dyDescent="0.25">
      <c r="D124" s="340"/>
      <c r="E124" s="340"/>
      <c r="F124" s="340"/>
      <c r="G124" s="334" t="s">
        <v>533</v>
      </c>
      <c r="I124" s="318"/>
      <c r="J124" s="318"/>
      <c r="K124" s="318"/>
      <c r="L124" s="318"/>
      <c r="M124" s="318"/>
      <c r="N124" s="318"/>
      <c r="O124" s="318"/>
    </row>
    <row r="125" spans="1:15" ht="12.75" customHeight="1" x14ac:dyDescent="0.25">
      <c r="A125" s="143">
        <f>+D123</f>
        <v>631901</v>
      </c>
      <c r="B125" s="115" t="str">
        <f>G123</f>
        <v>Directe toerekening cultuur (incl kunst)</v>
      </c>
      <c r="D125" s="337">
        <v>41100</v>
      </c>
      <c r="E125" s="337"/>
      <c r="F125" s="337"/>
      <c r="G125" s="319" t="s">
        <v>541</v>
      </c>
      <c r="I125" s="318"/>
      <c r="J125" s="318">
        <v>231738.82</v>
      </c>
      <c r="K125" s="318">
        <v>197752.58000000002</v>
      </c>
      <c r="L125" s="318">
        <f t="shared" ref="L125:M125" si="40">L239</f>
        <v>206059</v>
      </c>
      <c r="M125" s="318">
        <f t="shared" si="40"/>
        <v>213683</v>
      </c>
      <c r="N125" s="318">
        <f t="shared" ref="N125:O125" si="41">N239</f>
        <v>221589</v>
      </c>
      <c r="O125" s="318">
        <f t="shared" si="41"/>
        <v>229789</v>
      </c>
    </row>
    <row r="126" spans="1:15" ht="12.75" customHeight="1" thickBot="1" x14ac:dyDescent="0.3">
      <c r="D126" s="337"/>
      <c r="E126" s="337"/>
      <c r="F126" s="337"/>
      <c r="G126" s="319"/>
      <c r="I126" s="318"/>
      <c r="J126" s="480">
        <v>231738.82</v>
      </c>
      <c r="K126" s="480">
        <v>197752.58000000002</v>
      </c>
      <c r="L126" s="480">
        <f>SUM(L124:L125)</f>
        <v>206059</v>
      </c>
      <c r="M126" s="480">
        <f>SUM(M124:M125)</f>
        <v>213683</v>
      </c>
      <c r="N126" s="480">
        <f>SUM(N124:N125)</f>
        <v>221589</v>
      </c>
      <c r="O126" s="480">
        <f>SUM(O124:O125)</f>
        <v>229789</v>
      </c>
    </row>
    <row r="127" spans="1:15" ht="12.75" customHeight="1" thickTop="1" x14ac:dyDescent="0.25">
      <c r="D127" s="340"/>
      <c r="E127" s="340"/>
      <c r="F127" s="340"/>
      <c r="G127" s="319"/>
      <c r="I127" s="318"/>
      <c r="J127" s="318"/>
      <c r="K127" s="318"/>
      <c r="L127" s="318"/>
      <c r="M127" s="318"/>
      <c r="N127" s="318"/>
      <c r="O127" s="318"/>
    </row>
    <row r="128" spans="1:15" ht="12.75" customHeight="1" x14ac:dyDescent="0.25">
      <c r="D128" s="333">
        <v>631013</v>
      </c>
      <c r="E128" s="340"/>
      <c r="F128" s="340"/>
      <c r="G128" s="332" t="s">
        <v>3771</v>
      </c>
      <c r="I128" s="318"/>
      <c r="J128" s="318"/>
      <c r="K128" s="318"/>
      <c r="L128" s="318"/>
      <c r="M128" s="318"/>
      <c r="N128" s="318"/>
      <c r="O128" s="318"/>
    </row>
    <row r="129" spans="1:18" ht="12.75" customHeight="1" x14ac:dyDescent="0.25">
      <c r="D129" s="337"/>
      <c r="E129" s="340"/>
      <c r="F129" s="340"/>
      <c r="G129" s="319"/>
      <c r="I129" s="318"/>
      <c r="J129" s="318"/>
      <c r="K129" s="318"/>
      <c r="L129" s="318"/>
      <c r="M129" s="318"/>
      <c r="N129" s="318"/>
      <c r="O129" s="318"/>
    </row>
    <row r="130" spans="1:18" ht="12.75" customHeight="1" x14ac:dyDescent="0.25">
      <c r="A130" s="143">
        <v>631013</v>
      </c>
      <c r="B130" s="115" t="s">
        <v>3771</v>
      </c>
      <c r="D130" s="337">
        <v>84310</v>
      </c>
      <c r="E130" s="337"/>
      <c r="F130" s="337"/>
      <c r="G130" s="319" t="s">
        <v>2134</v>
      </c>
      <c r="I130" s="318"/>
      <c r="J130" s="142">
        <v>0</v>
      </c>
      <c r="K130" s="142">
        <v>0</v>
      </c>
      <c r="L130" s="142">
        <f>L244</f>
        <v>-16155.2</v>
      </c>
      <c r="M130" s="142">
        <f>M244</f>
        <v>-16752.8</v>
      </c>
      <c r="N130" s="142">
        <f>N244</f>
        <v>-17372.8</v>
      </c>
      <c r="O130" s="142">
        <f>O244</f>
        <v>-18015.600000000002</v>
      </c>
    </row>
    <row r="131" spans="1:18" ht="12.75" customHeight="1" thickBot="1" x14ac:dyDescent="0.3">
      <c r="D131" s="340"/>
      <c r="E131" s="340"/>
      <c r="F131" s="340"/>
      <c r="G131" s="319"/>
      <c r="I131" s="318"/>
      <c r="J131" s="480">
        <v>0</v>
      </c>
      <c r="K131" s="480">
        <v>0</v>
      </c>
      <c r="L131" s="480">
        <f>SUM(L129:L130)</f>
        <v>-16155.2</v>
      </c>
      <c r="M131" s="480">
        <f>SUM(M129:M130)</f>
        <v>-16752.8</v>
      </c>
      <c r="N131" s="480">
        <f>SUM(N129:N130)</f>
        <v>-17372.8</v>
      </c>
      <c r="O131" s="480">
        <f>SUM(O129:O130)</f>
        <v>-18015.600000000002</v>
      </c>
    </row>
    <row r="132" spans="1:18" ht="12.75" customHeight="1" thickTop="1" x14ac:dyDescent="0.25">
      <c r="D132" s="340"/>
      <c r="E132" s="340"/>
      <c r="F132" s="340"/>
      <c r="G132" s="319"/>
      <c r="I132" s="318"/>
      <c r="J132" s="318"/>
      <c r="K132" s="318"/>
      <c r="L132" s="318"/>
      <c r="M132" s="318"/>
      <c r="N132" s="318"/>
      <c r="O132" s="318"/>
    </row>
    <row r="133" spans="1:18" ht="12.75" customHeight="1" x14ac:dyDescent="0.25">
      <c r="D133" s="333">
        <v>631009</v>
      </c>
      <c r="E133" s="331"/>
      <c r="F133" s="331"/>
      <c r="G133" s="332" t="s">
        <v>3778</v>
      </c>
      <c r="I133" s="318"/>
      <c r="J133" s="317"/>
      <c r="K133" s="317"/>
      <c r="L133" s="317"/>
      <c r="M133" s="317"/>
      <c r="N133" s="317"/>
      <c r="O133" s="317"/>
    </row>
    <row r="134" spans="1:18" ht="12.75" customHeight="1" x14ac:dyDescent="0.25">
      <c r="D134" s="340"/>
      <c r="E134" s="340"/>
      <c r="F134" s="340"/>
      <c r="G134" s="334" t="s">
        <v>554</v>
      </c>
      <c r="I134" s="318"/>
      <c r="J134" s="317"/>
      <c r="K134" s="317"/>
      <c r="L134" s="317"/>
      <c r="M134" s="317"/>
      <c r="N134" s="317"/>
      <c r="O134" s="317"/>
    </row>
    <row r="135" spans="1:18" ht="12.75" customHeight="1" x14ac:dyDescent="0.25">
      <c r="A135" s="143">
        <f>+D133</f>
        <v>631009</v>
      </c>
      <c r="B135" s="115" t="str">
        <f>G133</f>
        <v>Max de Bossusstraat 1 (Tejaterke)</v>
      </c>
      <c r="D135" s="340">
        <v>83600</v>
      </c>
      <c r="E135" s="340"/>
      <c r="F135" s="340"/>
      <c r="G135" s="319" t="s">
        <v>1010</v>
      </c>
      <c r="I135" s="318"/>
      <c r="J135" s="318">
        <v>-500</v>
      </c>
      <c r="K135" s="318">
        <v>-531</v>
      </c>
      <c r="L135" s="318">
        <f>L250</f>
        <v>-545.80999999999995</v>
      </c>
      <c r="M135" s="318">
        <f>M250</f>
        <v>-558</v>
      </c>
      <c r="N135" s="318">
        <f>N250</f>
        <v>-571</v>
      </c>
      <c r="O135" s="318">
        <f>O250</f>
        <v>-584</v>
      </c>
    </row>
    <row r="136" spans="1:18" ht="12.75" customHeight="1" thickBot="1" x14ac:dyDescent="0.3">
      <c r="D136" s="167"/>
      <c r="E136" s="167"/>
      <c r="F136" s="167"/>
      <c r="G136" s="168" t="s">
        <v>536</v>
      </c>
      <c r="H136" s="149"/>
      <c r="I136" s="156"/>
      <c r="J136" s="342">
        <v>-500</v>
      </c>
      <c r="K136" s="342">
        <v>-531</v>
      </c>
      <c r="L136" s="342">
        <f t="shared" ref="L136:M136" si="42">SUM(L134:L135)</f>
        <v>-545.80999999999995</v>
      </c>
      <c r="M136" s="342">
        <f t="shared" si="42"/>
        <v>-558</v>
      </c>
      <c r="N136" s="342">
        <f t="shared" ref="N136:O136" si="43">SUM(N134:N135)</f>
        <v>-571</v>
      </c>
      <c r="O136" s="342">
        <f t="shared" si="43"/>
        <v>-584</v>
      </c>
    </row>
    <row r="137" spans="1:18" ht="12.75" customHeight="1" thickTop="1" x14ac:dyDescent="0.25">
      <c r="D137" s="384"/>
      <c r="E137" s="384"/>
      <c r="F137" s="384"/>
      <c r="I137" s="114"/>
      <c r="J137" s="114"/>
      <c r="K137" s="114"/>
      <c r="L137" s="114"/>
      <c r="M137" s="114"/>
      <c r="N137" s="114"/>
      <c r="O137" s="114"/>
    </row>
    <row r="138" spans="1:18" ht="12.75" customHeight="1" x14ac:dyDescent="0.25">
      <c r="D138" s="384"/>
      <c r="E138" s="384"/>
      <c r="F138" s="384"/>
      <c r="I138" s="114"/>
      <c r="J138" s="114"/>
      <c r="K138" s="114"/>
      <c r="L138" s="114"/>
      <c r="M138" s="114"/>
      <c r="N138" s="114"/>
      <c r="O138" s="114"/>
    </row>
    <row r="139" spans="1:18" ht="12.75" customHeight="1" x14ac:dyDescent="0.25">
      <c r="A139" s="487"/>
      <c r="B139" s="401"/>
      <c r="C139" s="401"/>
      <c r="D139" s="428" t="s">
        <v>561</v>
      </c>
      <c r="E139" s="384"/>
      <c r="F139" s="384"/>
      <c r="G139" s="381"/>
      <c r="I139" s="114"/>
      <c r="P139" s="1045"/>
      <c r="Q139" s="1045"/>
      <c r="R139" s="1046"/>
    </row>
    <row r="140" spans="1:18" ht="12.75" customHeight="1" x14ac:dyDescent="0.25">
      <c r="A140" s="487"/>
      <c r="B140" s="401"/>
      <c r="C140" s="401"/>
      <c r="D140" s="384"/>
      <c r="E140" s="384"/>
      <c r="F140" s="384"/>
      <c r="I140" s="114"/>
      <c r="J140" s="114"/>
      <c r="K140" s="114"/>
      <c r="L140" s="114"/>
      <c r="M140" s="114"/>
      <c r="N140" s="114"/>
      <c r="O140" s="114"/>
      <c r="P140" s="1045"/>
      <c r="Q140" s="1045"/>
      <c r="R140" s="1046"/>
    </row>
    <row r="141" spans="1:18" ht="12.75" customHeight="1" x14ac:dyDescent="0.25">
      <c r="A141" s="487"/>
      <c r="B141" s="401"/>
      <c r="C141" s="401"/>
      <c r="D141" s="393">
        <v>631004</v>
      </c>
      <c r="E141" s="410" t="s">
        <v>3783</v>
      </c>
      <c r="F141" s="382"/>
      <c r="I141" s="114"/>
      <c r="J141" s="407">
        <v>2025</v>
      </c>
      <c r="K141" s="407">
        <v>2026</v>
      </c>
      <c r="L141" s="407">
        <v>2027</v>
      </c>
      <c r="M141" s="407">
        <v>2028</v>
      </c>
      <c r="N141" s="407">
        <v>2029</v>
      </c>
      <c r="O141" s="407">
        <v>2030</v>
      </c>
      <c r="P141" s="1046"/>
      <c r="Q141" s="1046"/>
      <c r="R141" s="1046"/>
    </row>
    <row r="142" spans="1:18" ht="12.75" customHeight="1" x14ac:dyDescent="0.25">
      <c r="A142" s="487"/>
      <c r="B142" s="401"/>
      <c r="C142" s="401"/>
      <c r="D142" s="393"/>
      <c r="E142" s="397" t="s">
        <v>533</v>
      </c>
      <c r="F142" s="382"/>
      <c r="I142" s="114"/>
      <c r="J142" s="486"/>
      <c r="K142" s="486"/>
      <c r="L142" s="486"/>
      <c r="M142" s="486"/>
      <c r="N142" s="486"/>
      <c r="O142" s="486"/>
      <c r="P142" s="1046"/>
      <c r="Q142" s="1046"/>
      <c r="R142" s="1046"/>
    </row>
    <row r="143" spans="1:18" ht="12.75" customHeight="1" x14ac:dyDescent="0.25">
      <c r="A143" s="487"/>
      <c r="B143" s="401"/>
      <c r="C143" s="401"/>
      <c r="D143" s="384"/>
      <c r="E143" s="383" t="s">
        <v>3057</v>
      </c>
      <c r="F143" s="384"/>
      <c r="I143" s="114"/>
      <c r="J143" s="114"/>
      <c r="K143" s="114"/>
      <c r="L143" s="114"/>
      <c r="M143" s="114"/>
      <c r="N143" s="114"/>
      <c r="O143" s="114"/>
      <c r="P143" s="1058"/>
      <c r="Q143" s="1058"/>
      <c r="R143" s="1059"/>
    </row>
    <row r="144" spans="1:18" ht="12.75" customHeight="1" x14ac:dyDescent="0.25">
      <c r="A144" s="487"/>
      <c r="B144" s="401"/>
      <c r="C144" s="401"/>
      <c r="D144" s="115"/>
      <c r="E144" s="308" t="s">
        <v>3784</v>
      </c>
      <c r="F144" s="384"/>
      <c r="H144" s="414"/>
      <c r="I144" s="114"/>
      <c r="J144" s="114"/>
      <c r="K144" s="114"/>
      <c r="L144" s="114"/>
      <c r="M144" s="114"/>
      <c r="N144" s="114"/>
      <c r="O144" s="114"/>
      <c r="P144" s="114"/>
      <c r="Q144" s="115" t="s">
        <v>3785</v>
      </c>
      <c r="R144" s="494">
        <v>54000</v>
      </c>
    </row>
    <row r="145" spans="1:17" ht="12.75" customHeight="1" x14ac:dyDescent="0.25">
      <c r="A145" s="487"/>
      <c r="B145" s="401"/>
      <c r="C145" s="401"/>
      <c r="D145" s="143">
        <v>43812</v>
      </c>
      <c r="E145" s="308" t="s">
        <v>3786</v>
      </c>
      <c r="F145" s="384"/>
      <c r="H145" s="414"/>
      <c r="I145" s="114"/>
      <c r="J145" s="114">
        <v>36020</v>
      </c>
      <c r="K145" s="114">
        <v>36960</v>
      </c>
      <c r="L145" s="114">
        <f>ROUND(K145*T$2,-1)</f>
        <v>37740</v>
      </c>
      <c r="M145" s="114">
        <f>ROUND(L145*U$2,-1)</f>
        <v>38610</v>
      </c>
      <c r="N145" s="114">
        <f>ROUND(M145*V$2,-1)</f>
        <v>39500</v>
      </c>
      <c r="O145" s="114">
        <f>ROUND(N145*W$2,-1)</f>
        <v>40410</v>
      </c>
      <c r="P145" s="114" t="s">
        <v>3787</v>
      </c>
    </row>
    <row r="146" spans="1:17" ht="12.75" customHeight="1" x14ac:dyDescent="0.25">
      <c r="A146" s="487"/>
      <c r="B146" s="401"/>
      <c r="C146" s="401"/>
      <c r="D146" s="143"/>
      <c r="E146" s="308" t="s">
        <v>3788</v>
      </c>
      <c r="F146" s="384"/>
      <c r="H146" s="414"/>
      <c r="I146" s="114"/>
      <c r="J146" s="114"/>
      <c r="K146" s="114"/>
      <c r="L146" s="114"/>
      <c r="M146" s="114"/>
      <c r="N146" s="114"/>
      <c r="O146" s="114"/>
      <c r="P146" s="114"/>
    </row>
    <row r="147" spans="1:17" ht="12.75" customHeight="1" x14ac:dyDescent="0.25">
      <c r="A147" s="487"/>
      <c r="B147" s="401"/>
      <c r="C147" s="401"/>
      <c r="D147" s="143"/>
      <c r="E147" s="308" t="s">
        <v>3789</v>
      </c>
      <c r="F147" s="384"/>
      <c r="H147" s="414"/>
      <c r="I147" s="114"/>
      <c r="J147" s="114">
        <v>10000</v>
      </c>
      <c r="K147" s="114">
        <v>10000</v>
      </c>
      <c r="L147" s="114">
        <v>10000</v>
      </c>
      <c r="M147" s="114">
        <v>10000</v>
      </c>
      <c r="N147" s="114">
        <v>10000</v>
      </c>
      <c r="O147" s="114">
        <v>10000</v>
      </c>
      <c r="P147" s="114"/>
    </row>
    <row r="148" spans="1:17" ht="12.75" customHeight="1" x14ac:dyDescent="0.25">
      <c r="A148" s="487"/>
      <c r="B148" s="401"/>
      <c r="C148" s="401"/>
      <c r="D148" s="143"/>
      <c r="E148" s="308" t="s">
        <v>3790</v>
      </c>
      <c r="F148" s="384"/>
      <c r="H148" s="414"/>
      <c r="I148" s="114"/>
      <c r="J148" s="114">
        <v>-5000</v>
      </c>
      <c r="K148" s="114">
        <v>-5000</v>
      </c>
      <c r="L148" s="114">
        <v>-5000</v>
      </c>
      <c r="M148" s="114">
        <v>-5000</v>
      </c>
      <c r="N148" s="114">
        <v>-5000</v>
      </c>
      <c r="O148" s="114">
        <v>-5000</v>
      </c>
      <c r="P148" s="114"/>
    </row>
    <row r="149" spans="1:17" ht="12.75" customHeight="1" x14ac:dyDescent="0.25">
      <c r="A149" s="487"/>
      <c r="B149" s="401"/>
      <c r="C149" s="401"/>
      <c r="D149" s="143"/>
      <c r="E149" s="308" t="s">
        <v>3790</v>
      </c>
      <c r="F149" s="384"/>
      <c r="H149" s="414"/>
      <c r="I149" s="114"/>
      <c r="J149" s="114">
        <v>-18010</v>
      </c>
      <c r="K149" s="114">
        <v>-18480</v>
      </c>
      <c r="L149" s="114">
        <f t="shared" ref="L149:M149" si="44">ROUND(-L145/2,-1)</f>
        <v>-18870</v>
      </c>
      <c r="M149" s="114">
        <f t="shared" si="44"/>
        <v>-19310</v>
      </c>
      <c r="N149" s="114">
        <f t="shared" ref="N149:O149" si="45">ROUND(-N145/2,-1)</f>
        <v>-19750</v>
      </c>
      <c r="O149" s="114">
        <f t="shared" si="45"/>
        <v>-20210</v>
      </c>
      <c r="P149" s="114"/>
      <c r="Q149" s="115">
        <v>46345</v>
      </c>
    </row>
    <row r="150" spans="1:17" ht="12.75" customHeight="1" x14ac:dyDescent="0.25">
      <c r="A150" s="487"/>
      <c r="B150" s="401"/>
      <c r="C150" s="401"/>
      <c r="D150" s="143"/>
      <c r="E150" s="308"/>
      <c r="F150" s="384"/>
      <c r="H150" s="414"/>
      <c r="I150" s="114"/>
      <c r="J150" s="114"/>
      <c r="K150" s="114"/>
      <c r="L150" s="114"/>
      <c r="M150" s="114"/>
      <c r="N150" s="114"/>
      <c r="O150" s="114"/>
      <c r="P150" s="114"/>
    </row>
    <row r="151" spans="1:17" ht="12.75" customHeight="1" x14ac:dyDescent="0.25">
      <c r="A151" s="487"/>
      <c r="B151" s="401"/>
      <c r="C151" s="401"/>
      <c r="D151" s="143"/>
      <c r="E151" s="308" t="s">
        <v>3791</v>
      </c>
      <c r="F151" s="384"/>
      <c r="H151" s="414"/>
      <c r="I151" s="114"/>
      <c r="J151" s="114">
        <v>-23010</v>
      </c>
      <c r="K151" s="114">
        <v>-23480</v>
      </c>
      <c r="L151" s="114">
        <v>-23880</v>
      </c>
      <c r="M151" s="114">
        <v>-24300</v>
      </c>
      <c r="N151" s="114">
        <v>-24720</v>
      </c>
      <c r="O151" s="114">
        <v>-25160</v>
      </c>
      <c r="P151" s="114"/>
    </row>
    <row r="152" spans="1:17" ht="12.75" customHeight="1" thickBot="1" x14ac:dyDescent="0.3">
      <c r="A152" s="487"/>
      <c r="B152" s="401"/>
      <c r="C152" s="401"/>
      <c r="D152" s="143"/>
      <c r="E152" s="381" t="str">
        <f>"Totaal "&amp;D145</f>
        <v>Totaal 43812</v>
      </c>
      <c r="I152" s="114"/>
      <c r="J152" s="1744">
        <v>0</v>
      </c>
      <c r="K152" s="1744">
        <v>0</v>
      </c>
      <c r="L152" s="1744">
        <f>SUM(L145:L151)</f>
        <v>-10</v>
      </c>
      <c r="M152" s="1744">
        <f>SUM(M145:M151)</f>
        <v>0</v>
      </c>
      <c r="N152" s="1744">
        <f>SUM(N145:N151)</f>
        <v>30</v>
      </c>
      <c r="O152" s="1744">
        <f>SUM(O145:O151)</f>
        <v>40</v>
      </c>
      <c r="P152" s="114"/>
      <c r="Q152" s="114">
        <f>+Q149/2</f>
        <v>23172.5</v>
      </c>
    </row>
    <row r="153" spans="1:17" ht="12.75" customHeight="1" thickTop="1" x14ac:dyDescent="0.25">
      <c r="A153" s="487"/>
      <c r="B153" s="401"/>
      <c r="C153" s="401"/>
      <c r="D153" s="143"/>
      <c r="E153" s="381"/>
      <c r="I153" s="114"/>
      <c r="J153" s="114"/>
      <c r="K153" s="114"/>
      <c r="L153" s="114"/>
      <c r="M153" s="114"/>
      <c r="N153" s="114"/>
      <c r="O153" s="114"/>
      <c r="P153" s="114"/>
    </row>
    <row r="154" spans="1:17" ht="12.75" customHeight="1" x14ac:dyDescent="0.25">
      <c r="A154" s="487"/>
      <c r="B154" s="401"/>
      <c r="C154" s="401"/>
      <c r="D154" s="433">
        <v>631010</v>
      </c>
      <c r="E154" s="381" t="s">
        <v>3772</v>
      </c>
      <c r="F154" s="648"/>
      <c r="I154" s="114"/>
      <c r="J154" s="114"/>
      <c r="K154" s="114"/>
      <c r="L154" s="114"/>
      <c r="M154" s="114"/>
      <c r="N154" s="114"/>
      <c r="O154" s="114"/>
      <c r="P154" s="114"/>
    </row>
    <row r="155" spans="1:17" ht="12.75" customHeight="1" x14ac:dyDescent="0.25">
      <c r="A155" s="487"/>
      <c r="B155" s="401"/>
      <c r="C155" s="401"/>
      <c r="D155" s="433"/>
      <c r="E155" s="383" t="s">
        <v>533</v>
      </c>
      <c r="F155" s="648"/>
      <c r="I155" s="114"/>
      <c r="J155" s="486"/>
      <c r="K155" s="486"/>
      <c r="L155" s="486"/>
      <c r="M155" s="486"/>
      <c r="N155" s="486"/>
      <c r="O155" s="486"/>
      <c r="P155" s="114"/>
    </row>
    <row r="156" spans="1:17" ht="12.75" customHeight="1" x14ac:dyDescent="0.25">
      <c r="A156" s="487"/>
      <c r="B156" s="401"/>
      <c r="C156" s="401"/>
      <c r="D156" s="557">
        <v>43812</v>
      </c>
      <c r="E156" s="308" t="s">
        <v>3779</v>
      </c>
      <c r="F156" s="557"/>
      <c r="I156" s="114"/>
      <c r="J156" s="114">
        <v>77220</v>
      </c>
      <c r="K156" s="114">
        <v>79230</v>
      </c>
      <c r="L156" s="114">
        <f t="shared" ref="L156:O157" si="46">ROUND(K156*T$2,-1)</f>
        <v>80890</v>
      </c>
      <c r="M156" s="114">
        <f t="shared" si="46"/>
        <v>82750</v>
      </c>
      <c r="N156" s="114">
        <f t="shared" si="46"/>
        <v>84650</v>
      </c>
      <c r="O156" s="114">
        <f t="shared" si="46"/>
        <v>86600</v>
      </c>
      <c r="P156" s="114"/>
    </row>
    <row r="157" spans="1:17" ht="12.75" customHeight="1" x14ac:dyDescent="0.25">
      <c r="A157" s="487"/>
      <c r="B157" s="401"/>
      <c r="C157" s="401"/>
      <c r="D157" s="557"/>
      <c r="E157" s="308" t="s">
        <v>3792</v>
      </c>
      <c r="F157" s="557"/>
      <c r="I157" s="114"/>
      <c r="J157" s="114">
        <v>19930</v>
      </c>
      <c r="K157" s="114">
        <v>20450</v>
      </c>
      <c r="L157" s="114">
        <f t="shared" si="46"/>
        <v>20880</v>
      </c>
      <c r="M157" s="114">
        <f t="shared" si="46"/>
        <v>21360</v>
      </c>
      <c r="N157" s="114">
        <f t="shared" si="46"/>
        <v>21850</v>
      </c>
      <c r="O157" s="114">
        <f t="shared" si="46"/>
        <v>22350</v>
      </c>
      <c r="P157" s="114"/>
    </row>
    <row r="158" spans="1:17" ht="12.75" customHeight="1" x14ac:dyDescent="0.25">
      <c r="A158" s="487"/>
      <c r="B158" s="401"/>
      <c r="C158" s="401"/>
      <c r="D158" s="557"/>
      <c r="E158" s="308" t="s">
        <v>3793</v>
      </c>
      <c r="F158" s="557"/>
      <c r="I158" s="114"/>
      <c r="J158" s="114">
        <v>-30000</v>
      </c>
      <c r="K158" s="114">
        <v>-30000</v>
      </c>
      <c r="L158" s="114">
        <v>-30000</v>
      </c>
      <c r="M158" s="114">
        <v>-30000</v>
      </c>
      <c r="N158" s="114">
        <v>-30000</v>
      </c>
      <c r="O158" s="114">
        <v>-30000</v>
      </c>
      <c r="P158" s="114"/>
    </row>
    <row r="159" spans="1:17" ht="12.75" customHeight="1" x14ac:dyDescent="0.25">
      <c r="A159" s="487"/>
      <c r="B159" s="401"/>
      <c r="C159" s="401"/>
      <c r="D159" s="557"/>
      <c r="E159" s="308" t="s">
        <v>3791</v>
      </c>
      <c r="F159" s="384"/>
      <c r="H159" s="414"/>
      <c r="I159" s="114"/>
      <c r="J159" s="114">
        <v>-35000</v>
      </c>
      <c r="K159" s="114">
        <v>-35000</v>
      </c>
      <c r="L159" s="114">
        <v>-35000</v>
      </c>
      <c r="M159" s="114">
        <v>-35000</v>
      </c>
      <c r="N159" s="114">
        <v>-35000</v>
      </c>
      <c r="O159" s="114">
        <v>-35000</v>
      </c>
      <c r="P159" s="114"/>
    </row>
    <row r="160" spans="1:17" ht="12.75" customHeight="1" thickBot="1" x14ac:dyDescent="0.3">
      <c r="A160" s="487"/>
      <c r="B160" s="401"/>
      <c r="C160" s="401"/>
      <c r="D160" s="143"/>
      <c r="E160" s="381" t="str">
        <f>"Totaal "&amp;D156</f>
        <v>Totaal 43812</v>
      </c>
      <c r="H160" s="401"/>
      <c r="I160" s="114"/>
      <c r="J160" s="1768">
        <v>32150</v>
      </c>
      <c r="K160" s="1768">
        <v>34680</v>
      </c>
      <c r="L160" s="1768">
        <f>SUM(L156:L159)</f>
        <v>36770</v>
      </c>
      <c r="M160" s="1768">
        <f>SUM(M156:M159)</f>
        <v>39110</v>
      </c>
      <c r="N160" s="1768">
        <f>SUM(N156:N159)</f>
        <v>41500</v>
      </c>
      <c r="O160" s="1768">
        <f>SUM(O156:O159)</f>
        <v>43950</v>
      </c>
      <c r="P160" s="114"/>
    </row>
    <row r="161" spans="1:16" ht="12.75" customHeight="1" thickTop="1" x14ac:dyDescent="0.25">
      <c r="A161" s="487"/>
      <c r="B161" s="401"/>
      <c r="C161" s="401"/>
      <c r="D161" s="143"/>
      <c r="E161" s="381"/>
      <c r="I161" s="114"/>
      <c r="J161" s="114"/>
      <c r="K161" s="114"/>
      <c r="L161" s="114"/>
      <c r="M161" s="114"/>
      <c r="N161" s="114"/>
      <c r="O161" s="114"/>
      <c r="P161" s="114"/>
    </row>
    <row r="162" spans="1:16" ht="12.75" customHeight="1" x14ac:dyDescent="0.25">
      <c r="A162" s="487"/>
      <c r="B162" s="401"/>
      <c r="C162" s="401"/>
      <c r="D162" s="433">
        <v>631011</v>
      </c>
      <c r="E162" s="381" t="s">
        <v>3780</v>
      </c>
      <c r="F162" s="648"/>
      <c r="I162" s="114"/>
      <c r="J162" s="114"/>
      <c r="K162" s="114"/>
      <c r="L162" s="114"/>
      <c r="M162" s="114"/>
      <c r="N162" s="114"/>
      <c r="O162" s="114"/>
      <c r="P162" s="114"/>
    </row>
    <row r="163" spans="1:16" ht="12.75" customHeight="1" x14ac:dyDescent="0.25">
      <c r="A163" s="487"/>
      <c r="B163" s="401"/>
      <c r="C163" s="401"/>
      <c r="D163" s="433"/>
      <c r="E163" s="383" t="s">
        <v>533</v>
      </c>
      <c r="F163" s="648"/>
      <c r="I163" s="114"/>
      <c r="J163" s="486"/>
      <c r="K163" s="486"/>
      <c r="L163" s="486"/>
      <c r="M163" s="486"/>
      <c r="N163" s="486"/>
      <c r="O163" s="486"/>
      <c r="P163" s="114"/>
    </row>
    <row r="164" spans="1:16" ht="12.75" customHeight="1" x14ac:dyDescent="0.25">
      <c r="A164" s="487"/>
      <c r="B164" s="401"/>
      <c r="C164" s="401"/>
      <c r="D164" s="557">
        <v>43812</v>
      </c>
      <c r="E164" s="308" t="s">
        <v>3779</v>
      </c>
      <c r="F164" s="557"/>
      <c r="I164" s="114"/>
      <c r="J164" s="114">
        <v>58410</v>
      </c>
      <c r="K164" s="114">
        <v>59930</v>
      </c>
      <c r="L164" s="114">
        <f>ROUND(K164*T$2,-1)</f>
        <v>61190</v>
      </c>
      <c r="M164" s="114">
        <f>ROUND(L164*U$2,-1)</f>
        <v>62600</v>
      </c>
      <c r="N164" s="114">
        <f>ROUND(M164*V$2,-1)</f>
        <v>64040</v>
      </c>
      <c r="O164" s="114">
        <f>ROUND(N164*W$2,-1)</f>
        <v>65510</v>
      </c>
      <c r="P164" s="114"/>
    </row>
    <row r="165" spans="1:16" ht="12.75" customHeight="1" thickBot="1" x14ac:dyDescent="0.3">
      <c r="D165" s="143"/>
      <c r="E165" s="381" t="str">
        <f>"Totaal "&amp;D164</f>
        <v>Totaal 43812</v>
      </c>
      <c r="H165" s="401"/>
      <c r="I165" s="114"/>
      <c r="J165" s="1768">
        <v>58410</v>
      </c>
      <c r="K165" s="1768">
        <v>59930</v>
      </c>
      <c r="L165" s="1768">
        <f>SUM(L164:L164)</f>
        <v>61190</v>
      </c>
      <c r="M165" s="1768">
        <f>SUM(M164:M164)</f>
        <v>62600</v>
      </c>
      <c r="N165" s="1768">
        <f>SUM(N164:N164)</f>
        <v>64040</v>
      </c>
      <c r="O165" s="1768">
        <f>SUM(O164:O164)</f>
        <v>65510</v>
      </c>
    </row>
    <row r="166" spans="1:16" ht="12.75" customHeight="1" thickTop="1" x14ac:dyDescent="0.25">
      <c r="D166" s="143"/>
      <c r="E166" s="381"/>
      <c r="H166" s="401"/>
      <c r="I166" s="114"/>
      <c r="J166" s="558"/>
      <c r="K166" s="558"/>
      <c r="L166" s="558"/>
      <c r="M166" s="558"/>
      <c r="N166" s="558"/>
      <c r="O166" s="558"/>
    </row>
    <row r="167" spans="1:16" ht="12.75" customHeight="1" x14ac:dyDescent="0.25">
      <c r="D167" s="433">
        <v>631012</v>
      </c>
      <c r="E167" s="381" t="s">
        <v>3781</v>
      </c>
      <c r="F167" s="648"/>
      <c r="H167" s="401"/>
      <c r="I167" s="114"/>
      <c r="J167" s="558"/>
      <c r="K167" s="558"/>
      <c r="L167" s="558"/>
      <c r="M167" s="558"/>
      <c r="N167" s="558"/>
      <c r="O167" s="558"/>
    </row>
    <row r="168" spans="1:16" ht="12.75" customHeight="1" x14ac:dyDescent="0.25">
      <c r="D168" s="433"/>
      <c r="E168" s="115" t="s">
        <v>3794</v>
      </c>
      <c r="F168" s="648"/>
      <c r="H168" s="401"/>
      <c r="I168" s="114"/>
      <c r="J168" s="558"/>
      <c r="K168" s="558"/>
      <c r="L168" s="558"/>
      <c r="M168" s="558"/>
      <c r="N168" s="558"/>
      <c r="O168" s="558"/>
    </row>
    <row r="169" spans="1:16" ht="12.75" customHeight="1" x14ac:dyDescent="0.25">
      <c r="D169" s="143"/>
      <c r="E169" s="381"/>
      <c r="H169" s="401"/>
      <c r="I169" s="114"/>
      <c r="J169" s="558"/>
      <c r="K169" s="558"/>
      <c r="L169" s="558"/>
      <c r="M169" s="558"/>
      <c r="N169" s="558"/>
      <c r="O169" s="558"/>
    </row>
    <row r="170" spans="1:16" ht="12.75" customHeight="1" x14ac:dyDescent="0.25">
      <c r="D170" s="382">
        <v>631013</v>
      </c>
      <c r="E170" s="381" t="s">
        <v>3771</v>
      </c>
      <c r="H170" s="401"/>
      <c r="I170" s="114"/>
      <c r="J170" s="558"/>
      <c r="K170" s="558"/>
      <c r="L170" s="558"/>
      <c r="M170" s="558"/>
      <c r="N170" s="558"/>
      <c r="O170" s="558"/>
    </row>
    <row r="171" spans="1:16" ht="12.75" customHeight="1" x14ac:dyDescent="0.25">
      <c r="D171" s="1723">
        <v>43200</v>
      </c>
      <c r="E171" s="1720" t="s">
        <v>5393</v>
      </c>
      <c r="F171" s="1723"/>
      <c r="G171" s="1720"/>
      <c r="H171" s="1719"/>
      <c r="I171" s="2177"/>
      <c r="J171" s="2176"/>
      <c r="K171" s="2176">
        <v>77000</v>
      </c>
      <c r="L171" s="2176"/>
      <c r="M171" s="2176"/>
      <c r="N171" s="2176"/>
      <c r="O171" s="2176"/>
    </row>
    <row r="172" spans="1:16" ht="12.75" customHeight="1" thickBot="1" x14ac:dyDescent="0.3">
      <c r="D172" s="143"/>
      <c r="E172" s="115"/>
      <c r="H172" s="401"/>
      <c r="I172" s="114"/>
      <c r="J172" s="1996">
        <f>SUM(J171)</f>
        <v>0</v>
      </c>
      <c r="K172" s="1996">
        <f t="shared" ref="K172:O172" si="47">SUM(K171)</f>
        <v>77000</v>
      </c>
      <c r="L172" s="1996">
        <f t="shared" si="47"/>
        <v>0</v>
      </c>
      <c r="M172" s="1996">
        <f t="shared" si="47"/>
        <v>0</v>
      </c>
      <c r="N172" s="1996">
        <f t="shared" si="47"/>
        <v>0</v>
      </c>
      <c r="O172" s="1996">
        <f t="shared" si="47"/>
        <v>0</v>
      </c>
    </row>
    <row r="173" spans="1:16" ht="12.75" customHeight="1" thickTop="1" x14ac:dyDescent="0.25">
      <c r="D173" s="143"/>
      <c r="E173" s="115"/>
      <c r="H173" s="401"/>
      <c r="I173" s="114"/>
      <c r="J173" s="558"/>
      <c r="K173" s="558"/>
      <c r="L173" s="558"/>
      <c r="M173" s="558"/>
      <c r="N173" s="558"/>
      <c r="O173" s="558"/>
    </row>
    <row r="174" spans="1:16" ht="12.75" customHeight="1" x14ac:dyDescent="0.25">
      <c r="D174" s="143">
        <v>43812</v>
      </c>
      <c r="E174" s="115" t="s">
        <v>3795</v>
      </c>
      <c r="H174" s="401"/>
      <c r="I174" s="114"/>
      <c r="J174" s="558">
        <v>30000</v>
      </c>
      <c r="K174" s="558">
        <v>30000</v>
      </c>
      <c r="L174" s="558">
        <v>30000</v>
      </c>
      <c r="M174" s="558">
        <v>30000</v>
      </c>
      <c r="N174" s="558">
        <v>30000</v>
      </c>
      <c r="O174" s="558">
        <v>30000</v>
      </c>
    </row>
    <row r="175" spans="1:16" ht="12.75" customHeight="1" thickBot="1" x14ac:dyDescent="0.3">
      <c r="D175" s="143"/>
      <c r="E175" s="381" t="str">
        <f>"Totaal "&amp;D174</f>
        <v>Totaal 43812</v>
      </c>
      <c r="H175" s="401"/>
      <c r="I175" s="114"/>
      <c r="J175" s="1768">
        <v>30000</v>
      </c>
      <c r="K175" s="1768">
        <v>30000</v>
      </c>
      <c r="L175" s="1768">
        <f t="shared" ref="L175:N175" si="48">SUM(L174:L174)</f>
        <v>30000</v>
      </c>
      <c r="M175" s="1768">
        <f t="shared" si="48"/>
        <v>30000</v>
      </c>
      <c r="N175" s="1768">
        <f t="shared" si="48"/>
        <v>30000</v>
      </c>
      <c r="O175" s="1768">
        <f t="shared" ref="O175" si="49">SUM(O174:O174)</f>
        <v>30000</v>
      </c>
    </row>
    <row r="176" spans="1:16" ht="12.75" customHeight="1" thickTop="1" x14ac:dyDescent="0.25">
      <c r="D176" s="143"/>
      <c r="E176" s="381"/>
      <c r="H176" s="401"/>
      <c r="I176" s="114"/>
      <c r="J176" s="558"/>
      <c r="K176" s="558"/>
      <c r="L176" s="558"/>
      <c r="M176" s="558"/>
      <c r="N176" s="558"/>
      <c r="O176" s="558"/>
    </row>
    <row r="177" spans="1:19" ht="12.75" customHeight="1" x14ac:dyDescent="0.25">
      <c r="D177" s="433">
        <v>631005</v>
      </c>
      <c r="E177" s="381" t="s">
        <v>3776</v>
      </c>
      <c r="F177" s="648"/>
      <c r="I177" s="114"/>
      <c r="J177" s="114"/>
      <c r="K177" s="114"/>
      <c r="L177" s="114"/>
      <c r="M177" s="114"/>
      <c r="N177" s="114"/>
      <c r="O177" s="114"/>
    </row>
    <row r="178" spans="1:19" ht="12.75" customHeight="1" x14ac:dyDescent="0.25">
      <c r="D178" s="433"/>
      <c r="E178" s="383" t="s">
        <v>533</v>
      </c>
      <c r="F178" s="648"/>
      <c r="I178" s="114"/>
      <c r="J178" s="486"/>
      <c r="K178" s="486"/>
      <c r="L178" s="486"/>
      <c r="M178" s="486"/>
      <c r="N178" s="486"/>
      <c r="O178" s="486"/>
    </row>
    <row r="179" spans="1:19" ht="12.75" customHeight="1" x14ac:dyDescent="0.25">
      <c r="D179" s="384">
        <v>43812</v>
      </c>
      <c r="E179" s="115" t="s">
        <v>3796</v>
      </c>
      <c r="F179" s="648"/>
      <c r="I179" s="114"/>
      <c r="J179" s="114">
        <v>2690</v>
      </c>
      <c r="K179" s="114">
        <v>2760</v>
      </c>
      <c r="L179" s="114">
        <f t="shared" ref="L179:O181" si="50">ROUND(K179*T$2,-1)</f>
        <v>2820</v>
      </c>
      <c r="M179" s="114">
        <f t="shared" si="50"/>
        <v>2880</v>
      </c>
      <c r="N179" s="114">
        <f t="shared" si="50"/>
        <v>2950</v>
      </c>
      <c r="O179" s="114">
        <f t="shared" si="50"/>
        <v>3020</v>
      </c>
    </row>
    <row r="180" spans="1:19" ht="12.75" customHeight="1" x14ac:dyDescent="0.25">
      <c r="D180" s="384">
        <v>43812</v>
      </c>
      <c r="E180" s="308" t="s">
        <v>3797</v>
      </c>
      <c r="F180" s="384"/>
      <c r="H180" s="414"/>
      <c r="I180" s="114"/>
      <c r="J180" s="114">
        <v>670</v>
      </c>
      <c r="K180" s="114">
        <v>690</v>
      </c>
      <c r="L180" s="114">
        <f t="shared" si="50"/>
        <v>700</v>
      </c>
      <c r="M180" s="114">
        <f t="shared" si="50"/>
        <v>720</v>
      </c>
      <c r="N180" s="114">
        <f t="shared" si="50"/>
        <v>740</v>
      </c>
      <c r="O180" s="114">
        <f t="shared" si="50"/>
        <v>760</v>
      </c>
    </row>
    <row r="181" spans="1:19" ht="12.75" customHeight="1" x14ac:dyDescent="0.25">
      <c r="A181" s="143"/>
      <c r="D181" s="557">
        <v>43812</v>
      </c>
      <c r="E181" s="308" t="s">
        <v>3798</v>
      </c>
      <c r="F181" s="557"/>
      <c r="I181" s="114"/>
      <c r="J181" s="114">
        <v>12260</v>
      </c>
      <c r="K181" s="114">
        <v>12580</v>
      </c>
      <c r="L181" s="114">
        <f t="shared" si="50"/>
        <v>12840</v>
      </c>
      <c r="M181" s="114">
        <f t="shared" si="50"/>
        <v>13140</v>
      </c>
      <c r="N181" s="114">
        <f t="shared" si="50"/>
        <v>13440</v>
      </c>
      <c r="O181" s="114">
        <f t="shared" si="50"/>
        <v>13750</v>
      </c>
    </row>
    <row r="182" spans="1:19" ht="12.75" customHeight="1" thickBot="1" x14ac:dyDescent="0.3">
      <c r="D182" s="143"/>
      <c r="E182" s="381" t="str">
        <f>"Totaal "&amp;D181</f>
        <v>Totaal 43812</v>
      </c>
      <c r="H182" s="401"/>
      <c r="I182" s="114"/>
      <c r="J182" s="1768">
        <v>12260</v>
      </c>
      <c r="K182" s="1768">
        <v>12580</v>
      </c>
      <c r="L182" s="1768">
        <f>SUM(L181:L181)</f>
        <v>12840</v>
      </c>
      <c r="M182" s="1768">
        <f>SUM(M181:M181)</f>
        <v>13140</v>
      </c>
      <c r="N182" s="1768">
        <f>SUM(N181:N181)</f>
        <v>13440</v>
      </c>
      <c r="O182" s="1768">
        <f>SUM(O181:O181)</f>
        <v>13750</v>
      </c>
    </row>
    <row r="183" spans="1:19" ht="12.75" customHeight="1" thickTop="1" x14ac:dyDescent="0.25">
      <c r="D183" s="143"/>
      <c r="E183" s="115"/>
      <c r="H183" s="401"/>
      <c r="I183" s="114"/>
      <c r="J183" s="114"/>
      <c r="K183" s="114"/>
      <c r="L183" s="114"/>
      <c r="M183" s="114"/>
      <c r="N183" s="114"/>
      <c r="O183" s="114"/>
    </row>
    <row r="184" spans="1:19" ht="12.75" customHeight="1" x14ac:dyDescent="0.25">
      <c r="D184" s="393">
        <v>631006</v>
      </c>
      <c r="E184" s="381" t="s">
        <v>3777</v>
      </c>
      <c r="F184" s="382"/>
      <c r="H184" s="401"/>
      <c r="I184" s="114"/>
      <c r="J184" s="114"/>
      <c r="K184" s="114"/>
      <c r="L184" s="114"/>
      <c r="M184" s="114"/>
      <c r="N184" s="114"/>
      <c r="O184" s="114"/>
    </row>
    <row r="185" spans="1:19" ht="12.75" customHeight="1" x14ac:dyDescent="0.25">
      <c r="D185" s="393"/>
      <c r="E185" s="397" t="s">
        <v>533</v>
      </c>
      <c r="F185" s="382"/>
      <c r="H185" s="401"/>
      <c r="I185" s="114"/>
      <c r="J185" s="558"/>
      <c r="K185" s="558"/>
      <c r="L185" s="558"/>
      <c r="M185" s="558"/>
      <c r="N185" s="558"/>
      <c r="O185" s="558"/>
    </row>
    <row r="186" spans="1:19" ht="12.75" customHeight="1" x14ac:dyDescent="0.25">
      <c r="A186" s="143"/>
      <c r="D186" s="384">
        <v>44380</v>
      </c>
      <c r="E186" s="401" t="s">
        <v>3799</v>
      </c>
      <c r="F186" s="384"/>
      <c r="H186" s="401"/>
      <c r="I186" s="114"/>
      <c r="J186" s="114"/>
      <c r="K186" s="114"/>
      <c r="L186" s="114"/>
      <c r="M186" s="114"/>
      <c r="N186" s="114"/>
      <c r="O186" s="114"/>
    </row>
    <row r="187" spans="1:19" ht="12.75" customHeight="1" x14ac:dyDescent="0.25">
      <c r="A187" s="143"/>
      <c r="D187" s="384"/>
      <c r="E187" s="530" t="s">
        <v>3800</v>
      </c>
      <c r="F187" s="384"/>
      <c r="H187" s="401"/>
      <c r="I187" s="114"/>
      <c r="J187" s="114">
        <v>10000</v>
      </c>
      <c r="K187" s="114">
        <v>10260</v>
      </c>
      <c r="L187" s="114">
        <f t="shared" ref="L187:O193" si="51">ROUND(K187*T$2,0)</f>
        <v>10475</v>
      </c>
      <c r="M187" s="114">
        <f t="shared" si="51"/>
        <v>10716</v>
      </c>
      <c r="N187" s="114">
        <f t="shared" si="51"/>
        <v>10962</v>
      </c>
      <c r="O187" s="114">
        <f t="shared" si="51"/>
        <v>11214</v>
      </c>
    </row>
    <row r="188" spans="1:19" ht="12.75" customHeight="1" x14ac:dyDescent="0.25">
      <c r="A188" s="143"/>
      <c r="D188" s="384"/>
      <c r="E188" s="530" t="s">
        <v>3801</v>
      </c>
      <c r="F188" s="384"/>
      <c r="H188" s="401"/>
      <c r="I188" s="114"/>
      <c r="J188" s="114">
        <v>7200</v>
      </c>
      <c r="K188" s="114">
        <v>7387</v>
      </c>
      <c r="L188" s="114">
        <f t="shared" si="51"/>
        <v>7542</v>
      </c>
      <c r="M188" s="114">
        <f t="shared" si="51"/>
        <v>7715</v>
      </c>
      <c r="N188" s="114">
        <f t="shared" si="51"/>
        <v>7892</v>
      </c>
      <c r="O188" s="114">
        <f t="shared" si="51"/>
        <v>8074</v>
      </c>
      <c r="P188" s="114"/>
    </row>
    <row r="189" spans="1:19" ht="12.75" customHeight="1" x14ac:dyDescent="0.25">
      <c r="A189" s="143"/>
      <c r="D189" s="384"/>
      <c r="E189" s="530" t="s">
        <v>3802</v>
      </c>
      <c r="F189" s="384"/>
      <c r="H189" s="401"/>
      <c r="I189" s="114"/>
      <c r="J189" s="114">
        <v>10074</v>
      </c>
      <c r="K189" s="114">
        <v>17050</v>
      </c>
      <c r="L189" s="114">
        <f t="shared" si="51"/>
        <v>17408</v>
      </c>
      <c r="M189" s="114">
        <f t="shared" si="51"/>
        <v>17808</v>
      </c>
      <c r="N189" s="114">
        <f t="shared" si="51"/>
        <v>18218</v>
      </c>
      <c r="O189" s="114">
        <f t="shared" si="51"/>
        <v>18637</v>
      </c>
      <c r="P189" s="114"/>
      <c r="S189" s="115">
        <v>9800</v>
      </c>
    </row>
    <row r="190" spans="1:19" ht="12.75" customHeight="1" x14ac:dyDescent="0.25">
      <c r="A190" s="143"/>
      <c r="D190" s="384"/>
      <c r="E190" s="530" t="s">
        <v>3803</v>
      </c>
      <c r="F190" s="384"/>
      <c r="H190" s="401"/>
      <c r="I190" s="114"/>
      <c r="J190" s="114">
        <v>10000</v>
      </c>
      <c r="K190" s="114">
        <v>10260</v>
      </c>
      <c r="L190" s="114">
        <f t="shared" si="51"/>
        <v>10475</v>
      </c>
      <c r="M190" s="114">
        <f t="shared" si="51"/>
        <v>10716</v>
      </c>
      <c r="N190" s="114">
        <f t="shared" si="51"/>
        <v>10962</v>
      </c>
      <c r="O190" s="114">
        <f t="shared" si="51"/>
        <v>11214</v>
      </c>
      <c r="S190" s="115">
        <f>+S189*1.028</f>
        <v>10074.4</v>
      </c>
    </row>
    <row r="191" spans="1:19" ht="12.75" customHeight="1" x14ac:dyDescent="0.25">
      <c r="A191" s="143"/>
      <c r="D191" s="384"/>
      <c r="E191" s="530" t="s">
        <v>3804</v>
      </c>
      <c r="F191" s="384"/>
      <c r="H191" s="401"/>
      <c r="I191" s="114"/>
      <c r="J191" s="114">
        <v>10928</v>
      </c>
      <c r="K191" s="114">
        <v>11212</v>
      </c>
      <c r="L191" s="114">
        <f t="shared" si="51"/>
        <v>11447</v>
      </c>
      <c r="M191" s="114">
        <f t="shared" si="51"/>
        <v>11710</v>
      </c>
      <c r="N191" s="114">
        <f t="shared" si="51"/>
        <v>11979</v>
      </c>
      <c r="O191" s="114">
        <f t="shared" si="51"/>
        <v>12255</v>
      </c>
      <c r="S191" s="115">
        <f>+S190-15600</f>
        <v>-5525.6</v>
      </c>
    </row>
    <row r="192" spans="1:19" ht="12.75" customHeight="1" x14ac:dyDescent="0.25">
      <c r="A192" s="143"/>
      <c r="D192" s="384"/>
      <c r="E192" s="530" t="s">
        <v>3805</v>
      </c>
      <c r="F192" s="384"/>
      <c r="H192" s="401"/>
      <c r="I192" s="114"/>
      <c r="J192" s="114">
        <v>5567</v>
      </c>
      <c r="K192" s="114">
        <v>5712</v>
      </c>
      <c r="L192" s="114">
        <f t="shared" si="51"/>
        <v>5832</v>
      </c>
      <c r="M192" s="114">
        <f t="shared" si="51"/>
        <v>5966</v>
      </c>
      <c r="N192" s="114">
        <f t="shared" si="51"/>
        <v>6103</v>
      </c>
      <c r="O192" s="114">
        <f t="shared" si="51"/>
        <v>6243</v>
      </c>
    </row>
    <row r="193" spans="1:16" ht="12.75" customHeight="1" x14ac:dyDescent="0.25">
      <c r="A193" s="143"/>
      <c r="D193" s="384"/>
      <c r="E193" s="530" t="s">
        <v>3806</v>
      </c>
      <c r="F193" s="384"/>
      <c r="H193" s="401"/>
      <c r="I193" s="114"/>
      <c r="J193" s="114"/>
      <c r="K193" s="114">
        <v>5695</v>
      </c>
      <c r="L193" s="114">
        <f t="shared" si="51"/>
        <v>5815</v>
      </c>
      <c r="M193" s="114">
        <f t="shared" si="51"/>
        <v>5949</v>
      </c>
      <c r="N193" s="114">
        <f t="shared" si="51"/>
        <v>6086</v>
      </c>
      <c r="O193" s="114">
        <f t="shared" si="51"/>
        <v>6226</v>
      </c>
    </row>
    <row r="194" spans="1:16" ht="12.75" customHeight="1" x14ac:dyDescent="0.25">
      <c r="A194" s="143"/>
      <c r="D194" s="384">
        <v>44380</v>
      </c>
      <c r="E194" s="401" t="s">
        <v>3807</v>
      </c>
      <c r="F194" s="384"/>
      <c r="H194" s="401"/>
      <c r="I194" s="114"/>
      <c r="J194" s="114">
        <v>90960</v>
      </c>
      <c r="K194" s="114">
        <v>93320</v>
      </c>
      <c r="L194" s="114">
        <f>ROUND(K194*T$2,-1)</f>
        <v>95280</v>
      </c>
      <c r="M194" s="114">
        <f>ROUND(L194*U$2,-1)</f>
        <v>97470</v>
      </c>
      <c r="N194" s="114">
        <f>ROUND(M194*V$2,-1)</f>
        <v>99710</v>
      </c>
      <c r="O194" s="114">
        <f>ROUND(N194*W$2,-1)</f>
        <v>102000</v>
      </c>
    </row>
    <row r="195" spans="1:16" ht="12.75" customHeight="1" x14ac:dyDescent="0.25">
      <c r="A195" s="143"/>
      <c r="D195" s="384"/>
      <c r="E195" s="401"/>
      <c r="F195" s="384"/>
      <c r="H195" s="401"/>
      <c r="I195" s="114"/>
      <c r="J195" s="114"/>
      <c r="K195" s="114"/>
      <c r="L195" s="114"/>
      <c r="M195" s="114"/>
      <c r="N195" s="114"/>
      <c r="O195" s="114"/>
    </row>
    <row r="196" spans="1:16" ht="12.75" customHeight="1" thickBot="1" x14ac:dyDescent="0.3">
      <c r="D196" s="143"/>
      <c r="E196" s="381" t="str">
        <f>"Totaal "&amp;D186</f>
        <v>Totaal 44380</v>
      </c>
      <c r="H196" s="401"/>
      <c r="I196" s="114"/>
      <c r="J196" s="1768">
        <v>144729</v>
      </c>
      <c r="K196" s="1768">
        <v>160896</v>
      </c>
      <c r="L196" s="1768">
        <f>SUM(L185:L194)</f>
        <v>164274</v>
      </c>
      <c r="M196" s="1768">
        <f>SUM(M185:M194)</f>
        <v>168050</v>
      </c>
      <c r="N196" s="1768">
        <f>SUM(N185:N194)</f>
        <v>171912</v>
      </c>
      <c r="O196" s="1768">
        <f>SUM(O185:O194)</f>
        <v>175863</v>
      </c>
    </row>
    <row r="197" spans="1:16" ht="12.75" customHeight="1" thickTop="1" x14ac:dyDescent="0.25">
      <c r="D197" s="143"/>
      <c r="E197" s="381"/>
      <c r="H197" s="401"/>
      <c r="I197" s="114"/>
      <c r="J197" s="114"/>
      <c r="K197" s="114"/>
      <c r="L197" s="114"/>
      <c r="M197" s="114"/>
      <c r="N197" s="114"/>
      <c r="O197" s="114"/>
    </row>
    <row r="198" spans="1:16" ht="12.75" customHeight="1" x14ac:dyDescent="0.25">
      <c r="D198" s="393">
        <v>631007</v>
      </c>
      <c r="E198" s="381" t="s">
        <v>3770</v>
      </c>
      <c r="F198" s="382"/>
      <c r="H198" s="401"/>
      <c r="I198" s="114"/>
      <c r="J198" s="114"/>
      <c r="K198" s="114"/>
      <c r="L198" s="114"/>
      <c r="M198" s="114"/>
      <c r="N198" s="114"/>
      <c r="O198" s="114"/>
    </row>
    <row r="199" spans="1:16" ht="12.75" customHeight="1" x14ac:dyDescent="0.25">
      <c r="D199" s="393"/>
      <c r="E199" s="397" t="s">
        <v>533</v>
      </c>
      <c r="F199" s="382"/>
      <c r="H199" s="401"/>
      <c r="I199" s="114"/>
      <c r="J199" s="558"/>
      <c r="K199" s="558"/>
      <c r="L199" s="558"/>
      <c r="M199" s="558"/>
      <c r="N199" s="558"/>
      <c r="O199" s="558"/>
    </row>
    <row r="200" spans="1:16" ht="12.75" customHeight="1" x14ac:dyDescent="0.25">
      <c r="A200" s="143"/>
      <c r="D200" s="640">
        <v>442501</v>
      </c>
      <c r="E200" s="401" t="s">
        <v>3808</v>
      </c>
      <c r="F200" s="640"/>
      <c r="H200" s="401"/>
      <c r="I200" s="114"/>
      <c r="J200" s="114">
        <v>20579</v>
      </c>
      <c r="K200" s="114">
        <v>21114</v>
      </c>
      <c r="L200" s="114">
        <f>ROUND(K200*T$2,)</f>
        <v>21557</v>
      </c>
      <c r="M200" s="114">
        <f>ROUND(L200*U$2,)</f>
        <v>22053</v>
      </c>
      <c r="N200" s="114">
        <f>ROUND(M200*V$2,)</f>
        <v>22560</v>
      </c>
      <c r="O200" s="114">
        <f>ROUND(N200*W$2,)</f>
        <v>23079</v>
      </c>
    </row>
    <row r="201" spans="1:16" ht="12.75" customHeight="1" thickBot="1" x14ac:dyDescent="0.3">
      <c r="D201" s="640"/>
      <c r="E201" s="381" t="str">
        <f>"Totaal "&amp;D200</f>
        <v>Totaal 442501</v>
      </c>
      <c r="F201" s="640"/>
      <c r="H201" s="401"/>
      <c r="I201" s="114"/>
      <c r="J201" s="1768">
        <v>20579</v>
      </c>
      <c r="K201" s="1768">
        <v>21114</v>
      </c>
      <c r="L201" s="1768">
        <f>SUM(L200:L200)</f>
        <v>21557</v>
      </c>
      <c r="M201" s="1768">
        <f>SUM(M200:M200)</f>
        <v>22053</v>
      </c>
      <c r="N201" s="1768">
        <f>SUM(N200:N200)</f>
        <v>22560</v>
      </c>
      <c r="O201" s="1768">
        <f>SUM(O200:O200)</f>
        <v>23079</v>
      </c>
    </row>
    <row r="202" spans="1:16" ht="12.75" customHeight="1" thickTop="1" x14ac:dyDescent="0.25">
      <c r="D202" s="640"/>
      <c r="E202" s="115"/>
      <c r="F202" s="640"/>
      <c r="H202" s="401"/>
      <c r="I202" s="114"/>
      <c r="J202" s="114"/>
      <c r="K202" s="114"/>
      <c r="L202" s="114"/>
      <c r="M202" s="114"/>
      <c r="N202" s="114"/>
      <c r="O202" s="114"/>
    </row>
    <row r="203" spans="1:16" ht="12.75" customHeight="1" x14ac:dyDescent="0.25">
      <c r="D203" s="771">
        <v>631001</v>
      </c>
      <c r="E203" s="747" t="s">
        <v>3773</v>
      </c>
      <c r="F203" s="752"/>
      <c r="H203" s="453"/>
      <c r="I203" s="1047"/>
      <c r="J203" s="1047"/>
      <c r="K203" s="1047"/>
      <c r="L203" s="1047"/>
      <c r="M203" s="1047"/>
      <c r="N203" s="1047"/>
      <c r="O203" s="1047"/>
    </row>
    <row r="204" spans="1:16" ht="12.75" customHeight="1" x14ac:dyDescent="0.25">
      <c r="B204" s="115" t="s">
        <v>3809</v>
      </c>
      <c r="D204" s="771"/>
      <c r="E204" s="527" t="s">
        <v>533</v>
      </c>
      <c r="F204" s="752"/>
      <c r="H204" s="453"/>
      <c r="I204" s="1047"/>
      <c r="J204" s="158"/>
      <c r="K204" s="158"/>
      <c r="L204" s="158"/>
      <c r="M204" s="158"/>
      <c r="N204" s="158"/>
      <c r="O204" s="158"/>
    </row>
    <row r="205" spans="1:16" ht="12.75" customHeight="1" x14ac:dyDescent="0.25">
      <c r="A205" s="143"/>
      <c r="D205" s="516">
        <v>44380</v>
      </c>
      <c r="E205" s="778" t="s">
        <v>3810</v>
      </c>
      <c r="F205" s="516"/>
      <c r="H205" s="453"/>
      <c r="I205" s="1047"/>
      <c r="J205" s="114">
        <v>40132</v>
      </c>
      <c r="K205" s="114">
        <v>40935</v>
      </c>
      <c r="L205" s="114">
        <f t="shared" ref="L205:O206" si="52">ROUND(K205*T$3,0)</f>
        <v>42654</v>
      </c>
      <c r="M205" s="114">
        <f t="shared" si="52"/>
        <v>44232</v>
      </c>
      <c r="N205" s="114">
        <f t="shared" si="52"/>
        <v>45869</v>
      </c>
      <c r="O205" s="114">
        <f t="shared" si="52"/>
        <v>47566</v>
      </c>
    </row>
    <row r="206" spans="1:16" ht="12.75" customHeight="1" x14ac:dyDescent="0.25">
      <c r="A206" s="143"/>
      <c r="D206" s="516"/>
      <c r="E206" s="778" t="s">
        <v>3811</v>
      </c>
      <c r="F206" s="516"/>
      <c r="H206" s="453"/>
      <c r="I206" s="1047"/>
      <c r="J206" s="114">
        <v>24794</v>
      </c>
      <c r="K206" s="114">
        <v>25290</v>
      </c>
      <c r="L206" s="114">
        <f t="shared" si="52"/>
        <v>26352</v>
      </c>
      <c r="M206" s="114">
        <f t="shared" si="52"/>
        <v>27327</v>
      </c>
      <c r="N206" s="114">
        <f t="shared" si="52"/>
        <v>28338</v>
      </c>
      <c r="O206" s="114">
        <f t="shared" si="52"/>
        <v>29387</v>
      </c>
    </row>
    <row r="207" spans="1:16" ht="12.75" customHeight="1" thickBot="1" x14ac:dyDescent="0.3">
      <c r="D207" s="516"/>
      <c r="E207" s="747" t="s">
        <v>3812</v>
      </c>
      <c r="F207" s="516"/>
      <c r="H207" s="453"/>
      <c r="I207" s="1047"/>
      <c r="J207" s="1888">
        <v>64926</v>
      </c>
      <c r="K207" s="1888">
        <v>66225</v>
      </c>
      <c r="L207" s="1888">
        <f t="shared" ref="L207:M207" si="53">SUM(L205:L206)</f>
        <v>69006</v>
      </c>
      <c r="M207" s="1888">
        <f t="shared" si="53"/>
        <v>71559</v>
      </c>
      <c r="N207" s="1888">
        <f t="shared" ref="N207:O207" si="54">SUM(N205:N206)</f>
        <v>74207</v>
      </c>
      <c r="O207" s="1888">
        <f t="shared" si="54"/>
        <v>76953</v>
      </c>
      <c r="P207" s="115">
        <v>259485</v>
      </c>
    </row>
    <row r="208" spans="1:16" ht="12.75" customHeight="1" thickTop="1" x14ac:dyDescent="0.25">
      <c r="D208" s="453"/>
      <c r="E208" s="787"/>
      <c r="F208" s="517"/>
      <c r="H208" s="453"/>
      <c r="I208" s="1047"/>
      <c r="J208" s="453"/>
      <c r="K208" s="453"/>
      <c r="L208" s="453"/>
      <c r="M208" s="453"/>
      <c r="N208" s="453"/>
      <c r="O208" s="453"/>
      <c r="P208" s="115">
        <v>249386</v>
      </c>
    </row>
    <row r="209" spans="1:20" ht="12.75" customHeight="1" x14ac:dyDescent="0.25">
      <c r="D209" s="771">
        <v>631002</v>
      </c>
      <c r="E209" s="747" t="s">
        <v>3774</v>
      </c>
      <c r="F209" s="752"/>
      <c r="H209" s="747"/>
      <c r="I209" s="1047"/>
      <c r="J209" s="1047"/>
      <c r="K209" s="1047"/>
      <c r="L209" s="1047"/>
      <c r="M209" s="1047"/>
      <c r="N209" s="1047"/>
      <c r="O209" s="1047"/>
      <c r="P209" s="115">
        <f>+P207-P208</f>
        <v>10099</v>
      </c>
    </row>
    <row r="210" spans="1:20" ht="12.75" customHeight="1" x14ac:dyDescent="0.25">
      <c r="D210" s="516"/>
      <c r="E210" s="527" t="s">
        <v>533</v>
      </c>
      <c r="F210" s="516"/>
      <c r="H210" s="453"/>
      <c r="I210" s="1047"/>
      <c r="J210" s="453"/>
      <c r="K210" s="453"/>
      <c r="L210" s="453"/>
      <c r="M210" s="453"/>
      <c r="N210" s="453"/>
      <c r="O210" s="453"/>
    </row>
    <row r="211" spans="1:20" ht="12.75" customHeight="1" x14ac:dyDescent="0.3">
      <c r="A211" s="143"/>
      <c r="D211" s="516">
        <v>44380</v>
      </c>
      <c r="E211" s="453" t="s">
        <v>3813</v>
      </c>
      <c r="F211" s="516"/>
      <c r="H211" s="453"/>
      <c r="I211" s="1047"/>
      <c r="J211" s="114">
        <v>355146</v>
      </c>
      <c r="K211" s="114">
        <v>362249</v>
      </c>
      <c r="L211" s="114">
        <f>ROUND(K211*T$3,0)</f>
        <v>377463</v>
      </c>
      <c r="M211" s="114">
        <f>ROUND(L211*U$3,0)</f>
        <v>391429</v>
      </c>
      <c r="N211" s="114">
        <f>ROUND(M211*V$3,0)</f>
        <v>405912</v>
      </c>
      <c r="O211" s="114">
        <f>ROUND(N211*W$3,0)</f>
        <v>420931</v>
      </c>
      <c r="P211" s="115">
        <v>10</v>
      </c>
      <c r="Q211" s="115" t="s">
        <v>3814</v>
      </c>
      <c r="S211" s="57" t="e">
        <f>+#REF!*P211/100</f>
        <v>#REF!</v>
      </c>
      <c r="T211" s="115">
        <v>631006</v>
      </c>
    </row>
    <row r="212" spans="1:20" ht="12.75" customHeight="1" x14ac:dyDescent="0.3">
      <c r="A212" s="143"/>
      <c r="D212" s="516"/>
      <c r="E212" s="453" t="s">
        <v>1626</v>
      </c>
      <c r="F212" s="516"/>
      <c r="H212" s="453"/>
      <c r="I212" s="1047"/>
      <c r="J212" s="114">
        <v>-77219.383696000004</v>
      </c>
      <c r="K212" s="114">
        <v>-79227.087672096008</v>
      </c>
      <c r="L212" s="114">
        <f>K212*T2</f>
        <v>-80890.856513210019</v>
      </c>
      <c r="M212" s="114">
        <f>L212*U2</f>
        <v>-82751.346213013836</v>
      </c>
      <c r="N212" s="114">
        <f>M212*V2</f>
        <v>-84654.627175913149</v>
      </c>
      <c r="O212" s="114">
        <f>N212*W2</f>
        <v>-86601.68360095915</v>
      </c>
      <c r="S212" s="57"/>
    </row>
    <row r="213" spans="1:20" ht="12.75" customHeight="1" x14ac:dyDescent="0.3">
      <c r="A213" s="143"/>
      <c r="D213" s="516"/>
      <c r="E213" s="453" t="s">
        <v>3815</v>
      </c>
      <c r="F213" s="516"/>
      <c r="H213" s="453"/>
      <c r="I213" s="1047"/>
      <c r="J213" s="114">
        <v>-10000</v>
      </c>
      <c r="K213" s="114">
        <v>-10000</v>
      </c>
      <c r="L213" s="114">
        <v>-10000</v>
      </c>
      <c r="M213" s="114">
        <v>-10000</v>
      </c>
      <c r="N213" s="114">
        <v>-10000</v>
      </c>
      <c r="O213" s="114">
        <v>-10000</v>
      </c>
      <c r="S213" s="57"/>
    </row>
    <row r="214" spans="1:20" ht="12.75" customHeight="1" x14ac:dyDescent="0.3">
      <c r="A214" s="143"/>
      <c r="D214" s="516"/>
      <c r="E214" s="453" t="s">
        <v>3816</v>
      </c>
      <c r="F214" s="516"/>
      <c r="H214" s="453"/>
      <c r="I214" s="1047"/>
      <c r="J214" s="114">
        <v>-19000</v>
      </c>
      <c r="K214" s="114">
        <v>-19494</v>
      </c>
      <c r="L214" s="114">
        <f>+K214*T2</f>
        <v>-19903.374</v>
      </c>
      <c r="M214" s="114">
        <f>+L214*U2</f>
        <v>-20361.151601999998</v>
      </c>
      <c r="N214" s="114">
        <f>+M214*V2</f>
        <v>-20829.458088845997</v>
      </c>
      <c r="O214" s="114">
        <f>+N214*W2</f>
        <v>-21308.535624889453</v>
      </c>
      <c r="S214" s="57"/>
    </row>
    <row r="215" spans="1:20" ht="12.75" customHeight="1" x14ac:dyDescent="0.3">
      <c r="A215" s="143"/>
      <c r="D215" s="516"/>
      <c r="E215" s="453" t="s">
        <v>3817</v>
      </c>
      <c r="F215" s="516"/>
      <c r="H215" s="453"/>
      <c r="I215" s="1047"/>
      <c r="J215" s="114">
        <v>-5000</v>
      </c>
      <c r="K215" s="114">
        <v>-5000</v>
      </c>
      <c r="L215" s="114">
        <v>-5000</v>
      </c>
      <c r="M215" s="114">
        <v>-5000</v>
      </c>
      <c r="N215" s="114">
        <v>-5000</v>
      </c>
      <c r="O215" s="114">
        <v>-5000</v>
      </c>
      <c r="S215" s="57"/>
    </row>
    <row r="216" spans="1:20" ht="12.75" customHeight="1" x14ac:dyDescent="0.3">
      <c r="A216" s="143"/>
      <c r="D216" s="516"/>
      <c r="E216" s="453" t="s">
        <v>3818</v>
      </c>
      <c r="F216" s="516"/>
      <c r="H216" s="453"/>
      <c r="I216" s="1047"/>
      <c r="J216" s="114"/>
      <c r="K216" s="114">
        <v>-25000</v>
      </c>
      <c r="L216" s="114">
        <v>-25000</v>
      </c>
      <c r="M216" s="114">
        <v>-25000</v>
      </c>
      <c r="N216" s="114">
        <v>-25000</v>
      </c>
      <c r="O216" s="114">
        <v>-25000</v>
      </c>
      <c r="S216" s="57"/>
    </row>
    <row r="217" spans="1:20" ht="12.75" customHeight="1" thickBot="1" x14ac:dyDescent="0.35">
      <c r="D217" s="516"/>
      <c r="E217" s="747" t="s">
        <v>3819</v>
      </c>
      <c r="F217" s="516"/>
      <c r="H217" s="453"/>
      <c r="I217" s="1047"/>
      <c r="J217" s="1888">
        <v>243926.61630400002</v>
      </c>
      <c r="K217" s="1888">
        <v>223527.91232790402</v>
      </c>
      <c r="L217" s="1888">
        <f>SUM(L211:L216)</f>
        <v>236668.76948679</v>
      </c>
      <c r="M217" s="1888">
        <f>SUM(M211:M216)</f>
        <v>248316.50218498614</v>
      </c>
      <c r="N217" s="1888">
        <f>SUM(N211:N216)</f>
        <v>260427.91473524086</v>
      </c>
      <c r="O217" s="1888">
        <f>SUM(O211:O216)</f>
        <v>273020.78077415144</v>
      </c>
      <c r="P217" s="115">
        <v>20</v>
      </c>
      <c r="Q217" s="115" t="s">
        <v>3772</v>
      </c>
      <c r="S217" s="57" t="e">
        <f>+#REF!*P217/100</f>
        <v>#REF!</v>
      </c>
      <c r="T217" s="115">
        <v>631010</v>
      </c>
    </row>
    <row r="218" spans="1:20" ht="12.75" customHeight="1" thickTop="1" x14ac:dyDescent="0.3">
      <c r="D218" s="516"/>
      <c r="E218" s="516"/>
      <c r="F218" s="516"/>
      <c r="G218" s="453"/>
      <c r="H218" s="453"/>
      <c r="I218" s="1047"/>
      <c r="J218" s="453"/>
      <c r="K218" s="453"/>
      <c r="L218" s="453"/>
      <c r="M218" s="453"/>
      <c r="N218" s="453"/>
      <c r="O218" s="453"/>
      <c r="P218" s="115">
        <v>70</v>
      </c>
      <c r="Q218" s="115" t="s">
        <v>3820</v>
      </c>
      <c r="S218" s="57" t="e">
        <f>+#REF!*P218/100</f>
        <v>#REF!</v>
      </c>
    </row>
    <row r="219" spans="1:20" ht="12.75" customHeight="1" x14ac:dyDescent="0.25">
      <c r="D219" s="516"/>
      <c r="E219" s="453" t="s">
        <v>3821</v>
      </c>
      <c r="F219" s="516"/>
      <c r="H219" s="453"/>
      <c r="I219" s="453"/>
      <c r="J219" s="453"/>
      <c r="K219" s="453"/>
      <c r="L219" s="453"/>
      <c r="M219" s="453"/>
      <c r="N219" s="453"/>
      <c r="O219" s="453"/>
    </row>
    <row r="220" spans="1:20" ht="12.75" customHeight="1" x14ac:dyDescent="0.25">
      <c r="D220" s="516"/>
      <c r="E220" s="453" t="s">
        <v>3822</v>
      </c>
      <c r="F220" s="516"/>
      <c r="H220" s="453"/>
      <c r="I220" s="453"/>
      <c r="J220" s="453"/>
      <c r="K220" s="453"/>
      <c r="L220" s="453"/>
      <c r="M220" s="453"/>
      <c r="N220" s="453"/>
      <c r="O220" s="453"/>
      <c r="S220" s="115" t="s">
        <v>3823</v>
      </c>
    </row>
    <row r="221" spans="1:20" ht="12.75" customHeight="1" x14ac:dyDescent="0.25">
      <c r="D221" s="516"/>
      <c r="E221" s="453" t="s">
        <v>3824</v>
      </c>
      <c r="F221" s="516"/>
      <c r="H221" s="453"/>
      <c r="I221" s="453"/>
      <c r="J221" s="453"/>
      <c r="K221" s="453"/>
      <c r="L221" s="453"/>
      <c r="M221" s="453"/>
      <c r="N221" s="453"/>
      <c r="O221" s="453"/>
    </row>
    <row r="222" spans="1:20" ht="12.75" customHeight="1" x14ac:dyDescent="0.25">
      <c r="G222" s="1060"/>
      <c r="H222" s="458"/>
    </row>
    <row r="223" spans="1:20" ht="12.75" customHeight="1" x14ac:dyDescent="0.25">
      <c r="D223" s="1061">
        <v>631901</v>
      </c>
      <c r="E223" s="747" t="s">
        <v>3782</v>
      </c>
      <c r="F223" s="1062"/>
      <c r="H223" s="453"/>
      <c r="I223" s="453"/>
      <c r="J223" s="453"/>
      <c r="K223" s="453"/>
      <c r="L223" s="453"/>
      <c r="M223" s="453"/>
      <c r="N223" s="453"/>
      <c r="O223" s="453"/>
    </row>
    <row r="224" spans="1:20" ht="12.75" customHeight="1" x14ac:dyDescent="0.25">
      <c r="D224" s="769"/>
      <c r="E224" s="527" t="s">
        <v>533</v>
      </c>
      <c r="F224" s="769"/>
      <c r="H224" s="453"/>
      <c r="I224" s="453"/>
      <c r="J224" s="469"/>
      <c r="K224" s="469"/>
      <c r="L224" s="469"/>
      <c r="M224" s="469"/>
      <c r="N224" s="469"/>
      <c r="O224" s="469"/>
    </row>
    <row r="225" spans="4:16" ht="12.75" customHeight="1" x14ac:dyDescent="0.25">
      <c r="D225" s="516">
        <v>41100</v>
      </c>
      <c r="E225" s="453" t="s">
        <v>541</v>
      </c>
      <c r="F225" s="516"/>
      <c r="H225" s="453"/>
      <c r="I225" s="453"/>
      <c r="J225" s="453"/>
      <c r="K225" s="453"/>
      <c r="L225" s="453"/>
      <c r="M225" s="453"/>
      <c r="N225" s="453"/>
      <c r="O225" s="453"/>
    </row>
    <row r="226" spans="4:16" ht="12.75" customHeight="1" x14ac:dyDescent="0.25">
      <c r="D226" s="516">
        <v>41100</v>
      </c>
      <c r="E226" s="787" t="s">
        <v>3825</v>
      </c>
      <c r="F226" s="516"/>
      <c r="H226" s="453"/>
      <c r="I226" s="453"/>
      <c r="J226" s="469">
        <v>0</v>
      </c>
      <c r="K226" s="469">
        <v>0</v>
      </c>
      <c r="L226" s="469">
        <f t="shared" ref="L226:L235" si="55">ROUND(K226*T$3,0)</f>
        <v>0</v>
      </c>
      <c r="M226" s="469">
        <f t="shared" ref="M226:M235" si="56">ROUND(L226*U$3,0)</f>
        <v>0</v>
      </c>
      <c r="N226" s="469">
        <f t="shared" ref="N226:O235" si="57">ROUND(M226*V$3,0)</f>
        <v>0</v>
      </c>
      <c r="O226" s="469">
        <f t="shared" si="57"/>
        <v>0</v>
      </c>
    </row>
    <row r="227" spans="4:16" ht="12.75" customHeight="1" x14ac:dyDescent="0.25">
      <c r="D227" s="516">
        <v>41100</v>
      </c>
      <c r="E227" s="787" t="s">
        <v>3826</v>
      </c>
      <c r="F227" s="516"/>
      <c r="H227" s="453"/>
      <c r="I227" s="453"/>
      <c r="J227" s="469">
        <v>0</v>
      </c>
      <c r="K227" s="469">
        <v>0</v>
      </c>
      <c r="L227" s="469">
        <f t="shared" si="55"/>
        <v>0</v>
      </c>
      <c r="M227" s="469">
        <f t="shared" si="56"/>
        <v>0</v>
      </c>
      <c r="N227" s="469">
        <f t="shared" si="57"/>
        <v>0</v>
      </c>
      <c r="O227" s="469">
        <f t="shared" si="57"/>
        <v>0</v>
      </c>
    </row>
    <row r="228" spans="4:16" ht="12.75" customHeight="1" x14ac:dyDescent="0.25">
      <c r="D228" s="516">
        <v>41100</v>
      </c>
      <c r="E228" s="787" t="s">
        <v>2672</v>
      </c>
      <c r="F228" s="516"/>
      <c r="H228" s="453"/>
      <c r="I228" s="453"/>
      <c r="J228" s="469">
        <v>0</v>
      </c>
      <c r="K228" s="469">
        <v>0</v>
      </c>
      <c r="L228" s="469">
        <f t="shared" si="55"/>
        <v>0</v>
      </c>
      <c r="M228" s="469">
        <f t="shared" si="56"/>
        <v>0</v>
      </c>
      <c r="N228" s="469">
        <f t="shared" si="57"/>
        <v>0</v>
      </c>
      <c r="O228" s="469">
        <f t="shared" si="57"/>
        <v>0</v>
      </c>
    </row>
    <row r="229" spans="4:16" ht="12.75" customHeight="1" x14ac:dyDescent="0.25">
      <c r="D229" s="516">
        <v>41100</v>
      </c>
      <c r="E229" s="787" t="s">
        <v>3742</v>
      </c>
      <c r="F229" s="516"/>
      <c r="H229" s="453"/>
      <c r="I229" s="453"/>
      <c r="J229" s="469">
        <v>0</v>
      </c>
      <c r="K229" s="469">
        <v>0</v>
      </c>
      <c r="L229" s="469">
        <f t="shared" si="55"/>
        <v>0</v>
      </c>
      <c r="M229" s="469">
        <f t="shared" si="56"/>
        <v>0</v>
      </c>
      <c r="N229" s="469">
        <f t="shared" si="57"/>
        <v>0</v>
      </c>
      <c r="O229" s="469">
        <f t="shared" si="57"/>
        <v>0</v>
      </c>
    </row>
    <row r="230" spans="4:16" ht="12.75" customHeight="1" x14ac:dyDescent="0.25">
      <c r="D230" s="143">
        <v>41100</v>
      </c>
      <c r="E230" s="308" t="s">
        <v>3827</v>
      </c>
      <c r="H230" s="401"/>
      <c r="I230" s="114"/>
      <c r="J230" s="469">
        <v>0</v>
      </c>
      <c r="K230" s="469">
        <v>0</v>
      </c>
      <c r="L230" s="469">
        <f t="shared" si="55"/>
        <v>0</v>
      </c>
      <c r="M230" s="469">
        <f t="shared" si="56"/>
        <v>0</v>
      </c>
      <c r="N230" s="469">
        <f t="shared" si="57"/>
        <v>0</v>
      </c>
      <c r="O230" s="469">
        <f t="shared" si="57"/>
        <v>0</v>
      </c>
    </row>
    <row r="231" spans="4:16" ht="12.75" customHeight="1" x14ac:dyDescent="0.25">
      <c r="D231" s="143">
        <v>41000</v>
      </c>
      <c r="E231" s="308" t="s">
        <v>1028</v>
      </c>
      <c r="H231" s="401"/>
      <c r="I231" s="114"/>
      <c r="J231" s="469">
        <v>4449</v>
      </c>
      <c r="K231" s="469">
        <v>3367</v>
      </c>
      <c r="L231" s="469">
        <f t="shared" si="55"/>
        <v>3508</v>
      </c>
      <c r="M231" s="469">
        <f t="shared" si="56"/>
        <v>3638</v>
      </c>
      <c r="N231" s="469">
        <f t="shared" si="57"/>
        <v>3773</v>
      </c>
      <c r="O231" s="469">
        <f t="shared" si="57"/>
        <v>3913</v>
      </c>
    </row>
    <row r="232" spans="4:16" ht="12.75" customHeight="1" x14ac:dyDescent="0.25">
      <c r="D232" s="143">
        <v>41100</v>
      </c>
      <c r="E232" s="308" t="s">
        <v>1030</v>
      </c>
      <c r="H232" s="401"/>
      <c r="I232" s="114"/>
      <c r="J232" s="469">
        <v>8663</v>
      </c>
      <c r="K232" s="469">
        <v>9116</v>
      </c>
      <c r="L232" s="469">
        <f t="shared" si="55"/>
        <v>9499</v>
      </c>
      <c r="M232" s="469">
        <f t="shared" si="56"/>
        <v>9850</v>
      </c>
      <c r="N232" s="469">
        <f t="shared" si="57"/>
        <v>10214</v>
      </c>
      <c r="O232" s="469">
        <f t="shared" si="57"/>
        <v>10592</v>
      </c>
    </row>
    <row r="233" spans="4:16" ht="12.75" customHeight="1" x14ac:dyDescent="0.25">
      <c r="D233" s="143">
        <v>41100</v>
      </c>
      <c r="E233" s="308" t="s">
        <v>1029</v>
      </c>
      <c r="H233" s="401"/>
      <c r="I233" s="114"/>
      <c r="J233" s="469">
        <v>20094</v>
      </c>
      <c r="K233" s="469">
        <v>20065</v>
      </c>
      <c r="L233" s="469">
        <f t="shared" si="55"/>
        <v>20908</v>
      </c>
      <c r="M233" s="469">
        <f t="shared" si="56"/>
        <v>21682</v>
      </c>
      <c r="N233" s="469">
        <f t="shared" si="57"/>
        <v>22484</v>
      </c>
      <c r="O233" s="469">
        <f t="shared" si="57"/>
        <v>23316</v>
      </c>
    </row>
    <row r="234" spans="4:16" ht="12.75" customHeight="1" x14ac:dyDescent="0.25">
      <c r="D234" s="143">
        <v>41100</v>
      </c>
      <c r="E234" s="308" t="s">
        <v>3089</v>
      </c>
      <c r="H234" s="401"/>
      <c r="I234" s="114"/>
      <c r="J234" s="469">
        <v>14517.97</v>
      </c>
      <c r="K234" s="469">
        <v>12753</v>
      </c>
      <c r="L234" s="469">
        <f t="shared" si="55"/>
        <v>13289</v>
      </c>
      <c r="M234" s="469">
        <f t="shared" si="56"/>
        <v>13781</v>
      </c>
      <c r="N234" s="469">
        <f t="shared" si="57"/>
        <v>14291</v>
      </c>
      <c r="O234" s="469">
        <f t="shared" si="57"/>
        <v>14820</v>
      </c>
    </row>
    <row r="235" spans="4:16" ht="12.75" customHeight="1" x14ac:dyDescent="0.25">
      <c r="D235" s="143">
        <v>41100</v>
      </c>
      <c r="E235" s="308" t="s">
        <v>3261</v>
      </c>
      <c r="H235" s="401"/>
      <c r="I235" s="114"/>
      <c r="J235" s="469">
        <v>146014.85</v>
      </c>
      <c r="K235" s="469">
        <v>113691.58</v>
      </c>
      <c r="L235" s="469">
        <f t="shared" si="55"/>
        <v>118467</v>
      </c>
      <c r="M235" s="469">
        <f t="shared" si="56"/>
        <v>122850</v>
      </c>
      <c r="N235" s="469">
        <f t="shared" si="57"/>
        <v>127395</v>
      </c>
      <c r="O235" s="469">
        <f t="shared" si="57"/>
        <v>132109</v>
      </c>
    </row>
    <row r="236" spans="4:16" ht="12.75" customHeight="1" x14ac:dyDescent="0.25">
      <c r="D236" s="143"/>
      <c r="E236" s="1063" t="s">
        <v>3828</v>
      </c>
      <c r="H236" s="401"/>
      <c r="I236" s="114"/>
      <c r="J236" s="469"/>
      <c r="K236" s="469"/>
      <c r="L236" s="469"/>
      <c r="M236" s="469"/>
      <c r="N236" s="469"/>
      <c r="O236" s="469"/>
    </row>
    <row r="237" spans="4:16" ht="12.75" customHeight="1" x14ac:dyDescent="0.25">
      <c r="D237" s="143">
        <v>41100</v>
      </c>
      <c r="E237" s="308" t="s">
        <v>3829</v>
      </c>
      <c r="H237" s="401"/>
      <c r="I237" s="114"/>
      <c r="J237" s="469">
        <v>38000</v>
      </c>
      <c r="K237" s="469">
        <v>38760</v>
      </c>
      <c r="L237" s="469">
        <f>ROUND(K237*T$3,0)</f>
        <v>40388</v>
      </c>
      <c r="M237" s="469">
        <f>ROUND(L237*U$3,0)</f>
        <v>41882</v>
      </c>
      <c r="N237" s="469">
        <f>ROUND(M237*V$3,0)</f>
        <v>43432</v>
      </c>
      <c r="O237" s="469">
        <f>ROUND(N237*W$3,0)</f>
        <v>45039</v>
      </c>
      <c r="P237" s="115" t="s">
        <v>3830</v>
      </c>
    </row>
    <row r="238" spans="4:16" ht="12.75" customHeight="1" x14ac:dyDescent="0.25">
      <c r="D238" s="143"/>
      <c r="E238" s="308"/>
      <c r="H238" s="401"/>
      <c r="I238" s="114"/>
      <c r="J238" s="469"/>
      <c r="K238" s="469"/>
      <c r="L238" s="469"/>
      <c r="M238" s="469"/>
      <c r="N238" s="469"/>
      <c r="O238" s="469"/>
    </row>
    <row r="239" spans="4:16" ht="12.75" customHeight="1" thickBot="1" x14ac:dyDescent="0.3">
      <c r="D239" s="516"/>
      <c r="E239" s="747" t="s">
        <v>1182</v>
      </c>
      <c r="F239" s="516"/>
      <c r="H239" s="453"/>
      <c r="I239" s="453"/>
      <c r="J239" s="1888">
        <v>231738.82</v>
      </c>
      <c r="K239" s="1888">
        <v>197752.58000000002</v>
      </c>
      <c r="L239" s="1888">
        <f t="shared" ref="L239:M239" si="58">SUM(L226:L237)</f>
        <v>206059</v>
      </c>
      <c r="M239" s="1888">
        <f t="shared" si="58"/>
        <v>213683</v>
      </c>
      <c r="N239" s="1888">
        <f t="shared" ref="N239:O239" si="59">SUM(N226:N237)</f>
        <v>221589</v>
      </c>
      <c r="O239" s="1888">
        <f t="shared" si="59"/>
        <v>229789</v>
      </c>
    </row>
    <row r="240" spans="4:16" ht="12.75" customHeight="1" thickTop="1" x14ac:dyDescent="0.25">
      <c r="D240" s="115"/>
      <c r="E240" s="115"/>
      <c r="F240" s="400"/>
      <c r="I240" s="114"/>
    </row>
    <row r="241" spans="4:15" ht="12.75" customHeight="1" x14ac:dyDescent="0.25">
      <c r="D241" s="445">
        <v>631013</v>
      </c>
      <c r="E241" s="445" t="s">
        <v>3771</v>
      </c>
      <c r="F241" s="400"/>
      <c r="I241" s="114"/>
      <c r="J241" s="114"/>
      <c r="K241" s="114"/>
      <c r="L241" s="114"/>
      <c r="M241" s="114"/>
      <c r="N241" s="114"/>
      <c r="O241" s="114"/>
    </row>
    <row r="242" spans="4:15" ht="12.75" customHeight="1" x14ac:dyDescent="0.25">
      <c r="D242" s="400">
        <v>84310</v>
      </c>
      <c r="E242" s="115" t="s">
        <v>3831</v>
      </c>
      <c r="F242" s="400"/>
      <c r="I242" s="114"/>
      <c r="J242" s="114">
        <v>0</v>
      </c>
      <c r="K242" s="114">
        <v>0</v>
      </c>
      <c r="L242" s="114">
        <f>-L237*40%</f>
        <v>-16155.2</v>
      </c>
      <c r="M242" s="114">
        <f>-M237*40%</f>
        <v>-16752.8</v>
      </c>
      <c r="N242" s="114">
        <f>-N237*40%</f>
        <v>-17372.8</v>
      </c>
      <c r="O242" s="114">
        <f>-O237*40%</f>
        <v>-18015.600000000002</v>
      </c>
    </row>
    <row r="243" spans="4:15" ht="12.75" customHeight="1" x14ac:dyDescent="0.25">
      <c r="D243" s="115"/>
      <c r="E243" s="115" t="s">
        <v>3832</v>
      </c>
      <c r="F243" s="400"/>
      <c r="I243" s="114"/>
    </row>
    <row r="244" spans="4:15" ht="12.75" customHeight="1" thickBot="1" x14ac:dyDescent="0.3">
      <c r="D244" s="115"/>
      <c r="E244" s="381" t="s">
        <v>3833</v>
      </c>
      <c r="F244" s="400"/>
      <c r="I244" s="114"/>
      <c r="J244" s="1744">
        <v>0</v>
      </c>
      <c r="K244" s="1744">
        <v>0</v>
      </c>
      <c r="L244" s="1744">
        <f>SUM(L242)</f>
        <v>-16155.2</v>
      </c>
      <c r="M244" s="1744">
        <f>SUM(M242)</f>
        <v>-16752.8</v>
      </c>
      <c r="N244" s="1744">
        <f>SUM(N242)</f>
        <v>-17372.8</v>
      </c>
      <c r="O244" s="1744">
        <f>SUM(O242)</f>
        <v>-18015.600000000002</v>
      </c>
    </row>
    <row r="245" spans="4:15" ht="12.75" customHeight="1" thickTop="1" x14ac:dyDescent="0.25">
      <c r="D245" s="115"/>
      <c r="E245" s="115"/>
      <c r="F245" s="400"/>
      <c r="I245" s="114"/>
      <c r="J245" s="114"/>
      <c r="K245" s="114"/>
      <c r="L245" s="114"/>
      <c r="M245" s="114"/>
      <c r="N245" s="114"/>
      <c r="O245" s="114"/>
    </row>
    <row r="246" spans="4:15" ht="12.75" customHeight="1" x14ac:dyDescent="0.25">
      <c r="D246" s="115"/>
      <c r="E246" s="115"/>
      <c r="F246" s="400"/>
      <c r="I246" s="114"/>
    </row>
    <row r="247" spans="4:15" ht="12.75" customHeight="1" x14ac:dyDescent="0.25">
      <c r="D247" s="393">
        <v>631009</v>
      </c>
      <c r="E247" s="381" t="s">
        <v>3834</v>
      </c>
      <c r="F247" s="382"/>
      <c r="J247" s="114"/>
      <c r="K247" s="114"/>
      <c r="L247" s="114"/>
      <c r="M247" s="114"/>
      <c r="N247" s="114"/>
      <c r="O247" s="114"/>
    </row>
    <row r="248" spans="4:15" ht="12.75" customHeight="1" x14ac:dyDescent="0.25">
      <c r="D248" s="384"/>
      <c r="E248" s="383" t="s">
        <v>554</v>
      </c>
      <c r="F248" s="384"/>
      <c r="I248" s="114"/>
      <c r="J248" s="114"/>
      <c r="K248" s="114"/>
      <c r="L248" s="114"/>
      <c r="M248" s="114"/>
      <c r="N248" s="114"/>
      <c r="O248" s="114"/>
    </row>
    <row r="249" spans="4:15" ht="12.75" customHeight="1" x14ac:dyDescent="0.25">
      <c r="D249" s="384">
        <v>83600</v>
      </c>
      <c r="E249" s="115" t="s">
        <v>3835</v>
      </c>
      <c r="F249" s="384"/>
      <c r="I249" s="114"/>
      <c r="J249" s="114">
        <v>-500</v>
      </c>
      <c r="K249" s="114">
        <v>-531</v>
      </c>
      <c r="L249" s="114">
        <v>-545.80999999999995</v>
      </c>
      <c r="M249" s="114">
        <f>ROUND(L249*U$2,)</f>
        <v>-558</v>
      </c>
      <c r="N249" s="114">
        <f>ROUND(M249*V$2,)</f>
        <v>-571</v>
      </c>
      <c r="O249" s="114">
        <f>ROUND(N249*W$2,)</f>
        <v>-584</v>
      </c>
    </row>
    <row r="250" spans="4:15" ht="12.75" customHeight="1" thickBot="1" x14ac:dyDescent="0.3">
      <c r="D250" s="384"/>
      <c r="E250" s="115" t="str">
        <f>"Totaal "&amp;D249</f>
        <v>Totaal 83600</v>
      </c>
      <c r="F250" s="384"/>
      <c r="I250" s="114"/>
      <c r="J250" s="1744">
        <v>-500</v>
      </c>
      <c r="K250" s="1744">
        <v>-531</v>
      </c>
      <c r="L250" s="1744">
        <f t="shared" ref="L250:M250" si="60">SUM(L248:L249)</f>
        <v>-545.80999999999995</v>
      </c>
      <c r="M250" s="1744">
        <f t="shared" si="60"/>
        <v>-558</v>
      </c>
      <c r="N250" s="1744">
        <f t="shared" ref="N250:O250" si="61">SUM(N248:N249)</f>
        <v>-571</v>
      </c>
      <c r="O250" s="1744">
        <f t="shared" si="61"/>
        <v>-584</v>
      </c>
    </row>
    <row r="251" spans="4:15" ht="12.75" customHeight="1" thickTop="1" x14ac:dyDescent="0.25">
      <c r="D251" s="384"/>
      <c r="E251" s="384"/>
      <c r="F251" s="384"/>
      <c r="G251" s="381"/>
      <c r="I251" s="114"/>
      <c r="J251" s="114"/>
    </row>
  </sheetData>
  <mergeCells count="3">
    <mergeCell ref="D66:D67"/>
    <mergeCell ref="F66:F67"/>
    <mergeCell ref="G66:H67"/>
  </mergeCells>
  <hyperlinks>
    <hyperlink ref="A1" location="Inhoudsopgave!A1" display="Inhoudsopgave" xr:uid="{5DB3410B-4AFB-4432-B1B7-6D91B8897DB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3" manualBreakCount="3">
    <brk id="63" max="16383" man="1"/>
    <brk id="138" min="3" max="14" man="1"/>
    <brk id="222" min="3" max="14" man="1"/>
  </rowBreaks>
  <colBreaks count="1" manualBreakCount="1">
    <brk id="3"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ECB9-4F87-42D4-8BFC-7203B844B941}">
  <sheetPr codeName="Blad28"/>
  <dimension ref="A1:W85"/>
  <sheetViews>
    <sheetView showGridLines="0" view="pageBreakPreview" topLeftCell="A49" zoomScaleNormal="95" zoomScaleSheetLayoutView="100" workbookViewId="0">
      <selection activeCell="K35" sqref="K35"/>
    </sheetView>
  </sheetViews>
  <sheetFormatPr defaultColWidth="9.109375" defaultRowHeight="12.75" customHeight="1" x14ac:dyDescent="0.25"/>
  <cols>
    <col min="1" max="1" width="9.5546875" style="115" bestFit="1" customWidth="1"/>
    <col min="2" max="3" width="21.44140625" style="115" customWidth="1"/>
    <col min="4" max="6" width="9.6640625" style="301" customWidth="1"/>
    <col min="7" max="9" width="12.6640625" style="115" customWidth="1"/>
    <col min="10" max="15" width="11.6640625" style="115" customWidth="1"/>
    <col min="16" max="16" width="11.109375" style="115" customWidth="1"/>
    <col min="17" max="23" width="9.6640625" style="115" bestFit="1" customWidth="1"/>
    <col min="24"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505</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30</v>
      </c>
    </row>
    <row r="24" spans="4:15" ht="12.75" customHeight="1" x14ac:dyDescent="0.25">
      <c r="D24" s="312" t="s">
        <v>507</v>
      </c>
    </row>
    <row r="26" spans="4:15" ht="12.75" customHeight="1" x14ac:dyDescent="0.25">
      <c r="D26" s="1784" t="s">
        <v>508</v>
      </c>
      <c r="E26" s="1785"/>
      <c r="F26" s="1785"/>
      <c r="G26" s="1786"/>
      <c r="H26" s="1786"/>
      <c r="I26" s="1787"/>
      <c r="J26" s="1787">
        <v>2025</v>
      </c>
      <c r="K26" s="1787">
        <v>2026</v>
      </c>
      <c r="L26" s="1787">
        <v>2027</v>
      </c>
      <c r="M26" s="1787">
        <v>2028</v>
      </c>
      <c r="N26" s="1787">
        <v>2029</v>
      </c>
      <c r="O26" s="1787">
        <v>2030</v>
      </c>
    </row>
    <row r="27" spans="4:15" ht="12.75" customHeight="1" x14ac:dyDescent="0.25">
      <c r="D27" s="315" t="str">
        <f>G51</f>
        <v>Regionaal Historisch Centrum</v>
      </c>
      <c r="E27" s="302"/>
      <c r="F27" s="303"/>
      <c r="I27" s="316"/>
      <c r="J27" s="7">
        <v>129097</v>
      </c>
      <c r="K27" s="7">
        <v>134868</v>
      </c>
      <c r="L27" s="7">
        <f t="shared" ref="L27:M27" si="0">+L54</f>
        <v>140533</v>
      </c>
      <c r="M27" s="7">
        <f t="shared" si="0"/>
        <v>145733</v>
      </c>
      <c r="N27" s="7">
        <f t="shared" ref="N27:O27" si="1">+N54</f>
        <v>151125</v>
      </c>
      <c r="O27" s="7">
        <f t="shared" si="1"/>
        <v>156717</v>
      </c>
    </row>
    <row r="28" spans="4:15" ht="12.75" customHeight="1" x14ac:dyDescent="0.25">
      <c r="D28" s="315"/>
      <c r="E28" s="302"/>
      <c r="F28" s="303"/>
      <c r="I28" s="316"/>
      <c r="J28" s="7"/>
      <c r="K28" s="7"/>
      <c r="L28" s="7"/>
      <c r="M28" s="7"/>
      <c r="N28" s="7"/>
      <c r="O28" s="7"/>
    </row>
    <row r="29" spans="4:15" ht="12.75" customHeight="1" x14ac:dyDescent="0.25">
      <c r="D29" s="315"/>
      <c r="E29" s="302"/>
      <c r="F29" s="303"/>
      <c r="I29" s="316"/>
      <c r="J29" s="10"/>
      <c r="K29" s="10"/>
      <c r="L29" s="10"/>
      <c r="M29" s="10"/>
      <c r="N29" s="10"/>
      <c r="O29" s="10"/>
    </row>
    <row r="30" spans="4:15" ht="12.75" customHeight="1" x14ac:dyDescent="0.25">
      <c r="D30" s="315"/>
      <c r="E30" s="302"/>
      <c r="F30" s="303"/>
      <c r="I30" s="316"/>
      <c r="J30" s="10"/>
      <c r="K30" s="10"/>
      <c r="L30" s="10"/>
      <c r="M30" s="10"/>
      <c r="N30" s="10"/>
      <c r="O30" s="10"/>
    </row>
    <row r="31" spans="4:15" ht="12.75" customHeight="1" x14ac:dyDescent="0.25">
      <c r="D31" s="315"/>
      <c r="E31" s="302"/>
      <c r="F31" s="303"/>
      <c r="I31" s="316"/>
      <c r="J31" s="10"/>
      <c r="K31" s="10"/>
      <c r="L31" s="10"/>
      <c r="M31" s="10"/>
      <c r="N31" s="10"/>
      <c r="O31" s="10"/>
    </row>
    <row r="32" spans="4:15" ht="12.75" customHeight="1" x14ac:dyDescent="0.25">
      <c r="D32" s="315"/>
      <c r="E32" s="302"/>
      <c r="F32" s="303"/>
      <c r="I32" s="316"/>
      <c r="J32" s="10"/>
      <c r="K32" s="10"/>
      <c r="L32" s="10"/>
      <c r="M32" s="10"/>
      <c r="N32" s="10"/>
      <c r="O32" s="10"/>
    </row>
    <row r="33" spans="1:17" ht="12.75" customHeight="1" x14ac:dyDescent="0.25">
      <c r="D33" s="315"/>
      <c r="E33" s="302"/>
      <c r="F33" s="303"/>
      <c r="I33" s="316"/>
      <c r="J33" s="8"/>
      <c r="K33" s="8"/>
      <c r="L33" s="8"/>
      <c r="M33" s="8"/>
      <c r="N33" s="8"/>
      <c r="O33" s="8"/>
    </row>
    <row r="34" spans="1:17" ht="12.75" customHeight="1" x14ac:dyDescent="0.25">
      <c r="D34" s="1788" t="s">
        <v>525</v>
      </c>
      <c r="E34" s="1789"/>
      <c r="F34" s="1790"/>
      <c r="G34" s="1791"/>
      <c r="H34" s="1791"/>
      <c r="I34" s="1792"/>
      <c r="J34" s="1770">
        <v>129097</v>
      </c>
      <c r="K34" s="1770">
        <v>134868</v>
      </c>
      <c r="L34" s="1770">
        <f>SUM(L27:L33)</f>
        <v>140533</v>
      </c>
      <c r="M34" s="1770">
        <f>SUM(M27:M33)</f>
        <v>145733</v>
      </c>
      <c r="N34" s="1770">
        <f>SUM(N27:N33)</f>
        <v>151125</v>
      </c>
      <c r="O34" s="1770">
        <f>SUM(O27:O33)</f>
        <v>156717</v>
      </c>
    </row>
    <row r="35" spans="1:17" ht="12.75" customHeight="1" x14ac:dyDescent="0.25">
      <c r="E35" s="302"/>
      <c r="F35" s="303"/>
    </row>
    <row r="36" spans="1:17" ht="12.75" customHeight="1" x14ac:dyDescent="0.25">
      <c r="D36" s="1784" t="s">
        <v>526</v>
      </c>
      <c r="E36" s="1785"/>
      <c r="F36" s="1785"/>
      <c r="G36" s="1786"/>
      <c r="H36" s="1786"/>
      <c r="I36" s="1787"/>
      <c r="J36" s="1787">
        <v>2025</v>
      </c>
      <c r="K36" s="1787">
        <v>2026</v>
      </c>
      <c r="L36" s="1787">
        <v>2027</v>
      </c>
      <c r="M36" s="1787">
        <v>2028</v>
      </c>
      <c r="N36" s="1787">
        <v>2029</v>
      </c>
      <c r="O36" s="1787">
        <v>2030</v>
      </c>
    </row>
    <row r="37" spans="1:17" ht="12.75" customHeight="1" x14ac:dyDescent="0.25">
      <c r="D37" s="1793"/>
      <c r="E37" s="320"/>
      <c r="F37" s="321"/>
      <c r="G37" s="322"/>
      <c r="H37" s="322"/>
      <c r="I37" s="316"/>
      <c r="J37" s="318"/>
      <c r="K37" s="318"/>
      <c r="L37" s="318"/>
      <c r="M37" s="318"/>
      <c r="N37" s="318"/>
      <c r="O37" s="318"/>
      <c r="P37" s="309"/>
      <c r="Q37" s="309"/>
    </row>
    <row r="38" spans="1:17" ht="12.75" customHeight="1" x14ac:dyDescent="0.25">
      <c r="D38" s="315"/>
      <c r="E38" s="302"/>
      <c r="F38" s="303"/>
      <c r="I38" s="316"/>
      <c r="J38" s="318"/>
      <c r="K38" s="318"/>
      <c r="L38" s="318"/>
      <c r="M38" s="318"/>
      <c r="N38" s="318"/>
      <c r="O38" s="318"/>
      <c r="P38" s="309"/>
      <c r="Q38" s="309"/>
    </row>
    <row r="39" spans="1:17" ht="12.75" customHeight="1" x14ac:dyDescent="0.25">
      <c r="D39" s="323"/>
      <c r="E39" s="324"/>
      <c r="F39" s="325"/>
      <c r="G39" s="149"/>
      <c r="H39" s="149"/>
      <c r="I39" s="316"/>
      <c r="J39" s="318"/>
      <c r="K39" s="318"/>
      <c r="L39" s="318"/>
      <c r="M39" s="318"/>
      <c r="N39" s="318"/>
      <c r="O39" s="318"/>
      <c r="P39" s="310"/>
      <c r="Q39" s="310"/>
    </row>
    <row r="40" spans="1:17" ht="12.75" customHeight="1" x14ac:dyDescent="0.25">
      <c r="D40" s="1788" t="s">
        <v>328</v>
      </c>
      <c r="E40" s="1789"/>
      <c r="F40" s="1790"/>
      <c r="G40" s="1791"/>
      <c r="H40" s="1791"/>
      <c r="I40" s="1792"/>
      <c r="J40" s="1905">
        <v>0</v>
      </c>
      <c r="K40" s="1905">
        <v>0</v>
      </c>
      <c r="L40" s="1905">
        <f>SUM(L37)</f>
        <v>0</v>
      </c>
      <c r="M40" s="1905">
        <f>SUM(M37)</f>
        <v>0</v>
      </c>
      <c r="N40" s="1905">
        <f>SUM(N37)</f>
        <v>0</v>
      </c>
      <c r="O40" s="1905">
        <f>SUM(O37)</f>
        <v>0</v>
      </c>
      <c r="P40" s="310"/>
    </row>
    <row r="41" spans="1:17" ht="12.75" customHeight="1" x14ac:dyDescent="0.25">
      <c r="E41" s="302"/>
      <c r="F41" s="303"/>
      <c r="J41" s="114"/>
      <c r="K41" s="114"/>
      <c r="L41" s="114"/>
      <c r="M41" s="114"/>
      <c r="N41" s="114"/>
      <c r="O41" s="114"/>
      <c r="P41" s="310"/>
    </row>
    <row r="42" spans="1:17" ht="12.75" customHeight="1" x14ac:dyDescent="0.25">
      <c r="A42" s="301"/>
      <c r="D42" s="1788" t="s">
        <v>527</v>
      </c>
      <c r="E42" s="1795"/>
      <c r="F42" s="1795"/>
      <c r="G42" s="1791"/>
      <c r="H42" s="1791"/>
      <c r="I42" s="1791"/>
      <c r="J42" s="1796">
        <v>129097</v>
      </c>
      <c r="K42" s="1796">
        <v>134868</v>
      </c>
      <c r="L42" s="1796">
        <f>L34+L40</f>
        <v>140533</v>
      </c>
      <c r="M42" s="1796">
        <f>M34+M40</f>
        <v>145733</v>
      </c>
      <c r="N42" s="1796">
        <f>N34+N40</f>
        <v>151125</v>
      </c>
      <c r="O42" s="1796">
        <f>O34+O40</f>
        <v>156717</v>
      </c>
    </row>
    <row r="43" spans="1:17" ht="12.75" customHeight="1" x14ac:dyDescent="0.25">
      <c r="E43" s="302"/>
      <c r="F43" s="303"/>
      <c r="J43" s="114"/>
      <c r="K43" s="114"/>
      <c r="L43" s="114"/>
      <c r="M43" s="114"/>
      <c r="N43" s="114"/>
      <c r="O43" s="114"/>
    </row>
    <row r="44" spans="1:17" ht="12.75" customHeight="1" x14ac:dyDescent="0.25">
      <c r="E44" s="302"/>
      <c r="F44" s="303"/>
      <c r="J44" s="114"/>
      <c r="K44" s="114"/>
      <c r="L44" s="114"/>
      <c r="M44" s="114"/>
      <c r="N44" s="114"/>
      <c r="O44" s="114"/>
    </row>
    <row r="45" spans="1:17" ht="12.75" customHeight="1" x14ac:dyDescent="0.25">
      <c r="A45" s="301"/>
      <c r="J45" s="114"/>
      <c r="K45" s="114"/>
      <c r="L45" s="114"/>
      <c r="M45" s="114"/>
      <c r="N45" s="114"/>
      <c r="O45" s="114"/>
    </row>
    <row r="46" spans="1:17" ht="12.75" customHeight="1" x14ac:dyDescent="0.25">
      <c r="D46" s="312" t="s">
        <v>528</v>
      </c>
      <c r="E46" s="312"/>
      <c r="F46" s="312"/>
    </row>
    <row r="48" spans="1:17" ht="12.75" customHeight="1" x14ac:dyDescent="0.25">
      <c r="D48" s="2502" t="s">
        <v>529</v>
      </c>
      <c r="E48" s="1797" t="s">
        <v>530</v>
      </c>
      <c r="F48" s="2504" t="s">
        <v>531</v>
      </c>
      <c r="G48" s="2506" t="s">
        <v>206</v>
      </c>
      <c r="H48" s="2507"/>
      <c r="I48" s="1798"/>
      <c r="J48" s="1792"/>
      <c r="K48" s="1792"/>
      <c r="L48" s="1792"/>
      <c r="M48" s="1792"/>
      <c r="N48" s="1792"/>
      <c r="O48" s="1792"/>
    </row>
    <row r="49" spans="1:15" ht="12.75" customHeight="1" x14ac:dyDescent="0.25">
      <c r="D49" s="2503"/>
      <c r="E49" s="327" t="s">
        <v>532</v>
      </c>
      <c r="F49" s="2505"/>
      <c r="G49" s="2508"/>
      <c r="H49" s="2509"/>
      <c r="I49" s="329"/>
      <c r="J49" s="1792">
        <v>2025</v>
      </c>
      <c r="K49" s="1792">
        <v>2026</v>
      </c>
      <c r="L49" s="1792">
        <v>2027</v>
      </c>
      <c r="M49" s="1792">
        <v>2028</v>
      </c>
      <c r="N49" s="1792">
        <v>2029</v>
      </c>
      <c r="O49" s="1792">
        <v>2030</v>
      </c>
    </row>
    <row r="50" spans="1:15" ht="12.75" customHeight="1" x14ac:dyDescent="0.25">
      <c r="D50" s="352"/>
      <c r="E50" s="353"/>
      <c r="F50" s="1703"/>
      <c r="G50" s="354"/>
      <c r="H50" s="355"/>
      <c r="I50" s="356"/>
      <c r="J50" s="1775"/>
      <c r="K50" s="1775"/>
      <c r="L50" s="1775"/>
      <c r="M50" s="1775"/>
      <c r="N50" s="1775"/>
      <c r="O50" s="1775"/>
    </row>
    <row r="51" spans="1:15" ht="12.75" customHeight="1" x14ac:dyDescent="0.25">
      <c r="A51" s="301"/>
      <c r="D51" s="333">
        <v>632001</v>
      </c>
      <c r="E51" s="331"/>
      <c r="F51" s="331"/>
      <c r="G51" s="332" t="s">
        <v>3836</v>
      </c>
      <c r="I51" s="316"/>
      <c r="J51" s="1776"/>
      <c r="K51" s="1776"/>
      <c r="L51" s="1776"/>
      <c r="M51" s="1776"/>
      <c r="N51" s="1776"/>
      <c r="O51" s="1776"/>
    </row>
    <row r="52" spans="1:15" ht="12.75" customHeight="1" x14ac:dyDescent="0.25">
      <c r="D52" s="333"/>
      <c r="E52" s="331"/>
      <c r="F52" s="331"/>
      <c r="G52" s="334" t="s">
        <v>533</v>
      </c>
      <c r="I52" s="316"/>
      <c r="J52" s="335"/>
      <c r="K52" s="335"/>
      <c r="L52" s="335"/>
      <c r="M52" s="335"/>
      <c r="N52" s="335"/>
      <c r="O52" s="335"/>
    </row>
    <row r="53" spans="1:15" ht="12.75" customHeight="1" x14ac:dyDescent="0.25">
      <c r="A53" s="336">
        <f>+D51</f>
        <v>632001</v>
      </c>
      <c r="B53" s="115" t="str">
        <f>G51</f>
        <v>Regionaal Historisch Centrum</v>
      </c>
      <c r="D53" s="337">
        <v>44330</v>
      </c>
      <c r="E53" s="343"/>
      <c r="F53" s="337"/>
      <c r="G53" s="319" t="s">
        <v>556</v>
      </c>
      <c r="I53" s="318"/>
      <c r="J53" s="318">
        <v>129097</v>
      </c>
      <c r="K53" s="318">
        <v>134868</v>
      </c>
      <c r="L53" s="318">
        <f t="shared" ref="L53:M53" si="2">+L82</f>
        <v>140533</v>
      </c>
      <c r="M53" s="318">
        <f t="shared" si="2"/>
        <v>145733</v>
      </c>
      <c r="N53" s="318">
        <f t="shared" ref="N53:O53" si="3">+N82</f>
        <v>151125</v>
      </c>
      <c r="O53" s="318">
        <f t="shared" si="3"/>
        <v>156717</v>
      </c>
    </row>
    <row r="54" spans="1:15" ht="12.75" customHeight="1" x14ac:dyDescent="0.25">
      <c r="D54" s="340"/>
      <c r="E54" s="340"/>
      <c r="F54" s="340"/>
      <c r="G54" s="319" t="s">
        <v>536</v>
      </c>
      <c r="I54" s="318"/>
      <c r="J54" s="1877">
        <v>129097</v>
      </c>
      <c r="K54" s="1877">
        <v>134868</v>
      </c>
      <c r="L54" s="1877">
        <f>SUM(L52:L53)</f>
        <v>140533</v>
      </c>
      <c r="M54" s="1877">
        <f>SUM(M52:M53)</f>
        <v>145733</v>
      </c>
      <c r="N54" s="1877">
        <f>SUM(N52:N53)</f>
        <v>151125</v>
      </c>
      <c r="O54" s="1877">
        <f>SUM(O52:O53)</f>
        <v>156717</v>
      </c>
    </row>
    <row r="55" spans="1:15" ht="12.75" customHeight="1" x14ac:dyDescent="0.25">
      <c r="D55" s="1055"/>
      <c r="E55" s="1055"/>
      <c r="F55" s="1055"/>
      <c r="G55" s="322"/>
      <c r="H55" s="322"/>
      <c r="I55" s="564"/>
      <c r="J55" s="564"/>
      <c r="K55" s="564"/>
      <c r="L55" s="564"/>
      <c r="M55" s="564"/>
      <c r="N55" s="564"/>
      <c r="O55" s="564"/>
    </row>
    <row r="56" spans="1:15" ht="12.75" customHeight="1" x14ac:dyDescent="0.25">
      <c r="D56" s="384"/>
      <c r="E56" s="384"/>
      <c r="F56" s="384"/>
    </row>
    <row r="57" spans="1:15" ht="12.75" customHeight="1" x14ac:dyDescent="0.25">
      <c r="D57" s="393" t="s">
        <v>561</v>
      </c>
      <c r="E57" s="393"/>
      <c r="F57" s="393"/>
    </row>
    <row r="58" spans="1:15" ht="12.75" customHeight="1" x14ac:dyDescent="0.25">
      <c r="D58" s="384"/>
      <c r="E58" s="384"/>
      <c r="F58" s="384"/>
      <c r="G58" s="381" t="s">
        <v>3056</v>
      </c>
      <c r="I58" s="114"/>
      <c r="J58" s="114"/>
      <c r="K58" s="114"/>
      <c r="L58" s="114"/>
      <c r="M58" s="114"/>
      <c r="N58" s="114"/>
      <c r="O58" s="114"/>
    </row>
    <row r="59" spans="1:15" ht="12.75" customHeight="1" x14ac:dyDescent="0.25">
      <c r="D59" s="384"/>
      <c r="E59" s="384"/>
      <c r="F59" s="384"/>
      <c r="I59" s="114"/>
      <c r="J59" s="114"/>
      <c r="K59" s="114"/>
      <c r="L59" s="114"/>
      <c r="M59" s="114"/>
      <c r="N59" s="114"/>
      <c r="O59" s="114"/>
    </row>
    <row r="60" spans="1:15" ht="12.75" customHeight="1" x14ac:dyDescent="0.25">
      <c r="D60" s="383" t="s">
        <v>1907</v>
      </c>
      <c r="E60" s="531"/>
      <c r="F60" s="531"/>
      <c r="H60" s="383"/>
      <c r="I60" s="383"/>
      <c r="J60" s="383"/>
      <c r="K60" s="383"/>
      <c r="L60" s="383"/>
      <c r="M60" s="383"/>
      <c r="N60" s="383"/>
      <c r="O60" s="383"/>
    </row>
    <row r="61" spans="1:15" ht="12.75" customHeight="1" x14ac:dyDescent="0.25">
      <c r="D61" s="396"/>
      <c r="E61" s="531"/>
      <c r="F61" s="531"/>
      <c r="G61" s="383"/>
      <c r="H61" s="383"/>
      <c r="I61" s="383"/>
      <c r="J61" s="383"/>
      <c r="K61" s="383"/>
      <c r="L61" s="383"/>
      <c r="M61" s="383"/>
      <c r="N61" s="383"/>
      <c r="O61" s="383"/>
    </row>
    <row r="62" spans="1:15" ht="12.75" customHeight="1" x14ac:dyDescent="0.25">
      <c r="D62" s="393">
        <v>632001</v>
      </c>
      <c r="E62" s="410" t="s">
        <v>3836</v>
      </c>
      <c r="F62" s="382"/>
      <c r="I62" s="114"/>
      <c r="J62" s="114"/>
      <c r="K62" s="114"/>
      <c r="L62" s="114"/>
      <c r="M62" s="114"/>
      <c r="N62" s="114"/>
      <c r="O62" s="114"/>
    </row>
    <row r="63" spans="1:15" ht="12.75" customHeight="1" x14ac:dyDescent="0.25">
      <c r="D63" s="384"/>
      <c r="E63" s="384"/>
      <c r="F63" s="384"/>
      <c r="I63" s="114"/>
      <c r="J63" s="114"/>
      <c r="K63" s="114"/>
      <c r="L63" s="114"/>
      <c r="M63" s="114"/>
      <c r="N63" s="114"/>
      <c r="O63" s="114"/>
    </row>
    <row r="64" spans="1:15" ht="12.75" customHeight="1" x14ac:dyDescent="0.25">
      <c r="D64" s="143">
        <v>44330</v>
      </c>
      <c r="E64" s="2510" t="s">
        <v>3837</v>
      </c>
      <c r="F64" s="2510"/>
      <c r="G64" s="2510"/>
      <c r="H64" s="2510"/>
      <c r="I64" s="2510"/>
      <c r="J64" s="2510"/>
      <c r="K64" s="2510"/>
      <c r="L64" s="2510"/>
      <c r="M64" s="399"/>
      <c r="N64" s="399"/>
      <c r="O64" s="399"/>
    </row>
    <row r="65" spans="4:15" ht="12.75" customHeight="1" x14ac:dyDescent="0.25">
      <c r="D65" s="384"/>
      <c r="E65" s="2510"/>
      <c r="F65" s="2510"/>
      <c r="G65" s="2510"/>
      <c r="H65" s="2510"/>
      <c r="I65" s="2510"/>
      <c r="J65" s="2510"/>
      <c r="K65" s="2510"/>
      <c r="L65" s="2510"/>
      <c r="M65" s="399"/>
      <c r="N65" s="399"/>
      <c r="O65" s="399"/>
    </row>
    <row r="66" spans="4:15" ht="12.75" customHeight="1" x14ac:dyDescent="0.25">
      <c r="D66" s="384"/>
      <c r="E66" s="2510"/>
      <c r="F66" s="2510"/>
      <c r="G66" s="2510"/>
      <c r="H66" s="2510"/>
      <c r="I66" s="2510"/>
      <c r="J66" s="2510"/>
      <c r="K66" s="2510"/>
      <c r="L66" s="2510"/>
      <c r="M66" s="399"/>
      <c r="N66" s="399"/>
      <c r="O66" s="399"/>
    </row>
    <row r="67" spans="4:15" ht="12.75" customHeight="1" x14ac:dyDescent="0.25">
      <c r="D67" s="384"/>
      <c r="E67" s="2510"/>
      <c r="F67" s="2510"/>
      <c r="G67" s="2510"/>
      <c r="H67" s="2510"/>
      <c r="I67" s="2510"/>
      <c r="J67" s="2510"/>
      <c r="K67" s="2510"/>
      <c r="L67" s="2510"/>
      <c r="M67" s="399"/>
      <c r="N67" s="399"/>
      <c r="O67" s="399"/>
    </row>
    <row r="68" spans="4:15" ht="18" customHeight="1" x14ac:dyDescent="0.25">
      <c r="D68" s="384"/>
      <c r="E68" s="2510"/>
      <c r="F68" s="2510"/>
      <c r="G68" s="2510"/>
      <c r="H68" s="2510"/>
      <c r="I68" s="2510"/>
      <c r="J68" s="2510"/>
      <c r="K68" s="2510"/>
      <c r="L68" s="2510"/>
      <c r="M68" s="399"/>
      <c r="N68" s="399"/>
      <c r="O68" s="399"/>
    </row>
    <row r="69" spans="4:15" ht="12.75" customHeight="1" x14ac:dyDescent="0.25">
      <c r="D69" s="384"/>
      <c r="E69" s="405"/>
      <c r="F69" s="405"/>
      <c r="G69" s="405"/>
      <c r="H69" s="405"/>
      <c r="I69" s="405"/>
      <c r="J69" s="399"/>
      <c r="K69" s="399"/>
      <c r="L69" s="399"/>
      <c r="M69" s="399"/>
      <c r="N69" s="399"/>
      <c r="O69" s="399"/>
    </row>
    <row r="70" spans="4:15" ht="12.75" customHeight="1" x14ac:dyDescent="0.25">
      <c r="E70" s="2510" t="s">
        <v>3838</v>
      </c>
      <c r="F70" s="2510"/>
      <c r="G70" s="2510"/>
      <c r="H70" s="2510"/>
      <c r="I70" s="2510"/>
      <c r="J70" s="2510"/>
      <c r="K70" s="2510"/>
      <c r="L70" s="2510"/>
      <c r="M70" s="399"/>
      <c r="N70" s="399"/>
      <c r="O70" s="399"/>
    </row>
    <row r="71" spans="4:15" ht="12.75" customHeight="1" x14ac:dyDescent="0.25">
      <c r="E71" s="2510"/>
      <c r="F71" s="2510"/>
      <c r="G71" s="2510"/>
      <c r="H71" s="2510"/>
      <c r="I71" s="2510"/>
      <c r="J71" s="2510"/>
      <c r="K71" s="2510"/>
      <c r="L71" s="2510"/>
      <c r="M71" s="399"/>
      <c r="N71" s="399"/>
      <c r="O71" s="399"/>
    </row>
    <row r="72" spans="4:15" ht="12.75" customHeight="1" x14ac:dyDescent="0.25">
      <c r="E72" s="2510"/>
      <c r="F72" s="2510"/>
      <c r="G72" s="2510"/>
      <c r="H72" s="2510"/>
      <c r="I72" s="2510"/>
      <c r="J72" s="2510"/>
      <c r="K72" s="2510"/>
      <c r="L72" s="2510"/>
      <c r="M72" s="399"/>
      <c r="N72" s="399"/>
      <c r="O72" s="399"/>
    </row>
    <row r="73" spans="4:15" ht="12.75" customHeight="1" x14ac:dyDescent="0.25">
      <c r="E73" s="2510"/>
      <c r="F73" s="2510"/>
      <c r="G73" s="2510"/>
      <c r="H73" s="2510"/>
      <c r="I73" s="2510"/>
      <c r="J73" s="2510"/>
      <c r="K73" s="2510"/>
      <c r="L73" s="2510"/>
      <c r="M73" s="399"/>
      <c r="N73" s="399"/>
      <c r="O73" s="399"/>
    </row>
    <row r="74" spans="4:15" ht="12.75" customHeight="1" x14ac:dyDescent="0.25">
      <c r="E74" s="298"/>
      <c r="F74" s="298"/>
      <c r="G74" s="298"/>
      <c r="H74" s="298"/>
      <c r="I74" s="298"/>
      <c r="J74" s="399"/>
      <c r="K74" s="399"/>
      <c r="L74" s="399"/>
      <c r="M74" s="399"/>
      <c r="N74" s="399"/>
      <c r="O74" s="399"/>
    </row>
    <row r="75" spans="4:15" ht="12.75" customHeight="1" x14ac:dyDescent="0.25">
      <c r="E75" s="298"/>
      <c r="F75" s="298"/>
      <c r="G75" s="298"/>
      <c r="H75" s="298"/>
      <c r="I75" s="298"/>
      <c r="J75" s="399"/>
      <c r="K75" s="399"/>
      <c r="L75" s="399"/>
      <c r="M75" s="399"/>
      <c r="N75" s="399"/>
      <c r="O75" s="399"/>
    </row>
    <row r="76" spans="4:15" ht="12.75" customHeight="1" x14ac:dyDescent="0.25">
      <c r="D76" s="411"/>
      <c r="E76" s="384"/>
      <c r="F76" s="384"/>
      <c r="G76" s="399"/>
      <c r="I76" s="399"/>
      <c r="J76" s="407">
        <v>2025</v>
      </c>
      <c r="K76" s="407">
        <v>2026</v>
      </c>
      <c r="L76" s="407">
        <v>2027</v>
      </c>
      <c r="M76" s="407">
        <v>2028</v>
      </c>
      <c r="N76" s="407">
        <v>2029</v>
      </c>
      <c r="O76" s="407">
        <v>2030</v>
      </c>
    </row>
    <row r="77" spans="4:15" ht="12.75" customHeight="1" x14ac:dyDescent="0.25">
      <c r="D77" s="396" t="s">
        <v>3839</v>
      </c>
      <c r="E77" s="384"/>
      <c r="F77" s="384"/>
      <c r="G77" s="399"/>
      <c r="H77" s="399"/>
      <c r="I77" s="399"/>
      <c r="J77" s="114"/>
      <c r="K77" s="114"/>
      <c r="L77" s="114"/>
      <c r="M77" s="114"/>
      <c r="N77" s="114"/>
      <c r="O77" s="114"/>
    </row>
    <row r="78" spans="4:15" ht="12.75" customHeight="1" x14ac:dyDescent="0.25">
      <c r="D78" s="411" t="s">
        <v>3840</v>
      </c>
      <c r="E78" s="384"/>
      <c r="F78" s="384"/>
      <c r="G78" s="399"/>
      <c r="H78" s="399"/>
      <c r="I78" s="399"/>
      <c r="J78" s="114">
        <v>31499</v>
      </c>
      <c r="K78" s="114">
        <v>35686</v>
      </c>
      <c r="L78" s="114">
        <f>ROUND(K78*$T$3,0)</f>
        <v>37185</v>
      </c>
      <c r="M78" s="114">
        <f>ROUND(L78*U$3,0)</f>
        <v>38561</v>
      </c>
      <c r="N78" s="114">
        <f t="shared" ref="N78:O80" si="4">ROUND(M78*V$3,0)</f>
        <v>39988</v>
      </c>
      <c r="O78" s="114">
        <f t="shared" si="4"/>
        <v>41468</v>
      </c>
    </row>
    <row r="79" spans="4:15" ht="12.75" customHeight="1" x14ac:dyDescent="0.25">
      <c r="D79" s="411" t="s">
        <v>3841</v>
      </c>
      <c r="E79" s="384"/>
      <c r="F79" s="384"/>
      <c r="G79" s="399"/>
      <c r="H79" s="399"/>
      <c r="I79" s="399"/>
      <c r="J79" s="114">
        <v>11295</v>
      </c>
      <c r="K79" s="114">
        <v>8304</v>
      </c>
      <c r="L79" s="114">
        <f>ROUND(K79*$T$3,0)</f>
        <v>8653</v>
      </c>
      <c r="M79" s="114">
        <f t="shared" ref="M79:M80" si="5">ROUND(L79*U$3,0)</f>
        <v>8973</v>
      </c>
      <c r="N79" s="114">
        <f t="shared" si="4"/>
        <v>9305</v>
      </c>
      <c r="O79" s="114">
        <f t="shared" si="4"/>
        <v>9649</v>
      </c>
    </row>
    <row r="80" spans="4:15" ht="12.75" customHeight="1" x14ac:dyDescent="0.25">
      <c r="D80" s="2584" t="s">
        <v>3842</v>
      </c>
      <c r="E80" s="2584"/>
      <c r="F80" s="2584"/>
      <c r="G80" s="2584"/>
      <c r="H80" s="2584"/>
      <c r="I80" s="2584"/>
      <c r="J80" s="114">
        <v>86303</v>
      </c>
      <c r="K80" s="114">
        <v>90878</v>
      </c>
      <c r="L80" s="114">
        <f>ROUND(K80*$T$3,0)</f>
        <v>94695</v>
      </c>
      <c r="M80" s="114">
        <f t="shared" si="5"/>
        <v>98199</v>
      </c>
      <c r="N80" s="114">
        <f t="shared" si="4"/>
        <v>101832</v>
      </c>
      <c r="O80" s="114">
        <f t="shared" si="4"/>
        <v>105600</v>
      </c>
    </row>
    <row r="81" spans="4:15" ht="12.75" customHeight="1" x14ac:dyDescent="0.25">
      <c r="D81" s="411" t="s">
        <v>3843</v>
      </c>
      <c r="E81" s="1056"/>
      <c r="F81" s="1056"/>
      <c r="G81" s="1056"/>
      <c r="H81" s="1056"/>
      <c r="I81" s="1056"/>
      <c r="J81" s="1057"/>
      <c r="K81" s="1057"/>
      <c r="L81" s="1057"/>
      <c r="M81" s="1057"/>
      <c r="N81" s="1057"/>
      <c r="O81" s="1057"/>
    </row>
    <row r="82" spans="4:15" ht="12.75" customHeight="1" thickBot="1" x14ac:dyDescent="0.3">
      <c r="D82" s="411" t="s">
        <v>3844</v>
      </c>
      <c r="E82" s="384"/>
      <c r="F82" s="384"/>
      <c r="G82" s="399"/>
      <c r="H82" s="399"/>
      <c r="I82" s="399"/>
      <c r="J82" s="1744">
        <v>129097</v>
      </c>
      <c r="K82" s="1744">
        <v>134868</v>
      </c>
      <c r="L82" s="1744">
        <f>SUM(L77:L81)</f>
        <v>140533</v>
      </c>
      <c r="M82" s="1744">
        <f>SUM(M77:M81)</f>
        <v>145733</v>
      </c>
      <c r="N82" s="1744">
        <f>SUM(N77:N81)</f>
        <v>151125</v>
      </c>
      <c r="O82" s="1744">
        <f>SUM(O77:O81)</f>
        <v>156717</v>
      </c>
    </row>
    <row r="83" spans="4:15" ht="12.75" customHeight="1" thickTop="1" x14ac:dyDescent="0.25">
      <c r="E83" s="143"/>
      <c r="F83" s="143"/>
      <c r="G83" s="399"/>
      <c r="H83" s="399"/>
      <c r="I83" s="399"/>
      <c r="J83" s="631"/>
      <c r="K83" s="631"/>
      <c r="L83" s="631"/>
      <c r="M83" s="631"/>
      <c r="N83" s="631"/>
      <c r="O83" s="631"/>
    </row>
    <row r="84" spans="4:15" ht="12.75" customHeight="1" x14ac:dyDescent="0.25">
      <c r="D84" s="384"/>
      <c r="E84" s="384"/>
      <c r="F84" s="384"/>
    </row>
    <row r="85" spans="4:15" ht="12.75" customHeight="1" x14ac:dyDescent="0.25">
      <c r="D85" s="384"/>
      <c r="E85" s="384"/>
      <c r="F85" s="384"/>
    </row>
  </sheetData>
  <mergeCells count="6">
    <mergeCell ref="D80:I80"/>
    <mergeCell ref="D48:D49"/>
    <mergeCell ref="F48:F49"/>
    <mergeCell ref="G48:H49"/>
    <mergeCell ref="E64:L68"/>
    <mergeCell ref="E70:L73"/>
  </mergeCells>
  <hyperlinks>
    <hyperlink ref="A1" location="Inhoudsopgave!A1" display="Inhoudsopgave" xr:uid="{6AD84C0F-ADFC-4501-BF39-10D92CD6C56C}"/>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09EC3-3689-495E-9713-A410D4700531}">
  <sheetPr codeName="Blad29"/>
  <dimension ref="A1:W139"/>
  <sheetViews>
    <sheetView showGridLines="0" view="pageBreakPreview" topLeftCell="A64" zoomScaleNormal="100" zoomScaleSheetLayoutView="100" workbookViewId="0"/>
  </sheetViews>
  <sheetFormatPr defaultColWidth="9.109375" defaultRowHeight="12.75" customHeight="1" x14ac:dyDescent="0.25"/>
  <cols>
    <col min="1" max="1" width="9.109375" style="336"/>
    <col min="2" max="3" width="14" style="115" customWidth="1"/>
    <col min="4" max="4" width="9.6640625" style="301" customWidth="1"/>
    <col min="5" max="6" width="9.6640625" style="143" customWidth="1"/>
    <col min="7" max="9" width="12.6640625" style="115" customWidth="1"/>
    <col min="10" max="15" width="11.6640625" style="115" customWidth="1"/>
    <col min="16" max="16" width="12.109375" style="115" customWidth="1"/>
    <col min="17"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3399</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308" t="s">
        <v>31</v>
      </c>
    </row>
    <row r="20" spans="4:15" ht="12.75" customHeight="1" x14ac:dyDescent="0.25">
      <c r="D20" s="452" t="s">
        <v>507</v>
      </c>
      <c r="E20" s="438"/>
      <c r="F20" s="438"/>
      <c r="G20" s="453"/>
      <c r="H20" s="453"/>
      <c r="I20" s="453"/>
      <c r="J20" s="453"/>
      <c r="K20" s="453"/>
      <c r="L20" s="453"/>
      <c r="M20" s="453"/>
      <c r="N20" s="453"/>
      <c r="O20" s="453"/>
    </row>
    <row r="21" spans="4:15" ht="12.75" customHeight="1" x14ac:dyDescent="0.25">
      <c r="D21" s="438"/>
      <c r="E21" s="438"/>
      <c r="F21" s="438"/>
      <c r="G21" s="453"/>
      <c r="H21" s="453"/>
      <c r="I21" s="453"/>
      <c r="J21" s="453"/>
      <c r="K21" s="453"/>
      <c r="L21" s="453"/>
      <c r="M21" s="453"/>
      <c r="N21" s="453"/>
      <c r="O21" s="453"/>
    </row>
    <row r="22" spans="4:15" ht="12.75" customHeight="1" x14ac:dyDescent="0.25">
      <c r="D22" s="1746" t="s">
        <v>508</v>
      </c>
      <c r="E22" s="1747"/>
      <c r="F22" s="1747"/>
      <c r="G22" s="1748"/>
      <c r="H22" s="1748"/>
      <c r="I22" s="1749"/>
      <c r="J22" s="1749">
        <v>2025</v>
      </c>
      <c r="K22" s="1749">
        <v>2026</v>
      </c>
      <c r="L22" s="1749">
        <v>2027</v>
      </c>
      <c r="M22" s="1749">
        <v>2028</v>
      </c>
      <c r="N22" s="1749">
        <v>2029</v>
      </c>
      <c r="O22" s="1749">
        <v>2030</v>
      </c>
    </row>
    <row r="23" spans="4:15" ht="12.75" customHeight="1" x14ac:dyDescent="0.25">
      <c r="D23" s="454" t="str">
        <f>G53</f>
        <v>Archeologie en monumentenzorg</v>
      </c>
      <c r="E23" s="455"/>
      <c r="F23" s="456"/>
      <c r="G23" s="453"/>
      <c r="H23" s="453"/>
      <c r="I23" s="518"/>
      <c r="J23" s="457">
        <v>40759</v>
      </c>
      <c r="K23" s="457">
        <v>41819</v>
      </c>
      <c r="L23" s="457">
        <f t="shared" ref="L23:M23" si="0">+L57</f>
        <v>42698</v>
      </c>
      <c r="M23" s="457">
        <f t="shared" si="0"/>
        <v>43680</v>
      </c>
      <c r="N23" s="457">
        <f t="shared" ref="N23:O23" si="1">+N57</f>
        <v>44685</v>
      </c>
      <c r="O23" s="457">
        <f t="shared" si="1"/>
        <v>45712</v>
      </c>
    </row>
    <row r="24" spans="4:15" ht="12.75" customHeight="1" x14ac:dyDescent="0.25">
      <c r="D24" s="454" t="str">
        <f>G60</f>
        <v>ODZOB Archeologie/monumenten</v>
      </c>
      <c r="E24" s="455"/>
      <c r="F24" s="456"/>
      <c r="G24" s="453"/>
      <c r="H24" s="453"/>
      <c r="I24" s="518"/>
      <c r="J24" s="25">
        <v>44207</v>
      </c>
      <c r="K24" s="25">
        <v>45356</v>
      </c>
      <c r="L24" s="25">
        <f>L63</f>
        <v>46308</v>
      </c>
      <c r="M24" s="25">
        <f>M63</f>
        <v>47373</v>
      </c>
      <c r="N24" s="25">
        <f>N63</f>
        <v>48463</v>
      </c>
      <c r="O24" s="25">
        <f>O63</f>
        <v>49578</v>
      </c>
    </row>
    <row r="25" spans="4:15" ht="12.75" customHeight="1" x14ac:dyDescent="0.25">
      <c r="D25" s="454" t="s">
        <v>3845</v>
      </c>
      <c r="E25" s="455"/>
      <c r="F25" s="456"/>
      <c r="G25" s="453"/>
      <c r="H25" s="453"/>
      <c r="I25" s="518"/>
      <c r="J25" s="25">
        <v>32857</v>
      </c>
      <c r="K25" s="25">
        <v>33712</v>
      </c>
      <c r="L25" s="25">
        <f t="shared" ref="L25:M25" si="2">L71</f>
        <v>34420</v>
      </c>
      <c r="M25" s="25">
        <f t="shared" si="2"/>
        <v>35212</v>
      </c>
      <c r="N25" s="25">
        <f t="shared" ref="N25:O25" si="3">N71</f>
        <v>36022</v>
      </c>
      <c r="O25" s="25">
        <f t="shared" si="3"/>
        <v>36850</v>
      </c>
    </row>
    <row r="26" spans="4:15" ht="12.75" customHeight="1" x14ac:dyDescent="0.25">
      <c r="D26" s="454" t="str">
        <f>G73</f>
        <v>Directe toerekening musea en cultureel erfgoed</v>
      </c>
      <c r="E26" s="455"/>
      <c r="F26" s="456"/>
      <c r="G26" s="453"/>
      <c r="H26" s="453"/>
      <c r="I26" s="518"/>
      <c r="J26" s="25">
        <v>46302.41</v>
      </c>
      <c r="K26" s="25">
        <v>62839.12</v>
      </c>
      <c r="L26" s="25">
        <f>L76</f>
        <v>65478</v>
      </c>
      <c r="M26" s="25">
        <f>M76</f>
        <v>67901</v>
      </c>
      <c r="N26" s="25">
        <f>N76</f>
        <v>70413</v>
      </c>
      <c r="O26" s="25">
        <f>O76</f>
        <v>73018</v>
      </c>
    </row>
    <row r="27" spans="4:15" ht="12.75" customHeight="1" x14ac:dyDescent="0.25">
      <c r="D27" s="454"/>
      <c r="E27" s="455"/>
      <c r="F27" s="456"/>
      <c r="G27" s="453"/>
      <c r="H27" s="453"/>
      <c r="I27" s="518"/>
      <c r="J27" s="25"/>
      <c r="K27" s="25"/>
      <c r="L27" s="25"/>
      <c r="M27" s="25"/>
      <c r="N27" s="25"/>
      <c r="O27" s="25"/>
    </row>
    <row r="28" spans="4:15" ht="12.75" customHeight="1" x14ac:dyDescent="0.25">
      <c r="D28" s="454"/>
      <c r="E28" s="455"/>
      <c r="F28" s="456"/>
      <c r="G28" s="453"/>
      <c r="H28" s="453"/>
      <c r="I28" s="518"/>
      <c r="J28" s="25"/>
      <c r="K28" s="25"/>
      <c r="L28" s="25"/>
      <c r="M28" s="25"/>
      <c r="N28" s="25"/>
      <c r="O28" s="25"/>
    </row>
    <row r="29" spans="4:15" ht="12.75" customHeight="1" x14ac:dyDescent="0.25">
      <c r="D29" s="454"/>
      <c r="E29" s="455"/>
      <c r="F29" s="456"/>
      <c r="G29" s="453"/>
      <c r="H29" s="453"/>
      <c r="I29" s="518"/>
      <c r="J29" s="28"/>
      <c r="K29" s="28"/>
      <c r="L29" s="28"/>
      <c r="M29" s="28"/>
      <c r="N29" s="28"/>
      <c r="O29" s="28"/>
    </row>
    <row r="30" spans="4:15" ht="12.75" customHeight="1" x14ac:dyDescent="0.25">
      <c r="D30" s="454"/>
      <c r="E30" s="455"/>
      <c r="F30" s="456"/>
      <c r="G30" s="453"/>
      <c r="H30" s="453"/>
      <c r="I30" s="518"/>
      <c r="J30" s="28"/>
      <c r="K30" s="28"/>
      <c r="L30" s="28"/>
      <c r="M30" s="28"/>
      <c r="N30" s="28"/>
      <c r="O30" s="28"/>
    </row>
    <row r="31" spans="4:15" ht="12.75" customHeight="1" x14ac:dyDescent="0.25">
      <c r="D31" s="454"/>
      <c r="E31" s="455"/>
      <c r="F31" s="456"/>
      <c r="G31" s="453"/>
      <c r="H31" s="453"/>
      <c r="I31" s="518"/>
      <c r="J31" s="28"/>
      <c r="K31" s="28"/>
      <c r="L31" s="28"/>
      <c r="M31" s="28"/>
      <c r="N31" s="28"/>
      <c r="O31" s="28"/>
    </row>
    <row r="32" spans="4:15" ht="12.75" customHeight="1" x14ac:dyDescent="0.25">
      <c r="D32" s="454"/>
      <c r="E32" s="455"/>
      <c r="F32" s="456"/>
      <c r="G32" s="453"/>
      <c r="H32" s="453"/>
      <c r="I32" s="518"/>
      <c r="J32" s="26"/>
      <c r="K32" s="26"/>
      <c r="L32" s="26"/>
      <c r="M32" s="26"/>
      <c r="N32" s="26"/>
      <c r="O32" s="26"/>
    </row>
    <row r="33" spans="4:15" ht="12.75" customHeight="1" x14ac:dyDescent="0.25">
      <c r="D33" s="1751" t="s">
        <v>525</v>
      </c>
      <c r="E33" s="1752"/>
      <c r="F33" s="1753"/>
      <c r="G33" s="1754"/>
      <c r="H33" s="1754"/>
      <c r="I33" s="1757"/>
      <c r="J33" s="1755">
        <v>164124.99800000002</v>
      </c>
      <c r="K33" s="1755">
        <v>183726.12</v>
      </c>
      <c r="L33" s="1755">
        <f>SUM(L23:L32)</f>
        <v>188904</v>
      </c>
      <c r="M33" s="1755">
        <f>SUM(M23:M32)</f>
        <v>194166</v>
      </c>
      <c r="N33" s="1755">
        <f>SUM(N23:N32)</f>
        <v>199583</v>
      </c>
      <c r="O33" s="1755">
        <f>SUM(O23:O32)</f>
        <v>205158</v>
      </c>
    </row>
    <row r="34" spans="4:15" ht="12.75" customHeight="1" x14ac:dyDescent="0.25">
      <c r="D34" s="438"/>
      <c r="E34" s="455"/>
      <c r="F34" s="456"/>
      <c r="G34" s="453"/>
      <c r="H34" s="453"/>
      <c r="I34" s="453"/>
      <c r="J34" s="453"/>
      <c r="K34" s="453"/>
      <c r="L34" s="453"/>
      <c r="M34" s="453"/>
      <c r="N34" s="453"/>
      <c r="O34" s="453"/>
    </row>
    <row r="35" spans="4:15" ht="12.75" customHeight="1" x14ac:dyDescent="0.25">
      <c r="D35" s="1746" t="s">
        <v>526</v>
      </c>
      <c r="E35" s="1747"/>
      <c r="F35" s="1747"/>
      <c r="G35" s="1748"/>
      <c r="H35" s="1748"/>
      <c r="I35" s="1749"/>
      <c r="J35" s="1749">
        <v>2025</v>
      </c>
      <c r="K35" s="1749">
        <v>2026</v>
      </c>
      <c r="L35" s="1749">
        <v>2027</v>
      </c>
      <c r="M35" s="1749">
        <v>2028</v>
      </c>
      <c r="N35" s="1749">
        <v>2029</v>
      </c>
      <c r="O35" s="1749">
        <v>2030</v>
      </c>
    </row>
    <row r="36" spans="4:15" ht="12.75" customHeight="1" x14ac:dyDescent="0.25">
      <c r="D36" s="454"/>
      <c r="E36" s="455"/>
      <c r="F36" s="456"/>
      <c r="G36" s="453"/>
      <c r="H36" s="453"/>
      <c r="I36" s="518"/>
      <c r="J36" s="457"/>
      <c r="K36" s="457"/>
      <c r="L36" s="457"/>
      <c r="M36" s="457"/>
      <c r="N36" s="457"/>
      <c r="O36" s="457"/>
    </row>
    <row r="37" spans="4:15" ht="12.75" customHeight="1" x14ac:dyDescent="0.25">
      <c r="D37" s="454"/>
      <c r="E37" s="455"/>
      <c r="F37" s="456"/>
      <c r="G37" s="453"/>
      <c r="H37" s="453"/>
      <c r="I37" s="518"/>
      <c r="J37" s="457"/>
      <c r="K37" s="457"/>
      <c r="L37" s="457"/>
      <c r="M37" s="457"/>
      <c r="N37" s="457"/>
      <c r="O37" s="457"/>
    </row>
    <row r="38" spans="4:15" ht="12.75" customHeight="1" x14ac:dyDescent="0.25">
      <c r="D38" s="454"/>
      <c r="E38" s="455"/>
      <c r="F38" s="456"/>
      <c r="G38" s="453"/>
      <c r="H38" s="453"/>
      <c r="I38" s="518"/>
      <c r="J38" s="457"/>
      <c r="K38" s="457"/>
      <c r="L38" s="457"/>
      <c r="M38" s="457"/>
      <c r="N38" s="457"/>
      <c r="O38" s="457"/>
    </row>
    <row r="39" spans="4:15" ht="12.75" customHeight="1" x14ac:dyDescent="0.25">
      <c r="D39" s="454"/>
      <c r="E39" s="455"/>
      <c r="F39" s="456"/>
      <c r="G39" s="453"/>
      <c r="H39" s="453"/>
      <c r="I39" s="518"/>
      <c r="J39" s="457"/>
      <c r="K39" s="457"/>
      <c r="L39" s="457"/>
      <c r="M39" s="457"/>
      <c r="N39" s="457"/>
      <c r="O39" s="457"/>
    </row>
    <row r="40" spans="4:15" ht="12.75" customHeight="1" x14ac:dyDescent="0.25">
      <c r="D40" s="454"/>
      <c r="E40" s="455"/>
      <c r="F40" s="456"/>
      <c r="G40" s="453"/>
      <c r="H40" s="453"/>
      <c r="I40" s="518"/>
      <c r="J40" s="463"/>
      <c r="K40" s="463"/>
      <c r="L40" s="463"/>
      <c r="M40" s="463"/>
      <c r="N40" s="463"/>
      <c r="O40" s="463"/>
    </row>
    <row r="41" spans="4:15" ht="12.75" customHeight="1" x14ac:dyDescent="0.25">
      <c r="D41" s="454"/>
      <c r="E41" s="455"/>
      <c r="F41" s="456"/>
      <c r="G41" s="453"/>
      <c r="H41" s="453"/>
      <c r="I41" s="518"/>
      <c r="J41" s="463"/>
      <c r="K41" s="463"/>
      <c r="L41" s="463"/>
      <c r="M41" s="463"/>
      <c r="N41" s="463"/>
      <c r="O41" s="463"/>
    </row>
    <row r="42" spans="4:15" ht="12.75" customHeight="1" x14ac:dyDescent="0.25">
      <c r="D42" s="464"/>
      <c r="E42" s="465"/>
      <c r="F42" s="466"/>
      <c r="G42" s="467"/>
      <c r="H42" s="467"/>
      <c r="I42" s="518"/>
      <c r="J42" s="463"/>
      <c r="K42" s="463"/>
      <c r="L42" s="463"/>
      <c r="M42" s="463"/>
      <c r="N42" s="463"/>
      <c r="O42" s="463"/>
    </row>
    <row r="43" spans="4:15" ht="12.75" customHeight="1" x14ac:dyDescent="0.25">
      <c r="D43" s="1751" t="s">
        <v>328</v>
      </c>
      <c r="E43" s="1752"/>
      <c r="F43" s="1753"/>
      <c r="G43" s="1754"/>
      <c r="H43" s="1754"/>
      <c r="I43" s="1757"/>
      <c r="J43" s="1755">
        <v>0</v>
      </c>
      <c r="K43" s="1755">
        <v>0</v>
      </c>
      <c r="L43" s="1755">
        <f>SUM(L36:L42)</f>
        <v>0</v>
      </c>
      <c r="M43" s="1755">
        <f>SUM(M36:M42)</f>
        <v>0</v>
      </c>
      <c r="N43" s="1755">
        <f>SUM(N36:N42)</f>
        <v>0</v>
      </c>
      <c r="O43" s="1755">
        <f>SUM(O36:O42)</f>
        <v>0</v>
      </c>
    </row>
    <row r="44" spans="4:15" ht="12.75" customHeight="1" x14ac:dyDescent="0.25">
      <c r="D44" s="438"/>
      <c r="E44" s="455"/>
      <c r="F44" s="456"/>
      <c r="G44" s="453"/>
      <c r="H44" s="453"/>
      <c r="I44" s="453"/>
      <c r="J44" s="469"/>
      <c r="K44" s="469"/>
      <c r="L44" s="469"/>
      <c r="M44" s="469"/>
      <c r="N44" s="469"/>
      <c r="O44" s="469"/>
    </row>
    <row r="45" spans="4:15" ht="12.75" customHeight="1" x14ac:dyDescent="0.25">
      <c r="D45" s="1751" t="s">
        <v>527</v>
      </c>
      <c r="E45" s="1756"/>
      <c r="F45" s="1756"/>
      <c r="G45" s="1754"/>
      <c r="H45" s="1754"/>
      <c r="I45" s="1754"/>
      <c r="J45" s="1758">
        <v>164124.99800000002</v>
      </c>
      <c r="K45" s="1758">
        <v>183726.12</v>
      </c>
      <c r="L45" s="1758">
        <f>L33+L43</f>
        <v>188904</v>
      </c>
      <c r="M45" s="1758">
        <f>M33+M43</f>
        <v>194166</v>
      </c>
      <c r="N45" s="1758">
        <f>N33+N43</f>
        <v>199583</v>
      </c>
      <c r="O45" s="1758">
        <f>O33+O43</f>
        <v>205158</v>
      </c>
    </row>
    <row r="46" spans="4:15" ht="12.75" customHeight="1" x14ac:dyDescent="0.25">
      <c r="D46" s="438"/>
      <c r="E46" s="455"/>
      <c r="F46" s="456"/>
      <c r="G46" s="453"/>
      <c r="H46" s="453"/>
      <c r="I46" s="453"/>
      <c r="J46" s="469"/>
      <c r="K46" s="469"/>
      <c r="L46" s="469"/>
      <c r="M46" s="469"/>
      <c r="N46" s="469"/>
      <c r="O46" s="469"/>
    </row>
    <row r="47" spans="4:15" ht="12.75" customHeight="1" x14ac:dyDescent="0.25">
      <c r="D47" s="312" t="s">
        <v>528</v>
      </c>
      <c r="E47" s="382"/>
      <c r="F47" s="382"/>
    </row>
    <row r="49" spans="1:23" ht="12.75" customHeight="1" x14ac:dyDescent="0.25">
      <c r="A49" s="470"/>
      <c r="B49" s="453"/>
      <c r="C49" s="453"/>
      <c r="D49" s="2523" t="s">
        <v>529</v>
      </c>
      <c r="E49" s="1761" t="s">
        <v>530</v>
      </c>
      <c r="F49" s="2552" t="s">
        <v>531</v>
      </c>
      <c r="G49" s="2525" t="s">
        <v>206</v>
      </c>
      <c r="H49" s="2526"/>
      <c r="I49" s="1773"/>
      <c r="J49" s="1763"/>
      <c r="K49" s="1763"/>
      <c r="L49" s="1763"/>
      <c r="M49" s="1763"/>
      <c r="N49" s="1763"/>
      <c r="O49" s="1763"/>
      <c r="P49" s="453"/>
      <c r="Q49" s="453"/>
      <c r="R49" s="453"/>
      <c r="S49" s="453"/>
      <c r="T49" s="453"/>
      <c r="U49" s="453"/>
      <c r="V49" s="453"/>
      <c r="W49" s="453"/>
    </row>
    <row r="50" spans="1:23" ht="12.75" customHeight="1" x14ac:dyDescent="0.25">
      <c r="A50" s="470"/>
      <c r="B50" s="453"/>
      <c r="C50" s="453"/>
      <c r="D50" s="2524"/>
      <c r="E50" s="472" t="s">
        <v>532</v>
      </c>
      <c r="F50" s="2553"/>
      <c r="G50" s="2527"/>
      <c r="H50" s="2528"/>
      <c r="I50" s="521"/>
      <c r="J50" s="1052">
        <v>2025</v>
      </c>
      <c r="K50" s="1052">
        <v>2026</v>
      </c>
      <c r="L50" s="1052">
        <v>2027</v>
      </c>
      <c r="M50" s="1052">
        <v>2028</v>
      </c>
      <c r="N50" s="1052">
        <v>2029</v>
      </c>
      <c r="O50" s="1052">
        <v>2030</v>
      </c>
      <c r="P50" s="453"/>
      <c r="Q50" s="453"/>
      <c r="R50" s="453"/>
      <c r="S50" s="453"/>
      <c r="T50" s="453"/>
      <c r="U50" s="453"/>
      <c r="V50" s="453"/>
      <c r="W50" s="453"/>
    </row>
    <row r="51" spans="1:23" ht="12.75" customHeight="1" thickBot="1" x14ac:dyDescent="0.3">
      <c r="D51" s="1772"/>
      <c r="E51" s="1772"/>
      <c r="F51" s="1772"/>
      <c r="G51" s="1774"/>
      <c r="H51" s="326"/>
      <c r="I51" s="1775"/>
      <c r="J51" s="1775"/>
      <c r="K51" s="1775"/>
      <c r="L51" s="1775"/>
      <c r="M51" s="1775"/>
      <c r="N51" s="1775"/>
      <c r="O51" s="1775"/>
    </row>
    <row r="52" spans="1:23" ht="12.75" customHeight="1" thickTop="1" x14ac:dyDescent="0.25">
      <c r="D52" s="340"/>
      <c r="E52" s="340"/>
      <c r="F52" s="340"/>
      <c r="G52" s="319"/>
      <c r="I52" s="318"/>
      <c r="J52" s="344"/>
      <c r="K52" s="344"/>
      <c r="L52" s="344"/>
      <c r="M52" s="344"/>
      <c r="N52" s="344"/>
      <c r="O52" s="344"/>
    </row>
    <row r="53" spans="1:23" ht="12.75" customHeight="1" x14ac:dyDescent="0.25">
      <c r="D53" s="333">
        <v>633001</v>
      </c>
      <c r="E53" s="331"/>
      <c r="F53" s="331"/>
      <c r="G53" s="332" t="s">
        <v>3846</v>
      </c>
      <c r="I53" s="318"/>
      <c r="J53" s="317"/>
      <c r="K53" s="317"/>
      <c r="L53" s="317"/>
      <c r="M53" s="317"/>
      <c r="N53" s="317"/>
      <c r="O53" s="317"/>
    </row>
    <row r="54" spans="1:23" ht="12.75" customHeight="1" x14ac:dyDescent="0.25">
      <c r="D54" s="340"/>
      <c r="E54" s="340"/>
      <c r="F54" s="340"/>
      <c r="G54" s="334" t="s">
        <v>533</v>
      </c>
      <c r="I54" s="318"/>
      <c r="J54" s="317"/>
      <c r="K54" s="317"/>
      <c r="L54" s="317"/>
      <c r="M54" s="317"/>
      <c r="N54" s="317"/>
      <c r="O54" s="317"/>
    </row>
    <row r="55" spans="1:23" s="305" customFormat="1" ht="12.75" customHeight="1" x14ac:dyDescent="0.25">
      <c r="A55" s="336">
        <f>+D53</f>
        <v>633001</v>
      </c>
      <c r="B55" s="115" t="str">
        <f>G53</f>
        <v>Archeologie en monumentenzorg</v>
      </c>
      <c r="C55" s="115"/>
      <c r="D55" s="337">
        <v>43812</v>
      </c>
      <c r="E55" s="337"/>
      <c r="F55" s="337"/>
      <c r="G55" s="319" t="s">
        <v>535</v>
      </c>
      <c r="H55" s="115"/>
      <c r="I55" s="318"/>
      <c r="J55" s="317">
        <v>12048</v>
      </c>
      <c r="K55" s="317">
        <v>16328</v>
      </c>
      <c r="L55" s="317">
        <f>L85</f>
        <v>16671</v>
      </c>
      <c r="M55" s="317">
        <f>M85</f>
        <v>17054</v>
      </c>
      <c r="N55" s="317">
        <f>N85</f>
        <v>17446</v>
      </c>
      <c r="O55" s="317">
        <f>O85</f>
        <v>17847</v>
      </c>
      <c r="P55" s="115"/>
      <c r="Q55" s="115"/>
      <c r="R55" s="115"/>
      <c r="S55" s="115"/>
      <c r="T55" s="115"/>
      <c r="U55" s="115"/>
      <c r="V55" s="115"/>
      <c r="W55" s="115"/>
    </row>
    <row r="56" spans="1:23" s="305" customFormat="1" ht="12.75" customHeight="1" x14ac:dyDescent="0.25">
      <c r="A56" s="336">
        <v>633001</v>
      </c>
      <c r="B56" s="115" t="s">
        <v>3846</v>
      </c>
      <c r="C56" s="115"/>
      <c r="D56" s="337">
        <v>44380</v>
      </c>
      <c r="E56" s="337"/>
      <c r="F56" s="337"/>
      <c r="G56" s="319" t="s">
        <v>3402</v>
      </c>
      <c r="H56" s="115"/>
      <c r="I56" s="318"/>
      <c r="J56" s="317">
        <v>28710.588</v>
      </c>
      <c r="K56" s="317">
        <v>25491</v>
      </c>
      <c r="L56" s="317">
        <f>L89</f>
        <v>26027</v>
      </c>
      <c r="M56" s="317">
        <f>M89</f>
        <v>26626</v>
      </c>
      <c r="N56" s="317">
        <f>N89</f>
        <v>27239</v>
      </c>
      <c r="O56" s="317">
        <f>O89</f>
        <v>27865</v>
      </c>
      <c r="P56" s="115"/>
      <c r="Q56" s="115"/>
      <c r="R56" s="115"/>
      <c r="S56" s="115"/>
      <c r="T56" s="115"/>
      <c r="U56" s="115"/>
      <c r="V56" s="115"/>
      <c r="W56" s="115"/>
    </row>
    <row r="57" spans="1:23" ht="12.75" customHeight="1" thickBot="1" x14ac:dyDescent="0.3">
      <c r="D57" s="340"/>
      <c r="E57" s="340"/>
      <c r="F57" s="340"/>
      <c r="G57" s="319" t="s">
        <v>536</v>
      </c>
      <c r="I57" s="318"/>
      <c r="J57" s="480">
        <f t="shared" ref="J57:L57" si="4">SUM(J55:J56)</f>
        <v>40758.588000000003</v>
      </c>
      <c r="K57" s="480">
        <v>41819</v>
      </c>
      <c r="L57" s="480">
        <f t="shared" si="4"/>
        <v>42698</v>
      </c>
      <c r="M57" s="480">
        <f>SUM(M55:M56)</f>
        <v>43680</v>
      </c>
      <c r="N57" s="480">
        <f t="shared" ref="N57:O57" si="5">SUM(N55:N56)</f>
        <v>44685</v>
      </c>
      <c r="O57" s="480">
        <f t="shared" si="5"/>
        <v>45712</v>
      </c>
    </row>
    <row r="58" spans="1:23" ht="12.75" customHeight="1" thickTop="1" x14ac:dyDescent="0.25">
      <c r="D58" s="340"/>
      <c r="E58" s="340"/>
      <c r="F58" s="340"/>
      <c r="G58" s="319"/>
      <c r="I58" s="318"/>
      <c r="J58" s="318"/>
      <c r="K58" s="318"/>
      <c r="L58" s="318"/>
      <c r="M58" s="318"/>
      <c r="N58" s="318"/>
      <c r="O58" s="318"/>
    </row>
    <row r="59" spans="1:23" ht="12.75" customHeight="1" x14ac:dyDescent="0.25">
      <c r="D59" s="340"/>
      <c r="E59" s="340"/>
      <c r="F59" s="340"/>
      <c r="G59" s="319"/>
      <c r="I59" s="318"/>
      <c r="J59" s="317"/>
      <c r="K59" s="317"/>
      <c r="L59" s="317"/>
      <c r="M59" s="317"/>
      <c r="N59" s="317"/>
      <c r="O59" s="317"/>
    </row>
    <row r="60" spans="1:23" ht="12.75" customHeight="1" x14ac:dyDescent="0.25">
      <c r="D60" s="347">
        <v>633002</v>
      </c>
      <c r="E60" s="476"/>
      <c r="F60" s="476"/>
      <c r="G60" s="332" t="s">
        <v>3847</v>
      </c>
      <c r="I60" s="318"/>
      <c r="J60" s="317"/>
      <c r="K60" s="317"/>
      <c r="L60" s="317"/>
      <c r="M60" s="317"/>
      <c r="N60" s="317"/>
      <c r="O60" s="317"/>
    </row>
    <row r="61" spans="1:23" ht="12.75" customHeight="1" x14ac:dyDescent="0.25">
      <c r="D61" s="340"/>
      <c r="E61" s="340"/>
      <c r="F61" s="340"/>
      <c r="G61" s="334" t="s">
        <v>533</v>
      </c>
      <c r="I61" s="318"/>
      <c r="J61" s="317"/>
      <c r="K61" s="317"/>
      <c r="L61" s="317"/>
      <c r="M61" s="317"/>
      <c r="N61" s="317"/>
      <c r="O61" s="317"/>
    </row>
    <row r="62" spans="1:23" ht="12.75" customHeight="1" x14ac:dyDescent="0.25">
      <c r="A62" s="336">
        <f>+D60</f>
        <v>633002</v>
      </c>
      <c r="B62" s="115" t="str">
        <f>G60</f>
        <v>ODZOB Archeologie/monumenten</v>
      </c>
      <c r="D62" s="337">
        <v>43511</v>
      </c>
      <c r="E62" s="337"/>
      <c r="F62" s="337"/>
      <c r="G62" s="319" t="s">
        <v>560</v>
      </c>
      <c r="I62" s="318"/>
      <c r="J62" s="317">
        <v>44207</v>
      </c>
      <c r="K62" s="317">
        <v>45356</v>
      </c>
      <c r="L62" s="317">
        <f>L96</f>
        <v>46308</v>
      </c>
      <c r="M62" s="317">
        <f>M96</f>
        <v>47373</v>
      </c>
      <c r="N62" s="317">
        <f>N96</f>
        <v>48463</v>
      </c>
      <c r="O62" s="317">
        <f>O96</f>
        <v>49578</v>
      </c>
    </row>
    <row r="63" spans="1:23" ht="12.75" customHeight="1" thickBot="1" x14ac:dyDescent="0.3">
      <c r="D63" s="340"/>
      <c r="E63" s="340"/>
      <c r="F63" s="340"/>
      <c r="G63" s="319" t="s">
        <v>536</v>
      </c>
      <c r="I63" s="318"/>
      <c r="J63" s="342">
        <v>44207</v>
      </c>
      <c r="K63" s="342">
        <v>45356</v>
      </c>
      <c r="L63" s="342">
        <f>SUM(L60:L62)</f>
        <v>46308</v>
      </c>
      <c r="M63" s="342">
        <f>SUM(M60:M62)</f>
        <v>47373</v>
      </c>
      <c r="N63" s="342">
        <f>SUM(N60:N62)</f>
        <v>48463</v>
      </c>
      <c r="O63" s="342">
        <f>SUM(O60:O62)</f>
        <v>49578</v>
      </c>
    </row>
    <row r="64" spans="1:23" ht="12.75" customHeight="1" thickTop="1" x14ac:dyDescent="0.25">
      <c r="D64" s="340"/>
      <c r="E64" s="340"/>
      <c r="F64" s="340"/>
      <c r="G64" s="319"/>
      <c r="I64" s="318"/>
      <c r="J64" s="318"/>
      <c r="K64" s="318"/>
      <c r="L64" s="318"/>
      <c r="M64" s="318"/>
      <c r="N64" s="318"/>
      <c r="O64" s="318"/>
    </row>
    <row r="65" spans="1:15" ht="12.75" customHeight="1" x14ac:dyDescent="0.25">
      <c r="D65" s="347">
        <v>633003</v>
      </c>
      <c r="E65" s="476"/>
      <c r="F65" s="476"/>
      <c r="G65" s="332" t="s">
        <v>3845</v>
      </c>
      <c r="I65" s="318"/>
      <c r="J65" s="317"/>
      <c r="K65" s="317"/>
      <c r="L65" s="317"/>
      <c r="M65" s="317"/>
      <c r="N65" s="317"/>
      <c r="O65" s="317"/>
    </row>
    <row r="66" spans="1:15" ht="12.75" customHeight="1" x14ac:dyDescent="0.25">
      <c r="D66" s="340"/>
      <c r="E66" s="340"/>
      <c r="F66" s="340"/>
      <c r="G66" s="334" t="s">
        <v>533</v>
      </c>
      <c r="I66" s="318"/>
      <c r="J66" s="317"/>
      <c r="K66" s="317"/>
      <c r="L66" s="317"/>
      <c r="M66" s="317"/>
      <c r="N66" s="317"/>
      <c r="O66" s="317"/>
    </row>
    <row r="67" spans="1:15" ht="12.75" customHeight="1" x14ac:dyDescent="0.25">
      <c r="A67" s="336">
        <v>633003</v>
      </c>
      <c r="B67" s="115" t="s">
        <v>3846</v>
      </c>
      <c r="D67" s="337">
        <v>42100</v>
      </c>
      <c r="E67" s="337"/>
      <c r="F67" s="337"/>
      <c r="G67" s="319" t="s">
        <v>3848</v>
      </c>
      <c r="I67" s="318"/>
      <c r="J67" s="318">
        <v>36</v>
      </c>
      <c r="K67" s="318">
        <v>37</v>
      </c>
      <c r="L67" s="318">
        <f t="shared" ref="L67:O69" si="6">ROUND(K67*T$2,0)</f>
        <v>38</v>
      </c>
      <c r="M67" s="318">
        <f t="shared" si="6"/>
        <v>39</v>
      </c>
      <c r="N67" s="318">
        <f t="shared" si="6"/>
        <v>40</v>
      </c>
      <c r="O67" s="318">
        <f t="shared" si="6"/>
        <v>41</v>
      </c>
    </row>
    <row r="68" spans="1:15" ht="12.75" customHeight="1" x14ac:dyDescent="0.25">
      <c r="A68" s="336">
        <v>633003</v>
      </c>
      <c r="B68" s="115" t="s">
        <v>3846</v>
      </c>
      <c r="D68" s="337">
        <v>42100</v>
      </c>
      <c r="E68" s="337"/>
      <c r="F68" s="337"/>
      <c r="G68" s="319" t="s">
        <v>3849</v>
      </c>
      <c r="I68" s="318"/>
      <c r="J68" s="318">
        <v>635</v>
      </c>
      <c r="K68" s="318">
        <v>652</v>
      </c>
      <c r="L68" s="318">
        <f t="shared" si="6"/>
        <v>666</v>
      </c>
      <c r="M68" s="318">
        <f t="shared" si="6"/>
        <v>681</v>
      </c>
      <c r="N68" s="318">
        <f t="shared" si="6"/>
        <v>697</v>
      </c>
      <c r="O68" s="318">
        <f t="shared" si="6"/>
        <v>713</v>
      </c>
    </row>
    <row r="69" spans="1:15" ht="12.75" customHeight="1" x14ac:dyDescent="0.25">
      <c r="A69" s="336">
        <v>633003</v>
      </c>
      <c r="B69" s="115" t="s">
        <v>3846</v>
      </c>
      <c r="D69" s="337">
        <v>43806</v>
      </c>
      <c r="E69" s="337"/>
      <c r="F69" s="337"/>
      <c r="G69" s="319" t="s">
        <v>3850</v>
      </c>
      <c r="I69" s="318"/>
      <c r="J69" s="318">
        <v>205</v>
      </c>
      <c r="K69" s="318">
        <v>210</v>
      </c>
      <c r="L69" s="318">
        <f t="shared" si="6"/>
        <v>214</v>
      </c>
      <c r="M69" s="318">
        <f t="shared" si="6"/>
        <v>219</v>
      </c>
      <c r="N69" s="318">
        <f t="shared" si="6"/>
        <v>224</v>
      </c>
      <c r="O69" s="318">
        <f t="shared" si="6"/>
        <v>229</v>
      </c>
    </row>
    <row r="70" spans="1:15" ht="12.75" customHeight="1" x14ac:dyDescent="0.25">
      <c r="A70" s="336">
        <f>+D65</f>
        <v>633003</v>
      </c>
      <c r="B70" s="115" t="str">
        <f>G65</f>
        <v>Joe Mann Theater</v>
      </c>
      <c r="D70" s="337">
        <v>43812</v>
      </c>
      <c r="E70" s="337"/>
      <c r="F70" s="337"/>
      <c r="G70" s="319" t="s">
        <v>535</v>
      </c>
      <c r="I70" s="318"/>
      <c r="J70" s="317">
        <v>31981</v>
      </c>
      <c r="K70" s="317">
        <v>32813</v>
      </c>
      <c r="L70" s="317">
        <f t="shared" ref="L70:M70" si="7">L101</f>
        <v>33502</v>
      </c>
      <c r="M70" s="317">
        <f t="shared" si="7"/>
        <v>34273</v>
      </c>
      <c r="N70" s="317">
        <f t="shared" ref="N70:O70" si="8">N101</f>
        <v>35061</v>
      </c>
      <c r="O70" s="317">
        <f t="shared" si="8"/>
        <v>35867</v>
      </c>
    </row>
    <row r="71" spans="1:15" ht="12.75" customHeight="1" thickBot="1" x14ac:dyDescent="0.3">
      <c r="D71" s="340"/>
      <c r="E71" s="340"/>
      <c r="F71" s="340"/>
      <c r="G71" s="319" t="s">
        <v>536</v>
      </c>
      <c r="I71" s="318"/>
      <c r="J71" s="342">
        <f>J67+J68+J69+J70</f>
        <v>32857</v>
      </c>
      <c r="K71" s="342">
        <v>33712</v>
      </c>
      <c r="L71" s="342">
        <f>SUM(L65:L70)</f>
        <v>34420</v>
      </c>
      <c r="M71" s="342">
        <f>SUM(M65:M70)</f>
        <v>35212</v>
      </c>
      <c r="N71" s="342">
        <f>SUM(N65:N70)</f>
        <v>36022</v>
      </c>
      <c r="O71" s="342">
        <f>SUM(O65:O70)</f>
        <v>36850</v>
      </c>
    </row>
    <row r="72" spans="1:15" ht="12.75" customHeight="1" thickTop="1" x14ac:dyDescent="0.25">
      <c r="D72" s="340"/>
      <c r="E72" s="340"/>
      <c r="F72" s="340"/>
      <c r="G72" s="319"/>
      <c r="I72" s="318"/>
      <c r="J72" s="318"/>
      <c r="K72" s="318"/>
      <c r="L72" s="318"/>
      <c r="M72" s="318"/>
      <c r="N72" s="318"/>
      <c r="O72" s="318"/>
    </row>
    <row r="73" spans="1:15" ht="12.75" customHeight="1" x14ac:dyDescent="0.25">
      <c r="D73" s="347">
        <v>633901</v>
      </c>
      <c r="E73" s="476"/>
      <c r="F73" s="476"/>
      <c r="G73" s="332" t="s">
        <v>3851</v>
      </c>
      <c r="I73" s="318"/>
      <c r="J73" s="317"/>
      <c r="K73" s="317"/>
      <c r="L73" s="317"/>
      <c r="M73" s="317"/>
      <c r="N73" s="317"/>
      <c r="O73" s="317"/>
    </row>
    <row r="74" spans="1:15" ht="12.75" customHeight="1" x14ac:dyDescent="0.25">
      <c r="D74" s="340"/>
      <c r="E74" s="340"/>
      <c r="F74" s="340"/>
      <c r="G74" s="334" t="s">
        <v>533</v>
      </c>
      <c r="I74" s="318"/>
      <c r="J74" s="317"/>
      <c r="K74" s="317"/>
      <c r="L74" s="317"/>
      <c r="M74" s="317"/>
      <c r="N74" s="317"/>
      <c r="O74" s="317"/>
    </row>
    <row r="75" spans="1:15" ht="12.75" customHeight="1" x14ac:dyDescent="0.25">
      <c r="A75" s="336">
        <f>+D73</f>
        <v>633901</v>
      </c>
      <c r="B75" s="115" t="str">
        <f>G73</f>
        <v>Directe toerekening musea en cultureel erfgoed</v>
      </c>
      <c r="D75" s="337">
        <v>41100</v>
      </c>
      <c r="E75" s="337"/>
      <c r="F75" s="337"/>
      <c r="G75" s="319" t="s">
        <v>541</v>
      </c>
      <c r="H75" s="355"/>
      <c r="I75" s="318"/>
      <c r="J75" s="317">
        <v>46302.41</v>
      </c>
      <c r="K75" s="317">
        <v>62839.12</v>
      </c>
      <c r="L75" s="317">
        <f>L107</f>
        <v>65478</v>
      </c>
      <c r="M75" s="317">
        <f>M107</f>
        <v>67901</v>
      </c>
      <c r="N75" s="317">
        <f>N107</f>
        <v>70413</v>
      </c>
      <c r="O75" s="317">
        <f>O107</f>
        <v>73018</v>
      </c>
    </row>
    <row r="76" spans="1:15" ht="12.75" customHeight="1" thickBot="1" x14ac:dyDescent="0.3">
      <c r="D76" s="340"/>
      <c r="E76" s="340"/>
      <c r="F76" s="340"/>
      <c r="G76" s="319" t="s">
        <v>536</v>
      </c>
      <c r="I76" s="318"/>
      <c r="J76" s="342">
        <v>46302.41</v>
      </c>
      <c r="K76" s="342">
        <v>62839.12</v>
      </c>
      <c r="L76" s="342">
        <f>SUM(L74:L75)</f>
        <v>65478</v>
      </c>
      <c r="M76" s="342">
        <f>SUM(M74:M75)</f>
        <v>67901</v>
      </c>
      <c r="N76" s="342">
        <f>SUM(N74:N75)</f>
        <v>70413</v>
      </c>
      <c r="O76" s="342">
        <f>SUM(O74:O75)</f>
        <v>73018</v>
      </c>
    </row>
    <row r="77" spans="1:15" ht="12.75" customHeight="1" thickTop="1" x14ac:dyDescent="0.25">
      <c r="D77" s="167"/>
      <c r="E77" s="167"/>
      <c r="F77" s="167"/>
      <c r="G77" s="168"/>
      <c r="H77" s="149"/>
      <c r="I77" s="156"/>
      <c r="J77" s="156"/>
      <c r="K77" s="156"/>
      <c r="L77" s="156"/>
      <c r="M77" s="156"/>
      <c r="N77" s="156"/>
      <c r="O77" s="156"/>
    </row>
    <row r="78" spans="1:15" ht="12.75" customHeight="1" x14ac:dyDescent="0.25">
      <c r="D78" s="384"/>
      <c r="E78" s="384"/>
      <c r="F78" s="384"/>
      <c r="I78" s="114"/>
      <c r="J78" s="114"/>
      <c r="K78" s="114"/>
      <c r="L78" s="114"/>
      <c r="M78" s="114"/>
      <c r="N78" s="114"/>
      <c r="O78" s="114"/>
    </row>
    <row r="79" spans="1:15" ht="12.75" customHeight="1" x14ac:dyDescent="0.25">
      <c r="D79" s="384"/>
      <c r="E79" s="384"/>
      <c r="F79" s="384"/>
      <c r="I79" s="114"/>
      <c r="J79" s="114"/>
      <c r="K79" s="114"/>
      <c r="L79" s="114"/>
      <c r="M79" s="114"/>
      <c r="N79" s="114"/>
      <c r="O79" s="114"/>
    </row>
    <row r="80" spans="1:15" ht="12.75" customHeight="1" x14ac:dyDescent="0.25">
      <c r="D80" s="428" t="s">
        <v>561</v>
      </c>
      <c r="E80" s="384"/>
      <c r="F80" s="384"/>
      <c r="G80" s="381"/>
      <c r="I80" s="114"/>
      <c r="J80" s="114"/>
      <c r="K80" s="114"/>
      <c r="L80" s="114"/>
      <c r="M80" s="114"/>
      <c r="N80" s="114"/>
      <c r="O80" s="114"/>
    </row>
    <row r="81" spans="4:16" ht="12.75" customHeight="1" x14ac:dyDescent="0.25">
      <c r="D81" s="384"/>
      <c r="E81" s="384"/>
      <c r="F81" s="384"/>
      <c r="I81" s="114"/>
      <c r="J81" s="486"/>
      <c r="K81" s="407">
        <v>2026</v>
      </c>
      <c r="L81" s="407">
        <v>2027</v>
      </c>
      <c r="M81" s="407">
        <v>2028</v>
      </c>
      <c r="N81" s="407">
        <v>2029</v>
      </c>
      <c r="O81" s="407">
        <v>2030</v>
      </c>
    </row>
    <row r="82" spans="4:16" ht="12.75" customHeight="1" x14ac:dyDescent="0.25">
      <c r="D82" s="393">
        <v>633001</v>
      </c>
      <c r="E82" s="381" t="s">
        <v>3846</v>
      </c>
      <c r="F82" s="382"/>
      <c r="I82" s="114"/>
    </row>
    <row r="83" spans="4:16" ht="12.75" customHeight="1" x14ac:dyDescent="0.25">
      <c r="D83" s="393"/>
      <c r="E83" s="383" t="s">
        <v>533</v>
      </c>
      <c r="F83" s="382"/>
      <c r="I83" s="114"/>
      <c r="J83" s="486"/>
      <c r="K83" s="486"/>
      <c r="L83" s="486"/>
      <c r="M83" s="486"/>
      <c r="N83" s="486"/>
      <c r="O83" s="486"/>
    </row>
    <row r="84" spans="4:16" ht="12.75" customHeight="1" x14ac:dyDescent="0.25">
      <c r="D84" s="143">
        <v>43812</v>
      </c>
      <c r="E84" s="115" t="s">
        <v>3852</v>
      </c>
      <c r="I84" s="114"/>
      <c r="J84" s="114"/>
      <c r="K84" s="114">
        <v>16328</v>
      </c>
      <c r="L84" s="114">
        <f>ROUND(K84*T$2,0)</f>
        <v>16671</v>
      </c>
      <c r="M84" s="114">
        <f>ROUND(L84*U$2,0)</f>
        <v>17054</v>
      </c>
      <c r="N84" s="114">
        <f>ROUND(M84*V$2,0)</f>
        <v>17446</v>
      </c>
      <c r="O84" s="114">
        <f>ROUND(N84*W$2,0)</f>
        <v>17847</v>
      </c>
    </row>
    <row r="85" spans="4:16" ht="12.75" customHeight="1" thickBot="1" x14ac:dyDescent="0.3">
      <c r="D85" s="143"/>
      <c r="E85" s="381" t="str">
        <f>"Totaal "&amp;D84</f>
        <v>Totaal 43812</v>
      </c>
      <c r="I85" s="114"/>
      <c r="J85" s="114"/>
      <c r="K85" s="1744">
        <v>16328</v>
      </c>
      <c r="L85" s="1744">
        <f>SUM(L84:L84)</f>
        <v>16671</v>
      </c>
      <c r="M85" s="1744">
        <f>SUM(M84:M84)</f>
        <v>17054</v>
      </c>
      <c r="N85" s="1744">
        <f>SUM(N84:N84)</f>
        <v>17446</v>
      </c>
      <c r="O85" s="1744">
        <f>SUM(O84:O84)</f>
        <v>17847</v>
      </c>
    </row>
    <row r="86" spans="4:16" ht="12.75" customHeight="1" thickTop="1" x14ac:dyDescent="0.25">
      <c r="D86" s="143"/>
      <c r="E86" s="115"/>
      <c r="I86" s="114"/>
      <c r="J86" s="114"/>
      <c r="K86" s="114"/>
      <c r="L86" s="114"/>
      <c r="M86" s="114"/>
      <c r="N86" s="114"/>
      <c r="O86" s="114"/>
    </row>
    <row r="87" spans="4:16" ht="12.75" customHeight="1" x14ac:dyDescent="0.25">
      <c r="D87" s="143">
        <v>44380</v>
      </c>
      <c r="E87" s="308" t="s">
        <v>3853</v>
      </c>
      <c r="I87" s="114"/>
      <c r="J87" s="114"/>
      <c r="K87" s="114">
        <v>12218</v>
      </c>
      <c r="L87" s="114">
        <f t="shared" ref="L87:O88" si="9">ROUND(K87*T$2,0)</f>
        <v>12475</v>
      </c>
      <c r="M87" s="114">
        <f t="shared" si="9"/>
        <v>12762</v>
      </c>
      <c r="N87" s="114">
        <f t="shared" si="9"/>
        <v>13056</v>
      </c>
      <c r="O87" s="114">
        <f t="shared" si="9"/>
        <v>13356</v>
      </c>
    </row>
    <row r="88" spans="4:16" ht="12.75" customHeight="1" x14ac:dyDescent="0.25">
      <c r="D88" s="143">
        <v>44380</v>
      </c>
      <c r="E88" s="115" t="s">
        <v>3854</v>
      </c>
      <c r="I88" s="114"/>
      <c r="J88" s="114"/>
      <c r="K88" s="114">
        <v>13273</v>
      </c>
      <c r="L88" s="114">
        <f t="shared" si="9"/>
        <v>13552</v>
      </c>
      <c r="M88" s="114">
        <f t="shared" si="9"/>
        <v>13864</v>
      </c>
      <c r="N88" s="114">
        <f t="shared" si="9"/>
        <v>14183</v>
      </c>
      <c r="O88" s="114">
        <f t="shared" si="9"/>
        <v>14509</v>
      </c>
    </row>
    <row r="89" spans="4:16" ht="12.75" customHeight="1" thickBot="1" x14ac:dyDescent="0.3">
      <c r="D89" s="143"/>
      <c r="E89" s="381" t="str">
        <f>"Totaal "&amp;D87</f>
        <v>Totaal 44380</v>
      </c>
      <c r="I89" s="114"/>
      <c r="J89" s="114"/>
      <c r="K89" s="1744">
        <v>25491</v>
      </c>
      <c r="L89" s="1744">
        <f>SUM(L87:L88)</f>
        <v>26027</v>
      </c>
      <c r="M89" s="1744">
        <f>SUM(M87:M88)</f>
        <v>26626</v>
      </c>
      <c r="N89" s="1744">
        <f>SUM(N87:N88)</f>
        <v>27239</v>
      </c>
      <c r="O89" s="1744">
        <f>SUM(O87:O88)</f>
        <v>27865</v>
      </c>
    </row>
    <row r="90" spans="4:16" ht="12.75" customHeight="1" thickTop="1" x14ac:dyDescent="0.25">
      <c r="D90" s="143"/>
      <c r="E90" s="115"/>
      <c r="I90" s="114"/>
      <c r="J90" s="397"/>
      <c r="K90" s="397"/>
      <c r="L90" s="397"/>
      <c r="M90" s="397"/>
      <c r="N90" s="397"/>
      <c r="O90" s="397"/>
    </row>
    <row r="91" spans="4:16" ht="12.75" customHeight="1" x14ac:dyDescent="0.25">
      <c r="D91" s="143"/>
      <c r="E91" s="115"/>
      <c r="I91" s="114"/>
      <c r="J91" s="397"/>
      <c r="K91" s="1053"/>
      <c r="L91" s="397"/>
      <c r="M91" s="397"/>
      <c r="O91" s="397"/>
    </row>
    <row r="92" spans="4:16" ht="12.75" customHeight="1" x14ac:dyDescent="0.25">
      <c r="D92" s="393">
        <v>633002</v>
      </c>
      <c r="E92" s="381" t="s">
        <v>3855</v>
      </c>
      <c r="F92" s="382"/>
      <c r="I92" s="114"/>
      <c r="J92" s="486"/>
      <c r="K92" s="1054"/>
      <c r="L92" s="486"/>
      <c r="M92" s="486"/>
      <c r="N92" s="486"/>
      <c r="O92" s="486"/>
    </row>
    <row r="93" spans="4:16" ht="12.75" customHeight="1" x14ac:dyDescent="0.25">
      <c r="D93" s="393"/>
      <c r="E93" s="383" t="s">
        <v>533</v>
      </c>
      <c r="F93" s="382"/>
      <c r="I93" s="114"/>
      <c r="J93" s="486"/>
      <c r="K93" s="486"/>
      <c r="L93" s="486"/>
      <c r="M93" s="486"/>
      <c r="N93" s="486"/>
      <c r="O93" s="486"/>
    </row>
    <row r="94" spans="4:16" ht="12.75" customHeight="1" x14ac:dyDescent="0.25">
      <c r="D94" s="143">
        <v>43511</v>
      </c>
      <c r="E94" s="115" t="s">
        <v>3856</v>
      </c>
      <c r="I94" s="114"/>
      <c r="J94" s="114"/>
      <c r="K94" s="114">
        <v>21001</v>
      </c>
      <c r="L94" s="114">
        <f t="shared" ref="L94:O95" si="10">ROUND(K94*T$2,0)</f>
        <v>21442</v>
      </c>
      <c r="M94" s="114">
        <f t="shared" si="10"/>
        <v>21935</v>
      </c>
      <c r="N94" s="114">
        <f t="shared" si="10"/>
        <v>22440</v>
      </c>
      <c r="O94" s="2123">
        <f t="shared" si="10"/>
        <v>22956</v>
      </c>
      <c r="P94" s="115" t="s">
        <v>5287</v>
      </c>
    </row>
    <row r="95" spans="4:16" ht="12.75" customHeight="1" x14ac:dyDescent="0.25">
      <c r="D95" s="143"/>
      <c r="E95" s="308" t="s">
        <v>3857</v>
      </c>
      <c r="I95" s="114"/>
      <c r="J95" s="114"/>
      <c r="K95" s="114">
        <v>24355</v>
      </c>
      <c r="L95" s="114">
        <f t="shared" si="10"/>
        <v>24866</v>
      </c>
      <c r="M95" s="114">
        <f t="shared" si="10"/>
        <v>25438</v>
      </c>
      <c r="N95" s="114">
        <f t="shared" si="10"/>
        <v>26023</v>
      </c>
      <c r="O95" s="2123">
        <f t="shared" si="10"/>
        <v>26622</v>
      </c>
      <c r="P95" s="115" t="s">
        <v>5287</v>
      </c>
    </row>
    <row r="96" spans="4:16" ht="12.75" customHeight="1" thickBot="1" x14ac:dyDescent="0.3">
      <c r="D96" s="143"/>
      <c r="E96" s="381" t="str">
        <f>"Totaal "&amp;D94</f>
        <v>Totaal 43511</v>
      </c>
      <c r="I96" s="114"/>
      <c r="J96" s="114"/>
      <c r="K96" s="1744">
        <v>45356</v>
      </c>
      <c r="L96" s="1744">
        <f>SUM(L94:L95)</f>
        <v>46308</v>
      </c>
      <c r="M96" s="1744">
        <f>SUM(M94:M95)</f>
        <v>47373</v>
      </c>
      <c r="N96" s="1744">
        <f>SUM(N94:N95)</f>
        <v>48463</v>
      </c>
      <c r="O96" s="1744">
        <f>SUM(O94:O95)</f>
        <v>49578</v>
      </c>
    </row>
    <row r="97" spans="4:15" ht="12.75" customHeight="1" thickTop="1" x14ac:dyDescent="0.25">
      <c r="D97" s="384"/>
      <c r="E97" s="115"/>
      <c r="F97" s="384"/>
      <c r="I97" s="114"/>
      <c r="J97" s="114"/>
      <c r="K97" s="114"/>
      <c r="L97" s="114"/>
      <c r="M97" s="114"/>
      <c r="N97" s="114"/>
      <c r="O97" s="114"/>
    </row>
    <row r="98" spans="4:15" ht="12.75" customHeight="1" x14ac:dyDescent="0.25">
      <c r="D98" s="393">
        <v>633003</v>
      </c>
      <c r="E98" s="381" t="s">
        <v>3845</v>
      </c>
      <c r="F98" s="382"/>
      <c r="I98" s="114"/>
    </row>
    <row r="99" spans="4:15" ht="12.75" customHeight="1" x14ac:dyDescent="0.25">
      <c r="D99" s="393"/>
      <c r="E99" s="383" t="s">
        <v>533</v>
      </c>
      <c r="F99" s="382"/>
      <c r="I99" s="114"/>
      <c r="J99" s="486"/>
      <c r="K99" s="486"/>
      <c r="L99" s="486"/>
      <c r="M99" s="486"/>
      <c r="N99" s="486"/>
      <c r="O99" s="486"/>
    </row>
    <row r="100" spans="4:15" ht="12.75" customHeight="1" x14ac:dyDescent="0.25">
      <c r="D100" s="143">
        <v>43812</v>
      </c>
      <c r="E100" s="115" t="s">
        <v>3858</v>
      </c>
      <c r="I100" s="114"/>
      <c r="J100" s="114"/>
      <c r="K100" s="114">
        <v>32813</v>
      </c>
      <c r="L100" s="114">
        <f>ROUND(K100*T$2,0)</f>
        <v>33502</v>
      </c>
      <c r="M100" s="114">
        <f>ROUND(L100*U$2,0)</f>
        <v>34273</v>
      </c>
      <c r="N100" s="114">
        <f>ROUND(M100*V$2,0)</f>
        <v>35061</v>
      </c>
      <c r="O100" s="114">
        <f>ROUND(N100*W$2,0)</f>
        <v>35867</v>
      </c>
    </row>
    <row r="101" spans="4:15" ht="12.75" customHeight="1" thickBot="1" x14ac:dyDescent="0.3">
      <c r="D101" s="143"/>
      <c r="E101" s="381" t="str">
        <f>"Totaal "&amp;D100</f>
        <v>Totaal 43812</v>
      </c>
      <c r="I101" s="114"/>
      <c r="J101" s="114"/>
      <c r="K101" s="1744">
        <v>32813</v>
      </c>
      <c r="L101" s="1744">
        <f>SUM(L100:L100)</f>
        <v>33502</v>
      </c>
      <c r="M101" s="1744">
        <f>SUM(M100:M100)</f>
        <v>34273</v>
      </c>
      <c r="N101" s="1744">
        <f>SUM(N100:N100)</f>
        <v>35061</v>
      </c>
      <c r="O101" s="1744">
        <f>SUM(O100:O100)</f>
        <v>35867</v>
      </c>
    </row>
    <row r="102" spans="4:15" ht="12.75" customHeight="1" thickTop="1" x14ac:dyDescent="0.25">
      <c r="D102" s="384"/>
      <c r="E102" s="115"/>
      <c r="F102" s="384"/>
      <c r="I102" s="114"/>
      <c r="J102" s="114"/>
      <c r="K102" s="114"/>
      <c r="L102" s="114"/>
      <c r="M102" s="114"/>
      <c r="N102" s="114"/>
      <c r="O102" s="114"/>
    </row>
    <row r="103" spans="4:15" ht="12.75" customHeight="1" x14ac:dyDescent="0.25">
      <c r="D103" s="433">
        <v>633901</v>
      </c>
      <c r="E103" s="381" t="s">
        <v>3851</v>
      </c>
      <c r="F103" s="648"/>
      <c r="I103" s="486"/>
      <c r="J103" s="486"/>
      <c r="K103" s="486"/>
      <c r="L103" s="486"/>
      <c r="M103" s="486"/>
      <c r="N103" s="486"/>
      <c r="O103" s="486"/>
    </row>
    <row r="104" spans="4:15" ht="12.75" customHeight="1" x14ac:dyDescent="0.25">
      <c r="D104" s="384"/>
      <c r="E104" s="383" t="s">
        <v>533</v>
      </c>
      <c r="F104" s="384"/>
      <c r="I104" s="114"/>
      <c r="J104" s="114"/>
      <c r="K104" s="114"/>
      <c r="L104" s="114"/>
      <c r="M104" s="114"/>
      <c r="N104" s="114"/>
      <c r="O104" s="114"/>
    </row>
    <row r="105" spans="4:15" ht="12.75" customHeight="1" x14ac:dyDescent="0.25">
      <c r="D105" s="143">
        <v>41100</v>
      </c>
      <c r="E105" s="115" t="s">
        <v>541</v>
      </c>
      <c r="H105" s="355"/>
      <c r="I105" s="114"/>
    </row>
    <row r="106" spans="4:15" ht="12.75" customHeight="1" x14ac:dyDescent="0.25">
      <c r="D106" s="143"/>
      <c r="E106" s="308" t="s">
        <v>707</v>
      </c>
      <c r="H106" s="355"/>
      <c r="I106" s="114"/>
      <c r="J106" s="114"/>
      <c r="K106" s="114">
        <v>62839.12</v>
      </c>
      <c r="L106" s="114">
        <f>ROUND(K106*T$3,0)</f>
        <v>65478</v>
      </c>
      <c r="M106" s="114">
        <f>ROUND(L106*U$3,0)</f>
        <v>67901</v>
      </c>
      <c r="N106" s="114">
        <f>ROUND(M106*V$3,0)</f>
        <v>70413</v>
      </c>
      <c r="O106" s="114">
        <f>ROUND(N106*W$3,0)</f>
        <v>73018</v>
      </c>
    </row>
    <row r="107" spans="4:15" ht="12.75" customHeight="1" thickBot="1" x14ac:dyDescent="0.3">
      <c r="D107" s="384"/>
      <c r="E107" s="381" t="str">
        <f>"Totaal "&amp;D105</f>
        <v>Totaal 41100</v>
      </c>
      <c r="F107" s="384"/>
      <c r="I107" s="114"/>
      <c r="J107" s="114"/>
      <c r="K107" s="1744">
        <v>62839.12</v>
      </c>
      <c r="L107" s="1744">
        <f>SUM(L105:L106)</f>
        <v>65478</v>
      </c>
      <c r="M107" s="1744">
        <f>SUM(M105:M106)</f>
        <v>67901</v>
      </c>
      <c r="N107" s="1744">
        <f>SUM(N105:N106)</f>
        <v>70413</v>
      </c>
      <c r="O107" s="1744">
        <f>SUM(O105:O106)</f>
        <v>73018</v>
      </c>
    </row>
    <row r="108" spans="4:15" ht="12.75" customHeight="1" thickTop="1" x14ac:dyDescent="0.25">
      <c r="D108" s="384"/>
      <c r="E108" s="115"/>
      <c r="F108" s="384"/>
      <c r="I108" s="114"/>
      <c r="J108" s="114"/>
      <c r="K108" s="114"/>
      <c r="L108" s="114"/>
      <c r="M108" s="114"/>
      <c r="N108" s="114"/>
      <c r="O108" s="114"/>
    </row>
    <row r="109" spans="4:15" ht="12.75" customHeight="1" x14ac:dyDescent="0.25">
      <c r="D109" s="384"/>
      <c r="E109" s="384"/>
      <c r="F109" s="384"/>
      <c r="I109" s="114"/>
      <c r="J109" s="114"/>
      <c r="K109" s="114"/>
      <c r="L109" s="114"/>
      <c r="M109" s="114"/>
      <c r="N109" s="114"/>
      <c r="O109" s="114"/>
    </row>
    <row r="110" spans="4:15" ht="12.75" customHeight="1" x14ac:dyDescent="0.25">
      <c r="D110" s="433">
        <v>633003</v>
      </c>
      <c r="E110" s="381" t="s">
        <v>3859</v>
      </c>
      <c r="F110" s="384"/>
      <c r="I110" s="114"/>
      <c r="J110" s="114"/>
      <c r="K110" s="114"/>
      <c r="L110" s="114"/>
      <c r="M110" s="114"/>
      <c r="N110" s="114"/>
      <c r="O110" s="114"/>
    </row>
    <row r="111" spans="4:15" ht="12.75" customHeight="1" x14ac:dyDescent="0.25">
      <c r="D111" s="433"/>
      <c r="E111" s="383" t="s">
        <v>2358</v>
      </c>
      <c r="F111" s="384"/>
      <c r="I111" s="114"/>
      <c r="J111" s="114"/>
      <c r="K111" s="114"/>
      <c r="L111" s="114"/>
      <c r="M111" s="114"/>
      <c r="N111" s="114"/>
      <c r="O111" s="114"/>
    </row>
    <row r="112" spans="4:15" ht="12.75" customHeight="1" x14ac:dyDescent="0.25">
      <c r="D112" s="384"/>
      <c r="E112" s="115" t="s">
        <v>3860</v>
      </c>
      <c r="F112" s="384"/>
      <c r="I112" s="114"/>
      <c r="J112" s="114"/>
      <c r="K112" s="114"/>
      <c r="L112" s="114"/>
      <c r="M112" s="114"/>
      <c r="N112" s="114"/>
      <c r="O112" s="114"/>
    </row>
    <row r="113" spans="4:15" ht="12.75" customHeight="1" x14ac:dyDescent="0.25">
      <c r="D113" s="446"/>
      <c r="E113" s="2510" t="s">
        <v>3861</v>
      </c>
      <c r="F113" s="2510"/>
      <c r="G113" s="2510"/>
      <c r="H113" s="2510"/>
      <c r="I113" s="2510"/>
      <c r="J113" s="114"/>
      <c r="K113" s="114"/>
      <c r="L113" s="114"/>
      <c r="M113" s="114"/>
      <c r="N113" s="114"/>
      <c r="O113" s="114"/>
    </row>
    <row r="114" spans="4:15" ht="12.75" customHeight="1" x14ac:dyDescent="0.25">
      <c r="D114" s="446"/>
      <c r="E114" s="2510"/>
      <c r="F114" s="2510"/>
      <c r="G114" s="2510"/>
      <c r="H114" s="2510"/>
      <c r="I114" s="2510"/>
      <c r="J114" s="114"/>
      <c r="K114" s="114"/>
      <c r="L114" s="114"/>
      <c r="M114" s="114"/>
      <c r="N114" s="114"/>
      <c r="O114" s="114"/>
    </row>
    <row r="115" spans="4:15" ht="12.75" customHeight="1" x14ac:dyDescent="0.25">
      <c r="D115" s="446"/>
      <c r="E115" s="2510"/>
      <c r="F115" s="2510"/>
      <c r="G115" s="2510"/>
      <c r="H115" s="2510"/>
      <c r="I115" s="2510"/>
      <c r="J115" s="114"/>
      <c r="K115" s="114"/>
      <c r="L115" s="114"/>
      <c r="M115" s="114"/>
      <c r="N115" s="114"/>
      <c r="O115" s="114"/>
    </row>
    <row r="116" spans="4:15" ht="12.75" customHeight="1" x14ac:dyDescent="0.25">
      <c r="D116" s="384"/>
      <c r="E116" s="384"/>
      <c r="F116" s="384"/>
      <c r="G116" s="399"/>
      <c r="H116" s="399"/>
      <c r="I116" s="399"/>
      <c r="J116" s="114"/>
      <c r="K116" s="114"/>
      <c r="L116" s="114"/>
      <c r="M116" s="114"/>
      <c r="N116" s="114"/>
      <c r="O116" s="114"/>
    </row>
    <row r="117" spans="4:15" ht="12.75" customHeight="1" x14ac:dyDescent="0.25">
      <c r="D117" s="393"/>
      <c r="E117" s="114" t="s">
        <v>3862</v>
      </c>
      <c r="F117" s="393"/>
      <c r="I117" s="486"/>
      <c r="J117" s="114"/>
      <c r="K117" s="114"/>
      <c r="L117" s="114"/>
      <c r="M117" s="114"/>
      <c r="N117" s="114"/>
      <c r="O117" s="114"/>
    </row>
    <row r="118" spans="4:15" ht="12.75" customHeight="1" x14ac:dyDescent="0.25">
      <c r="D118" s="384"/>
      <c r="E118" s="115" t="s">
        <v>3863</v>
      </c>
      <c r="F118" s="384"/>
      <c r="I118" s="558"/>
      <c r="J118" s="114"/>
      <c r="K118" s="114"/>
      <c r="L118" s="114"/>
      <c r="M118" s="114"/>
      <c r="N118" s="114"/>
      <c r="O118" s="114"/>
    </row>
    <row r="119" spans="4:15" ht="12.75" customHeight="1" x14ac:dyDescent="0.25">
      <c r="D119" s="384"/>
      <c r="E119" s="115" t="s">
        <v>3864</v>
      </c>
      <c r="F119" s="384"/>
      <c r="I119" s="558"/>
      <c r="J119" s="114"/>
      <c r="K119" s="114"/>
      <c r="L119" s="114"/>
      <c r="M119" s="114"/>
      <c r="N119" s="114"/>
      <c r="O119" s="114"/>
    </row>
    <row r="120" spans="4:15" ht="12.75" customHeight="1" x14ac:dyDescent="0.25">
      <c r="D120" s="143"/>
      <c r="I120" s="114"/>
      <c r="J120" s="114"/>
      <c r="K120" s="114"/>
      <c r="L120" s="114"/>
      <c r="M120" s="114"/>
      <c r="N120" s="114"/>
      <c r="O120" s="114"/>
    </row>
    <row r="121" spans="4:15" ht="12.75" customHeight="1" x14ac:dyDescent="0.25">
      <c r="D121" s="384"/>
      <c r="E121" s="384"/>
      <c r="F121" s="384"/>
      <c r="I121" s="114"/>
      <c r="J121" s="114"/>
      <c r="K121" s="114"/>
      <c r="L121" s="114"/>
      <c r="M121" s="114"/>
      <c r="N121" s="114"/>
      <c r="O121" s="114"/>
    </row>
    <row r="122" spans="4:15" ht="12.75" customHeight="1" x14ac:dyDescent="0.25">
      <c r="D122" s="384"/>
      <c r="E122" s="384"/>
      <c r="F122" s="384"/>
      <c r="I122" s="114"/>
      <c r="J122" s="114"/>
      <c r="K122" s="114"/>
      <c r="L122" s="114"/>
      <c r="M122" s="114"/>
      <c r="N122" s="114"/>
      <c r="O122" s="114"/>
    </row>
    <row r="123" spans="4:15" ht="12.75" customHeight="1" x14ac:dyDescent="0.25">
      <c r="D123" s="384"/>
      <c r="E123" s="384"/>
      <c r="F123" s="384"/>
    </row>
    <row r="124" spans="4:15" ht="12.75" customHeight="1" x14ac:dyDescent="0.25">
      <c r="D124" s="384"/>
      <c r="E124" s="384"/>
      <c r="F124" s="384"/>
      <c r="I124" s="114"/>
    </row>
    <row r="125" spans="4:15" ht="12.75" customHeight="1" x14ac:dyDescent="0.25">
      <c r="D125" s="384"/>
      <c r="E125" s="384"/>
      <c r="F125" s="384"/>
    </row>
    <row r="126" spans="4:15" ht="12.75" customHeight="1" x14ac:dyDescent="0.25">
      <c r="D126" s="384"/>
      <c r="E126" s="384"/>
      <c r="F126" s="384"/>
    </row>
    <row r="127" spans="4:15" ht="12.75" customHeight="1" x14ac:dyDescent="0.25">
      <c r="D127" s="384"/>
      <c r="E127" s="384"/>
      <c r="F127" s="384"/>
      <c r="J127" s="114"/>
      <c r="K127" s="114"/>
      <c r="L127" s="114"/>
      <c r="M127" s="114"/>
      <c r="N127" s="114"/>
      <c r="O127" s="114"/>
    </row>
    <row r="128" spans="4:15" ht="12.75" customHeight="1" x14ac:dyDescent="0.25">
      <c r="D128" s="384"/>
      <c r="E128" s="384"/>
      <c r="F128" s="384"/>
      <c r="J128" s="114"/>
      <c r="K128" s="114"/>
      <c r="L128" s="114"/>
      <c r="M128" s="114"/>
      <c r="N128" s="114"/>
      <c r="O128" s="114"/>
    </row>
    <row r="129" spans="4:6" ht="12.75" customHeight="1" x14ac:dyDescent="0.25">
      <c r="D129" s="384"/>
      <c r="E129" s="384"/>
      <c r="F129" s="384"/>
    </row>
    <row r="130" spans="4:6" ht="12.75" customHeight="1" x14ac:dyDescent="0.25">
      <c r="D130" s="384"/>
      <c r="E130" s="384"/>
      <c r="F130" s="384"/>
    </row>
    <row r="131" spans="4:6" ht="12.75" customHeight="1" x14ac:dyDescent="0.25">
      <c r="D131" s="384"/>
      <c r="E131" s="384"/>
      <c r="F131" s="384"/>
    </row>
    <row r="132" spans="4:6" ht="12.75" customHeight="1" x14ac:dyDescent="0.25">
      <c r="D132" s="384"/>
      <c r="E132" s="384"/>
      <c r="F132" s="384"/>
    </row>
    <row r="133" spans="4:6" ht="12.75" customHeight="1" x14ac:dyDescent="0.25">
      <c r="D133" s="384"/>
      <c r="E133" s="384"/>
      <c r="F133" s="384"/>
    </row>
    <row r="134" spans="4:6" ht="12.75" customHeight="1" x14ac:dyDescent="0.25">
      <c r="D134" s="384"/>
      <c r="E134" s="384"/>
      <c r="F134" s="384"/>
    </row>
    <row r="135" spans="4:6" ht="12.75" customHeight="1" x14ac:dyDescent="0.25">
      <c r="D135" s="384"/>
      <c r="E135" s="384"/>
      <c r="F135" s="384"/>
    </row>
    <row r="136" spans="4:6" ht="12.75" customHeight="1" x14ac:dyDescent="0.25">
      <c r="D136" s="384"/>
      <c r="E136" s="384"/>
      <c r="F136" s="384"/>
    </row>
    <row r="137" spans="4:6" ht="12.75" customHeight="1" x14ac:dyDescent="0.25">
      <c r="D137" s="384"/>
      <c r="E137" s="384"/>
      <c r="F137" s="384"/>
    </row>
    <row r="138" spans="4:6" ht="12.75" customHeight="1" x14ac:dyDescent="0.25">
      <c r="D138" s="384"/>
      <c r="E138" s="384"/>
      <c r="F138" s="384"/>
    </row>
    <row r="139" spans="4:6" ht="12.75" customHeight="1" x14ac:dyDescent="0.25">
      <c r="D139" s="384"/>
      <c r="E139" s="384"/>
      <c r="F139" s="384"/>
    </row>
  </sheetData>
  <mergeCells count="4">
    <mergeCell ref="D49:D50"/>
    <mergeCell ref="F49:F50"/>
    <mergeCell ref="G49:H50"/>
    <mergeCell ref="E113:I115"/>
  </mergeCells>
  <hyperlinks>
    <hyperlink ref="A1" location="Inhoudsopgave!A1" display="Inhoudsopgave" xr:uid="{0BA89AD8-9DF4-49FC-AED7-3B3C401039B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79" min="3" max="14" man="1"/>
  </rowBreaks>
  <ignoredErrors>
    <ignoredError sqref="L43:M43" formulaRange="1"/>
  </ignoredError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8B85-A900-43BE-8F65-087095ADA897}">
  <sheetPr codeName="Blad30"/>
  <dimension ref="A1:W122"/>
  <sheetViews>
    <sheetView showGridLines="0" view="pageBreakPreview" topLeftCell="A88" zoomScaleNormal="100" zoomScaleSheetLayoutView="100" workbookViewId="0">
      <selection activeCell="L119" sqref="L119"/>
    </sheetView>
  </sheetViews>
  <sheetFormatPr defaultColWidth="9.109375" defaultRowHeight="12.75" customHeight="1" x14ac:dyDescent="0.25"/>
  <cols>
    <col min="1" max="1" width="8" style="400" bestFit="1" customWidth="1"/>
    <col min="2" max="3" width="16.44140625" style="115" customWidth="1"/>
    <col min="4" max="4" width="9.6640625" style="301" customWidth="1"/>
    <col min="5" max="6" width="9.6640625" style="143" customWidth="1"/>
    <col min="7" max="9" width="12.6640625" style="115" customWidth="1"/>
    <col min="10" max="15" width="11.6640625" style="115" customWidth="1"/>
    <col min="16" max="16" width="14.5546875" style="115" customWidth="1"/>
    <col min="17" max="17" width="13.109375" style="115" bestFit="1" customWidth="1"/>
    <col min="18" max="18" width="13.33203125" style="115" bestFit="1" customWidth="1"/>
    <col min="19" max="20" width="11.5546875" style="115" bestFit="1" customWidth="1"/>
    <col min="21"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E2" s="301"/>
      <c r="F2" s="301"/>
      <c r="H2" s="115" t="s">
        <v>3399</v>
      </c>
      <c r="I2" s="114"/>
      <c r="J2" s="114"/>
      <c r="K2" s="114"/>
      <c r="L2" s="114"/>
      <c r="M2" s="114"/>
      <c r="N2" s="114"/>
      <c r="O2" s="114"/>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E3" s="301"/>
      <c r="F3" s="301"/>
      <c r="I3" s="114"/>
      <c r="J3" s="114"/>
      <c r="K3" s="114"/>
      <c r="L3" s="114"/>
      <c r="M3" s="114"/>
      <c r="N3" s="114"/>
      <c r="O3" s="114"/>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E4" s="301"/>
      <c r="F4" s="301"/>
      <c r="I4" s="114"/>
      <c r="J4" s="114"/>
      <c r="K4" s="114"/>
      <c r="L4" s="114"/>
      <c r="M4" s="114"/>
      <c r="N4" s="114"/>
      <c r="O4" s="114"/>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E5" s="301"/>
      <c r="F5" s="301"/>
      <c r="I5" s="114"/>
      <c r="J5" s="114"/>
      <c r="K5" s="114"/>
      <c r="L5" s="114"/>
      <c r="M5" s="114"/>
      <c r="N5" s="114"/>
      <c r="O5" s="114"/>
    </row>
    <row r="6" spans="1:23" ht="12.75" customHeight="1" x14ac:dyDescent="0.25">
      <c r="D6" s="301" t="s">
        <v>66</v>
      </c>
      <c r="E6" s="301"/>
      <c r="F6" s="301"/>
      <c r="H6" s="115" t="s">
        <v>32</v>
      </c>
      <c r="I6" s="114"/>
      <c r="J6" s="114"/>
      <c r="K6" s="114"/>
      <c r="L6" s="114"/>
      <c r="M6" s="114"/>
      <c r="N6" s="114"/>
      <c r="O6" s="114"/>
    </row>
    <row r="7" spans="1:23" ht="12.75" customHeight="1" x14ac:dyDescent="0.25">
      <c r="E7" s="301"/>
      <c r="F7" s="301"/>
      <c r="I7" s="114"/>
      <c r="J7" s="114"/>
      <c r="K7" s="114"/>
      <c r="L7" s="114"/>
      <c r="M7" s="114"/>
      <c r="N7" s="114"/>
      <c r="O7" s="114"/>
    </row>
    <row r="8" spans="1:23" ht="12.75" customHeight="1" x14ac:dyDescent="0.25">
      <c r="E8" s="301"/>
      <c r="F8" s="301"/>
      <c r="I8" s="114"/>
      <c r="J8" s="114"/>
      <c r="K8" s="114"/>
      <c r="L8" s="114"/>
      <c r="M8" s="114"/>
      <c r="N8" s="114"/>
      <c r="O8" s="114"/>
    </row>
    <row r="9" spans="1:23" ht="12.75" customHeight="1" x14ac:dyDescent="0.25">
      <c r="E9" s="301"/>
      <c r="F9" s="301"/>
      <c r="I9" s="114"/>
      <c r="J9" s="114"/>
      <c r="K9" s="114"/>
      <c r="L9" s="114"/>
      <c r="M9" s="114"/>
      <c r="N9" s="114"/>
      <c r="O9" s="114"/>
    </row>
    <row r="10" spans="1:23" ht="12.75" customHeight="1" x14ac:dyDescent="0.25">
      <c r="E10" s="301"/>
      <c r="F10" s="301"/>
      <c r="I10" s="114"/>
      <c r="J10" s="114"/>
      <c r="K10" s="114"/>
      <c r="L10" s="114"/>
      <c r="M10" s="114"/>
      <c r="N10" s="114"/>
      <c r="O10" s="114"/>
    </row>
    <row r="11" spans="1:23" ht="12.75" customHeight="1" x14ac:dyDescent="0.25">
      <c r="E11" s="301"/>
      <c r="F11" s="301"/>
      <c r="I11" s="114"/>
      <c r="J11" s="114"/>
      <c r="K11" s="114"/>
      <c r="L11" s="114"/>
      <c r="M11" s="114"/>
      <c r="N11" s="114"/>
      <c r="O11" s="114"/>
    </row>
    <row r="12" spans="1:23" ht="12.75" customHeight="1" x14ac:dyDescent="0.25">
      <c r="E12" s="301"/>
      <c r="F12" s="301"/>
      <c r="I12" s="114"/>
      <c r="J12" s="114"/>
      <c r="K12" s="114"/>
      <c r="L12" s="114"/>
      <c r="M12" s="114"/>
      <c r="N12" s="114"/>
      <c r="O12" s="114"/>
    </row>
    <row r="13" spans="1:23" ht="12.75" customHeight="1" x14ac:dyDescent="0.25">
      <c r="E13" s="301"/>
      <c r="F13" s="301"/>
      <c r="I13" s="114"/>
      <c r="J13" s="114"/>
      <c r="K13" s="114"/>
      <c r="L13" s="114"/>
      <c r="M13" s="114"/>
      <c r="N13" s="114"/>
      <c r="O13" s="114"/>
    </row>
    <row r="14" spans="1:23" ht="12.75" customHeight="1" x14ac:dyDescent="0.25">
      <c r="E14" s="301"/>
      <c r="F14" s="301"/>
      <c r="I14" s="114"/>
      <c r="J14" s="114"/>
      <c r="K14" s="114"/>
      <c r="L14" s="114"/>
      <c r="M14" s="114"/>
      <c r="N14" s="114"/>
      <c r="O14" s="114"/>
    </row>
    <row r="15" spans="1:23" ht="12.75" customHeight="1" x14ac:dyDescent="0.25">
      <c r="E15" s="301"/>
      <c r="F15" s="301"/>
      <c r="I15" s="114"/>
      <c r="J15" s="114"/>
      <c r="K15" s="114"/>
      <c r="L15" s="114"/>
      <c r="M15" s="114"/>
      <c r="N15" s="114"/>
      <c r="O15" s="114"/>
    </row>
    <row r="16" spans="1:23" ht="12.75" customHeight="1" x14ac:dyDescent="0.25">
      <c r="E16" s="301"/>
      <c r="F16" s="301"/>
      <c r="I16" s="114"/>
      <c r="J16" s="114"/>
      <c r="K16" s="114"/>
      <c r="L16" s="114"/>
      <c r="M16" s="114"/>
      <c r="N16" s="114"/>
      <c r="O16" s="114"/>
    </row>
    <row r="17" spans="4:15" ht="12.75" customHeight="1" x14ac:dyDescent="0.25">
      <c r="E17" s="301"/>
      <c r="F17" s="301"/>
      <c r="I17" s="114"/>
      <c r="J17" s="114"/>
      <c r="K17" s="114"/>
      <c r="L17" s="114"/>
      <c r="M17" s="114"/>
      <c r="N17" s="114"/>
      <c r="O17" s="114"/>
    </row>
    <row r="18" spans="4:15" ht="12.75" customHeight="1" x14ac:dyDescent="0.25">
      <c r="D18" s="452" t="s">
        <v>507</v>
      </c>
      <c r="E18" s="438"/>
      <c r="F18" s="438"/>
      <c r="G18" s="453"/>
      <c r="H18" s="453"/>
      <c r="I18" s="453"/>
      <c r="J18" s="453"/>
      <c r="K18" s="453"/>
      <c r="L18" s="453"/>
      <c r="M18" s="453"/>
      <c r="N18" s="453"/>
      <c r="O18" s="453"/>
    </row>
    <row r="19" spans="4:15" ht="12.75" customHeight="1" x14ac:dyDescent="0.25">
      <c r="D19" s="438"/>
      <c r="E19" s="438"/>
      <c r="F19" s="438"/>
      <c r="G19" s="453"/>
      <c r="H19" s="453"/>
      <c r="I19" s="453"/>
      <c r="J19" s="453"/>
      <c r="K19" s="453"/>
      <c r="L19" s="453"/>
      <c r="M19" s="453"/>
      <c r="N19" s="453"/>
      <c r="O19" s="453"/>
    </row>
    <row r="20" spans="4:15" ht="12.75" customHeight="1" x14ac:dyDescent="0.25">
      <c r="D20" s="1746" t="s">
        <v>508</v>
      </c>
      <c r="E20" s="1747"/>
      <c r="F20" s="1747"/>
      <c r="G20" s="1748"/>
      <c r="H20" s="1748"/>
      <c r="I20" s="1749"/>
      <c r="J20" s="1749">
        <v>2025</v>
      </c>
      <c r="K20" s="1749">
        <v>2026</v>
      </c>
      <c r="L20" s="1749">
        <v>2027</v>
      </c>
      <c r="M20" s="1749">
        <v>2028</v>
      </c>
      <c r="N20" s="1749">
        <v>2029</v>
      </c>
      <c r="O20" s="1749">
        <v>2030</v>
      </c>
    </row>
    <row r="21" spans="4:15" ht="12.75" customHeight="1" x14ac:dyDescent="0.25">
      <c r="D21" s="454" t="str">
        <f>G55</f>
        <v>Raadhuisplein 32 (bibliotheek)</v>
      </c>
      <c r="E21" s="455"/>
      <c r="F21" s="456"/>
      <c r="G21" s="453"/>
      <c r="H21" s="453"/>
      <c r="I21" s="518"/>
      <c r="J21" s="25">
        <v>878855.47724499996</v>
      </c>
      <c r="K21" s="25">
        <v>908979.72939728969</v>
      </c>
      <c r="L21" s="25">
        <f t="shared" ref="L21:M21" si="0">L63</f>
        <v>850389.34838498943</v>
      </c>
      <c r="M21" s="25">
        <f t="shared" si="0"/>
        <v>866148.89427523408</v>
      </c>
      <c r="N21" s="25">
        <f t="shared" ref="N21:O21" si="1">N63</f>
        <v>882232.17836341762</v>
      </c>
      <c r="O21" s="25">
        <f t="shared" si="1"/>
        <v>897937.17836341762</v>
      </c>
    </row>
    <row r="22" spans="4:15" ht="12.75" customHeight="1" x14ac:dyDescent="0.25">
      <c r="D22" s="454" t="str">
        <f>G65</f>
        <v>Directe toerekening media</v>
      </c>
      <c r="E22" s="455"/>
      <c r="F22" s="456"/>
      <c r="G22" s="453"/>
      <c r="H22" s="453"/>
      <c r="I22" s="518"/>
      <c r="J22" s="25">
        <v>86087</v>
      </c>
      <c r="K22" s="25">
        <v>98704</v>
      </c>
      <c r="L22" s="25">
        <f t="shared" ref="L22:M22" si="2">L69+L72</f>
        <v>98704</v>
      </c>
      <c r="M22" s="25">
        <f t="shared" si="2"/>
        <v>98704</v>
      </c>
      <c r="N22" s="25">
        <f t="shared" ref="N22:O22" si="3">N69+N72</f>
        <v>98704</v>
      </c>
      <c r="O22" s="25">
        <f t="shared" si="3"/>
        <v>98704</v>
      </c>
    </row>
    <row r="23" spans="4:15" ht="12.75" customHeight="1" x14ac:dyDescent="0.25">
      <c r="D23" s="454"/>
      <c r="E23" s="455"/>
      <c r="F23" s="456"/>
      <c r="G23" s="453"/>
      <c r="H23" s="453"/>
      <c r="I23" s="518"/>
      <c r="J23" s="25"/>
      <c r="K23" s="25"/>
      <c r="L23" s="25"/>
      <c r="M23" s="25"/>
      <c r="N23" s="25"/>
      <c r="O23" s="25"/>
    </row>
    <row r="24" spans="4:15" ht="12.75" customHeight="1" x14ac:dyDescent="0.25">
      <c r="D24" s="454"/>
      <c r="E24" s="455"/>
      <c r="F24" s="456"/>
      <c r="G24" s="453"/>
      <c r="H24" s="453"/>
      <c r="I24" s="518"/>
      <c r="J24" s="25"/>
      <c r="K24" s="25"/>
      <c r="L24" s="25"/>
      <c r="M24" s="25"/>
      <c r="N24" s="25"/>
      <c r="O24" s="25"/>
    </row>
    <row r="25" spans="4:15" ht="12.75" customHeight="1" x14ac:dyDescent="0.25">
      <c r="D25" s="454"/>
      <c r="E25" s="455"/>
      <c r="F25" s="456"/>
      <c r="G25" s="453"/>
      <c r="H25" s="453"/>
      <c r="I25" s="518"/>
      <c r="J25" s="28"/>
      <c r="K25" s="28"/>
      <c r="L25" s="28"/>
      <c r="M25" s="28"/>
      <c r="N25" s="28"/>
      <c r="O25" s="28"/>
    </row>
    <row r="26" spans="4:15" ht="12.75" customHeight="1" x14ac:dyDescent="0.25">
      <c r="D26" s="454"/>
      <c r="E26" s="455"/>
      <c r="F26" s="456"/>
      <c r="G26" s="453"/>
      <c r="H26" s="453"/>
      <c r="I26" s="518"/>
      <c r="J26" s="28"/>
      <c r="K26" s="28"/>
      <c r="L26" s="28"/>
      <c r="M26" s="28"/>
      <c r="N26" s="28"/>
      <c r="O26" s="28"/>
    </row>
    <row r="27" spans="4:15" ht="12.75" customHeight="1" x14ac:dyDescent="0.25">
      <c r="D27" s="454"/>
      <c r="E27" s="455"/>
      <c r="F27" s="456"/>
      <c r="G27" s="453"/>
      <c r="H27" s="453"/>
      <c r="I27" s="518"/>
      <c r="J27" s="28"/>
      <c r="K27" s="28"/>
      <c r="L27" s="28"/>
      <c r="M27" s="28"/>
      <c r="N27" s="28"/>
      <c r="O27" s="28"/>
    </row>
    <row r="28" spans="4:15" ht="12.75" customHeight="1" x14ac:dyDescent="0.25">
      <c r="D28" s="454"/>
      <c r="E28" s="455"/>
      <c r="F28" s="456"/>
      <c r="G28" s="453"/>
      <c r="H28" s="453"/>
      <c r="I28" s="518"/>
      <c r="J28" s="28"/>
      <c r="K28" s="28"/>
      <c r="L28" s="28"/>
      <c r="M28" s="28"/>
      <c r="N28" s="28"/>
      <c r="O28" s="28"/>
    </row>
    <row r="29" spans="4:15" ht="12.75" customHeight="1" x14ac:dyDescent="0.25">
      <c r="D29" s="454"/>
      <c r="E29" s="455"/>
      <c r="F29" s="456"/>
      <c r="G29" s="453"/>
      <c r="H29" s="453"/>
      <c r="I29" s="518"/>
      <c r="J29" s="28"/>
      <c r="K29" s="28"/>
      <c r="L29" s="28"/>
      <c r="M29" s="28"/>
      <c r="N29" s="28"/>
      <c r="O29" s="28"/>
    </row>
    <row r="30" spans="4:15" ht="12.75" customHeight="1" x14ac:dyDescent="0.25">
      <c r="D30" s="454"/>
      <c r="E30" s="455"/>
      <c r="F30" s="456"/>
      <c r="G30" s="453"/>
      <c r="H30" s="453"/>
      <c r="I30" s="518"/>
      <c r="J30" s="28"/>
      <c r="K30" s="28"/>
      <c r="L30" s="28"/>
      <c r="M30" s="28"/>
      <c r="N30" s="28"/>
      <c r="O30" s="28"/>
    </row>
    <row r="31" spans="4:15" ht="12.75" customHeight="1" x14ac:dyDescent="0.25">
      <c r="D31" s="454"/>
      <c r="E31" s="455"/>
      <c r="F31" s="456"/>
      <c r="G31" s="453"/>
      <c r="H31" s="453"/>
      <c r="I31" s="518"/>
      <c r="J31" s="28"/>
      <c r="K31" s="28"/>
      <c r="L31" s="28"/>
      <c r="M31" s="28"/>
      <c r="N31" s="28"/>
      <c r="O31" s="28"/>
    </row>
    <row r="32" spans="4:15" ht="12.75" customHeight="1" x14ac:dyDescent="0.25">
      <c r="D32" s="454"/>
      <c r="E32" s="455"/>
      <c r="F32" s="456"/>
      <c r="G32" s="453"/>
      <c r="H32" s="453"/>
      <c r="I32" s="518"/>
      <c r="J32" s="26"/>
      <c r="K32" s="26"/>
      <c r="L32" s="26"/>
      <c r="M32" s="26"/>
      <c r="N32" s="26"/>
      <c r="O32" s="26"/>
    </row>
    <row r="33" spans="4:15" ht="12.75" customHeight="1" x14ac:dyDescent="0.25">
      <c r="D33" s="1751" t="s">
        <v>525</v>
      </c>
      <c r="E33" s="1752"/>
      <c r="F33" s="1753"/>
      <c r="G33" s="1754"/>
      <c r="H33" s="1754"/>
      <c r="I33" s="1757"/>
      <c r="J33" s="1755">
        <v>964942.47724499996</v>
      </c>
      <c r="K33" s="1755">
        <v>1007683.7293972897</v>
      </c>
      <c r="L33" s="1755">
        <f>SUM(L21:L32)</f>
        <v>949093.34838498943</v>
      </c>
      <c r="M33" s="1755">
        <f>SUM(M21:M32)</f>
        <v>964852.89427523408</v>
      </c>
      <c r="N33" s="1755">
        <f>SUM(N21:N32)</f>
        <v>980936.17836341762</v>
      </c>
      <c r="O33" s="1755">
        <f>SUM(O21:O32)</f>
        <v>996641.17836341762</v>
      </c>
    </row>
    <row r="34" spans="4:15" ht="12.75" customHeight="1" x14ac:dyDescent="0.25">
      <c r="D34" s="438"/>
      <c r="E34" s="455"/>
      <c r="F34" s="456"/>
      <c r="G34" s="453"/>
      <c r="H34" s="453"/>
      <c r="I34" s="453"/>
      <c r="J34" s="453"/>
      <c r="K34" s="453"/>
      <c r="L34" s="453"/>
      <c r="M34" s="453"/>
      <c r="N34" s="453"/>
      <c r="O34" s="453"/>
    </row>
    <row r="35" spans="4:15" ht="12.75" customHeight="1" x14ac:dyDescent="0.25">
      <c r="D35" s="1746" t="s">
        <v>526</v>
      </c>
      <c r="E35" s="1747"/>
      <c r="F35" s="1747"/>
      <c r="G35" s="1748"/>
      <c r="H35" s="1748"/>
      <c r="I35" s="1749"/>
      <c r="J35" s="1749">
        <v>2025</v>
      </c>
      <c r="K35" s="1749">
        <v>2026</v>
      </c>
      <c r="L35" s="1749">
        <v>2027</v>
      </c>
      <c r="M35" s="1749">
        <v>2028</v>
      </c>
      <c r="N35" s="1749">
        <v>2029</v>
      </c>
      <c r="O35" s="1749">
        <v>2030</v>
      </c>
    </row>
    <row r="36" spans="4:15" ht="12.75" customHeight="1" x14ac:dyDescent="0.25">
      <c r="D36" s="454" t="str">
        <f>G74</f>
        <v>Raadhuisplein 32 (bibliotheek)</v>
      </c>
      <c r="E36" s="455"/>
      <c r="F36" s="456"/>
      <c r="G36" s="453"/>
      <c r="H36" s="453"/>
      <c r="I36" s="518"/>
      <c r="J36" s="457">
        <v>-226875</v>
      </c>
      <c r="K36" s="457">
        <v>-199108</v>
      </c>
      <c r="L36" s="457">
        <f t="shared" ref="L36:M36" si="4">L77</f>
        <v>-205871.35999999999</v>
      </c>
      <c r="M36" s="457">
        <f t="shared" si="4"/>
        <v>-211833</v>
      </c>
      <c r="N36" s="457">
        <f t="shared" ref="N36:O36" si="5">N77</f>
        <v>-217966</v>
      </c>
      <c r="O36" s="457">
        <f t="shared" si="5"/>
        <v>-219127</v>
      </c>
    </row>
    <row r="37" spans="4:15" ht="12.75" customHeight="1" x14ac:dyDescent="0.25">
      <c r="D37" s="454"/>
      <c r="E37" s="455"/>
      <c r="F37" s="456"/>
      <c r="G37" s="453"/>
      <c r="H37" s="453"/>
      <c r="I37" s="518"/>
      <c r="J37" s="457"/>
      <c r="K37" s="457"/>
      <c r="L37" s="457"/>
      <c r="M37" s="457"/>
      <c r="N37" s="457"/>
      <c r="O37" s="457"/>
    </row>
    <row r="38" spans="4:15" ht="12.75" customHeight="1" x14ac:dyDescent="0.25">
      <c r="D38" s="454"/>
      <c r="E38" s="455"/>
      <c r="F38" s="456"/>
      <c r="G38" s="453"/>
      <c r="H38" s="453"/>
      <c r="I38" s="518"/>
      <c r="J38" s="457"/>
      <c r="K38" s="457"/>
      <c r="L38" s="457"/>
      <c r="M38" s="457"/>
      <c r="N38" s="457"/>
      <c r="O38" s="457"/>
    </row>
    <row r="39" spans="4:15" ht="12.75" customHeight="1" x14ac:dyDescent="0.25">
      <c r="D39" s="454"/>
      <c r="E39" s="455"/>
      <c r="F39" s="456"/>
      <c r="G39" s="453"/>
      <c r="H39" s="453"/>
      <c r="I39" s="518"/>
      <c r="J39" s="457"/>
      <c r="K39" s="457"/>
      <c r="L39" s="457"/>
      <c r="M39" s="457"/>
      <c r="N39" s="457"/>
      <c r="O39" s="457"/>
    </row>
    <row r="40" spans="4:15" ht="12.75" customHeight="1" x14ac:dyDescent="0.25">
      <c r="D40" s="454"/>
      <c r="E40" s="455"/>
      <c r="F40" s="456"/>
      <c r="G40" s="453"/>
      <c r="H40" s="453"/>
      <c r="I40" s="518"/>
      <c r="J40" s="463"/>
      <c r="K40" s="463"/>
      <c r="L40" s="463"/>
      <c r="M40" s="463"/>
      <c r="N40" s="463"/>
      <c r="O40" s="463"/>
    </row>
    <row r="41" spans="4:15" ht="12.75" customHeight="1" x14ac:dyDescent="0.25">
      <c r="D41" s="454"/>
      <c r="E41" s="455"/>
      <c r="F41" s="456"/>
      <c r="G41" s="453"/>
      <c r="H41" s="453"/>
      <c r="I41" s="518"/>
      <c r="J41" s="463"/>
      <c r="K41" s="463"/>
      <c r="L41" s="463"/>
      <c r="M41" s="463"/>
      <c r="N41" s="463"/>
      <c r="O41" s="463"/>
    </row>
    <row r="42" spans="4:15" ht="12.75" customHeight="1" x14ac:dyDescent="0.25">
      <c r="D42" s="464"/>
      <c r="E42" s="465"/>
      <c r="F42" s="466"/>
      <c r="G42" s="467"/>
      <c r="H42" s="467"/>
      <c r="I42" s="518"/>
      <c r="J42" s="463"/>
      <c r="K42" s="463"/>
      <c r="L42" s="463"/>
      <c r="M42" s="463"/>
      <c r="N42" s="463"/>
      <c r="O42" s="463"/>
    </row>
    <row r="43" spans="4:15" ht="12.75" customHeight="1" x14ac:dyDescent="0.25">
      <c r="D43" s="1751" t="s">
        <v>328</v>
      </c>
      <c r="E43" s="1752"/>
      <c r="F43" s="1753"/>
      <c r="G43" s="1754"/>
      <c r="H43" s="1754"/>
      <c r="I43" s="1757"/>
      <c r="J43" s="1755">
        <v>-226875</v>
      </c>
      <c r="K43" s="1755">
        <v>-199108</v>
      </c>
      <c r="L43" s="1755">
        <f>SUM(L36:L42)</f>
        <v>-205871.35999999999</v>
      </c>
      <c r="M43" s="1755">
        <f>SUM(M36:M42)</f>
        <v>-211833</v>
      </c>
      <c r="N43" s="1755">
        <f>SUM(N36:N42)</f>
        <v>-217966</v>
      </c>
      <c r="O43" s="1755">
        <f>SUM(O36:O42)</f>
        <v>-219127</v>
      </c>
    </row>
    <row r="44" spans="4:15" ht="12.75" customHeight="1" x14ac:dyDescent="0.25">
      <c r="D44" s="438"/>
      <c r="E44" s="455"/>
      <c r="F44" s="456"/>
      <c r="G44" s="453"/>
      <c r="H44" s="453"/>
      <c r="I44" s="453"/>
      <c r="J44" s="469"/>
      <c r="K44" s="469"/>
      <c r="L44" s="469"/>
      <c r="M44" s="469"/>
      <c r="N44" s="469"/>
      <c r="O44" s="469"/>
    </row>
    <row r="45" spans="4:15" ht="12.75" customHeight="1" x14ac:dyDescent="0.25">
      <c r="D45" s="1751" t="s">
        <v>527</v>
      </c>
      <c r="E45" s="1756"/>
      <c r="F45" s="1756"/>
      <c r="G45" s="1754"/>
      <c r="H45" s="1754"/>
      <c r="I45" s="1754"/>
      <c r="J45" s="1758">
        <v>738067.47724499996</v>
      </c>
      <c r="K45" s="1758">
        <v>808575.72939728969</v>
      </c>
      <c r="L45" s="1758">
        <f>L33+L43</f>
        <v>743221.98838498944</v>
      </c>
      <c r="M45" s="1758">
        <f>M33+M43</f>
        <v>753019.89427523408</v>
      </c>
      <c r="N45" s="1758">
        <f>N33+N43</f>
        <v>762970.17836341762</v>
      </c>
      <c r="O45" s="1758">
        <f>O33+O43</f>
        <v>777514.17836341762</v>
      </c>
    </row>
    <row r="46" spans="4:15" ht="12.75" customHeight="1" x14ac:dyDescent="0.25">
      <c r="D46" s="438"/>
      <c r="E46" s="455"/>
      <c r="F46" s="456"/>
      <c r="G46" s="453"/>
      <c r="H46" s="453"/>
      <c r="I46" s="453"/>
      <c r="J46" s="469"/>
      <c r="K46" s="469"/>
      <c r="L46" s="469"/>
      <c r="M46" s="469"/>
      <c r="N46" s="469"/>
      <c r="O46" s="469"/>
    </row>
    <row r="47" spans="4:15" ht="12.75" customHeight="1" x14ac:dyDescent="0.25">
      <c r="D47" s="438"/>
      <c r="E47" s="455"/>
      <c r="F47" s="456"/>
      <c r="G47" s="453"/>
      <c r="H47" s="453"/>
      <c r="I47" s="453"/>
      <c r="J47" s="469"/>
      <c r="K47" s="469"/>
      <c r="L47" s="469"/>
      <c r="M47" s="469"/>
      <c r="N47" s="469"/>
      <c r="O47" s="469"/>
    </row>
    <row r="48" spans="4:15" ht="12.75" customHeight="1" x14ac:dyDescent="0.25">
      <c r="D48" s="453"/>
      <c r="E48" s="453"/>
      <c r="F48" s="453"/>
      <c r="G48" s="453"/>
      <c r="H48" s="453"/>
      <c r="I48" s="453"/>
      <c r="J48" s="469"/>
      <c r="K48" s="469"/>
      <c r="L48" s="469"/>
      <c r="M48" s="469"/>
      <c r="N48" s="469"/>
      <c r="O48" s="469"/>
    </row>
    <row r="49" spans="1:23" ht="12.75" customHeight="1" x14ac:dyDescent="0.25">
      <c r="D49" s="438"/>
      <c r="E49" s="438"/>
      <c r="F49" s="438"/>
      <c r="G49" s="453"/>
      <c r="H49" s="453"/>
      <c r="I49" s="453"/>
      <c r="J49" s="469"/>
      <c r="K49" s="469"/>
      <c r="L49" s="469"/>
      <c r="M49" s="469"/>
      <c r="N49" s="469"/>
      <c r="O49" s="469"/>
    </row>
    <row r="50" spans="1:23" ht="12.75" customHeight="1" x14ac:dyDescent="0.25">
      <c r="D50" s="312" t="s">
        <v>528</v>
      </c>
      <c r="E50" s="382"/>
      <c r="F50" s="382"/>
    </row>
    <row r="52" spans="1:23" ht="12.75" customHeight="1" x14ac:dyDescent="0.25">
      <c r="A52" s="516"/>
      <c r="B52" s="453"/>
      <c r="C52" s="453"/>
      <c r="D52" s="2523" t="s">
        <v>529</v>
      </c>
      <c r="E52" s="1761" t="s">
        <v>530</v>
      </c>
      <c r="F52" s="2552" t="s">
        <v>531</v>
      </c>
      <c r="G52" s="2525" t="s">
        <v>206</v>
      </c>
      <c r="H52" s="2526"/>
      <c r="I52" s="1773"/>
      <c r="J52" s="1763"/>
      <c r="K52" s="1763"/>
      <c r="L52" s="1763"/>
      <c r="M52" s="1763"/>
      <c r="N52" s="1763"/>
      <c r="O52" s="1763"/>
      <c r="P52" s="453"/>
      <c r="Q52" s="453"/>
      <c r="R52" s="453"/>
      <c r="S52" s="453"/>
      <c r="T52" s="453"/>
      <c r="U52" s="453"/>
      <c r="V52" s="453"/>
      <c r="W52" s="453"/>
    </row>
    <row r="53" spans="1:23" ht="12.75" customHeight="1" x14ac:dyDescent="0.25">
      <c r="A53" s="516"/>
      <c r="B53" s="453"/>
      <c r="C53" s="453"/>
      <c r="D53" s="2524"/>
      <c r="E53" s="472" t="s">
        <v>532</v>
      </c>
      <c r="F53" s="2553"/>
      <c r="G53" s="2527"/>
      <c r="H53" s="2528"/>
      <c r="I53" s="521"/>
      <c r="J53" s="1764">
        <v>2025</v>
      </c>
      <c r="K53" s="1764">
        <v>2026</v>
      </c>
      <c r="L53" s="1764">
        <v>2027</v>
      </c>
      <c r="M53" s="1764">
        <v>2028</v>
      </c>
      <c r="N53" s="1764">
        <v>2029</v>
      </c>
      <c r="O53" s="1764">
        <v>2030</v>
      </c>
      <c r="P53" s="453"/>
      <c r="Q53" s="453"/>
      <c r="R53" s="453"/>
      <c r="S53" s="453"/>
      <c r="T53" s="453"/>
      <c r="U53" s="453"/>
      <c r="V53" s="453"/>
      <c r="W53" s="453"/>
    </row>
    <row r="54" spans="1:23" ht="12.75" customHeight="1" x14ac:dyDescent="0.25">
      <c r="D54" s="1772"/>
      <c r="E54" s="1772"/>
      <c r="F54" s="1772"/>
      <c r="G54" s="1774"/>
      <c r="H54" s="326"/>
      <c r="I54" s="316"/>
      <c r="J54" s="1775"/>
      <c r="K54" s="1775"/>
      <c r="L54" s="1775"/>
      <c r="M54" s="1775"/>
      <c r="N54" s="1775"/>
      <c r="O54" s="1775"/>
    </row>
    <row r="55" spans="1:23" ht="12.75" customHeight="1" x14ac:dyDescent="0.25">
      <c r="A55" s="143"/>
      <c r="D55" s="333">
        <v>634001</v>
      </c>
      <c r="E55" s="331"/>
      <c r="F55" s="331"/>
      <c r="G55" s="332" t="s">
        <v>3865</v>
      </c>
      <c r="I55" s="316"/>
      <c r="J55" s="335"/>
      <c r="K55" s="335"/>
      <c r="L55" s="335"/>
      <c r="M55" s="335"/>
      <c r="N55" s="335"/>
      <c r="O55" s="335"/>
    </row>
    <row r="56" spans="1:23" ht="12.75" customHeight="1" x14ac:dyDescent="0.25">
      <c r="A56" s="143"/>
      <c r="D56" s="333"/>
      <c r="E56" s="331"/>
      <c r="F56" s="331"/>
      <c r="G56" s="334" t="s">
        <v>533</v>
      </c>
      <c r="I56" s="316"/>
      <c r="J56" s="335"/>
      <c r="K56" s="335"/>
      <c r="L56" s="335"/>
      <c r="M56" s="335"/>
      <c r="N56" s="335"/>
      <c r="O56" s="335"/>
    </row>
    <row r="57" spans="1:23" ht="12.75" customHeight="1" x14ac:dyDescent="0.25">
      <c r="A57" s="336">
        <v>634001</v>
      </c>
      <c r="B57" s="115" t="str">
        <f>G55</f>
        <v>Raadhuisplein 32 (bibliotheek)</v>
      </c>
      <c r="D57" s="337">
        <v>42100</v>
      </c>
      <c r="E57" s="337"/>
      <c r="F57" s="337"/>
      <c r="G57" s="319" t="s">
        <v>978</v>
      </c>
      <c r="I57" s="318"/>
      <c r="J57" s="317">
        <v>1174</v>
      </c>
      <c r="K57" s="317">
        <v>1205</v>
      </c>
      <c r="L57" s="2095">
        <f>ROUND(K57*T$2,0)+4</f>
        <v>1234</v>
      </c>
      <c r="M57" s="2095">
        <f>ROUND(L57*U$2,0)+5</f>
        <v>1267</v>
      </c>
      <c r="N57" s="2095">
        <f>ROUND(M57*V$2,0)+5</f>
        <v>1301</v>
      </c>
      <c r="O57" s="317">
        <f t="shared" ref="O57" si="6">ROUND(N57*W$2,0)</f>
        <v>1331</v>
      </c>
    </row>
    <row r="58" spans="1:23" ht="12.75" customHeight="1" x14ac:dyDescent="0.25">
      <c r="A58" s="336">
        <v>634001</v>
      </c>
      <c r="B58" s="115" t="str">
        <f>+G55</f>
        <v>Raadhuisplein 32 (bibliotheek)</v>
      </c>
      <c r="D58" s="337">
        <v>43812</v>
      </c>
      <c r="E58" s="337"/>
      <c r="F58" s="337"/>
      <c r="G58" s="115" t="s">
        <v>535</v>
      </c>
      <c r="I58" s="318"/>
      <c r="J58" s="317">
        <v>4835</v>
      </c>
      <c r="K58" s="317">
        <v>4946</v>
      </c>
      <c r="L58" s="317">
        <f>+L90</f>
        <v>4946</v>
      </c>
      <c r="M58" s="317">
        <f>+M90</f>
        <v>4947</v>
      </c>
      <c r="N58" s="317">
        <f>+N90</f>
        <v>4947</v>
      </c>
      <c r="O58" s="317">
        <f>+O90</f>
        <v>4947</v>
      </c>
    </row>
    <row r="59" spans="1:23" ht="12.75" customHeight="1" x14ac:dyDescent="0.25">
      <c r="A59" s="336">
        <v>634001</v>
      </c>
      <c r="B59" s="115" t="str">
        <f>G55</f>
        <v>Raadhuisplein 32 (bibliotheek)</v>
      </c>
      <c r="D59" s="337">
        <v>43817</v>
      </c>
      <c r="E59" s="337"/>
      <c r="F59" s="1040"/>
      <c r="G59" s="1041" t="s">
        <v>1002</v>
      </c>
      <c r="H59" s="1042"/>
      <c r="I59" s="318"/>
      <c r="J59" s="318">
        <v>6086</v>
      </c>
      <c r="K59" s="318">
        <v>6244</v>
      </c>
      <c r="L59" s="318">
        <f>L93</f>
        <v>6400</v>
      </c>
      <c r="M59" s="318">
        <f>M93</f>
        <v>6573</v>
      </c>
      <c r="N59" s="318">
        <f>N93</f>
        <v>6750</v>
      </c>
      <c r="O59" s="318">
        <f>O93</f>
        <v>6905</v>
      </c>
    </row>
    <row r="60" spans="1:23" ht="12.75" customHeight="1" x14ac:dyDescent="0.25">
      <c r="A60" s="336">
        <v>634001</v>
      </c>
      <c r="B60" s="115" t="str">
        <f>G55</f>
        <v>Raadhuisplein 32 (bibliotheek)</v>
      </c>
      <c r="D60" s="337">
        <v>43817</v>
      </c>
      <c r="E60" s="337"/>
      <c r="F60" s="1040"/>
      <c r="G60" s="1041" t="s">
        <v>3053</v>
      </c>
      <c r="H60" s="1042"/>
      <c r="I60" s="318"/>
      <c r="J60" s="318">
        <v>90</v>
      </c>
      <c r="K60" s="318">
        <v>107</v>
      </c>
      <c r="L60" s="318">
        <f>L97</f>
        <v>233</v>
      </c>
      <c r="M60" s="318">
        <f>M97</f>
        <v>374</v>
      </c>
      <c r="N60" s="318">
        <f>N97</f>
        <v>517</v>
      </c>
      <c r="O60" s="318">
        <f>O97</f>
        <v>643</v>
      </c>
    </row>
    <row r="61" spans="1:23" ht="12.75" customHeight="1" x14ac:dyDescent="0.25">
      <c r="A61" s="336">
        <v>634001</v>
      </c>
      <c r="B61" s="115" t="str">
        <f>G55</f>
        <v>Raadhuisplein 32 (bibliotheek)</v>
      </c>
      <c r="D61" s="337">
        <v>44380</v>
      </c>
      <c r="E61" s="337"/>
      <c r="F61" s="337"/>
      <c r="G61" s="319" t="s">
        <v>3285</v>
      </c>
      <c r="I61" s="318"/>
      <c r="J61" s="318">
        <v>851225</v>
      </c>
      <c r="K61" s="318">
        <v>880461</v>
      </c>
      <c r="L61" s="318">
        <f>L105</f>
        <v>820967</v>
      </c>
      <c r="M61" s="318">
        <f>M105</f>
        <v>835764</v>
      </c>
      <c r="N61" s="318">
        <f>N105</f>
        <v>850856</v>
      </c>
      <c r="O61" s="318">
        <f>O105</f>
        <v>866250</v>
      </c>
    </row>
    <row r="62" spans="1:23" ht="12.75" customHeight="1" x14ac:dyDescent="0.25">
      <c r="A62" s="336">
        <v>634001</v>
      </c>
      <c r="B62" s="115" t="str">
        <f>G55</f>
        <v>Raadhuisplein 32 (bibliotheek)</v>
      </c>
      <c r="D62" s="337">
        <v>47201</v>
      </c>
      <c r="E62" s="337"/>
      <c r="F62" s="337"/>
      <c r="G62" s="319" t="s">
        <v>3866</v>
      </c>
      <c r="I62" s="318"/>
      <c r="J62" s="317">
        <v>15445.477244999996</v>
      </c>
      <c r="K62" s="317">
        <v>16016.729397289697</v>
      </c>
      <c r="L62" s="317">
        <v>16609.348384989415</v>
      </c>
      <c r="M62" s="317">
        <v>17223.894275234023</v>
      </c>
      <c r="N62" s="317">
        <v>17861.178363417679</v>
      </c>
      <c r="O62" s="317">
        <v>17861.178363417679</v>
      </c>
    </row>
    <row r="63" spans="1:23" ht="12.75" customHeight="1" thickBot="1" x14ac:dyDescent="0.3">
      <c r="A63" s="336"/>
      <c r="D63" s="340"/>
      <c r="E63" s="340"/>
      <c r="F63" s="340"/>
      <c r="G63" s="319" t="s">
        <v>536</v>
      </c>
      <c r="I63" s="318"/>
      <c r="J63" s="342">
        <v>878855.47724499996</v>
      </c>
      <c r="K63" s="342">
        <v>908979.72939728969</v>
      </c>
      <c r="L63" s="342">
        <f t="shared" ref="L63:M63" si="7">SUM(L57:L62)</f>
        <v>850389.34838498943</v>
      </c>
      <c r="M63" s="342">
        <f t="shared" si="7"/>
        <v>866148.89427523408</v>
      </c>
      <c r="N63" s="342">
        <f t="shared" ref="N63:O63" si="8">SUM(N57:N62)</f>
        <v>882232.17836341762</v>
      </c>
      <c r="O63" s="342">
        <f t="shared" si="8"/>
        <v>897937.17836341762</v>
      </c>
    </row>
    <row r="64" spans="1:23" ht="12.75" customHeight="1" thickTop="1" x14ac:dyDescent="0.25">
      <c r="A64" s="1043"/>
      <c r="D64" s="340"/>
      <c r="E64" s="340"/>
      <c r="F64" s="340"/>
      <c r="G64" s="319"/>
      <c r="I64" s="318"/>
      <c r="J64" s="317"/>
      <c r="K64" s="317"/>
      <c r="L64" s="317"/>
      <c r="M64" s="317"/>
      <c r="N64" s="317"/>
      <c r="O64" s="317"/>
    </row>
    <row r="65" spans="1:23" ht="12.75" customHeight="1" x14ac:dyDescent="0.25">
      <c r="A65" s="306"/>
      <c r="D65" s="333">
        <v>634901</v>
      </c>
      <c r="E65" s="331"/>
      <c r="F65" s="331"/>
      <c r="G65" s="332" t="s">
        <v>3867</v>
      </c>
      <c r="I65" s="318"/>
      <c r="J65" s="317"/>
      <c r="K65" s="317"/>
      <c r="L65" s="317"/>
      <c r="M65" s="317"/>
      <c r="N65" s="317"/>
      <c r="O65" s="317"/>
    </row>
    <row r="66" spans="1:23" ht="12.75" customHeight="1" x14ac:dyDescent="0.25">
      <c r="A66" s="306"/>
      <c r="D66" s="340"/>
      <c r="E66" s="340"/>
      <c r="F66" s="340"/>
      <c r="G66" s="334" t="s">
        <v>533</v>
      </c>
      <c r="I66" s="318"/>
      <c r="J66" s="317"/>
      <c r="K66" s="317"/>
      <c r="L66" s="317"/>
      <c r="M66" s="317"/>
      <c r="N66" s="317"/>
      <c r="O66" s="317"/>
    </row>
    <row r="67" spans="1:23" ht="12.75" customHeight="1" x14ac:dyDescent="0.25">
      <c r="A67" s="336">
        <f>+D65</f>
        <v>634901</v>
      </c>
      <c r="B67" s="301" t="str">
        <f>G65</f>
        <v>Directe toerekening media</v>
      </c>
      <c r="D67" s="340">
        <v>41100</v>
      </c>
      <c r="E67" s="340"/>
      <c r="F67" s="340"/>
      <c r="G67" s="319" t="s">
        <v>541</v>
      </c>
      <c r="I67" s="318"/>
      <c r="J67" s="318">
        <v>0</v>
      </c>
      <c r="K67" s="318">
        <v>0</v>
      </c>
      <c r="L67" s="318">
        <f t="shared" ref="L67:M67" si="9">L111</f>
        <v>0</v>
      </c>
      <c r="M67" s="318">
        <f t="shared" si="9"/>
        <v>0</v>
      </c>
      <c r="N67" s="318">
        <f t="shared" ref="N67:O67" si="10">N111</f>
        <v>0</v>
      </c>
      <c r="O67" s="318">
        <f t="shared" si="10"/>
        <v>0</v>
      </c>
    </row>
    <row r="68" spans="1:23" ht="12.75" customHeight="1" x14ac:dyDescent="0.25">
      <c r="A68" s="336">
        <f>+D65</f>
        <v>634901</v>
      </c>
      <c r="B68" s="115" t="str">
        <f>G65</f>
        <v>Directe toerekening media</v>
      </c>
      <c r="D68" s="340">
        <v>41100</v>
      </c>
      <c r="E68" s="340"/>
      <c r="F68" s="340"/>
      <c r="G68" s="319" t="s">
        <v>3268</v>
      </c>
      <c r="I68" s="318"/>
      <c r="J68" s="142">
        <v>0</v>
      </c>
      <c r="K68" s="142">
        <v>0</v>
      </c>
      <c r="L68" s="142">
        <f>ROUND(K68*T$3,0)</f>
        <v>0</v>
      </c>
      <c r="M68" s="142">
        <f>ROUND(L68*U$3,0)</f>
        <v>0</v>
      </c>
      <c r="N68" s="142">
        <f>ROUND(M68*V$3,0)</f>
        <v>0</v>
      </c>
      <c r="O68" s="142">
        <f>ROUND(N68*W$3,0)</f>
        <v>0</v>
      </c>
    </row>
    <row r="69" spans="1:23" ht="12.75" customHeight="1" thickBot="1" x14ac:dyDescent="0.3">
      <c r="A69" s="306"/>
      <c r="D69" s="340"/>
      <c r="E69" s="340"/>
      <c r="F69" s="340"/>
      <c r="G69" s="319" t="s">
        <v>536</v>
      </c>
      <c r="I69" s="318"/>
      <c r="J69" s="342">
        <v>0</v>
      </c>
      <c r="K69" s="342">
        <v>0</v>
      </c>
      <c r="L69" s="342">
        <f t="shared" ref="L69:M69" si="11">SUM(L66:L68)</f>
        <v>0</v>
      </c>
      <c r="M69" s="342">
        <f t="shared" si="11"/>
        <v>0</v>
      </c>
      <c r="N69" s="342">
        <f t="shared" ref="N69:O69" si="12">SUM(N66:N68)</f>
        <v>0</v>
      </c>
      <c r="O69" s="342">
        <f t="shared" si="12"/>
        <v>0</v>
      </c>
    </row>
    <row r="70" spans="1:23" ht="12.75" customHeight="1" thickTop="1" x14ac:dyDescent="0.25">
      <c r="A70" s="306"/>
      <c r="D70" s="340"/>
      <c r="E70" s="340"/>
      <c r="F70" s="340"/>
      <c r="G70" s="319"/>
      <c r="I70" s="318"/>
      <c r="J70" s="317"/>
      <c r="K70" s="317"/>
      <c r="L70" s="317"/>
      <c r="M70" s="317"/>
      <c r="N70" s="317"/>
      <c r="O70" s="317"/>
    </row>
    <row r="71" spans="1:23" ht="12.75" customHeight="1" x14ac:dyDescent="0.25">
      <c r="A71" s="336">
        <f>+D65</f>
        <v>634901</v>
      </c>
      <c r="B71" s="301" t="str">
        <f>G55</f>
        <v>Raadhuisplein 32 (bibliotheek)</v>
      </c>
      <c r="D71" s="337">
        <v>47300</v>
      </c>
      <c r="E71" s="337"/>
      <c r="F71" s="337"/>
      <c r="G71" s="319" t="s">
        <v>1012</v>
      </c>
      <c r="I71" s="318"/>
      <c r="J71" s="318">
        <v>86087</v>
      </c>
      <c r="K71" s="318">
        <v>98704</v>
      </c>
      <c r="L71" s="318">
        <v>98704</v>
      </c>
      <c r="M71" s="318">
        <v>98704</v>
      </c>
      <c r="N71" s="318">
        <v>98704</v>
      </c>
      <c r="O71" s="318">
        <v>98704</v>
      </c>
    </row>
    <row r="72" spans="1:23" ht="12.75" customHeight="1" thickBot="1" x14ac:dyDescent="0.3">
      <c r="A72" s="306"/>
      <c r="D72" s="340"/>
      <c r="E72" s="340"/>
      <c r="F72" s="340"/>
      <c r="G72" s="319" t="s">
        <v>536</v>
      </c>
      <c r="I72" s="318"/>
      <c r="J72" s="342">
        <v>86087</v>
      </c>
      <c r="K72" s="342">
        <v>98704</v>
      </c>
      <c r="L72" s="342">
        <f t="shared" ref="L72:M72" si="13">+L71</f>
        <v>98704</v>
      </c>
      <c r="M72" s="342">
        <f t="shared" si="13"/>
        <v>98704</v>
      </c>
      <c r="N72" s="342">
        <f t="shared" ref="N72:O72" si="14">+N71</f>
        <v>98704</v>
      </c>
      <c r="O72" s="342">
        <f t="shared" si="14"/>
        <v>98704</v>
      </c>
    </row>
    <row r="73" spans="1:23" ht="12.75" customHeight="1" thickTop="1" x14ac:dyDescent="0.25">
      <c r="A73" s="306"/>
      <c r="D73" s="340"/>
      <c r="E73" s="340"/>
      <c r="F73" s="340"/>
      <c r="G73" s="319"/>
      <c r="I73" s="318"/>
      <c r="J73" s="317"/>
      <c r="K73" s="317"/>
      <c r="L73" s="317"/>
      <c r="M73" s="317"/>
      <c r="N73" s="317"/>
      <c r="O73" s="317"/>
    </row>
    <row r="74" spans="1:23" ht="12.75" customHeight="1" x14ac:dyDescent="0.25">
      <c r="A74" s="470"/>
      <c r="B74" s="453"/>
      <c r="C74" s="453"/>
      <c r="D74" s="333">
        <v>634001</v>
      </c>
      <c r="E74" s="331"/>
      <c r="F74" s="331"/>
      <c r="G74" s="332" t="s">
        <v>3865</v>
      </c>
      <c r="I74" s="318"/>
      <c r="J74" s="317"/>
      <c r="K74" s="317"/>
      <c r="L74" s="317"/>
      <c r="M74" s="317"/>
      <c r="N74" s="317"/>
      <c r="O74" s="317"/>
      <c r="P74" s="453"/>
      <c r="Q74" s="453"/>
      <c r="R74" s="453"/>
      <c r="S74" s="453"/>
      <c r="T74" s="453"/>
      <c r="U74" s="453"/>
      <c r="V74" s="453"/>
      <c r="W74" s="453"/>
    </row>
    <row r="75" spans="1:23" ht="12.75" customHeight="1" x14ac:dyDescent="0.25">
      <c r="A75" s="306"/>
      <c r="D75" s="340"/>
      <c r="E75" s="340"/>
      <c r="F75" s="340"/>
      <c r="G75" s="334" t="s">
        <v>554</v>
      </c>
      <c r="I75" s="318"/>
      <c r="J75" s="317"/>
      <c r="K75" s="317"/>
      <c r="L75" s="317"/>
      <c r="M75" s="317"/>
      <c r="N75" s="317"/>
      <c r="O75" s="317"/>
    </row>
    <row r="76" spans="1:23" ht="12.75" customHeight="1" x14ac:dyDescent="0.25">
      <c r="A76" s="336">
        <v>634001</v>
      </c>
      <c r="B76" s="301" t="str">
        <f>G74</f>
        <v>Raadhuisplein 32 (bibliotheek)</v>
      </c>
      <c r="D76" s="337">
        <v>83600</v>
      </c>
      <c r="E76" s="337"/>
      <c r="F76" s="337"/>
      <c r="G76" s="319" t="s">
        <v>1015</v>
      </c>
      <c r="I76" s="318"/>
      <c r="J76" s="318">
        <v>-226875</v>
      </c>
      <c r="K76" s="318">
        <v>-199108</v>
      </c>
      <c r="L76" s="318">
        <f t="shared" ref="L76:M76" si="15">L121</f>
        <v>-205871.35999999999</v>
      </c>
      <c r="M76" s="318">
        <f t="shared" si="15"/>
        <v>-211833</v>
      </c>
      <c r="N76" s="318">
        <f t="shared" ref="N76:O76" si="16">N121</f>
        <v>-217966</v>
      </c>
      <c r="O76" s="318">
        <f t="shared" si="16"/>
        <v>-219127</v>
      </c>
    </row>
    <row r="77" spans="1:23" ht="12.75" customHeight="1" thickBot="1" x14ac:dyDescent="0.3">
      <c r="A77" s="306"/>
      <c r="D77" s="340"/>
      <c r="E77" s="340"/>
      <c r="F77" s="340"/>
      <c r="G77" s="319" t="s">
        <v>536</v>
      </c>
      <c r="I77" s="318"/>
      <c r="J77" s="342">
        <v>-226875</v>
      </c>
      <c r="K77" s="342">
        <v>-199108</v>
      </c>
      <c r="L77" s="342">
        <f>SUM(L76:L76)</f>
        <v>-205871.35999999999</v>
      </c>
      <c r="M77" s="342">
        <f>SUM(M76:M76)</f>
        <v>-211833</v>
      </c>
      <c r="N77" s="342">
        <f>SUM(N76:N76)</f>
        <v>-217966</v>
      </c>
      <c r="O77" s="342">
        <f>SUM(O76:O76)</f>
        <v>-219127</v>
      </c>
    </row>
    <row r="78" spans="1:23" ht="12.75" customHeight="1" thickTop="1" x14ac:dyDescent="0.25">
      <c r="A78" s="306"/>
      <c r="D78" s="167"/>
      <c r="E78" s="167"/>
      <c r="F78" s="167"/>
      <c r="G78" s="168"/>
      <c r="H78" s="149"/>
      <c r="I78" s="156"/>
      <c r="J78" s="156"/>
      <c r="K78" s="156"/>
      <c r="L78" s="156"/>
      <c r="M78" s="156"/>
      <c r="N78" s="156"/>
      <c r="O78" s="156"/>
    </row>
    <row r="79" spans="1:23" ht="12.75" customHeight="1" x14ac:dyDescent="0.25">
      <c r="A79" s="306"/>
      <c r="D79" s="384"/>
      <c r="E79" s="384"/>
      <c r="F79" s="384"/>
      <c r="I79" s="114"/>
      <c r="J79" s="114"/>
      <c r="K79" s="114"/>
      <c r="L79" s="114"/>
      <c r="M79" s="114"/>
      <c r="N79" s="114"/>
      <c r="O79" s="114"/>
    </row>
    <row r="80" spans="1:23" ht="12.75" customHeight="1" x14ac:dyDescent="0.25">
      <c r="D80" s="384"/>
      <c r="E80" s="384"/>
      <c r="F80" s="384"/>
      <c r="I80" s="114"/>
      <c r="J80" s="114"/>
      <c r="K80" s="114"/>
      <c r="L80" s="114"/>
      <c r="M80" s="114"/>
      <c r="N80" s="114"/>
      <c r="O80" s="114"/>
    </row>
    <row r="81" spans="1:19" ht="12.75" customHeight="1" x14ac:dyDescent="0.25">
      <c r="A81" s="487"/>
      <c r="B81" s="401"/>
      <c r="C81" s="401"/>
      <c r="D81" s="384"/>
      <c r="E81" s="384"/>
      <c r="F81" s="384"/>
      <c r="I81" s="114"/>
      <c r="J81" s="114"/>
      <c r="K81" s="114"/>
      <c r="L81" s="114"/>
      <c r="M81" s="114"/>
      <c r="N81" s="114"/>
      <c r="O81" s="114"/>
      <c r="P81" s="1044"/>
      <c r="Q81" s="1045"/>
      <c r="R81" s="1045"/>
      <c r="S81" s="1046"/>
    </row>
    <row r="82" spans="1:19" ht="12.75" customHeight="1" x14ac:dyDescent="0.25">
      <c r="A82" s="487"/>
      <c r="B82" s="401"/>
      <c r="C82" s="401"/>
      <c r="D82" s="384"/>
      <c r="E82" s="384"/>
      <c r="F82" s="384"/>
      <c r="I82" s="114"/>
      <c r="J82" s="114"/>
      <c r="K82" s="114"/>
      <c r="L82" s="114"/>
      <c r="M82" s="114"/>
      <c r="N82" s="114"/>
      <c r="O82" s="114"/>
      <c r="P82" s="1044"/>
      <c r="Q82" s="1045"/>
      <c r="R82" s="1045"/>
      <c r="S82" s="1046"/>
    </row>
    <row r="83" spans="1:19" ht="12.75" customHeight="1" x14ac:dyDescent="0.25">
      <c r="D83" s="428" t="s">
        <v>561</v>
      </c>
      <c r="E83" s="384"/>
      <c r="F83" s="384"/>
      <c r="G83" s="381"/>
      <c r="I83" s="114"/>
    </row>
    <row r="84" spans="1:19" ht="12.75" customHeight="1" x14ac:dyDescent="0.25">
      <c r="D84" s="384"/>
      <c r="E84" s="384"/>
      <c r="F84" s="384"/>
      <c r="I84" s="114"/>
      <c r="J84" s="114"/>
      <c r="K84" s="114"/>
      <c r="L84" s="114"/>
      <c r="M84" s="114"/>
      <c r="N84" s="114"/>
      <c r="O84" s="114"/>
    </row>
    <row r="85" spans="1:19" ht="12.75" customHeight="1" x14ac:dyDescent="0.25">
      <c r="D85" s="771">
        <v>634001</v>
      </c>
      <c r="E85" s="747" t="s">
        <v>3868</v>
      </c>
      <c r="F85" s="752"/>
      <c r="H85" s="453"/>
      <c r="I85" s="469"/>
      <c r="J85" s="383">
        <v>2025</v>
      </c>
      <c r="K85" s="383">
        <v>2026</v>
      </c>
      <c r="L85" s="383">
        <v>2027</v>
      </c>
      <c r="M85" s="383">
        <v>2028</v>
      </c>
      <c r="N85" s="383">
        <v>2029</v>
      </c>
      <c r="O85" s="383">
        <v>2030</v>
      </c>
    </row>
    <row r="86" spans="1:19" ht="12.75" customHeight="1" x14ac:dyDescent="0.25">
      <c r="D86" s="771"/>
      <c r="E86" s="453" t="s">
        <v>3869</v>
      </c>
      <c r="F86" s="752"/>
      <c r="H86" s="453"/>
      <c r="I86" s="469"/>
    </row>
    <row r="87" spans="1:19" ht="12.75" customHeight="1" x14ac:dyDescent="0.25">
      <c r="D87" s="771"/>
      <c r="E87" s="527"/>
      <c r="F87" s="752"/>
      <c r="H87" s="453"/>
      <c r="I87" s="469"/>
    </row>
    <row r="88" spans="1:19" ht="12.75" customHeight="1" x14ac:dyDescent="0.25">
      <c r="D88" s="516">
        <v>43812</v>
      </c>
      <c r="E88" s="453" t="s">
        <v>1626</v>
      </c>
      <c r="F88" s="516"/>
      <c r="H88" s="453"/>
      <c r="I88" s="469"/>
      <c r="J88" s="237">
        <v>4835</v>
      </c>
      <c r="K88" s="237">
        <v>4946</v>
      </c>
      <c r="L88" s="237">
        <v>4946</v>
      </c>
      <c r="M88" s="237">
        <v>4947</v>
      </c>
      <c r="N88" s="237">
        <v>4947</v>
      </c>
      <c r="O88" s="237">
        <v>4947</v>
      </c>
    </row>
    <row r="89" spans="1:19" ht="12.75" customHeight="1" x14ac:dyDescent="0.25">
      <c r="D89" s="516"/>
      <c r="E89" s="453" t="s">
        <v>3870</v>
      </c>
      <c r="F89" s="516"/>
      <c r="H89" s="453"/>
      <c r="I89" s="469"/>
      <c r="J89" s="237"/>
      <c r="K89" s="237"/>
      <c r="L89" s="237"/>
      <c r="M89" s="237"/>
      <c r="N89" s="237"/>
      <c r="O89" s="237"/>
    </row>
    <row r="90" spans="1:19" ht="12.75" customHeight="1" thickBot="1" x14ac:dyDescent="0.3">
      <c r="D90" s="769"/>
      <c r="E90" s="527"/>
      <c r="F90" s="769"/>
      <c r="H90" s="453"/>
      <c r="I90" s="469"/>
      <c r="J90" s="1888">
        <v>4835</v>
      </c>
      <c r="K90" s="1888">
        <v>4946</v>
      </c>
      <c r="L90" s="1888">
        <f>+L88</f>
        <v>4946</v>
      </c>
      <c r="M90" s="1888">
        <f>+M88</f>
        <v>4947</v>
      </c>
      <c r="N90" s="1888">
        <f>+N88</f>
        <v>4947</v>
      </c>
      <c r="O90" s="1888">
        <f>+O88</f>
        <v>4947</v>
      </c>
    </row>
    <row r="91" spans="1:19" ht="12.75" customHeight="1" thickTop="1" x14ac:dyDescent="0.25">
      <c r="D91" s="516"/>
      <c r="E91" s="453"/>
      <c r="F91" s="516"/>
      <c r="H91" s="453"/>
      <c r="I91" s="469"/>
      <c r="J91" s="1047"/>
      <c r="K91" s="1047"/>
      <c r="L91" s="1047"/>
      <c r="M91" s="1047"/>
      <c r="N91" s="1047"/>
      <c r="O91" s="1047"/>
    </row>
    <row r="92" spans="1:19" ht="12.75" customHeight="1" x14ac:dyDescent="0.25">
      <c r="D92" s="516">
        <v>43817</v>
      </c>
      <c r="E92" s="453" t="s">
        <v>994</v>
      </c>
      <c r="F92" s="516"/>
      <c r="H92" s="453"/>
      <c r="I92" s="469"/>
      <c r="J92" s="114">
        <v>6086</v>
      </c>
      <c r="K92" s="114">
        <v>6244</v>
      </c>
      <c r="L92" s="544">
        <f>ROUND(K92*T$2,0)+25</f>
        <v>6400</v>
      </c>
      <c r="M92" s="544">
        <f>ROUND(L92*U$2,0)+26</f>
        <v>6573</v>
      </c>
      <c r="N92" s="544">
        <f>ROUND(M92*V$2,0)+26</f>
        <v>6750</v>
      </c>
      <c r="O92" s="114">
        <f t="shared" ref="O92" si="17">ROUND(N92*W$2,0)</f>
        <v>6905</v>
      </c>
    </row>
    <row r="93" spans="1:19" ht="12.75" customHeight="1" thickBot="1" x14ac:dyDescent="0.3">
      <c r="D93" s="516"/>
      <c r="E93" s="747" t="s">
        <v>1629</v>
      </c>
      <c r="F93" s="516"/>
      <c r="H93" s="453"/>
      <c r="I93" s="469"/>
      <c r="J93" s="1906">
        <v>6086</v>
      </c>
      <c r="K93" s="1906">
        <v>6244</v>
      </c>
      <c r="L93" s="1906">
        <f t="shared" ref="L93:M93" si="18">SUM(L92)</f>
        <v>6400</v>
      </c>
      <c r="M93" s="1906">
        <f t="shared" si="18"/>
        <v>6573</v>
      </c>
      <c r="N93" s="1906">
        <f t="shared" ref="N93:O93" si="19">SUM(N92)</f>
        <v>6750</v>
      </c>
      <c r="O93" s="1906">
        <f t="shared" si="19"/>
        <v>6905</v>
      </c>
    </row>
    <row r="94" spans="1:19" ht="12.75" customHeight="1" thickTop="1" x14ac:dyDescent="0.25">
      <c r="D94" s="516"/>
      <c r="E94" s="453"/>
      <c r="F94" s="516"/>
      <c r="H94" s="453"/>
      <c r="I94" s="469"/>
      <c r="J94" s="1047"/>
      <c r="K94" s="1047"/>
      <c r="L94" s="1047"/>
      <c r="M94" s="1047"/>
      <c r="N94" s="1047"/>
      <c r="O94" s="1047"/>
    </row>
    <row r="95" spans="1:19" ht="12.75" customHeight="1" x14ac:dyDescent="0.25">
      <c r="D95" s="516">
        <v>43817</v>
      </c>
      <c r="E95" s="453" t="s">
        <v>3871</v>
      </c>
      <c r="F95" s="516"/>
      <c r="H95" s="453"/>
      <c r="I95" s="469"/>
      <c r="J95" s="114">
        <v>4925</v>
      </c>
      <c r="K95" s="114">
        <v>5053</v>
      </c>
      <c r="L95" s="544">
        <f>ROUND(K95*T$2,0)+20</f>
        <v>5179</v>
      </c>
      <c r="M95" s="544">
        <f>ROUND(L95*U$2,0)+21</f>
        <v>5319</v>
      </c>
      <c r="N95" s="544">
        <f>ROUND(M95*V$2,0)+21</f>
        <v>5462</v>
      </c>
      <c r="O95" s="114">
        <f t="shared" ref="O95" si="20">ROUND(N95*W$2,0)</f>
        <v>5588</v>
      </c>
    </row>
    <row r="96" spans="1:19" ht="12.75" customHeight="1" x14ac:dyDescent="0.25">
      <c r="D96" s="516"/>
      <c r="E96" s="453" t="s">
        <v>1626</v>
      </c>
      <c r="F96" s="516"/>
      <c r="H96" s="453"/>
      <c r="I96" s="469"/>
      <c r="J96" s="114">
        <v>-4835</v>
      </c>
      <c r="K96" s="114">
        <v>-4946</v>
      </c>
      <c r="L96" s="114">
        <v>-4946</v>
      </c>
      <c r="M96" s="114">
        <v>-4945</v>
      </c>
      <c r="N96" s="114">
        <v>-4945</v>
      </c>
      <c r="O96" s="114">
        <v>-4945</v>
      </c>
    </row>
    <row r="97" spans="1:21" ht="12.75" customHeight="1" thickBot="1" x14ac:dyDescent="0.3">
      <c r="D97" s="516"/>
      <c r="E97" s="747" t="s">
        <v>1629</v>
      </c>
      <c r="F97" s="516"/>
      <c r="H97" s="453"/>
      <c r="I97" s="469"/>
      <c r="J97" s="1906">
        <v>90</v>
      </c>
      <c r="K97" s="1906">
        <v>107</v>
      </c>
      <c r="L97" s="1906">
        <f t="shared" ref="L97:M97" si="21">SUM(L95:L96)</f>
        <v>233</v>
      </c>
      <c r="M97" s="1906">
        <f t="shared" si="21"/>
        <v>374</v>
      </c>
      <c r="N97" s="1906">
        <f t="shared" ref="N97:O97" si="22">SUM(N95:N96)</f>
        <v>517</v>
      </c>
      <c r="O97" s="1906">
        <f t="shared" si="22"/>
        <v>643</v>
      </c>
    </row>
    <row r="98" spans="1:21" ht="12.75" customHeight="1" thickTop="1" x14ac:dyDescent="0.25">
      <c r="D98" s="516"/>
      <c r="E98" s="453"/>
      <c r="F98" s="516"/>
      <c r="H98" s="453"/>
      <c r="I98" s="469"/>
      <c r="J98" s="1047"/>
      <c r="K98" s="1047"/>
      <c r="L98" s="1047"/>
      <c r="M98" s="1047"/>
      <c r="N98" s="1047"/>
      <c r="O98" s="1047"/>
      <c r="R98" s="115">
        <v>2027</v>
      </c>
      <c r="S98" s="115">
        <v>2028</v>
      </c>
      <c r="T98" s="115">
        <v>2029</v>
      </c>
    </row>
    <row r="99" spans="1:21" ht="12.75" customHeight="1" x14ac:dyDescent="0.25">
      <c r="D99" s="516">
        <v>44380</v>
      </c>
      <c r="E99" s="778" t="s">
        <v>3071</v>
      </c>
      <c r="F99" s="516"/>
      <c r="H99" s="778"/>
      <c r="I99" s="469"/>
      <c r="J99" s="453"/>
      <c r="K99" s="453"/>
      <c r="L99" s="453"/>
      <c r="M99" s="453"/>
      <c r="N99" s="453"/>
      <c r="O99" s="453"/>
    </row>
    <row r="100" spans="1:21" ht="12.75" customHeight="1" x14ac:dyDescent="0.25">
      <c r="D100" s="516"/>
      <c r="E100" s="778" t="s">
        <v>3872</v>
      </c>
      <c r="F100" s="516"/>
      <c r="H100" s="778"/>
      <c r="I100" s="469"/>
      <c r="J100" s="114">
        <v>696061</v>
      </c>
      <c r="K100" s="114">
        <v>725296</v>
      </c>
      <c r="L100" s="114">
        <f>ROUND(K100*102%,0)</f>
        <v>739802</v>
      </c>
      <c r="M100" s="114">
        <f>ROUND(L100*102%,0)</f>
        <v>754598</v>
      </c>
      <c r="N100" s="114">
        <f>ROUND(M100*102%,0)</f>
        <v>769690</v>
      </c>
      <c r="O100" s="114">
        <f>ROUND(N100*102%,0)</f>
        <v>785084</v>
      </c>
      <c r="P100" s="115">
        <f>+L100/K100</f>
        <v>1.0200001102997949</v>
      </c>
      <c r="Q100" s="115">
        <f>+J100*S3</f>
        <v>709982.22</v>
      </c>
      <c r="R100" s="1035">
        <f>+K100*T3</f>
        <v>755758.43200000003</v>
      </c>
      <c r="S100" s="1035">
        <f>+L100*U3</f>
        <v>767174.674</v>
      </c>
      <c r="T100" s="1035">
        <f>+M100*V3</f>
        <v>782518.12599999993</v>
      </c>
    </row>
    <row r="101" spans="1:21" ht="12.75" customHeight="1" x14ac:dyDescent="0.25">
      <c r="D101" s="516"/>
      <c r="E101" s="778" t="s">
        <v>3873</v>
      </c>
      <c r="F101" s="516"/>
      <c r="H101" s="778"/>
      <c r="I101" s="469"/>
      <c r="J101" s="1047">
        <v>-20836</v>
      </c>
      <c r="K101" s="1048">
        <v>-20835</v>
      </c>
      <c r="L101" s="1047">
        <v>-20835</v>
      </c>
      <c r="M101" s="1047">
        <v>-20834</v>
      </c>
      <c r="N101" s="1047">
        <v>-20834</v>
      </c>
      <c r="O101" s="1047">
        <v>-20834</v>
      </c>
      <c r="R101" s="1035">
        <f>+L101</f>
        <v>-20835</v>
      </c>
      <c r="S101" s="1035">
        <f>+M101</f>
        <v>-20834</v>
      </c>
      <c r="T101" s="1035">
        <f>+N101</f>
        <v>-20834</v>
      </c>
    </row>
    <row r="102" spans="1:21" ht="12.75" customHeight="1" x14ac:dyDescent="0.25">
      <c r="D102" s="516"/>
      <c r="E102" s="778" t="s">
        <v>3874</v>
      </c>
      <c r="F102" s="516"/>
      <c r="H102" s="778"/>
      <c r="I102" s="469"/>
      <c r="J102" s="1047">
        <v>76000</v>
      </c>
      <c r="K102" s="1048">
        <v>76000</v>
      </c>
      <c r="L102" s="1047">
        <v>76000</v>
      </c>
      <c r="M102" s="1047">
        <v>76000</v>
      </c>
      <c r="N102" s="1047">
        <v>76000</v>
      </c>
      <c r="O102" s="1047">
        <v>76000</v>
      </c>
      <c r="R102" s="1035">
        <f>+K102*T2</f>
        <v>77596</v>
      </c>
      <c r="S102" s="1035">
        <f>+R102*U2</f>
        <v>79380.707999999999</v>
      </c>
      <c r="T102" s="1035">
        <f>+S102*V2</f>
        <v>81206.464283999987</v>
      </c>
    </row>
    <row r="103" spans="1:21" ht="12.75" customHeight="1" x14ac:dyDescent="0.25">
      <c r="D103" s="516"/>
      <c r="E103" s="1049" t="s">
        <v>3875</v>
      </c>
      <c r="F103" s="516"/>
      <c r="H103" s="778"/>
      <c r="I103" s="469"/>
      <c r="J103" s="1047">
        <v>100000</v>
      </c>
      <c r="K103" s="1048">
        <v>100000</v>
      </c>
      <c r="L103" s="1048"/>
      <c r="M103" s="1048"/>
      <c r="N103" s="1048"/>
      <c r="O103" s="1048"/>
    </row>
    <row r="104" spans="1:21" s="1720" customFormat="1" ht="12.75" customHeight="1" x14ac:dyDescent="0.25">
      <c r="A104" s="2179"/>
      <c r="D104" s="2160"/>
      <c r="E104" s="2180" t="s">
        <v>5309</v>
      </c>
      <c r="F104" s="2160"/>
      <c r="H104" s="2165"/>
      <c r="I104" s="2166"/>
      <c r="J104" s="2181"/>
      <c r="K104" s="2182">
        <v>26000</v>
      </c>
      <c r="L104" s="2182">
        <v>26000</v>
      </c>
      <c r="M104" s="2182">
        <v>26000</v>
      </c>
      <c r="N104" s="2182">
        <v>26000</v>
      </c>
      <c r="O104" s="2182">
        <v>26000</v>
      </c>
    </row>
    <row r="105" spans="1:21" ht="12.75" customHeight="1" thickBot="1" x14ac:dyDescent="0.3">
      <c r="D105" s="516"/>
      <c r="E105" s="1050" t="s">
        <v>3876</v>
      </c>
      <c r="F105" s="516"/>
      <c r="H105" s="778"/>
      <c r="I105" s="469"/>
      <c r="J105" s="1906">
        <v>851225</v>
      </c>
      <c r="K105" s="1906">
        <f>SUM(K100:K104)</f>
        <v>906461</v>
      </c>
      <c r="L105" s="1906">
        <f t="shared" ref="L105:O105" si="23">SUM(L100:L104)</f>
        <v>820967</v>
      </c>
      <c r="M105" s="1906">
        <f t="shared" si="23"/>
        <v>835764</v>
      </c>
      <c r="N105" s="1906">
        <f t="shared" si="23"/>
        <v>850856</v>
      </c>
      <c r="O105" s="1906">
        <f t="shared" si="23"/>
        <v>866250</v>
      </c>
    </row>
    <row r="106" spans="1:21" ht="12.75" customHeight="1" thickTop="1" x14ac:dyDescent="0.25">
      <c r="D106" s="516"/>
      <c r="E106" s="453"/>
      <c r="F106" s="516"/>
      <c r="H106" s="453"/>
      <c r="I106" s="1047"/>
      <c r="J106" s="453"/>
      <c r="K106" s="453"/>
      <c r="L106" s="453"/>
      <c r="M106" s="453"/>
      <c r="N106" s="453"/>
      <c r="O106" s="453"/>
      <c r="R106" s="1036">
        <f>SUM(R100:R105)</f>
        <v>812519.43200000003</v>
      </c>
      <c r="S106" s="1036">
        <f t="shared" ref="S106:T106" si="24">SUM(S100:S105)</f>
        <v>825721.38199999998</v>
      </c>
      <c r="T106" s="1036">
        <f t="shared" si="24"/>
        <v>842890.59028399992</v>
      </c>
      <c r="U106" s="1036"/>
    </row>
    <row r="107" spans="1:21" ht="12.75" customHeight="1" x14ac:dyDescent="0.25">
      <c r="D107" s="393">
        <v>634901</v>
      </c>
      <c r="E107" s="381" t="s">
        <v>3867</v>
      </c>
      <c r="F107" s="382"/>
      <c r="I107" s="114"/>
      <c r="J107" s="483">
        <v>2025</v>
      </c>
      <c r="K107" s="483">
        <v>2026</v>
      </c>
      <c r="L107" s="483">
        <v>2027</v>
      </c>
      <c r="M107" s="483">
        <v>2028</v>
      </c>
      <c r="N107" s="483">
        <v>2029</v>
      </c>
      <c r="O107" s="483">
        <v>2030</v>
      </c>
    </row>
    <row r="108" spans="1:21" ht="12.75" customHeight="1" x14ac:dyDescent="0.25">
      <c r="D108" s="384"/>
      <c r="E108" s="383" t="s">
        <v>533</v>
      </c>
      <c r="F108" s="384"/>
      <c r="H108" s="304" t="s">
        <v>3877</v>
      </c>
      <c r="I108" s="114"/>
      <c r="J108" s="114"/>
      <c r="K108" s="114"/>
      <c r="L108" s="114"/>
      <c r="M108" s="114"/>
      <c r="N108" s="114"/>
      <c r="O108" s="114"/>
    </row>
    <row r="109" spans="1:21" ht="12.75" customHeight="1" x14ac:dyDescent="0.25">
      <c r="D109" s="384">
        <v>41100</v>
      </c>
      <c r="E109" s="115" t="s">
        <v>541</v>
      </c>
      <c r="F109" s="384"/>
      <c r="I109" s="114"/>
      <c r="R109" s="634"/>
      <c r="S109" s="634">
        <f>+L105-S106</f>
        <v>-4754.3819999999832</v>
      </c>
      <c r="T109" s="634">
        <f>+M105-T106</f>
        <v>-7126.590283999918</v>
      </c>
    </row>
    <row r="110" spans="1:21" ht="12.75" customHeight="1" x14ac:dyDescent="0.25">
      <c r="D110" s="384"/>
      <c r="E110" s="308" t="s">
        <v>2672</v>
      </c>
      <c r="F110" s="384"/>
      <c r="I110" s="114"/>
      <c r="J110" s="114"/>
      <c r="K110" s="114"/>
      <c r="L110" s="114"/>
      <c r="M110" s="114"/>
      <c r="N110" s="114"/>
      <c r="O110" s="114"/>
    </row>
    <row r="111" spans="1:21" ht="12.75" customHeight="1" thickBot="1" x14ac:dyDescent="0.3">
      <c r="D111" s="384"/>
      <c r="E111" s="115" t="str">
        <f>"Totaal "&amp;D109</f>
        <v>Totaal 41100</v>
      </c>
      <c r="F111" s="384"/>
      <c r="I111" s="114"/>
      <c r="J111" s="1744">
        <v>0</v>
      </c>
      <c r="K111" s="1744">
        <v>0</v>
      </c>
      <c r="L111" s="1744">
        <f t="shared" ref="L111:M111" si="25">SUM(L108:L110)</f>
        <v>0</v>
      </c>
      <c r="M111" s="1744">
        <f t="shared" si="25"/>
        <v>0</v>
      </c>
      <c r="N111" s="1744">
        <f t="shared" ref="N111:O111" si="26">SUM(N108:N110)</f>
        <v>0</v>
      </c>
      <c r="O111" s="1744">
        <f t="shared" si="26"/>
        <v>0</v>
      </c>
    </row>
    <row r="112" spans="1:21" ht="12.75" customHeight="1" thickTop="1" x14ac:dyDescent="0.25">
      <c r="D112" s="115"/>
      <c r="E112" s="115"/>
      <c r="F112" s="400"/>
      <c r="I112" s="114"/>
    </row>
    <row r="113" spans="4:15" ht="12.75" customHeight="1" x14ac:dyDescent="0.25">
      <c r="D113" s="384">
        <v>41100</v>
      </c>
      <c r="E113" s="115" t="s">
        <v>541</v>
      </c>
      <c r="F113" s="384"/>
      <c r="I113" s="114"/>
    </row>
    <row r="114" spans="4:15" ht="12.75" customHeight="1" x14ac:dyDescent="0.25">
      <c r="D114" s="384"/>
      <c r="E114" s="308" t="s">
        <v>3878</v>
      </c>
      <c r="F114" s="384"/>
      <c r="I114" s="114"/>
      <c r="J114" s="114"/>
      <c r="K114" s="114"/>
      <c r="L114" s="114"/>
      <c r="M114" s="114"/>
      <c r="N114" s="114"/>
      <c r="O114" s="114"/>
    </row>
    <row r="115" spans="4:15" ht="12.75" customHeight="1" thickBot="1" x14ac:dyDescent="0.3">
      <c r="D115" s="384"/>
      <c r="E115" s="115" t="str">
        <f>"Totaal "&amp;D113</f>
        <v>Totaal 41100</v>
      </c>
      <c r="F115" s="384"/>
      <c r="I115" s="114"/>
      <c r="J115" s="1744">
        <v>0</v>
      </c>
      <c r="K115" s="1744">
        <v>0</v>
      </c>
      <c r="L115" s="1744">
        <f t="shared" ref="L115:M115" si="27">SUM(L112:L114)</f>
        <v>0</v>
      </c>
      <c r="M115" s="1744">
        <f t="shared" si="27"/>
        <v>0</v>
      </c>
      <c r="N115" s="1744">
        <f t="shared" ref="N115:O115" si="28">SUM(N112:N114)</f>
        <v>0</v>
      </c>
      <c r="O115" s="1744">
        <f t="shared" si="28"/>
        <v>0</v>
      </c>
    </row>
    <row r="116" spans="4:15" ht="12.75" customHeight="1" thickTop="1" x14ac:dyDescent="0.25">
      <c r="D116" s="115"/>
      <c r="E116" s="115"/>
      <c r="F116" s="400"/>
      <c r="I116" s="114"/>
    </row>
    <row r="117" spans="4:15" ht="12.75" customHeight="1" x14ac:dyDescent="0.25">
      <c r="D117" s="771">
        <v>634001</v>
      </c>
      <c r="E117" s="747" t="s">
        <v>3868</v>
      </c>
      <c r="F117" s="400"/>
      <c r="I117" s="114"/>
    </row>
    <row r="118" spans="4:15" ht="12.75" customHeight="1" x14ac:dyDescent="0.25">
      <c r="D118" s="516"/>
      <c r="E118" s="1051" t="s">
        <v>554</v>
      </c>
      <c r="F118" s="516"/>
      <c r="H118" s="778"/>
      <c r="I118" s="1047"/>
      <c r="J118" s="1047"/>
      <c r="K118" s="1047"/>
      <c r="L118" s="1047"/>
      <c r="M118" s="1047"/>
      <c r="N118" s="1047"/>
      <c r="O118" s="1047"/>
    </row>
    <row r="119" spans="4:15" ht="12.75" customHeight="1" x14ac:dyDescent="0.25">
      <c r="D119" s="516">
        <v>83600</v>
      </c>
      <c r="E119" s="453" t="s">
        <v>3879</v>
      </c>
      <c r="F119" s="516"/>
      <c r="H119" s="453"/>
      <c r="I119" s="1047"/>
      <c r="J119" s="114">
        <v>-226875</v>
      </c>
      <c r="K119" s="114">
        <v>-199108</v>
      </c>
      <c r="L119" s="114">
        <v>-204676.36</v>
      </c>
      <c r="M119" s="114">
        <f t="shared" ref="M119:O119" si="29">ROUND(L119*U$2,0)</f>
        <v>-209384</v>
      </c>
      <c r="N119" s="114">
        <f t="shared" si="29"/>
        <v>-214200</v>
      </c>
      <c r="O119" s="114">
        <f t="shared" si="29"/>
        <v>-219127</v>
      </c>
    </row>
    <row r="120" spans="4:15" ht="12.75" customHeight="1" x14ac:dyDescent="0.25">
      <c r="D120" s="516"/>
      <c r="E120" s="2152" t="s">
        <v>5301</v>
      </c>
      <c r="F120" s="516"/>
      <c r="H120" s="453"/>
      <c r="I120" s="1047"/>
      <c r="J120" s="114"/>
      <c r="K120" s="114"/>
      <c r="L120" s="2150">
        <v>-1195</v>
      </c>
      <c r="M120" s="2150">
        <v>-2449</v>
      </c>
      <c r="N120" s="2150">
        <v>-3766</v>
      </c>
      <c r="O120" s="114"/>
    </row>
    <row r="121" spans="4:15" ht="12.75" customHeight="1" thickBot="1" x14ac:dyDescent="0.3">
      <c r="D121" s="516"/>
      <c r="E121" s="747" t="s">
        <v>1078</v>
      </c>
      <c r="F121" s="516"/>
      <c r="H121" s="453"/>
      <c r="I121" s="1047"/>
      <c r="J121" s="1888">
        <v>-226875</v>
      </c>
      <c r="K121" s="1888">
        <v>-199108</v>
      </c>
      <c r="L121" s="1888">
        <f>SUM(L119:L120)</f>
        <v>-205871.35999999999</v>
      </c>
      <c r="M121" s="1888">
        <f t="shared" ref="M121:O121" si="30">SUM(M119:M120)</f>
        <v>-211833</v>
      </c>
      <c r="N121" s="1888">
        <f t="shared" si="30"/>
        <v>-217966</v>
      </c>
      <c r="O121" s="1888">
        <f t="shared" si="30"/>
        <v>-219127</v>
      </c>
    </row>
    <row r="122" spans="4:15" ht="12.75" customHeight="1" thickTop="1" x14ac:dyDescent="0.25">
      <c r="D122" s="516"/>
      <c r="E122" s="516"/>
      <c r="F122" s="516"/>
      <c r="G122" s="453"/>
      <c r="H122" s="453"/>
      <c r="I122" s="1047"/>
      <c r="J122" s="453"/>
      <c r="K122" s="453"/>
      <c r="L122" s="453"/>
      <c r="M122" s="453"/>
      <c r="N122" s="453"/>
      <c r="O122" s="453"/>
    </row>
  </sheetData>
  <mergeCells count="3">
    <mergeCell ref="D52:D53"/>
    <mergeCell ref="F52:F53"/>
    <mergeCell ref="G52:H53"/>
  </mergeCells>
  <hyperlinks>
    <hyperlink ref="A1" location="Inhoudsopgave!A1" display="Inhoudsopgave" xr:uid="{30211FAF-CE99-40F2-8315-FDA67FBA1DC2}"/>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82" min="3" max="14" man="1"/>
  </rowBreaks>
  <ignoredErrors>
    <ignoredError sqref="L111:M111" formulaRange="1"/>
  </ignoredError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CB2D-72B6-401D-85B7-B7C26D3FA4FA}">
  <sheetPr codeName="Blad31"/>
  <dimension ref="A1:X549"/>
  <sheetViews>
    <sheetView showGridLines="0" view="pageBreakPreview" topLeftCell="B231" zoomScale="90" zoomScaleNormal="100" zoomScaleSheetLayoutView="90" workbookViewId="0">
      <selection activeCell="L244" sqref="L244"/>
    </sheetView>
  </sheetViews>
  <sheetFormatPr defaultColWidth="9.109375" defaultRowHeight="12.75" customHeight="1" x14ac:dyDescent="0.25"/>
  <cols>
    <col min="1" max="1" width="8.5546875" style="306" bestFit="1" customWidth="1"/>
    <col min="2" max="2" width="13.6640625" style="115" customWidth="1"/>
    <col min="3" max="3" width="12.6640625" style="115" customWidth="1"/>
    <col min="4" max="4" width="9.6640625" style="301" customWidth="1"/>
    <col min="5" max="6" width="9.6640625" style="143" customWidth="1"/>
    <col min="7" max="8" width="12.6640625" style="115" customWidth="1"/>
    <col min="9" max="9" width="12.6640625" style="1676" customWidth="1"/>
    <col min="10" max="15" width="11.6640625" style="1676" customWidth="1"/>
    <col min="16" max="16" width="10.33203125" style="115" customWidth="1"/>
    <col min="17" max="17" width="13.5546875" style="115" bestFit="1" customWidth="1"/>
    <col min="18" max="22" width="13.33203125" style="115" customWidth="1"/>
    <col min="23" max="24" width="10.44140625" style="115" bestFit="1" customWidth="1"/>
    <col min="25" max="16384" width="9.109375" style="115"/>
  </cols>
  <sheetData>
    <row r="1" spans="1:23" ht="12.75" customHeight="1" x14ac:dyDescent="0.25">
      <c r="A1" s="165" t="s">
        <v>0</v>
      </c>
      <c r="P1" s="304"/>
      <c r="Q1" s="304">
        <v>2024</v>
      </c>
      <c r="R1" s="304">
        <v>2025</v>
      </c>
      <c r="S1" s="304">
        <v>2026</v>
      </c>
      <c r="T1" s="304">
        <v>2027</v>
      </c>
      <c r="U1" s="304">
        <v>2028</v>
      </c>
      <c r="V1" s="304">
        <v>2029</v>
      </c>
      <c r="W1" s="304">
        <v>2030</v>
      </c>
    </row>
    <row r="2" spans="1:23" ht="12.75" customHeight="1" x14ac:dyDescent="0.25">
      <c r="D2" s="301" t="s">
        <v>504</v>
      </c>
      <c r="H2" s="115" t="s">
        <v>2793</v>
      </c>
      <c r="P2" s="115" t="s">
        <v>969</v>
      </c>
      <c r="Q2" s="1324">
        <f>+Indexering!G4</f>
        <v>1.0369999999999999</v>
      </c>
      <c r="R2" s="1324">
        <f>+Indexering!H4</f>
        <v>1.028</v>
      </c>
      <c r="S2" s="1324">
        <f>+Indexering!I4</f>
        <v>1.026</v>
      </c>
      <c r="T2" s="1324">
        <f>+Indexering!J4</f>
        <v>1.0209999999999999</v>
      </c>
      <c r="U2" s="1324">
        <f>+Indexering!K4</f>
        <v>1.0229999999999999</v>
      </c>
      <c r="V2" s="1324">
        <f>+Indexering!L4</f>
        <v>1.0229999999999999</v>
      </c>
      <c r="W2" s="1324">
        <f>+Indexering!M4</f>
        <v>1.0229999999999999</v>
      </c>
    </row>
    <row r="3" spans="1:23" ht="12.75" customHeight="1" x14ac:dyDescent="0.25">
      <c r="P3" s="115" t="s">
        <v>970</v>
      </c>
      <c r="Q3" s="1324">
        <f>+Indexering!G5</f>
        <v>1.052</v>
      </c>
      <c r="R3" s="1324">
        <f>+Indexering!H5</f>
        <v>1.0489999999999999</v>
      </c>
      <c r="S3" s="1324">
        <f>+Indexering!I5</f>
        <v>1.02</v>
      </c>
      <c r="T3" s="1324">
        <f>+Indexering!J5</f>
        <v>1.042</v>
      </c>
      <c r="U3" s="1324">
        <f>+Indexering!K5</f>
        <v>1.0369999999999999</v>
      </c>
      <c r="V3" s="1324">
        <f>+Indexering!L5</f>
        <v>1.0369999999999999</v>
      </c>
      <c r="W3" s="1324">
        <f>+Indexering!M5</f>
        <v>1.0369999999999999</v>
      </c>
    </row>
    <row r="4" spans="1:23" ht="12.75" customHeight="1" x14ac:dyDescent="0.25">
      <c r="P4" s="115" t="s">
        <v>3194</v>
      </c>
      <c r="Q4" s="1324">
        <f>+Indexering!G6</f>
        <v>1.0445</v>
      </c>
      <c r="R4" s="1324">
        <f>+Indexering!H6</f>
        <v>1.036</v>
      </c>
      <c r="S4" s="1324">
        <f>+Indexering!I6</f>
        <v>1.0228200000000001</v>
      </c>
      <c r="T4" s="1324">
        <f>+Indexering!J6</f>
        <v>1.03213</v>
      </c>
      <c r="U4" s="1324">
        <f>+Indexering!K6</f>
        <v>1.0304199999999999</v>
      </c>
      <c r="V4" s="1324">
        <f>+Indexering!L6</f>
        <v>1.0304199999999999</v>
      </c>
      <c r="W4" s="1324">
        <f>+Indexering!M6</f>
        <v>1.0304199999999999</v>
      </c>
    </row>
    <row r="6" spans="1:23" ht="12.75" customHeight="1" x14ac:dyDescent="0.25">
      <c r="D6" s="301" t="s">
        <v>66</v>
      </c>
      <c r="E6" s="301"/>
      <c r="H6" s="115" t="s">
        <v>3880</v>
      </c>
      <c r="I6" s="115"/>
    </row>
    <row r="22" spans="4:19" ht="12.75" customHeight="1" x14ac:dyDescent="0.25">
      <c r="D22" s="452" t="s">
        <v>507</v>
      </c>
      <c r="E22" s="1168"/>
      <c r="F22" s="1677"/>
      <c r="G22" s="166"/>
      <c r="H22" s="166"/>
      <c r="I22" s="166"/>
      <c r="J22" s="166"/>
      <c r="K22" s="166"/>
      <c r="L22" s="166"/>
      <c r="M22" s="166"/>
      <c r="N22" s="166"/>
      <c r="O22" s="166"/>
    </row>
    <row r="23" spans="4:19" ht="12.75" customHeight="1" x14ac:dyDescent="0.25">
      <c r="D23" s="1168"/>
      <c r="E23" s="1168"/>
      <c r="F23" s="1677"/>
      <c r="G23" s="166"/>
      <c r="H23" s="166"/>
      <c r="I23" s="166"/>
      <c r="J23" s="166"/>
      <c r="K23" s="166"/>
      <c r="L23" s="166"/>
      <c r="M23" s="166"/>
      <c r="N23" s="166"/>
      <c r="O23" s="166"/>
    </row>
    <row r="24" spans="4:19" ht="12.75" customHeight="1" x14ac:dyDescent="0.25">
      <c r="D24" s="1746" t="s">
        <v>508</v>
      </c>
      <c r="E24" s="1747"/>
      <c r="F24" s="1907"/>
      <c r="G24" s="1748"/>
      <c r="H24" s="1748"/>
      <c r="I24" s="1749"/>
      <c r="J24" s="1749">
        <v>2025</v>
      </c>
      <c r="K24" s="1749">
        <v>2026</v>
      </c>
      <c r="L24" s="1749">
        <v>2027</v>
      </c>
      <c r="M24" s="1749">
        <v>2028</v>
      </c>
      <c r="N24" s="1749">
        <v>2029</v>
      </c>
      <c r="O24" s="1749">
        <v>2030</v>
      </c>
    </row>
    <row r="25" spans="4:19" ht="12.75" customHeight="1" x14ac:dyDescent="0.25">
      <c r="D25" s="461" t="str">
        <f>G85</f>
        <v>Onderhoud plantsoenen</v>
      </c>
      <c r="E25" s="1328"/>
      <c r="F25" s="1677"/>
      <c r="G25" s="166"/>
      <c r="H25" s="166"/>
      <c r="I25" s="1330"/>
      <c r="J25" s="1161">
        <v>1751873</v>
      </c>
      <c r="K25" s="1161">
        <f t="shared" ref="K25:M25" si="0">K91</f>
        <v>1850271</v>
      </c>
      <c r="L25" s="1161">
        <f t="shared" si="0"/>
        <v>1951057</v>
      </c>
      <c r="M25" s="1161">
        <f t="shared" si="0"/>
        <v>2016413</v>
      </c>
      <c r="N25" s="1161">
        <f t="shared" ref="N25:O25" si="1">N91</f>
        <v>2084159</v>
      </c>
      <c r="O25" s="1161">
        <f t="shared" si="1"/>
        <v>2154379</v>
      </c>
      <c r="P25" s="153"/>
      <c r="Q25" s="153"/>
      <c r="R25" s="153"/>
      <c r="S25" s="153"/>
    </row>
    <row r="26" spans="4:19" ht="12.75" customHeight="1" x14ac:dyDescent="0.25">
      <c r="D26" s="461" t="str">
        <f>G105</f>
        <v>Onderhoud bomen</v>
      </c>
      <c r="E26" s="1328"/>
      <c r="F26" s="1677"/>
      <c r="G26" s="166"/>
      <c r="H26" s="166"/>
      <c r="I26" s="1330"/>
      <c r="J26" s="1161">
        <v>30215</v>
      </c>
      <c r="K26" s="1161">
        <f t="shared" ref="K26:M26" si="2">K110</f>
        <v>31001</v>
      </c>
      <c r="L26" s="1161">
        <f t="shared" si="2"/>
        <v>31653</v>
      </c>
      <c r="M26" s="1161">
        <f t="shared" si="2"/>
        <v>32381</v>
      </c>
      <c r="N26" s="1161">
        <f t="shared" ref="N26:O26" si="3">N110</f>
        <v>33126</v>
      </c>
      <c r="O26" s="1161">
        <f t="shared" si="3"/>
        <v>33888</v>
      </c>
      <c r="P26" s="153"/>
      <c r="Q26" s="153"/>
      <c r="R26" s="153"/>
      <c r="S26" s="153"/>
    </row>
    <row r="27" spans="4:19" ht="12.75" customHeight="1" x14ac:dyDescent="0.25">
      <c r="D27" s="461"/>
      <c r="E27" s="1328"/>
      <c r="F27" s="1677"/>
      <c r="G27" s="166"/>
      <c r="H27" s="166"/>
      <c r="I27" s="1330"/>
      <c r="J27" s="1161"/>
      <c r="K27" s="1161"/>
      <c r="L27" s="1161"/>
      <c r="M27" s="1161"/>
      <c r="N27" s="1161"/>
      <c r="O27" s="1161"/>
      <c r="P27" s="233"/>
      <c r="Q27" s="153"/>
      <c r="R27" s="153"/>
      <c r="S27" s="153"/>
    </row>
    <row r="28" spans="4:19" ht="12.75" customHeight="1" x14ac:dyDescent="0.25">
      <c r="D28" s="461" t="str">
        <f>G93</f>
        <v>Natuurbeheer Vleutse Broek</v>
      </c>
      <c r="E28" s="1328"/>
      <c r="F28" s="1677"/>
      <c r="G28" s="166"/>
      <c r="H28" s="166"/>
      <c r="I28" s="1330"/>
      <c r="J28" s="1161">
        <v>40605</v>
      </c>
      <c r="K28" s="1161">
        <f t="shared" ref="K28:N28" si="4">K96</f>
        <v>41661</v>
      </c>
      <c r="L28" s="1161">
        <f t="shared" si="4"/>
        <v>42536</v>
      </c>
      <c r="M28" s="1161">
        <f t="shared" si="4"/>
        <v>43514</v>
      </c>
      <c r="N28" s="1161">
        <f t="shared" si="4"/>
        <v>44515</v>
      </c>
      <c r="O28" s="1161">
        <f t="shared" ref="O28" si="5">O96</f>
        <v>45539</v>
      </c>
      <c r="P28" s="233"/>
      <c r="Q28" s="153"/>
      <c r="R28" s="153"/>
      <c r="S28" s="153"/>
    </row>
    <row r="29" spans="4:19" ht="12.75" customHeight="1" x14ac:dyDescent="0.25">
      <c r="D29" s="461" t="str">
        <f>G78</f>
        <v xml:space="preserve">Klokken, uurwerken, speelwerken </v>
      </c>
      <c r="E29" s="1328"/>
      <c r="F29" s="1677"/>
      <c r="G29" s="166"/>
      <c r="H29" s="166"/>
      <c r="I29" s="1330"/>
      <c r="J29" s="1161">
        <v>1721</v>
      </c>
      <c r="K29" s="1161">
        <f t="shared" ref="K29:N29" si="6">K82</f>
        <v>1765</v>
      </c>
      <c r="L29" s="1161">
        <f t="shared" si="6"/>
        <v>1802</v>
      </c>
      <c r="M29" s="1161">
        <f t="shared" si="6"/>
        <v>1843</v>
      </c>
      <c r="N29" s="1161">
        <f t="shared" si="6"/>
        <v>1885</v>
      </c>
      <c r="O29" s="1161">
        <f t="shared" ref="O29" si="7">O82</f>
        <v>1928</v>
      </c>
      <c r="P29" s="233"/>
      <c r="Q29" s="153"/>
      <c r="R29" s="153"/>
      <c r="S29" s="153"/>
    </row>
    <row r="30" spans="4:19" ht="12.75" customHeight="1" x14ac:dyDescent="0.25">
      <c r="D30" s="461" t="str">
        <f>G118</f>
        <v>Onderhoud hondentoiletten</v>
      </c>
      <c r="E30" s="1328"/>
      <c r="F30" s="1677"/>
      <c r="G30" s="166"/>
      <c r="H30" s="166"/>
      <c r="I30" s="1330"/>
      <c r="J30" s="1161">
        <v>43761</v>
      </c>
      <c r="K30" s="1161">
        <f t="shared" ref="K30:M30" si="8">K122</f>
        <v>44847</v>
      </c>
      <c r="L30" s="1161">
        <f t="shared" si="8"/>
        <v>45747</v>
      </c>
      <c r="M30" s="1161">
        <f t="shared" si="8"/>
        <v>46753</v>
      </c>
      <c r="N30" s="1161">
        <f t="shared" ref="N30:O30" si="9">N122</f>
        <v>47782</v>
      </c>
      <c r="O30" s="1161">
        <f t="shared" si="9"/>
        <v>48835</v>
      </c>
      <c r="P30" s="233"/>
      <c r="Q30" s="153"/>
      <c r="R30" s="153"/>
      <c r="S30" s="153"/>
    </row>
    <row r="31" spans="4:19" ht="12.75" customHeight="1" x14ac:dyDescent="0.25">
      <c r="D31" s="461" t="str">
        <f>G157</f>
        <v>Machinepark en  bestelwagens (plantsoenen en bossen)</v>
      </c>
      <c r="E31" s="1328"/>
      <c r="F31" s="1677"/>
      <c r="G31" s="166"/>
      <c r="H31" s="166"/>
      <c r="I31" s="1330"/>
      <c r="J31" s="1161">
        <v>12269</v>
      </c>
      <c r="K31" s="1161">
        <f t="shared" ref="K31:N31" si="10">K164+K173</f>
        <v>35500</v>
      </c>
      <c r="L31" s="1161">
        <f t="shared" si="10"/>
        <v>15079</v>
      </c>
      <c r="M31" s="1161">
        <f t="shared" si="10"/>
        <v>13150</v>
      </c>
      <c r="N31" s="1161">
        <f t="shared" si="10"/>
        <v>13453</v>
      </c>
      <c r="O31" s="1161">
        <f t="shared" ref="O31" si="11">O164+O173</f>
        <v>13762</v>
      </c>
      <c r="P31" s="153"/>
      <c r="Q31" s="153"/>
      <c r="R31" s="153"/>
      <c r="S31" s="153"/>
    </row>
    <row r="32" spans="4:19" ht="12.75" customHeight="1" x14ac:dyDescent="0.25">
      <c r="D32" s="461" t="str">
        <f>G112</f>
        <v>Subsidies, contributies en bijdragen bossen</v>
      </c>
      <c r="E32" s="1328"/>
      <c r="F32" s="1677"/>
      <c r="G32" s="166"/>
      <c r="H32" s="166"/>
      <c r="I32" s="1330"/>
      <c r="J32" s="1161">
        <v>1920</v>
      </c>
      <c r="K32" s="1161">
        <f>K116</f>
        <v>2022</v>
      </c>
      <c r="L32" s="1161">
        <f>L116</f>
        <v>2107</v>
      </c>
      <c r="M32" s="1161">
        <f>M116</f>
        <v>2202</v>
      </c>
      <c r="N32" s="1161">
        <f>N116</f>
        <v>2299</v>
      </c>
      <c r="O32" s="1161">
        <f>O116</f>
        <v>2398</v>
      </c>
      <c r="P32" s="153"/>
      <c r="Q32" s="153"/>
      <c r="R32" s="153"/>
      <c r="S32" s="153"/>
    </row>
    <row r="33" spans="4:20" ht="12.75" customHeight="1" x14ac:dyDescent="0.25">
      <c r="D33" s="461" t="str">
        <f>G98</f>
        <v>Onderhoud bossen, heide en vennen</v>
      </c>
      <c r="E33" s="1328"/>
      <c r="F33" s="1677"/>
      <c r="G33" s="166"/>
      <c r="H33" s="166"/>
      <c r="I33" s="1330"/>
      <c r="J33" s="1161">
        <v>15677</v>
      </c>
      <c r="K33" s="1161">
        <f>K103</f>
        <v>16215</v>
      </c>
      <c r="L33" s="1161">
        <f>L103</f>
        <v>16661</v>
      </c>
      <c r="M33" s="1161">
        <f>M103</f>
        <v>17160</v>
      </c>
      <c r="N33" s="1161">
        <f>N103</f>
        <v>17670</v>
      </c>
      <c r="O33" s="1161">
        <f>O103</f>
        <v>18192</v>
      </c>
      <c r="P33" s="153"/>
      <c r="Q33" s="153"/>
      <c r="R33" s="153"/>
      <c r="S33" s="153"/>
    </row>
    <row r="34" spans="4:20" ht="12.75" customHeight="1" x14ac:dyDescent="0.25">
      <c r="D34" s="461" t="str">
        <f>G124</f>
        <v>Onderhoud recreatieve voorzieningen</v>
      </c>
      <c r="E34" s="1328"/>
      <c r="F34" s="1677"/>
      <c r="G34" s="166"/>
      <c r="H34" s="166"/>
      <c r="I34" s="1330"/>
      <c r="J34" s="1161">
        <v>13738</v>
      </c>
      <c r="K34" s="1161">
        <f t="shared" ref="K34:M34" si="12">K127</f>
        <v>14095</v>
      </c>
      <c r="L34" s="1161">
        <f t="shared" si="12"/>
        <v>14391</v>
      </c>
      <c r="M34" s="1161">
        <f t="shared" si="12"/>
        <v>14722</v>
      </c>
      <c r="N34" s="1161">
        <f t="shared" ref="N34:O34" si="13">N127</f>
        <v>15061</v>
      </c>
      <c r="O34" s="1161">
        <f t="shared" si="13"/>
        <v>15407</v>
      </c>
      <c r="P34" s="153"/>
      <c r="Q34" s="153"/>
      <c r="R34" s="153"/>
      <c r="S34" s="153"/>
    </row>
    <row r="35" spans="4:20" ht="12.75" customHeight="1" x14ac:dyDescent="0.25">
      <c r="D35" s="461" t="str">
        <f>G129</f>
        <v>Prinses Beatrixlaan 3 (dierenweide)</v>
      </c>
      <c r="E35" s="1328"/>
      <c r="F35" s="1677"/>
      <c r="G35" s="166"/>
      <c r="H35" s="166"/>
      <c r="I35" s="1330"/>
      <c r="J35" s="1161">
        <v>64770</v>
      </c>
      <c r="K35" s="1161">
        <f t="shared" ref="K35:M35" si="14">K138</f>
        <v>66103</v>
      </c>
      <c r="L35" s="1161">
        <f t="shared" si="14"/>
        <v>68744</v>
      </c>
      <c r="M35" s="1161">
        <f t="shared" si="14"/>
        <v>71197</v>
      </c>
      <c r="N35" s="1161">
        <f t="shared" ref="N35:O35" si="15">N138</f>
        <v>73738</v>
      </c>
      <c r="O35" s="1161">
        <f t="shared" si="15"/>
        <v>76370</v>
      </c>
      <c r="P35" s="153"/>
      <c r="Q35" s="153"/>
      <c r="R35" s="153"/>
      <c r="S35" s="153"/>
    </row>
    <row r="36" spans="4:20" ht="12.75" customHeight="1" x14ac:dyDescent="0.25">
      <c r="D36" s="461"/>
      <c r="E36" s="1328"/>
      <c r="F36" s="1677"/>
      <c r="G36" s="166"/>
      <c r="H36" s="166"/>
      <c r="I36" s="1330"/>
      <c r="J36" s="1161"/>
      <c r="K36" s="1161"/>
      <c r="L36" s="1161"/>
      <c r="M36" s="1161"/>
      <c r="N36" s="1161"/>
      <c r="O36" s="1161"/>
      <c r="P36" s="153"/>
      <c r="Q36" s="153"/>
      <c r="R36" s="153"/>
      <c r="S36" s="153"/>
    </row>
    <row r="37" spans="4:20" ht="12.75" customHeight="1" x14ac:dyDescent="0.25">
      <c r="D37" s="461" t="str">
        <f>G147</f>
        <v>Onderhoud speelelementen en speelplaatsen (P170)</v>
      </c>
      <c r="E37" s="1328"/>
      <c r="F37" s="1677"/>
      <c r="G37" s="166"/>
      <c r="H37" s="166"/>
      <c r="I37" s="1330"/>
      <c r="J37" s="1161">
        <v>33739</v>
      </c>
      <c r="K37" s="1161">
        <f>K150</f>
        <v>33739</v>
      </c>
      <c r="L37" s="1161">
        <f>L150</f>
        <v>33739</v>
      </c>
      <c r="M37" s="1161">
        <f>M150</f>
        <v>33740</v>
      </c>
      <c r="N37" s="1161">
        <f>N150</f>
        <v>33740</v>
      </c>
      <c r="O37" s="1161">
        <f>O150</f>
        <v>33740</v>
      </c>
      <c r="P37" s="153"/>
      <c r="Q37" s="153"/>
      <c r="R37" s="153"/>
      <c r="S37" s="153"/>
    </row>
    <row r="38" spans="4:20" ht="12.75" customHeight="1" x14ac:dyDescent="0.25">
      <c r="D38" s="461" t="s">
        <v>3881</v>
      </c>
      <c r="E38" s="1328"/>
      <c r="F38" s="1677"/>
      <c r="G38" s="166"/>
      <c r="H38" s="166"/>
      <c r="I38" s="1330"/>
      <c r="J38" s="1161">
        <v>202007</v>
      </c>
      <c r="K38" s="1161">
        <f t="shared" ref="K38:M38" si="16">+K144</f>
        <v>109825</v>
      </c>
      <c r="L38" s="1161">
        <f t="shared" si="16"/>
        <v>112224</v>
      </c>
      <c r="M38" s="1161">
        <f t="shared" si="16"/>
        <v>114768</v>
      </c>
      <c r="N38" s="1161">
        <f t="shared" ref="N38:O38" si="17">+N144</f>
        <v>117408</v>
      </c>
      <c r="O38" s="1161">
        <f t="shared" si="17"/>
        <v>120107</v>
      </c>
      <c r="P38" s="153"/>
      <c r="Q38" s="153"/>
      <c r="R38" s="153"/>
      <c r="S38" s="153"/>
    </row>
    <row r="39" spans="4:20" ht="12.75" customHeight="1" x14ac:dyDescent="0.25">
      <c r="D39" s="461" t="s">
        <v>3882</v>
      </c>
      <c r="E39" s="1328"/>
      <c r="F39" s="1677"/>
      <c r="G39" s="166"/>
      <c r="H39" s="166"/>
      <c r="I39" s="1330"/>
      <c r="J39" s="1161"/>
      <c r="K39" s="1161">
        <f>+K215</f>
        <v>95000</v>
      </c>
      <c r="L39" s="1161">
        <f t="shared" ref="L39:N39" si="18">+L215</f>
        <v>95000</v>
      </c>
      <c r="M39" s="1161">
        <f t="shared" si="18"/>
        <v>95000</v>
      </c>
      <c r="N39" s="1161">
        <f t="shared" si="18"/>
        <v>95000</v>
      </c>
      <c r="O39" s="1161">
        <f t="shared" ref="O39" si="19">+O215</f>
        <v>95000</v>
      </c>
      <c r="P39" s="153"/>
      <c r="Q39" s="153"/>
      <c r="R39" s="153"/>
      <c r="S39" s="153"/>
    </row>
    <row r="40" spans="4:20" ht="12.75" customHeight="1" x14ac:dyDescent="0.25">
      <c r="D40" s="461" t="s">
        <v>3883</v>
      </c>
      <c r="E40" s="1328"/>
      <c r="F40" s="1677"/>
      <c r="G40" s="166"/>
      <c r="H40" s="166"/>
      <c r="I40" s="1330"/>
      <c r="J40" s="1161">
        <v>58908</v>
      </c>
      <c r="K40" s="1161">
        <f t="shared" ref="K40:M40" si="20">K155</f>
        <v>45000</v>
      </c>
      <c r="L40" s="1161">
        <f t="shared" si="20"/>
        <v>0</v>
      </c>
      <c r="M40" s="1161">
        <f t="shared" si="20"/>
        <v>0</v>
      </c>
      <c r="N40" s="1161">
        <f t="shared" ref="N40:O40" si="21">N155</f>
        <v>0</v>
      </c>
      <c r="O40" s="1161">
        <f t="shared" si="21"/>
        <v>0</v>
      </c>
      <c r="P40" s="153"/>
      <c r="Q40" s="153"/>
      <c r="R40" s="153"/>
      <c r="S40" s="153"/>
    </row>
    <row r="41" spans="4:20" ht="12.75" customHeight="1" x14ac:dyDescent="0.25">
      <c r="D41" s="461"/>
      <c r="E41" s="1328"/>
      <c r="F41" s="1677"/>
      <c r="G41" s="166"/>
      <c r="H41" s="166"/>
      <c r="I41" s="1330"/>
      <c r="J41" s="1161"/>
      <c r="K41" s="1161"/>
      <c r="L41" s="1161"/>
      <c r="M41" s="1161"/>
      <c r="N41" s="1161"/>
      <c r="O41" s="1161"/>
      <c r="P41" s="153"/>
      <c r="Q41" s="153"/>
      <c r="R41" s="153"/>
      <c r="S41" s="153"/>
    </row>
    <row r="42" spans="4:20" ht="12.75" customHeight="1" x14ac:dyDescent="0.25">
      <c r="D42" s="461" t="s">
        <v>3884</v>
      </c>
      <c r="E42" s="1328"/>
      <c r="F42" s="1677"/>
      <c r="G42" s="166"/>
      <c r="H42" s="166"/>
      <c r="I42" s="1330"/>
      <c r="J42" s="1161">
        <v>90108.48000000001</v>
      </c>
      <c r="K42" s="1161">
        <f t="shared" ref="K42:M42" si="22">+K205</f>
        <v>90311.147130990721</v>
      </c>
      <c r="L42" s="1161">
        <f t="shared" si="22"/>
        <v>94682.296487540269</v>
      </c>
      <c r="M42" s="1161">
        <f t="shared" si="22"/>
        <v>96386.532811917277</v>
      </c>
      <c r="N42" s="1161">
        <f t="shared" ref="N42:O42" si="23">+N205</f>
        <v>98139.83935251314</v>
      </c>
      <c r="O42" s="1161">
        <f t="shared" si="23"/>
        <v>98139.83935251314</v>
      </c>
      <c r="P42" s="153"/>
      <c r="Q42" s="153"/>
      <c r="R42" s="153"/>
      <c r="S42" s="153"/>
    </row>
    <row r="43" spans="4:20" ht="12.75" customHeight="1" x14ac:dyDescent="0.25">
      <c r="D43" s="461" t="str">
        <f>G217</f>
        <v>Directe toerekening openbaar groen en recreatie</v>
      </c>
      <c r="E43" s="1328"/>
      <c r="F43" s="1677"/>
      <c r="G43" s="166"/>
      <c r="H43" s="166"/>
      <c r="I43" s="1330"/>
      <c r="J43" s="226">
        <v>758908.1</v>
      </c>
      <c r="K43" s="226">
        <f>K224</f>
        <v>945455.67</v>
      </c>
      <c r="L43" s="226">
        <f>L224</f>
        <v>989105.02814000007</v>
      </c>
      <c r="M43" s="226">
        <f>M224</f>
        <v>1017899.6871811799</v>
      </c>
      <c r="N43" s="226">
        <f>N224</f>
        <v>1040677.7486068835</v>
      </c>
      <c r="O43" s="226">
        <f>O224</f>
        <v>1071642.6323053383</v>
      </c>
    </row>
    <row r="44" spans="4:20" ht="12.75" customHeight="1" x14ac:dyDescent="0.25">
      <c r="D44" s="461" t="str">
        <f>G207</f>
        <v>Projecten Landschapsinvesteringsregeling</v>
      </c>
      <c r="E44" s="1328"/>
      <c r="F44" s="1677"/>
      <c r="G44" s="166"/>
      <c r="H44" s="166"/>
      <c r="I44" s="1330"/>
      <c r="J44" s="225">
        <f>J210</f>
        <v>0</v>
      </c>
      <c r="K44" s="225">
        <f t="shared" ref="K44:N44" si="24">K210</f>
        <v>337000</v>
      </c>
      <c r="L44" s="225">
        <f t="shared" si="24"/>
        <v>0</v>
      </c>
      <c r="M44" s="225">
        <f t="shared" si="24"/>
        <v>0</v>
      </c>
      <c r="N44" s="225">
        <f t="shared" si="24"/>
        <v>0</v>
      </c>
      <c r="O44" s="225">
        <f t="shared" ref="O44" si="25">O210</f>
        <v>0</v>
      </c>
    </row>
    <row r="45" spans="4:20" ht="12.75" customHeight="1" x14ac:dyDescent="0.25">
      <c r="D45" s="461"/>
      <c r="E45" s="1328"/>
      <c r="F45" s="1677"/>
      <c r="G45" s="166"/>
      <c r="H45" s="166"/>
      <c r="I45" s="1330"/>
      <c r="J45" s="227"/>
      <c r="K45" s="227"/>
      <c r="L45" s="227"/>
      <c r="M45" s="227"/>
      <c r="N45" s="227"/>
      <c r="O45" s="227"/>
      <c r="P45" s="114"/>
    </row>
    <row r="46" spans="4:20" ht="12.75" customHeight="1" x14ac:dyDescent="0.25">
      <c r="D46" s="1849" t="s">
        <v>525</v>
      </c>
      <c r="E46" s="1850"/>
      <c r="F46" s="1908"/>
      <c r="G46" s="1852"/>
      <c r="H46" s="1852"/>
      <c r="I46" s="1853"/>
      <c r="J46" s="1871">
        <v>3120219.58</v>
      </c>
      <c r="K46" s="1871">
        <f>SUM(K25:K45)</f>
        <v>3759810.8171309908</v>
      </c>
      <c r="L46" s="1871">
        <f>SUM(L25:L45)</f>
        <v>3514527.3246275405</v>
      </c>
      <c r="M46" s="1871">
        <f>SUM(M25:M45)</f>
        <v>3617129.2199930972</v>
      </c>
      <c r="N46" s="1871">
        <f>SUM(N25:N45)</f>
        <v>3718653.5879593967</v>
      </c>
      <c r="O46" s="1871">
        <f>SUM(O25:O45)</f>
        <v>3829327.4716578517</v>
      </c>
      <c r="P46" s="153"/>
      <c r="Q46" s="153"/>
      <c r="R46" s="153"/>
      <c r="S46" s="153"/>
      <c r="T46" s="153"/>
    </row>
    <row r="47" spans="4:20" ht="12.75" customHeight="1" x14ac:dyDescent="0.25">
      <c r="D47" s="1168"/>
      <c r="E47" s="1328"/>
      <c r="F47" s="1677"/>
      <c r="G47" s="166"/>
      <c r="H47" s="166"/>
      <c r="I47" s="166"/>
      <c r="J47" s="166"/>
      <c r="K47" s="166"/>
      <c r="L47" s="166"/>
      <c r="M47" s="166"/>
      <c r="N47" s="166"/>
      <c r="O47" s="166"/>
    </row>
    <row r="48" spans="4:20" ht="12.75" customHeight="1" x14ac:dyDescent="0.25">
      <c r="D48" s="1746" t="s">
        <v>526</v>
      </c>
      <c r="E48" s="1747"/>
      <c r="F48" s="1907"/>
      <c r="G48" s="1748"/>
      <c r="H48" s="1748"/>
      <c r="I48" s="1749"/>
      <c r="J48" s="1749">
        <v>2025</v>
      </c>
      <c r="K48" s="1749">
        <v>2026</v>
      </c>
      <c r="L48" s="1749">
        <v>2027</v>
      </c>
      <c r="M48" s="1749">
        <v>2029</v>
      </c>
      <c r="N48" s="1749">
        <v>2030</v>
      </c>
      <c r="O48" s="1749">
        <v>2030</v>
      </c>
    </row>
    <row r="49" spans="4:20" ht="12.75" customHeight="1" x14ac:dyDescent="0.25">
      <c r="D49" s="1859" t="str">
        <f>G226</f>
        <v>Onderhoud plantsoenen</v>
      </c>
      <c r="E49" s="1678"/>
      <c r="F49" s="1679"/>
      <c r="G49" s="1336"/>
      <c r="H49" s="1336"/>
      <c r="I49" s="1330"/>
      <c r="J49" s="1161">
        <v>-30030</v>
      </c>
      <c r="K49" s="1161">
        <f>K229</f>
        <v>-30811</v>
      </c>
      <c r="L49" s="1161">
        <f>L229</f>
        <v>-31459</v>
      </c>
      <c r="M49" s="1161">
        <f>M229</f>
        <v>-32182</v>
      </c>
      <c r="N49" s="1161">
        <f>N229</f>
        <v>-32921</v>
      </c>
      <c r="O49" s="1161">
        <f>O229</f>
        <v>-33679</v>
      </c>
      <c r="P49" s="153"/>
      <c r="Q49" s="153"/>
      <c r="R49" s="153"/>
      <c r="S49" s="153"/>
      <c r="T49" s="153"/>
    </row>
    <row r="50" spans="4:20" ht="12.75" customHeight="1" x14ac:dyDescent="0.25">
      <c r="D50" s="461" t="str">
        <f>G231</f>
        <v>Rotondesponsoring</v>
      </c>
      <c r="E50" s="1328"/>
      <c r="F50" s="1677"/>
      <c r="G50" s="166"/>
      <c r="H50" s="166"/>
      <c r="I50" s="1330"/>
      <c r="J50" s="1161">
        <v>-5770</v>
      </c>
      <c r="K50" s="1161">
        <f>K235</f>
        <v>-5920</v>
      </c>
      <c r="L50" s="1161">
        <f>L235</f>
        <v>-6045</v>
      </c>
      <c r="M50" s="1161">
        <f>M235</f>
        <v>-6184</v>
      </c>
      <c r="N50" s="1161">
        <f>N235</f>
        <v>-6327</v>
      </c>
      <c r="O50" s="1161">
        <f>O235</f>
        <v>-6473</v>
      </c>
      <c r="P50" s="153"/>
      <c r="Q50" s="153"/>
      <c r="R50" s="153"/>
      <c r="S50" s="153"/>
      <c r="T50" s="153"/>
    </row>
    <row r="51" spans="4:20" ht="12.75" customHeight="1" x14ac:dyDescent="0.25">
      <c r="D51" s="461" t="str">
        <f>G237</f>
        <v>Houtverkopingen</v>
      </c>
      <c r="E51" s="1328"/>
      <c r="F51" s="1677"/>
      <c r="G51" s="166"/>
      <c r="H51" s="166"/>
      <c r="I51" s="1330"/>
      <c r="J51" s="1161">
        <v>-41703</v>
      </c>
      <c r="K51" s="1161">
        <f>K240</f>
        <v>-42449</v>
      </c>
      <c r="L51" s="1161">
        <f>L240</f>
        <v>-43067</v>
      </c>
      <c r="M51" s="1161">
        <f>M240</f>
        <v>-43759</v>
      </c>
      <c r="N51" s="1161">
        <f>N240</f>
        <v>-44466</v>
      </c>
      <c r="O51" s="1161">
        <f>O240</f>
        <v>-45190</v>
      </c>
      <c r="P51" s="153"/>
      <c r="Q51" s="153"/>
      <c r="R51" s="153"/>
      <c r="S51" s="153"/>
      <c r="T51" s="153"/>
    </row>
    <row r="52" spans="4:20" ht="12.75" customHeight="1" x14ac:dyDescent="0.25">
      <c r="D52" s="461" t="str">
        <f>G242</f>
        <v>Pacht van de jacht en visserij</v>
      </c>
      <c r="E52" s="1328"/>
      <c r="F52" s="1677"/>
      <c r="G52" s="166"/>
      <c r="H52" s="166"/>
      <c r="I52" s="1330"/>
      <c r="J52" s="1161">
        <v>-4285</v>
      </c>
      <c r="K52" s="1161">
        <f>K245</f>
        <v>-1000</v>
      </c>
      <c r="L52" s="1161">
        <f>L245</f>
        <v>-1</v>
      </c>
      <c r="M52" s="1161">
        <f>M245</f>
        <v>-1</v>
      </c>
      <c r="N52" s="1161">
        <f>N245</f>
        <v>-1</v>
      </c>
      <c r="O52" s="1161">
        <f>O245</f>
        <v>-1</v>
      </c>
      <c r="P52" s="153"/>
      <c r="Q52" s="153"/>
      <c r="R52" s="153"/>
      <c r="S52" s="153"/>
      <c r="T52" s="153"/>
    </row>
    <row r="53" spans="4:20" ht="12.75" customHeight="1" x14ac:dyDescent="0.25">
      <c r="D53" s="461" t="str">
        <f>G247</f>
        <v>Bijdrage van het rijk in recreatieve bossen</v>
      </c>
      <c r="E53" s="1328"/>
      <c r="F53" s="1677"/>
      <c r="G53" s="166"/>
      <c r="H53" s="166"/>
      <c r="I53" s="1330"/>
      <c r="J53" s="1161">
        <v>-5716</v>
      </c>
      <c r="K53" s="1161">
        <f>K250</f>
        <v>-5715</v>
      </c>
      <c r="L53" s="1161">
        <f>L250</f>
        <v>-5715</v>
      </c>
      <c r="M53" s="1161">
        <f>M250</f>
        <v>-5714</v>
      </c>
      <c r="N53" s="1161">
        <f>N250</f>
        <v>-5714</v>
      </c>
      <c r="O53" s="1161">
        <f>O250</f>
        <v>-5714</v>
      </c>
      <c r="P53" s="153"/>
      <c r="Q53" s="153"/>
      <c r="R53" s="153"/>
      <c r="S53" s="153"/>
      <c r="T53" s="153"/>
    </row>
    <row r="54" spans="4:20" ht="12.75" customHeight="1" x14ac:dyDescent="0.25">
      <c r="D54" s="461" t="s">
        <v>3883</v>
      </c>
      <c r="E54" s="1328"/>
      <c r="F54" s="1677"/>
      <c r="G54" s="166"/>
      <c r="H54" s="166"/>
      <c r="I54" s="1330"/>
      <c r="J54" s="1161">
        <v>-58908</v>
      </c>
      <c r="K54" s="1161">
        <f t="shared" ref="K54:M54" si="26">+K255</f>
        <v>-104010</v>
      </c>
      <c r="L54" s="1161">
        <f t="shared" si="26"/>
        <v>-135541</v>
      </c>
      <c r="M54" s="1161">
        <f t="shared" si="26"/>
        <v>-102383</v>
      </c>
      <c r="N54" s="1161">
        <f t="shared" ref="N54:O54" si="27">+N255</f>
        <v>-37590</v>
      </c>
      <c r="O54" s="1161">
        <f t="shared" si="27"/>
        <v>-37590</v>
      </c>
      <c r="P54" s="153"/>
      <c r="Q54" s="153"/>
      <c r="R54" s="153"/>
      <c r="S54" s="153"/>
      <c r="T54" s="153"/>
    </row>
    <row r="55" spans="4:20" ht="12.75" customHeight="1" x14ac:dyDescent="0.25">
      <c r="D55" s="461"/>
      <c r="E55" s="1328"/>
      <c r="F55" s="1677"/>
      <c r="G55" s="166"/>
      <c r="H55" s="166"/>
      <c r="I55" s="1330"/>
      <c r="J55" s="1161"/>
      <c r="K55" s="1161"/>
      <c r="L55" s="1161"/>
      <c r="M55" s="1161"/>
      <c r="N55" s="1161"/>
      <c r="O55" s="1161"/>
      <c r="P55" s="153"/>
      <c r="Q55" s="153"/>
      <c r="R55" s="153"/>
      <c r="S55" s="153"/>
      <c r="T55" s="153"/>
    </row>
    <row r="56" spans="4:20" ht="12.75" customHeight="1" x14ac:dyDescent="0.25">
      <c r="D56" s="461"/>
      <c r="E56" s="1328"/>
      <c r="F56" s="1677"/>
      <c r="G56" s="166"/>
      <c r="H56" s="166"/>
      <c r="I56" s="1330"/>
      <c r="J56" s="1160"/>
      <c r="K56" s="1160"/>
      <c r="L56" s="1160"/>
      <c r="M56" s="1160"/>
      <c r="N56" s="1160"/>
      <c r="O56" s="1160"/>
      <c r="P56" s="153"/>
      <c r="Q56" s="153"/>
      <c r="R56" s="153"/>
      <c r="S56" s="153"/>
      <c r="T56" s="153"/>
    </row>
    <row r="57" spans="4:20" ht="12.75" customHeight="1" x14ac:dyDescent="0.25">
      <c r="D57" s="461"/>
      <c r="E57" s="1328"/>
      <c r="F57" s="1677"/>
      <c r="G57" s="166"/>
      <c r="H57" s="166"/>
      <c r="I57" s="1330"/>
      <c r="J57" s="1160"/>
      <c r="K57" s="1160"/>
      <c r="L57" s="1160"/>
      <c r="M57" s="1160"/>
      <c r="N57" s="1160"/>
      <c r="O57" s="1160"/>
      <c r="P57" s="153"/>
      <c r="Q57" s="153"/>
      <c r="R57" s="153"/>
      <c r="S57" s="153"/>
      <c r="T57" s="153"/>
    </row>
    <row r="58" spans="4:20" ht="12.75" customHeight="1" x14ac:dyDescent="0.25">
      <c r="D58" s="461"/>
      <c r="E58" s="1328"/>
      <c r="F58" s="1677"/>
      <c r="G58" s="166"/>
      <c r="H58" s="166"/>
      <c r="I58" s="1330"/>
      <c r="J58" s="1160"/>
      <c r="K58" s="1160"/>
      <c r="L58" s="1160"/>
      <c r="M58" s="1160"/>
      <c r="N58" s="1160"/>
      <c r="O58" s="1160"/>
      <c r="P58" s="153"/>
      <c r="Q58" s="153"/>
      <c r="R58" s="153"/>
      <c r="S58" s="153"/>
      <c r="T58" s="153"/>
    </row>
    <row r="59" spans="4:20" ht="12.75" customHeight="1" x14ac:dyDescent="0.25">
      <c r="D59" s="461"/>
      <c r="E59" s="1328"/>
      <c r="F59" s="1677"/>
      <c r="G59" s="166"/>
      <c r="H59" s="166"/>
      <c r="I59" s="1330"/>
      <c r="J59" s="1160"/>
      <c r="K59" s="1160"/>
      <c r="L59" s="1160"/>
      <c r="M59" s="1160"/>
      <c r="N59" s="1160"/>
      <c r="O59" s="1160"/>
      <c r="P59" s="153"/>
      <c r="Q59" s="153"/>
      <c r="R59" s="153"/>
      <c r="S59" s="153"/>
      <c r="T59" s="153"/>
    </row>
    <row r="60" spans="4:20" ht="12.75" customHeight="1" x14ac:dyDescent="0.25">
      <c r="D60" s="461"/>
      <c r="E60" s="1328"/>
      <c r="F60" s="1677"/>
      <c r="G60" s="166"/>
      <c r="H60" s="166"/>
      <c r="I60" s="1330"/>
      <c r="J60" s="1160"/>
      <c r="K60" s="1160"/>
      <c r="L60" s="1160"/>
      <c r="M60" s="1160"/>
      <c r="N60" s="1160"/>
      <c r="O60" s="1160"/>
      <c r="P60" s="153"/>
      <c r="Q60" s="153"/>
      <c r="R60" s="153"/>
      <c r="S60" s="153"/>
      <c r="T60" s="153"/>
    </row>
    <row r="61" spans="4:20" ht="12.75" customHeight="1" x14ac:dyDescent="0.25">
      <c r="D61" s="461"/>
      <c r="E61" s="1328"/>
      <c r="F61" s="1677"/>
      <c r="G61" s="166"/>
      <c r="H61" s="166"/>
      <c r="I61" s="1330"/>
      <c r="J61" s="1160"/>
      <c r="K61" s="1160"/>
      <c r="L61" s="1160"/>
      <c r="M61" s="1160"/>
      <c r="N61" s="1160"/>
      <c r="O61" s="1160"/>
      <c r="P61" s="153"/>
      <c r="Q61" s="153"/>
      <c r="R61" s="153"/>
      <c r="S61" s="153"/>
      <c r="T61" s="153"/>
    </row>
    <row r="62" spans="4:20" ht="12.75" customHeight="1" x14ac:dyDescent="0.25">
      <c r="D62" s="461"/>
      <c r="E62" s="1328"/>
      <c r="F62" s="1677"/>
      <c r="G62" s="166"/>
      <c r="H62" s="166"/>
      <c r="I62" s="1330"/>
      <c r="J62" s="1160"/>
      <c r="K62" s="1160"/>
      <c r="L62" s="1160"/>
      <c r="M62" s="1160"/>
      <c r="N62" s="1160"/>
      <c r="O62" s="1160"/>
      <c r="P62" s="153"/>
      <c r="Q62" s="153"/>
      <c r="R62" s="153"/>
      <c r="S62" s="153"/>
      <c r="T62" s="153"/>
    </row>
    <row r="63" spans="4:20" ht="12.75" customHeight="1" x14ac:dyDescent="0.25">
      <c r="D63" s="461"/>
      <c r="E63" s="1328"/>
      <c r="F63" s="1677"/>
      <c r="G63" s="166"/>
      <c r="H63" s="166"/>
      <c r="I63" s="1330"/>
      <c r="J63" s="1160"/>
      <c r="K63" s="1160"/>
      <c r="L63" s="1160"/>
      <c r="M63" s="1160"/>
      <c r="N63" s="1160"/>
      <c r="O63" s="1160"/>
      <c r="P63" s="153"/>
      <c r="Q63" s="153"/>
      <c r="R63" s="153"/>
      <c r="S63" s="153"/>
      <c r="T63" s="153"/>
    </row>
    <row r="64" spans="4:20" ht="12.75" customHeight="1" x14ac:dyDescent="0.25">
      <c r="D64" s="461"/>
      <c r="E64" s="1328"/>
      <c r="F64" s="1677"/>
      <c r="G64" s="166"/>
      <c r="H64" s="166"/>
      <c r="I64" s="1330"/>
      <c r="J64" s="1160"/>
      <c r="K64" s="1160"/>
      <c r="L64" s="1160"/>
      <c r="M64" s="1160"/>
      <c r="N64" s="1160"/>
      <c r="O64" s="1160"/>
      <c r="P64" s="153"/>
      <c r="Q64" s="153"/>
      <c r="R64" s="153"/>
      <c r="S64" s="153"/>
      <c r="T64" s="153"/>
    </row>
    <row r="65" spans="1:23" ht="12.75" customHeight="1" x14ac:dyDescent="0.25">
      <c r="D65" s="1331"/>
      <c r="E65" s="1332"/>
      <c r="F65" s="1680"/>
      <c r="G65" s="1334"/>
      <c r="H65" s="1334"/>
      <c r="I65" s="1330"/>
      <c r="J65" s="1160"/>
      <c r="K65" s="1160"/>
      <c r="L65" s="1160"/>
      <c r="M65" s="1160"/>
      <c r="N65" s="1160"/>
      <c r="O65" s="1160"/>
      <c r="P65" s="153"/>
      <c r="Q65" s="153"/>
      <c r="R65" s="153"/>
      <c r="S65" s="153"/>
      <c r="T65" s="153"/>
    </row>
    <row r="66" spans="1:23" ht="12.75" customHeight="1" x14ac:dyDescent="0.25">
      <c r="D66" s="1849" t="s">
        <v>328</v>
      </c>
      <c r="E66" s="1850"/>
      <c r="F66" s="1908"/>
      <c r="G66" s="1852"/>
      <c r="H66" s="1852"/>
      <c r="I66" s="1853"/>
      <c r="J66" s="1871">
        <v>-146412</v>
      </c>
      <c r="K66" s="1871">
        <f>SUM(K49:K65)</f>
        <v>-189905</v>
      </c>
      <c r="L66" s="1871">
        <f>SUM(L49:L65)</f>
        <v>-221828</v>
      </c>
      <c r="M66" s="1871">
        <f>SUM(M49:M65)</f>
        <v>-190223</v>
      </c>
      <c r="N66" s="1871">
        <f>SUM(N49:N65)</f>
        <v>-127019</v>
      </c>
      <c r="O66" s="1871">
        <f>SUM(O49:O65)</f>
        <v>-128647</v>
      </c>
      <c r="P66" s="153"/>
      <c r="Q66" s="153"/>
      <c r="R66" s="153"/>
      <c r="S66" s="153"/>
      <c r="T66" s="153"/>
    </row>
    <row r="67" spans="1:23" ht="12.75" customHeight="1" x14ac:dyDescent="0.25">
      <c r="D67" s="1168"/>
      <c r="E67" s="1328"/>
      <c r="F67" s="1677"/>
      <c r="G67" s="166"/>
      <c r="H67" s="166"/>
      <c r="I67" s="166"/>
      <c r="J67" s="782"/>
      <c r="K67" s="782"/>
      <c r="L67" s="782"/>
      <c r="M67" s="782"/>
      <c r="N67" s="782"/>
      <c r="O67" s="782"/>
    </row>
    <row r="68" spans="1:23" ht="12.75" customHeight="1" x14ac:dyDescent="0.25">
      <c r="D68" s="1849" t="s">
        <v>527</v>
      </c>
      <c r="E68" s="1855"/>
      <c r="F68" s="1908"/>
      <c r="G68" s="1852"/>
      <c r="H68" s="1852"/>
      <c r="I68" s="1852"/>
      <c r="J68" s="1856">
        <v>2973807.58</v>
      </c>
      <c r="K68" s="1856">
        <f t="shared" ref="K68:M68" si="28">K46+K66</f>
        <v>3569905.8171309908</v>
      </c>
      <c r="L68" s="1856">
        <f t="shared" si="28"/>
        <v>3292699.3246275405</v>
      </c>
      <c r="M68" s="1856">
        <f t="shared" si="28"/>
        <v>3426906.2199930972</v>
      </c>
      <c r="N68" s="1856">
        <f t="shared" ref="N68:O68" si="29">N46+N66</f>
        <v>3591634.5879593967</v>
      </c>
      <c r="O68" s="1856">
        <f t="shared" si="29"/>
        <v>3700680.4716578517</v>
      </c>
    </row>
    <row r="69" spans="1:23" ht="12.75" customHeight="1" x14ac:dyDescent="0.25">
      <c r="D69" s="1168"/>
      <c r="E69" s="1328"/>
      <c r="F69" s="1677"/>
      <c r="G69" s="166"/>
      <c r="H69" s="166"/>
      <c r="I69" s="166"/>
      <c r="J69" s="782"/>
      <c r="K69" s="782"/>
      <c r="L69" s="782"/>
      <c r="M69" s="782"/>
      <c r="N69" s="782"/>
      <c r="O69" s="782"/>
    </row>
    <row r="70" spans="1:23" ht="12.75" customHeight="1" x14ac:dyDescent="0.25">
      <c r="D70" s="1168"/>
      <c r="E70" s="1328"/>
      <c r="F70" s="1677"/>
      <c r="G70" s="166"/>
      <c r="H70" s="166"/>
      <c r="I70" s="166"/>
      <c r="J70" s="782"/>
      <c r="K70" s="782"/>
      <c r="L70" s="782"/>
      <c r="M70" s="782"/>
      <c r="N70" s="782"/>
      <c r="O70" s="782"/>
    </row>
    <row r="71" spans="1:23" ht="12.75" customHeight="1" x14ac:dyDescent="0.25">
      <c r="D71" s="166"/>
      <c r="E71" s="166"/>
      <c r="F71" s="1677"/>
      <c r="G71" s="166"/>
      <c r="H71" s="166"/>
      <c r="I71" s="166"/>
      <c r="J71" s="782"/>
      <c r="K71" s="782"/>
      <c r="L71" s="782"/>
      <c r="M71" s="782"/>
      <c r="N71" s="782"/>
      <c r="O71" s="782"/>
    </row>
    <row r="72" spans="1:23" ht="12.75" customHeight="1" x14ac:dyDescent="0.25">
      <c r="D72" s="1168"/>
      <c r="E72" s="1168"/>
      <c r="F72" s="1677"/>
      <c r="G72" s="166"/>
      <c r="H72" s="166"/>
      <c r="I72" s="166"/>
      <c r="J72" s="782"/>
      <c r="K72" s="782"/>
      <c r="L72" s="782"/>
      <c r="M72" s="782"/>
      <c r="N72" s="782"/>
      <c r="O72" s="782"/>
    </row>
    <row r="73" spans="1:23" ht="12.75" customHeight="1" x14ac:dyDescent="0.25">
      <c r="A73" s="115"/>
      <c r="D73" s="312" t="s">
        <v>528</v>
      </c>
      <c r="E73" s="312"/>
      <c r="F73" s="382"/>
      <c r="I73" s="115"/>
      <c r="J73" s="115"/>
      <c r="K73" s="115"/>
      <c r="L73" s="115"/>
      <c r="M73" s="115"/>
      <c r="N73" s="115"/>
      <c r="O73" s="115"/>
    </row>
    <row r="74" spans="1:23" ht="12.75" customHeight="1" x14ac:dyDescent="0.25">
      <c r="A74" s="115"/>
      <c r="E74" s="301"/>
      <c r="I74" s="115"/>
      <c r="J74" s="115"/>
      <c r="K74" s="115"/>
      <c r="L74" s="115"/>
      <c r="M74" s="115"/>
      <c r="N74" s="115"/>
      <c r="O74" s="115"/>
    </row>
    <row r="75" spans="1:23" ht="12.75" customHeight="1" x14ac:dyDescent="0.25">
      <c r="A75" s="1157"/>
      <c r="B75" s="166"/>
      <c r="C75" s="166"/>
      <c r="D75" s="2557" t="s">
        <v>529</v>
      </c>
      <c r="E75" s="1862" t="s">
        <v>530</v>
      </c>
      <c r="F75" s="2557" t="s">
        <v>531</v>
      </c>
      <c r="G75" s="2561" t="s">
        <v>206</v>
      </c>
      <c r="H75" s="2561"/>
      <c r="I75" s="1863"/>
      <c r="J75" s="1858"/>
      <c r="K75" s="1858"/>
      <c r="L75" s="1858"/>
      <c r="M75" s="1858"/>
      <c r="N75" s="1858"/>
      <c r="O75" s="1858"/>
      <c r="P75" s="166"/>
      <c r="Q75" s="166"/>
      <c r="R75" s="166"/>
      <c r="S75" s="166"/>
      <c r="T75" s="166"/>
      <c r="U75" s="166"/>
      <c r="V75" s="166"/>
      <c r="W75" s="166"/>
    </row>
    <row r="76" spans="1:23" ht="12.75" customHeight="1" x14ac:dyDescent="0.25">
      <c r="A76" s="1157"/>
      <c r="B76" s="166"/>
      <c r="C76" s="166"/>
      <c r="D76" s="2557"/>
      <c r="E76" s="1342" t="s">
        <v>532</v>
      </c>
      <c r="F76" s="2557"/>
      <c r="G76" s="2561"/>
      <c r="H76" s="2561"/>
      <c r="I76" s="1343"/>
      <c r="J76" s="1864">
        <v>2025</v>
      </c>
      <c r="K76" s="1864">
        <v>2026</v>
      </c>
      <c r="L76" s="1864">
        <v>2027</v>
      </c>
      <c r="M76" s="1864">
        <v>2028</v>
      </c>
      <c r="N76" s="1864">
        <v>2029</v>
      </c>
      <c r="O76" s="1864">
        <v>2030</v>
      </c>
      <c r="P76" s="166"/>
      <c r="Q76" s="166"/>
      <c r="R76" s="1681"/>
      <c r="S76" s="166"/>
      <c r="T76" s="166"/>
      <c r="U76" s="166"/>
      <c r="V76" s="166"/>
      <c r="W76" s="166"/>
    </row>
    <row r="77" spans="1:23" ht="12.75" customHeight="1" x14ac:dyDescent="0.25">
      <c r="A77" s="336"/>
      <c r="D77" s="340"/>
      <c r="E77" s="340"/>
      <c r="F77" s="340"/>
      <c r="G77" s="319"/>
      <c r="I77" s="225"/>
      <c r="J77" s="226"/>
      <c r="K77" s="226"/>
      <c r="L77" s="226"/>
      <c r="M77" s="226"/>
      <c r="N77" s="226"/>
      <c r="O77" s="226"/>
    </row>
    <row r="78" spans="1:23" ht="12.75" customHeight="1" x14ac:dyDescent="0.25">
      <c r="A78" s="336"/>
      <c r="D78" s="333">
        <v>635001</v>
      </c>
      <c r="E78" s="331"/>
      <c r="F78" s="331"/>
      <c r="G78" s="332" t="s">
        <v>3885</v>
      </c>
      <c r="I78" s="318"/>
      <c r="J78" s="317"/>
      <c r="K78" s="317"/>
      <c r="L78" s="317"/>
      <c r="M78" s="317"/>
      <c r="N78" s="317"/>
      <c r="O78" s="317"/>
    </row>
    <row r="79" spans="1:23" ht="12.75" customHeight="1" x14ac:dyDescent="0.25">
      <c r="A79" s="336"/>
      <c r="D79" s="340"/>
      <c r="E79" s="340"/>
      <c r="F79" s="340"/>
      <c r="G79" s="334" t="s">
        <v>533</v>
      </c>
      <c r="I79" s="318"/>
      <c r="J79" s="317"/>
      <c r="K79" s="317"/>
      <c r="L79" s="317"/>
      <c r="M79" s="317"/>
      <c r="N79" s="317"/>
      <c r="O79" s="317"/>
    </row>
    <row r="80" spans="1:23" ht="12.75" customHeight="1" x14ac:dyDescent="0.25">
      <c r="A80" s="336">
        <f>+D78</f>
        <v>635001</v>
      </c>
      <c r="B80" s="115" t="str">
        <f>G78</f>
        <v xml:space="preserve">Klokken, uurwerken, speelwerken </v>
      </c>
      <c r="D80" s="337">
        <v>43806</v>
      </c>
      <c r="E80" s="337"/>
      <c r="F80" s="337"/>
      <c r="G80" s="319" t="s">
        <v>3106</v>
      </c>
      <c r="I80" s="318"/>
      <c r="J80" s="226">
        <v>16</v>
      </c>
      <c r="K80" s="226">
        <f>ROUND(J80*S$2,0)</f>
        <v>16</v>
      </c>
      <c r="L80" s="226">
        <f>ROUND(K80*T$2,0)</f>
        <v>16</v>
      </c>
      <c r="M80" s="226">
        <f>ROUND(L80*U$2,0)</f>
        <v>16</v>
      </c>
      <c r="N80" s="226">
        <f>ROUND(M80*V$2,0)</f>
        <v>16</v>
      </c>
      <c r="O80" s="226">
        <f>ROUND(N80*W$2,0)</f>
        <v>16</v>
      </c>
    </row>
    <row r="81" spans="1:24" ht="12.75" customHeight="1" x14ac:dyDescent="0.25">
      <c r="A81" s="336">
        <f>+D78</f>
        <v>635001</v>
      </c>
      <c r="B81" s="115" t="str">
        <f>G78</f>
        <v xml:space="preserve">Klokken, uurwerken, speelwerken </v>
      </c>
      <c r="D81" s="337">
        <v>43812</v>
      </c>
      <c r="E81" s="337"/>
      <c r="F81" s="337"/>
      <c r="G81" s="319" t="s">
        <v>535</v>
      </c>
      <c r="I81" s="318"/>
      <c r="J81" s="318">
        <v>1705</v>
      </c>
      <c r="K81" s="318">
        <f>K269</f>
        <v>1749</v>
      </c>
      <c r="L81" s="318">
        <f>L269</f>
        <v>1786</v>
      </c>
      <c r="M81" s="318">
        <f>M269</f>
        <v>1827</v>
      </c>
      <c r="N81" s="318">
        <f>N269</f>
        <v>1869</v>
      </c>
      <c r="O81" s="318">
        <f>O269</f>
        <v>1912</v>
      </c>
    </row>
    <row r="82" spans="1:24" ht="12.75" customHeight="1" thickBot="1" x14ac:dyDescent="0.3">
      <c r="A82" s="336"/>
      <c r="D82" s="340"/>
      <c r="E82" s="340"/>
      <c r="F82" s="340"/>
      <c r="G82" s="319" t="s">
        <v>536</v>
      </c>
      <c r="I82" s="318"/>
      <c r="J82" s="342">
        <v>1721</v>
      </c>
      <c r="K82" s="342">
        <f>SUM(K79:K81)</f>
        <v>1765</v>
      </c>
      <c r="L82" s="342">
        <f>SUM(L79:L81)</f>
        <v>1802</v>
      </c>
      <c r="M82" s="342">
        <f>SUM(M79:M81)</f>
        <v>1843</v>
      </c>
      <c r="N82" s="342">
        <f>SUM(N79:N81)</f>
        <v>1885</v>
      </c>
      <c r="O82" s="342">
        <f>SUM(O79:O81)</f>
        <v>1928</v>
      </c>
    </row>
    <row r="83" spans="1:24" ht="12.75" customHeight="1" thickTop="1" x14ac:dyDescent="0.25">
      <c r="A83" s="336"/>
      <c r="D83" s="340"/>
      <c r="E83" s="340"/>
      <c r="F83" s="340"/>
      <c r="G83" s="319"/>
      <c r="I83" s="318"/>
      <c r="J83" s="317"/>
      <c r="K83" s="317"/>
      <c r="L83" s="317"/>
      <c r="M83" s="317"/>
      <c r="N83" s="317"/>
      <c r="O83" s="317"/>
    </row>
    <row r="84" spans="1:24" ht="12.75" customHeight="1" x14ac:dyDescent="0.25">
      <c r="A84" s="1157"/>
      <c r="B84" s="166"/>
      <c r="C84" s="166"/>
      <c r="D84" s="1682"/>
      <c r="E84" s="1683"/>
      <c r="F84" s="1682"/>
      <c r="G84" s="1684"/>
      <c r="H84" s="1685"/>
      <c r="I84" s="1686"/>
      <c r="J84" s="1659"/>
      <c r="K84" s="1659"/>
      <c r="L84" s="1659"/>
      <c r="M84" s="1659"/>
      <c r="N84" s="1659"/>
      <c r="O84" s="1659"/>
      <c r="P84" s="166"/>
      <c r="Q84" s="166"/>
      <c r="R84" s="166"/>
      <c r="S84" s="166"/>
      <c r="T84" s="166"/>
      <c r="U84" s="166"/>
      <c r="V84" s="166"/>
      <c r="W84" s="166"/>
    </row>
    <row r="85" spans="1:24" ht="12.75" customHeight="1" x14ac:dyDescent="0.25">
      <c r="A85" s="336"/>
      <c r="D85" s="333">
        <v>635002</v>
      </c>
      <c r="E85" s="331"/>
      <c r="F85" s="331"/>
      <c r="G85" s="332" t="s">
        <v>3886</v>
      </c>
      <c r="I85" s="225"/>
      <c r="J85" s="226"/>
      <c r="K85" s="226"/>
      <c r="L85" s="226"/>
      <c r="M85" s="226"/>
      <c r="N85" s="226"/>
      <c r="O85" s="226"/>
    </row>
    <row r="86" spans="1:24" ht="12.75" customHeight="1" x14ac:dyDescent="0.25">
      <c r="A86" s="336"/>
      <c r="D86" s="333"/>
      <c r="E86" s="331"/>
      <c r="F86" s="331"/>
      <c r="G86" s="334" t="s">
        <v>533</v>
      </c>
      <c r="I86" s="225"/>
      <c r="J86" s="226"/>
      <c r="K86" s="226"/>
      <c r="L86" s="226"/>
      <c r="M86" s="226"/>
      <c r="N86" s="226"/>
      <c r="O86" s="226"/>
    </row>
    <row r="87" spans="1:24" ht="12.75" customHeight="1" x14ac:dyDescent="0.25">
      <c r="A87" s="336">
        <f>+D85</f>
        <v>635002</v>
      </c>
      <c r="B87" s="115" t="str">
        <f>G85</f>
        <v>Onderhoud plantsoenen</v>
      </c>
      <c r="D87" s="337">
        <v>42100</v>
      </c>
      <c r="E87" s="337"/>
      <c r="F87" s="337"/>
      <c r="G87" s="319" t="s">
        <v>979</v>
      </c>
      <c r="I87" s="225"/>
      <c r="J87" s="226">
        <v>2583</v>
      </c>
      <c r="K87" s="226">
        <f t="shared" ref="K87:O88" si="30">ROUND(J87*S$2,0)</f>
        <v>2650</v>
      </c>
      <c r="L87" s="226">
        <f t="shared" si="30"/>
        <v>2706</v>
      </c>
      <c r="M87" s="226">
        <f t="shared" si="30"/>
        <v>2768</v>
      </c>
      <c r="N87" s="226">
        <f t="shared" si="30"/>
        <v>2832</v>
      </c>
      <c r="O87" s="226">
        <f t="shared" si="30"/>
        <v>2897</v>
      </c>
    </row>
    <row r="88" spans="1:24" ht="12.75" customHeight="1" x14ac:dyDescent="0.25">
      <c r="A88" s="336">
        <f>+D85</f>
        <v>635002</v>
      </c>
      <c r="B88" s="115" t="str">
        <f>G85</f>
        <v>Onderhoud plantsoenen</v>
      </c>
      <c r="D88" s="337">
        <v>43802</v>
      </c>
      <c r="E88" s="337"/>
      <c r="F88" s="337"/>
      <c r="G88" s="319" t="s">
        <v>991</v>
      </c>
      <c r="I88" s="225"/>
      <c r="J88" s="226">
        <v>921</v>
      </c>
      <c r="K88" s="226">
        <f t="shared" si="30"/>
        <v>945</v>
      </c>
      <c r="L88" s="226">
        <f t="shared" si="30"/>
        <v>965</v>
      </c>
      <c r="M88" s="226">
        <f t="shared" si="30"/>
        <v>987</v>
      </c>
      <c r="N88" s="226">
        <f t="shared" si="30"/>
        <v>1010</v>
      </c>
      <c r="O88" s="226">
        <f t="shared" si="30"/>
        <v>1033</v>
      </c>
    </row>
    <row r="89" spans="1:24" ht="12.75" customHeight="1" x14ac:dyDescent="0.25">
      <c r="A89" s="336">
        <f>+D85</f>
        <v>635002</v>
      </c>
      <c r="B89" s="115" t="str">
        <f>G85</f>
        <v>Onderhoud plantsoenen</v>
      </c>
      <c r="D89" s="337">
        <v>43812</v>
      </c>
      <c r="E89" s="337"/>
      <c r="F89" s="337"/>
      <c r="G89" s="319" t="s">
        <v>565</v>
      </c>
      <c r="I89" s="225"/>
      <c r="J89" s="226">
        <v>84019</v>
      </c>
      <c r="K89" s="226">
        <f>K282</f>
        <v>86204</v>
      </c>
      <c r="L89" s="226">
        <f>L282</f>
        <v>88015</v>
      </c>
      <c r="M89" s="226">
        <f>M282</f>
        <v>90040</v>
      </c>
      <c r="N89" s="226">
        <f>N282</f>
        <v>92111</v>
      </c>
      <c r="O89" s="226">
        <f>O282</f>
        <v>94230</v>
      </c>
    </row>
    <row r="90" spans="1:24" ht="12.75" customHeight="1" x14ac:dyDescent="0.25">
      <c r="A90" s="336">
        <f>+D85</f>
        <v>635002</v>
      </c>
      <c r="B90" s="115" t="str">
        <f>G85</f>
        <v>Onderhoud plantsoenen</v>
      </c>
      <c r="D90" s="337">
        <v>43814</v>
      </c>
      <c r="E90" s="337"/>
      <c r="F90" s="337"/>
      <c r="G90" s="319" t="s">
        <v>535</v>
      </c>
      <c r="I90" s="225"/>
      <c r="J90" s="225">
        <v>1664350</v>
      </c>
      <c r="K90" s="225">
        <f t="shared" ref="K90:M90" si="31">K305</f>
        <v>1760472</v>
      </c>
      <c r="L90" s="225">
        <f t="shared" si="31"/>
        <v>1859371</v>
      </c>
      <c r="M90" s="225">
        <f t="shared" si="31"/>
        <v>1922618</v>
      </c>
      <c r="N90" s="225">
        <f t="shared" ref="N90:O90" si="32">N305</f>
        <v>1988206</v>
      </c>
      <c r="O90" s="225">
        <f t="shared" si="32"/>
        <v>2056219</v>
      </c>
      <c r="Q90" s="383"/>
      <c r="R90" s="383"/>
      <c r="S90" s="383"/>
      <c r="T90" s="383"/>
      <c r="U90" s="383"/>
      <c r="V90" s="383"/>
      <c r="W90" s="383"/>
      <c r="X90" s="383"/>
    </row>
    <row r="91" spans="1:24" ht="12.75" customHeight="1" thickBot="1" x14ac:dyDescent="0.3">
      <c r="A91" s="336"/>
      <c r="D91" s="340"/>
      <c r="E91" s="340"/>
      <c r="F91" s="340"/>
      <c r="G91" s="319" t="s">
        <v>536</v>
      </c>
      <c r="I91" s="225"/>
      <c r="J91" s="234">
        <v>1751873</v>
      </c>
      <c r="K91" s="234">
        <f t="shared" ref="K91:M91" si="33">SUM(K87:K90)</f>
        <v>1850271</v>
      </c>
      <c r="L91" s="234">
        <f t="shared" si="33"/>
        <v>1951057</v>
      </c>
      <c r="M91" s="234">
        <f t="shared" si="33"/>
        <v>2016413</v>
      </c>
      <c r="N91" s="234">
        <f t="shared" ref="N91:O91" si="34">SUM(N87:N90)</f>
        <v>2084159</v>
      </c>
      <c r="O91" s="234">
        <f t="shared" si="34"/>
        <v>2154379</v>
      </c>
      <c r="Q91" s="153"/>
      <c r="R91" s="153"/>
      <c r="S91" s="153"/>
      <c r="T91" s="153"/>
      <c r="U91" s="153"/>
    </row>
    <row r="92" spans="1:24" ht="12.75" customHeight="1" thickTop="1" x14ac:dyDescent="0.25">
      <c r="A92" s="336"/>
      <c r="D92" s="340"/>
      <c r="E92" s="340"/>
      <c r="F92" s="340"/>
      <c r="G92" s="319"/>
      <c r="I92" s="225"/>
      <c r="J92" s="238"/>
      <c r="K92" s="238"/>
      <c r="L92" s="238"/>
      <c r="M92" s="238"/>
      <c r="N92" s="238"/>
      <c r="O92" s="238"/>
    </row>
    <row r="93" spans="1:24" ht="12.75" customHeight="1" x14ac:dyDescent="0.25">
      <c r="A93" s="336"/>
      <c r="D93" s="347">
        <v>635002</v>
      </c>
      <c r="E93" s="331"/>
      <c r="F93" s="476"/>
      <c r="G93" s="332" t="s">
        <v>3887</v>
      </c>
      <c r="H93" s="381"/>
      <c r="I93" s="225"/>
      <c r="J93" s="226"/>
      <c r="K93" s="226"/>
      <c r="L93" s="226"/>
      <c r="M93" s="226"/>
      <c r="N93" s="226"/>
      <c r="O93" s="226"/>
    </row>
    <row r="94" spans="1:24" ht="12.75" customHeight="1" x14ac:dyDescent="0.25">
      <c r="A94" s="336"/>
      <c r="D94" s="340"/>
      <c r="E94" s="340"/>
      <c r="F94" s="340"/>
      <c r="G94" s="334" t="s">
        <v>533</v>
      </c>
      <c r="I94" s="225"/>
      <c r="J94" s="226"/>
      <c r="K94" s="226"/>
      <c r="L94" s="226"/>
      <c r="M94" s="226"/>
      <c r="N94" s="226"/>
      <c r="O94" s="226"/>
    </row>
    <row r="95" spans="1:24" ht="12.75" customHeight="1" x14ac:dyDescent="0.25">
      <c r="A95" s="336">
        <f>+D93</f>
        <v>635002</v>
      </c>
      <c r="B95" s="115" t="str">
        <f>G93</f>
        <v>Natuurbeheer Vleutse Broek</v>
      </c>
      <c r="D95" s="340">
        <v>43812</v>
      </c>
      <c r="E95" s="340"/>
      <c r="F95" s="340"/>
      <c r="G95" s="319" t="s">
        <v>535</v>
      </c>
      <c r="I95" s="225"/>
      <c r="J95" s="226">
        <v>40605</v>
      </c>
      <c r="K95" s="226">
        <f>K311</f>
        <v>41661</v>
      </c>
      <c r="L95" s="226">
        <f>L311</f>
        <v>42536</v>
      </c>
      <c r="M95" s="226">
        <f>M311</f>
        <v>43514</v>
      </c>
      <c r="N95" s="226">
        <f>N311</f>
        <v>44515</v>
      </c>
      <c r="O95" s="226">
        <f>O311</f>
        <v>45539</v>
      </c>
    </row>
    <row r="96" spans="1:24" ht="12.75" customHeight="1" thickBot="1" x14ac:dyDescent="0.3">
      <c r="A96" s="336"/>
      <c r="D96" s="340"/>
      <c r="E96" s="340"/>
      <c r="F96" s="340"/>
      <c r="G96" s="319" t="s">
        <v>536</v>
      </c>
      <c r="I96" s="225"/>
      <c r="J96" s="228">
        <v>40605</v>
      </c>
      <c r="K96" s="228">
        <f t="shared" ref="K96:M96" si="35">SUM(K93:K95)</f>
        <v>41661</v>
      </c>
      <c r="L96" s="228">
        <f t="shared" si="35"/>
        <v>42536</v>
      </c>
      <c r="M96" s="228">
        <f t="shared" si="35"/>
        <v>43514</v>
      </c>
      <c r="N96" s="228">
        <f t="shared" ref="N96:O96" si="36">SUM(N93:N95)</f>
        <v>44515</v>
      </c>
      <c r="O96" s="228">
        <f t="shared" si="36"/>
        <v>45539</v>
      </c>
      <c r="Q96" s="114"/>
    </row>
    <row r="97" spans="1:23" ht="12.75" customHeight="1" thickTop="1" x14ac:dyDescent="0.25">
      <c r="A97" s="336"/>
      <c r="D97" s="340"/>
      <c r="E97" s="340"/>
      <c r="F97" s="340"/>
      <c r="G97" s="319"/>
      <c r="I97" s="225"/>
      <c r="J97" s="226"/>
      <c r="K97" s="226"/>
      <c r="L97" s="226"/>
      <c r="M97" s="226"/>
      <c r="N97" s="226"/>
      <c r="O97" s="226"/>
    </row>
    <row r="98" spans="1:23" ht="12.75" customHeight="1" x14ac:dyDescent="0.25">
      <c r="D98" s="628">
        <v>635002</v>
      </c>
      <c r="E98" s="331"/>
      <c r="F98" s="476"/>
      <c r="G98" s="332" t="s">
        <v>3888</v>
      </c>
      <c r="I98" s="318"/>
      <c r="J98" s="317"/>
      <c r="K98" s="317"/>
      <c r="L98" s="317"/>
      <c r="M98" s="317"/>
      <c r="N98" s="317"/>
      <c r="O98" s="317"/>
    </row>
    <row r="99" spans="1:23" ht="12.75" customHeight="1" x14ac:dyDescent="0.25">
      <c r="D99" s="628"/>
      <c r="E99" s="476"/>
      <c r="F99" s="476"/>
      <c r="G99" s="334" t="s">
        <v>533</v>
      </c>
      <c r="I99" s="318"/>
      <c r="J99" s="317"/>
      <c r="K99" s="317"/>
      <c r="L99" s="317"/>
      <c r="M99" s="317"/>
      <c r="N99" s="317"/>
      <c r="O99" s="317"/>
    </row>
    <row r="100" spans="1:23" ht="12.75" customHeight="1" x14ac:dyDescent="0.25">
      <c r="A100" s="336">
        <f>+D98</f>
        <v>635002</v>
      </c>
      <c r="B100" s="115" t="str">
        <f>G98</f>
        <v>Onderhoud bossen, heide en vennen</v>
      </c>
      <c r="D100" s="551">
        <v>42100</v>
      </c>
      <c r="E100" s="337"/>
      <c r="F100" s="337"/>
      <c r="G100" s="319" t="s">
        <v>979</v>
      </c>
      <c r="I100" s="318"/>
      <c r="J100" s="226">
        <v>2583</v>
      </c>
      <c r="K100" s="226">
        <f t="shared" ref="K100:O101" si="37">ROUND(J100*S$2,0)</f>
        <v>2650</v>
      </c>
      <c r="L100" s="226">
        <f t="shared" si="37"/>
        <v>2706</v>
      </c>
      <c r="M100" s="226">
        <f t="shared" si="37"/>
        <v>2768</v>
      </c>
      <c r="N100" s="226">
        <f t="shared" si="37"/>
        <v>2832</v>
      </c>
      <c r="O100" s="226">
        <f t="shared" si="37"/>
        <v>2897</v>
      </c>
    </row>
    <row r="101" spans="1:23" ht="12.75" customHeight="1" x14ac:dyDescent="0.25">
      <c r="A101" s="336">
        <f>+D98</f>
        <v>635002</v>
      </c>
      <c r="B101" s="115" t="str">
        <f>G98</f>
        <v>Onderhoud bossen, heide en vennen</v>
      </c>
      <c r="D101" s="551">
        <v>43802</v>
      </c>
      <c r="E101" s="337"/>
      <c r="F101" s="337"/>
      <c r="G101" s="319" t="s">
        <v>991</v>
      </c>
      <c r="I101" s="318"/>
      <c r="J101" s="226">
        <v>320</v>
      </c>
      <c r="K101" s="226">
        <f t="shared" si="37"/>
        <v>328</v>
      </c>
      <c r="L101" s="226">
        <f t="shared" si="37"/>
        <v>335</v>
      </c>
      <c r="M101" s="226">
        <f t="shared" si="37"/>
        <v>343</v>
      </c>
      <c r="N101" s="226">
        <f t="shared" si="37"/>
        <v>351</v>
      </c>
      <c r="O101" s="226">
        <f t="shared" si="37"/>
        <v>359</v>
      </c>
    </row>
    <row r="102" spans="1:23" ht="12.75" customHeight="1" x14ac:dyDescent="0.25">
      <c r="A102" s="336">
        <f>+D98</f>
        <v>635002</v>
      </c>
      <c r="B102" s="115" t="str">
        <f>G98</f>
        <v>Onderhoud bossen, heide en vennen</v>
      </c>
      <c r="D102" s="622">
        <v>43812</v>
      </c>
      <c r="E102" s="340"/>
      <c r="F102" s="340"/>
      <c r="G102" s="319" t="s">
        <v>535</v>
      </c>
      <c r="I102" s="318"/>
      <c r="J102" s="318">
        <v>12774</v>
      </c>
      <c r="K102" s="318">
        <f>K370</f>
        <v>13237</v>
      </c>
      <c r="L102" s="318">
        <f>L370</f>
        <v>13620</v>
      </c>
      <c r="M102" s="318">
        <f>M370</f>
        <v>14049</v>
      </c>
      <c r="N102" s="318">
        <f>N370</f>
        <v>14487</v>
      </c>
      <c r="O102" s="318">
        <f>O370</f>
        <v>14936</v>
      </c>
      <c r="P102" s="166"/>
      <c r="Q102" s="166"/>
      <c r="R102" s="166"/>
      <c r="S102" s="166"/>
      <c r="T102" s="166"/>
      <c r="U102" s="166"/>
      <c r="V102" s="166"/>
      <c r="W102" s="166"/>
    </row>
    <row r="103" spans="1:23" ht="12.75" customHeight="1" thickBot="1" x14ac:dyDescent="0.3">
      <c r="D103" s="622"/>
      <c r="E103" s="340"/>
      <c r="F103" s="340"/>
      <c r="G103" s="319" t="s">
        <v>536</v>
      </c>
      <c r="I103" s="318"/>
      <c r="J103" s="480">
        <v>15677</v>
      </c>
      <c r="K103" s="480">
        <f>SUM(K100:K102)</f>
        <v>16215</v>
      </c>
      <c r="L103" s="480">
        <f>SUM(L100:L102)</f>
        <v>16661</v>
      </c>
      <c r="M103" s="480">
        <f>SUM(M100:M102)</f>
        <v>17160</v>
      </c>
      <c r="N103" s="480">
        <f>SUM(N100:N102)</f>
        <v>17670</v>
      </c>
      <c r="O103" s="480">
        <f>SUM(O100:O102)</f>
        <v>18192</v>
      </c>
      <c r="P103" s="166"/>
      <c r="Q103" s="166"/>
      <c r="R103" s="166"/>
      <c r="S103" s="166"/>
      <c r="T103" s="166"/>
      <c r="U103" s="166"/>
      <c r="V103" s="166"/>
      <c r="W103" s="166"/>
    </row>
    <row r="104" spans="1:23" ht="12.75" customHeight="1" thickTop="1" x14ac:dyDescent="0.25">
      <c r="D104" s="622"/>
      <c r="E104" s="340"/>
      <c r="F104" s="340"/>
      <c r="G104" s="319"/>
      <c r="I104" s="318"/>
      <c r="J104" s="317"/>
      <c r="K104" s="317"/>
      <c r="L104" s="317"/>
      <c r="M104" s="317"/>
      <c r="N104" s="317"/>
      <c r="O104" s="317"/>
    </row>
    <row r="105" spans="1:23" ht="12.75" customHeight="1" x14ac:dyDescent="0.25">
      <c r="A105" s="336"/>
      <c r="D105" s="333">
        <v>635003</v>
      </c>
      <c r="E105" s="331"/>
      <c r="F105" s="331"/>
      <c r="G105" s="332" t="s">
        <v>3889</v>
      </c>
      <c r="I105" s="225"/>
      <c r="J105" s="226"/>
      <c r="K105" s="226"/>
      <c r="L105" s="226"/>
      <c r="M105" s="226"/>
      <c r="N105" s="226"/>
      <c r="O105" s="226"/>
    </row>
    <row r="106" spans="1:23" ht="12.75" customHeight="1" x14ac:dyDescent="0.25">
      <c r="A106" s="336"/>
      <c r="D106" s="340"/>
      <c r="E106" s="340"/>
      <c r="F106" s="340"/>
      <c r="G106" s="334" t="s">
        <v>533</v>
      </c>
      <c r="I106" s="225"/>
      <c r="J106" s="226"/>
      <c r="K106" s="226"/>
      <c r="L106" s="226"/>
      <c r="M106" s="226"/>
      <c r="N106" s="226"/>
      <c r="O106" s="226"/>
    </row>
    <row r="107" spans="1:23" ht="12.75" customHeight="1" x14ac:dyDescent="0.25">
      <c r="A107" s="336">
        <f>+D105</f>
        <v>635003</v>
      </c>
      <c r="B107" s="115" t="str">
        <f>G105</f>
        <v>Onderhoud bomen</v>
      </c>
      <c r="D107" s="337">
        <v>43803</v>
      </c>
      <c r="E107" s="337"/>
      <c r="F107" s="337"/>
      <c r="G107" s="319" t="s">
        <v>1831</v>
      </c>
      <c r="I107" s="225"/>
      <c r="J107" s="226">
        <v>680</v>
      </c>
      <c r="K107" s="226">
        <f>ROUND(J107*S$2,0)</f>
        <v>698</v>
      </c>
      <c r="L107" s="226">
        <f>ROUND(K107*T$2,0)</f>
        <v>713</v>
      </c>
      <c r="M107" s="226">
        <f>ROUND(L107*U$2,0)</f>
        <v>729</v>
      </c>
      <c r="N107" s="226">
        <f>ROUND(M107*V$2,0)</f>
        <v>746</v>
      </c>
      <c r="O107" s="226">
        <f>ROUND(N107*W$2,0)</f>
        <v>763</v>
      </c>
    </row>
    <row r="108" spans="1:23" ht="12.75" customHeight="1" x14ac:dyDescent="0.25">
      <c r="A108" s="336">
        <f>+D105</f>
        <v>635003</v>
      </c>
      <c r="B108" s="115" t="str">
        <f>G105</f>
        <v>Onderhoud bomen</v>
      </c>
      <c r="D108" s="337">
        <v>43805</v>
      </c>
      <c r="E108" s="337"/>
      <c r="F108" s="337"/>
      <c r="G108" s="319" t="s">
        <v>1010</v>
      </c>
      <c r="I108" s="225"/>
      <c r="J108" s="226">
        <v>13229</v>
      </c>
      <c r="K108" s="226">
        <f>K316</f>
        <v>13573</v>
      </c>
      <c r="L108" s="226">
        <f>L316</f>
        <v>13858</v>
      </c>
      <c r="M108" s="226">
        <f>M316</f>
        <v>14177</v>
      </c>
      <c r="N108" s="226">
        <f>N316</f>
        <v>14503</v>
      </c>
      <c r="O108" s="226">
        <f>O316</f>
        <v>14837</v>
      </c>
    </row>
    <row r="109" spans="1:23" ht="12.75" customHeight="1" x14ac:dyDescent="0.25">
      <c r="A109" s="336">
        <f>+D105</f>
        <v>635003</v>
      </c>
      <c r="B109" s="115" t="str">
        <f>G105</f>
        <v>Onderhoud bomen</v>
      </c>
      <c r="D109" s="337">
        <v>43812</v>
      </c>
      <c r="E109" s="337"/>
      <c r="F109" s="337"/>
      <c r="G109" s="319" t="s">
        <v>535</v>
      </c>
      <c r="I109" s="225"/>
      <c r="J109" s="226">
        <v>16306</v>
      </c>
      <c r="K109" s="226">
        <f>K327</f>
        <v>16730</v>
      </c>
      <c r="L109" s="226">
        <f>L327</f>
        <v>17082</v>
      </c>
      <c r="M109" s="226">
        <f>M327</f>
        <v>17475</v>
      </c>
      <c r="N109" s="226">
        <f>N327</f>
        <v>17877</v>
      </c>
      <c r="O109" s="226">
        <f>O327</f>
        <v>18288</v>
      </c>
    </row>
    <row r="110" spans="1:23" ht="12.75" customHeight="1" thickBot="1" x14ac:dyDescent="0.3">
      <c r="A110" s="336"/>
      <c r="D110" s="340"/>
      <c r="E110" s="340"/>
      <c r="F110" s="340"/>
      <c r="G110" s="319" t="s">
        <v>536</v>
      </c>
      <c r="I110" s="225"/>
      <c r="J110" s="228">
        <v>30215</v>
      </c>
      <c r="K110" s="228">
        <f t="shared" ref="K110:M110" si="38">SUM(K106:K109)</f>
        <v>31001</v>
      </c>
      <c r="L110" s="228">
        <f t="shared" si="38"/>
        <v>31653</v>
      </c>
      <c r="M110" s="228">
        <f t="shared" si="38"/>
        <v>32381</v>
      </c>
      <c r="N110" s="228">
        <f t="shared" ref="N110:O110" si="39">SUM(N106:N109)</f>
        <v>33126</v>
      </c>
      <c r="O110" s="228">
        <f t="shared" si="39"/>
        <v>33888</v>
      </c>
    </row>
    <row r="111" spans="1:23" ht="12.75" customHeight="1" thickTop="1" x14ac:dyDescent="0.25">
      <c r="A111" s="336"/>
      <c r="D111" s="340"/>
      <c r="E111" s="340"/>
      <c r="F111" s="340"/>
      <c r="G111" s="319"/>
      <c r="I111" s="225"/>
      <c r="J111" s="226"/>
      <c r="K111" s="226"/>
      <c r="L111" s="226"/>
      <c r="M111" s="226"/>
      <c r="N111" s="226"/>
      <c r="O111" s="226"/>
    </row>
    <row r="112" spans="1:23" ht="12.75" customHeight="1" x14ac:dyDescent="0.25">
      <c r="D112" s="333">
        <v>635003</v>
      </c>
      <c r="E112" s="331"/>
      <c r="F112" s="331"/>
      <c r="G112" s="332" t="s">
        <v>3890</v>
      </c>
      <c r="I112" s="318"/>
      <c r="J112" s="317"/>
      <c r="K112" s="317"/>
      <c r="L112" s="317"/>
      <c r="M112" s="317"/>
      <c r="N112" s="317"/>
      <c r="O112" s="317"/>
    </row>
    <row r="113" spans="1:17" ht="12.75" customHeight="1" x14ac:dyDescent="0.25">
      <c r="D113" s="340"/>
      <c r="E113" s="340"/>
      <c r="F113" s="340"/>
      <c r="G113" s="334" t="s">
        <v>533</v>
      </c>
      <c r="I113" s="318"/>
      <c r="J113" s="317"/>
      <c r="K113" s="317"/>
      <c r="L113" s="317"/>
      <c r="M113" s="317"/>
      <c r="N113" s="317"/>
      <c r="O113" s="317"/>
    </row>
    <row r="114" spans="1:17" ht="12.75" customHeight="1" x14ac:dyDescent="0.25">
      <c r="A114" s="336">
        <f>+D112</f>
        <v>635003</v>
      </c>
      <c r="B114" s="115" t="str">
        <f>G112</f>
        <v>Subsidies, contributies en bijdragen bossen</v>
      </c>
      <c r="D114" s="337">
        <v>43812</v>
      </c>
      <c r="E114" s="337"/>
      <c r="F114" s="337"/>
      <c r="G114" s="319" t="s">
        <v>535</v>
      </c>
      <c r="I114" s="318"/>
      <c r="J114" s="318">
        <v>1443</v>
      </c>
      <c r="K114" s="318">
        <f>K359</f>
        <v>1533</v>
      </c>
      <c r="L114" s="318">
        <f>L359</f>
        <v>1608</v>
      </c>
      <c r="M114" s="318">
        <f>M359</f>
        <v>1692</v>
      </c>
      <c r="N114" s="318">
        <f>N359</f>
        <v>1777</v>
      </c>
      <c r="O114" s="318">
        <f>O359</f>
        <v>1864</v>
      </c>
    </row>
    <row r="115" spans="1:17" ht="12.75" customHeight="1" x14ac:dyDescent="0.25">
      <c r="A115" s="336">
        <f>+D112</f>
        <v>635003</v>
      </c>
      <c r="B115" s="115" t="str">
        <f>G112</f>
        <v>Subsidies, contributies en bijdragen bossen</v>
      </c>
      <c r="D115" s="337">
        <v>44380</v>
      </c>
      <c r="E115" s="337"/>
      <c r="F115" s="337"/>
      <c r="G115" s="319" t="s">
        <v>1899</v>
      </c>
      <c r="I115" s="318"/>
      <c r="J115" s="318">
        <v>477</v>
      </c>
      <c r="K115" s="318">
        <f>K362</f>
        <v>489</v>
      </c>
      <c r="L115" s="318">
        <f>L362</f>
        <v>499</v>
      </c>
      <c r="M115" s="318">
        <f>M362</f>
        <v>510</v>
      </c>
      <c r="N115" s="318">
        <f>N362</f>
        <v>522</v>
      </c>
      <c r="O115" s="318">
        <f>O362</f>
        <v>534</v>
      </c>
    </row>
    <row r="116" spans="1:17" ht="12.75" customHeight="1" thickBot="1" x14ac:dyDescent="0.3">
      <c r="D116" s="340"/>
      <c r="E116" s="340"/>
      <c r="F116" s="340"/>
      <c r="G116" s="319" t="s">
        <v>536</v>
      </c>
      <c r="I116" s="318"/>
      <c r="J116" s="342">
        <v>1920</v>
      </c>
      <c r="K116" s="342">
        <f t="shared" ref="K116:M116" si="40">SUM(K113:K115)</f>
        <v>2022</v>
      </c>
      <c r="L116" s="342">
        <f t="shared" si="40"/>
        <v>2107</v>
      </c>
      <c r="M116" s="342">
        <f t="shared" si="40"/>
        <v>2202</v>
      </c>
      <c r="N116" s="342">
        <f t="shared" ref="N116:O116" si="41">SUM(N113:N115)</f>
        <v>2299</v>
      </c>
      <c r="O116" s="342">
        <f t="shared" si="41"/>
        <v>2398</v>
      </c>
      <c r="Q116" s="114"/>
    </row>
    <row r="117" spans="1:17" ht="12.75" customHeight="1" thickTop="1" x14ac:dyDescent="0.25">
      <c r="D117" s="337"/>
      <c r="E117" s="337"/>
      <c r="F117" s="337"/>
      <c r="G117" s="319"/>
      <c r="I117" s="318"/>
      <c r="J117" s="1876"/>
      <c r="K117" s="1876"/>
      <c r="L117" s="1876"/>
      <c r="M117" s="1876"/>
      <c r="N117" s="1876"/>
      <c r="O117" s="1876"/>
      <c r="Q117" s="114"/>
    </row>
    <row r="118" spans="1:17" ht="12.75" customHeight="1" x14ac:dyDescent="0.25">
      <c r="A118" s="336"/>
      <c r="D118" s="333">
        <v>635005</v>
      </c>
      <c r="E118" s="331"/>
      <c r="F118" s="331"/>
      <c r="G118" s="332" t="s">
        <v>3891</v>
      </c>
      <c r="I118" s="316"/>
      <c r="J118" s="1776"/>
      <c r="K118" s="1776"/>
      <c r="L118" s="1776"/>
      <c r="M118" s="1776"/>
      <c r="N118" s="1776"/>
      <c r="O118" s="1776"/>
    </row>
    <row r="119" spans="1:17" ht="12.75" customHeight="1" x14ac:dyDescent="0.25">
      <c r="A119" s="336"/>
      <c r="D119" s="333"/>
      <c r="E119" s="331"/>
      <c r="F119" s="331"/>
      <c r="G119" s="334" t="s">
        <v>533</v>
      </c>
      <c r="I119" s="316"/>
      <c r="J119" s="335"/>
      <c r="K119" s="335"/>
      <c r="L119" s="335"/>
      <c r="M119" s="335"/>
      <c r="N119" s="335"/>
      <c r="O119" s="335"/>
    </row>
    <row r="120" spans="1:17" ht="12.75" customHeight="1" x14ac:dyDescent="0.25">
      <c r="A120" s="336">
        <f>+D118</f>
        <v>635005</v>
      </c>
      <c r="B120" s="115" t="str">
        <f>G118</f>
        <v>Onderhoud hondentoiletten</v>
      </c>
      <c r="D120" s="337">
        <v>43812</v>
      </c>
      <c r="E120" s="337"/>
      <c r="F120" s="337"/>
      <c r="G120" s="319" t="s">
        <v>535</v>
      </c>
      <c r="I120" s="318"/>
      <c r="J120" s="318">
        <v>2000</v>
      </c>
      <c r="K120" s="318">
        <f>K336</f>
        <v>2000</v>
      </c>
      <c r="L120" s="318">
        <f>L336</f>
        <v>2000</v>
      </c>
      <c r="M120" s="318">
        <f>M336</f>
        <v>2000</v>
      </c>
      <c r="N120" s="318">
        <f>N336</f>
        <v>2000</v>
      </c>
      <c r="O120" s="318">
        <f>O336</f>
        <v>2000</v>
      </c>
    </row>
    <row r="121" spans="1:17" ht="12.75" customHeight="1" x14ac:dyDescent="0.25">
      <c r="A121" s="336">
        <f>+D118</f>
        <v>635005</v>
      </c>
      <c r="B121" s="115" t="str">
        <f>G118</f>
        <v>Onderhoud hondentoiletten</v>
      </c>
      <c r="D121" s="337">
        <v>43814</v>
      </c>
      <c r="E121" s="337"/>
      <c r="F121" s="337"/>
      <c r="G121" s="319" t="s">
        <v>3892</v>
      </c>
      <c r="I121" s="318"/>
      <c r="J121" s="318">
        <v>41761</v>
      </c>
      <c r="K121" s="318">
        <f>K348</f>
        <v>42847</v>
      </c>
      <c r="L121" s="318">
        <f>L348</f>
        <v>43747</v>
      </c>
      <c r="M121" s="318">
        <f>M348</f>
        <v>44753</v>
      </c>
      <c r="N121" s="318">
        <f>N348</f>
        <v>45782</v>
      </c>
      <c r="O121" s="318">
        <f>O348</f>
        <v>46835</v>
      </c>
    </row>
    <row r="122" spans="1:17" ht="12.75" customHeight="1" thickBot="1" x14ac:dyDescent="0.3">
      <c r="D122" s="340"/>
      <c r="E122" s="340"/>
      <c r="F122" s="340"/>
      <c r="G122" s="319" t="s">
        <v>536</v>
      </c>
      <c r="I122" s="318"/>
      <c r="J122" s="480">
        <v>43761</v>
      </c>
      <c r="K122" s="480">
        <f>SUM(K120:K121)</f>
        <v>44847</v>
      </c>
      <c r="L122" s="480">
        <f>SUM(L120:L121)</f>
        <v>45747</v>
      </c>
      <c r="M122" s="480">
        <f>SUM(M120:M121)</f>
        <v>46753</v>
      </c>
      <c r="N122" s="480">
        <f>SUM(N120:N121)</f>
        <v>47782</v>
      </c>
      <c r="O122" s="480">
        <f>SUM(O120:O121)</f>
        <v>48835</v>
      </c>
    </row>
    <row r="123" spans="1:17" ht="12.75" customHeight="1" thickTop="1" x14ac:dyDescent="0.25">
      <c r="D123" s="340"/>
      <c r="E123" s="340"/>
      <c r="F123" s="340"/>
      <c r="G123" s="319"/>
      <c r="I123" s="318"/>
      <c r="J123" s="317"/>
      <c r="K123" s="317"/>
      <c r="L123" s="317"/>
      <c r="M123" s="317"/>
      <c r="N123" s="317"/>
      <c r="O123" s="317"/>
    </row>
    <row r="124" spans="1:17" ht="12.75" customHeight="1" x14ac:dyDescent="0.25">
      <c r="D124" s="333">
        <v>635009</v>
      </c>
      <c r="E124" s="331"/>
      <c r="F124" s="331"/>
      <c r="G124" s="332" t="s">
        <v>3893</v>
      </c>
      <c r="I124" s="318"/>
      <c r="J124" s="317"/>
      <c r="K124" s="317"/>
      <c r="L124" s="317"/>
      <c r="M124" s="317"/>
      <c r="N124" s="317"/>
      <c r="O124" s="317"/>
    </row>
    <row r="125" spans="1:17" ht="12.75" customHeight="1" x14ac:dyDescent="0.25">
      <c r="D125" s="340"/>
      <c r="E125" s="340"/>
      <c r="F125" s="340"/>
      <c r="G125" s="334" t="s">
        <v>533</v>
      </c>
      <c r="I125" s="318"/>
      <c r="J125" s="317"/>
      <c r="K125" s="317"/>
      <c r="L125" s="317"/>
      <c r="M125" s="317"/>
      <c r="N125" s="317"/>
      <c r="O125" s="317"/>
    </row>
    <row r="126" spans="1:17" ht="12.75" customHeight="1" x14ac:dyDescent="0.25">
      <c r="A126" s="336">
        <f>+D124</f>
        <v>635009</v>
      </c>
      <c r="B126" s="115" t="str">
        <f>G124</f>
        <v>Onderhoud recreatieve voorzieningen</v>
      </c>
      <c r="D126" s="337">
        <v>43812</v>
      </c>
      <c r="E126" s="337"/>
      <c r="F126" s="337"/>
      <c r="G126" s="319" t="s">
        <v>535</v>
      </c>
      <c r="I126" s="318"/>
      <c r="J126" s="318">
        <v>13738</v>
      </c>
      <c r="K126" s="318">
        <f>K380</f>
        <v>14095</v>
      </c>
      <c r="L126" s="318">
        <f>L380</f>
        <v>14391</v>
      </c>
      <c r="M126" s="318">
        <f>M380</f>
        <v>14722</v>
      </c>
      <c r="N126" s="318">
        <f>N380</f>
        <v>15061</v>
      </c>
      <c r="O126" s="318">
        <f>O380</f>
        <v>15407</v>
      </c>
    </row>
    <row r="127" spans="1:17" ht="12.75" customHeight="1" thickBot="1" x14ac:dyDescent="0.3">
      <c r="A127" s="336"/>
      <c r="D127" s="340"/>
      <c r="E127" s="340"/>
      <c r="F127" s="340"/>
      <c r="G127" s="319" t="s">
        <v>536</v>
      </c>
      <c r="I127" s="318"/>
      <c r="J127" s="342">
        <v>13738</v>
      </c>
      <c r="K127" s="342">
        <f t="shared" ref="K127:M127" si="42">SUM(K125:K126)</f>
        <v>14095</v>
      </c>
      <c r="L127" s="342">
        <f t="shared" si="42"/>
        <v>14391</v>
      </c>
      <c r="M127" s="342">
        <f t="shared" si="42"/>
        <v>14722</v>
      </c>
      <c r="N127" s="342">
        <f t="shared" ref="N127:O127" si="43">SUM(N125:N126)</f>
        <v>15061</v>
      </c>
      <c r="O127" s="342">
        <f t="shared" si="43"/>
        <v>15407</v>
      </c>
    </row>
    <row r="128" spans="1:17" ht="12.75" customHeight="1" thickTop="1" x14ac:dyDescent="0.25">
      <c r="D128" s="340"/>
      <c r="E128" s="340"/>
      <c r="F128" s="340"/>
      <c r="G128" s="319"/>
      <c r="I128" s="318"/>
      <c r="J128" s="318"/>
      <c r="K128" s="318"/>
      <c r="L128" s="318"/>
      <c r="M128" s="318"/>
      <c r="N128" s="318"/>
      <c r="O128" s="318"/>
    </row>
    <row r="129" spans="1:15" ht="12.75" customHeight="1" x14ac:dyDescent="0.25">
      <c r="A129" s="1157"/>
      <c r="B129" s="166"/>
      <c r="C129" s="166"/>
      <c r="D129" s="333">
        <v>635009</v>
      </c>
      <c r="E129" s="331"/>
      <c r="F129" s="331"/>
      <c r="G129" s="332" t="s">
        <v>3894</v>
      </c>
      <c r="I129" s="318"/>
      <c r="J129" s="317"/>
      <c r="K129" s="317"/>
      <c r="L129" s="317"/>
      <c r="M129" s="317"/>
      <c r="N129" s="317"/>
      <c r="O129" s="317"/>
    </row>
    <row r="130" spans="1:15" ht="12.75" customHeight="1" x14ac:dyDescent="0.25">
      <c r="A130" s="1157"/>
      <c r="B130" s="166"/>
      <c r="C130" s="166"/>
      <c r="D130" s="340"/>
      <c r="E130" s="340"/>
      <c r="F130" s="340"/>
      <c r="G130" s="334" t="s">
        <v>533</v>
      </c>
      <c r="I130" s="318"/>
      <c r="J130" s="317"/>
      <c r="K130" s="317"/>
      <c r="L130" s="317"/>
      <c r="M130" s="317"/>
      <c r="N130" s="317"/>
      <c r="O130" s="317"/>
    </row>
    <row r="131" spans="1:15" ht="12.75" customHeight="1" x14ac:dyDescent="0.25">
      <c r="A131" s="336">
        <f>+D129</f>
        <v>635009</v>
      </c>
      <c r="B131" s="115" t="str">
        <f>G129</f>
        <v>Prinses Beatrixlaan 3 (dierenweide)</v>
      </c>
      <c r="D131" s="337">
        <v>42100</v>
      </c>
      <c r="E131" s="337"/>
      <c r="F131" s="337"/>
      <c r="G131" s="319" t="s">
        <v>1577</v>
      </c>
      <c r="I131" s="318"/>
      <c r="J131" s="226">
        <v>297</v>
      </c>
      <c r="K131" s="226">
        <f t="shared" ref="K131:O136" si="44">ROUND(J131*S$2,0)</f>
        <v>305</v>
      </c>
      <c r="L131" s="226">
        <f t="shared" si="44"/>
        <v>311</v>
      </c>
      <c r="M131" s="226">
        <f t="shared" si="44"/>
        <v>318</v>
      </c>
      <c r="N131" s="226">
        <f t="shared" si="44"/>
        <v>325</v>
      </c>
      <c r="O131" s="226">
        <f t="shared" si="44"/>
        <v>332</v>
      </c>
    </row>
    <row r="132" spans="1:15" ht="12.75" customHeight="1" x14ac:dyDescent="0.25">
      <c r="A132" s="336">
        <f>+D129</f>
        <v>635009</v>
      </c>
      <c r="B132" s="115" t="str">
        <f>G129</f>
        <v>Prinses Beatrixlaan 3 (dierenweide)</v>
      </c>
      <c r="D132" s="337">
        <v>42100</v>
      </c>
      <c r="E132" s="337"/>
      <c r="F132" s="337"/>
      <c r="G132" s="319" t="s">
        <v>978</v>
      </c>
      <c r="I132" s="318"/>
      <c r="J132" s="226">
        <v>596</v>
      </c>
      <c r="K132" s="226">
        <f t="shared" si="44"/>
        <v>611</v>
      </c>
      <c r="L132" s="226">
        <f t="shared" si="44"/>
        <v>624</v>
      </c>
      <c r="M132" s="226">
        <f t="shared" si="44"/>
        <v>638</v>
      </c>
      <c r="N132" s="226">
        <f t="shared" si="44"/>
        <v>653</v>
      </c>
      <c r="O132" s="226">
        <f t="shared" si="44"/>
        <v>668</v>
      </c>
    </row>
    <row r="133" spans="1:15" ht="12.75" customHeight="1" x14ac:dyDescent="0.25">
      <c r="A133" s="336">
        <v>635009</v>
      </c>
      <c r="B133" s="115" t="str">
        <f>G129</f>
        <v>Prinses Beatrixlaan 3 (dierenweide)</v>
      </c>
      <c r="D133" s="337">
        <v>42100</v>
      </c>
      <c r="E133" s="337"/>
      <c r="F133" s="337"/>
      <c r="G133" s="319" t="s">
        <v>1578</v>
      </c>
      <c r="I133" s="318"/>
      <c r="J133" s="226">
        <v>367</v>
      </c>
      <c r="K133" s="226">
        <f t="shared" si="44"/>
        <v>377</v>
      </c>
      <c r="L133" s="226">
        <f t="shared" si="44"/>
        <v>385</v>
      </c>
      <c r="M133" s="226">
        <f t="shared" si="44"/>
        <v>394</v>
      </c>
      <c r="N133" s="226">
        <f t="shared" si="44"/>
        <v>403</v>
      </c>
      <c r="O133" s="226">
        <f t="shared" si="44"/>
        <v>412</v>
      </c>
    </row>
    <row r="134" spans="1:15" ht="12.75" customHeight="1" x14ac:dyDescent="0.25">
      <c r="A134" s="336">
        <v>635009</v>
      </c>
      <c r="B134" s="115" t="str">
        <f>G129</f>
        <v>Prinses Beatrixlaan 3 (dierenweide)</v>
      </c>
      <c r="D134" s="337">
        <v>43801</v>
      </c>
      <c r="E134" s="337"/>
      <c r="F134" s="337"/>
      <c r="G134" s="319" t="s">
        <v>996</v>
      </c>
      <c r="I134" s="318"/>
      <c r="J134" s="226">
        <v>1354</v>
      </c>
      <c r="K134" s="226">
        <f t="shared" si="44"/>
        <v>1389</v>
      </c>
      <c r="L134" s="226">
        <f t="shared" si="44"/>
        <v>1418</v>
      </c>
      <c r="M134" s="226">
        <f t="shared" si="44"/>
        <v>1451</v>
      </c>
      <c r="N134" s="226">
        <f t="shared" si="44"/>
        <v>1484</v>
      </c>
      <c r="O134" s="226">
        <f t="shared" si="44"/>
        <v>1518</v>
      </c>
    </row>
    <row r="135" spans="1:15" ht="12.75" customHeight="1" x14ac:dyDescent="0.25">
      <c r="A135" s="336">
        <v>635009</v>
      </c>
      <c r="B135" s="115" t="str">
        <f>G129</f>
        <v>Prinses Beatrixlaan 3 (dierenweide)</v>
      </c>
      <c r="D135" s="337">
        <v>43802</v>
      </c>
      <c r="E135" s="337"/>
      <c r="F135" s="337"/>
      <c r="G135" s="319" t="s">
        <v>991</v>
      </c>
      <c r="I135" s="318"/>
      <c r="J135" s="226">
        <v>552</v>
      </c>
      <c r="K135" s="226">
        <f t="shared" si="44"/>
        <v>566</v>
      </c>
      <c r="L135" s="226">
        <f t="shared" si="44"/>
        <v>578</v>
      </c>
      <c r="M135" s="226">
        <f t="shared" si="44"/>
        <v>591</v>
      </c>
      <c r="N135" s="226">
        <f t="shared" si="44"/>
        <v>605</v>
      </c>
      <c r="O135" s="226">
        <f t="shared" si="44"/>
        <v>619</v>
      </c>
    </row>
    <row r="136" spans="1:15" ht="12.75" customHeight="1" x14ac:dyDescent="0.25">
      <c r="A136" s="336">
        <v>635009</v>
      </c>
      <c r="B136" s="115" t="str">
        <f>G129</f>
        <v>Prinses Beatrixlaan 3 (dierenweide)</v>
      </c>
      <c r="D136" s="337">
        <v>43806</v>
      </c>
      <c r="E136" s="337"/>
      <c r="F136" s="337"/>
      <c r="G136" s="319" t="s">
        <v>980</v>
      </c>
      <c r="I136" s="318"/>
      <c r="J136" s="226">
        <v>188</v>
      </c>
      <c r="K136" s="226">
        <f t="shared" si="44"/>
        <v>193</v>
      </c>
      <c r="L136" s="226">
        <f t="shared" si="44"/>
        <v>197</v>
      </c>
      <c r="M136" s="226">
        <f t="shared" si="44"/>
        <v>202</v>
      </c>
      <c r="N136" s="226">
        <f t="shared" si="44"/>
        <v>207</v>
      </c>
      <c r="O136" s="226">
        <f t="shared" si="44"/>
        <v>212</v>
      </c>
    </row>
    <row r="137" spans="1:15" ht="12.75" customHeight="1" x14ac:dyDescent="0.25">
      <c r="A137" s="336">
        <v>635009</v>
      </c>
      <c r="B137" s="115" t="str">
        <f>G129</f>
        <v>Prinses Beatrixlaan 3 (dierenweide)</v>
      </c>
      <c r="D137" s="337">
        <v>43812</v>
      </c>
      <c r="E137" s="337"/>
      <c r="F137" s="337"/>
      <c r="G137" s="319" t="s">
        <v>535</v>
      </c>
      <c r="I137" s="318"/>
      <c r="J137" s="318">
        <v>61416</v>
      </c>
      <c r="K137" s="318">
        <f>K395</f>
        <v>62662</v>
      </c>
      <c r="L137" s="318">
        <f>L395</f>
        <v>65231</v>
      </c>
      <c r="M137" s="318">
        <f>M395</f>
        <v>67603</v>
      </c>
      <c r="N137" s="318">
        <f>N395</f>
        <v>70061</v>
      </c>
      <c r="O137" s="318">
        <f>O395</f>
        <v>72609</v>
      </c>
    </row>
    <row r="138" spans="1:15" ht="12.75" customHeight="1" thickBot="1" x14ac:dyDescent="0.3">
      <c r="D138" s="340"/>
      <c r="E138" s="340"/>
      <c r="F138" s="340"/>
      <c r="G138" s="319" t="s">
        <v>536</v>
      </c>
      <c r="I138" s="318"/>
      <c r="J138" s="480">
        <v>64770</v>
      </c>
      <c r="K138" s="480">
        <f t="shared" ref="K138:M138" si="45">SUM(K131:K137)</f>
        <v>66103</v>
      </c>
      <c r="L138" s="480">
        <f t="shared" si="45"/>
        <v>68744</v>
      </c>
      <c r="M138" s="480">
        <f t="shared" si="45"/>
        <v>71197</v>
      </c>
      <c r="N138" s="480">
        <f t="shared" ref="N138:O138" si="46">SUM(N131:N137)</f>
        <v>73738</v>
      </c>
      <c r="O138" s="480">
        <f t="shared" si="46"/>
        <v>76370</v>
      </c>
    </row>
    <row r="139" spans="1:15" ht="12.75" customHeight="1" thickTop="1" x14ac:dyDescent="0.25">
      <c r="D139" s="340"/>
      <c r="E139" s="340"/>
      <c r="F139" s="340"/>
      <c r="G139" s="319"/>
      <c r="I139" s="318"/>
      <c r="J139" s="317"/>
      <c r="K139" s="317"/>
      <c r="L139" s="317"/>
      <c r="M139" s="317"/>
      <c r="N139" s="317"/>
      <c r="O139" s="317"/>
    </row>
    <row r="140" spans="1:15" ht="12.75" customHeight="1" x14ac:dyDescent="0.25">
      <c r="A140" s="400"/>
      <c r="D140" s="333">
        <v>635010</v>
      </c>
      <c r="E140" s="331"/>
      <c r="F140" s="1022"/>
      <c r="G140" s="332" t="s">
        <v>3881</v>
      </c>
      <c r="I140" s="316"/>
      <c r="J140" s="335"/>
      <c r="K140" s="335"/>
      <c r="L140" s="335"/>
      <c r="M140" s="335"/>
      <c r="N140" s="335"/>
      <c r="O140" s="335"/>
    </row>
    <row r="141" spans="1:15" ht="12.75" customHeight="1" x14ac:dyDescent="0.25">
      <c r="A141" s="400"/>
      <c r="D141" s="333"/>
      <c r="E141" s="331"/>
      <c r="F141" s="1022"/>
      <c r="G141" s="334" t="s">
        <v>533</v>
      </c>
      <c r="I141" s="316"/>
      <c r="J141" s="335"/>
      <c r="K141" s="335"/>
      <c r="L141" s="335"/>
      <c r="M141" s="335"/>
      <c r="N141" s="335"/>
      <c r="O141" s="335"/>
    </row>
    <row r="142" spans="1:15" ht="12.75" customHeight="1" x14ac:dyDescent="0.25">
      <c r="A142" s="336">
        <f>+D140</f>
        <v>635010</v>
      </c>
      <c r="B142" s="115" t="str">
        <f>G140</f>
        <v>Bevordering toerisme</v>
      </c>
      <c r="D142" s="337">
        <v>43812</v>
      </c>
      <c r="E142" s="337"/>
      <c r="F142" s="551"/>
      <c r="G142" s="319" t="s">
        <v>535</v>
      </c>
      <c r="I142" s="318"/>
      <c r="J142" s="318">
        <v>184088</v>
      </c>
      <c r="K142" s="318">
        <f>+K465</f>
        <v>91404</v>
      </c>
      <c r="L142" s="318">
        <f>+L465</f>
        <v>93324</v>
      </c>
      <c r="M142" s="318">
        <f>+M465</f>
        <v>95471</v>
      </c>
      <c r="N142" s="318">
        <f>+N465</f>
        <v>97667</v>
      </c>
      <c r="O142" s="318">
        <f>+O465</f>
        <v>99912</v>
      </c>
    </row>
    <row r="143" spans="1:15" ht="12.75" customHeight="1" x14ac:dyDescent="0.25">
      <c r="A143" s="336">
        <f>+D140</f>
        <v>635010</v>
      </c>
      <c r="B143" s="115" t="str">
        <f>G140</f>
        <v>Bevordering toerisme</v>
      </c>
      <c r="D143" s="337">
        <v>44380</v>
      </c>
      <c r="E143" s="337"/>
      <c r="F143" s="551"/>
      <c r="G143" s="319" t="s">
        <v>3402</v>
      </c>
      <c r="I143" s="318"/>
      <c r="J143" s="318">
        <v>17919</v>
      </c>
      <c r="K143" s="318">
        <f>+K468</f>
        <v>18421</v>
      </c>
      <c r="L143" s="318">
        <f>+L468</f>
        <v>18900</v>
      </c>
      <c r="M143" s="318">
        <f>+M468</f>
        <v>19297</v>
      </c>
      <c r="N143" s="318">
        <f>+N468</f>
        <v>19741</v>
      </c>
      <c r="O143" s="318">
        <f>+O468</f>
        <v>20195</v>
      </c>
    </row>
    <row r="144" spans="1:15" ht="12.75" customHeight="1" thickBot="1" x14ac:dyDescent="0.3">
      <c r="A144" s="400"/>
      <c r="D144" s="340"/>
      <c r="E144" s="340"/>
      <c r="F144" s="622"/>
      <c r="G144" s="319" t="s">
        <v>536</v>
      </c>
      <c r="I144" s="318"/>
      <c r="J144" s="342">
        <v>202007</v>
      </c>
      <c r="K144" s="342">
        <f t="shared" ref="K144:M144" si="47">SUM(K141:K143)</f>
        <v>109825</v>
      </c>
      <c r="L144" s="342">
        <f t="shared" si="47"/>
        <v>112224</v>
      </c>
      <c r="M144" s="342">
        <f t="shared" si="47"/>
        <v>114768</v>
      </c>
      <c r="N144" s="342">
        <f t="shared" ref="N144:O144" si="48">SUM(N141:N143)</f>
        <v>117408</v>
      </c>
      <c r="O144" s="342">
        <f t="shared" si="48"/>
        <v>120107</v>
      </c>
    </row>
    <row r="145" spans="1:16" ht="12.75" customHeight="1" thickTop="1" x14ac:dyDescent="0.25">
      <c r="A145" s="400"/>
      <c r="D145" s="340"/>
      <c r="E145" s="340"/>
      <c r="F145" s="622"/>
      <c r="G145" s="319"/>
      <c r="I145" s="318"/>
      <c r="J145" s="317"/>
      <c r="K145" s="317"/>
      <c r="L145" s="317"/>
      <c r="M145" s="317"/>
      <c r="N145" s="317"/>
      <c r="O145" s="317"/>
    </row>
    <row r="146" spans="1:16" ht="12.75" customHeight="1" x14ac:dyDescent="0.25">
      <c r="D146" s="340"/>
      <c r="E146" s="340"/>
      <c r="F146" s="340"/>
      <c r="G146" s="319"/>
      <c r="I146" s="318"/>
      <c r="J146" s="317"/>
      <c r="K146" s="317"/>
      <c r="L146" s="317"/>
      <c r="M146" s="317"/>
      <c r="N146" s="317"/>
      <c r="O146" s="317"/>
    </row>
    <row r="147" spans="1:16" ht="12.75" customHeight="1" x14ac:dyDescent="0.25">
      <c r="D147" s="333">
        <v>635011</v>
      </c>
      <c r="E147" s="331"/>
      <c r="F147" s="331"/>
      <c r="G147" s="332" t="s">
        <v>3895</v>
      </c>
      <c r="I147" s="318"/>
      <c r="J147" s="317"/>
      <c r="K147" s="317"/>
      <c r="L147" s="317"/>
      <c r="M147" s="317"/>
      <c r="N147" s="317"/>
      <c r="O147" s="317"/>
    </row>
    <row r="148" spans="1:16" ht="12.75" customHeight="1" x14ac:dyDescent="0.25">
      <c r="D148" s="340"/>
      <c r="E148" s="340"/>
      <c r="F148" s="340"/>
      <c r="G148" s="334" t="s">
        <v>533</v>
      </c>
      <c r="I148" s="318"/>
      <c r="J148" s="317"/>
      <c r="K148" s="317"/>
      <c r="L148" s="317"/>
      <c r="M148" s="317"/>
      <c r="N148" s="317"/>
      <c r="O148" s="317"/>
    </row>
    <row r="149" spans="1:16" ht="12.75" customHeight="1" x14ac:dyDescent="0.25">
      <c r="A149" s="336">
        <f>+D147</f>
        <v>635011</v>
      </c>
      <c r="B149" s="115" t="str">
        <f>G147</f>
        <v>Onderhoud speelelementen en speelplaatsen (P170)</v>
      </c>
      <c r="D149" s="337">
        <v>43812</v>
      </c>
      <c r="E149" s="337"/>
      <c r="F149" s="337"/>
      <c r="G149" s="319" t="s">
        <v>535</v>
      </c>
      <c r="I149" s="318"/>
      <c r="J149" s="318">
        <v>33739</v>
      </c>
      <c r="K149" s="318">
        <f>K402</f>
        <v>33739</v>
      </c>
      <c r="L149" s="318">
        <f>L402</f>
        <v>33739</v>
      </c>
      <c r="M149" s="318">
        <f>M402</f>
        <v>33740</v>
      </c>
      <c r="N149" s="318">
        <f>N402</f>
        <v>33740</v>
      </c>
      <c r="O149" s="318">
        <f>O402</f>
        <v>33740</v>
      </c>
    </row>
    <row r="150" spans="1:16" ht="12.75" customHeight="1" thickBot="1" x14ac:dyDescent="0.3">
      <c r="A150" s="336"/>
      <c r="D150" s="340"/>
      <c r="E150" s="340"/>
      <c r="F150" s="340"/>
      <c r="G150" s="319" t="s">
        <v>536</v>
      </c>
      <c r="I150" s="318"/>
      <c r="J150" s="342">
        <v>33739</v>
      </c>
      <c r="K150" s="342">
        <f>SUM(K149:K149)</f>
        <v>33739</v>
      </c>
      <c r="L150" s="342">
        <f>SUM(L149:L149)</f>
        <v>33739</v>
      </c>
      <c r="M150" s="342">
        <f>SUM(M149:M149)</f>
        <v>33740</v>
      </c>
      <c r="N150" s="342">
        <f>SUM(N149:N149)</f>
        <v>33740</v>
      </c>
      <c r="O150" s="342">
        <f>SUM(O149:O149)</f>
        <v>33740</v>
      </c>
    </row>
    <row r="151" spans="1:16" ht="12.75" customHeight="1" thickTop="1" x14ac:dyDescent="0.25">
      <c r="A151" s="400"/>
      <c r="D151" s="340"/>
      <c r="E151" s="384"/>
      <c r="F151" s="622"/>
      <c r="G151" s="319"/>
      <c r="I151" s="318"/>
      <c r="J151" s="318"/>
      <c r="K151" s="318"/>
      <c r="L151" s="318"/>
      <c r="M151" s="318"/>
      <c r="N151" s="318"/>
      <c r="O151" s="318"/>
    </row>
    <row r="152" spans="1:16" ht="12.75" customHeight="1" x14ac:dyDescent="0.25">
      <c r="A152" s="400"/>
      <c r="D152" s="347">
        <v>635012</v>
      </c>
      <c r="E152" s="648"/>
      <c r="F152" s="1023"/>
      <c r="G152" s="553" t="s">
        <v>3883</v>
      </c>
      <c r="H152" s="355"/>
      <c r="I152" s="316"/>
      <c r="J152" s="316"/>
      <c r="K152" s="316"/>
      <c r="L152" s="316"/>
      <c r="M152" s="316"/>
      <c r="N152" s="316"/>
      <c r="O152" s="316"/>
    </row>
    <row r="153" spans="1:16" ht="12.75" customHeight="1" x14ac:dyDescent="0.25">
      <c r="A153" s="400"/>
      <c r="D153" s="340"/>
      <c r="E153" s="340"/>
      <c r="F153" s="622"/>
      <c r="G153" s="334" t="s">
        <v>533</v>
      </c>
      <c r="I153" s="318"/>
      <c r="J153" s="317"/>
      <c r="K153" s="317"/>
      <c r="L153" s="317"/>
      <c r="M153" s="317"/>
      <c r="N153" s="317"/>
      <c r="O153" s="317"/>
    </row>
    <row r="154" spans="1:16" ht="12.75" customHeight="1" x14ac:dyDescent="0.25">
      <c r="A154" s="336">
        <f>+D152</f>
        <v>635012</v>
      </c>
      <c r="B154" s="115" t="str">
        <f>G152</f>
        <v>Landschapsfonds</v>
      </c>
      <c r="D154" s="340">
        <v>43812</v>
      </c>
      <c r="E154" s="340"/>
      <c r="F154" s="622"/>
      <c r="G154" s="319" t="s">
        <v>535</v>
      </c>
      <c r="I154" s="318"/>
      <c r="J154" s="318">
        <v>58908</v>
      </c>
      <c r="K154" s="318">
        <f t="shared" ref="K154:M154" si="49">K477</f>
        <v>45000</v>
      </c>
      <c r="L154" s="318">
        <f t="shared" si="49"/>
        <v>0</v>
      </c>
      <c r="M154" s="318">
        <f t="shared" si="49"/>
        <v>0</v>
      </c>
      <c r="N154" s="318">
        <f t="shared" ref="N154:O154" si="50">N477</f>
        <v>0</v>
      </c>
      <c r="O154" s="318">
        <f t="shared" si="50"/>
        <v>0</v>
      </c>
    </row>
    <row r="155" spans="1:16" ht="12.75" customHeight="1" thickBot="1" x14ac:dyDescent="0.3">
      <c r="A155" s="336"/>
      <c r="D155" s="340"/>
      <c r="E155" s="340"/>
      <c r="F155" s="622"/>
      <c r="G155" s="319" t="s">
        <v>536</v>
      </c>
      <c r="I155" s="318"/>
      <c r="J155" s="342">
        <v>58908</v>
      </c>
      <c r="K155" s="342">
        <f t="shared" ref="K155:M155" si="51">K154</f>
        <v>45000</v>
      </c>
      <c r="L155" s="342">
        <f t="shared" si="51"/>
        <v>0</v>
      </c>
      <c r="M155" s="342">
        <f t="shared" si="51"/>
        <v>0</v>
      </c>
      <c r="N155" s="342">
        <f t="shared" ref="N155:O155" si="52">N154</f>
        <v>0</v>
      </c>
      <c r="O155" s="342">
        <f t="shared" si="52"/>
        <v>0</v>
      </c>
      <c r="P155" s="235"/>
    </row>
    <row r="156" spans="1:16" ht="12.75" customHeight="1" thickTop="1" x14ac:dyDescent="0.25">
      <c r="A156" s="400"/>
      <c r="D156" s="340"/>
      <c r="E156" s="340"/>
      <c r="F156" s="622"/>
      <c r="G156" s="319"/>
      <c r="I156" s="318"/>
      <c r="J156" s="318"/>
      <c r="K156" s="318"/>
      <c r="L156" s="318"/>
      <c r="M156" s="318"/>
      <c r="N156" s="318"/>
      <c r="O156" s="318"/>
    </row>
    <row r="157" spans="1:16" ht="12.75" customHeight="1" x14ac:dyDescent="0.25">
      <c r="D157" s="333">
        <v>635013</v>
      </c>
      <c r="E157" s="331"/>
      <c r="F157" s="331"/>
      <c r="G157" s="677" t="s">
        <v>3896</v>
      </c>
      <c r="I157" s="318"/>
      <c r="J157" s="317"/>
      <c r="K157" s="317"/>
      <c r="L157" s="317"/>
      <c r="M157" s="317"/>
      <c r="N157" s="317"/>
      <c r="O157" s="317"/>
    </row>
    <row r="158" spans="1:16" ht="12.75" customHeight="1" x14ac:dyDescent="0.25">
      <c r="D158" s="340"/>
      <c r="E158" s="340"/>
      <c r="F158" s="340"/>
      <c r="G158" s="334" t="s">
        <v>533</v>
      </c>
      <c r="I158" s="318"/>
      <c r="J158" s="317"/>
      <c r="K158" s="317"/>
      <c r="L158" s="317"/>
      <c r="M158" s="317"/>
      <c r="N158" s="317"/>
      <c r="O158" s="317"/>
    </row>
    <row r="159" spans="1:16" ht="12.75" customHeight="1" x14ac:dyDescent="0.25">
      <c r="A159" s="336">
        <f>+D157</f>
        <v>635013</v>
      </c>
      <c r="B159" s="115" t="str">
        <f>G157</f>
        <v>Machinepark en  bestelwagens (plantsoenen en bossen)</v>
      </c>
      <c r="D159" s="337">
        <v>42100</v>
      </c>
      <c r="E159" s="337"/>
      <c r="F159" s="337"/>
      <c r="G159" s="319" t="s">
        <v>1840</v>
      </c>
      <c r="I159" s="318"/>
      <c r="J159" s="226">
        <v>2176</v>
      </c>
      <c r="K159" s="226">
        <f>ROUND(J159*S$2,0)</f>
        <v>2233</v>
      </c>
      <c r="L159" s="226">
        <f>ROUND(K159*T$2,0)</f>
        <v>2280</v>
      </c>
      <c r="M159" s="226">
        <f>ROUND(L159*U$2,0)</f>
        <v>2332</v>
      </c>
      <c r="N159" s="226">
        <f>ROUND(M159*V$2,0)</f>
        <v>2386</v>
      </c>
      <c r="O159" s="226">
        <f>ROUND(N159*W$2,0)</f>
        <v>2441</v>
      </c>
    </row>
    <row r="160" spans="1:16" ht="12.75" customHeight="1" x14ac:dyDescent="0.25">
      <c r="A160" s="336">
        <f>+D157</f>
        <v>635013</v>
      </c>
      <c r="B160" s="115" t="str">
        <f>G157</f>
        <v>Machinepark en  bestelwagens (plantsoenen en bossen)</v>
      </c>
      <c r="D160" s="337">
        <v>43803</v>
      </c>
      <c r="E160" s="337"/>
      <c r="F160" s="337"/>
      <c r="G160" s="319" t="s">
        <v>1831</v>
      </c>
      <c r="I160" s="318"/>
      <c r="J160" s="317">
        <v>444</v>
      </c>
      <c r="K160" s="317">
        <f>K408</f>
        <v>456</v>
      </c>
      <c r="L160" s="317">
        <f>L408</f>
        <v>466</v>
      </c>
      <c r="M160" s="317">
        <f>M408</f>
        <v>477</v>
      </c>
      <c r="N160" s="317">
        <f>N408</f>
        <v>488</v>
      </c>
      <c r="O160" s="317">
        <f>O408</f>
        <v>499</v>
      </c>
    </row>
    <row r="161" spans="1:23" ht="12.75" customHeight="1" x14ac:dyDescent="0.25">
      <c r="A161" s="336"/>
      <c r="D161" s="337">
        <v>43805</v>
      </c>
      <c r="E161" s="337"/>
      <c r="F161" s="337"/>
      <c r="G161" s="319" t="s">
        <v>730</v>
      </c>
      <c r="I161" s="318"/>
      <c r="J161" s="317">
        <f>J413</f>
        <v>0</v>
      </c>
      <c r="K161" s="317">
        <f t="shared" ref="K161:O161" si="53">K413</f>
        <v>22911</v>
      </c>
      <c r="L161" s="317">
        <f t="shared" si="53"/>
        <v>2225</v>
      </c>
      <c r="M161" s="317">
        <f t="shared" si="53"/>
        <v>0</v>
      </c>
      <c r="N161" s="317">
        <f t="shared" si="53"/>
        <v>0</v>
      </c>
      <c r="O161" s="317">
        <f t="shared" si="53"/>
        <v>0</v>
      </c>
    </row>
    <row r="162" spans="1:23" ht="12.75" customHeight="1" x14ac:dyDescent="0.25">
      <c r="A162" s="336">
        <f>+D157</f>
        <v>635013</v>
      </c>
      <c r="B162" s="115" t="str">
        <f>G157</f>
        <v>Machinepark en  bestelwagens (plantsoenen en bossen)</v>
      </c>
      <c r="D162" s="337">
        <v>43806</v>
      </c>
      <c r="E162" s="337"/>
      <c r="F162" s="337"/>
      <c r="G162" s="319" t="s">
        <v>1882</v>
      </c>
      <c r="I162" s="318"/>
      <c r="J162" s="226">
        <v>0</v>
      </c>
      <c r="K162" s="226">
        <f>ROUND(J162*S$2,0)</f>
        <v>0</v>
      </c>
      <c r="L162" s="226">
        <f>ROUND(K162*T$2,0)</f>
        <v>0</v>
      </c>
      <c r="M162" s="226">
        <f>ROUND(L162*U$2,0)</f>
        <v>0</v>
      </c>
      <c r="N162" s="226">
        <f>ROUND(M162*V$2,0)</f>
        <v>0</v>
      </c>
      <c r="O162" s="226">
        <f>ROUND(N162*W$2,0)</f>
        <v>0</v>
      </c>
    </row>
    <row r="163" spans="1:23" ht="12.75" customHeight="1" x14ac:dyDescent="0.25">
      <c r="A163" s="336">
        <f>+D157</f>
        <v>635013</v>
      </c>
      <c r="B163" s="115" t="str">
        <f>G157</f>
        <v>Machinepark en  bestelwagens (plantsoenen en bossen)</v>
      </c>
      <c r="D163" s="337">
        <v>43812</v>
      </c>
      <c r="E163" s="337"/>
      <c r="F163" s="337"/>
      <c r="G163" s="319" t="s">
        <v>535</v>
      </c>
      <c r="I163" s="318"/>
      <c r="J163" s="317">
        <v>144</v>
      </c>
      <c r="K163" s="317">
        <f>K416</f>
        <v>148</v>
      </c>
      <c r="L163" s="317">
        <f>L416</f>
        <v>151</v>
      </c>
      <c r="M163" s="317">
        <f>M416</f>
        <v>154</v>
      </c>
      <c r="N163" s="317">
        <f>N416</f>
        <v>158</v>
      </c>
      <c r="O163" s="317">
        <f>O416</f>
        <v>162</v>
      </c>
    </row>
    <row r="164" spans="1:23" ht="12.75" customHeight="1" thickBot="1" x14ac:dyDescent="0.3">
      <c r="D164" s="340"/>
      <c r="E164" s="340"/>
      <c r="F164" s="340"/>
      <c r="G164" s="319" t="s">
        <v>536</v>
      </c>
      <c r="I164" s="318"/>
      <c r="J164" s="480">
        <v>2764</v>
      </c>
      <c r="K164" s="480">
        <f>SUM(K159:K163)</f>
        <v>25748</v>
      </c>
      <c r="L164" s="480">
        <f>SUM(L159:L163)</f>
        <v>5122</v>
      </c>
      <c r="M164" s="480">
        <f>SUM(M159:M163)</f>
        <v>2963</v>
      </c>
      <c r="N164" s="480">
        <f>SUM(N159:N163)</f>
        <v>3032</v>
      </c>
      <c r="O164" s="480">
        <f>SUM(O159:O163)</f>
        <v>3102</v>
      </c>
    </row>
    <row r="165" spans="1:23" ht="12.75" customHeight="1" thickTop="1" x14ac:dyDescent="0.25">
      <c r="D165" s="340"/>
      <c r="E165" s="340"/>
      <c r="F165" s="340"/>
      <c r="G165" s="319"/>
      <c r="I165" s="318"/>
      <c r="J165" s="344"/>
      <c r="K165" s="344"/>
      <c r="L165" s="344"/>
      <c r="M165" s="344"/>
      <c r="N165" s="344"/>
      <c r="O165" s="344"/>
    </row>
    <row r="166" spans="1:23" ht="12.75" customHeight="1" x14ac:dyDescent="0.25">
      <c r="A166" s="336"/>
      <c r="B166" s="359"/>
      <c r="C166" s="359"/>
      <c r="D166" s="1687">
        <v>635013</v>
      </c>
      <c r="E166" s="674"/>
      <c r="F166" s="674"/>
      <c r="G166" s="677" t="s">
        <v>3896</v>
      </c>
      <c r="H166" s="359"/>
      <c r="I166" s="380"/>
      <c r="J166" s="683"/>
      <c r="K166" s="683"/>
      <c r="L166" s="683"/>
      <c r="M166" s="683"/>
      <c r="N166" s="683"/>
      <c r="O166" s="683"/>
    </row>
    <row r="167" spans="1:23" ht="12.75" customHeight="1" x14ac:dyDescent="0.25">
      <c r="A167" s="336"/>
      <c r="B167" s="359"/>
      <c r="C167" s="359"/>
      <c r="D167" s="377"/>
      <c r="E167" s="377"/>
      <c r="F167" s="377"/>
      <c r="G167" s="680" t="s">
        <v>2719</v>
      </c>
      <c r="H167" s="359"/>
      <c r="I167" s="380"/>
      <c r="J167" s="683"/>
      <c r="K167" s="683"/>
      <c r="L167" s="683"/>
      <c r="M167" s="683"/>
      <c r="N167" s="683"/>
      <c r="O167" s="683"/>
    </row>
    <row r="168" spans="1:23" ht="12.75" customHeight="1" x14ac:dyDescent="0.25">
      <c r="A168" s="336">
        <v>635013</v>
      </c>
      <c r="B168" s="502" t="str">
        <f>G166</f>
        <v>Machinepark en  bestelwagens (plantsoenen en bossen)</v>
      </c>
      <c r="C168" s="359"/>
      <c r="D168" s="682">
        <v>42100</v>
      </c>
      <c r="E168" s="682"/>
      <c r="F168" s="682"/>
      <c r="G168" s="371" t="s">
        <v>1840</v>
      </c>
      <c r="H168" s="359"/>
      <c r="I168" s="380"/>
      <c r="J168" s="683">
        <v>3624</v>
      </c>
      <c r="K168" s="683">
        <f>ROUND(J168*S$2,0)</f>
        <v>3718</v>
      </c>
      <c r="L168" s="683">
        <f>ROUND(K168*T$2,0)</f>
        <v>3796</v>
      </c>
      <c r="M168" s="683">
        <f>ROUND(L168*U$2,0)</f>
        <v>3883</v>
      </c>
      <c r="N168" s="683">
        <f>ROUND(M168*V$2,0)</f>
        <v>3972</v>
      </c>
      <c r="O168" s="683">
        <f>ROUND(N168*W$2,0)</f>
        <v>4063</v>
      </c>
    </row>
    <row r="169" spans="1:23" ht="12.75" customHeight="1" x14ac:dyDescent="0.25">
      <c r="A169" s="336">
        <v>635013</v>
      </c>
      <c r="B169" s="502" t="str">
        <f>G166</f>
        <v>Machinepark en  bestelwagens (plantsoenen en bossen)</v>
      </c>
      <c r="C169" s="359"/>
      <c r="D169" s="682">
        <v>43803</v>
      </c>
      <c r="E169" s="682"/>
      <c r="F169" s="682"/>
      <c r="G169" s="371" t="s">
        <v>1831</v>
      </c>
      <c r="H169" s="359"/>
      <c r="I169" s="380"/>
      <c r="J169" s="380">
        <v>0</v>
      </c>
      <c r="K169" s="380">
        <v>0</v>
      </c>
      <c r="L169" s="380">
        <v>0</v>
      </c>
      <c r="M169" s="380">
        <v>0</v>
      </c>
      <c r="N169" s="380">
        <v>0</v>
      </c>
      <c r="O169" s="380">
        <v>0</v>
      </c>
    </row>
    <row r="170" spans="1:23" ht="12.75" customHeight="1" x14ac:dyDescent="0.25">
      <c r="A170" s="336">
        <v>635013</v>
      </c>
      <c r="B170" s="502" t="str">
        <f>G166</f>
        <v>Machinepark en  bestelwagens (plantsoenen en bossen)</v>
      </c>
      <c r="C170" s="359"/>
      <c r="D170" s="682">
        <v>43806</v>
      </c>
      <c r="E170" s="682"/>
      <c r="F170" s="682"/>
      <c r="G170" s="371" t="s">
        <v>1882</v>
      </c>
      <c r="H170" s="359"/>
      <c r="I170" s="380"/>
      <c r="J170" s="683">
        <v>5881</v>
      </c>
      <c r="K170" s="683">
        <f>ROUND(J170*S$2,0)</f>
        <v>6034</v>
      </c>
      <c r="L170" s="683">
        <f>ROUND(K170*T$2,0)</f>
        <v>6161</v>
      </c>
      <c r="M170" s="683">
        <f>ROUND(L170*U$2,0)</f>
        <v>6303</v>
      </c>
      <c r="N170" s="683">
        <f>ROUND(M170*V$2,0)</f>
        <v>6448</v>
      </c>
      <c r="O170" s="683">
        <f>ROUND(N170*W$2,0)</f>
        <v>6596</v>
      </c>
    </row>
    <row r="171" spans="1:23" ht="12.75" customHeight="1" x14ac:dyDescent="0.25">
      <c r="A171" s="336">
        <v>635013</v>
      </c>
      <c r="B171" s="502" t="str">
        <f>G166</f>
        <v>Machinepark en  bestelwagens (plantsoenen en bossen)</v>
      </c>
      <c r="C171" s="359"/>
      <c r="D171" s="682">
        <v>43812</v>
      </c>
      <c r="E171" s="682"/>
      <c r="F171" s="682"/>
      <c r="G171" s="371" t="s">
        <v>535</v>
      </c>
      <c r="H171" s="359"/>
      <c r="I171" s="380"/>
      <c r="J171" s="380">
        <v>0</v>
      </c>
      <c r="K171" s="380">
        <v>0</v>
      </c>
      <c r="L171" s="380">
        <v>0</v>
      </c>
      <c r="M171" s="380">
        <v>0</v>
      </c>
      <c r="N171" s="380">
        <v>0</v>
      </c>
      <c r="O171" s="380">
        <v>0</v>
      </c>
    </row>
    <row r="172" spans="1:23" ht="12.75" customHeight="1" x14ac:dyDescent="0.25">
      <c r="A172" s="336">
        <f>+D166</f>
        <v>635013</v>
      </c>
      <c r="B172" s="502" t="str">
        <f>G166</f>
        <v>Machinepark en  bestelwagens (plantsoenen en bossen)</v>
      </c>
      <c r="C172" s="359"/>
      <c r="D172" s="682">
        <v>47300</v>
      </c>
      <c r="E172" s="682"/>
      <c r="F172" s="682"/>
      <c r="G172" s="371" t="s">
        <v>1033</v>
      </c>
      <c r="H172" s="359"/>
      <c r="I172" s="380"/>
      <c r="J172" s="683">
        <v>0</v>
      </c>
      <c r="K172" s="683">
        <v>0</v>
      </c>
      <c r="L172" s="683">
        <v>0</v>
      </c>
      <c r="M172" s="683">
        <v>1</v>
      </c>
      <c r="N172" s="683">
        <v>1</v>
      </c>
      <c r="O172" s="683">
        <v>1</v>
      </c>
    </row>
    <row r="173" spans="1:23" ht="12.75" customHeight="1" x14ac:dyDescent="0.25">
      <c r="A173" s="336"/>
      <c r="B173" s="359"/>
      <c r="C173" s="359"/>
      <c r="D173" s="377"/>
      <c r="E173" s="377"/>
      <c r="F173" s="377"/>
      <c r="G173" s="677" t="s">
        <v>536</v>
      </c>
      <c r="H173" s="660"/>
      <c r="I173" s="1688"/>
      <c r="J173" s="1909">
        <v>9505</v>
      </c>
      <c r="K173" s="1909">
        <f>SUM(K168:K172)</f>
        <v>9752</v>
      </c>
      <c r="L173" s="1909">
        <f>SUM(L168:L172)</f>
        <v>9957</v>
      </c>
      <c r="M173" s="1909">
        <f>SUM(M168:M172)</f>
        <v>10187</v>
      </c>
      <c r="N173" s="1909">
        <f>SUM(N168:N172)</f>
        <v>10421</v>
      </c>
      <c r="O173" s="1909">
        <f>SUM(O168:O172)</f>
        <v>10660</v>
      </c>
    </row>
    <row r="174" spans="1:23" ht="12.75" customHeight="1" x14ac:dyDescent="0.25">
      <c r="A174" s="336"/>
      <c r="B174" s="359"/>
      <c r="C174" s="359"/>
      <c r="D174" s="377"/>
      <c r="E174" s="377"/>
      <c r="F174" s="377"/>
      <c r="G174" s="677"/>
      <c r="H174" s="660"/>
      <c r="I174" s="1688"/>
      <c r="J174" s="1689"/>
      <c r="K174" s="1689"/>
      <c r="L174" s="1689"/>
      <c r="M174" s="1689"/>
      <c r="N174" s="1689"/>
      <c r="O174" s="1689"/>
    </row>
    <row r="175" spans="1:23" ht="12.75" customHeight="1" x14ac:dyDescent="0.25">
      <c r="A175" s="336"/>
      <c r="B175" s="359"/>
      <c r="C175" s="359"/>
      <c r="D175" s="1687">
        <v>635014</v>
      </c>
      <c r="E175" s="674"/>
      <c r="F175" s="674"/>
      <c r="G175" s="677" t="s">
        <v>3897</v>
      </c>
      <c r="H175" s="359"/>
      <c r="I175" s="1688"/>
      <c r="J175" s="1689"/>
      <c r="K175" s="1689"/>
      <c r="L175" s="1689"/>
      <c r="M175" s="1689"/>
      <c r="N175" s="1689"/>
      <c r="O175" s="1689"/>
    </row>
    <row r="176" spans="1:23" ht="12.75" customHeight="1" x14ac:dyDescent="0.25">
      <c r="A176" s="336"/>
      <c r="B176" s="359"/>
      <c r="C176" s="359"/>
      <c r="D176" s="377"/>
      <c r="E176" s="377"/>
      <c r="F176" s="377"/>
      <c r="G176" s="677"/>
      <c r="H176" s="660"/>
      <c r="I176" s="1688"/>
      <c r="J176" s="1689"/>
      <c r="K176" s="1689"/>
      <c r="L176" s="1689"/>
      <c r="M176" s="1689"/>
      <c r="N176" s="1689"/>
      <c r="O176" s="1689"/>
      <c r="R176" s="381">
        <v>2025</v>
      </c>
      <c r="S176" s="381">
        <v>2026</v>
      </c>
      <c r="T176" s="381">
        <v>2027</v>
      </c>
      <c r="U176" s="381">
        <v>2028</v>
      </c>
      <c r="V176" s="381">
        <v>2029</v>
      </c>
      <c r="W176" s="2111">
        <v>2030</v>
      </c>
    </row>
    <row r="177" spans="1:23" ht="12.75" customHeight="1" x14ac:dyDescent="0.25">
      <c r="A177" s="336"/>
      <c r="B177" s="359"/>
      <c r="C177" s="359"/>
      <c r="D177" s="377"/>
      <c r="E177" s="377"/>
      <c r="F177" s="377"/>
      <c r="G177" s="677" t="s">
        <v>2842</v>
      </c>
      <c r="H177" s="660"/>
      <c r="I177" s="1688"/>
      <c r="J177" s="1689"/>
      <c r="K177" s="1689"/>
      <c r="L177" s="1689"/>
      <c r="M177" s="1689"/>
      <c r="N177" s="1689"/>
      <c r="O177" s="1689"/>
      <c r="W177" s="358"/>
    </row>
    <row r="178" spans="1:23" ht="12.75" customHeight="1" x14ac:dyDescent="0.25">
      <c r="A178" s="336">
        <f>+D175</f>
        <v>635014</v>
      </c>
      <c r="B178" s="359" t="str">
        <f>+G175</f>
        <v>Doorbelasting overhead</v>
      </c>
      <c r="C178" s="359"/>
      <c r="D178" s="377">
        <v>42100</v>
      </c>
      <c r="E178" s="377"/>
      <c r="F178" s="377"/>
      <c r="G178" s="371" t="s">
        <v>978</v>
      </c>
      <c r="H178" s="660"/>
      <c r="I178" s="1688"/>
      <c r="J178" s="1689">
        <v>2748.9</v>
      </c>
      <c r="K178" s="1689">
        <f t="shared" ref="K178:O192" si="54">-S178</f>
        <v>2825.79</v>
      </c>
      <c r="L178" s="1689">
        <f t="shared" si="54"/>
        <v>2904.9900000000002</v>
      </c>
      <c r="M178" s="1689">
        <f t="shared" si="54"/>
        <v>2986.17</v>
      </c>
      <c r="N178" s="1689">
        <f t="shared" si="54"/>
        <v>3069.6600000000003</v>
      </c>
      <c r="O178" s="2125">
        <f t="shared" si="54"/>
        <v>3069.6600000000003</v>
      </c>
      <c r="R178" s="1033">
        <v>-2748.9</v>
      </c>
      <c r="S178" s="1033">
        <v>-2825.79</v>
      </c>
      <c r="T178" s="1033">
        <v>-2904.9900000000002</v>
      </c>
      <c r="U178" s="1033">
        <v>-2986.17</v>
      </c>
      <c r="V178" s="1033">
        <v>-3069.6600000000003</v>
      </c>
      <c r="W178" s="2107">
        <v>-3069.6600000000003</v>
      </c>
    </row>
    <row r="179" spans="1:23" ht="12.75" customHeight="1" x14ac:dyDescent="0.25">
      <c r="A179" s="336">
        <v>635014</v>
      </c>
      <c r="B179" s="359" t="s">
        <v>3897</v>
      </c>
      <c r="C179" s="359"/>
      <c r="D179" s="377">
        <v>42100</v>
      </c>
      <c r="E179" s="377"/>
      <c r="F179" s="377"/>
      <c r="G179" s="371" t="s">
        <v>979</v>
      </c>
      <c r="H179" s="660"/>
      <c r="I179" s="1688"/>
      <c r="J179" s="1689">
        <v>469.26000000000005</v>
      </c>
      <c r="K179" s="1689">
        <f t="shared" si="54"/>
        <v>482.46000000000004</v>
      </c>
      <c r="L179" s="1689">
        <f t="shared" si="54"/>
        <v>495.99</v>
      </c>
      <c r="M179" s="1689">
        <f t="shared" si="54"/>
        <v>509.85</v>
      </c>
      <c r="N179" s="1689">
        <f t="shared" si="54"/>
        <v>524.04000000000008</v>
      </c>
      <c r="O179" s="2125">
        <f t="shared" si="54"/>
        <v>524.04000000000008</v>
      </c>
      <c r="R179" s="1033">
        <v>-469.26000000000005</v>
      </c>
      <c r="S179" s="1033">
        <v>-482.46000000000004</v>
      </c>
      <c r="T179" s="1033">
        <v>-495.99</v>
      </c>
      <c r="U179" s="1033">
        <v>-509.85</v>
      </c>
      <c r="V179" s="1033">
        <v>-524.04000000000008</v>
      </c>
      <c r="W179" s="2107">
        <v>-524.04000000000008</v>
      </c>
    </row>
    <row r="180" spans="1:23" ht="12.75" customHeight="1" x14ac:dyDescent="0.25">
      <c r="A180" s="336">
        <v>635014</v>
      </c>
      <c r="B180" s="359" t="s">
        <v>3897</v>
      </c>
      <c r="C180" s="359"/>
      <c r="D180" s="377">
        <v>42100</v>
      </c>
      <c r="E180" s="377"/>
      <c r="F180" s="377"/>
      <c r="G180" s="371" t="s">
        <v>1578</v>
      </c>
      <c r="H180" s="660"/>
      <c r="I180" s="1688"/>
      <c r="J180" s="1689">
        <v>62.7</v>
      </c>
      <c r="K180" s="1689">
        <f t="shared" si="54"/>
        <v>64.350000000000009</v>
      </c>
      <c r="L180" s="1689">
        <f t="shared" si="54"/>
        <v>66</v>
      </c>
      <c r="M180" s="1689">
        <f t="shared" si="54"/>
        <v>67.98</v>
      </c>
      <c r="N180" s="1689">
        <f t="shared" si="54"/>
        <v>69.960000000000008</v>
      </c>
      <c r="O180" s="2125">
        <f t="shared" si="54"/>
        <v>69.960000000000008</v>
      </c>
      <c r="R180" s="1033">
        <v>-62.7</v>
      </c>
      <c r="S180" s="1033">
        <v>-64.350000000000009</v>
      </c>
      <c r="T180" s="1033">
        <v>-66</v>
      </c>
      <c r="U180" s="1033">
        <v>-67.98</v>
      </c>
      <c r="V180" s="1033">
        <v>-69.960000000000008</v>
      </c>
      <c r="W180" s="2107">
        <v>-69.960000000000008</v>
      </c>
    </row>
    <row r="181" spans="1:23" ht="12.75" customHeight="1" x14ac:dyDescent="0.25">
      <c r="A181" s="336">
        <v>635014</v>
      </c>
      <c r="B181" s="359" t="s">
        <v>3897</v>
      </c>
      <c r="C181" s="359"/>
      <c r="D181" s="377">
        <v>43511</v>
      </c>
      <c r="E181" s="377"/>
      <c r="F181" s="377"/>
      <c r="G181" s="371" t="s">
        <v>560</v>
      </c>
      <c r="H181" s="660"/>
      <c r="I181" s="1688"/>
      <c r="J181" s="1689">
        <v>6626.7300000000005</v>
      </c>
      <c r="K181" s="1689">
        <f t="shared" si="54"/>
        <v>6799.9800000000005</v>
      </c>
      <c r="L181" s="1689">
        <f t="shared" si="54"/>
        <v>6948.4800000000005</v>
      </c>
      <c r="M181" s="1689">
        <f t="shared" si="54"/>
        <v>7100.2800000000007</v>
      </c>
      <c r="N181" s="1689">
        <f t="shared" si="54"/>
        <v>7255.9179000000004</v>
      </c>
      <c r="O181" s="2125">
        <f t="shared" si="54"/>
        <v>7255.9179000000004</v>
      </c>
      <c r="R181" s="1033">
        <v>-6626.7300000000005</v>
      </c>
      <c r="S181" s="1033">
        <v>-6799.9800000000005</v>
      </c>
      <c r="T181" s="1033">
        <v>-6948.4800000000005</v>
      </c>
      <c r="U181" s="1033">
        <v>-7100.2800000000007</v>
      </c>
      <c r="V181" s="1033">
        <v>-7255.9179000000004</v>
      </c>
      <c r="W181" s="2107">
        <v>-7255.9179000000004</v>
      </c>
    </row>
    <row r="182" spans="1:23" ht="12.75" customHeight="1" x14ac:dyDescent="0.25">
      <c r="A182" s="336">
        <v>635014</v>
      </c>
      <c r="B182" s="359" t="s">
        <v>3897</v>
      </c>
      <c r="C182" s="359"/>
      <c r="D182" s="377">
        <v>43801</v>
      </c>
      <c r="E182" s="377"/>
      <c r="F182" s="377"/>
      <c r="G182" s="371" t="s">
        <v>996</v>
      </c>
      <c r="H182" s="660"/>
      <c r="I182" s="1688"/>
      <c r="J182" s="1689">
        <v>2383.59</v>
      </c>
      <c r="K182" s="1689">
        <f t="shared" si="54"/>
        <v>2450.25</v>
      </c>
      <c r="L182" s="1689">
        <f t="shared" si="54"/>
        <v>2518.8900000000003</v>
      </c>
      <c r="M182" s="1689">
        <f t="shared" si="54"/>
        <v>2589.5100000000002</v>
      </c>
      <c r="N182" s="1689">
        <f t="shared" si="54"/>
        <v>2662.11</v>
      </c>
      <c r="O182" s="2125">
        <f t="shared" si="54"/>
        <v>2662.11</v>
      </c>
      <c r="R182" s="1033">
        <v>-2383.59</v>
      </c>
      <c r="S182" s="1033">
        <v>-2450.25</v>
      </c>
      <c r="T182" s="1033">
        <v>-2518.8900000000003</v>
      </c>
      <c r="U182" s="1033">
        <v>-2589.5100000000002</v>
      </c>
      <c r="V182" s="1033">
        <v>-2662.11</v>
      </c>
      <c r="W182" s="2107">
        <v>-2662.11</v>
      </c>
    </row>
    <row r="183" spans="1:23" ht="12.75" customHeight="1" x14ac:dyDescent="0.25">
      <c r="A183" s="336">
        <v>635014</v>
      </c>
      <c r="B183" s="359" t="s">
        <v>3897</v>
      </c>
      <c r="C183" s="359"/>
      <c r="D183" s="377">
        <v>43802</v>
      </c>
      <c r="E183" s="377"/>
      <c r="F183" s="377"/>
      <c r="G183" s="371" t="s">
        <v>991</v>
      </c>
      <c r="H183" s="660"/>
      <c r="I183" s="1688"/>
      <c r="J183" s="1689">
        <v>221.10000000000002</v>
      </c>
      <c r="K183" s="1689">
        <f t="shared" si="54"/>
        <v>227.37</v>
      </c>
      <c r="L183" s="1689">
        <f t="shared" si="54"/>
        <v>233.64000000000001</v>
      </c>
      <c r="M183" s="1689">
        <f t="shared" si="54"/>
        <v>240.24</v>
      </c>
      <c r="N183" s="1689">
        <f t="shared" si="54"/>
        <v>246.84</v>
      </c>
      <c r="O183" s="2125">
        <f t="shared" si="54"/>
        <v>246.84</v>
      </c>
      <c r="R183" s="1033">
        <v>-221.10000000000002</v>
      </c>
      <c r="S183" s="1033">
        <v>-227.37</v>
      </c>
      <c r="T183" s="1033">
        <v>-233.64000000000001</v>
      </c>
      <c r="U183" s="1033">
        <v>-240.24</v>
      </c>
      <c r="V183" s="1033">
        <v>-246.84</v>
      </c>
      <c r="W183" s="2107">
        <v>-246.84</v>
      </c>
    </row>
    <row r="184" spans="1:23" ht="12.75" customHeight="1" x14ac:dyDescent="0.25">
      <c r="A184" s="336">
        <v>635014</v>
      </c>
      <c r="B184" s="359" t="s">
        <v>3897</v>
      </c>
      <c r="C184" s="359"/>
      <c r="D184" s="377">
        <v>43803</v>
      </c>
      <c r="E184" s="377"/>
      <c r="F184" s="377"/>
      <c r="G184" s="371" t="s">
        <v>1831</v>
      </c>
      <c r="H184" s="660"/>
      <c r="I184" s="1688"/>
      <c r="J184" s="1689">
        <v>122.76</v>
      </c>
      <c r="K184" s="1689">
        <f t="shared" si="54"/>
        <v>126.06</v>
      </c>
      <c r="L184" s="1689">
        <f t="shared" si="54"/>
        <v>129.69</v>
      </c>
      <c r="M184" s="1689">
        <f t="shared" si="54"/>
        <v>133.32</v>
      </c>
      <c r="N184" s="1689">
        <f t="shared" si="54"/>
        <v>136.95000000000002</v>
      </c>
      <c r="O184" s="2125">
        <f t="shared" si="54"/>
        <v>136.95000000000002</v>
      </c>
      <c r="R184" s="1033">
        <v>-122.76</v>
      </c>
      <c r="S184" s="1033">
        <v>-126.06</v>
      </c>
      <c r="T184" s="1033">
        <v>-129.69</v>
      </c>
      <c r="U184" s="1033">
        <v>-133.32</v>
      </c>
      <c r="V184" s="1033">
        <v>-136.95000000000002</v>
      </c>
      <c r="W184" s="2107">
        <v>-136.95000000000002</v>
      </c>
    </row>
    <row r="185" spans="1:23" ht="12.75" customHeight="1" x14ac:dyDescent="0.25">
      <c r="A185" s="336">
        <v>635014</v>
      </c>
      <c r="B185" s="359" t="s">
        <v>3897</v>
      </c>
      <c r="C185" s="359"/>
      <c r="D185" s="377">
        <v>43806</v>
      </c>
      <c r="E185" s="377"/>
      <c r="F185" s="377"/>
      <c r="G185" s="371" t="s">
        <v>1832</v>
      </c>
      <c r="H185" s="660"/>
      <c r="I185" s="1688"/>
      <c r="J185" s="1689">
        <v>180.18</v>
      </c>
      <c r="K185" s="1689">
        <f t="shared" si="54"/>
        <v>185.13</v>
      </c>
      <c r="L185" s="1689">
        <f t="shared" si="54"/>
        <v>190.41</v>
      </c>
      <c r="M185" s="1689">
        <f t="shared" si="54"/>
        <v>195.69</v>
      </c>
      <c r="N185" s="1689">
        <f t="shared" si="54"/>
        <v>201.3</v>
      </c>
      <c r="O185" s="2125">
        <f t="shared" si="54"/>
        <v>201.3</v>
      </c>
      <c r="R185" s="1033">
        <v>-180.18</v>
      </c>
      <c r="S185" s="1033">
        <v>-185.13</v>
      </c>
      <c r="T185" s="1033">
        <v>-190.41</v>
      </c>
      <c r="U185" s="1033">
        <v>-195.69</v>
      </c>
      <c r="V185" s="1033">
        <v>-201.3</v>
      </c>
      <c r="W185" s="2107">
        <v>-201.3</v>
      </c>
    </row>
    <row r="186" spans="1:23" ht="12.75" customHeight="1" x14ac:dyDescent="0.25">
      <c r="A186" s="336">
        <v>635014</v>
      </c>
      <c r="B186" s="359" t="s">
        <v>3897</v>
      </c>
      <c r="C186" s="359"/>
      <c r="D186" s="377">
        <v>43806</v>
      </c>
      <c r="E186" s="377"/>
      <c r="F186" s="377"/>
      <c r="G186" s="371" t="s">
        <v>3898</v>
      </c>
      <c r="H186" s="660"/>
      <c r="I186" s="1688"/>
      <c r="J186" s="1689">
        <v>133.32</v>
      </c>
      <c r="K186" s="1689">
        <f t="shared" si="54"/>
        <v>136.95000000000002</v>
      </c>
      <c r="L186" s="1689">
        <f t="shared" si="54"/>
        <v>140.91</v>
      </c>
      <c r="M186" s="1689">
        <f t="shared" si="54"/>
        <v>144.87</v>
      </c>
      <c r="N186" s="1689">
        <f t="shared" si="54"/>
        <v>148.83000000000001</v>
      </c>
      <c r="O186" s="2125">
        <f t="shared" si="54"/>
        <v>148.83000000000001</v>
      </c>
      <c r="R186" s="1033">
        <v>-133.32</v>
      </c>
      <c r="S186" s="1033">
        <v>-136.95000000000002</v>
      </c>
      <c r="T186" s="1033">
        <v>-140.91</v>
      </c>
      <c r="U186" s="1033">
        <v>-144.87</v>
      </c>
      <c r="V186" s="1033">
        <v>-148.83000000000001</v>
      </c>
      <c r="W186" s="2107">
        <v>-148.83000000000001</v>
      </c>
    </row>
    <row r="187" spans="1:23" ht="12.75" customHeight="1" x14ac:dyDescent="0.25">
      <c r="A187" s="336">
        <v>635014</v>
      </c>
      <c r="B187" s="359" t="s">
        <v>3897</v>
      </c>
      <c r="C187" s="359"/>
      <c r="D187" s="377">
        <v>43806</v>
      </c>
      <c r="E187" s="377"/>
      <c r="F187" s="377"/>
      <c r="G187" s="371" t="s">
        <v>980</v>
      </c>
      <c r="H187" s="660"/>
      <c r="I187" s="1688"/>
      <c r="J187" s="1689">
        <v>1196.5800000000002</v>
      </c>
      <c r="K187" s="1689">
        <f t="shared" si="54"/>
        <v>1230.24</v>
      </c>
      <c r="L187" s="1689">
        <f t="shared" si="54"/>
        <v>1264.5600000000002</v>
      </c>
      <c r="M187" s="1689">
        <f t="shared" si="54"/>
        <v>1299.8700000000001</v>
      </c>
      <c r="N187" s="1689">
        <f t="shared" si="54"/>
        <v>1336.17</v>
      </c>
      <c r="O187" s="2125">
        <f t="shared" si="54"/>
        <v>1336.17</v>
      </c>
      <c r="R187" s="1033">
        <v>-1196.5800000000002</v>
      </c>
      <c r="S187" s="1033">
        <v>-1230.24</v>
      </c>
      <c r="T187" s="1033">
        <v>-1264.5600000000002</v>
      </c>
      <c r="U187" s="1033">
        <v>-1299.8700000000001</v>
      </c>
      <c r="V187" s="1033">
        <v>-1336.17</v>
      </c>
      <c r="W187" s="2107">
        <v>-1336.17</v>
      </c>
    </row>
    <row r="188" spans="1:23" ht="12.75" customHeight="1" x14ac:dyDescent="0.25">
      <c r="A188" s="336">
        <v>635014</v>
      </c>
      <c r="B188" s="359" t="s">
        <v>3897</v>
      </c>
      <c r="C188" s="359"/>
      <c r="D188" s="377">
        <v>43812</v>
      </c>
      <c r="E188" s="377"/>
      <c r="F188" s="377"/>
      <c r="G188" s="371" t="s">
        <v>535</v>
      </c>
      <c r="H188" s="660"/>
      <c r="I188" s="1688"/>
      <c r="J188" s="1689">
        <v>4826.91</v>
      </c>
      <c r="K188" s="1689">
        <f t="shared" si="54"/>
        <v>4952.3100000000004</v>
      </c>
      <c r="L188" s="1689">
        <f t="shared" si="54"/>
        <v>5061.21</v>
      </c>
      <c r="M188" s="1689">
        <f t="shared" si="54"/>
        <v>5172.42</v>
      </c>
      <c r="N188" s="1689">
        <f t="shared" si="54"/>
        <v>5286.27</v>
      </c>
      <c r="O188" s="2125">
        <f t="shared" si="54"/>
        <v>5286.27</v>
      </c>
      <c r="R188" s="1033">
        <v>-4826.91</v>
      </c>
      <c r="S188" s="1033">
        <v>-4952.3100000000004</v>
      </c>
      <c r="T188" s="1033">
        <v>-5061.21</v>
      </c>
      <c r="U188" s="1033">
        <v>-5172.42</v>
      </c>
      <c r="V188" s="1033">
        <v>-5286.27</v>
      </c>
      <c r="W188" s="2107">
        <v>-5286.27</v>
      </c>
    </row>
    <row r="189" spans="1:23" ht="12.75" customHeight="1" x14ac:dyDescent="0.25">
      <c r="A189" s="336">
        <v>635014</v>
      </c>
      <c r="B189" s="359" t="s">
        <v>3897</v>
      </c>
      <c r="C189" s="359"/>
      <c r="D189" s="377">
        <v>43814</v>
      </c>
      <c r="E189" s="377"/>
      <c r="F189" s="377"/>
      <c r="G189" s="371" t="s">
        <v>1834</v>
      </c>
      <c r="H189" s="660"/>
      <c r="I189" s="1688"/>
      <c r="J189" s="1689">
        <v>0</v>
      </c>
      <c r="K189" s="1689">
        <f t="shared" si="54"/>
        <v>0</v>
      </c>
      <c r="L189" s="1689">
        <f t="shared" si="54"/>
        <v>0</v>
      </c>
      <c r="M189" s="1689">
        <f t="shared" si="54"/>
        <v>0</v>
      </c>
      <c r="N189" s="1689">
        <f t="shared" si="54"/>
        <v>0</v>
      </c>
      <c r="O189" s="2125">
        <f t="shared" si="54"/>
        <v>0</v>
      </c>
      <c r="R189" s="1033">
        <v>0</v>
      </c>
      <c r="S189" s="1033">
        <v>0</v>
      </c>
      <c r="T189" s="1033">
        <v>0</v>
      </c>
      <c r="U189" s="1033">
        <v>0</v>
      </c>
      <c r="V189" s="1033">
        <v>0</v>
      </c>
      <c r="W189" s="2107">
        <v>0</v>
      </c>
    </row>
    <row r="190" spans="1:23" ht="12.75" customHeight="1" x14ac:dyDescent="0.25">
      <c r="A190" s="336">
        <v>635014</v>
      </c>
      <c r="B190" s="359" t="s">
        <v>3897</v>
      </c>
      <c r="C190" s="359"/>
      <c r="D190" s="377">
        <v>43817</v>
      </c>
      <c r="E190" s="377"/>
      <c r="F190" s="377"/>
      <c r="G190" s="371" t="s">
        <v>1835</v>
      </c>
      <c r="H190" s="660"/>
      <c r="I190" s="1688"/>
      <c r="J190" s="1689">
        <v>8371.44</v>
      </c>
      <c r="K190" s="1689">
        <f t="shared" si="54"/>
        <v>8589.24</v>
      </c>
      <c r="L190" s="1689">
        <f t="shared" si="54"/>
        <v>8778.33</v>
      </c>
      <c r="M190" s="1689">
        <f t="shared" si="54"/>
        <v>8971.380000000001</v>
      </c>
      <c r="N190" s="1689">
        <f t="shared" si="54"/>
        <v>9168.7200000000012</v>
      </c>
      <c r="O190" s="2125">
        <f t="shared" si="54"/>
        <v>9168.7200000000012</v>
      </c>
      <c r="R190" s="1033">
        <v>-8371.44</v>
      </c>
      <c r="S190" s="1033">
        <v>-8589.24</v>
      </c>
      <c r="T190" s="1033">
        <v>-8778.33</v>
      </c>
      <c r="U190" s="1033">
        <v>-8971.380000000001</v>
      </c>
      <c r="V190" s="1033">
        <v>-9168.7200000000012</v>
      </c>
      <c r="W190" s="2107">
        <v>-9168.7200000000012</v>
      </c>
    </row>
    <row r="191" spans="1:23" ht="12.75" customHeight="1" x14ac:dyDescent="0.25">
      <c r="A191" s="336">
        <v>635014</v>
      </c>
      <c r="B191" s="359" t="s">
        <v>3897</v>
      </c>
      <c r="C191" s="359"/>
      <c r="D191" s="377">
        <v>47201</v>
      </c>
      <c r="E191" s="377"/>
      <c r="F191" s="377"/>
      <c r="G191" s="371" t="s">
        <v>1843</v>
      </c>
      <c r="H191" s="660"/>
      <c r="I191" s="1688"/>
      <c r="J191" s="1689">
        <v>5650.26</v>
      </c>
      <c r="K191" s="1689">
        <f t="shared" si="54"/>
        <v>6922.7871309907205</v>
      </c>
      <c r="L191" s="1689">
        <f t="shared" si="54"/>
        <v>7268.9264875402559</v>
      </c>
      <c r="M191" s="1689">
        <f t="shared" si="54"/>
        <v>7632.3728119172702</v>
      </c>
      <c r="N191" s="1689">
        <f t="shared" si="54"/>
        <v>8013.9914525131335</v>
      </c>
      <c r="O191" s="2125">
        <f t="shared" si="54"/>
        <v>8013.9914525131335</v>
      </c>
      <c r="R191" s="1033">
        <v>-5650.26</v>
      </c>
      <c r="S191" s="1033">
        <v>-6922.7871309907205</v>
      </c>
      <c r="T191" s="1033">
        <v>-7268.9264875402559</v>
      </c>
      <c r="U191" s="1033">
        <v>-7632.3728119172702</v>
      </c>
      <c r="V191" s="1033">
        <v>-8013.9914525131335</v>
      </c>
      <c r="W191" s="2107">
        <v>-8013.9914525131335</v>
      </c>
    </row>
    <row r="192" spans="1:23" ht="12.75" customHeight="1" x14ac:dyDescent="0.25">
      <c r="A192" s="336">
        <v>635014</v>
      </c>
      <c r="B192" s="359" t="s">
        <v>3897</v>
      </c>
      <c r="C192" s="359"/>
      <c r="D192" s="377">
        <v>47300</v>
      </c>
      <c r="E192" s="377"/>
      <c r="F192" s="377"/>
      <c r="G192" s="371" t="s">
        <v>1033</v>
      </c>
      <c r="H192" s="660"/>
      <c r="I192" s="1688"/>
      <c r="J192" s="1689">
        <v>10414.470000000001</v>
      </c>
      <c r="K192" s="1689">
        <f t="shared" si="54"/>
        <v>10414.470000000001</v>
      </c>
      <c r="L192" s="1689">
        <f t="shared" si="54"/>
        <v>10414.470000000001</v>
      </c>
      <c r="M192" s="1689">
        <f t="shared" si="54"/>
        <v>10414.470000000001</v>
      </c>
      <c r="N192" s="1689">
        <f t="shared" si="54"/>
        <v>10414.470000000001</v>
      </c>
      <c r="O192" s="2125">
        <f t="shared" si="54"/>
        <v>10414.470000000001</v>
      </c>
      <c r="R192" s="1033">
        <v>-10414.470000000001</v>
      </c>
      <c r="S192" s="1033">
        <v>-10414.470000000001</v>
      </c>
      <c r="T192" s="1033">
        <v>-10414.470000000001</v>
      </c>
      <c r="U192" s="1033">
        <v>-10414.470000000001</v>
      </c>
      <c r="V192" s="1033">
        <v>-10414.470000000001</v>
      </c>
      <c r="W192" s="2107">
        <v>-10414.470000000001</v>
      </c>
    </row>
    <row r="193" spans="1:23" ht="12.75" customHeight="1" x14ac:dyDescent="0.25">
      <c r="A193" s="336"/>
      <c r="B193" s="359"/>
      <c r="C193" s="359"/>
      <c r="D193" s="377"/>
      <c r="E193" s="377"/>
      <c r="F193" s="377"/>
      <c r="G193" s="677"/>
      <c r="H193" s="660"/>
      <c r="I193" s="1688"/>
      <c r="J193" s="1689"/>
      <c r="K193" s="1689"/>
      <c r="L193" s="1689"/>
      <c r="M193" s="1689"/>
      <c r="N193" s="1689"/>
      <c r="O193" s="2125"/>
      <c r="R193" s="1033"/>
      <c r="S193" s="1033"/>
      <c r="T193" s="1033"/>
      <c r="U193" s="1033"/>
      <c r="V193" s="1033"/>
      <c r="W193" s="2107"/>
    </row>
    <row r="194" spans="1:23" ht="12.75" customHeight="1" x14ac:dyDescent="0.25">
      <c r="A194" s="336"/>
      <c r="B194" s="359"/>
      <c r="C194" s="359"/>
      <c r="D194" s="377"/>
      <c r="E194" s="377"/>
      <c r="F194" s="377"/>
      <c r="G194" s="677" t="s">
        <v>1837</v>
      </c>
      <c r="H194" s="660"/>
      <c r="I194" s="1688"/>
      <c r="J194" s="1689"/>
      <c r="K194" s="1689"/>
      <c r="L194" s="1689"/>
      <c r="M194" s="1689"/>
      <c r="N194" s="1689"/>
      <c r="O194" s="2125"/>
      <c r="R194" s="1033"/>
      <c r="S194" s="1033"/>
      <c r="T194" s="1033"/>
      <c r="U194" s="1033"/>
      <c r="V194" s="1033"/>
      <c r="W194" s="2107"/>
    </row>
    <row r="195" spans="1:23" ht="12.75" customHeight="1" x14ac:dyDescent="0.25">
      <c r="A195" s="336">
        <v>635014</v>
      </c>
      <c r="B195" s="359" t="s">
        <v>3897</v>
      </c>
      <c r="C195" s="359"/>
      <c r="D195" s="377">
        <v>43803</v>
      </c>
      <c r="E195" s="377"/>
      <c r="F195" s="377"/>
      <c r="G195" s="371" t="s">
        <v>1831</v>
      </c>
      <c r="H195" s="660"/>
      <c r="I195" s="1688"/>
      <c r="J195" s="1689">
        <v>44.550000000000004</v>
      </c>
      <c r="K195" s="1689">
        <f t="shared" ref="K195:O197" si="55">-S195</f>
        <v>45.870000000000005</v>
      </c>
      <c r="L195" s="1689">
        <f t="shared" si="55"/>
        <v>47.190000000000005</v>
      </c>
      <c r="M195" s="1689">
        <f t="shared" si="55"/>
        <v>48.510000000000005</v>
      </c>
      <c r="N195" s="1689">
        <f t="shared" si="55"/>
        <v>49.830000000000005</v>
      </c>
      <c r="O195" s="2125">
        <f t="shared" si="55"/>
        <v>49.830000000000005</v>
      </c>
      <c r="R195" s="1033">
        <v>-44.550000000000004</v>
      </c>
      <c r="S195" s="1033">
        <v>-45.870000000000005</v>
      </c>
      <c r="T195" s="1033">
        <v>-47.190000000000005</v>
      </c>
      <c r="U195" s="1033">
        <v>-48.510000000000005</v>
      </c>
      <c r="V195" s="1033">
        <v>-49.830000000000005</v>
      </c>
      <c r="W195" s="2107">
        <v>-49.830000000000005</v>
      </c>
    </row>
    <row r="196" spans="1:23" ht="12.75" customHeight="1" x14ac:dyDescent="0.25">
      <c r="A196" s="336">
        <v>635014</v>
      </c>
      <c r="B196" s="359" t="s">
        <v>3897</v>
      </c>
      <c r="C196" s="359"/>
      <c r="D196" s="377">
        <v>43812</v>
      </c>
      <c r="E196" s="377"/>
      <c r="F196" s="377"/>
      <c r="G196" s="371" t="s">
        <v>535</v>
      </c>
      <c r="H196" s="660"/>
      <c r="I196" s="1688"/>
      <c r="J196" s="1689">
        <v>6244.59</v>
      </c>
      <c r="K196" s="1689">
        <f t="shared" si="55"/>
        <v>6406.9500000000007</v>
      </c>
      <c r="L196" s="1689">
        <f t="shared" si="55"/>
        <v>6547.8600000000006</v>
      </c>
      <c r="M196" s="1689">
        <f t="shared" si="55"/>
        <v>6691.7400000000007</v>
      </c>
      <c r="N196" s="1689">
        <f t="shared" si="55"/>
        <v>6838.92</v>
      </c>
      <c r="O196" s="2125">
        <f t="shared" si="55"/>
        <v>6838.92</v>
      </c>
      <c r="R196" s="1033">
        <v>-6244.59</v>
      </c>
      <c r="S196" s="1033">
        <v>-6406.9500000000007</v>
      </c>
      <c r="T196" s="1033">
        <v>-6547.8600000000006</v>
      </c>
      <c r="U196" s="1033">
        <v>-6691.7400000000007</v>
      </c>
      <c r="V196" s="1033">
        <v>-6838.92</v>
      </c>
      <c r="W196" s="2107">
        <v>-6838.92</v>
      </c>
    </row>
    <row r="197" spans="1:23" ht="12.75" customHeight="1" x14ac:dyDescent="0.25">
      <c r="A197" s="336">
        <v>635014</v>
      </c>
      <c r="B197" s="359" t="s">
        <v>3897</v>
      </c>
      <c r="C197" s="359"/>
      <c r="D197" s="377">
        <v>43818</v>
      </c>
      <c r="E197" s="377"/>
      <c r="F197" s="377"/>
      <c r="G197" s="371" t="s">
        <v>1838</v>
      </c>
      <c r="H197" s="660"/>
      <c r="I197" s="1688"/>
      <c r="J197" s="1689">
        <v>2735.7000000000003</v>
      </c>
      <c r="K197" s="1689">
        <f t="shared" si="55"/>
        <v>2806.65</v>
      </c>
      <c r="L197" s="1689">
        <f t="shared" si="55"/>
        <v>2868.36</v>
      </c>
      <c r="M197" s="1689">
        <f t="shared" si="55"/>
        <v>2931.7200000000003</v>
      </c>
      <c r="N197" s="1689">
        <f t="shared" si="55"/>
        <v>2996.4</v>
      </c>
      <c r="O197" s="2125">
        <f t="shared" si="55"/>
        <v>2996.4</v>
      </c>
      <c r="R197" s="1033">
        <v>-2735.7000000000003</v>
      </c>
      <c r="S197" s="1033">
        <v>-2806.65</v>
      </c>
      <c r="T197" s="1033">
        <v>-2868.36</v>
      </c>
      <c r="U197" s="1033">
        <v>-2931.7200000000003</v>
      </c>
      <c r="V197" s="1033">
        <v>-2996.4</v>
      </c>
      <c r="W197" s="2107">
        <v>-2996.4</v>
      </c>
    </row>
    <row r="198" spans="1:23" ht="12.75" customHeight="1" x14ac:dyDescent="0.25">
      <c r="A198" s="336"/>
      <c r="B198" s="359"/>
      <c r="C198" s="359"/>
      <c r="D198" s="377"/>
      <c r="E198" s="377"/>
      <c r="F198" s="377"/>
      <c r="G198" s="677"/>
      <c r="H198" s="660"/>
      <c r="I198" s="1688"/>
      <c r="J198" s="1689"/>
      <c r="K198" s="1689"/>
      <c r="L198" s="1689"/>
      <c r="M198" s="1689"/>
      <c r="N198" s="1689"/>
      <c r="O198" s="2125"/>
      <c r="R198" s="1033"/>
      <c r="S198" s="1033"/>
      <c r="T198" s="1033"/>
      <c r="U198" s="1033"/>
      <c r="V198" s="1033"/>
      <c r="W198" s="2107"/>
    </row>
    <row r="199" spans="1:23" ht="12.75" customHeight="1" x14ac:dyDescent="0.25">
      <c r="A199" s="336"/>
      <c r="B199" s="359"/>
      <c r="C199" s="359"/>
      <c r="D199" s="377"/>
      <c r="E199" s="377"/>
      <c r="F199" s="377"/>
      <c r="G199" s="332" t="s">
        <v>1839</v>
      </c>
      <c r="H199" s="660"/>
      <c r="I199" s="1688"/>
      <c r="J199" s="1689"/>
      <c r="K199" s="1689"/>
      <c r="L199" s="1689"/>
      <c r="M199" s="1689"/>
      <c r="N199" s="1689"/>
      <c r="O199" s="2125"/>
      <c r="R199" s="1033"/>
      <c r="S199" s="1033"/>
      <c r="T199" s="1033"/>
      <c r="U199" s="1033"/>
      <c r="V199" s="1033"/>
      <c r="W199" s="2107"/>
    </row>
    <row r="200" spans="1:23" ht="12.75" customHeight="1" x14ac:dyDescent="0.25">
      <c r="A200" s="336">
        <v>635014</v>
      </c>
      <c r="B200" s="359" t="s">
        <v>3897</v>
      </c>
      <c r="C200" s="359"/>
      <c r="D200" s="377">
        <v>42100</v>
      </c>
      <c r="E200" s="377"/>
      <c r="F200" s="377"/>
      <c r="G200" s="371" t="s">
        <v>1840</v>
      </c>
      <c r="H200" s="660"/>
      <c r="I200" s="1688"/>
      <c r="J200" s="1689">
        <v>4458.3</v>
      </c>
      <c r="K200" s="1689">
        <f t="shared" ref="K200:O204" si="56">-S200</f>
        <v>4574.13</v>
      </c>
      <c r="L200" s="1689">
        <f t="shared" si="56"/>
        <v>4674.7800000000007</v>
      </c>
      <c r="M200" s="1689">
        <f t="shared" si="56"/>
        <v>4777.74</v>
      </c>
      <c r="N200" s="1689">
        <f t="shared" si="56"/>
        <v>4882.68</v>
      </c>
      <c r="O200" s="2125">
        <f t="shared" si="56"/>
        <v>4882.68</v>
      </c>
      <c r="R200" s="1033">
        <v>-4458.3</v>
      </c>
      <c r="S200" s="1033">
        <v>-4574.13</v>
      </c>
      <c r="T200" s="1033">
        <v>-4674.7800000000007</v>
      </c>
      <c r="U200" s="1033">
        <v>-4777.74</v>
      </c>
      <c r="V200" s="1033">
        <v>-4882.68</v>
      </c>
      <c r="W200" s="2107">
        <v>-4882.68</v>
      </c>
    </row>
    <row r="201" spans="1:23" ht="12.75" customHeight="1" x14ac:dyDescent="0.25">
      <c r="A201" s="336">
        <v>635014</v>
      </c>
      <c r="B201" s="359" t="s">
        <v>3897</v>
      </c>
      <c r="C201" s="359"/>
      <c r="D201" s="377">
        <v>43803</v>
      </c>
      <c r="E201" s="377"/>
      <c r="F201" s="377"/>
      <c r="G201" s="371" t="s">
        <v>1831</v>
      </c>
      <c r="H201" s="660"/>
      <c r="I201" s="1688"/>
      <c r="J201" s="1689">
        <v>5275.38</v>
      </c>
      <c r="K201" s="1689">
        <f t="shared" si="56"/>
        <v>5412.66</v>
      </c>
      <c r="L201" s="1689">
        <f t="shared" si="56"/>
        <v>5531.79</v>
      </c>
      <c r="M201" s="1689">
        <f t="shared" si="56"/>
        <v>5653.2300000000005</v>
      </c>
      <c r="N201" s="1689">
        <f t="shared" si="56"/>
        <v>5777.97</v>
      </c>
      <c r="O201" s="2125">
        <f t="shared" si="56"/>
        <v>5777.97</v>
      </c>
      <c r="R201" s="1033">
        <v>-5275.38</v>
      </c>
      <c r="S201" s="1033">
        <v>-5412.66</v>
      </c>
      <c r="T201" s="1033">
        <v>-5531.79</v>
      </c>
      <c r="U201" s="1033">
        <v>-5653.2300000000005</v>
      </c>
      <c r="V201" s="1033">
        <v>-5777.97</v>
      </c>
      <c r="W201" s="2107">
        <v>-5777.97</v>
      </c>
    </row>
    <row r="202" spans="1:23" ht="12.75" customHeight="1" x14ac:dyDescent="0.25">
      <c r="A202" s="336">
        <v>635014</v>
      </c>
      <c r="B202" s="359" t="s">
        <v>3897</v>
      </c>
      <c r="C202" s="359"/>
      <c r="D202" s="377">
        <v>43806</v>
      </c>
      <c r="E202" s="377"/>
      <c r="F202" s="377"/>
      <c r="G202" s="371" t="s">
        <v>546</v>
      </c>
      <c r="H202" s="660"/>
      <c r="I202" s="1688"/>
      <c r="J202" s="1689">
        <v>7676.46</v>
      </c>
      <c r="K202" s="1689">
        <f t="shared" si="56"/>
        <v>7876.1100000000006</v>
      </c>
      <c r="L202" s="1689">
        <f t="shared" si="56"/>
        <v>8049.3600000000006</v>
      </c>
      <c r="M202" s="1689">
        <f t="shared" si="56"/>
        <v>8226.57</v>
      </c>
      <c r="N202" s="1689">
        <f t="shared" si="56"/>
        <v>8407.41</v>
      </c>
      <c r="O202" s="2125">
        <f t="shared" si="56"/>
        <v>8407.41</v>
      </c>
      <c r="R202" s="1033">
        <v>-7676.46</v>
      </c>
      <c r="S202" s="1033">
        <v>-7876.1100000000006</v>
      </c>
      <c r="T202" s="1033">
        <v>-8049.3600000000006</v>
      </c>
      <c r="U202" s="1033">
        <v>-8226.57</v>
      </c>
      <c r="V202" s="1033">
        <v>-8407.41</v>
      </c>
      <c r="W202" s="2107">
        <v>-8407.41</v>
      </c>
    </row>
    <row r="203" spans="1:23" ht="12.75" customHeight="1" x14ac:dyDescent="0.25">
      <c r="A203" s="336">
        <v>635014</v>
      </c>
      <c r="B203" s="359" t="s">
        <v>3897</v>
      </c>
      <c r="C203" s="359"/>
      <c r="D203" s="377">
        <v>43812</v>
      </c>
      <c r="E203" s="377"/>
      <c r="F203" s="377"/>
      <c r="G203" s="371" t="s">
        <v>535</v>
      </c>
      <c r="H203" s="660"/>
      <c r="I203" s="1688"/>
      <c r="J203" s="1689">
        <v>2247.63</v>
      </c>
      <c r="K203" s="1689">
        <f t="shared" si="56"/>
        <v>2306.04</v>
      </c>
      <c r="L203" s="1689">
        <f t="shared" si="56"/>
        <v>2356.5300000000002</v>
      </c>
      <c r="M203" s="1689">
        <f t="shared" si="56"/>
        <v>2408.67</v>
      </c>
      <c r="N203" s="1689">
        <f t="shared" si="56"/>
        <v>2461.4700000000003</v>
      </c>
      <c r="O203" s="2125">
        <f t="shared" si="56"/>
        <v>2461.4700000000003</v>
      </c>
      <c r="R203" s="1033">
        <v>-2247.63</v>
      </c>
      <c r="S203" s="1033">
        <v>-2306.04</v>
      </c>
      <c r="T203" s="1033">
        <v>-2356.5300000000002</v>
      </c>
      <c r="U203" s="1033">
        <v>-2408.67</v>
      </c>
      <c r="V203" s="1033">
        <v>-2461.4700000000003</v>
      </c>
      <c r="W203" s="2107">
        <v>-2461.4700000000003</v>
      </c>
    </row>
    <row r="204" spans="1:23" ht="12.75" customHeight="1" x14ac:dyDescent="0.25">
      <c r="A204" s="336">
        <v>635014</v>
      </c>
      <c r="B204" s="359" t="s">
        <v>3897</v>
      </c>
      <c r="C204" s="359"/>
      <c r="D204" s="377">
        <v>47300</v>
      </c>
      <c r="E204" s="377"/>
      <c r="F204" s="377"/>
      <c r="G204" s="371" t="s">
        <v>1033</v>
      </c>
      <c r="H204" s="660"/>
      <c r="I204" s="1688"/>
      <c r="J204" s="1689">
        <v>18017.670000000002</v>
      </c>
      <c r="K204" s="1689">
        <f t="shared" si="56"/>
        <v>15475.35</v>
      </c>
      <c r="L204" s="1689">
        <f t="shared" si="56"/>
        <v>18189.93</v>
      </c>
      <c r="M204" s="1689">
        <f t="shared" si="56"/>
        <v>18189.93</v>
      </c>
      <c r="N204" s="1689">
        <f t="shared" si="56"/>
        <v>18189.93</v>
      </c>
      <c r="O204" s="2125">
        <f t="shared" si="56"/>
        <v>18189.93</v>
      </c>
      <c r="R204" s="1033">
        <v>-18017.670000000002</v>
      </c>
      <c r="S204" s="1033">
        <v>-15475.35</v>
      </c>
      <c r="T204" s="1033">
        <v>-18189.93</v>
      </c>
      <c r="U204" s="1033">
        <v>-18189.93</v>
      </c>
      <c r="V204" s="1033">
        <v>-18189.93</v>
      </c>
      <c r="W204" s="2107">
        <v>-18189.93</v>
      </c>
    </row>
    <row r="205" spans="1:23" ht="12.75" customHeight="1" thickBot="1" x14ac:dyDescent="0.3">
      <c r="A205" s="336"/>
      <c r="B205" s="359"/>
      <c r="C205" s="359"/>
      <c r="D205" s="377"/>
      <c r="E205" s="377"/>
      <c r="F205" s="377"/>
      <c r="G205" s="332" t="s">
        <v>536</v>
      </c>
      <c r="H205" s="660"/>
      <c r="I205" s="1688"/>
      <c r="J205" s="228">
        <v>90108.48000000001</v>
      </c>
      <c r="K205" s="228">
        <f t="shared" ref="K205:M205" si="57">SUM(K178:K204)</f>
        <v>90311.147130990721</v>
      </c>
      <c r="L205" s="228">
        <f t="shared" si="57"/>
        <v>94682.296487540269</v>
      </c>
      <c r="M205" s="228">
        <f t="shared" si="57"/>
        <v>96386.532811917277</v>
      </c>
      <c r="N205" s="228">
        <f t="shared" ref="N205:O205" si="58">SUM(N178:N204)</f>
        <v>98139.83935251314</v>
      </c>
      <c r="O205" s="228">
        <f t="shared" si="58"/>
        <v>98139.83935251314</v>
      </c>
    </row>
    <row r="206" spans="1:23" ht="12.75" customHeight="1" thickTop="1" x14ac:dyDescent="0.25">
      <c r="A206" s="336"/>
      <c r="B206" s="359"/>
      <c r="C206" s="359"/>
      <c r="D206" s="377"/>
      <c r="E206" s="377"/>
      <c r="F206" s="377"/>
      <c r="G206" s="677"/>
      <c r="H206" s="660"/>
      <c r="I206" s="1688"/>
      <c r="J206" s="1689"/>
      <c r="K206" s="1689"/>
      <c r="L206" s="1689"/>
      <c r="M206" s="1689"/>
      <c r="N206" s="1689"/>
      <c r="O206" s="1689"/>
    </row>
    <row r="207" spans="1:23" ht="12.75" customHeight="1" x14ac:dyDescent="0.25">
      <c r="A207" s="336"/>
      <c r="B207" s="359"/>
      <c r="C207" s="359"/>
      <c r="D207" s="1690" t="s">
        <v>100</v>
      </c>
      <c r="E207" s="377"/>
      <c r="F207" s="377"/>
      <c r="G207" s="677" t="s">
        <v>3899</v>
      </c>
      <c r="H207" s="660"/>
      <c r="I207" s="1688"/>
      <c r="J207" s="1689"/>
      <c r="K207" s="1689"/>
      <c r="L207" s="1689"/>
      <c r="M207" s="1689"/>
      <c r="N207" s="1689"/>
      <c r="O207" s="1689"/>
    </row>
    <row r="208" spans="1:23" ht="12.75" customHeight="1" x14ac:dyDescent="0.25">
      <c r="A208" s="336"/>
      <c r="B208" s="359"/>
      <c r="C208" s="359"/>
      <c r="D208" s="377"/>
      <c r="E208" s="377"/>
      <c r="F208" s="377"/>
      <c r="G208" s="680" t="s">
        <v>533</v>
      </c>
      <c r="H208" s="660"/>
      <c r="I208" s="1688"/>
      <c r="J208" s="1689"/>
      <c r="K208" s="1689"/>
      <c r="L208" s="1689"/>
      <c r="M208" s="1689"/>
      <c r="N208" s="1689"/>
      <c r="O208" s="1689"/>
    </row>
    <row r="209" spans="1:21" ht="12.75" customHeight="1" x14ac:dyDescent="0.25">
      <c r="A209" s="336" t="str">
        <f>D207</f>
        <v>635016</v>
      </c>
      <c r="B209" s="359" t="str">
        <f>G207</f>
        <v>Projecten Landschapsinvesteringsregeling</v>
      </c>
      <c r="C209" s="359"/>
      <c r="D209" s="377">
        <v>43812</v>
      </c>
      <c r="E209" s="377"/>
      <c r="F209" s="377"/>
      <c r="G209" s="371" t="s">
        <v>3900</v>
      </c>
      <c r="H209" s="660"/>
      <c r="I209" s="1688"/>
      <c r="J209" s="1689">
        <f>J495</f>
        <v>0</v>
      </c>
      <c r="K209" s="1689">
        <f t="shared" ref="K209:N209" si="59">K495</f>
        <v>337000</v>
      </c>
      <c r="L209" s="1689">
        <f t="shared" si="59"/>
        <v>0</v>
      </c>
      <c r="M209" s="1689">
        <f t="shared" si="59"/>
        <v>0</v>
      </c>
      <c r="N209" s="1689">
        <f t="shared" si="59"/>
        <v>0</v>
      </c>
      <c r="O209" s="1689">
        <f t="shared" ref="O209" si="60">O495</f>
        <v>0</v>
      </c>
    </row>
    <row r="210" spans="1:21" ht="12.75" customHeight="1" thickBot="1" x14ac:dyDescent="0.3">
      <c r="A210" s="336"/>
      <c r="B210" s="359"/>
      <c r="C210" s="359"/>
      <c r="D210" s="377"/>
      <c r="E210" s="377"/>
      <c r="F210" s="377"/>
      <c r="G210" s="677" t="s">
        <v>536</v>
      </c>
      <c r="H210" s="660"/>
      <c r="I210" s="1688"/>
      <c r="J210" s="1691">
        <f>SUM(J209)</f>
        <v>0</v>
      </c>
      <c r="K210" s="1691">
        <f t="shared" ref="K210:N210" si="61">SUM(K209)</f>
        <v>337000</v>
      </c>
      <c r="L210" s="1691">
        <f t="shared" si="61"/>
        <v>0</v>
      </c>
      <c r="M210" s="1691">
        <f t="shared" si="61"/>
        <v>0</v>
      </c>
      <c r="N210" s="1691">
        <f t="shared" si="61"/>
        <v>0</v>
      </c>
      <c r="O210" s="1691">
        <f t="shared" ref="O210" si="62">SUM(O209)</f>
        <v>0</v>
      </c>
    </row>
    <row r="211" spans="1:21" ht="12.75" customHeight="1" thickTop="1" x14ac:dyDescent="0.25">
      <c r="A211" s="336"/>
      <c r="B211" s="359"/>
      <c r="C211" s="359"/>
      <c r="D211" s="377"/>
      <c r="E211" s="377"/>
      <c r="F211" s="377"/>
      <c r="G211" s="677"/>
      <c r="H211" s="660"/>
      <c r="I211" s="1688"/>
      <c r="J211" s="1689"/>
      <c r="K211" s="1689"/>
      <c r="L211" s="1689"/>
      <c r="M211" s="1689"/>
      <c r="N211" s="1689"/>
      <c r="O211" s="1689"/>
    </row>
    <row r="212" spans="1:21" ht="12.75" customHeight="1" x14ac:dyDescent="0.25">
      <c r="A212" s="336"/>
      <c r="B212" s="359"/>
      <c r="C212" s="359"/>
      <c r="D212" s="1690">
        <v>635017</v>
      </c>
      <c r="E212" s="377"/>
      <c r="F212" s="377"/>
      <c r="G212" s="677" t="s">
        <v>3882</v>
      </c>
      <c r="H212" s="660"/>
      <c r="I212" s="1688"/>
      <c r="J212" s="1689"/>
      <c r="K212" s="1689"/>
      <c r="L212" s="1689"/>
      <c r="M212" s="1689"/>
      <c r="N212" s="1689"/>
      <c r="O212" s="1689"/>
    </row>
    <row r="213" spans="1:21" ht="12.75" customHeight="1" x14ac:dyDescent="0.25">
      <c r="A213" s="336"/>
      <c r="B213" s="359"/>
      <c r="C213" s="359"/>
      <c r="D213" s="377"/>
      <c r="E213" s="377"/>
      <c r="F213" s="377"/>
      <c r="G213" s="680" t="s">
        <v>533</v>
      </c>
      <c r="H213" s="660"/>
      <c r="I213" s="1688"/>
      <c r="J213" s="1689"/>
      <c r="K213" s="1689"/>
      <c r="L213" s="1689"/>
      <c r="M213" s="1689"/>
      <c r="N213" s="1689"/>
      <c r="O213" s="1689"/>
    </row>
    <row r="214" spans="1:21" ht="12.75" customHeight="1" x14ac:dyDescent="0.25">
      <c r="A214" s="336">
        <f>D212</f>
        <v>635017</v>
      </c>
      <c r="B214" s="359" t="str">
        <f>G212</f>
        <v>GLOW</v>
      </c>
      <c r="C214" s="359"/>
      <c r="D214" s="377">
        <v>43812</v>
      </c>
      <c r="E214" s="377"/>
      <c r="F214" s="377"/>
      <c r="G214" s="371" t="s">
        <v>3900</v>
      </c>
      <c r="H214" s="660"/>
      <c r="I214" s="1688"/>
      <c r="J214" s="1689">
        <f>J500</f>
        <v>95000</v>
      </c>
      <c r="K214" s="1689">
        <f t="shared" ref="K214:N214" si="63">K500</f>
        <v>95000</v>
      </c>
      <c r="L214" s="1689">
        <f t="shared" si="63"/>
        <v>95000</v>
      </c>
      <c r="M214" s="1689">
        <f t="shared" si="63"/>
        <v>95000</v>
      </c>
      <c r="N214" s="1689">
        <f t="shared" si="63"/>
        <v>95000</v>
      </c>
      <c r="O214" s="1689">
        <f t="shared" ref="O214" si="64">O500</f>
        <v>95000</v>
      </c>
    </row>
    <row r="215" spans="1:21" ht="12.75" customHeight="1" thickBot="1" x14ac:dyDescent="0.3">
      <c r="A215" s="336"/>
      <c r="B215" s="359"/>
      <c r="C215" s="359"/>
      <c r="D215" s="377"/>
      <c r="E215" s="377"/>
      <c r="F215" s="377"/>
      <c r="G215" s="677" t="s">
        <v>536</v>
      </c>
      <c r="H215" s="660"/>
      <c r="I215" s="1688"/>
      <c r="J215" s="1691">
        <f>SUM(J214)</f>
        <v>95000</v>
      </c>
      <c r="K215" s="1691">
        <f t="shared" ref="K215:N215" si="65">SUM(K214)</f>
        <v>95000</v>
      </c>
      <c r="L215" s="1691">
        <f t="shared" si="65"/>
        <v>95000</v>
      </c>
      <c r="M215" s="1691">
        <f t="shared" si="65"/>
        <v>95000</v>
      </c>
      <c r="N215" s="1691">
        <f t="shared" si="65"/>
        <v>95000</v>
      </c>
      <c r="O215" s="1691">
        <f t="shared" ref="O215" si="66">SUM(O214)</f>
        <v>95000</v>
      </c>
    </row>
    <row r="216" spans="1:21" ht="12.75" customHeight="1" thickTop="1" x14ac:dyDescent="0.25">
      <c r="A216" s="336"/>
      <c r="B216" s="359"/>
      <c r="C216" s="359"/>
      <c r="D216" s="377"/>
      <c r="E216" s="377"/>
      <c r="F216" s="377"/>
      <c r="G216" s="677"/>
      <c r="H216" s="660"/>
      <c r="I216" s="1688"/>
      <c r="J216" s="1689"/>
      <c r="K216" s="1689"/>
      <c r="L216" s="1689"/>
      <c r="M216" s="1689"/>
      <c r="N216" s="1689"/>
      <c r="O216" s="1689"/>
    </row>
    <row r="217" spans="1:21" ht="12.75" customHeight="1" x14ac:dyDescent="0.25">
      <c r="A217" s="336"/>
      <c r="D217" s="333">
        <v>635901</v>
      </c>
      <c r="E217" s="331"/>
      <c r="F217" s="331"/>
      <c r="G217" s="332" t="s">
        <v>3901</v>
      </c>
      <c r="I217" s="225"/>
      <c r="J217" s="226"/>
      <c r="K217" s="226"/>
      <c r="L217" s="226"/>
      <c r="M217" s="226"/>
      <c r="N217" s="226"/>
      <c r="O217" s="226"/>
    </row>
    <row r="218" spans="1:21" ht="12.75" customHeight="1" x14ac:dyDescent="0.25">
      <c r="A218" s="336"/>
      <c r="D218" s="340"/>
      <c r="E218" s="340"/>
      <c r="F218" s="340"/>
      <c r="G218" s="334" t="s">
        <v>533</v>
      </c>
      <c r="I218" s="225"/>
      <c r="J218" s="226"/>
      <c r="K218" s="226"/>
      <c r="L218" s="226"/>
      <c r="M218" s="226"/>
      <c r="N218" s="226"/>
      <c r="O218" s="226"/>
    </row>
    <row r="219" spans="1:21" ht="12.75" customHeight="1" x14ac:dyDescent="0.25">
      <c r="A219" s="336">
        <f>+D217</f>
        <v>635901</v>
      </c>
      <c r="B219" s="115" t="str">
        <f>G217</f>
        <v>Directe toerekening openbaar groen en recreatie</v>
      </c>
      <c r="D219" s="337">
        <v>41100</v>
      </c>
      <c r="E219" s="337"/>
      <c r="F219" s="337"/>
      <c r="G219" s="319" t="s">
        <v>3902</v>
      </c>
      <c r="I219" s="239"/>
      <c r="J219" s="240">
        <v>678031.1</v>
      </c>
      <c r="K219" s="240">
        <f t="shared" ref="K219:M219" si="67">K521</f>
        <v>863865.67</v>
      </c>
      <c r="L219" s="240">
        <f t="shared" si="67"/>
        <v>895234.02814000007</v>
      </c>
      <c r="M219" s="240">
        <f t="shared" si="67"/>
        <v>924028.68718117988</v>
      </c>
      <c r="N219" s="240">
        <f t="shared" ref="N219:O219" si="68">N521</f>
        <v>953888.74860688346</v>
      </c>
      <c r="O219" s="240">
        <f t="shared" si="68"/>
        <v>984853.63230533828</v>
      </c>
    </row>
    <row r="220" spans="1:21" ht="12.75" customHeight="1" x14ac:dyDescent="0.25">
      <c r="A220" s="336">
        <f>+D217</f>
        <v>635901</v>
      </c>
      <c r="B220" s="115" t="str">
        <f>+G217</f>
        <v>Directe toerekening openbaar groen en recreatie</v>
      </c>
      <c r="D220" s="340">
        <v>47300</v>
      </c>
      <c r="E220" s="340"/>
      <c r="F220" s="340"/>
      <c r="G220" s="319" t="s">
        <v>1033</v>
      </c>
      <c r="I220" s="225"/>
      <c r="J220" s="226">
        <v>80877</v>
      </c>
      <c r="K220" s="226">
        <f>K528</f>
        <v>81590</v>
      </c>
      <c r="L220" s="226">
        <f>L528</f>
        <v>93871</v>
      </c>
      <c r="M220" s="226">
        <f>M528</f>
        <v>93871</v>
      </c>
      <c r="N220" s="226">
        <f>N528</f>
        <v>86789</v>
      </c>
      <c r="O220" s="226">
        <f>O528</f>
        <v>86789</v>
      </c>
    </row>
    <row r="221" spans="1:21" ht="12.75" customHeight="1" x14ac:dyDescent="0.25">
      <c r="A221" s="336"/>
      <c r="D221" s="340"/>
      <c r="E221" s="340"/>
      <c r="F221" s="340"/>
      <c r="G221" s="319"/>
      <c r="I221" s="225"/>
      <c r="J221" s="226"/>
      <c r="K221" s="226"/>
      <c r="L221" s="226"/>
      <c r="M221" s="226"/>
      <c r="N221" s="226"/>
      <c r="O221" s="226"/>
    </row>
    <row r="222" spans="1:21" ht="12.75" customHeight="1" x14ac:dyDescent="0.25">
      <c r="A222" s="336">
        <v>635901</v>
      </c>
      <c r="B222" s="115" t="s">
        <v>3901</v>
      </c>
      <c r="D222" s="340">
        <v>41100</v>
      </c>
      <c r="E222" s="340"/>
      <c r="F222" s="340"/>
      <c r="G222" s="319" t="s">
        <v>3903</v>
      </c>
      <c r="I222" s="225"/>
      <c r="J222" s="226">
        <v>0</v>
      </c>
      <c r="K222" s="226">
        <v>0</v>
      </c>
      <c r="L222" s="226">
        <v>0</v>
      </c>
      <c r="M222" s="226">
        <v>0</v>
      </c>
      <c r="N222" s="226">
        <v>0</v>
      </c>
      <c r="O222" s="226">
        <v>0</v>
      </c>
      <c r="R222" s="115">
        <v>-2394.15</v>
      </c>
      <c r="S222" s="115">
        <v>-2492.1600000000003</v>
      </c>
      <c r="T222" s="115">
        <v>-2594.46</v>
      </c>
      <c r="U222" s="115">
        <v>-2700.7200000000003</v>
      </c>
    </row>
    <row r="223" spans="1:21" ht="12.75" customHeight="1" x14ac:dyDescent="0.25">
      <c r="A223" s="336">
        <v>635901</v>
      </c>
      <c r="B223" s="115" t="s">
        <v>3901</v>
      </c>
      <c r="D223" s="340">
        <v>47300</v>
      </c>
      <c r="E223" s="340"/>
      <c r="F223" s="340"/>
      <c r="G223" s="319" t="s">
        <v>3904</v>
      </c>
      <c r="I223" s="225"/>
      <c r="J223" s="226">
        <v>0</v>
      </c>
      <c r="K223" s="226">
        <v>0</v>
      </c>
      <c r="L223" s="226">
        <v>0</v>
      </c>
      <c r="M223" s="226">
        <v>0</v>
      </c>
      <c r="N223" s="226">
        <v>0</v>
      </c>
      <c r="O223" s="226">
        <v>0</v>
      </c>
      <c r="R223" s="115">
        <v>-18757.530000000002</v>
      </c>
      <c r="S223" s="115">
        <v>-23088.780000000002</v>
      </c>
      <c r="T223" s="115">
        <v>-23090.43</v>
      </c>
      <c r="U223" s="115">
        <v>-22156.2</v>
      </c>
    </row>
    <row r="224" spans="1:21" ht="12.75" customHeight="1" thickBot="1" x14ac:dyDescent="0.3">
      <c r="A224" s="336"/>
      <c r="D224" s="340"/>
      <c r="E224" s="340"/>
      <c r="F224" s="340"/>
      <c r="G224" s="319" t="s">
        <v>536</v>
      </c>
      <c r="I224" s="225"/>
      <c r="J224" s="228">
        <v>758908.1</v>
      </c>
      <c r="K224" s="228">
        <f t="shared" ref="K224:M224" si="69">SUM(K219:K223)</f>
        <v>945455.67</v>
      </c>
      <c r="L224" s="228">
        <f t="shared" si="69"/>
        <v>989105.02814000007</v>
      </c>
      <c r="M224" s="228">
        <f t="shared" si="69"/>
        <v>1017899.6871811799</v>
      </c>
      <c r="N224" s="228">
        <f t="shared" ref="N224:O224" si="70">SUM(N219:N223)</f>
        <v>1040677.7486068835</v>
      </c>
      <c r="O224" s="228">
        <f t="shared" si="70"/>
        <v>1071642.6323053383</v>
      </c>
      <c r="Q224" s="114"/>
    </row>
    <row r="225" spans="1:15" ht="12.75" customHeight="1" thickTop="1" x14ac:dyDescent="0.25">
      <c r="A225" s="400"/>
      <c r="D225" s="340"/>
      <c r="E225" s="384"/>
      <c r="F225" s="622"/>
      <c r="G225" s="319"/>
      <c r="I225" s="318"/>
      <c r="J225" s="318"/>
      <c r="K225" s="318"/>
      <c r="L225" s="318"/>
      <c r="M225" s="318"/>
      <c r="N225" s="318"/>
      <c r="O225" s="318"/>
    </row>
    <row r="226" spans="1:15" ht="12.75" customHeight="1" x14ac:dyDescent="0.25">
      <c r="D226" s="333">
        <v>635002</v>
      </c>
      <c r="E226" s="331"/>
      <c r="F226" s="331"/>
      <c r="G226" s="332" t="s">
        <v>3886</v>
      </c>
      <c r="I226" s="225"/>
      <c r="J226" s="226"/>
      <c r="K226" s="226"/>
      <c r="L226" s="226"/>
      <c r="M226" s="226"/>
      <c r="N226" s="226"/>
      <c r="O226" s="226"/>
    </row>
    <row r="227" spans="1:15" ht="12.75" customHeight="1" x14ac:dyDescent="0.25">
      <c r="D227" s="340"/>
      <c r="E227" s="340"/>
      <c r="F227" s="340"/>
      <c r="G227" s="334" t="s">
        <v>554</v>
      </c>
      <c r="I227" s="225"/>
      <c r="J227" s="226"/>
      <c r="K227" s="226"/>
      <c r="L227" s="226"/>
      <c r="M227" s="226"/>
      <c r="N227" s="226"/>
      <c r="O227" s="226"/>
    </row>
    <row r="228" spans="1:15" ht="12.75" customHeight="1" x14ac:dyDescent="0.25">
      <c r="A228" s="336">
        <f>+D226</f>
        <v>635002</v>
      </c>
      <c r="B228" s="115" t="str">
        <f>G226</f>
        <v>Onderhoud plantsoenen</v>
      </c>
      <c r="D228" s="337">
        <v>83800</v>
      </c>
      <c r="E228" s="337"/>
      <c r="F228" s="337"/>
      <c r="G228" s="319" t="s">
        <v>535</v>
      </c>
      <c r="I228" s="239"/>
      <c r="J228" s="241">
        <v>-30030</v>
      </c>
      <c r="K228" s="241">
        <f>K434</f>
        <v>-30811</v>
      </c>
      <c r="L228" s="241">
        <f>L434</f>
        <v>-31459</v>
      </c>
      <c r="M228" s="241">
        <f>M434</f>
        <v>-32182</v>
      </c>
      <c r="N228" s="241">
        <f>N434</f>
        <v>-32921</v>
      </c>
      <c r="O228" s="241">
        <f>O434</f>
        <v>-33679</v>
      </c>
    </row>
    <row r="229" spans="1:15" ht="12.75" customHeight="1" thickBot="1" x14ac:dyDescent="0.3">
      <c r="A229" s="336"/>
      <c r="D229" s="340"/>
      <c r="E229" s="340"/>
      <c r="F229" s="340"/>
      <c r="G229" s="319" t="s">
        <v>536</v>
      </c>
      <c r="I229" s="225"/>
      <c r="J229" s="228">
        <v>-30030</v>
      </c>
      <c r="K229" s="228">
        <f>SUM(K227:K228)</f>
        <v>-30811</v>
      </c>
      <c r="L229" s="228">
        <f>SUM(L227:L228)</f>
        <v>-31459</v>
      </c>
      <c r="M229" s="228">
        <f>SUM(M227:M228)</f>
        <v>-32182</v>
      </c>
      <c r="N229" s="228">
        <f>SUM(N227:N228)</f>
        <v>-32921</v>
      </c>
      <c r="O229" s="228">
        <f>SUM(O227:O228)</f>
        <v>-33679</v>
      </c>
    </row>
    <row r="230" spans="1:15" ht="12.75" customHeight="1" thickTop="1" x14ac:dyDescent="0.25">
      <c r="D230" s="340"/>
      <c r="E230" s="340"/>
      <c r="F230" s="340"/>
      <c r="G230" s="319"/>
      <c r="I230" s="225"/>
      <c r="J230" s="226"/>
      <c r="K230" s="226"/>
      <c r="L230" s="226"/>
      <c r="M230" s="226"/>
      <c r="N230" s="226"/>
      <c r="O230" s="226"/>
    </row>
    <row r="231" spans="1:15" ht="12.75" customHeight="1" x14ac:dyDescent="0.25">
      <c r="D231" s="333">
        <v>635004</v>
      </c>
      <c r="E231" s="331"/>
      <c r="F231" s="331"/>
      <c r="G231" s="332" t="s">
        <v>3905</v>
      </c>
      <c r="I231" s="225"/>
      <c r="J231" s="226"/>
      <c r="K231" s="226"/>
      <c r="L231" s="226"/>
      <c r="M231" s="226"/>
      <c r="N231" s="226"/>
      <c r="O231" s="226"/>
    </row>
    <row r="232" spans="1:15" ht="12.75" customHeight="1" x14ac:dyDescent="0.25">
      <c r="D232" s="340"/>
      <c r="E232" s="340"/>
      <c r="F232" s="340"/>
      <c r="G232" s="334" t="s">
        <v>554</v>
      </c>
      <c r="I232" s="225"/>
      <c r="J232" s="226"/>
      <c r="K232" s="226"/>
      <c r="L232" s="226"/>
      <c r="M232" s="226"/>
      <c r="N232" s="226"/>
      <c r="O232" s="226"/>
    </row>
    <row r="233" spans="1:15" ht="12.75" customHeight="1" x14ac:dyDescent="0.25">
      <c r="A233" s="336">
        <f>+D231</f>
        <v>635004</v>
      </c>
      <c r="B233" s="115" t="str">
        <f>G231</f>
        <v>Rotondesponsoring</v>
      </c>
      <c r="D233" s="340">
        <v>83600</v>
      </c>
      <c r="E233" s="340"/>
      <c r="F233" s="340"/>
      <c r="G233" s="319" t="s">
        <v>3906</v>
      </c>
      <c r="I233" s="225"/>
      <c r="J233" s="226">
        <v>-1973</v>
      </c>
      <c r="K233" s="226">
        <f t="shared" ref="K233:M233" si="71">K439</f>
        <v>-2024</v>
      </c>
      <c r="L233" s="226">
        <f t="shared" si="71"/>
        <v>-2067</v>
      </c>
      <c r="M233" s="226">
        <f t="shared" si="71"/>
        <v>-2115</v>
      </c>
      <c r="N233" s="226">
        <f t="shared" ref="N233:O233" si="72">N439</f>
        <v>-2164</v>
      </c>
      <c r="O233" s="226">
        <f t="shared" si="72"/>
        <v>-2214</v>
      </c>
    </row>
    <row r="234" spans="1:15" ht="12.75" customHeight="1" x14ac:dyDescent="0.25">
      <c r="A234" s="336">
        <f>+D231</f>
        <v>635004</v>
      </c>
      <c r="B234" s="115" t="str">
        <f>G231</f>
        <v>Rotondesponsoring</v>
      </c>
      <c r="D234" s="337">
        <v>83800</v>
      </c>
      <c r="E234" s="337"/>
      <c r="F234" s="337"/>
      <c r="G234" s="319" t="s">
        <v>535</v>
      </c>
      <c r="I234" s="239"/>
      <c r="J234" s="241">
        <v>-3797</v>
      </c>
      <c r="K234" s="241">
        <f>K442</f>
        <v>-3896</v>
      </c>
      <c r="L234" s="241">
        <f>L442</f>
        <v>-3978</v>
      </c>
      <c r="M234" s="241">
        <f>M442</f>
        <v>-4069</v>
      </c>
      <c r="N234" s="241">
        <f>N442</f>
        <v>-4163</v>
      </c>
      <c r="O234" s="241">
        <f>O442</f>
        <v>-4259</v>
      </c>
    </row>
    <row r="235" spans="1:15" ht="12.75" customHeight="1" thickBot="1" x14ac:dyDescent="0.3">
      <c r="A235" s="336"/>
      <c r="D235" s="340"/>
      <c r="E235" s="340"/>
      <c r="F235" s="340"/>
      <c r="G235" s="319" t="s">
        <v>536</v>
      </c>
      <c r="I235" s="225"/>
      <c r="J235" s="228">
        <v>-5770</v>
      </c>
      <c r="K235" s="228">
        <f>SUM(K232:K234)</f>
        <v>-5920</v>
      </c>
      <c r="L235" s="228">
        <f>SUM(L232:L234)</f>
        <v>-6045</v>
      </c>
      <c r="M235" s="228">
        <f>SUM(M232:M234)</f>
        <v>-6184</v>
      </c>
      <c r="N235" s="228">
        <f>SUM(N232:N234)</f>
        <v>-6327</v>
      </c>
      <c r="O235" s="228">
        <f>SUM(O232:O234)</f>
        <v>-6473</v>
      </c>
    </row>
    <row r="236" spans="1:15" ht="12.75" customHeight="1" thickTop="1" x14ac:dyDescent="0.25">
      <c r="D236" s="340"/>
      <c r="E236" s="340"/>
      <c r="F236" s="340"/>
      <c r="G236" s="319"/>
      <c r="I236" s="225"/>
      <c r="J236" s="226"/>
      <c r="K236" s="226"/>
      <c r="L236" s="226"/>
      <c r="M236" s="226"/>
      <c r="N236" s="226"/>
      <c r="O236" s="226"/>
    </row>
    <row r="237" spans="1:15" ht="12.75" customHeight="1" x14ac:dyDescent="0.25">
      <c r="D237" s="621">
        <v>635006</v>
      </c>
      <c r="E237" s="331"/>
      <c r="F237" s="331"/>
      <c r="G237" s="332" t="s">
        <v>3907</v>
      </c>
      <c r="I237" s="318"/>
      <c r="J237" s="317"/>
      <c r="K237" s="317"/>
      <c r="L237" s="317"/>
      <c r="M237" s="317"/>
      <c r="N237" s="317"/>
      <c r="O237" s="317"/>
    </row>
    <row r="238" spans="1:15" ht="12.75" customHeight="1" x14ac:dyDescent="0.25">
      <c r="D238" s="622"/>
      <c r="E238" s="340"/>
      <c r="F238" s="340"/>
      <c r="G238" s="334" t="s">
        <v>554</v>
      </c>
      <c r="I238" s="318"/>
      <c r="J238" s="317"/>
      <c r="K238" s="317"/>
      <c r="L238" s="317"/>
      <c r="M238" s="317"/>
      <c r="N238" s="317"/>
      <c r="O238" s="317"/>
    </row>
    <row r="239" spans="1:15" ht="12.75" customHeight="1" x14ac:dyDescent="0.25">
      <c r="A239" s="336">
        <f>+D237</f>
        <v>635006</v>
      </c>
      <c r="B239" s="115" t="str">
        <f>G237</f>
        <v>Houtverkopingen</v>
      </c>
      <c r="D239" s="551">
        <v>83800</v>
      </c>
      <c r="E239" s="337"/>
      <c r="F239" s="337"/>
      <c r="G239" s="319" t="s">
        <v>535</v>
      </c>
      <c r="I239" s="318"/>
      <c r="J239" s="156">
        <v>-41703</v>
      </c>
      <c r="K239" s="156">
        <f>K447</f>
        <v>-42449</v>
      </c>
      <c r="L239" s="156">
        <f>L447</f>
        <v>-43067</v>
      </c>
      <c r="M239" s="156">
        <f>M447</f>
        <v>-43759</v>
      </c>
      <c r="N239" s="156">
        <f>N447</f>
        <v>-44466</v>
      </c>
      <c r="O239" s="156">
        <f>O447</f>
        <v>-45190</v>
      </c>
    </row>
    <row r="240" spans="1:15" ht="12.75" customHeight="1" thickBot="1" x14ac:dyDescent="0.3">
      <c r="A240" s="336"/>
      <c r="D240" s="622"/>
      <c r="E240" s="340"/>
      <c r="F240" s="340"/>
      <c r="G240" s="319" t="s">
        <v>536</v>
      </c>
      <c r="I240" s="318"/>
      <c r="J240" s="342">
        <v>-41703</v>
      </c>
      <c r="K240" s="342">
        <f>SUM(K238:K239)</f>
        <v>-42449</v>
      </c>
      <c r="L240" s="342">
        <f>SUM(L238:L239)</f>
        <v>-43067</v>
      </c>
      <c r="M240" s="342">
        <f>SUM(M238:M239)</f>
        <v>-43759</v>
      </c>
      <c r="N240" s="342">
        <f>SUM(N238:N239)</f>
        <v>-44466</v>
      </c>
      <c r="O240" s="342">
        <f>SUM(O238:O239)</f>
        <v>-45190</v>
      </c>
    </row>
    <row r="241" spans="1:16" ht="12.75" customHeight="1" thickTop="1" x14ac:dyDescent="0.25">
      <c r="D241" s="622"/>
      <c r="E241" s="340"/>
      <c r="F241" s="340"/>
      <c r="G241" s="319"/>
      <c r="I241" s="318"/>
      <c r="J241" s="317"/>
      <c r="K241" s="317"/>
      <c r="L241" s="317"/>
      <c r="M241" s="317"/>
      <c r="N241" s="317"/>
      <c r="O241" s="317"/>
    </row>
    <row r="242" spans="1:16" ht="12.75" customHeight="1" x14ac:dyDescent="0.25">
      <c r="D242" s="621">
        <v>635007</v>
      </c>
      <c r="E242" s="331"/>
      <c r="F242" s="331"/>
      <c r="G242" s="332" t="s">
        <v>3908</v>
      </c>
      <c r="I242" s="318"/>
      <c r="J242" s="317"/>
      <c r="K242" s="317"/>
      <c r="L242" s="317"/>
      <c r="M242" s="317"/>
      <c r="N242" s="317"/>
      <c r="O242" s="317"/>
    </row>
    <row r="243" spans="1:16" ht="12.75" customHeight="1" x14ac:dyDescent="0.25">
      <c r="D243" s="622"/>
      <c r="E243" s="340"/>
      <c r="F243" s="340"/>
      <c r="G243" s="334" t="s">
        <v>554</v>
      </c>
      <c r="I243" s="318"/>
      <c r="J243" s="317"/>
      <c r="K243" s="317"/>
      <c r="L243" s="317"/>
      <c r="M243" s="317"/>
      <c r="N243" s="317"/>
      <c r="O243" s="317"/>
    </row>
    <row r="244" spans="1:16" ht="12.75" customHeight="1" x14ac:dyDescent="0.25">
      <c r="A244" s="336">
        <f>+D242</f>
        <v>635007</v>
      </c>
      <c r="B244" s="115" t="str">
        <f>G242</f>
        <v>Pacht van de jacht en visserij</v>
      </c>
      <c r="D244" s="551">
        <v>83300</v>
      </c>
      <c r="E244" s="337"/>
      <c r="F244" s="337"/>
      <c r="G244" s="319" t="s">
        <v>1009</v>
      </c>
      <c r="I244" s="318"/>
      <c r="J244" s="226">
        <v>-4285</v>
      </c>
      <c r="K244" s="226">
        <v>-1000</v>
      </c>
      <c r="L244" s="226">
        <v>-1</v>
      </c>
      <c r="M244" s="226">
        <f>ROUND(L244*U$2,0)</f>
        <v>-1</v>
      </c>
      <c r="N244" s="226">
        <f>ROUND(M244*V$2,0)</f>
        <v>-1</v>
      </c>
      <c r="O244" s="226">
        <f>ROUND(N244*W$2,0)</f>
        <v>-1</v>
      </c>
    </row>
    <row r="245" spans="1:16" ht="12.75" customHeight="1" thickBot="1" x14ac:dyDescent="0.3">
      <c r="A245" s="336"/>
      <c r="D245" s="622"/>
      <c r="E245" s="340"/>
      <c r="F245" s="340"/>
      <c r="G245" s="319" t="s">
        <v>536</v>
      </c>
      <c r="I245" s="318"/>
      <c r="J245" s="342">
        <v>-4285</v>
      </c>
      <c r="K245" s="342">
        <f>SUM(K243:K244)</f>
        <v>-1000</v>
      </c>
      <c r="L245" s="342">
        <f>SUM(L243:L244)</f>
        <v>-1</v>
      </c>
      <c r="M245" s="342">
        <f>SUM(M243:M244)</f>
        <v>-1</v>
      </c>
      <c r="N245" s="342">
        <f>SUM(N243:N244)</f>
        <v>-1</v>
      </c>
      <c r="O245" s="342">
        <f>SUM(O243:O244)</f>
        <v>-1</v>
      </c>
    </row>
    <row r="246" spans="1:16" ht="12.75" customHeight="1" thickTop="1" x14ac:dyDescent="0.25">
      <c r="D246" s="622"/>
      <c r="E246" s="340"/>
      <c r="F246" s="340"/>
      <c r="G246" s="319"/>
      <c r="I246" s="318"/>
      <c r="J246" s="317"/>
      <c r="K246" s="317"/>
      <c r="L246" s="317"/>
      <c r="M246" s="317"/>
      <c r="N246" s="317"/>
      <c r="O246" s="317"/>
    </row>
    <row r="247" spans="1:16" ht="12.75" customHeight="1" x14ac:dyDescent="0.25">
      <c r="D247" s="621">
        <v>635008</v>
      </c>
      <c r="E247" s="331"/>
      <c r="F247" s="331"/>
      <c r="G247" s="332" t="s">
        <v>3909</v>
      </c>
      <c r="I247" s="318"/>
      <c r="J247" s="317"/>
      <c r="K247" s="317"/>
      <c r="L247" s="317"/>
      <c r="M247" s="317"/>
      <c r="N247" s="317"/>
      <c r="O247" s="317"/>
    </row>
    <row r="248" spans="1:16" ht="12.75" customHeight="1" x14ac:dyDescent="0.25">
      <c r="D248" s="622"/>
      <c r="E248" s="340"/>
      <c r="F248" s="340"/>
      <c r="G248" s="334" t="s">
        <v>554</v>
      </c>
      <c r="I248" s="318"/>
      <c r="J248" s="317"/>
      <c r="K248" s="317"/>
      <c r="L248" s="317"/>
      <c r="M248" s="317"/>
      <c r="N248" s="317"/>
      <c r="O248" s="317"/>
    </row>
    <row r="249" spans="1:16" ht="12.75" customHeight="1" x14ac:dyDescent="0.25">
      <c r="A249" s="336">
        <f>+D247</f>
        <v>635008</v>
      </c>
      <c r="B249" s="115" t="str">
        <f>G247</f>
        <v>Bijdrage van het rijk in recreatieve bossen</v>
      </c>
      <c r="D249" s="337">
        <v>84360</v>
      </c>
      <c r="E249" s="337"/>
      <c r="F249" s="337"/>
      <c r="G249" s="319" t="s">
        <v>1594</v>
      </c>
      <c r="I249" s="318"/>
      <c r="J249" s="156">
        <v>-5716</v>
      </c>
      <c r="K249" s="156">
        <v>-5715</v>
      </c>
      <c r="L249" s="156">
        <v>-5715</v>
      </c>
      <c r="M249" s="156">
        <v>-5714</v>
      </c>
      <c r="N249" s="156">
        <v>-5714</v>
      </c>
      <c r="O249" s="156">
        <v>-5714</v>
      </c>
    </row>
    <row r="250" spans="1:16" ht="12.75" customHeight="1" thickBot="1" x14ac:dyDescent="0.3">
      <c r="A250" s="336"/>
      <c r="D250" s="340"/>
      <c r="E250" s="340"/>
      <c r="F250" s="340"/>
      <c r="G250" s="319" t="s">
        <v>536</v>
      </c>
      <c r="I250" s="318"/>
      <c r="J250" s="342">
        <v>-5716</v>
      </c>
      <c r="K250" s="342">
        <f>SUM(K248:K249)</f>
        <v>-5715</v>
      </c>
      <c r="L250" s="342">
        <f>SUM(L248:L249)</f>
        <v>-5715</v>
      </c>
      <c r="M250" s="342">
        <f>SUM(M248:M249)</f>
        <v>-5714</v>
      </c>
      <c r="N250" s="342">
        <f>SUM(N248:N249)</f>
        <v>-5714</v>
      </c>
      <c r="O250" s="342">
        <f>SUM(O248:O249)</f>
        <v>-5714</v>
      </c>
    </row>
    <row r="251" spans="1:16" ht="12.75" customHeight="1" thickTop="1" x14ac:dyDescent="0.25">
      <c r="A251" s="400"/>
      <c r="D251" s="340"/>
      <c r="E251" s="384"/>
      <c r="F251" s="622"/>
      <c r="G251" s="319"/>
      <c r="I251" s="318"/>
      <c r="J251" s="318"/>
      <c r="K251" s="318"/>
      <c r="L251" s="318"/>
      <c r="M251" s="318"/>
      <c r="N251" s="318"/>
      <c r="O251" s="318"/>
    </row>
    <row r="252" spans="1:16" ht="12.75" customHeight="1" x14ac:dyDescent="0.25">
      <c r="A252" s="400"/>
      <c r="D252" s="347">
        <v>635012</v>
      </c>
      <c r="E252" s="648"/>
      <c r="F252" s="1023"/>
      <c r="G252" s="553" t="s">
        <v>3883</v>
      </c>
      <c r="H252" s="355"/>
      <c r="I252" s="316"/>
      <c r="J252" s="316"/>
      <c r="K252" s="316"/>
      <c r="L252" s="316"/>
      <c r="M252" s="316"/>
      <c r="N252" s="316"/>
      <c r="O252" s="316"/>
    </row>
    <row r="253" spans="1:16" ht="12.75" customHeight="1" x14ac:dyDescent="0.25">
      <c r="A253" s="400"/>
      <c r="D253" s="340"/>
      <c r="E253" s="340"/>
      <c r="F253" s="622"/>
      <c r="G253" s="334" t="s">
        <v>554</v>
      </c>
      <c r="I253" s="318"/>
      <c r="J253" s="317"/>
      <c r="K253" s="317"/>
      <c r="L253" s="317"/>
      <c r="M253" s="317"/>
      <c r="N253" s="317"/>
      <c r="O253" s="317"/>
    </row>
    <row r="254" spans="1:16" ht="12.75" customHeight="1" x14ac:dyDescent="0.25">
      <c r="A254" s="336">
        <f>+D252</f>
        <v>635012</v>
      </c>
      <c r="B254" s="115" t="str">
        <f>G252</f>
        <v>Landschapsfonds</v>
      </c>
      <c r="D254" s="340">
        <v>83800</v>
      </c>
      <c r="E254" s="340"/>
      <c r="F254" s="622"/>
      <c r="G254" s="319" t="s">
        <v>535</v>
      </c>
      <c r="I254" s="318"/>
      <c r="J254" s="318">
        <v>-58908</v>
      </c>
      <c r="K254" s="318">
        <f t="shared" ref="K254:M254" si="73">+K486</f>
        <v>-104010</v>
      </c>
      <c r="L254" s="318">
        <f t="shared" si="73"/>
        <v>-135541</v>
      </c>
      <c r="M254" s="318">
        <f t="shared" si="73"/>
        <v>-102383</v>
      </c>
      <c r="N254" s="318">
        <f t="shared" ref="N254:O254" si="74">+N486</f>
        <v>-37590</v>
      </c>
      <c r="O254" s="318">
        <f t="shared" si="74"/>
        <v>-37590</v>
      </c>
    </row>
    <row r="255" spans="1:16" ht="12.75" customHeight="1" thickBot="1" x14ac:dyDescent="0.3">
      <c r="A255" s="336"/>
      <c r="D255" s="340"/>
      <c r="E255" s="340"/>
      <c r="F255" s="622"/>
      <c r="G255" s="319" t="s">
        <v>536</v>
      </c>
      <c r="I255" s="318"/>
      <c r="J255" s="342">
        <v>-58908</v>
      </c>
      <c r="K255" s="342">
        <f>SUM(K254:K254)</f>
        <v>-104010</v>
      </c>
      <c r="L255" s="342">
        <f>SUM(L254:L254)</f>
        <v>-135541</v>
      </c>
      <c r="M255" s="342">
        <f>SUM(M254:M254)</f>
        <v>-102383</v>
      </c>
      <c r="N255" s="342">
        <f>SUM(N254:N254)</f>
        <v>-37590</v>
      </c>
      <c r="O255" s="342">
        <f>SUM(O254:O254)</f>
        <v>-37590</v>
      </c>
      <c r="P255" s="235"/>
    </row>
    <row r="256" spans="1:16" ht="12.75" customHeight="1" thickTop="1" x14ac:dyDescent="0.25">
      <c r="A256" s="400"/>
      <c r="D256" s="622"/>
      <c r="E256" s="340"/>
      <c r="F256" s="622"/>
      <c r="G256" s="319"/>
      <c r="I256" s="318"/>
      <c r="J256" s="317"/>
      <c r="K256" s="317"/>
      <c r="L256" s="317"/>
      <c r="M256" s="317"/>
      <c r="N256" s="317"/>
      <c r="O256" s="317"/>
    </row>
    <row r="257" spans="4:15" ht="12.75" customHeight="1" x14ac:dyDescent="0.25">
      <c r="D257" s="167"/>
      <c r="E257" s="167"/>
      <c r="F257" s="167"/>
      <c r="G257" s="168"/>
      <c r="H257" s="149"/>
      <c r="I257" s="227"/>
      <c r="J257" s="232"/>
      <c r="K257" s="232"/>
      <c r="L257" s="232"/>
      <c r="M257" s="232"/>
      <c r="N257" s="232"/>
      <c r="O257" s="232"/>
    </row>
    <row r="258" spans="4:15" ht="12.75" customHeight="1" x14ac:dyDescent="0.25">
      <c r="D258" s="384"/>
      <c r="E258" s="384"/>
      <c r="F258" s="384"/>
      <c r="I258" s="235"/>
      <c r="J258" s="235"/>
      <c r="K258" s="235"/>
      <c r="L258" s="235"/>
      <c r="M258" s="235"/>
      <c r="N258" s="235"/>
      <c r="O258" s="235"/>
    </row>
    <row r="259" spans="4:15" ht="12.75" customHeight="1" x14ac:dyDescent="0.25">
      <c r="D259" s="384"/>
      <c r="E259" s="384"/>
      <c r="F259" s="384"/>
      <c r="I259" s="235"/>
      <c r="J259" s="235"/>
      <c r="K259" s="235"/>
      <c r="L259" s="235"/>
      <c r="M259" s="235"/>
      <c r="N259" s="235"/>
      <c r="O259" s="235"/>
    </row>
    <row r="260" spans="4:15" ht="12.75" customHeight="1" x14ac:dyDescent="0.25">
      <c r="D260" s="384"/>
      <c r="E260" s="384"/>
      <c r="F260" s="384"/>
      <c r="I260" s="235"/>
      <c r="J260" s="235"/>
      <c r="K260" s="235"/>
      <c r="L260" s="235"/>
      <c r="M260" s="235"/>
      <c r="N260" s="235"/>
      <c r="O260" s="235"/>
    </row>
    <row r="261" spans="4:15" ht="12.75" customHeight="1" x14ac:dyDescent="0.25">
      <c r="D261" s="428" t="s">
        <v>561</v>
      </c>
      <c r="E261" s="384"/>
      <c r="F261" s="384"/>
      <c r="G261" s="381"/>
      <c r="I261" s="235"/>
      <c r="J261" s="235"/>
      <c r="K261" s="235"/>
      <c r="L261" s="235"/>
      <c r="M261" s="235"/>
      <c r="N261" s="235"/>
      <c r="O261" s="235"/>
    </row>
    <row r="262" spans="4:15" ht="12.75" customHeight="1" x14ac:dyDescent="0.25">
      <c r="D262" s="384"/>
      <c r="E262" s="384"/>
      <c r="F262" s="384"/>
      <c r="G262" s="383"/>
      <c r="I262" s="235"/>
      <c r="J262" s="59">
        <v>2025</v>
      </c>
      <c r="K262" s="59">
        <v>2026</v>
      </c>
      <c r="L262" s="59">
        <v>2027</v>
      </c>
      <c r="M262" s="59">
        <v>2028</v>
      </c>
      <c r="N262" s="59">
        <v>2029</v>
      </c>
      <c r="O262" s="59">
        <v>2030</v>
      </c>
    </row>
    <row r="263" spans="4:15" ht="12.75" customHeight="1" x14ac:dyDescent="0.25">
      <c r="D263" s="384"/>
      <c r="E263" s="384"/>
      <c r="F263" s="384"/>
      <c r="I263" s="115"/>
      <c r="J263" s="235"/>
      <c r="K263" s="235"/>
      <c r="L263" s="235"/>
      <c r="M263" s="235"/>
      <c r="N263" s="235"/>
      <c r="O263" s="235"/>
    </row>
    <row r="264" spans="4:15" ht="12.75" customHeight="1" x14ac:dyDescent="0.25">
      <c r="D264" s="393">
        <v>635001</v>
      </c>
      <c r="E264" s="381" t="s">
        <v>3910</v>
      </c>
      <c r="F264" s="115"/>
      <c r="G264" s="114"/>
      <c r="H264" s="114"/>
      <c r="I264" s="114"/>
      <c r="J264" s="407">
        <v>2025</v>
      </c>
      <c r="K264" s="407">
        <v>2026</v>
      </c>
      <c r="L264" s="407">
        <v>2027</v>
      </c>
      <c r="M264" s="407">
        <v>2028</v>
      </c>
      <c r="N264" s="59">
        <v>2029</v>
      </c>
      <c r="O264" s="59">
        <v>2030</v>
      </c>
    </row>
    <row r="265" spans="4:15" ht="12.75" customHeight="1" x14ac:dyDescent="0.25">
      <c r="D265" s="393"/>
      <c r="E265" s="381"/>
      <c r="F265" s="115"/>
      <c r="G265" s="114"/>
      <c r="H265" s="114"/>
      <c r="I265" s="114"/>
      <c r="J265" s="486"/>
      <c r="K265" s="486"/>
      <c r="L265" s="486"/>
      <c r="M265" s="486"/>
      <c r="N265" s="486"/>
      <c r="O265" s="486"/>
    </row>
    <row r="266" spans="4:15" ht="12.75" customHeight="1" x14ac:dyDescent="0.25">
      <c r="D266" s="143">
        <v>43812</v>
      </c>
      <c r="E266" s="308" t="s">
        <v>3911</v>
      </c>
      <c r="F266" s="115"/>
      <c r="G266" s="114"/>
      <c r="H266" s="114"/>
      <c r="I266" s="114"/>
      <c r="J266" s="235">
        <v>919</v>
      </c>
      <c r="K266" s="235">
        <f t="shared" ref="K266:O267" si="75">ROUND(J266*S$2,0)</f>
        <v>943</v>
      </c>
      <c r="L266" s="235">
        <f t="shared" si="75"/>
        <v>963</v>
      </c>
      <c r="M266" s="235">
        <f t="shared" si="75"/>
        <v>985</v>
      </c>
      <c r="N266" s="235">
        <f t="shared" si="75"/>
        <v>1008</v>
      </c>
      <c r="O266" s="235">
        <f t="shared" si="75"/>
        <v>1031</v>
      </c>
    </row>
    <row r="267" spans="4:15" ht="12.75" customHeight="1" x14ac:dyDescent="0.25">
      <c r="E267" s="308" t="s">
        <v>3912</v>
      </c>
      <c r="F267" s="115"/>
      <c r="G267" s="114"/>
      <c r="H267" s="114"/>
      <c r="I267" s="114"/>
      <c r="J267" s="235">
        <v>786</v>
      </c>
      <c r="K267" s="235">
        <f t="shared" si="75"/>
        <v>806</v>
      </c>
      <c r="L267" s="235">
        <f t="shared" si="75"/>
        <v>823</v>
      </c>
      <c r="M267" s="235">
        <f t="shared" si="75"/>
        <v>842</v>
      </c>
      <c r="N267" s="235">
        <f t="shared" si="75"/>
        <v>861</v>
      </c>
      <c r="O267" s="235">
        <f t="shared" si="75"/>
        <v>881</v>
      </c>
    </row>
    <row r="268" spans="4:15" ht="12.75" customHeight="1" x14ac:dyDescent="0.25">
      <c r="E268" s="308"/>
      <c r="F268" s="115"/>
      <c r="G268" s="114"/>
      <c r="H268" s="114"/>
      <c r="I268" s="114"/>
      <c r="J268" s="114"/>
      <c r="K268" s="114"/>
      <c r="L268" s="114"/>
      <c r="M268" s="114"/>
      <c r="N268" s="114"/>
      <c r="O268" s="114"/>
    </row>
    <row r="269" spans="4:15" ht="12.75" customHeight="1" thickBot="1" x14ac:dyDescent="0.3">
      <c r="D269" s="384"/>
      <c r="E269" s="308" t="str">
        <f>"Totaal "&amp;D266</f>
        <v>Totaal 43812</v>
      </c>
      <c r="F269" s="115"/>
      <c r="G269" s="114"/>
      <c r="H269" s="114"/>
      <c r="I269" s="114"/>
      <c r="J269" s="1744">
        <v>1705</v>
      </c>
      <c r="K269" s="1744">
        <f t="shared" ref="K269:M269" si="76">SUM(K266:K267)</f>
        <v>1749</v>
      </c>
      <c r="L269" s="1744">
        <f t="shared" si="76"/>
        <v>1786</v>
      </c>
      <c r="M269" s="1744">
        <f t="shared" si="76"/>
        <v>1827</v>
      </c>
      <c r="N269" s="1744">
        <f t="shared" ref="N269:O269" si="77">SUM(N266:N267)</f>
        <v>1869</v>
      </c>
      <c r="O269" s="1744">
        <f t="shared" si="77"/>
        <v>1912</v>
      </c>
    </row>
    <row r="270" spans="4:15" ht="12.75" customHeight="1" thickTop="1" x14ac:dyDescent="0.25">
      <c r="D270" s="384"/>
      <c r="E270" s="384"/>
      <c r="F270" s="384"/>
      <c r="I270" s="115"/>
      <c r="J270" s="235"/>
      <c r="K270" s="235"/>
      <c r="L270" s="235"/>
      <c r="M270" s="235"/>
      <c r="N270" s="235"/>
      <c r="O270" s="235"/>
    </row>
    <row r="271" spans="4:15" ht="12.75" customHeight="1" x14ac:dyDescent="0.25">
      <c r="D271" s="384"/>
      <c r="E271" s="384"/>
      <c r="F271" s="384"/>
      <c r="I271" s="115"/>
      <c r="J271" s="235"/>
      <c r="K271" s="235"/>
      <c r="L271" s="235"/>
      <c r="M271" s="235"/>
      <c r="N271" s="235"/>
      <c r="O271" s="235"/>
    </row>
    <row r="272" spans="4:15" ht="12.75" customHeight="1" x14ac:dyDescent="0.25">
      <c r="D272" s="393">
        <v>635002</v>
      </c>
      <c r="E272" s="381" t="s">
        <v>3886</v>
      </c>
      <c r="F272" s="115"/>
      <c r="G272" s="235"/>
      <c r="H272" s="235"/>
      <c r="I272" s="235"/>
    </row>
    <row r="273" spans="4:24" ht="12.75" customHeight="1" x14ac:dyDescent="0.25">
      <c r="D273" s="143"/>
      <c r="E273" s="114"/>
      <c r="F273" s="115"/>
      <c r="G273" s="235"/>
      <c r="H273" s="235"/>
      <c r="I273" s="235"/>
      <c r="J273" s="114"/>
      <c r="K273" s="114"/>
      <c r="L273" s="114"/>
      <c r="M273" s="114"/>
      <c r="N273" s="114"/>
      <c r="O273" s="114"/>
    </row>
    <row r="274" spans="4:24" ht="12.75" customHeight="1" x14ac:dyDescent="0.25">
      <c r="D274" s="143">
        <v>43812</v>
      </c>
      <c r="E274" s="308" t="s">
        <v>3913</v>
      </c>
      <c r="F274" s="115"/>
      <c r="G274" s="235"/>
      <c r="H274" s="235"/>
      <c r="I274" s="235"/>
      <c r="J274" s="235">
        <v>16547</v>
      </c>
      <c r="K274" s="235">
        <f t="shared" ref="K274:O277" si="78">ROUND(J274*S$2,0)</f>
        <v>16977</v>
      </c>
      <c r="L274" s="235">
        <f t="shared" si="78"/>
        <v>17334</v>
      </c>
      <c r="M274" s="235">
        <f t="shared" si="78"/>
        <v>17733</v>
      </c>
      <c r="N274" s="235">
        <f t="shared" si="78"/>
        <v>18141</v>
      </c>
      <c r="O274" s="235">
        <f t="shared" si="78"/>
        <v>18558</v>
      </c>
    </row>
    <row r="275" spans="4:24" ht="12.75" customHeight="1" x14ac:dyDescent="0.25">
      <c r="E275" s="115" t="s">
        <v>3914</v>
      </c>
      <c r="F275" s="115"/>
      <c r="G275" s="235"/>
      <c r="H275" s="235"/>
      <c r="I275" s="235"/>
      <c r="J275" s="235">
        <v>50800</v>
      </c>
      <c r="K275" s="235">
        <f t="shared" si="78"/>
        <v>52121</v>
      </c>
      <c r="L275" s="235">
        <f t="shared" si="78"/>
        <v>53216</v>
      </c>
      <c r="M275" s="235">
        <f t="shared" si="78"/>
        <v>54440</v>
      </c>
      <c r="N275" s="235">
        <f t="shared" si="78"/>
        <v>55692</v>
      </c>
      <c r="O275" s="235">
        <f t="shared" si="78"/>
        <v>56973</v>
      </c>
    </row>
    <row r="276" spans="4:24" ht="12.75" customHeight="1" x14ac:dyDescent="0.25">
      <c r="E276" s="308" t="s">
        <v>3915</v>
      </c>
      <c r="F276" s="115"/>
      <c r="G276" s="235"/>
      <c r="H276" s="235"/>
      <c r="I276" s="235"/>
      <c r="J276" s="235">
        <v>13149</v>
      </c>
      <c r="K276" s="235">
        <f t="shared" si="78"/>
        <v>13491</v>
      </c>
      <c r="L276" s="235">
        <f t="shared" si="78"/>
        <v>13774</v>
      </c>
      <c r="M276" s="235">
        <f t="shared" si="78"/>
        <v>14091</v>
      </c>
      <c r="N276" s="235">
        <f t="shared" si="78"/>
        <v>14415</v>
      </c>
      <c r="O276" s="235">
        <f t="shared" si="78"/>
        <v>14747</v>
      </c>
    </row>
    <row r="277" spans="4:24" ht="12.75" customHeight="1" x14ac:dyDescent="0.25">
      <c r="E277" s="308" t="s">
        <v>3916</v>
      </c>
      <c r="F277" s="115"/>
      <c r="G277" s="235"/>
      <c r="H277" s="235"/>
      <c r="I277" s="235"/>
      <c r="J277" s="235">
        <v>3523</v>
      </c>
      <c r="K277" s="235">
        <f t="shared" si="78"/>
        <v>3615</v>
      </c>
      <c r="L277" s="235">
        <f t="shared" si="78"/>
        <v>3691</v>
      </c>
      <c r="M277" s="235">
        <f t="shared" si="78"/>
        <v>3776</v>
      </c>
      <c r="N277" s="235">
        <f t="shared" si="78"/>
        <v>3863</v>
      </c>
      <c r="O277" s="235">
        <f t="shared" si="78"/>
        <v>3952</v>
      </c>
    </row>
    <row r="278" spans="4:24" ht="12.75" customHeight="1" x14ac:dyDescent="0.25">
      <c r="E278" s="308"/>
      <c r="F278" s="115"/>
      <c r="G278" s="235"/>
      <c r="H278" s="235"/>
      <c r="I278" s="235"/>
      <c r="J278" s="235"/>
      <c r="K278" s="235"/>
      <c r="L278" s="235"/>
      <c r="M278" s="235"/>
      <c r="N278" s="235"/>
      <c r="O278" s="235"/>
    </row>
    <row r="279" spans="4:24" ht="12.75" customHeight="1" x14ac:dyDescent="0.25">
      <c r="E279" s="308" t="s">
        <v>3917</v>
      </c>
      <c r="F279" s="115"/>
      <c r="G279" s="235"/>
      <c r="H279" s="235"/>
      <c r="I279" s="235"/>
      <c r="J279" s="235"/>
      <c r="K279" s="235"/>
      <c r="L279" s="235"/>
      <c r="M279" s="235"/>
      <c r="N279" s="235"/>
      <c r="O279" s="235"/>
    </row>
    <row r="280" spans="4:24" ht="12.75" customHeight="1" x14ac:dyDescent="0.25">
      <c r="E280" s="308" t="s">
        <v>3918</v>
      </c>
      <c r="F280" s="115"/>
      <c r="G280" s="235"/>
      <c r="H280" s="235"/>
      <c r="I280" s="235"/>
      <c r="J280" s="235"/>
      <c r="K280" s="235"/>
      <c r="L280" s="235"/>
      <c r="M280" s="235"/>
      <c r="N280" s="235"/>
      <c r="O280" s="235"/>
      <c r="U280" s="1698">
        <v>1.046</v>
      </c>
      <c r="V280" s="1698">
        <v>1.0409999999999999</v>
      </c>
      <c r="W280" s="1698">
        <v>1.0409999999999999</v>
      </c>
      <c r="X280" s="1698">
        <v>1.0409999999999999</v>
      </c>
    </row>
    <row r="281" spans="4:24" ht="12.75" customHeight="1" x14ac:dyDescent="0.25">
      <c r="E281" s="308"/>
      <c r="F281" s="115"/>
      <c r="G281" s="235"/>
      <c r="H281" s="235"/>
      <c r="I281" s="235"/>
      <c r="J281" s="235"/>
      <c r="K281" s="235"/>
      <c r="L281" s="235"/>
      <c r="M281" s="235"/>
      <c r="N281" s="235"/>
      <c r="O281" s="235"/>
    </row>
    <row r="282" spans="4:24" ht="12.75" customHeight="1" x14ac:dyDescent="0.25">
      <c r="E282" s="381" t="s">
        <v>619</v>
      </c>
      <c r="F282" s="115"/>
      <c r="G282" s="235"/>
      <c r="H282" s="235"/>
      <c r="I282" s="235"/>
      <c r="J282" s="1910">
        <v>84019</v>
      </c>
      <c r="K282" s="1910">
        <f t="shared" ref="K282:M282" si="79">SUM(K274:K281)</f>
        <v>86204</v>
      </c>
      <c r="L282" s="1910">
        <f t="shared" si="79"/>
        <v>88015</v>
      </c>
      <c r="M282" s="1910">
        <f t="shared" si="79"/>
        <v>90040</v>
      </c>
      <c r="N282" s="1910">
        <f t="shared" ref="N282:O282" si="80">SUM(N274:N281)</f>
        <v>92111</v>
      </c>
      <c r="O282" s="1910">
        <f t="shared" si="80"/>
        <v>94230</v>
      </c>
    </row>
    <row r="283" spans="4:24" ht="12.75" customHeight="1" x14ac:dyDescent="0.25">
      <c r="E283" s="115"/>
      <c r="F283" s="115"/>
      <c r="G283" s="235"/>
      <c r="H283" s="235"/>
      <c r="I283" s="235"/>
      <c r="J283" s="114"/>
      <c r="K283" s="114"/>
      <c r="L283" s="114"/>
      <c r="M283" s="114"/>
      <c r="N283" s="114"/>
      <c r="O283" s="114"/>
    </row>
    <row r="284" spans="4:24" ht="12.75" customHeight="1" x14ac:dyDescent="0.25">
      <c r="E284" s="115"/>
      <c r="F284" s="308"/>
      <c r="G284" s="235"/>
      <c r="H284" s="235"/>
      <c r="I284" s="235"/>
      <c r="J284" s="235"/>
      <c r="K284" s="235"/>
      <c r="L284" s="235"/>
      <c r="M284" s="235"/>
      <c r="N284" s="235"/>
      <c r="O284" s="235"/>
    </row>
    <row r="285" spans="4:24" ht="12.75" customHeight="1" x14ac:dyDescent="0.25">
      <c r="D285" s="143">
        <v>43814</v>
      </c>
      <c r="E285" s="1034" t="s">
        <v>3919</v>
      </c>
      <c r="F285" s="308"/>
      <c r="G285" s="235"/>
      <c r="H285" s="235"/>
      <c r="I285" s="235"/>
      <c r="J285" s="235"/>
      <c r="K285" s="235"/>
      <c r="L285" s="235"/>
      <c r="M285" s="235"/>
      <c r="N285" s="235"/>
      <c r="O285" s="235"/>
    </row>
    <row r="286" spans="4:24" ht="12.75" customHeight="1" x14ac:dyDescent="0.25">
      <c r="D286" s="143"/>
      <c r="E286" s="115"/>
      <c r="H286" s="308"/>
      <c r="I286" s="235"/>
      <c r="J286" s="235"/>
      <c r="K286" s="235"/>
      <c r="L286" s="235"/>
      <c r="M286" s="235"/>
      <c r="N286" s="235"/>
      <c r="O286" s="235"/>
    </row>
    <row r="287" spans="4:24" ht="12.75" customHeight="1" x14ac:dyDescent="0.25">
      <c r="D287" s="143" t="s">
        <v>2947</v>
      </c>
      <c r="E287" s="115" t="s">
        <v>3920</v>
      </c>
      <c r="F287" s="308"/>
      <c r="G287" s="235"/>
      <c r="H287" s="235"/>
      <c r="I287" s="235"/>
      <c r="J287" s="235">
        <v>757202</v>
      </c>
      <c r="K287" s="290">
        <v>789004</v>
      </c>
      <c r="L287" s="235">
        <f>ROUND(K287*T$3,0)</f>
        <v>822142</v>
      </c>
      <c r="M287" s="235">
        <f>ROUND(L287*U$3,0)</f>
        <v>852561</v>
      </c>
      <c r="N287" s="235">
        <f>ROUND(M287*V$3,0)</f>
        <v>884106</v>
      </c>
      <c r="O287" s="235">
        <f>ROUND(N287*W$3,0)</f>
        <v>916818</v>
      </c>
      <c r="R287" s="1035">
        <v>800000</v>
      </c>
      <c r="T287" s="114">
        <f>+J305</f>
        <v>1664350</v>
      </c>
    </row>
    <row r="288" spans="4:24" ht="12.75" customHeight="1" x14ac:dyDescent="0.25">
      <c r="E288" s="115" t="s">
        <v>2949</v>
      </c>
      <c r="F288" s="308"/>
      <c r="G288" s="235"/>
      <c r="H288" s="235"/>
      <c r="I288" s="235"/>
      <c r="J288" s="235"/>
      <c r="K288" s="290"/>
      <c r="L288" s="235"/>
      <c r="M288" s="235"/>
      <c r="N288" s="235"/>
      <c r="O288" s="235"/>
      <c r="R288" s="1035"/>
      <c r="T288" s="114">
        <f>+'T21'!K610</f>
        <v>281706</v>
      </c>
    </row>
    <row r="289" spans="4:20" ht="12.75" customHeight="1" x14ac:dyDescent="0.25">
      <c r="E289" s="115" t="s">
        <v>2950</v>
      </c>
      <c r="F289" s="308"/>
      <c r="G289" s="235"/>
      <c r="H289" s="235"/>
      <c r="I289" s="235"/>
      <c r="J289" s="235"/>
      <c r="K289" s="290"/>
      <c r="L289" s="235"/>
      <c r="M289" s="235"/>
      <c r="N289" s="235"/>
      <c r="O289" s="235"/>
      <c r="R289" s="1035"/>
      <c r="T289" s="114">
        <f>+'T21'!K581</f>
        <v>83093</v>
      </c>
    </row>
    <row r="290" spans="4:20" ht="12.75" customHeight="1" x14ac:dyDescent="0.25">
      <c r="E290" s="115" t="s">
        <v>2957</v>
      </c>
      <c r="F290" s="308"/>
      <c r="G290" s="235"/>
      <c r="H290" s="235"/>
      <c r="I290" s="235"/>
      <c r="J290" s="235"/>
      <c r="K290" s="290"/>
      <c r="L290" s="235"/>
      <c r="M290" s="235"/>
      <c r="N290" s="235"/>
      <c r="O290" s="235"/>
      <c r="R290" s="1035"/>
    </row>
    <row r="291" spans="4:20" ht="12.75" customHeight="1" x14ac:dyDescent="0.25">
      <c r="E291" s="115"/>
      <c r="F291" s="308"/>
      <c r="G291" s="235"/>
      <c r="H291" s="235"/>
      <c r="I291" s="235"/>
      <c r="J291" s="235"/>
      <c r="K291" s="290"/>
      <c r="L291" s="235"/>
      <c r="M291" s="235"/>
      <c r="N291" s="235"/>
      <c r="O291" s="235"/>
      <c r="R291" s="1035"/>
    </row>
    <row r="292" spans="4:20" ht="12.75" customHeight="1" x14ac:dyDescent="0.25">
      <c r="D292" s="143" t="s">
        <v>2951</v>
      </c>
      <c r="E292" s="115" t="s">
        <v>3921</v>
      </c>
      <c r="F292" s="308"/>
      <c r="G292" s="235"/>
      <c r="H292" s="235"/>
      <c r="I292" s="235"/>
      <c r="J292" s="235">
        <v>686075</v>
      </c>
      <c r="K292" s="290">
        <v>714890</v>
      </c>
      <c r="L292" s="235">
        <f>ROUND(K292*T$3,0)</f>
        <v>744915</v>
      </c>
      <c r="M292" s="235">
        <f>ROUND(L292*U$3,0)</f>
        <v>772477</v>
      </c>
      <c r="N292" s="235">
        <f>ROUND(M292*V$3,0)</f>
        <v>801059</v>
      </c>
      <c r="O292" s="235">
        <f>ROUND(N292*W$3,0)</f>
        <v>830698</v>
      </c>
      <c r="R292" s="1035">
        <v>850000</v>
      </c>
    </row>
    <row r="293" spans="4:20" ht="12.75" customHeight="1" x14ac:dyDescent="0.25">
      <c r="D293" s="143"/>
      <c r="E293" s="115" t="s">
        <v>2953</v>
      </c>
      <c r="F293" s="308"/>
      <c r="G293" s="235"/>
      <c r="H293" s="235"/>
      <c r="I293" s="235"/>
      <c r="J293" s="235"/>
      <c r="K293" s="290"/>
      <c r="L293" s="235"/>
      <c r="M293" s="235"/>
      <c r="N293" s="235"/>
      <c r="O293" s="235"/>
      <c r="R293" s="1035"/>
      <c r="T293" s="114">
        <f>SUM(T287:T292)</f>
        <v>2029149</v>
      </c>
    </row>
    <row r="294" spans="4:20" ht="12.75" customHeight="1" x14ac:dyDescent="0.25">
      <c r="D294" s="143"/>
      <c r="E294" s="115" t="s">
        <v>2954</v>
      </c>
      <c r="F294" s="308"/>
      <c r="G294" s="235"/>
      <c r="H294" s="235"/>
      <c r="I294" s="235"/>
      <c r="J294" s="235"/>
      <c r="K294" s="290"/>
      <c r="L294" s="235"/>
      <c r="M294" s="235"/>
      <c r="N294" s="235"/>
      <c r="O294" s="235"/>
      <c r="R294" s="1035"/>
    </row>
    <row r="295" spans="4:20" ht="12.75" customHeight="1" x14ac:dyDescent="0.25">
      <c r="E295" s="115"/>
      <c r="F295" s="308"/>
      <c r="G295" s="235"/>
      <c r="H295" s="235"/>
      <c r="I295" s="235"/>
      <c r="J295" s="235"/>
      <c r="K295" s="290"/>
      <c r="L295" s="235"/>
      <c r="M295" s="235"/>
      <c r="N295" s="235"/>
      <c r="O295" s="235"/>
      <c r="R295" s="1035"/>
    </row>
    <row r="296" spans="4:20" ht="12.75" customHeight="1" x14ac:dyDescent="0.25">
      <c r="D296" s="143" t="s">
        <v>2955</v>
      </c>
      <c r="E296" s="115" t="s">
        <v>3922</v>
      </c>
      <c r="F296" s="308"/>
      <c r="G296" s="235"/>
      <c r="H296" s="235"/>
      <c r="I296" s="235"/>
      <c r="J296" s="235">
        <v>49611</v>
      </c>
      <c r="K296" s="290">
        <v>51695</v>
      </c>
      <c r="L296" s="235">
        <f>ROUND(K296*T$3,0)</f>
        <v>53866</v>
      </c>
      <c r="M296" s="235">
        <f>ROUND(L296*U$3,0)</f>
        <v>55859</v>
      </c>
      <c r="N296" s="235">
        <f>ROUND(M296*V$3,0)</f>
        <v>57926</v>
      </c>
      <c r="O296" s="235">
        <f>ROUND(N296*W$3,0)</f>
        <v>60069</v>
      </c>
      <c r="R296" s="1035">
        <v>50000</v>
      </c>
    </row>
    <row r="297" spans="4:20" ht="12.75" customHeight="1" x14ac:dyDescent="0.25">
      <c r="D297" s="143"/>
      <c r="F297" s="308"/>
      <c r="G297" s="235"/>
      <c r="H297" s="235"/>
      <c r="I297" s="235"/>
      <c r="J297" s="235"/>
      <c r="K297" s="290"/>
      <c r="L297" s="235"/>
      <c r="M297" s="235"/>
      <c r="N297" s="235"/>
      <c r="O297" s="235"/>
      <c r="R297" s="1035"/>
    </row>
    <row r="298" spans="4:20" ht="12.75" customHeight="1" x14ac:dyDescent="0.25">
      <c r="D298" s="143"/>
      <c r="E298" s="115"/>
      <c r="F298" s="308"/>
      <c r="G298" s="235"/>
      <c r="H298" s="235"/>
      <c r="I298" s="235"/>
      <c r="J298" s="235"/>
      <c r="K298" s="290"/>
      <c r="L298" s="235"/>
      <c r="M298" s="235"/>
      <c r="N298" s="235"/>
      <c r="O298" s="235"/>
      <c r="R298" s="1035"/>
    </row>
    <row r="299" spans="4:20" ht="12.75" customHeight="1" x14ac:dyDescent="0.25">
      <c r="D299" s="143" t="s">
        <v>2966</v>
      </c>
      <c r="E299" s="115" t="s">
        <v>3923</v>
      </c>
      <c r="H299" s="308"/>
      <c r="I299" s="235"/>
      <c r="J299" s="235">
        <v>81462</v>
      </c>
      <c r="K299" s="290">
        <v>84883</v>
      </c>
      <c r="L299" s="235">
        <f>ROUND(K299*T$3,0)</f>
        <v>88448</v>
      </c>
      <c r="M299" s="235">
        <f>ROUND(L299*U$3,0)</f>
        <v>91721</v>
      </c>
      <c r="N299" s="235">
        <f>ROUND(M299*V$3,0)</f>
        <v>95115</v>
      </c>
      <c r="O299" s="235">
        <f>ROUND(N299*W$3,0)</f>
        <v>98634</v>
      </c>
      <c r="R299" s="1035">
        <v>100000</v>
      </c>
    </row>
    <row r="300" spans="4:20" ht="12.75" customHeight="1" x14ac:dyDescent="0.25">
      <c r="D300" s="143"/>
      <c r="E300" s="115"/>
      <c r="H300" s="308"/>
      <c r="I300" s="235"/>
      <c r="J300" s="235"/>
      <c r="K300" s="290"/>
      <c r="L300" s="235"/>
      <c r="M300" s="235"/>
      <c r="N300" s="235"/>
      <c r="O300" s="235"/>
      <c r="R300" s="1035"/>
    </row>
    <row r="301" spans="4:20" ht="12.75" customHeight="1" x14ac:dyDescent="0.25">
      <c r="D301" s="143"/>
      <c r="E301" s="115"/>
      <c r="H301" s="308"/>
      <c r="I301" s="235"/>
      <c r="J301" s="115"/>
      <c r="K301" s="115"/>
      <c r="L301" s="115"/>
      <c r="M301" s="115"/>
      <c r="N301" s="115"/>
      <c r="O301" s="115"/>
      <c r="R301" s="1035"/>
    </row>
    <row r="302" spans="4:20" ht="12.75" customHeight="1" x14ac:dyDescent="0.25">
      <c r="D302" s="143"/>
      <c r="E302" s="115" t="s">
        <v>3924</v>
      </c>
      <c r="H302" s="308"/>
      <c r="I302" s="235"/>
      <c r="J302" s="115"/>
      <c r="K302" s="115"/>
      <c r="L302" s="115"/>
      <c r="M302" s="115"/>
      <c r="N302" s="115"/>
      <c r="O302" s="115"/>
      <c r="R302" s="1035"/>
    </row>
    <row r="303" spans="4:20" ht="12.75" customHeight="1" x14ac:dyDescent="0.25">
      <c r="D303" s="143"/>
      <c r="E303" s="115" t="s">
        <v>3925</v>
      </c>
      <c r="H303" s="308"/>
      <c r="I303" s="235"/>
      <c r="J303" s="153">
        <v>90000</v>
      </c>
      <c r="K303" s="1699">
        <v>120000</v>
      </c>
      <c r="L303" s="153">
        <v>150000</v>
      </c>
      <c r="M303" s="153">
        <v>150000</v>
      </c>
      <c r="N303" s="153">
        <v>150000</v>
      </c>
      <c r="O303" s="153">
        <v>150000</v>
      </c>
      <c r="R303" s="1035">
        <f>+J303</f>
        <v>90000</v>
      </c>
    </row>
    <row r="304" spans="4:20" ht="12.75" customHeight="1" x14ac:dyDescent="0.25">
      <c r="D304" s="143"/>
      <c r="E304" s="115"/>
      <c r="H304" s="308"/>
      <c r="I304" s="235"/>
      <c r="J304" s="115"/>
      <c r="K304" s="115"/>
      <c r="L304" s="115"/>
      <c r="M304" s="115"/>
      <c r="N304" s="115"/>
      <c r="O304" s="115"/>
      <c r="R304" s="1035"/>
    </row>
    <row r="305" spans="4:18" ht="12.75" customHeight="1" x14ac:dyDescent="0.25">
      <c r="E305" s="381" t="s">
        <v>3926</v>
      </c>
      <c r="F305" s="308"/>
      <c r="G305" s="235"/>
      <c r="H305" s="235"/>
      <c r="I305" s="235"/>
      <c r="J305" s="1910">
        <v>1664350</v>
      </c>
      <c r="K305" s="1910">
        <f t="shared" ref="K305:M305" si="81">SUM(K287:K303)</f>
        <v>1760472</v>
      </c>
      <c r="L305" s="1910">
        <f t="shared" si="81"/>
        <v>1859371</v>
      </c>
      <c r="M305" s="1910">
        <f t="shared" si="81"/>
        <v>1922618</v>
      </c>
      <c r="N305" s="1910">
        <f t="shared" ref="N305:O305" si="82">SUM(N287:N303)</f>
        <v>1988206</v>
      </c>
      <c r="O305" s="1910">
        <f t="shared" si="82"/>
        <v>2056219</v>
      </c>
      <c r="R305" s="1036">
        <f>SUM(R287:R303)</f>
        <v>1890000</v>
      </c>
    </row>
    <row r="306" spans="4:18" ht="12.75" customHeight="1" x14ac:dyDescent="0.25">
      <c r="E306" s="115"/>
      <c r="F306" s="308"/>
      <c r="G306" s="235"/>
      <c r="H306" s="235"/>
      <c r="I306" s="235"/>
      <c r="J306" s="114"/>
      <c r="K306" s="114"/>
      <c r="L306" s="114"/>
      <c r="M306" s="114"/>
      <c r="N306" s="114"/>
      <c r="O306" s="114"/>
    </row>
    <row r="307" spans="4:18" ht="12.75" customHeight="1" x14ac:dyDescent="0.25">
      <c r="E307" s="115"/>
      <c r="F307" s="308"/>
      <c r="G307" s="235"/>
      <c r="H307" s="235"/>
      <c r="I307" s="235"/>
      <c r="J307" s="114"/>
      <c r="K307" s="114"/>
      <c r="L307" s="114"/>
      <c r="M307" s="114"/>
      <c r="N307" s="114"/>
      <c r="O307" s="114"/>
    </row>
    <row r="308" spans="4:18" ht="12.75" customHeight="1" x14ac:dyDescent="0.25">
      <c r="D308" s="445">
        <v>635002</v>
      </c>
      <c r="E308" s="381" t="s">
        <v>3887</v>
      </c>
      <c r="F308" s="115"/>
      <c r="I308" s="115"/>
      <c r="J308" s="60">
        <v>2025</v>
      </c>
      <c r="K308" s="60">
        <v>2026</v>
      </c>
      <c r="L308" s="60">
        <v>2027</v>
      </c>
      <c r="M308" s="60">
        <v>2028</v>
      </c>
      <c r="N308" s="60">
        <v>2029</v>
      </c>
      <c r="O308" s="60">
        <v>2030</v>
      </c>
    </row>
    <row r="309" spans="4:18" ht="12.75" customHeight="1" x14ac:dyDescent="0.25">
      <c r="D309" s="115"/>
      <c r="E309" s="383" t="s">
        <v>533</v>
      </c>
      <c r="F309" s="115"/>
      <c r="I309" s="115"/>
      <c r="J309" s="115"/>
      <c r="K309" s="115"/>
      <c r="L309" s="115"/>
      <c r="M309" s="115"/>
      <c r="N309" s="115"/>
      <c r="O309" s="115"/>
    </row>
    <row r="310" spans="4:18" ht="12.75" customHeight="1" x14ac:dyDescent="0.25">
      <c r="D310" s="306">
        <v>43812</v>
      </c>
      <c r="E310" s="115" t="s">
        <v>3927</v>
      </c>
      <c r="F310" s="115"/>
      <c r="I310" s="115"/>
      <c r="J310" s="235">
        <v>40605</v>
      </c>
      <c r="K310" s="235">
        <f>ROUND(J310*S$2,0)</f>
        <v>41661</v>
      </c>
      <c r="L310" s="235">
        <f>ROUND(K310*T$2,0)</f>
        <v>42536</v>
      </c>
      <c r="M310" s="235">
        <f>ROUND(L310*U$2,0)</f>
        <v>43514</v>
      </c>
      <c r="N310" s="235">
        <f>ROUND(M310*V$2,0)</f>
        <v>44515</v>
      </c>
      <c r="O310" s="235">
        <f>ROUND(N310*W$2,0)</f>
        <v>45539</v>
      </c>
    </row>
    <row r="311" spans="4:18" ht="12.75" customHeight="1" x14ac:dyDescent="0.25">
      <c r="D311" s="115"/>
      <c r="E311" s="381" t="str">
        <f>"Totaal "&amp;D310</f>
        <v>Totaal 43812</v>
      </c>
      <c r="F311" s="115"/>
      <c r="I311" s="115"/>
      <c r="J311" s="1910">
        <v>40605</v>
      </c>
      <c r="K311" s="1910">
        <f t="shared" ref="K311:N311" si="83">SUM(K310:K310)</f>
        <v>41661</v>
      </c>
      <c r="L311" s="1910">
        <f t="shared" si="83"/>
        <v>42536</v>
      </c>
      <c r="M311" s="1910">
        <f t="shared" si="83"/>
        <v>43514</v>
      </c>
      <c r="N311" s="1910">
        <f t="shared" si="83"/>
        <v>44515</v>
      </c>
      <c r="O311" s="1910">
        <f t="shared" ref="O311" si="84">SUM(O310:O310)</f>
        <v>45539</v>
      </c>
    </row>
    <row r="312" spans="4:18" ht="12.75" customHeight="1" x14ac:dyDescent="0.25">
      <c r="E312" s="115"/>
      <c r="F312" s="308"/>
      <c r="G312" s="235"/>
      <c r="H312" s="235"/>
      <c r="I312" s="235"/>
      <c r="J312" s="114"/>
      <c r="K312" s="114"/>
      <c r="L312" s="114"/>
      <c r="M312" s="114"/>
      <c r="N312" s="114"/>
      <c r="O312" s="114"/>
    </row>
    <row r="313" spans="4:18" ht="12.75" customHeight="1" x14ac:dyDescent="0.25">
      <c r="E313" s="115"/>
      <c r="F313" s="308"/>
      <c r="G313" s="235"/>
      <c r="H313" s="235"/>
      <c r="I313" s="235"/>
      <c r="J313" s="114"/>
      <c r="K313" s="114"/>
      <c r="L313" s="114"/>
      <c r="M313" s="114"/>
      <c r="N313" s="114"/>
      <c r="O313" s="114"/>
    </row>
    <row r="314" spans="4:18" ht="12.75" customHeight="1" x14ac:dyDescent="0.25">
      <c r="D314" s="393">
        <v>635003</v>
      </c>
      <c r="E314" s="381" t="s">
        <v>3889</v>
      </c>
      <c r="F314" s="115"/>
      <c r="G314" s="235"/>
      <c r="H314" s="235"/>
      <c r="I314" s="235"/>
      <c r="J314" s="242"/>
      <c r="K314" s="242"/>
      <c r="L314" s="242"/>
      <c r="M314" s="242"/>
      <c r="N314" s="242"/>
      <c r="O314" s="242"/>
    </row>
    <row r="315" spans="4:18" ht="12.75" customHeight="1" x14ac:dyDescent="0.25">
      <c r="D315" s="143">
        <v>43805</v>
      </c>
      <c r="E315" s="115" t="s">
        <v>1010</v>
      </c>
      <c r="F315" s="115"/>
      <c r="G315" s="235"/>
      <c r="H315" s="235"/>
      <c r="I315" s="235"/>
      <c r="J315" s="235">
        <v>13229</v>
      </c>
      <c r="K315" s="235">
        <f>ROUND(J315*S$2,0)</f>
        <v>13573</v>
      </c>
      <c r="L315" s="235">
        <f>ROUND(K315*T$2,0)</f>
        <v>13858</v>
      </c>
      <c r="M315" s="235">
        <f>ROUND(L315*U$2,0)</f>
        <v>14177</v>
      </c>
      <c r="N315" s="235">
        <f>ROUND(M315*V$2,0)</f>
        <v>14503</v>
      </c>
      <c r="O315" s="235">
        <f>ROUND(N315*W$2,0)</f>
        <v>14837</v>
      </c>
    </row>
    <row r="316" spans="4:18" ht="12.75" customHeight="1" x14ac:dyDescent="0.25">
      <c r="E316" s="115" t="s">
        <v>3928</v>
      </c>
      <c r="F316" s="115"/>
      <c r="G316" s="235"/>
      <c r="H316" s="235"/>
      <c r="I316" s="235"/>
      <c r="J316" s="1910">
        <v>13229</v>
      </c>
      <c r="K316" s="1910">
        <f>SUM(K315:K315)</f>
        <v>13573</v>
      </c>
      <c r="L316" s="1910">
        <f>SUM(L315:L315)</f>
        <v>13858</v>
      </c>
      <c r="M316" s="1910">
        <f>SUM(M315:M315)</f>
        <v>14177</v>
      </c>
      <c r="N316" s="1910">
        <f>SUM(N315:N315)</f>
        <v>14503</v>
      </c>
      <c r="O316" s="1910">
        <f>SUM(O315:O315)</f>
        <v>14837</v>
      </c>
    </row>
    <row r="317" spans="4:18" ht="12.75" customHeight="1" x14ac:dyDescent="0.25">
      <c r="E317" s="381" t="str">
        <f>"Totaal "&amp;D315</f>
        <v>Totaal 43805</v>
      </c>
      <c r="F317" s="115"/>
      <c r="G317" s="235"/>
      <c r="H317" s="235"/>
      <c r="I317" s="235"/>
      <c r="J317" s="114"/>
      <c r="K317" s="114"/>
      <c r="L317" s="114"/>
      <c r="M317" s="114"/>
      <c r="N317" s="114"/>
      <c r="O317" s="114"/>
    </row>
    <row r="318" spans="4:18" ht="12.75" customHeight="1" x14ac:dyDescent="0.25">
      <c r="E318" s="115"/>
      <c r="F318" s="115"/>
      <c r="G318" s="235"/>
      <c r="H318" s="235"/>
      <c r="I318" s="235"/>
      <c r="J318" s="242"/>
      <c r="K318" s="242"/>
      <c r="L318" s="242"/>
      <c r="M318" s="242"/>
      <c r="N318" s="242"/>
      <c r="O318" s="242"/>
    </row>
    <row r="319" spans="4:18" ht="12.75" customHeight="1" x14ac:dyDescent="0.25">
      <c r="D319" s="143">
        <v>43812</v>
      </c>
      <c r="E319" s="115" t="s">
        <v>3929</v>
      </c>
      <c r="F319" s="115"/>
      <c r="G319" s="235"/>
      <c r="H319" s="235"/>
      <c r="I319" s="235"/>
      <c r="J319" s="235">
        <v>1900</v>
      </c>
      <c r="K319" s="235">
        <f t="shared" ref="K319:O320" si="85">ROUND(J319*S$2,0)</f>
        <v>1949</v>
      </c>
      <c r="L319" s="235">
        <f t="shared" si="85"/>
        <v>1990</v>
      </c>
      <c r="M319" s="235">
        <f t="shared" si="85"/>
        <v>2036</v>
      </c>
      <c r="N319" s="235">
        <f t="shared" si="85"/>
        <v>2083</v>
      </c>
      <c r="O319" s="235">
        <f t="shared" si="85"/>
        <v>2131</v>
      </c>
    </row>
    <row r="320" spans="4:18" ht="12.75" customHeight="1" x14ac:dyDescent="0.25">
      <c r="E320" s="115" t="s">
        <v>3930</v>
      </c>
      <c r="F320" s="115"/>
      <c r="G320" s="235"/>
      <c r="H320" s="235"/>
      <c r="I320" s="235"/>
      <c r="J320" s="235">
        <v>1900</v>
      </c>
      <c r="K320" s="235">
        <f t="shared" si="85"/>
        <v>1949</v>
      </c>
      <c r="L320" s="235">
        <f t="shared" si="85"/>
        <v>1990</v>
      </c>
      <c r="M320" s="235">
        <f t="shared" si="85"/>
        <v>2036</v>
      </c>
      <c r="N320" s="235">
        <f t="shared" si="85"/>
        <v>2083</v>
      </c>
      <c r="O320" s="235">
        <f t="shared" si="85"/>
        <v>2131</v>
      </c>
    </row>
    <row r="321" spans="4:15" ht="12.75" customHeight="1" x14ac:dyDescent="0.25">
      <c r="E321" s="308" t="s">
        <v>3931</v>
      </c>
      <c r="F321" s="115"/>
      <c r="G321" s="235"/>
      <c r="H321" s="235"/>
      <c r="I321" s="235"/>
      <c r="J321" s="235"/>
      <c r="K321" s="235"/>
      <c r="L321" s="235"/>
      <c r="M321" s="235"/>
      <c r="N321" s="235"/>
      <c r="O321" s="235"/>
    </row>
    <row r="322" spans="4:15" ht="12.75" customHeight="1" x14ac:dyDescent="0.25">
      <c r="E322" s="115" t="s">
        <v>3932</v>
      </c>
      <c r="F322" s="115"/>
      <c r="G322" s="235"/>
      <c r="H322" s="235"/>
      <c r="I322" s="235"/>
      <c r="J322" s="235">
        <v>9135</v>
      </c>
      <c r="K322" s="235">
        <f t="shared" ref="K322:O323" si="86">ROUND(J322*S$2,0)</f>
        <v>9373</v>
      </c>
      <c r="L322" s="235">
        <f t="shared" si="86"/>
        <v>9570</v>
      </c>
      <c r="M322" s="235">
        <f t="shared" si="86"/>
        <v>9790</v>
      </c>
      <c r="N322" s="235">
        <f t="shared" si="86"/>
        <v>10015</v>
      </c>
      <c r="O322" s="235">
        <f t="shared" si="86"/>
        <v>10245</v>
      </c>
    </row>
    <row r="323" spans="4:15" ht="12.75" customHeight="1" x14ac:dyDescent="0.25">
      <c r="E323" s="308" t="s">
        <v>3933</v>
      </c>
      <c r="F323" s="115"/>
      <c r="G323" s="235"/>
      <c r="H323" s="235"/>
      <c r="I323" s="235"/>
      <c r="J323" s="235">
        <v>3371</v>
      </c>
      <c r="K323" s="235">
        <f t="shared" si="86"/>
        <v>3459</v>
      </c>
      <c r="L323" s="235">
        <f t="shared" si="86"/>
        <v>3532</v>
      </c>
      <c r="M323" s="235">
        <f t="shared" si="86"/>
        <v>3613</v>
      </c>
      <c r="N323" s="235">
        <f t="shared" si="86"/>
        <v>3696</v>
      </c>
      <c r="O323" s="235">
        <f t="shared" si="86"/>
        <v>3781</v>
      </c>
    </row>
    <row r="324" spans="4:15" ht="12.75" customHeight="1" x14ac:dyDescent="0.25">
      <c r="E324" s="308"/>
      <c r="F324" s="115"/>
      <c r="G324" s="235"/>
      <c r="H324" s="235"/>
      <c r="I324" s="235"/>
      <c r="J324" s="235"/>
      <c r="K324" s="235"/>
      <c r="L324" s="235"/>
      <c r="M324" s="235"/>
      <c r="N324" s="235"/>
      <c r="O324" s="235"/>
    </row>
    <row r="325" spans="4:15" ht="12.75" customHeight="1" x14ac:dyDescent="0.25">
      <c r="E325" s="308" t="s">
        <v>3917</v>
      </c>
      <c r="F325" s="115"/>
      <c r="G325" s="235"/>
      <c r="H325" s="235"/>
      <c r="I325" s="235"/>
      <c r="J325" s="235"/>
      <c r="K325" s="235"/>
      <c r="L325" s="235"/>
      <c r="M325" s="235"/>
      <c r="N325" s="235"/>
      <c r="O325" s="235"/>
    </row>
    <row r="326" spans="4:15" ht="12.75" customHeight="1" x14ac:dyDescent="0.25">
      <c r="E326" s="308" t="s">
        <v>3934</v>
      </c>
      <c r="F326" s="115"/>
      <c r="G326" s="235"/>
      <c r="H326" s="235"/>
      <c r="I326" s="235"/>
      <c r="J326" s="235"/>
      <c r="K326" s="235"/>
      <c r="L326" s="235"/>
      <c r="M326" s="235"/>
      <c r="N326" s="235"/>
      <c r="O326" s="235"/>
    </row>
    <row r="327" spans="4:15" ht="12.75" customHeight="1" x14ac:dyDescent="0.25">
      <c r="G327" s="235"/>
      <c r="H327" s="235"/>
      <c r="I327" s="235"/>
      <c r="J327" s="1910">
        <v>16306</v>
      </c>
      <c r="K327" s="1910">
        <f t="shared" ref="K327:M327" si="87">SUM(K319:K326)</f>
        <v>16730</v>
      </c>
      <c r="L327" s="1910">
        <f t="shared" si="87"/>
        <v>17082</v>
      </c>
      <c r="M327" s="1910">
        <f t="shared" si="87"/>
        <v>17475</v>
      </c>
      <c r="N327" s="1910">
        <f t="shared" ref="N327:O327" si="88">SUM(N319:N326)</f>
        <v>17877</v>
      </c>
      <c r="O327" s="1910">
        <f t="shared" si="88"/>
        <v>18288</v>
      </c>
    </row>
    <row r="328" spans="4:15" ht="12.75" customHeight="1" x14ac:dyDescent="0.25">
      <c r="E328" s="381" t="str">
        <f>"Totaal "&amp;D319</f>
        <v>Totaal 43812</v>
      </c>
      <c r="F328" s="115"/>
      <c r="G328" s="235"/>
      <c r="H328" s="235"/>
      <c r="I328" s="235"/>
      <c r="J328" s="115"/>
      <c r="K328" s="115"/>
      <c r="L328" s="115"/>
      <c r="M328" s="115"/>
      <c r="N328" s="115"/>
      <c r="O328" s="115"/>
    </row>
    <row r="329" spans="4:15" ht="12.75" customHeight="1" x14ac:dyDescent="0.25">
      <c r="E329" s="115"/>
      <c r="F329" s="115"/>
      <c r="G329" s="235"/>
      <c r="H329" s="235"/>
      <c r="I329" s="235"/>
      <c r="J329" s="242"/>
      <c r="K329" s="242"/>
      <c r="L329" s="242"/>
      <c r="M329" s="242"/>
      <c r="N329" s="242"/>
      <c r="O329" s="242"/>
    </row>
    <row r="330" spans="4:15" ht="12.75" customHeight="1" x14ac:dyDescent="0.25">
      <c r="D330" s="393">
        <v>635005</v>
      </c>
      <c r="E330" s="381" t="s">
        <v>3891</v>
      </c>
      <c r="F330" s="115"/>
      <c r="G330" s="531"/>
      <c r="H330" s="531"/>
      <c r="I330" s="531"/>
      <c r="J330" s="407">
        <v>2025</v>
      </c>
      <c r="K330" s="407">
        <v>2026</v>
      </c>
      <c r="L330" s="407">
        <v>2027</v>
      </c>
      <c r="M330" s="407">
        <v>2028</v>
      </c>
      <c r="N330" s="407">
        <v>2029</v>
      </c>
      <c r="O330" s="407">
        <v>2030</v>
      </c>
    </row>
    <row r="331" spans="4:15" ht="12.75" customHeight="1" x14ac:dyDescent="0.25">
      <c r="D331" s="143"/>
      <c r="E331" s="383" t="s">
        <v>533</v>
      </c>
      <c r="F331" s="115"/>
      <c r="I331" s="115"/>
      <c r="J331" s="115"/>
      <c r="K331" s="115"/>
      <c r="L331" s="115"/>
      <c r="M331" s="115"/>
      <c r="N331" s="115"/>
      <c r="O331" s="115"/>
    </row>
    <row r="332" spans="4:15" ht="12.75" customHeight="1" x14ac:dyDescent="0.25">
      <c r="D332" s="143">
        <v>43812</v>
      </c>
      <c r="E332" s="308" t="s">
        <v>3935</v>
      </c>
      <c r="F332" s="115"/>
      <c r="G332" s="114"/>
      <c r="H332" s="114"/>
      <c r="I332" s="114"/>
      <c r="J332" s="114">
        <v>2000</v>
      </c>
      <c r="K332" s="114">
        <v>2000</v>
      </c>
      <c r="L332" s="114">
        <v>2000</v>
      </c>
      <c r="M332" s="114">
        <v>2000</v>
      </c>
      <c r="N332" s="114">
        <v>2000</v>
      </c>
      <c r="O332" s="114">
        <v>2000</v>
      </c>
    </row>
    <row r="333" spans="4:15" ht="12.75" customHeight="1" x14ac:dyDescent="0.25">
      <c r="D333" s="384"/>
      <c r="E333" s="308" t="s">
        <v>3936</v>
      </c>
      <c r="F333" s="115"/>
      <c r="G333" s="114"/>
      <c r="H333" s="114"/>
      <c r="I333" s="114"/>
      <c r="J333" s="114"/>
      <c r="K333" s="114"/>
      <c r="L333" s="114"/>
      <c r="M333" s="114"/>
      <c r="N333" s="114"/>
      <c r="O333" s="114"/>
    </row>
    <row r="334" spans="4:15" ht="12.75" customHeight="1" x14ac:dyDescent="0.25">
      <c r="D334" s="384"/>
      <c r="E334" s="308" t="s">
        <v>3937</v>
      </c>
      <c r="F334" s="115"/>
      <c r="G334" s="114"/>
      <c r="H334" s="114"/>
      <c r="I334" s="114"/>
      <c r="J334" s="114"/>
      <c r="K334" s="114"/>
      <c r="L334" s="114"/>
      <c r="M334" s="114"/>
      <c r="N334" s="114"/>
      <c r="O334" s="114"/>
    </row>
    <row r="335" spans="4:15" ht="12.75" customHeight="1" x14ac:dyDescent="0.25">
      <c r="D335" s="384"/>
      <c r="E335" s="308"/>
      <c r="F335" s="115"/>
      <c r="G335" s="114"/>
      <c r="H335" s="114"/>
      <c r="I335" s="114"/>
      <c r="J335" s="114"/>
      <c r="K335" s="114"/>
      <c r="L335" s="114"/>
      <c r="M335" s="114"/>
      <c r="N335" s="114"/>
      <c r="O335" s="114"/>
    </row>
    <row r="336" spans="4:15" ht="12.75" customHeight="1" thickBot="1" x14ac:dyDescent="0.3">
      <c r="D336" s="384"/>
      <c r="E336" s="308" t="str">
        <f>"Totaal "&amp;D332</f>
        <v>Totaal 43812</v>
      </c>
      <c r="F336" s="115"/>
      <c r="G336" s="114"/>
      <c r="H336" s="114"/>
      <c r="I336" s="114"/>
      <c r="J336" s="1744">
        <v>2000</v>
      </c>
      <c r="K336" s="1744">
        <f t="shared" ref="K336:M336" si="89">SUM(K332:K335)</f>
        <v>2000</v>
      </c>
      <c r="L336" s="1744">
        <f t="shared" si="89"/>
        <v>2000</v>
      </c>
      <c r="M336" s="1744">
        <f t="shared" si="89"/>
        <v>2000</v>
      </c>
      <c r="N336" s="1744">
        <f t="shared" ref="N336:O336" si="90">SUM(N332:N335)</f>
        <v>2000</v>
      </c>
      <c r="O336" s="1744">
        <f t="shared" si="90"/>
        <v>2000</v>
      </c>
    </row>
    <row r="337" spans="4:15" ht="12.75" customHeight="1" thickTop="1" x14ac:dyDescent="0.25">
      <c r="D337" s="384"/>
      <c r="E337" s="308"/>
      <c r="F337" s="115"/>
      <c r="G337" s="114"/>
      <c r="H337" s="114"/>
      <c r="I337" s="114"/>
      <c r="J337" s="114"/>
      <c r="K337" s="114"/>
      <c r="L337" s="114"/>
      <c r="M337" s="114"/>
      <c r="N337" s="114"/>
      <c r="O337" s="114"/>
    </row>
    <row r="338" spans="4:15" ht="12.75" customHeight="1" x14ac:dyDescent="0.25">
      <c r="D338" s="384"/>
      <c r="E338" s="308"/>
      <c r="F338" s="115"/>
      <c r="G338" s="114"/>
      <c r="H338" s="114"/>
      <c r="I338" s="114"/>
      <c r="J338" s="114"/>
      <c r="K338" s="114"/>
      <c r="L338" s="114"/>
      <c r="M338" s="114"/>
      <c r="N338" s="114"/>
      <c r="O338" s="114"/>
    </row>
    <row r="339" spans="4:15" ht="12.75" customHeight="1" x14ac:dyDescent="0.25">
      <c r="D339" s="143">
        <v>43814</v>
      </c>
      <c r="E339" s="115" t="s">
        <v>3938</v>
      </c>
      <c r="F339" s="115"/>
      <c r="G339" s="396"/>
      <c r="H339" s="396"/>
      <c r="I339" s="396"/>
      <c r="J339" s="407">
        <v>2025</v>
      </c>
      <c r="K339" s="407">
        <v>2026</v>
      </c>
      <c r="L339" s="407">
        <v>2027</v>
      </c>
      <c r="M339" s="407">
        <v>2028</v>
      </c>
      <c r="N339" s="407">
        <v>2029</v>
      </c>
      <c r="O339" s="407">
        <v>2030</v>
      </c>
    </row>
    <row r="340" spans="4:15" ht="12.75" customHeight="1" x14ac:dyDescent="0.25">
      <c r="E340" s="115"/>
      <c r="F340" s="115"/>
      <c r="I340" s="115"/>
      <c r="J340" s="115"/>
      <c r="K340" s="115"/>
      <c r="L340" s="115"/>
      <c r="M340" s="115"/>
      <c r="N340" s="115"/>
      <c r="O340" s="115"/>
    </row>
    <row r="341" spans="4:15" ht="12.75" customHeight="1" x14ac:dyDescent="0.25">
      <c r="E341" s="308" t="s">
        <v>3939</v>
      </c>
      <c r="F341" s="115"/>
      <c r="I341" s="115"/>
      <c r="J341" s="115"/>
      <c r="K341" s="115"/>
      <c r="L341" s="115"/>
      <c r="M341" s="115"/>
      <c r="N341" s="115"/>
      <c r="O341" s="115"/>
    </row>
    <row r="342" spans="4:15" ht="12.75" customHeight="1" x14ac:dyDescent="0.25">
      <c r="D342" s="308"/>
      <c r="E342" s="1037">
        <v>2</v>
      </c>
      <c r="F342" s="115" t="s">
        <v>3940</v>
      </c>
      <c r="I342" s="1038"/>
      <c r="J342" s="114"/>
      <c r="K342" s="114"/>
      <c r="L342" s="114"/>
      <c r="M342" s="114"/>
      <c r="N342" s="114"/>
      <c r="O342" s="114"/>
    </row>
    <row r="343" spans="4:15" ht="12.75" customHeight="1" x14ac:dyDescent="0.25">
      <c r="D343" s="115"/>
      <c r="E343" s="400">
        <v>37</v>
      </c>
      <c r="F343" s="115" t="s">
        <v>3941</v>
      </c>
      <c r="I343" s="1038"/>
      <c r="J343" s="114"/>
      <c r="K343" s="114"/>
      <c r="L343" s="114"/>
      <c r="M343" s="114"/>
      <c r="N343" s="114"/>
      <c r="O343" s="114"/>
    </row>
    <row r="344" spans="4:15" ht="12.75" customHeight="1" x14ac:dyDescent="0.25">
      <c r="D344" s="384"/>
      <c r="E344" s="383" t="s">
        <v>3942</v>
      </c>
      <c r="F344" s="115"/>
      <c r="G344" s="114"/>
      <c r="H344" s="114"/>
      <c r="I344" s="114"/>
      <c r="J344" s="114">
        <v>41761</v>
      </c>
      <c r="K344" s="114">
        <f>ROUND(J344*S$2,0)</f>
        <v>42847</v>
      </c>
      <c r="L344" s="114">
        <f>ROUND(K344*T$2,0)</f>
        <v>43747</v>
      </c>
      <c r="M344" s="114">
        <f>ROUND(L344*U$2,0)</f>
        <v>44753</v>
      </c>
      <c r="N344" s="114">
        <f>ROUND(M344*V$2,0)</f>
        <v>45782</v>
      </c>
      <c r="O344" s="114">
        <f>ROUND(N344*W$2,0)</f>
        <v>46835</v>
      </c>
    </row>
    <row r="345" spans="4:15" ht="12.75" customHeight="1" x14ac:dyDescent="0.25">
      <c r="D345" s="384"/>
      <c r="E345" s="308" t="s">
        <v>3943</v>
      </c>
      <c r="F345" s="115"/>
      <c r="G345" s="114"/>
      <c r="H345" s="114"/>
      <c r="I345" s="114"/>
      <c r="J345" s="114"/>
      <c r="K345" s="114"/>
      <c r="L345" s="114"/>
      <c r="M345" s="114"/>
      <c r="N345" s="114"/>
      <c r="O345" s="114"/>
    </row>
    <row r="346" spans="4:15" ht="12.75" customHeight="1" x14ac:dyDescent="0.25">
      <c r="D346" s="384"/>
      <c r="E346" s="308" t="s">
        <v>3944</v>
      </c>
      <c r="F346" s="115"/>
      <c r="G346" s="114"/>
      <c r="H346" s="114"/>
      <c r="I346" s="114"/>
      <c r="J346" s="114"/>
      <c r="K346" s="114"/>
      <c r="L346" s="114"/>
      <c r="M346" s="114"/>
      <c r="N346" s="114"/>
      <c r="O346" s="114"/>
    </row>
    <row r="347" spans="4:15" ht="12.75" customHeight="1" x14ac:dyDescent="0.25">
      <c r="E347" s="308"/>
      <c r="F347" s="308"/>
      <c r="I347" s="115"/>
      <c r="J347" s="115"/>
      <c r="K347" s="115"/>
      <c r="L347" s="115"/>
      <c r="M347" s="115"/>
      <c r="N347" s="115"/>
      <c r="O347" s="115"/>
    </row>
    <row r="348" spans="4:15" ht="12.75" customHeight="1" thickBot="1" x14ac:dyDescent="0.3">
      <c r="E348" s="308" t="str">
        <f>"Totaal "&amp;D339</f>
        <v>Totaal 43814</v>
      </c>
      <c r="F348" s="115"/>
      <c r="G348" s="114"/>
      <c r="H348" s="114"/>
      <c r="I348" s="114"/>
      <c r="J348" s="1744">
        <v>41761</v>
      </c>
      <c r="K348" s="1744">
        <f>SUM(K341:K346)</f>
        <v>42847</v>
      </c>
      <c r="L348" s="1744">
        <f>SUM(L341:L346)</f>
        <v>43747</v>
      </c>
      <c r="M348" s="1744">
        <f>SUM(M341:M346)</f>
        <v>44753</v>
      </c>
      <c r="N348" s="1744">
        <f>SUM(N341:N346)</f>
        <v>45782</v>
      </c>
      <c r="O348" s="1744">
        <f>SUM(O341:O346)</f>
        <v>46835</v>
      </c>
    </row>
    <row r="349" spans="4:15" ht="12.75" customHeight="1" thickTop="1" x14ac:dyDescent="0.25"/>
    <row r="351" spans="4:15" ht="12.75" customHeight="1" x14ac:dyDescent="0.25">
      <c r="D351" s="393">
        <v>635006</v>
      </c>
      <c r="E351" s="381" t="s">
        <v>3945</v>
      </c>
      <c r="F351" s="115"/>
      <c r="G351" s="114"/>
      <c r="H351" s="114"/>
      <c r="I351" s="114"/>
      <c r="J351" s="114"/>
      <c r="K351" s="114"/>
      <c r="L351" s="114"/>
      <c r="M351" s="114"/>
      <c r="N351" s="114"/>
      <c r="O351" s="114"/>
    </row>
    <row r="352" spans="4:15" ht="12.75" customHeight="1" x14ac:dyDescent="0.25">
      <c r="D352" s="143">
        <v>43812</v>
      </c>
      <c r="E352" s="115" t="s">
        <v>3946</v>
      </c>
      <c r="F352" s="115"/>
      <c r="G352" s="114"/>
      <c r="H352" s="114"/>
      <c r="I352" s="114"/>
      <c r="J352" s="486"/>
      <c r="K352" s="486"/>
      <c r="L352" s="486"/>
      <c r="M352" s="486"/>
      <c r="N352" s="486"/>
      <c r="O352" s="486"/>
    </row>
    <row r="353" spans="4:15" ht="12.75" customHeight="1" x14ac:dyDescent="0.25">
      <c r="E353" s="308" t="s">
        <v>3947</v>
      </c>
      <c r="F353" s="308"/>
      <c r="G353" s="114"/>
      <c r="H353" s="114"/>
      <c r="I353" s="114"/>
      <c r="J353" s="114">
        <v>540</v>
      </c>
      <c r="K353" s="114">
        <f t="shared" ref="K353:O357" si="91">ROUND(J353*S$2,0)</f>
        <v>554</v>
      </c>
      <c r="L353" s="114">
        <f t="shared" si="91"/>
        <v>566</v>
      </c>
      <c r="M353" s="114">
        <f t="shared" si="91"/>
        <v>579</v>
      </c>
      <c r="N353" s="114">
        <f t="shared" si="91"/>
        <v>592</v>
      </c>
      <c r="O353" s="114">
        <f t="shared" si="91"/>
        <v>606</v>
      </c>
    </row>
    <row r="354" spans="4:15" ht="12.75" customHeight="1" x14ac:dyDescent="0.25">
      <c r="E354" s="308" t="s">
        <v>3948</v>
      </c>
      <c r="F354" s="115"/>
      <c r="G354" s="114"/>
      <c r="H354" s="114"/>
      <c r="I354" s="114"/>
      <c r="J354" s="114">
        <v>430</v>
      </c>
      <c r="K354" s="114">
        <f t="shared" si="91"/>
        <v>441</v>
      </c>
      <c r="L354" s="114">
        <f t="shared" si="91"/>
        <v>450</v>
      </c>
      <c r="M354" s="114">
        <f t="shared" si="91"/>
        <v>460</v>
      </c>
      <c r="N354" s="114">
        <f t="shared" si="91"/>
        <v>471</v>
      </c>
      <c r="O354" s="114">
        <f t="shared" si="91"/>
        <v>482</v>
      </c>
    </row>
    <row r="355" spans="4:15" ht="12.75" customHeight="1" x14ac:dyDescent="0.25">
      <c r="E355" s="308" t="s">
        <v>3949</v>
      </c>
      <c r="F355" s="115"/>
      <c r="G355" s="114"/>
      <c r="H355" s="114"/>
      <c r="I355" s="114"/>
      <c r="J355" s="114">
        <v>1063</v>
      </c>
      <c r="K355" s="114">
        <f t="shared" si="91"/>
        <v>1091</v>
      </c>
      <c r="L355" s="114">
        <f t="shared" si="91"/>
        <v>1114</v>
      </c>
      <c r="M355" s="114">
        <f t="shared" si="91"/>
        <v>1140</v>
      </c>
      <c r="N355" s="114">
        <f t="shared" si="91"/>
        <v>1166</v>
      </c>
      <c r="O355" s="114">
        <f t="shared" si="91"/>
        <v>1193</v>
      </c>
    </row>
    <row r="356" spans="4:15" ht="12.75" customHeight="1" x14ac:dyDescent="0.25">
      <c r="E356" s="308" t="s">
        <v>3950</v>
      </c>
      <c r="F356" s="115"/>
      <c r="G356" s="114"/>
      <c r="H356" s="114"/>
      <c r="I356" s="114"/>
      <c r="J356" s="114">
        <v>1197</v>
      </c>
      <c r="K356" s="114">
        <f t="shared" si="91"/>
        <v>1228</v>
      </c>
      <c r="L356" s="114">
        <f t="shared" si="91"/>
        <v>1254</v>
      </c>
      <c r="M356" s="114">
        <f t="shared" si="91"/>
        <v>1283</v>
      </c>
      <c r="N356" s="114">
        <f t="shared" si="91"/>
        <v>1313</v>
      </c>
      <c r="O356" s="114">
        <f t="shared" si="91"/>
        <v>1343</v>
      </c>
    </row>
    <row r="357" spans="4:15" ht="12.75" customHeight="1" x14ac:dyDescent="0.25">
      <c r="E357" s="308" t="s">
        <v>3951</v>
      </c>
      <c r="F357" s="115"/>
      <c r="G357" s="114"/>
      <c r="H357" s="114"/>
      <c r="I357" s="114"/>
      <c r="J357" s="114">
        <v>213</v>
      </c>
      <c r="K357" s="114">
        <f t="shared" si="91"/>
        <v>219</v>
      </c>
      <c r="L357" s="114">
        <f t="shared" si="91"/>
        <v>224</v>
      </c>
      <c r="M357" s="114">
        <f t="shared" si="91"/>
        <v>229</v>
      </c>
      <c r="N357" s="114">
        <f t="shared" si="91"/>
        <v>234</v>
      </c>
      <c r="O357" s="114">
        <f t="shared" si="91"/>
        <v>239</v>
      </c>
    </row>
    <row r="358" spans="4:15" ht="12.75" customHeight="1" x14ac:dyDescent="0.25">
      <c r="E358" s="308" t="s">
        <v>3952</v>
      </c>
      <c r="F358" s="115"/>
      <c r="G358" s="114"/>
      <c r="H358" s="114"/>
      <c r="I358" s="114"/>
      <c r="J358" s="114">
        <v>-2000</v>
      </c>
      <c r="K358" s="114">
        <v>-2000</v>
      </c>
      <c r="L358" s="114">
        <v>-2000</v>
      </c>
      <c r="M358" s="114">
        <v>-1999</v>
      </c>
      <c r="N358" s="114">
        <v>-1999</v>
      </c>
      <c r="O358" s="114">
        <v>-1999</v>
      </c>
    </row>
    <row r="359" spans="4:15" ht="12.75" customHeight="1" thickBot="1" x14ac:dyDescent="0.3">
      <c r="D359" s="143"/>
      <c r="E359" s="115" t="str">
        <f>"Totaal "&amp;D352</f>
        <v>Totaal 43812</v>
      </c>
      <c r="F359" s="115"/>
      <c r="G359" s="114"/>
      <c r="H359" s="114"/>
      <c r="I359" s="114"/>
      <c r="J359" s="1744">
        <v>1443</v>
      </c>
      <c r="K359" s="1744">
        <f t="shared" ref="K359:M359" si="92">SUM(K353:K358)</f>
        <v>1533</v>
      </c>
      <c r="L359" s="1744">
        <f t="shared" si="92"/>
        <v>1608</v>
      </c>
      <c r="M359" s="1744">
        <f t="shared" si="92"/>
        <v>1692</v>
      </c>
      <c r="N359" s="1744">
        <f t="shared" ref="N359:O359" si="93">SUM(N353:N358)</f>
        <v>1777</v>
      </c>
      <c r="O359" s="1744">
        <f t="shared" si="93"/>
        <v>1864</v>
      </c>
    </row>
    <row r="360" spans="4:15" ht="12.75" customHeight="1" thickTop="1" x14ac:dyDescent="0.25">
      <c r="E360" s="115"/>
      <c r="F360" s="115"/>
      <c r="G360" s="114"/>
      <c r="H360" s="114"/>
      <c r="I360" s="114"/>
      <c r="J360" s="114"/>
      <c r="K360" s="114"/>
      <c r="L360" s="114"/>
      <c r="M360" s="114"/>
      <c r="N360" s="114"/>
      <c r="O360" s="114"/>
    </row>
    <row r="361" spans="4:15" ht="12.75" customHeight="1" x14ac:dyDescent="0.25">
      <c r="D361" s="143">
        <v>44380</v>
      </c>
      <c r="E361" s="308" t="s">
        <v>3953</v>
      </c>
      <c r="F361" s="308"/>
      <c r="G361" s="114"/>
      <c r="H361" s="114"/>
      <c r="I361" s="114"/>
      <c r="J361" s="114">
        <v>477</v>
      </c>
      <c r="K361" s="114">
        <f>ROUND(J361*S$2,0)</f>
        <v>489</v>
      </c>
      <c r="L361" s="114">
        <f>ROUND(K361*T$2,0)</f>
        <v>499</v>
      </c>
      <c r="M361" s="114">
        <f>ROUND(L361*U$2,0)</f>
        <v>510</v>
      </c>
      <c r="N361" s="114">
        <f>ROUND(M361*V$2,0)</f>
        <v>522</v>
      </c>
      <c r="O361" s="114">
        <f>ROUND(N361*W$2,0)</f>
        <v>534</v>
      </c>
    </row>
    <row r="362" spans="4:15" ht="12.75" customHeight="1" thickBot="1" x14ac:dyDescent="0.3">
      <c r="D362" s="143"/>
      <c r="E362" s="115" t="str">
        <f>"Totaal "&amp;D361</f>
        <v>Totaal 44380</v>
      </c>
      <c r="F362" s="115"/>
      <c r="G362" s="114"/>
      <c r="H362" s="114"/>
      <c r="I362" s="114"/>
      <c r="J362" s="1744">
        <v>477</v>
      </c>
      <c r="K362" s="1744">
        <f>SUM(K361:K361)</f>
        <v>489</v>
      </c>
      <c r="L362" s="1744">
        <f>SUM(L361:L361)</f>
        <v>499</v>
      </c>
      <c r="M362" s="1744">
        <f>SUM(M361:M361)</f>
        <v>510</v>
      </c>
      <c r="N362" s="1744">
        <f>SUM(N361:N361)</f>
        <v>522</v>
      </c>
      <c r="O362" s="1744">
        <f>SUM(O361:O361)</f>
        <v>534</v>
      </c>
    </row>
    <row r="363" spans="4:15" ht="12.75" customHeight="1" thickTop="1" x14ac:dyDescent="0.25">
      <c r="D363" s="143"/>
      <c r="E363" s="115"/>
      <c r="F363" s="115"/>
      <c r="G363" s="114"/>
      <c r="H363" s="114"/>
      <c r="I363" s="114"/>
      <c r="J363" s="114"/>
      <c r="K363" s="114"/>
      <c r="L363" s="114"/>
      <c r="M363" s="114"/>
      <c r="N363" s="114"/>
      <c r="O363" s="114"/>
    </row>
    <row r="364" spans="4:15" ht="12.75" customHeight="1" x14ac:dyDescent="0.25">
      <c r="D364" s="445">
        <v>635006</v>
      </c>
      <c r="E364" s="381" t="s">
        <v>3888</v>
      </c>
      <c r="F364" s="115"/>
      <c r="G364" s="114"/>
      <c r="H364" s="114"/>
      <c r="I364" s="114"/>
      <c r="J364" s="114"/>
      <c r="K364" s="114"/>
      <c r="L364" s="114"/>
      <c r="M364" s="114"/>
      <c r="N364" s="114"/>
      <c r="O364" s="114"/>
    </row>
    <row r="365" spans="4:15" ht="12.75" customHeight="1" x14ac:dyDescent="0.25">
      <c r="E365" s="115"/>
      <c r="F365" s="115"/>
      <c r="G365" s="114"/>
      <c r="H365" s="114"/>
      <c r="I365" s="114"/>
      <c r="J365" s="407">
        <v>2025</v>
      </c>
      <c r="K365" s="407">
        <v>2026</v>
      </c>
      <c r="L365" s="407">
        <v>2027</v>
      </c>
      <c r="M365" s="407">
        <v>2028</v>
      </c>
      <c r="N365" s="407">
        <v>2029</v>
      </c>
      <c r="O365" s="407">
        <v>2030</v>
      </c>
    </row>
    <row r="366" spans="4:15" ht="12.75" customHeight="1" x14ac:dyDescent="0.25">
      <c r="D366" s="143">
        <v>43812</v>
      </c>
      <c r="E366" s="308" t="s">
        <v>3954</v>
      </c>
      <c r="F366" s="308"/>
      <c r="G366" s="114"/>
      <c r="H366" s="114"/>
      <c r="I366" s="114"/>
      <c r="J366" s="114">
        <v>11960</v>
      </c>
      <c r="K366" s="114">
        <f t="shared" ref="K366:O368" si="94">ROUND(J366*S$2,0)</f>
        <v>12271</v>
      </c>
      <c r="L366" s="114">
        <f t="shared" si="94"/>
        <v>12529</v>
      </c>
      <c r="M366" s="114">
        <f t="shared" si="94"/>
        <v>12817</v>
      </c>
      <c r="N366" s="114">
        <f t="shared" si="94"/>
        <v>13112</v>
      </c>
      <c r="O366" s="114">
        <f t="shared" si="94"/>
        <v>13414</v>
      </c>
    </row>
    <row r="367" spans="4:15" ht="12.75" customHeight="1" x14ac:dyDescent="0.25">
      <c r="E367" s="308" t="s">
        <v>3955</v>
      </c>
      <c r="F367" s="308"/>
      <c r="G367" s="114"/>
      <c r="H367" s="114"/>
      <c r="I367" s="114"/>
      <c r="J367" s="114">
        <v>4784</v>
      </c>
      <c r="K367" s="114">
        <f t="shared" si="94"/>
        <v>4908</v>
      </c>
      <c r="L367" s="114">
        <f t="shared" si="94"/>
        <v>5011</v>
      </c>
      <c r="M367" s="114">
        <f t="shared" si="94"/>
        <v>5126</v>
      </c>
      <c r="N367" s="114">
        <f t="shared" si="94"/>
        <v>5244</v>
      </c>
      <c r="O367" s="114">
        <f t="shared" si="94"/>
        <v>5365</v>
      </c>
    </row>
    <row r="368" spans="4:15" ht="12.75" customHeight="1" x14ac:dyDescent="0.25">
      <c r="E368" s="308" t="s">
        <v>3956</v>
      </c>
      <c r="F368" s="115"/>
      <c r="G368" s="114"/>
      <c r="H368" s="114"/>
      <c r="I368" s="114"/>
      <c r="J368" s="114">
        <v>1030</v>
      </c>
      <c r="K368" s="114">
        <f t="shared" si="94"/>
        <v>1057</v>
      </c>
      <c r="L368" s="114">
        <f t="shared" si="94"/>
        <v>1079</v>
      </c>
      <c r="M368" s="114">
        <f t="shared" si="94"/>
        <v>1104</v>
      </c>
      <c r="N368" s="114">
        <f t="shared" si="94"/>
        <v>1129</v>
      </c>
      <c r="O368" s="114">
        <f t="shared" si="94"/>
        <v>1155</v>
      </c>
    </row>
    <row r="369" spans="4:15" ht="12.75" customHeight="1" x14ac:dyDescent="0.25">
      <c r="E369" s="308" t="s">
        <v>3952</v>
      </c>
      <c r="F369" s="115"/>
      <c r="G369" s="114"/>
      <c r="H369" s="114"/>
      <c r="I369" s="114"/>
      <c r="J369" s="114">
        <v>-5000</v>
      </c>
      <c r="K369" s="114">
        <v>-4999</v>
      </c>
      <c r="L369" s="114">
        <v>-4999</v>
      </c>
      <c r="M369" s="114">
        <v>-4998</v>
      </c>
      <c r="N369" s="114">
        <v>-4998</v>
      </c>
      <c r="O369" s="114">
        <v>-4998</v>
      </c>
    </row>
    <row r="370" spans="4:15" ht="12.75" customHeight="1" thickBot="1" x14ac:dyDescent="0.3">
      <c r="D370" s="143"/>
      <c r="E370" s="115" t="str">
        <f>"Totaal "&amp;D366</f>
        <v>Totaal 43812</v>
      </c>
      <c r="F370" s="115"/>
      <c r="G370" s="114"/>
      <c r="H370" s="114"/>
      <c r="I370" s="114"/>
      <c r="J370" s="1744">
        <v>12774</v>
      </c>
      <c r="K370" s="1744">
        <f>SUM(K366:K369)</f>
        <v>13237</v>
      </c>
      <c r="L370" s="1744">
        <f>SUM(L366:L369)</f>
        <v>13620</v>
      </c>
      <c r="M370" s="1744">
        <f>SUM(M366:M369)</f>
        <v>14049</v>
      </c>
      <c r="N370" s="1744">
        <f>SUM(N366:N369)</f>
        <v>14487</v>
      </c>
      <c r="O370" s="1744">
        <f>SUM(O366:O369)</f>
        <v>14936</v>
      </c>
    </row>
    <row r="371" spans="4:15" ht="12.75" customHeight="1" thickTop="1" x14ac:dyDescent="0.25">
      <c r="D371" s="143"/>
      <c r="E371" s="115"/>
      <c r="F371" s="115"/>
      <c r="G371" s="114"/>
      <c r="H371" s="114"/>
      <c r="I371" s="114"/>
      <c r="J371" s="114"/>
      <c r="K371" s="114"/>
      <c r="L371" s="114"/>
      <c r="M371" s="114"/>
      <c r="N371" s="114"/>
      <c r="O371" s="114"/>
    </row>
    <row r="372" spans="4:15" ht="12.75" customHeight="1" x14ac:dyDescent="0.25">
      <c r="D372" s="393">
        <v>635009</v>
      </c>
      <c r="E372" s="381" t="s">
        <v>3893</v>
      </c>
      <c r="F372" s="115"/>
      <c r="G372" s="114"/>
      <c r="H372" s="114"/>
      <c r="I372" s="114"/>
      <c r="J372" s="407">
        <v>2025</v>
      </c>
      <c r="K372" s="407">
        <v>2026</v>
      </c>
      <c r="L372" s="407">
        <v>2027</v>
      </c>
      <c r="M372" s="407">
        <v>2028</v>
      </c>
      <c r="N372" s="407">
        <v>2029</v>
      </c>
      <c r="O372" s="407">
        <v>2030</v>
      </c>
    </row>
    <row r="373" spans="4:15" ht="12.75" customHeight="1" x14ac:dyDescent="0.25">
      <c r="E373" s="115"/>
      <c r="F373" s="115"/>
      <c r="G373" s="114"/>
      <c r="H373" s="114"/>
      <c r="I373" s="114"/>
      <c r="J373" s="114"/>
      <c r="K373" s="114"/>
      <c r="L373" s="114"/>
      <c r="M373" s="114"/>
      <c r="N373" s="114"/>
      <c r="O373" s="114"/>
    </row>
    <row r="374" spans="4:15" ht="12.75" customHeight="1" x14ac:dyDescent="0.25">
      <c r="D374" s="143">
        <v>43812</v>
      </c>
      <c r="E374" s="308" t="s">
        <v>3957</v>
      </c>
      <c r="F374" s="115"/>
      <c r="G374" s="114"/>
      <c r="H374" s="114"/>
      <c r="I374" s="114"/>
      <c r="J374" s="114"/>
      <c r="K374" s="114"/>
      <c r="L374" s="114"/>
      <c r="M374" s="114"/>
      <c r="N374" s="114"/>
      <c r="O374" s="114"/>
    </row>
    <row r="375" spans="4:15" ht="12.75" customHeight="1" x14ac:dyDescent="0.25">
      <c r="E375" s="115" t="s">
        <v>3958</v>
      </c>
      <c r="F375" s="115"/>
      <c r="G375" s="114"/>
      <c r="H375" s="114"/>
      <c r="I375" s="114"/>
      <c r="J375" s="235">
        <v>1043</v>
      </c>
      <c r="K375" s="235">
        <f>ROUND(J375*S$2,0)</f>
        <v>1070</v>
      </c>
      <c r="L375" s="235">
        <f>ROUND(K375*T$2,0)</f>
        <v>1092</v>
      </c>
      <c r="M375" s="235">
        <f>ROUND(L375*U$2,0)</f>
        <v>1117</v>
      </c>
      <c r="N375" s="235">
        <f>ROUND(M375*V$2,0)</f>
        <v>1143</v>
      </c>
      <c r="O375" s="235">
        <f>ROUND(N375*W$2,0)</f>
        <v>1169</v>
      </c>
    </row>
    <row r="376" spans="4:15" ht="12.75" customHeight="1" x14ac:dyDescent="0.25">
      <c r="E376" s="308" t="s">
        <v>3959</v>
      </c>
      <c r="F376" s="115"/>
      <c r="G376" s="114"/>
      <c r="H376" s="114"/>
      <c r="I376" s="114"/>
      <c r="J376" s="114"/>
      <c r="K376" s="114"/>
      <c r="L376" s="114"/>
      <c r="M376" s="114"/>
      <c r="N376" s="114"/>
      <c r="O376" s="114"/>
    </row>
    <row r="377" spans="4:15" ht="12.75" customHeight="1" x14ac:dyDescent="0.25">
      <c r="E377" s="308" t="s">
        <v>3960</v>
      </c>
      <c r="F377" s="115"/>
      <c r="G377" s="114"/>
      <c r="H377" s="114"/>
      <c r="I377" s="114"/>
      <c r="J377" s="235">
        <v>12695</v>
      </c>
      <c r="K377" s="235">
        <f>ROUND(J377*S$2,0)</f>
        <v>13025</v>
      </c>
      <c r="L377" s="235">
        <f>ROUND(K377*T$2,0)</f>
        <v>13299</v>
      </c>
      <c r="M377" s="235">
        <f>ROUND(L377*U$2,0)</f>
        <v>13605</v>
      </c>
      <c r="N377" s="235">
        <f>ROUND(M377*V$2,0)</f>
        <v>13918</v>
      </c>
      <c r="O377" s="235">
        <f>ROUND(N377*W$2,0)</f>
        <v>14238</v>
      </c>
    </row>
    <row r="378" spans="4:15" ht="12.75" customHeight="1" x14ac:dyDescent="0.25">
      <c r="E378" s="308"/>
      <c r="F378" s="115"/>
      <c r="G378" s="114"/>
      <c r="H378" s="114"/>
      <c r="I378" s="114"/>
      <c r="J378" s="235"/>
      <c r="K378" s="235"/>
      <c r="L378" s="235"/>
      <c r="M378" s="235"/>
      <c r="N378" s="235"/>
      <c r="O378" s="235"/>
    </row>
    <row r="379" spans="4:15" ht="12.75" customHeight="1" x14ac:dyDescent="0.25">
      <c r="E379" s="115"/>
      <c r="F379" s="115"/>
      <c r="G379" s="114"/>
      <c r="H379" s="114"/>
      <c r="I379" s="114"/>
      <c r="J379" s="114"/>
      <c r="K379" s="114"/>
      <c r="L379" s="114"/>
      <c r="M379" s="114"/>
      <c r="N379" s="114"/>
      <c r="O379" s="114"/>
    </row>
    <row r="380" spans="4:15" ht="12.75" customHeight="1" thickBot="1" x14ac:dyDescent="0.3">
      <c r="E380" s="308" t="str">
        <f>"Totaal "&amp;D374</f>
        <v>Totaal 43812</v>
      </c>
      <c r="F380" s="115"/>
      <c r="G380" s="114"/>
      <c r="H380" s="114"/>
      <c r="I380" s="114"/>
      <c r="J380" s="1744">
        <v>13738</v>
      </c>
      <c r="K380" s="1744">
        <f>SUM(K375:K379)</f>
        <v>14095</v>
      </c>
      <c r="L380" s="1744">
        <f>SUM(L375:L379)</f>
        <v>14391</v>
      </c>
      <c r="M380" s="1744">
        <f>SUM(M375:M379)</f>
        <v>14722</v>
      </c>
      <c r="N380" s="1744">
        <f>SUM(N375:N379)</f>
        <v>15061</v>
      </c>
      <c r="O380" s="1744">
        <f>SUM(O375:O379)</f>
        <v>15407</v>
      </c>
    </row>
    <row r="381" spans="4:15" ht="12.75" customHeight="1" thickTop="1" x14ac:dyDescent="0.25">
      <c r="E381" s="115"/>
      <c r="F381" s="115"/>
      <c r="G381" s="114"/>
      <c r="H381" s="114"/>
      <c r="I381" s="114"/>
      <c r="J381" s="115"/>
      <c r="K381" s="115"/>
      <c r="L381" s="115"/>
      <c r="M381" s="115"/>
      <c r="N381" s="115"/>
      <c r="O381" s="115"/>
    </row>
    <row r="382" spans="4:15" ht="12.75" customHeight="1" x14ac:dyDescent="0.25">
      <c r="E382" s="2510" t="s">
        <v>3961</v>
      </c>
      <c r="F382" s="2510"/>
      <c r="G382" s="2510"/>
      <c r="H382" s="2510"/>
      <c r="I382" s="2510"/>
      <c r="J382" s="2510"/>
      <c r="K382" s="2510"/>
      <c r="L382" s="2510"/>
      <c r="M382" s="2510"/>
      <c r="N382" s="298"/>
      <c r="O382" s="298"/>
    </row>
    <row r="383" spans="4:15" ht="12.75" customHeight="1" x14ac:dyDescent="0.25">
      <c r="E383" s="2510"/>
      <c r="F383" s="2510"/>
      <c r="G383" s="2510"/>
      <c r="H383" s="2510"/>
      <c r="I383" s="2510"/>
      <c r="J383" s="2510"/>
      <c r="K383" s="2510"/>
      <c r="L383" s="2510"/>
      <c r="M383" s="2510"/>
      <c r="N383" s="298"/>
      <c r="O383" s="298"/>
    </row>
    <row r="384" spans="4:15" ht="12.75" customHeight="1" x14ac:dyDescent="0.25">
      <c r="E384" s="2510"/>
      <c r="F384" s="2510"/>
      <c r="G384" s="2510"/>
      <c r="H384" s="2510"/>
      <c r="I384" s="2510"/>
      <c r="J384" s="2510"/>
      <c r="K384" s="2510"/>
      <c r="L384" s="2510"/>
      <c r="M384" s="2510"/>
      <c r="N384" s="298"/>
      <c r="O384" s="298"/>
    </row>
    <row r="385" spans="4:18" ht="12.75" customHeight="1" x14ac:dyDescent="0.25">
      <c r="D385" s="143"/>
      <c r="E385" s="115"/>
      <c r="F385" s="115"/>
      <c r="G385" s="114"/>
      <c r="H385" s="114"/>
      <c r="I385" s="114"/>
      <c r="J385" s="115"/>
      <c r="K385" s="115"/>
      <c r="L385" s="115"/>
      <c r="M385" s="115"/>
      <c r="N385" s="115"/>
      <c r="O385" s="115"/>
    </row>
    <row r="386" spans="4:18" ht="12.75" customHeight="1" x14ac:dyDescent="0.25">
      <c r="D386" s="393">
        <v>635009</v>
      </c>
      <c r="E386" s="381" t="s">
        <v>3894</v>
      </c>
      <c r="F386" s="115"/>
      <c r="G386" s="114"/>
      <c r="H386" s="114"/>
      <c r="I386" s="114"/>
      <c r="J386" s="407">
        <v>2025</v>
      </c>
      <c r="K386" s="407">
        <v>2026</v>
      </c>
      <c r="L386" s="407">
        <v>2027</v>
      </c>
      <c r="M386" s="407">
        <v>2028</v>
      </c>
      <c r="N386" s="407">
        <v>2029</v>
      </c>
      <c r="O386" s="407">
        <v>2030</v>
      </c>
    </row>
    <row r="387" spans="4:18" ht="12.75" customHeight="1" x14ac:dyDescent="0.25">
      <c r="D387" s="419"/>
      <c r="E387" s="399"/>
      <c r="F387" s="399"/>
      <c r="G387" s="114"/>
      <c r="H387" s="114"/>
      <c r="I387" s="114"/>
      <c r="J387" s="399"/>
      <c r="K387" s="399"/>
      <c r="L387" s="399"/>
      <c r="M387" s="399"/>
      <c r="N387" s="399"/>
      <c r="O387" s="399"/>
    </row>
    <row r="388" spans="4:18" ht="12.75" customHeight="1" x14ac:dyDescent="0.25">
      <c r="D388" s="143">
        <v>43812</v>
      </c>
      <c r="E388" s="115" t="s">
        <v>3962</v>
      </c>
      <c r="F388" s="115"/>
      <c r="G388" s="114"/>
      <c r="H388" s="114"/>
      <c r="I388" s="114"/>
      <c r="J388" s="235">
        <v>58525</v>
      </c>
      <c r="K388" s="235">
        <f>ROUND(J388*S$3,0)</f>
        <v>59696</v>
      </c>
      <c r="L388" s="235">
        <f>ROUND(K388*T$3,0)</f>
        <v>62203</v>
      </c>
      <c r="M388" s="235">
        <f>ROUND(L388*U$3,0)</f>
        <v>64505</v>
      </c>
      <c r="N388" s="235">
        <f>ROUND(M388*V$3,0)</f>
        <v>66892</v>
      </c>
      <c r="O388" s="235">
        <f>ROUND(N388*W$3,0)</f>
        <v>69367</v>
      </c>
      <c r="R388" s="115">
        <v>56000</v>
      </c>
    </row>
    <row r="389" spans="4:18" ht="12.75" customHeight="1" x14ac:dyDescent="0.25">
      <c r="D389" s="143"/>
      <c r="E389" s="308" t="s">
        <v>3963</v>
      </c>
      <c r="F389" s="115"/>
      <c r="G389" s="114"/>
      <c r="H389" s="114"/>
      <c r="I389" s="114"/>
      <c r="J389" s="114"/>
      <c r="K389" s="114"/>
      <c r="L389" s="114"/>
      <c r="M389" s="114"/>
      <c r="N389" s="114"/>
      <c r="O389" s="114"/>
      <c r="R389" s="115">
        <f>+R388*9/36</f>
        <v>14000</v>
      </c>
    </row>
    <row r="390" spans="4:18" ht="12.75" customHeight="1" x14ac:dyDescent="0.25">
      <c r="D390" s="143"/>
      <c r="E390" s="308" t="s">
        <v>3964</v>
      </c>
      <c r="F390" s="115"/>
      <c r="G390" s="114"/>
      <c r="H390" s="114"/>
      <c r="I390" s="114"/>
      <c r="J390" s="114"/>
      <c r="K390" s="114"/>
      <c r="L390" s="114"/>
      <c r="M390" s="114"/>
      <c r="N390" s="114"/>
      <c r="O390" s="114"/>
    </row>
    <row r="391" spans="4:18" ht="12.75" customHeight="1" x14ac:dyDescent="0.25">
      <c r="D391" s="143"/>
      <c r="E391" s="308" t="s">
        <v>3965</v>
      </c>
      <c r="F391" s="115"/>
      <c r="G391" s="114"/>
      <c r="H391" s="114"/>
      <c r="I391" s="114"/>
      <c r="J391" s="114"/>
      <c r="K391" s="114"/>
      <c r="L391" s="114"/>
      <c r="M391" s="114"/>
      <c r="N391" s="114"/>
      <c r="O391" s="114"/>
    </row>
    <row r="392" spans="4:18" ht="12.75" customHeight="1" x14ac:dyDescent="0.25">
      <c r="D392" s="143"/>
      <c r="E392" s="308" t="s">
        <v>3966</v>
      </c>
      <c r="F392" s="115"/>
      <c r="G392" s="114"/>
      <c r="H392" s="114"/>
      <c r="I392" s="114"/>
      <c r="J392" s="235">
        <v>2246</v>
      </c>
      <c r="K392" s="235">
        <f t="shared" ref="K392:O393" si="95">ROUND(J392*S$2,0)</f>
        <v>2304</v>
      </c>
      <c r="L392" s="235">
        <f t="shared" si="95"/>
        <v>2352</v>
      </c>
      <c r="M392" s="235">
        <f t="shared" si="95"/>
        <v>2406</v>
      </c>
      <c r="N392" s="235">
        <f t="shared" si="95"/>
        <v>2461</v>
      </c>
      <c r="O392" s="235">
        <f t="shared" si="95"/>
        <v>2518</v>
      </c>
    </row>
    <row r="393" spans="4:18" ht="12.75" customHeight="1" x14ac:dyDescent="0.25">
      <c r="D393" s="143"/>
      <c r="E393" s="308" t="s">
        <v>1869</v>
      </c>
      <c r="F393" s="115"/>
      <c r="G393" s="114"/>
      <c r="H393" s="114"/>
      <c r="I393" s="114"/>
      <c r="J393" s="235">
        <v>645</v>
      </c>
      <c r="K393" s="235">
        <f t="shared" si="95"/>
        <v>662</v>
      </c>
      <c r="L393" s="235">
        <f t="shared" si="95"/>
        <v>676</v>
      </c>
      <c r="M393" s="235">
        <f t="shared" si="95"/>
        <v>692</v>
      </c>
      <c r="N393" s="235">
        <f t="shared" si="95"/>
        <v>708</v>
      </c>
      <c r="O393" s="235">
        <f t="shared" si="95"/>
        <v>724</v>
      </c>
    </row>
    <row r="394" spans="4:18" ht="12.75" customHeight="1" x14ac:dyDescent="0.25">
      <c r="D394" s="143"/>
      <c r="E394" s="115"/>
      <c r="F394" s="115"/>
      <c r="G394" s="114"/>
      <c r="H394" s="114"/>
      <c r="I394" s="114"/>
      <c r="J394" s="114"/>
      <c r="K394" s="114"/>
      <c r="L394" s="114"/>
      <c r="M394" s="114"/>
      <c r="N394" s="114"/>
      <c r="O394" s="114"/>
    </row>
    <row r="395" spans="4:18" ht="12.75" customHeight="1" thickBot="1" x14ac:dyDescent="0.3">
      <c r="E395" s="308" t="str">
        <f>"Totaal "&amp;D388</f>
        <v>Totaal 43812</v>
      </c>
      <c r="F395" s="115"/>
      <c r="G395" s="114"/>
      <c r="H395" s="114"/>
      <c r="I395" s="114"/>
      <c r="J395" s="1744">
        <v>61416</v>
      </c>
      <c r="K395" s="1744">
        <f>SUM(K388:K394)</f>
        <v>62662</v>
      </c>
      <c r="L395" s="1744">
        <f>SUM(L388:L394)</f>
        <v>65231</v>
      </c>
      <c r="M395" s="1744">
        <f>SUM(M388:M394)</f>
        <v>67603</v>
      </c>
      <c r="N395" s="1744">
        <f>SUM(N388:N394)</f>
        <v>70061</v>
      </c>
      <c r="O395" s="1744">
        <f>SUM(O388:O394)</f>
        <v>72609</v>
      </c>
      <c r="Q395" s="115">
        <v>35000</v>
      </c>
      <c r="R395" s="114">
        <f>+K395-Q395</f>
        <v>27662</v>
      </c>
    </row>
    <row r="396" spans="4:18" ht="12.75" customHeight="1" thickTop="1" x14ac:dyDescent="0.25">
      <c r="E396" s="308"/>
      <c r="F396" s="115"/>
      <c r="G396" s="114"/>
      <c r="H396" s="114"/>
      <c r="I396" s="114"/>
      <c r="J396" s="114"/>
      <c r="K396" s="114"/>
      <c r="L396" s="114"/>
      <c r="M396" s="114"/>
      <c r="N396" s="114"/>
      <c r="O396" s="114"/>
    </row>
    <row r="397" spans="4:18" ht="12.75" customHeight="1" x14ac:dyDescent="0.25">
      <c r="E397" s="308"/>
      <c r="F397" s="115"/>
      <c r="G397" s="114"/>
      <c r="H397" s="114"/>
      <c r="I397" s="114"/>
      <c r="J397" s="114"/>
      <c r="K397" s="114"/>
      <c r="L397" s="114"/>
      <c r="M397" s="114"/>
      <c r="N397" s="114"/>
      <c r="O397" s="114"/>
    </row>
    <row r="398" spans="4:18" ht="12.75" customHeight="1" x14ac:dyDescent="0.25">
      <c r="D398" s="384"/>
      <c r="E398" s="383"/>
      <c r="F398" s="115"/>
      <c r="G398" s="114"/>
      <c r="H398" s="114"/>
      <c r="I398" s="114"/>
      <c r="J398" s="61">
        <v>2025</v>
      </c>
      <c r="K398" s="61">
        <v>2026</v>
      </c>
      <c r="L398" s="61">
        <v>2027</v>
      </c>
      <c r="M398" s="61">
        <v>2028</v>
      </c>
      <c r="N398" s="407">
        <v>2029</v>
      </c>
      <c r="O398" s="407">
        <v>2030</v>
      </c>
    </row>
    <row r="399" spans="4:18" ht="12.75" customHeight="1" x14ac:dyDescent="0.25">
      <c r="D399" s="393">
        <v>635011</v>
      </c>
      <c r="E399" s="381" t="s">
        <v>3967</v>
      </c>
      <c r="F399" s="1692"/>
      <c r="G399" s="114"/>
      <c r="H399" s="114"/>
      <c r="I399" s="114"/>
      <c r="J399" s="115"/>
      <c r="K399" s="115"/>
      <c r="L399" s="115"/>
      <c r="M399" s="115"/>
      <c r="N399" s="115"/>
      <c r="O399" s="115"/>
    </row>
    <row r="400" spans="4:18" ht="12.75" customHeight="1" x14ac:dyDescent="0.25">
      <c r="D400" s="243">
        <v>43812</v>
      </c>
      <c r="E400" s="244" t="s">
        <v>3968</v>
      </c>
      <c r="F400" s="244"/>
      <c r="G400" s="114"/>
      <c r="H400" s="114"/>
      <c r="I400" s="114"/>
      <c r="J400" s="245">
        <v>33739</v>
      </c>
      <c r="K400" s="245">
        <v>33739</v>
      </c>
      <c r="L400" s="245">
        <v>33739</v>
      </c>
      <c r="M400" s="245">
        <v>33740</v>
      </c>
      <c r="N400" s="245">
        <v>33740</v>
      </c>
      <c r="O400" s="245">
        <v>33740</v>
      </c>
    </row>
    <row r="401" spans="4:20" ht="12.75" customHeight="1" x14ac:dyDescent="0.25">
      <c r="D401" s="243"/>
      <c r="E401" s="246"/>
      <c r="F401" s="244"/>
      <c r="G401" s="114"/>
      <c r="H401" s="114"/>
      <c r="I401" s="114"/>
      <c r="J401" s="245"/>
      <c r="K401" s="245"/>
      <c r="L401" s="245"/>
      <c r="M401" s="245"/>
      <c r="N401" s="245"/>
      <c r="O401" s="245"/>
    </row>
    <row r="402" spans="4:20" ht="12.75" customHeight="1" thickBot="1" x14ac:dyDescent="0.3">
      <c r="D402" s="243"/>
      <c r="E402" s="62" t="s">
        <v>619</v>
      </c>
      <c r="F402" s="244"/>
      <c r="G402" s="114"/>
      <c r="H402" s="114"/>
      <c r="I402" s="114"/>
      <c r="J402" s="1911">
        <v>33739</v>
      </c>
      <c r="K402" s="1911">
        <f>SUM(K400:K401)</f>
        <v>33739</v>
      </c>
      <c r="L402" s="1911">
        <f>SUM(L400:L401)</f>
        <v>33739</v>
      </c>
      <c r="M402" s="1911">
        <f>SUM(M400:M401)</f>
        <v>33740</v>
      </c>
      <c r="N402" s="1911">
        <f>SUM(N400:N401)</f>
        <v>33740</v>
      </c>
      <c r="O402" s="1911">
        <f>SUM(O400:O401)</f>
        <v>33740</v>
      </c>
    </row>
    <row r="403" spans="4:20" ht="12.75" customHeight="1" thickTop="1" x14ac:dyDescent="0.25">
      <c r="D403" s="1693"/>
      <c r="E403" s="1694"/>
      <c r="F403" s="1694"/>
      <c r="G403" s="114"/>
      <c r="H403" s="114"/>
      <c r="I403" s="114"/>
      <c r="J403" s="1695"/>
      <c r="K403" s="1695"/>
      <c r="L403" s="1695"/>
      <c r="M403" s="1695"/>
      <c r="N403" s="1695"/>
      <c r="O403" s="1695"/>
    </row>
    <row r="404" spans="4:20" ht="12.75" customHeight="1" x14ac:dyDescent="0.25">
      <c r="D404" s="1693"/>
      <c r="E404" s="1694"/>
      <c r="F404" s="1694"/>
      <c r="G404" s="114"/>
      <c r="H404" s="114"/>
      <c r="I404" s="114"/>
      <c r="J404" s="1695"/>
      <c r="K404" s="1695"/>
      <c r="L404" s="1695"/>
      <c r="M404" s="1695"/>
      <c r="N404" s="1695"/>
      <c r="O404" s="1695"/>
    </row>
    <row r="405" spans="4:20" ht="12.75" customHeight="1" x14ac:dyDescent="0.25">
      <c r="D405" s="393">
        <v>635013</v>
      </c>
      <c r="E405" s="381" t="s">
        <v>3969</v>
      </c>
      <c r="F405" s="115"/>
      <c r="G405" s="114"/>
      <c r="H405" s="114"/>
      <c r="I405" s="114"/>
      <c r="J405" s="407">
        <v>2025</v>
      </c>
      <c r="K405" s="407">
        <v>2026</v>
      </c>
      <c r="L405" s="407">
        <v>2027</v>
      </c>
      <c r="M405" s="407">
        <v>2028</v>
      </c>
      <c r="N405" s="407">
        <v>2029</v>
      </c>
      <c r="O405" s="407">
        <v>2030</v>
      </c>
    </row>
    <row r="406" spans="4:20" ht="12.75" customHeight="1" x14ac:dyDescent="0.25">
      <c r="D406" s="143"/>
      <c r="E406" s="1039"/>
      <c r="F406" s="115"/>
      <c r="G406" s="114"/>
      <c r="H406" s="114"/>
      <c r="I406" s="114"/>
      <c r="J406" s="114"/>
      <c r="K406" s="114"/>
      <c r="L406" s="114"/>
      <c r="M406" s="114"/>
      <c r="N406" s="114"/>
      <c r="O406" s="114"/>
    </row>
    <row r="407" spans="4:20" ht="12.75" customHeight="1" x14ac:dyDescent="0.25">
      <c r="D407" s="143">
        <v>43803</v>
      </c>
      <c r="E407" s="115" t="s">
        <v>1831</v>
      </c>
      <c r="F407" s="115"/>
      <c r="G407" s="114"/>
      <c r="H407" s="114"/>
      <c r="I407" s="114"/>
      <c r="J407" s="114">
        <v>444</v>
      </c>
      <c r="K407" s="114">
        <f>ROUND(J407*S$2,0)</f>
        <v>456</v>
      </c>
      <c r="L407" s="114">
        <f>ROUND(K407*T$2,0)</f>
        <v>466</v>
      </c>
      <c r="M407" s="114">
        <f>ROUND(L407*U$2,0)</f>
        <v>477</v>
      </c>
      <c r="N407" s="114">
        <f>ROUND(M407*V$2,0)</f>
        <v>488</v>
      </c>
      <c r="O407" s="114">
        <f>ROUND(N407*W$2,0)</f>
        <v>499</v>
      </c>
      <c r="P407" s="1696"/>
      <c r="Q407" s="1696"/>
      <c r="R407" s="1696"/>
      <c r="S407" s="1696"/>
      <c r="T407" s="1696"/>
    </row>
    <row r="408" spans="4:20" ht="12.75" customHeight="1" thickBot="1" x14ac:dyDescent="0.3">
      <c r="D408" s="143"/>
      <c r="E408" s="115" t="str">
        <f>"Totaal "&amp;D407</f>
        <v>Totaal 43803</v>
      </c>
      <c r="F408" s="115"/>
      <c r="G408" s="114"/>
      <c r="H408" s="114"/>
      <c r="I408" s="114"/>
      <c r="J408" s="1744">
        <v>444</v>
      </c>
      <c r="K408" s="1744">
        <f>+K407</f>
        <v>456</v>
      </c>
      <c r="L408" s="1744">
        <f>+L407</f>
        <v>466</v>
      </c>
      <c r="M408" s="1744">
        <f>+M407</f>
        <v>477</v>
      </c>
      <c r="N408" s="1744">
        <f>+N407</f>
        <v>488</v>
      </c>
      <c r="O408" s="1744">
        <f>+O407</f>
        <v>499</v>
      </c>
      <c r="P408" s="1696"/>
      <c r="Q408" s="1696"/>
      <c r="R408" s="1696"/>
      <c r="S408" s="1696"/>
      <c r="T408" s="1696"/>
    </row>
    <row r="409" spans="4:20" ht="12.75" customHeight="1" thickTop="1" x14ac:dyDescent="0.25">
      <c r="D409" s="143"/>
      <c r="E409" s="115"/>
      <c r="F409" s="115"/>
      <c r="G409" s="114"/>
      <c r="H409" s="114"/>
      <c r="I409" s="114"/>
      <c r="J409" s="114"/>
      <c r="K409" s="114"/>
      <c r="L409" s="114"/>
      <c r="M409" s="114"/>
      <c r="N409" s="114"/>
      <c r="O409" s="114"/>
      <c r="P409" s="1696"/>
      <c r="Q409" s="1696"/>
      <c r="R409" s="1696"/>
      <c r="S409" s="1696"/>
      <c r="T409" s="1696"/>
    </row>
    <row r="410" spans="4:20" ht="12.75" customHeight="1" x14ac:dyDescent="0.25">
      <c r="D410" s="143">
        <v>43805</v>
      </c>
      <c r="E410" s="115" t="s">
        <v>730</v>
      </c>
      <c r="F410" s="115"/>
      <c r="G410" s="114"/>
      <c r="H410" s="114"/>
      <c r="I410" s="114"/>
      <c r="J410" s="114"/>
      <c r="K410" s="114"/>
      <c r="L410" s="114"/>
      <c r="M410" s="114"/>
      <c r="N410" s="114"/>
      <c r="O410" s="114"/>
      <c r="P410" s="1696"/>
      <c r="Q410" s="1696"/>
      <c r="R410" s="1696"/>
      <c r="S410" s="1696"/>
      <c r="T410" s="1696"/>
    </row>
    <row r="411" spans="4:20" ht="12.75" customHeight="1" x14ac:dyDescent="0.25">
      <c r="D411" s="143"/>
      <c r="E411" s="2213" t="s">
        <v>5333</v>
      </c>
      <c r="F411" s="2213"/>
      <c r="G411" s="2214"/>
      <c r="H411" s="2214"/>
      <c r="I411" s="2214"/>
      <c r="J411" s="2214"/>
      <c r="K411" s="2214">
        <v>11787</v>
      </c>
      <c r="L411" s="2214"/>
      <c r="M411" s="2214"/>
      <c r="N411" s="2214"/>
      <c r="O411" s="2214"/>
      <c r="P411" s="1696"/>
      <c r="Q411" s="1696"/>
      <c r="R411" s="1696"/>
      <c r="S411" s="1696"/>
      <c r="T411" s="1696"/>
    </row>
    <row r="412" spans="4:20" ht="12.75" customHeight="1" x14ac:dyDescent="0.25">
      <c r="D412" s="143"/>
      <c r="E412" s="2213" t="s">
        <v>5334</v>
      </c>
      <c r="F412" s="2213"/>
      <c r="G412" s="2214"/>
      <c r="H412" s="2214"/>
      <c r="I412" s="2214"/>
      <c r="J412" s="2214"/>
      <c r="K412" s="2214">
        <v>11124</v>
      </c>
      <c r="L412" s="2214">
        <v>2225</v>
      </c>
      <c r="M412" s="2214"/>
      <c r="N412" s="2214"/>
      <c r="O412" s="2214"/>
      <c r="P412" s="1696"/>
      <c r="Q412" s="1696"/>
      <c r="R412" s="1696"/>
      <c r="S412" s="1696"/>
      <c r="T412" s="1696"/>
    </row>
    <row r="413" spans="4:20" ht="12.75" customHeight="1" thickBot="1" x14ac:dyDescent="0.3">
      <c r="D413" s="143"/>
      <c r="E413" s="115"/>
      <c r="F413" s="115"/>
      <c r="G413" s="114"/>
      <c r="H413" s="114"/>
      <c r="I413" s="114"/>
      <c r="J413" s="1971">
        <f>SUM(J410:J412)</f>
        <v>0</v>
      </c>
      <c r="K413" s="1971">
        <f t="shared" ref="K413:O413" si="96">SUM(K410:K412)</f>
        <v>22911</v>
      </c>
      <c r="L413" s="1971">
        <f t="shared" si="96"/>
        <v>2225</v>
      </c>
      <c r="M413" s="1971">
        <f t="shared" si="96"/>
        <v>0</v>
      </c>
      <c r="N413" s="1971">
        <f t="shared" si="96"/>
        <v>0</v>
      </c>
      <c r="O413" s="1971">
        <f t="shared" si="96"/>
        <v>0</v>
      </c>
      <c r="P413" s="1696"/>
      <c r="Q413" s="1696"/>
      <c r="R413" s="1696"/>
      <c r="S413" s="1696"/>
      <c r="T413" s="1696"/>
    </row>
    <row r="414" spans="4:20" ht="12.75" customHeight="1" thickTop="1" x14ac:dyDescent="0.25">
      <c r="D414" s="143"/>
      <c r="E414" s="115"/>
      <c r="F414" s="115"/>
      <c r="G414" s="114"/>
      <c r="H414" s="114"/>
      <c r="I414" s="114"/>
      <c r="J414" s="114"/>
      <c r="K414" s="114"/>
      <c r="L414" s="114"/>
      <c r="M414" s="114"/>
      <c r="N414" s="114"/>
      <c r="O414" s="114"/>
      <c r="P414" s="1696"/>
      <c r="Q414" s="1696"/>
      <c r="R414" s="1696"/>
      <c r="S414" s="1696"/>
      <c r="T414" s="1696"/>
    </row>
    <row r="415" spans="4:20" ht="12.75" customHeight="1" x14ac:dyDescent="0.25">
      <c r="D415" s="384">
        <v>43812</v>
      </c>
      <c r="E415" s="115" t="s">
        <v>565</v>
      </c>
      <c r="F415" s="115"/>
      <c r="G415" s="114"/>
      <c r="H415" s="114"/>
      <c r="I415" s="114"/>
      <c r="J415" s="114">
        <v>144</v>
      </c>
      <c r="K415" s="114">
        <f>ROUND(J415*S$2,0)</f>
        <v>148</v>
      </c>
      <c r="L415" s="114">
        <f>ROUND(K415*T$2,0)</f>
        <v>151</v>
      </c>
      <c r="M415" s="114">
        <f>ROUND(L415*U$2,0)</f>
        <v>154</v>
      </c>
      <c r="N415" s="114">
        <f>ROUND(M415*V$2,0)</f>
        <v>158</v>
      </c>
      <c r="O415" s="114">
        <f>ROUND(N415*W$2,0)</f>
        <v>162</v>
      </c>
      <c r="P415" s="1696"/>
      <c r="Q415" s="1696"/>
      <c r="R415" s="1696"/>
      <c r="S415" s="1696"/>
      <c r="T415" s="1696"/>
    </row>
    <row r="416" spans="4:20" ht="12.75" customHeight="1" thickBot="1" x14ac:dyDescent="0.3">
      <c r="D416" s="384"/>
      <c r="E416" s="115" t="str">
        <f>"Totaal "&amp;D415</f>
        <v>Totaal 43812</v>
      </c>
      <c r="F416" s="115"/>
      <c r="G416" s="114"/>
      <c r="H416" s="114"/>
      <c r="I416" s="114"/>
      <c r="J416" s="1744">
        <v>144</v>
      </c>
      <c r="K416" s="1744">
        <f t="shared" ref="K416:M416" si="97">+K415</f>
        <v>148</v>
      </c>
      <c r="L416" s="1744">
        <f t="shared" si="97"/>
        <v>151</v>
      </c>
      <c r="M416" s="1744">
        <f t="shared" si="97"/>
        <v>154</v>
      </c>
      <c r="N416" s="1744">
        <f t="shared" ref="N416:O416" si="98">+N415</f>
        <v>158</v>
      </c>
      <c r="O416" s="1744">
        <f t="shared" si="98"/>
        <v>162</v>
      </c>
      <c r="P416" s="1696"/>
      <c r="Q416" s="1696"/>
      <c r="R416" s="1696"/>
      <c r="S416" s="1696"/>
      <c r="T416" s="1696"/>
    </row>
    <row r="417" spans="4:20" ht="12.75" customHeight="1" thickTop="1" x14ac:dyDescent="0.25">
      <c r="D417" s="143"/>
      <c r="E417" s="115"/>
      <c r="F417" s="115"/>
      <c r="G417" s="114"/>
      <c r="H417" s="114"/>
      <c r="I417" s="114"/>
      <c r="J417" s="114"/>
      <c r="K417" s="114"/>
      <c r="L417" s="114"/>
      <c r="M417" s="114"/>
      <c r="N417" s="114"/>
      <c r="O417" s="114"/>
      <c r="P417" s="1696"/>
      <c r="Q417" s="1696"/>
      <c r="R417" s="1696"/>
      <c r="S417" s="1696"/>
      <c r="T417" s="1696"/>
    </row>
    <row r="418" spans="4:20" ht="12.75" customHeight="1" x14ac:dyDescent="0.25">
      <c r="D418" s="1693"/>
      <c r="E418" s="1694"/>
      <c r="F418" s="1694"/>
      <c r="G418" s="114"/>
      <c r="H418" s="114"/>
      <c r="I418" s="114"/>
      <c r="J418" s="1695"/>
      <c r="K418" s="1695"/>
      <c r="L418" s="1695"/>
      <c r="M418" s="1695"/>
      <c r="N418" s="1695"/>
      <c r="O418" s="1695"/>
      <c r="P418" s="1696"/>
      <c r="Q418" s="1696"/>
      <c r="R418" s="1696"/>
      <c r="S418" s="1696"/>
      <c r="T418" s="1696"/>
    </row>
    <row r="419" spans="4:20" ht="12.75" customHeight="1" x14ac:dyDescent="0.25">
      <c r="D419" s="393">
        <v>635002</v>
      </c>
      <c r="E419" s="381" t="s">
        <v>3886</v>
      </c>
      <c r="F419" s="115"/>
      <c r="I419" s="115"/>
      <c r="J419" s="61">
        <v>2025</v>
      </c>
      <c r="K419" s="61">
        <v>2026</v>
      </c>
      <c r="L419" s="61">
        <v>2027</v>
      </c>
      <c r="M419" s="61">
        <v>2028</v>
      </c>
      <c r="N419" s="407">
        <v>2029</v>
      </c>
      <c r="O419" s="407">
        <v>2030</v>
      </c>
    </row>
    <row r="420" spans="4:20" ht="12.75" customHeight="1" x14ac:dyDescent="0.25">
      <c r="D420" s="393"/>
      <c r="E420" s="381"/>
      <c r="F420" s="115"/>
      <c r="I420" s="115"/>
      <c r="J420" s="115"/>
      <c r="K420" s="115"/>
      <c r="L420" s="115"/>
      <c r="M420" s="115"/>
      <c r="N420" s="115"/>
      <c r="O420" s="115"/>
    </row>
    <row r="421" spans="4:20" ht="12.75" customHeight="1" x14ac:dyDescent="0.25">
      <c r="D421" s="143">
        <v>83800</v>
      </c>
      <c r="E421" s="308" t="s">
        <v>3970</v>
      </c>
      <c r="F421" s="115"/>
      <c r="I421" s="115"/>
      <c r="J421" s="235">
        <v>-20526</v>
      </c>
      <c r="K421" s="235">
        <f>ROUND(J421*S$2,0)</f>
        <v>-21060</v>
      </c>
      <c r="L421" s="235">
        <f>ROUND(K421*T$2,0)</f>
        <v>-21502</v>
      </c>
      <c r="M421" s="235">
        <f>ROUND(L421*U$2,0)</f>
        <v>-21997</v>
      </c>
      <c r="N421" s="235">
        <f>ROUND(M421*V$2,0)</f>
        <v>-22503</v>
      </c>
      <c r="O421" s="235">
        <f>ROUND(N421*W$2,0)</f>
        <v>-23021</v>
      </c>
    </row>
    <row r="422" spans="4:20" ht="12.75" customHeight="1" x14ac:dyDescent="0.25">
      <c r="D422" s="143"/>
      <c r="E422" s="115" t="s">
        <v>3971</v>
      </c>
      <c r="F422" s="115"/>
      <c r="I422" s="115"/>
      <c r="J422" s="114"/>
      <c r="K422" s="114"/>
      <c r="L422" s="114"/>
      <c r="M422" s="114"/>
      <c r="N422" s="114"/>
      <c r="O422" s="114"/>
    </row>
    <row r="423" spans="4:20" ht="12.75" customHeight="1" x14ac:dyDescent="0.25">
      <c r="D423" s="143"/>
      <c r="E423" s="115"/>
      <c r="F423" s="115"/>
      <c r="I423" s="115"/>
    </row>
    <row r="424" spans="4:20" ht="12.75" customHeight="1" x14ac:dyDescent="0.25">
      <c r="E424" s="383" t="s">
        <v>3972</v>
      </c>
      <c r="F424" s="115"/>
      <c r="I424" s="115"/>
      <c r="J424" s="115"/>
      <c r="K424" s="115"/>
      <c r="L424" s="115"/>
      <c r="M424" s="115"/>
      <c r="N424" s="115"/>
      <c r="O424" s="115"/>
    </row>
    <row r="425" spans="4:20" ht="12.75" customHeight="1" x14ac:dyDescent="0.25">
      <c r="E425" s="308" t="s">
        <v>3973</v>
      </c>
      <c r="F425" s="115"/>
      <c r="I425" s="115"/>
      <c r="J425" s="235">
        <v>-1300</v>
      </c>
      <c r="K425" s="235">
        <f t="shared" ref="K425:K433" si="99">ROUND(J425*S$2,0)</f>
        <v>-1334</v>
      </c>
      <c r="L425" s="235">
        <f t="shared" ref="L425:L433" si="100">ROUND(K425*T$2,0)</f>
        <v>-1362</v>
      </c>
      <c r="M425" s="235">
        <f t="shared" ref="M425:M433" si="101">ROUND(L425*U$2,0)</f>
        <v>-1393</v>
      </c>
      <c r="N425" s="235">
        <f t="shared" ref="N425:O433" si="102">ROUND(M425*V$2,0)</f>
        <v>-1425</v>
      </c>
      <c r="O425" s="235">
        <f t="shared" si="102"/>
        <v>-1458</v>
      </c>
    </row>
    <row r="426" spans="4:20" ht="12.75" customHeight="1" x14ac:dyDescent="0.25">
      <c r="E426" s="308" t="s">
        <v>3974</v>
      </c>
      <c r="F426" s="115"/>
      <c r="I426" s="115"/>
      <c r="J426" s="235">
        <v>-3379</v>
      </c>
      <c r="K426" s="235">
        <f t="shared" si="99"/>
        <v>-3467</v>
      </c>
      <c r="L426" s="235">
        <f t="shared" si="100"/>
        <v>-3540</v>
      </c>
      <c r="M426" s="235">
        <f t="shared" si="101"/>
        <v>-3621</v>
      </c>
      <c r="N426" s="235">
        <f t="shared" si="102"/>
        <v>-3704</v>
      </c>
      <c r="O426" s="235">
        <f t="shared" si="102"/>
        <v>-3789</v>
      </c>
    </row>
    <row r="427" spans="4:20" ht="12.75" customHeight="1" x14ac:dyDescent="0.25">
      <c r="E427" s="308" t="s">
        <v>3975</v>
      </c>
      <c r="F427" s="308"/>
      <c r="I427" s="115"/>
      <c r="J427" s="235">
        <v>-2237</v>
      </c>
      <c r="K427" s="235">
        <f t="shared" si="99"/>
        <v>-2295</v>
      </c>
      <c r="L427" s="235">
        <f t="shared" si="100"/>
        <v>-2343</v>
      </c>
      <c r="M427" s="235">
        <f t="shared" si="101"/>
        <v>-2397</v>
      </c>
      <c r="N427" s="235">
        <f t="shared" si="102"/>
        <v>-2452</v>
      </c>
      <c r="O427" s="235">
        <f t="shared" si="102"/>
        <v>-2508</v>
      </c>
    </row>
    <row r="428" spans="4:20" ht="12.75" customHeight="1" x14ac:dyDescent="0.25">
      <c r="E428" s="308" t="s">
        <v>3976</v>
      </c>
      <c r="F428" s="308"/>
      <c r="I428" s="115"/>
      <c r="J428" s="235">
        <v>-1421</v>
      </c>
      <c r="K428" s="235">
        <f t="shared" si="99"/>
        <v>-1458</v>
      </c>
      <c r="L428" s="235">
        <f t="shared" si="100"/>
        <v>-1489</v>
      </c>
      <c r="M428" s="235">
        <f t="shared" si="101"/>
        <v>-1523</v>
      </c>
      <c r="N428" s="235">
        <f t="shared" si="102"/>
        <v>-1558</v>
      </c>
      <c r="O428" s="235">
        <f t="shared" si="102"/>
        <v>-1594</v>
      </c>
    </row>
    <row r="429" spans="4:20" ht="12.75" customHeight="1" x14ac:dyDescent="0.25">
      <c r="E429" s="308" t="s">
        <v>3977</v>
      </c>
      <c r="F429" s="308"/>
      <c r="I429" s="115"/>
      <c r="J429" s="235">
        <v>-260</v>
      </c>
      <c r="K429" s="235">
        <f t="shared" si="99"/>
        <v>-267</v>
      </c>
      <c r="L429" s="235">
        <f t="shared" si="100"/>
        <v>-273</v>
      </c>
      <c r="M429" s="235">
        <f t="shared" si="101"/>
        <v>-279</v>
      </c>
      <c r="N429" s="235">
        <f t="shared" si="102"/>
        <v>-285</v>
      </c>
      <c r="O429" s="235">
        <f t="shared" si="102"/>
        <v>-292</v>
      </c>
    </row>
    <row r="430" spans="4:20" ht="12.75" customHeight="1" x14ac:dyDescent="0.25">
      <c r="E430" s="308" t="s">
        <v>3978</v>
      </c>
      <c r="F430" s="308"/>
      <c r="I430" s="115"/>
      <c r="J430" s="235">
        <v>-425</v>
      </c>
      <c r="K430" s="235">
        <f t="shared" si="99"/>
        <v>-436</v>
      </c>
      <c r="L430" s="235">
        <f t="shared" si="100"/>
        <v>-445</v>
      </c>
      <c r="M430" s="235">
        <f t="shared" si="101"/>
        <v>-455</v>
      </c>
      <c r="N430" s="235">
        <f t="shared" si="102"/>
        <v>-465</v>
      </c>
      <c r="O430" s="235">
        <f t="shared" si="102"/>
        <v>-476</v>
      </c>
    </row>
    <row r="431" spans="4:20" ht="12.75" customHeight="1" x14ac:dyDescent="0.25">
      <c r="E431" s="308" t="s">
        <v>3979</v>
      </c>
      <c r="F431" s="308"/>
      <c r="I431" s="115"/>
      <c r="J431" s="235">
        <v>-362</v>
      </c>
      <c r="K431" s="235">
        <f t="shared" si="99"/>
        <v>-371</v>
      </c>
      <c r="L431" s="235">
        <f t="shared" si="100"/>
        <v>-379</v>
      </c>
      <c r="M431" s="235">
        <f t="shared" si="101"/>
        <v>-388</v>
      </c>
      <c r="N431" s="235">
        <f t="shared" si="102"/>
        <v>-397</v>
      </c>
      <c r="O431" s="235">
        <f t="shared" si="102"/>
        <v>-406</v>
      </c>
    </row>
    <row r="432" spans="4:20" ht="12.75" customHeight="1" x14ac:dyDescent="0.25">
      <c r="E432" s="308" t="s">
        <v>3980</v>
      </c>
      <c r="F432" s="308"/>
      <c r="I432" s="115"/>
      <c r="J432" s="235">
        <v>-45</v>
      </c>
      <c r="K432" s="235">
        <f t="shared" si="99"/>
        <v>-46</v>
      </c>
      <c r="L432" s="235">
        <f t="shared" si="100"/>
        <v>-47</v>
      </c>
      <c r="M432" s="235">
        <f t="shared" si="101"/>
        <v>-48</v>
      </c>
      <c r="N432" s="235">
        <f t="shared" si="102"/>
        <v>-49</v>
      </c>
      <c r="O432" s="235">
        <f t="shared" si="102"/>
        <v>-50</v>
      </c>
    </row>
    <row r="433" spans="4:15" ht="12.75" customHeight="1" x14ac:dyDescent="0.25">
      <c r="E433" s="308" t="s">
        <v>3981</v>
      </c>
      <c r="F433" s="308"/>
      <c r="I433" s="115"/>
      <c r="J433" s="235">
        <v>-75</v>
      </c>
      <c r="K433" s="235">
        <f t="shared" si="99"/>
        <v>-77</v>
      </c>
      <c r="L433" s="235">
        <f t="shared" si="100"/>
        <v>-79</v>
      </c>
      <c r="M433" s="235">
        <f t="shared" si="101"/>
        <v>-81</v>
      </c>
      <c r="N433" s="235">
        <f t="shared" si="102"/>
        <v>-83</v>
      </c>
      <c r="O433" s="235">
        <f t="shared" si="102"/>
        <v>-85</v>
      </c>
    </row>
    <row r="434" spans="4:15" ht="12.75" customHeight="1" x14ac:dyDescent="0.25">
      <c r="E434" s="381" t="str">
        <f>"Totaal "&amp;D421</f>
        <v>Totaal 83800</v>
      </c>
      <c r="F434" s="115"/>
      <c r="I434" s="115"/>
      <c r="J434" s="1910">
        <v>-30030</v>
      </c>
      <c r="K434" s="1910">
        <f>SUM(K421:K433)</f>
        <v>-30811</v>
      </c>
      <c r="L434" s="1910">
        <f>SUM(L421:L433)</f>
        <v>-31459</v>
      </c>
      <c r="M434" s="1910">
        <f>SUM(M421:M433)</f>
        <v>-32182</v>
      </c>
      <c r="N434" s="1910">
        <f>SUM(N421:N433)</f>
        <v>-32921</v>
      </c>
      <c r="O434" s="1910">
        <f>SUM(O421:O433)</f>
        <v>-33679</v>
      </c>
    </row>
    <row r="435" spans="4:15" ht="12.75" customHeight="1" x14ac:dyDescent="0.25">
      <c r="E435" s="115"/>
      <c r="F435" s="115"/>
      <c r="I435" s="115"/>
      <c r="J435" s="235"/>
      <c r="K435" s="235"/>
      <c r="L435" s="235"/>
      <c r="M435" s="235"/>
      <c r="N435" s="235"/>
      <c r="O435" s="235"/>
    </row>
    <row r="436" spans="4:15" ht="12.75" customHeight="1" x14ac:dyDescent="0.25">
      <c r="E436" s="115"/>
      <c r="F436" s="115"/>
      <c r="G436" s="235"/>
      <c r="H436" s="235"/>
      <c r="I436" s="235"/>
      <c r="J436" s="60">
        <v>2025</v>
      </c>
      <c r="K436" s="60">
        <v>2026</v>
      </c>
      <c r="L436" s="60">
        <v>2027</v>
      </c>
      <c r="M436" s="60">
        <v>2028</v>
      </c>
      <c r="N436" s="407">
        <v>2029</v>
      </c>
      <c r="O436" s="407">
        <v>2030</v>
      </c>
    </row>
    <row r="437" spans="4:15" ht="12.75" customHeight="1" x14ac:dyDescent="0.25">
      <c r="D437" s="393">
        <v>635004</v>
      </c>
      <c r="E437" s="381" t="s">
        <v>3905</v>
      </c>
      <c r="F437" s="115"/>
      <c r="G437" s="235"/>
      <c r="H437" s="235"/>
      <c r="I437" s="235"/>
      <c r="J437" s="115"/>
      <c r="K437" s="115"/>
      <c r="L437" s="115"/>
      <c r="M437" s="115"/>
      <c r="N437" s="115"/>
      <c r="O437" s="115"/>
    </row>
    <row r="438" spans="4:15" ht="12.75" customHeight="1" x14ac:dyDescent="0.25">
      <c r="D438" s="143">
        <v>83600</v>
      </c>
      <c r="E438" s="115" t="s">
        <v>3906</v>
      </c>
      <c r="F438" s="115"/>
      <c r="G438" s="235"/>
      <c r="H438" s="235"/>
      <c r="I438" s="235"/>
      <c r="J438" s="235">
        <v>-1973</v>
      </c>
      <c r="K438" s="235">
        <f>ROUND(J438*S$2,0)</f>
        <v>-2024</v>
      </c>
      <c r="L438" s="235">
        <f>ROUND(K438*T$2,0)</f>
        <v>-2067</v>
      </c>
      <c r="M438" s="235">
        <f>ROUND(L438*U$2,0)</f>
        <v>-2115</v>
      </c>
      <c r="N438" s="235">
        <f>ROUND(M438*V$2,0)</f>
        <v>-2164</v>
      </c>
      <c r="O438" s="235">
        <f>ROUND(N438*W$2,0)</f>
        <v>-2214</v>
      </c>
    </row>
    <row r="439" spans="4:15" ht="12.75" customHeight="1" thickBot="1" x14ac:dyDescent="0.3">
      <c r="D439" s="143"/>
      <c r="E439" s="115" t="s">
        <v>1078</v>
      </c>
      <c r="F439" s="115"/>
      <c r="G439" s="235"/>
      <c r="H439" s="235"/>
      <c r="I439" s="235"/>
      <c r="J439" s="1744">
        <v>-1973</v>
      </c>
      <c r="K439" s="1744">
        <f t="shared" ref="K439:M439" si="103">SUM(K438)</f>
        <v>-2024</v>
      </c>
      <c r="L439" s="1744">
        <f t="shared" si="103"/>
        <v>-2067</v>
      </c>
      <c r="M439" s="1744">
        <f t="shared" si="103"/>
        <v>-2115</v>
      </c>
      <c r="N439" s="1744">
        <f t="shared" ref="N439:O439" si="104">SUM(N438)</f>
        <v>-2164</v>
      </c>
      <c r="O439" s="1744">
        <f t="shared" si="104"/>
        <v>-2214</v>
      </c>
    </row>
    <row r="440" spans="4:15" ht="12.75" customHeight="1" thickTop="1" x14ac:dyDescent="0.25">
      <c r="D440" s="143"/>
      <c r="E440" s="115"/>
      <c r="F440" s="115"/>
      <c r="G440" s="235"/>
      <c r="H440" s="235"/>
      <c r="I440" s="235"/>
      <c r="J440" s="235"/>
      <c r="K440" s="235"/>
      <c r="L440" s="235"/>
      <c r="M440" s="235"/>
      <c r="N440" s="235"/>
      <c r="O440" s="235"/>
    </row>
    <row r="441" spans="4:15" ht="12.75" customHeight="1" x14ac:dyDescent="0.25">
      <c r="D441" s="143">
        <v>83800</v>
      </c>
      <c r="E441" s="115" t="s">
        <v>3982</v>
      </c>
      <c r="F441" s="115"/>
      <c r="G441" s="235"/>
      <c r="H441" s="235"/>
      <c r="I441" s="235"/>
      <c r="J441" s="235">
        <v>-3797</v>
      </c>
      <c r="K441" s="235">
        <f>ROUND(J441*S$2,0)</f>
        <v>-3896</v>
      </c>
      <c r="L441" s="235">
        <f>ROUND(K441*T$2,0)</f>
        <v>-3978</v>
      </c>
      <c r="M441" s="235">
        <f>ROUND(L441*U$2,0)</f>
        <v>-4069</v>
      </c>
      <c r="N441" s="235">
        <f>ROUND(M441*V$2,0)</f>
        <v>-4163</v>
      </c>
      <c r="O441" s="235">
        <f>ROUND(N441*W$2,0)</f>
        <v>-4259</v>
      </c>
    </row>
    <row r="442" spans="4:15" ht="12.75" customHeight="1" x14ac:dyDescent="0.25">
      <c r="D442" s="143"/>
      <c r="E442" s="115" t="s">
        <v>3983</v>
      </c>
      <c r="F442" s="115"/>
      <c r="G442" s="235"/>
      <c r="H442" s="235"/>
      <c r="I442" s="235"/>
      <c r="J442" s="1910">
        <v>-3797</v>
      </c>
      <c r="K442" s="1910">
        <f t="shared" ref="K442:M442" si="105">SUM(K441)</f>
        <v>-3896</v>
      </c>
      <c r="L442" s="1910">
        <f t="shared" si="105"/>
        <v>-3978</v>
      </c>
      <c r="M442" s="1910">
        <f t="shared" si="105"/>
        <v>-4069</v>
      </c>
      <c r="N442" s="1910">
        <f t="shared" ref="N442:O442" si="106">SUM(N441)</f>
        <v>-4163</v>
      </c>
      <c r="O442" s="1910">
        <f t="shared" si="106"/>
        <v>-4259</v>
      </c>
    </row>
    <row r="443" spans="4:15" ht="12.75" customHeight="1" x14ac:dyDescent="0.25">
      <c r="D443" s="143"/>
      <c r="E443" s="381"/>
      <c r="F443" s="115"/>
      <c r="G443" s="235"/>
      <c r="H443" s="235"/>
      <c r="I443" s="235"/>
      <c r="J443" s="235"/>
      <c r="K443" s="235"/>
      <c r="L443" s="235"/>
      <c r="M443" s="235"/>
      <c r="N443" s="235"/>
      <c r="O443" s="235"/>
    </row>
    <row r="444" spans="4:15" ht="12.75" customHeight="1" x14ac:dyDescent="0.25">
      <c r="D444" s="445">
        <v>635006</v>
      </c>
      <c r="E444" s="381" t="s">
        <v>3907</v>
      </c>
      <c r="F444" s="115"/>
      <c r="G444" s="114"/>
      <c r="H444" s="114"/>
      <c r="I444" s="114"/>
      <c r="J444" s="114"/>
      <c r="K444" s="114"/>
      <c r="L444" s="114"/>
      <c r="M444" s="114"/>
      <c r="N444" s="114"/>
      <c r="O444" s="114"/>
    </row>
    <row r="445" spans="4:15" ht="12.75" customHeight="1" x14ac:dyDescent="0.25">
      <c r="D445" s="143">
        <v>83800</v>
      </c>
      <c r="E445" s="308" t="s">
        <v>3984</v>
      </c>
      <c r="F445" s="308"/>
      <c r="G445" s="114"/>
      <c r="H445" s="114"/>
      <c r="I445" s="114"/>
      <c r="J445" s="235">
        <v>-28703</v>
      </c>
      <c r="K445" s="235">
        <f>ROUND(J445*S$2,0)</f>
        <v>-29449</v>
      </c>
      <c r="L445" s="235">
        <f>ROUND(K445*T$2,0)</f>
        <v>-30067</v>
      </c>
      <c r="M445" s="235">
        <f>ROUND(L445*U$2,0)</f>
        <v>-30759</v>
      </c>
      <c r="N445" s="235">
        <f>ROUND(M445*V$2,0)</f>
        <v>-31466</v>
      </c>
      <c r="O445" s="235">
        <f>ROUND(N445*W$2,0)</f>
        <v>-32190</v>
      </c>
    </row>
    <row r="446" spans="4:15" ht="12.75" customHeight="1" x14ac:dyDescent="0.25">
      <c r="D446" s="143"/>
      <c r="E446" s="308" t="s">
        <v>3985</v>
      </c>
      <c r="F446" s="308"/>
      <c r="G446" s="114"/>
      <c r="H446" s="114"/>
      <c r="I446" s="114"/>
      <c r="J446" s="114">
        <v>-13000</v>
      </c>
      <c r="K446" s="114">
        <v>-13000</v>
      </c>
      <c r="L446" s="114">
        <v>-13000</v>
      </c>
      <c r="M446" s="114">
        <v>-13000</v>
      </c>
      <c r="N446" s="114">
        <v>-13000</v>
      </c>
      <c r="O446" s="114">
        <v>-13000</v>
      </c>
    </row>
    <row r="447" spans="4:15" ht="12.75" customHeight="1" thickBot="1" x14ac:dyDescent="0.3">
      <c r="D447" s="143"/>
      <c r="E447" s="115" t="str">
        <f>"Totaal "&amp;D445</f>
        <v>Totaal 83800</v>
      </c>
      <c r="F447" s="115"/>
      <c r="G447" s="114"/>
      <c r="H447" s="114"/>
      <c r="I447" s="114"/>
      <c r="J447" s="1744">
        <v>-41703</v>
      </c>
      <c r="K447" s="1744">
        <f>SUM(K445:K446)</f>
        <v>-42449</v>
      </c>
      <c r="L447" s="1744">
        <f>SUM(L445:L446)</f>
        <v>-43067</v>
      </c>
      <c r="M447" s="1744">
        <f>SUM(M445:M446)</f>
        <v>-43759</v>
      </c>
      <c r="N447" s="1744">
        <f>SUM(N445:N446)</f>
        <v>-44466</v>
      </c>
      <c r="O447" s="1744">
        <f>SUM(O445:O446)</f>
        <v>-45190</v>
      </c>
    </row>
    <row r="448" spans="4:15" ht="12.75" customHeight="1" thickTop="1" x14ac:dyDescent="0.25">
      <c r="E448" s="115"/>
      <c r="F448" s="115"/>
      <c r="G448" s="114"/>
      <c r="H448" s="114"/>
      <c r="I448" s="114"/>
      <c r="J448" s="115"/>
      <c r="K448" s="115"/>
      <c r="L448" s="115"/>
      <c r="M448" s="115"/>
      <c r="N448" s="115"/>
      <c r="O448" s="115"/>
    </row>
    <row r="449" spans="1:15" ht="12.75" customHeight="1" x14ac:dyDescent="0.25">
      <c r="D449" s="393">
        <v>635007</v>
      </c>
      <c r="E449" s="381" t="s">
        <v>3908</v>
      </c>
      <c r="F449" s="115"/>
      <c r="G449" s="114"/>
      <c r="H449" s="114"/>
      <c r="I449" s="114"/>
      <c r="J449" s="115"/>
      <c r="K449" s="115"/>
      <c r="L449" s="115"/>
      <c r="M449" s="115"/>
      <c r="N449" s="115"/>
      <c r="O449" s="115"/>
    </row>
    <row r="450" spans="1:15" ht="12.75" customHeight="1" x14ac:dyDescent="0.25">
      <c r="D450" s="143">
        <v>83300</v>
      </c>
      <c r="E450" s="2556" t="s">
        <v>3986</v>
      </c>
      <c r="F450" s="2556"/>
      <c r="G450" s="2556"/>
      <c r="H450" s="2556"/>
      <c r="I450" s="2556"/>
      <c r="J450" s="115"/>
      <c r="K450" s="115"/>
      <c r="L450" s="115"/>
      <c r="M450" s="115"/>
      <c r="N450" s="115"/>
      <c r="O450" s="115"/>
    </row>
    <row r="451" spans="1:15" ht="12.75" customHeight="1" x14ac:dyDescent="0.25">
      <c r="D451" s="497"/>
      <c r="E451" s="2556"/>
      <c r="F451" s="2556"/>
      <c r="G451" s="2556"/>
      <c r="H451" s="2556"/>
      <c r="I451" s="2556"/>
      <c r="J451" s="115"/>
      <c r="K451" s="115"/>
      <c r="L451" s="115"/>
      <c r="M451" s="115"/>
      <c r="N451" s="115"/>
      <c r="O451" s="115"/>
    </row>
    <row r="452" spans="1:15" ht="12.75" customHeight="1" x14ac:dyDescent="0.25">
      <c r="D452" s="497"/>
      <c r="E452" s="2556"/>
      <c r="F452" s="2556"/>
      <c r="G452" s="2556"/>
      <c r="H452" s="2556"/>
      <c r="I452" s="2556"/>
      <c r="J452" s="115"/>
      <c r="K452" s="115"/>
      <c r="L452" s="115"/>
      <c r="M452" s="115"/>
      <c r="N452" s="115"/>
      <c r="O452" s="115"/>
    </row>
    <row r="453" spans="1:15" ht="12.75" customHeight="1" x14ac:dyDescent="0.25">
      <c r="D453" s="393">
        <v>635008</v>
      </c>
      <c r="E453" s="381" t="s">
        <v>3909</v>
      </c>
      <c r="F453" s="115"/>
      <c r="G453" s="114"/>
      <c r="H453" s="114"/>
      <c r="I453" s="114"/>
      <c r="J453" s="115"/>
      <c r="K453" s="115"/>
      <c r="L453" s="115"/>
      <c r="M453" s="115"/>
      <c r="N453" s="115"/>
      <c r="O453" s="115"/>
    </row>
    <row r="454" spans="1:15" ht="12.75" customHeight="1" x14ac:dyDescent="0.25">
      <c r="D454" s="557">
        <v>84360</v>
      </c>
      <c r="E454" s="2556" t="s">
        <v>3987</v>
      </c>
      <c r="F454" s="2556"/>
      <c r="G454" s="2556"/>
      <c r="H454" s="2556"/>
      <c r="I454" s="2556"/>
      <c r="J454" s="115"/>
      <c r="K454" s="115"/>
      <c r="L454" s="115"/>
      <c r="M454" s="115"/>
      <c r="N454" s="115"/>
      <c r="O454" s="115"/>
    </row>
    <row r="455" spans="1:15" ht="12.75" customHeight="1" x14ac:dyDescent="0.25">
      <c r="D455" s="557"/>
      <c r="E455" s="399"/>
      <c r="F455" s="399"/>
      <c r="G455" s="399"/>
      <c r="H455" s="399"/>
      <c r="I455" s="399"/>
      <c r="J455" s="115"/>
      <c r="K455" s="115"/>
      <c r="L455" s="115"/>
      <c r="M455" s="115"/>
      <c r="N455" s="115"/>
      <c r="O455" s="115"/>
    </row>
    <row r="456" spans="1:15" ht="12.75" customHeight="1" x14ac:dyDescent="0.25">
      <c r="A456" s="400"/>
      <c r="D456" s="393">
        <v>635010</v>
      </c>
      <c r="E456" s="381" t="s">
        <v>3881</v>
      </c>
      <c r="F456" s="115"/>
      <c r="G456" s="396"/>
      <c r="H456" s="396"/>
      <c r="I456" s="396"/>
      <c r="J456" s="407">
        <v>2025</v>
      </c>
      <c r="K456" s="407">
        <v>2026</v>
      </c>
      <c r="L456" s="407">
        <v>2027</v>
      </c>
      <c r="M456" s="407">
        <v>2028</v>
      </c>
      <c r="N456" s="407">
        <v>2029</v>
      </c>
      <c r="O456" s="407">
        <v>2030</v>
      </c>
    </row>
    <row r="457" spans="1:15" ht="12.75" customHeight="1" x14ac:dyDescent="0.25">
      <c r="A457" s="400"/>
      <c r="D457" s="393"/>
      <c r="E457" s="383" t="s">
        <v>533</v>
      </c>
      <c r="F457" s="115"/>
      <c r="G457" s="396"/>
      <c r="H457" s="396"/>
      <c r="I457" s="396"/>
      <c r="J457" s="114"/>
      <c r="K457" s="114"/>
      <c r="L457" s="114"/>
      <c r="M457" s="114"/>
      <c r="N457" s="114"/>
      <c r="O457" s="114"/>
    </row>
    <row r="458" spans="1:15" ht="12.75" customHeight="1" x14ac:dyDescent="0.25">
      <c r="A458" s="400"/>
      <c r="D458" s="143">
        <v>43812</v>
      </c>
      <c r="E458" s="115" t="s">
        <v>3988</v>
      </c>
      <c r="F458" s="115"/>
      <c r="G458" s="396"/>
      <c r="H458" s="396"/>
      <c r="I458" s="396"/>
      <c r="J458" s="114"/>
      <c r="K458" s="114"/>
      <c r="L458" s="114"/>
      <c r="M458" s="114"/>
      <c r="N458" s="114"/>
      <c r="O458" s="114"/>
    </row>
    <row r="459" spans="1:15" ht="12.75" customHeight="1" x14ac:dyDescent="0.25">
      <c r="A459" s="400"/>
      <c r="D459" s="143"/>
      <c r="E459" s="308" t="s">
        <v>3989</v>
      </c>
      <c r="F459" s="115"/>
      <c r="G459" s="396"/>
      <c r="H459" s="396"/>
      <c r="I459" s="396"/>
      <c r="J459" s="114">
        <v>8585</v>
      </c>
      <c r="K459" s="114">
        <f t="shared" ref="K459:O463" si="107">ROUND(J459*S$2,0)</f>
        <v>8808</v>
      </c>
      <c r="L459" s="114">
        <f t="shared" si="107"/>
        <v>8993</v>
      </c>
      <c r="M459" s="114">
        <f t="shared" si="107"/>
        <v>9200</v>
      </c>
      <c r="N459" s="114">
        <f t="shared" si="107"/>
        <v>9412</v>
      </c>
      <c r="O459" s="114">
        <f t="shared" si="107"/>
        <v>9628</v>
      </c>
    </row>
    <row r="460" spans="1:15" ht="12.75" customHeight="1" x14ac:dyDescent="0.25">
      <c r="A460" s="400"/>
      <c r="D460" s="143"/>
      <c r="E460" s="308" t="s">
        <v>3990</v>
      </c>
      <c r="F460" s="115"/>
      <c r="G460" s="396"/>
      <c r="H460" s="396"/>
      <c r="I460" s="396"/>
      <c r="J460" s="114">
        <v>5926</v>
      </c>
      <c r="K460" s="114">
        <f t="shared" si="107"/>
        <v>6080</v>
      </c>
      <c r="L460" s="114">
        <f t="shared" si="107"/>
        <v>6208</v>
      </c>
      <c r="M460" s="114">
        <f t="shared" si="107"/>
        <v>6351</v>
      </c>
      <c r="N460" s="114">
        <f t="shared" si="107"/>
        <v>6497</v>
      </c>
      <c r="O460" s="114">
        <f t="shared" si="107"/>
        <v>6646</v>
      </c>
    </row>
    <row r="461" spans="1:15" ht="12.75" customHeight="1" x14ac:dyDescent="0.25">
      <c r="A461" s="400"/>
      <c r="D461" s="143"/>
      <c r="E461" s="308" t="s">
        <v>3991</v>
      </c>
      <c r="F461" s="115"/>
      <c r="G461" s="396"/>
      <c r="H461" s="396"/>
      <c r="I461" s="396"/>
      <c r="J461" s="114">
        <v>11663</v>
      </c>
      <c r="K461" s="114">
        <f t="shared" si="107"/>
        <v>11966</v>
      </c>
      <c r="L461" s="114">
        <f t="shared" si="107"/>
        <v>12217</v>
      </c>
      <c r="M461" s="114">
        <f t="shared" si="107"/>
        <v>12498</v>
      </c>
      <c r="N461" s="114">
        <f t="shared" si="107"/>
        <v>12785</v>
      </c>
      <c r="O461" s="114">
        <f t="shared" si="107"/>
        <v>13079</v>
      </c>
    </row>
    <row r="462" spans="1:15" ht="12.75" customHeight="1" x14ac:dyDescent="0.25">
      <c r="A462" s="400"/>
      <c r="D462" s="143"/>
      <c r="E462" s="308" t="s">
        <v>3992</v>
      </c>
      <c r="F462" s="115"/>
      <c r="G462" s="396"/>
      <c r="H462" s="396"/>
      <c r="I462" s="396"/>
      <c r="J462" s="114">
        <v>354</v>
      </c>
      <c r="K462" s="114">
        <f t="shared" si="107"/>
        <v>363</v>
      </c>
      <c r="L462" s="114">
        <f t="shared" si="107"/>
        <v>371</v>
      </c>
      <c r="M462" s="114">
        <f t="shared" si="107"/>
        <v>380</v>
      </c>
      <c r="N462" s="114">
        <f t="shared" si="107"/>
        <v>389</v>
      </c>
      <c r="O462" s="114">
        <f t="shared" si="107"/>
        <v>398</v>
      </c>
    </row>
    <row r="463" spans="1:15" ht="12.75" customHeight="1" x14ac:dyDescent="0.25">
      <c r="A463" s="400"/>
      <c r="D463" s="143"/>
      <c r="E463" s="308" t="s">
        <v>3993</v>
      </c>
      <c r="F463" s="115"/>
      <c r="G463" s="396"/>
      <c r="H463" s="396"/>
      <c r="I463" s="396"/>
      <c r="J463" s="114">
        <v>62560</v>
      </c>
      <c r="K463" s="114">
        <f t="shared" si="107"/>
        <v>64187</v>
      </c>
      <c r="L463" s="114">
        <f t="shared" si="107"/>
        <v>65535</v>
      </c>
      <c r="M463" s="114">
        <f t="shared" si="107"/>
        <v>67042</v>
      </c>
      <c r="N463" s="114">
        <f t="shared" si="107"/>
        <v>68584</v>
      </c>
      <c r="O463" s="114">
        <f t="shared" si="107"/>
        <v>70161</v>
      </c>
    </row>
    <row r="464" spans="1:15" ht="12.75" customHeight="1" x14ac:dyDescent="0.25">
      <c r="A464" s="400"/>
      <c r="D464" s="143"/>
      <c r="E464" s="308"/>
      <c r="F464" s="115"/>
      <c r="G464" s="396"/>
      <c r="H464" s="396"/>
      <c r="I464" s="396"/>
      <c r="J464" s="114"/>
      <c r="K464" s="114"/>
      <c r="L464" s="114"/>
      <c r="M464" s="114"/>
      <c r="N464" s="114"/>
      <c r="O464" s="114"/>
    </row>
    <row r="465" spans="1:15" ht="12.75" customHeight="1" thickBot="1" x14ac:dyDescent="0.3">
      <c r="A465" s="400"/>
      <c r="E465" s="381" t="str">
        <f>"Totaal "&amp;D458</f>
        <v>Totaal 43812</v>
      </c>
      <c r="F465" s="115"/>
      <c r="G465" s="396"/>
      <c r="H465" s="396"/>
      <c r="I465" s="396"/>
      <c r="J465" s="1744">
        <f>SUM(J459:J464)</f>
        <v>89088</v>
      </c>
      <c r="K465" s="1744">
        <f t="shared" ref="K465:N465" si="108">SUM(K459:K464)</f>
        <v>91404</v>
      </c>
      <c r="L465" s="1744">
        <f t="shared" si="108"/>
        <v>93324</v>
      </c>
      <c r="M465" s="1744">
        <f t="shared" si="108"/>
        <v>95471</v>
      </c>
      <c r="N465" s="1744">
        <f t="shared" si="108"/>
        <v>97667</v>
      </c>
      <c r="O465" s="1744">
        <f t="shared" ref="O465" si="109">SUM(O459:O464)</f>
        <v>99912</v>
      </c>
    </row>
    <row r="466" spans="1:15" ht="12.75" customHeight="1" thickTop="1" x14ac:dyDescent="0.25">
      <c r="A466" s="400"/>
      <c r="E466" s="115"/>
      <c r="F466" s="115"/>
      <c r="G466" s="396"/>
      <c r="H466" s="396"/>
      <c r="I466" s="396"/>
      <c r="J466" s="114"/>
      <c r="K466" s="114"/>
      <c r="L466" s="114"/>
      <c r="M466" s="114"/>
      <c r="N466" s="114"/>
      <c r="O466" s="114"/>
    </row>
    <row r="467" spans="1:15" ht="12.75" customHeight="1" x14ac:dyDescent="0.25">
      <c r="A467" s="400"/>
      <c r="D467" s="143">
        <v>44380</v>
      </c>
      <c r="E467" s="115" t="s">
        <v>3994</v>
      </c>
      <c r="F467" s="115"/>
      <c r="G467" s="396"/>
      <c r="H467" s="396"/>
      <c r="I467" s="396"/>
      <c r="J467" s="114">
        <v>17919</v>
      </c>
      <c r="K467" s="114">
        <f>ROUND(J467*R$2,0)</f>
        <v>18421</v>
      </c>
      <c r="L467" s="114">
        <f>ROUND(K467*S$2,0)</f>
        <v>18900</v>
      </c>
      <c r="M467" s="114">
        <f>ROUND(L467*T$2,0)</f>
        <v>19297</v>
      </c>
      <c r="N467" s="114">
        <f>ROUND(M467*U$2,0)</f>
        <v>19741</v>
      </c>
      <c r="O467" s="114">
        <f>ROUND(N467*V$2,0)</f>
        <v>20195</v>
      </c>
    </row>
    <row r="468" spans="1:15" ht="12.75" customHeight="1" thickBot="1" x14ac:dyDescent="0.3">
      <c r="A468" s="400"/>
      <c r="E468" s="381" t="str">
        <f>"Totaal "&amp;D467</f>
        <v>Totaal 44380</v>
      </c>
      <c r="F468" s="115"/>
      <c r="G468" s="396"/>
      <c r="H468" s="396"/>
      <c r="I468" s="396"/>
      <c r="J468" s="1744">
        <v>17919</v>
      </c>
      <c r="K468" s="1744">
        <f t="shared" ref="K468:M468" si="110">SUM(K467)</f>
        <v>18421</v>
      </c>
      <c r="L468" s="1744">
        <f t="shared" si="110"/>
        <v>18900</v>
      </c>
      <c r="M468" s="1744">
        <f t="shared" si="110"/>
        <v>19297</v>
      </c>
      <c r="N468" s="1744">
        <f t="shared" ref="N468:O468" si="111">SUM(N467)</f>
        <v>19741</v>
      </c>
      <c r="O468" s="1744">
        <f t="shared" si="111"/>
        <v>20195</v>
      </c>
    </row>
    <row r="469" spans="1:15" ht="12.75" customHeight="1" thickTop="1" x14ac:dyDescent="0.25">
      <c r="A469" s="400"/>
      <c r="E469" s="115"/>
      <c r="F469" s="115"/>
      <c r="G469" s="396"/>
      <c r="H469" s="396"/>
      <c r="I469" s="396"/>
      <c r="J469" s="396"/>
      <c r="K469" s="396"/>
      <c r="L469" s="396"/>
      <c r="M469" s="396"/>
      <c r="N469" s="396"/>
      <c r="O469" s="396"/>
    </row>
    <row r="470" spans="1:15" ht="12.75" customHeight="1" x14ac:dyDescent="0.25">
      <c r="A470" s="400"/>
      <c r="E470" s="115"/>
      <c r="F470" s="115"/>
      <c r="G470" s="396"/>
      <c r="H470" s="396"/>
      <c r="I470" s="396"/>
      <c r="J470" s="114"/>
      <c r="K470" s="114"/>
      <c r="L470" s="114"/>
      <c r="M470" s="114"/>
      <c r="N470" s="114"/>
      <c r="O470" s="114"/>
    </row>
    <row r="471" spans="1:15" ht="12.75" customHeight="1" x14ac:dyDescent="0.25">
      <c r="A471" s="400"/>
      <c r="D471" s="384"/>
      <c r="E471" s="115"/>
      <c r="F471" s="115"/>
      <c r="G471" s="114"/>
      <c r="H471" s="114"/>
      <c r="I471" s="114"/>
      <c r="J471" s="407">
        <v>2025</v>
      </c>
      <c r="K471" s="407">
        <v>2026</v>
      </c>
      <c r="L471" s="407">
        <v>2027</v>
      </c>
      <c r="M471" s="407">
        <v>2028</v>
      </c>
      <c r="N471" s="407">
        <v>2029</v>
      </c>
      <c r="O471" s="407">
        <v>2030</v>
      </c>
    </row>
    <row r="472" spans="1:15" ht="12.75" customHeight="1" x14ac:dyDescent="0.25">
      <c r="A472" s="400"/>
      <c r="D472" s="433">
        <v>635012</v>
      </c>
      <c r="E472" s="445" t="s">
        <v>3883</v>
      </c>
      <c r="F472" s="115"/>
      <c r="G472" s="114"/>
      <c r="H472" s="114"/>
      <c r="I472" s="114"/>
    </row>
    <row r="473" spans="1:15" ht="12.75" customHeight="1" x14ac:dyDescent="0.25">
      <c r="A473" s="400"/>
      <c r="D473" s="433"/>
      <c r="E473" s="556" t="s">
        <v>533</v>
      </c>
      <c r="F473" s="115"/>
      <c r="G473" s="114"/>
      <c r="H473" s="114"/>
      <c r="I473" s="114"/>
      <c r="J473" s="114"/>
      <c r="K473" s="114"/>
      <c r="L473" s="114"/>
      <c r="M473" s="114"/>
      <c r="N473" s="114"/>
      <c r="O473" s="114"/>
    </row>
    <row r="474" spans="1:15" ht="12.75" customHeight="1" x14ac:dyDescent="0.25">
      <c r="A474" s="400"/>
      <c r="D474" s="384">
        <v>43812</v>
      </c>
      <c r="E474" s="308" t="s">
        <v>3995</v>
      </c>
      <c r="F474" s="115"/>
      <c r="G474" s="114"/>
      <c r="H474" s="114"/>
      <c r="I474" s="114"/>
      <c r="J474" s="114">
        <v>3249</v>
      </c>
      <c r="K474" s="114">
        <v>0</v>
      </c>
      <c r="L474" s="114">
        <v>0</v>
      </c>
      <c r="M474" s="114">
        <v>0</v>
      </c>
      <c r="N474" s="114">
        <v>0</v>
      </c>
      <c r="O474" s="114">
        <v>0</v>
      </c>
    </row>
    <row r="475" spans="1:15" ht="12.75" customHeight="1" x14ac:dyDescent="0.25">
      <c r="A475" s="400"/>
      <c r="D475" s="384"/>
      <c r="E475" s="308" t="s">
        <v>3996</v>
      </c>
      <c r="F475" s="115"/>
      <c r="G475" s="114"/>
      <c r="H475" s="114"/>
      <c r="I475" s="114"/>
      <c r="J475" s="114">
        <v>55659</v>
      </c>
      <c r="K475" s="114">
        <v>0</v>
      </c>
      <c r="L475" s="114">
        <v>0</v>
      </c>
      <c r="M475" s="114">
        <v>0</v>
      </c>
      <c r="N475" s="114">
        <v>0</v>
      </c>
      <c r="O475" s="114">
        <v>0</v>
      </c>
    </row>
    <row r="476" spans="1:15" ht="12.75" customHeight="1" x14ac:dyDescent="0.25">
      <c r="A476" s="400"/>
      <c r="D476" s="384"/>
      <c r="E476" s="2212" t="s">
        <v>5332</v>
      </c>
      <c r="F476" s="2213"/>
      <c r="G476" s="2214"/>
      <c r="H476" s="2214"/>
      <c r="I476" s="2214"/>
      <c r="J476" s="2214"/>
      <c r="K476" s="2214">
        <v>45000</v>
      </c>
      <c r="L476" s="2214"/>
      <c r="M476" s="2214"/>
      <c r="N476" s="2214"/>
      <c r="O476" s="2214"/>
    </row>
    <row r="477" spans="1:15" ht="12.75" customHeight="1" thickBot="1" x14ac:dyDescent="0.3">
      <c r="A477" s="400"/>
      <c r="D477" s="384"/>
      <c r="E477" s="308" t="s">
        <v>3997</v>
      </c>
      <c r="F477" s="115"/>
      <c r="G477" s="114"/>
      <c r="H477" s="114"/>
      <c r="I477" s="114"/>
      <c r="J477" s="1744">
        <v>58908</v>
      </c>
      <c r="K477" s="1744">
        <f>SUM(K474:K476)</f>
        <v>45000</v>
      </c>
      <c r="L477" s="1744">
        <f>SUM(L474:L475)</f>
        <v>0</v>
      </c>
      <c r="M477" s="1744">
        <f>SUM(M474:M475)</f>
        <v>0</v>
      </c>
      <c r="N477" s="1744">
        <f>SUM(N474:N475)</f>
        <v>0</v>
      </c>
      <c r="O477" s="1744">
        <f>SUM(O474:O475)</f>
        <v>0</v>
      </c>
    </row>
    <row r="478" spans="1:15" ht="12.75" customHeight="1" thickTop="1" x14ac:dyDescent="0.25">
      <c r="A478" s="400"/>
      <c r="D478" s="384"/>
      <c r="E478" s="115"/>
      <c r="F478" s="115"/>
      <c r="G478" s="114"/>
      <c r="H478" s="114"/>
      <c r="I478" s="114"/>
      <c r="J478" s="114"/>
      <c r="K478" s="114"/>
      <c r="L478" s="114"/>
      <c r="M478" s="114"/>
      <c r="N478" s="114"/>
      <c r="O478" s="114"/>
    </row>
    <row r="479" spans="1:15" ht="12.75" customHeight="1" x14ac:dyDescent="0.25">
      <c r="A479" s="400"/>
      <c r="D479" s="384"/>
      <c r="E479" s="115"/>
      <c r="F479" s="115"/>
      <c r="G479" s="114"/>
      <c r="H479" s="114"/>
      <c r="I479" s="114"/>
      <c r="J479" s="114"/>
      <c r="K479" s="114"/>
      <c r="L479" s="114"/>
      <c r="M479" s="114"/>
      <c r="N479" s="114"/>
      <c r="O479" s="114"/>
    </row>
    <row r="480" spans="1:15" ht="12.75" customHeight="1" x14ac:dyDescent="0.25">
      <c r="A480" s="400"/>
      <c r="D480" s="433">
        <v>635012</v>
      </c>
      <c r="E480" s="445" t="s">
        <v>3883</v>
      </c>
      <c r="F480" s="115"/>
      <c r="G480" s="396"/>
      <c r="H480" s="396"/>
      <c r="I480" s="396"/>
      <c r="J480" s="114"/>
      <c r="K480" s="114"/>
      <c r="L480" s="114"/>
      <c r="M480" s="114"/>
      <c r="N480" s="114"/>
      <c r="O480" s="114"/>
    </row>
    <row r="481" spans="1:15" ht="12.75" customHeight="1" x14ac:dyDescent="0.25">
      <c r="A481" s="400"/>
      <c r="D481" s="433"/>
      <c r="E481" s="556" t="s">
        <v>554</v>
      </c>
      <c r="F481" s="115"/>
      <c r="G481" s="396"/>
      <c r="H481" s="396"/>
      <c r="I481" s="396"/>
      <c r="J481" s="114"/>
      <c r="K481" s="114"/>
      <c r="L481" s="114"/>
      <c r="M481" s="114"/>
      <c r="N481" s="114"/>
      <c r="O481" s="114"/>
    </row>
    <row r="482" spans="1:15" ht="12.75" customHeight="1" x14ac:dyDescent="0.25">
      <c r="A482" s="400"/>
      <c r="D482" s="384">
        <v>83800</v>
      </c>
      <c r="E482" s="115" t="s">
        <v>3998</v>
      </c>
      <c r="F482" s="115"/>
      <c r="G482" s="114"/>
      <c r="H482" s="114"/>
      <c r="I482" s="114"/>
      <c r="J482" s="114"/>
      <c r="K482" s="114"/>
      <c r="L482" s="114"/>
      <c r="M482" s="114"/>
      <c r="N482" s="114"/>
      <c r="O482" s="114"/>
    </row>
    <row r="483" spans="1:15" ht="12.75" customHeight="1" x14ac:dyDescent="0.25">
      <c r="A483" s="400"/>
      <c r="D483" s="384"/>
      <c r="E483" s="115" t="s">
        <v>3999</v>
      </c>
      <c r="F483" s="115"/>
      <c r="G483" s="114"/>
      <c r="H483" s="114"/>
      <c r="I483" s="114"/>
      <c r="J483" s="114"/>
      <c r="K483" s="114"/>
      <c r="L483" s="114"/>
      <c r="M483" s="114"/>
      <c r="N483" s="114"/>
      <c r="O483" s="114"/>
    </row>
    <row r="484" spans="1:15" ht="12.75" customHeight="1" x14ac:dyDescent="0.25">
      <c r="A484" s="400"/>
      <c r="D484" s="384"/>
      <c r="E484" s="115" t="s">
        <v>4000</v>
      </c>
      <c r="F484" s="115"/>
      <c r="G484" s="114"/>
      <c r="H484" s="114"/>
      <c r="I484" s="114"/>
      <c r="J484" s="114">
        <v>-3249</v>
      </c>
      <c r="K484" s="114">
        <f>-K474</f>
        <v>0</v>
      </c>
      <c r="L484" s="114">
        <f>-L474</f>
        <v>0</v>
      </c>
      <c r="M484" s="114">
        <f>-M474</f>
        <v>0</v>
      </c>
      <c r="N484" s="114">
        <f>-N474</f>
        <v>0</v>
      </c>
      <c r="O484" s="114">
        <f>-O474</f>
        <v>0</v>
      </c>
    </row>
    <row r="485" spans="1:15" ht="12.75" customHeight="1" x14ac:dyDescent="0.25">
      <c r="A485" s="400"/>
      <c r="D485" s="384"/>
      <c r="E485" s="115" t="s">
        <v>4001</v>
      </c>
      <c r="F485" s="115"/>
      <c r="G485" s="114"/>
      <c r="H485" s="114"/>
      <c r="I485" s="114"/>
      <c r="J485" s="114">
        <v>-55659</v>
      </c>
      <c r="K485" s="114">
        <v>-104010</v>
      </c>
      <c r="L485" s="114">
        <v>-135541</v>
      </c>
      <c r="M485" s="114">
        <v>-102383</v>
      </c>
      <c r="N485" s="114">
        <v>-37590</v>
      </c>
      <c r="O485" s="114">
        <v>-37590</v>
      </c>
    </row>
    <row r="486" spans="1:15" ht="12.75" customHeight="1" thickBot="1" x14ac:dyDescent="0.3">
      <c r="A486" s="400"/>
      <c r="D486" s="384"/>
      <c r="E486" s="308"/>
      <c r="F486" s="115"/>
      <c r="G486" s="114"/>
      <c r="H486" s="114"/>
      <c r="I486" s="114"/>
      <c r="J486" s="1744">
        <v>-58908</v>
      </c>
      <c r="K486" s="1744">
        <f>SUM(K484:K485)</f>
        <v>-104010</v>
      </c>
      <c r="L486" s="1744">
        <f>SUM(L484:L485)</f>
        <v>-135541</v>
      </c>
      <c r="M486" s="1744">
        <f>SUM(M484:M485)</f>
        <v>-102383</v>
      </c>
      <c r="N486" s="1744">
        <f>SUM(N484:N485)</f>
        <v>-37590</v>
      </c>
      <c r="O486" s="1744">
        <f>SUM(O484:O485)</f>
        <v>-37590</v>
      </c>
    </row>
    <row r="487" spans="1:15" ht="12.75" customHeight="1" thickTop="1" x14ac:dyDescent="0.25">
      <c r="A487" s="400"/>
      <c r="D487" s="384"/>
      <c r="E487" s="308"/>
      <c r="F487" s="115"/>
      <c r="G487" s="114"/>
      <c r="H487" s="114"/>
      <c r="I487" s="114"/>
      <c r="J487" s="114"/>
      <c r="K487" s="114"/>
      <c r="L487" s="114"/>
      <c r="M487" s="114"/>
      <c r="N487" s="114"/>
      <c r="O487" s="114"/>
    </row>
    <row r="488" spans="1:15" ht="12.75" customHeight="1" x14ac:dyDescent="0.25">
      <c r="A488" s="400"/>
      <c r="D488" s="384"/>
      <c r="E488" s="2510" t="s">
        <v>4002</v>
      </c>
      <c r="F488" s="2510"/>
      <c r="G488" s="2510"/>
      <c r="H488" s="2510"/>
      <c r="I488" s="2510"/>
      <c r="J488" s="2510"/>
      <c r="K488" s="2510"/>
      <c r="L488" s="2510"/>
      <c r="M488" s="2510"/>
      <c r="N488" s="115"/>
      <c r="O488" s="115"/>
    </row>
    <row r="489" spans="1:15" ht="36" customHeight="1" x14ac:dyDescent="0.25">
      <c r="A489" s="400"/>
      <c r="D489" s="384"/>
      <c r="E489" s="2510"/>
      <c r="F489" s="2510"/>
      <c r="G489" s="2510"/>
      <c r="H489" s="2510"/>
      <c r="I489" s="2510"/>
      <c r="J489" s="2510"/>
      <c r="K489" s="2510"/>
      <c r="L489" s="2510"/>
      <c r="M489" s="2510"/>
      <c r="N489" s="115"/>
      <c r="O489" s="115"/>
    </row>
    <row r="490" spans="1:15" ht="12.75" customHeight="1" x14ac:dyDescent="0.25">
      <c r="D490" s="384"/>
      <c r="E490" s="115"/>
      <c r="F490" s="115"/>
      <c r="G490" s="114"/>
      <c r="H490" s="114"/>
      <c r="I490" s="114"/>
      <c r="J490" s="114"/>
      <c r="K490" s="114"/>
      <c r="L490" s="114"/>
      <c r="M490" s="114"/>
      <c r="N490" s="114"/>
      <c r="O490" s="114"/>
    </row>
    <row r="491" spans="1:15" ht="12.75" customHeight="1" x14ac:dyDescent="0.25">
      <c r="D491" s="433" t="s">
        <v>100</v>
      </c>
      <c r="E491" s="381" t="s">
        <v>4003</v>
      </c>
      <c r="F491" s="115"/>
      <c r="G491" s="114"/>
      <c r="H491" s="114"/>
      <c r="I491" s="114"/>
      <c r="J491" s="114"/>
      <c r="K491" s="114"/>
      <c r="L491" s="114"/>
      <c r="M491" s="114"/>
      <c r="N491" s="114"/>
      <c r="O491" s="114"/>
    </row>
    <row r="492" spans="1:15" ht="12.75" customHeight="1" x14ac:dyDescent="0.25">
      <c r="D492" s="384"/>
      <c r="E492" s="383" t="s">
        <v>533</v>
      </c>
      <c r="F492" s="115"/>
      <c r="G492" s="114"/>
      <c r="H492" s="114"/>
      <c r="I492" s="114"/>
      <c r="J492" s="114"/>
      <c r="K492" s="114"/>
      <c r="L492" s="114"/>
      <c r="M492" s="114"/>
      <c r="N492" s="114"/>
      <c r="O492" s="114"/>
    </row>
    <row r="493" spans="1:15" ht="12.75" customHeight="1" x14ac:dyDescent="0.25">
      <c r="D493" s="384">
        <v>43812</v>
      </c>
      <c r="E493" s="115" t="s">
        <v>4004</v>
      </c>
      <c r="F493" s="115"/>
      <c r="G493" s="114"/>
      <c r="H493" s="114"/>
      <c r="I493" s="114"/>
      <c r="J493" s="114"/>
      <c r="K493" s="114">
        <v>125000</v>
      </c>
      <c r="L493" s="114"/>
      <c r="M493" s="114"/>
      <c r="N493" s="114"/>
      <c r="O493" s="114"/>
    </row>
    <row r="494" spans="1:15" ht="12.75" customHeight="1" x14ac:dyDescent="0.25">
      <c r="D494" s="384"/>
      <c r="E494" s="306" t="s">
        <v>4005</v>
      </c>
      <c r="F494" s="115"/>
      <c r="G494" s="114"/>
      <c r="H494" s="114"/>
      <c r="I494" s="114"/>
      <c r="J494" s="114"/>
      <c r="K494" s="114">
        <v>212000</v>
      </c>
      <c r="L494" s="114"/>
      <c r="M494" s="114"/>
      <c r="N494" s="114"/>
      <c r="O494" s="114"/>
    </row>
    <row r="495" spans="1:15" ht="12.75" customHeight="1" thickBot="1" x14ac:dyDescent="0.3">
      <c r="D495" s="384"/>
      <c r="E495" s="115" t="s">
        <v>536</v>
      </c>
      <c r="F495" s="115"/>
      <c r="G495" s="114"/>
      <c r="H495" s="114"/>
      <c r="I495" s="114"/>
      <c r="J495" s="1744">
        <v>0</v>
      </c>
      <c r="K495" s="1744">
        <f t="shared" ref="K495:N495" si="112">SUM(K491:K494)</f>
        <v>337000</v>
      </c>
      <c r="L495" s="1744">
        <f t="shared" si="112"/>
        <v>0</v>
      </c>
      <c r="M495" s="1744">
        <f t="shared" si="112"/>
        <v>0</v>
      </c>
      <c r="N495" s="1744">
        <f t="shared" si="112"/>
        <v>0</v>
      </c>
      <c r="O495" s="1744">
        <f t="shared" ref="O495" si="113">SUM(O491:O494)</f>
        <v>0</v>
      </c>
    </row>
    <row r="496" spans="1:15" ht="12.75" customHeight="1" thickTop="1" x14ac:dyDescent="0.25">
      <c r="D496" s="384"/>
      <c r="E496" s="115"/>
      <c r="F496" s="115"/>
      <c r="G496" s="114"/>
      <c r="H496" s="114"/>
      <c r="I496" s="114"/>
      <c r="J496" s="114"/>
      <c r="K496" s="114"/>
      <c r="L496" s="114"/>
      <c r="M496" s="114"/>
      <c r="N496" s="114"/>
      <c r="O496" s="114"/>
    </row>
    <row r="497" spans="4:15" ht="12.75" customHeight="1" x14ac:dyDescent="0.25">
      <c r="D497" s="384"/>
      <c r="E497" s="115"/>
      <c r="F497" s="115"/>
      <c r="G497" s="114"/>
      <c r="H497" s="114"/>
      <c r="I497" s="114"/>
      <c r="J497" s="407">
        <v>2025</v>
      </c>
      <c r="K497" s="407">
        <v>2026</v>
      </c>
      <c r="L497" s="407">
        <v>2027</v>
      </c>
      <c r="M497" s="407">
        <v>2028</v>
      </c>
      <c r="N497" s="407">
        <v>2029</v>
      </c>
      <c r="O497" s="407">
        <v>2030</v>
      </c>
    </row>
    <row r="498" spans="4:15" ht="12.75" customHeight="1" x14ac:dyDescent="0.25">
      <c r="D498" s="433">
        <v>635017</v>
      </c>
      <c r="E498" s="445" t="s">
        <v>3882</v>
      </c>
      <c r="F498" s="115"/>
      <c r="G498" s="114"/>
      <c r="H498" s="114"/>
      <c r="I498" s="114"/>
    </row>
    <row r="499" spans="4:15" ht="12.75" customHeight="1" x14ac:dyDescent="0.25">
      <c r="D499" s="433"/>
      <c r="E499" s="556" t="s">
        <v>533</v>
      </c>
      <c r="F499" s="115"/>
      <c r="G499" s="114"/>
      <c r="H499" s="114"/>
      <c r="I499" s="114"/>
      <c r="J499" s="114"/>
      <c r="K499" s="114"/>
      <c r="L499" s="114"/>
      <c r="M499" s="114"/>
      <c r="N499" s="114"/>
      <c r="O499" s="114"/>
    </row>
    <row r="500" spans="4:15" ht="12.75" customHeight="1" x14ac:dyDescent="0.25">
      <c r="D500" s="384">
        <v>43812</v>
      </c>
      <c r="E500" s="308" t="s">
        <v>4006</v>
      </c>
      <c r="F500" s="115"/>
      <c r="G500" s="114"/>
      <c r="H500" s="114"/>
      <c r="I500" s="114"/>
      <c r="J500" s="114">
        <v>95000</v>
      </c>
      <c r="K500" s="114">
        <v>95000</v>
      </c>
      <c r="L500" s="114">
        <v>95000</v>
      </c>
      <c r="M500" s="114">
        <v>95000</v>
      </c>
      <c r="N500" s="114">
        <v>95000</v>
      </c>
      <c r="O500" s="114">
        <v>95000</v>
      </c>
    </row>
    <row r="501" spans="4:15" ht="12.75" customHeight="1" x14ac:dyDescent="0.25">
      <c r="D501" s="384"/>
      <c r="E501" s="308"/>
      <c r="F501" s="115"/>
      <c r="G501" s="114"/>
      <c r="H501" s="114"/>
      <c r="I501" s="114"/>
      <c r="J501" s="114"/>
      <c r="K501" s="114"/>
      <c r="L501" s="114"/>
      <c r="M501" s="114"/>
      <c r="N501" s="114"/>
      <c r="O501" s="114"/>
    </row>
    <row r="502" spans="4:15" ht="12.75" customHeight="1" thickBot="1" x14ac:dyDescent="0.3">
      <c r="D502" s="384"/>
      <c r="E502" s="308"/>
      <c r="F502" s="115"/>
      <c r="G502" s="114"/>
      <c r="H502" s="114"/>
      <c r="I502" s="114"/>
      <c r="J502" s="1744">
        <f>+J500</f>
        <v>95000</v>
      </c>
      <c r="K502" s="1744">
        <f>SUM(K500:K501)</f>
        <v>95000</v>
      </c>
      <c r="L502" s="1744">
        <f>SUM(L500:L501)</f>
        <v>95000</v>
      </c>
      <c r="M502" s="1744">
        <f>SUM(M500:M501)</f>
        <v>95000</v>
      </c>
      <c r="N502" s="1744">
        <f>SUM(N500:N501)</f>
        <v>95000</v>
      </c>
      <c r="O502" s="1744">
        <f>SUM(O500:O501)</f>
        <v>95000</v>
      </c>
    </row>
    <row r="503" spans="4:15" ht="12.75" customHeight="1" thickTop="1" x14ac:dyDescent="0.25">
      <c r="D503" s="384"/>
      <c r="E503" s="115"/>
      <c r="F503" s="115"/>
      <c r="G503" s="114"/>
      <c r="H503" s="114"/>
      <c r="I503" s="114"/>
      <c r="J503" s="114"/>
      <c r="K503" s="114"/>
      <c r="L503" s="114"/>
      <c r="M503" s="114"/>
      <c r="N503" s="114"/>
      <c r="O503" s="114"/>
    </row>
    <row r="504" spans="4:15" ht="12.75" customHeight="1" x14ac:dyDescent="0.25">
      <c r="D504" s="384"/>
      <c r="E504" s="383" t="s">
        <v>533</v>
      </c>
      <c r="F504" s="115"/>
      <c r="G504" s="235"/>
      <c r="H504" s="235"/>
      <c r="I504" s="235"/>
      <c r="J504" s="235"/>
      <c r="K504" s="235"/>
      <c r="L504" s="235"/>
      <c r="M504" s="235"/>
      <c r="N504" s="235"/>
      <c r="O504" s="235"/>
    </row>
    <row r="505" spans="4:15" ht="12.75" customHeight="1" x14ac:dyDescent="0.25">
      <c r="D505" s="143">
        <v>41100</v>
      </c>
      <c r="E505" s="115" t="s">
        <v>541</v>
      </c>
      <c r="F505" s="115"/>
      <c r="G505" s="235"/>
      <c r="H505" s="235"/>
      <c r="I505" s="235"/>
      <c r="J505" s="115"/>
      <c r="K505" s="115"/>
      <c r="L505" s="115"/>
      <c r="M505" s="115"/>
      <c r="N505" s="115"/>
      <c r="O505" s="115"/>
    </row>
    <row r="506" spans="4:15" ht="12.75" customHeight="1" x14ac:dyDescent="0.25">
      <c r="D506" s="115"/>
      <c r="E506" s="308" t="s">
        <v>2672</v>
      </c>
      <c r="F506" s="115"/>
      <c r="G506" s="235"/>
      <c r="H506" s="235"/>
      <c r="I506" s="235"/>
      <c r="J506" s="235">
        <v>0</v>
      </c>
      <c r="K506" s="235">
        <f t="shared" ref="K506:O509" si="114">J506*S$3</f>
        <v>0</v>
      </c>
      <c r="L506" s="235">
        <f t="shared" si="114"/>
        <v>0</v>
      </c>
      <c r="M506" s="235">
        <f t="shared" si="114"/>
        <v>0</v>
      </c>
      <c r="N506" s="235">
        <f t="shared" si="114"/>
        <v>0</v>
      </c>
      <c r="O506" s="235">
        <f t="shared" si="114"/>
        <v>0</v>
      </c>
    </row>
    <row r="507" spans="4:15" ht="12.75" customHeight="1" x14ac:dyDescent="0.25">
      <c r="D507" s="115"/>
      <c r="E507" s="308" t="s">
        <v>4007</v>
      </c>
      <c r="F507" s="115"/>
      <c r="G507" s="235"/>
      <c r="H507" s="235"/>
      <c r="I507" s="235"/>
      <c r="J507" s="235">
        <v>0</v>
      </c>
      <c r="K507" s="235">
        <f t="shared" si="114"/>
        <v>0</v>
      </c>
      <c r="L507" s="235">
        <f t="shared" si="114"/>
        <v>0</v>
      </c>
      <c r="M507" s="235">
        <f t="shared" si="114"/>
        <v>0</v>
      </c>
      <c r="N507" s="235">
        <f t="shared" si="114"/>
        <v>0</v>
      </c>
      <c r="O507" s="235">
        <f t="shared" si="114"/>
        <v>0</v>
      </c>
    </row>
    <row r="508" spans="4:15" ht="12.75" customHeight="1" x14ac:dyDescent="0.25">
      <c r="D508" s="115"/>
      <c r="E508" s="308" t="s">
        <v>706</v>
      </c>
      <c r="F508" s="115"/>
      <c r="G508" s="114"/>
      <c r="H508" s="114"/>
      <c r="I508" s="114"/>
      <c r="J508" s="235">
        <v>0</v>
      </c>
      <c r="K508" s="235">
        <f t="shared" si="114"/>
        <v>0</v>
      </c>
      <c r="L508" s="235">
        <f t="shared" si="114"/>
        <v>0</v>
      </c>
      <c r="M508" s="235">
        <f t="shared" si="114"/>
        <v>0</v>
      </c>
      <c r="N508" s="235">
        <f t="shared" si="114"/>
        <v>0</v>
      </c>
      <c r="O508" s="235">
        <f t="shared" si="114"/>
        <v>0</v>
      </c>
    </row>
    <row r="509" spans="4:15" ht="12.75" customHeight="1" x14ac:dyDescent="0.25">
      <c r="D509" s="115"/>
      <c r="E509" s="308" t="s">
        <v>4008</v>
      </c>
      <c r="F509" s="115"/>
      <c r="G509" s="114"/>
      <c r="H509" s="114"/>
      <c r="I509" s="114"/>
      <c r="J509" s="235">
        <v>0</v>
      </c>
      <c r="K509" s="235">
        <f t="shared" si="114"/>
        <v>0</v>
      </c>
      <c r="L509" s="235">
        <f t="shared" si="114"/>
        <v>0</v>
      </c>
      <c r="M509" s="235">
        <f t="shared" si="114"/>
        <v>0</v>
      </c>
      <c r="N509" s="235">
        <f t="shared" si="114"/>
        <v>0</v>
      </c>
      <c r="O509" s="235">
        <f t="shared" si="114"/>
        <v>0</v>
      </c>
    </row>
    <row r="510" spans="4:15" ht="12.75" customHeight="1" x14ac:dyDescent="0.25">
      <c r="D510" s="115"/>
      <c r="E510" s="308" t="s">
        <v>3142</v>
      </c>
      <c r="F510" s="115"/>
      <c r="G510" s="114"/>
      <c r="H510" s="114"/>
      <c r="I510" s="114"/>
      <c r="J510" s="235">
        <v>201718.97</v>
      </c>
      <c r="K510" s="235">
        <v>217154.58</v>
      </c>
      <c r="L510" s="235">
        <f t="shared" ref="L510:O514" si="115">K510*T$3</f>
        <v>226275.07235999999</v>
      </c>
      <c r="M510" s="235">
        <f t="shared" si="115"/>
        <v>234647.25003731999</v>
      </c>
      <c r="N510" s="235">
        <f t="shared" si="115"/>
        <v>243329.19828870081</v>
      </c>
      <c r="O510" s="235">
        <f t="shared" si="115"/>
        <v>252332.37862538273</v>
      </c>
    </row>
    <row r="511" spans="4:15" ht="12.75" customHeight="1" x14ac:dyDescent="0.25">
      <c r="D511" s="115"/>
      <c r="E511" s="308" t="s">
        <v>1029</v>
      </c>
      <c r="F511" s="115"/>
      <c r="G511" s="114"/>
      <c r="H511" s="114"/>
      <c r="I511" s="114"/>
      <c r="J511" s="235">
        <v>6698</v>
      </c>
      <c r="K511" s="235">
        <v>6688</v>
      </c>
      <c r="L511" s="235">
        <f t="shared" si="115"/>
        <v>6968.8960000000006</v>
      </c>
      <c r="M511" s="235">
        <f t="shared" si="115"/>
        <v>7226.7451520000004</v>
      </c>
      <c r="N511" s="235">
        <f t="shared" si="115"/>
        <v>7494.1347226239996</v>
      </c>
      <c r="O511" s="235">
        <f t="shared" si="115"/>
        <v>7771.4177073610872</v>
      </c>
    </row>
    <row r="512" spans="4:15" ht="12.75" customHeight="1" x14ac:dyDescent="0.25">
      <c r="D512" s="115"/>
      <c r="E512" s="308" t="s">
        <v>3089</v>
      </c>
      <c r="F512" s="115"/>
      <c r="G512" s="114"/>
      <c r="H512" s="114"/>
      <c r="I512" s="114"/>
      <c r="J512" s="235">
        <v>436576.13</v>
      </c>
      <c r="K512" s="235">
        <v>446846.48</v>
      </c>
      <c r="L512" s="235">
        <f t="shared" si="115"/>
        <v>465614.03216</v>
      </c>
      <c r="M512" s="235">
        <f t="shared" si="115"/>
        <v>482841.75134991994</v>
      </c>
      <c r="N512" s="235">
        <f t="shared" si="115"/>
        <v>500706.89614986692</v>
      </c>
      <c r="O512" s="235">
        <f t="shared" si="115"/>
        <v>519233.05130741198</v>
      </c>
    </row>
    <row r="513" spans="4:15" ht="12.75" customHeight="1" x14ac:dyDescent="0.25">
      <c r="D513" s="115"/>
      <c r="E513" s="308" t="s">
        <v>707</v>
      </c>
      <c r="F513" s="115"/>
      <c r="G513" s="114"/>
      <c r="H513" s="114"/>
      <c r="I513" s="114"/>
      <c r="J513" s="235">
        <v>33038</v>
      </c>
      <c r="K513" s="235">
        <v>35439.43</v>
      </c>
      <c r="L513" s="235">
        <f t="shared" si="115"/>
        <v>36927.886060000004</v>
      </c>
      <c r="M513" s="235">
        <f t="shared" si="115"/>
        <v>38294.217844220002</v>
      </c>
      <c r="N513" s="235">
        <f t="shared" si="115"/>
        <v>39711.10390445614</v>
      </c>
      <c r="O513" s="235">
        <f t="shared" si="115"/>
        <v>41180.414748921015</v>
      </c>
    </row>
    <row r="514" spans="4:15" ht="12.75" customHeight="1" x14ac:dyDescent="0.25">
      <c r="D514" s="115"/>
      <c r="E514" s="308" t="s">
        <v>3261</v>
      </c>
      <c r="F514" s="115"/>
      <c r="G514" s="114"/>
      <c r="H514" s="114"/>
      <c r="I514" s="114"/>
      <c r="J514" s="235"/>
      <c r="K514" s="235">
        <v>40737.18</v>
      </c>
      <c r="L514" s="235">
        <f t="shared" si="115"/>
        <v>42448.141560000004</v>
      </c>
      <c r="M514" s="235">
        <f t="shared" si="115"/>
        <v>44018.722797720002</v>
      </c>
      <c r="N514" s="235">
        <f t="shared" si="115"/>
        <v>45647.415541235641</v>
      </c>
      <c r="O514" s="235">
        <f t="shared" si="115"/>
        <v>47336.369916261356</v>
      </c>
    </row>
    <row r="515" spans="4:15" ht="12.75" hidden="1" customHeight="1" x14ac:dyDescent="0.25">
      <c r="D515" s="115"/>
      <c r="E515" s="115" t="s">
        <v>4009</v>
      </c>
      <c r="F515" s="115"/>
      <c r="G515" s="114"/>
      <c r="H515" s="114"/>
      <c r="I515" s="114"/>
      <c r="J515" s="235"/>
      <c r="K515" s="235"/>
      <c r="L515" s="235"/>
      <c r="M515" s="235"/>
      <c r="N515" s="235"/>
      <c r="O515" s="235"/>
    </row>
    <row r="516" spans="4:15" ht="12.75" hidden="1" customHeight="1" x14ac:dyDescent="0.25">
      <c r="D516" s="115"/>
      <c r="E516" s="115" t="s">
        <v>4010</v>
      </c>
      <c r="F516" s="115"/>
      <c r="G516" s="114"/>
      <c r="H516" s="114"/>
      <c r="I516" s="114"/>
      <c r="J516" s="235"/>
      <c r="K516" s="235"/>
      <c r="L516" s="235"/>
      <c r="M516" s="235"/>
      <c r="N516" s="235"/>
      <c r="O516" s="235"/>
    </row>
    <row r="517" spans="4:15" ht="12.75" hidden="1" customHeight="1" x14ac:dyDescent="0.25">
      <c r="D517" s="115"/>
      <c r="E517" s="115" t="s">
        <v>4011</v>
      </c>
      <c r="F517" s="115"/>
      <c r="G517" s="114"/>
      <c r="H517" s="114"/>
      <c r="I517" s="114"/>
      <c r="J517" s="235"/>
      <c r="K517" s="235"/>
      <c r="L517" s="235"/>
      <c r="M517" s="235"/>
      <c r="N517" s="235"/>
      <c r="O517" s="235"/>
    </row>
    <row r="518" spans="4:15" ht="12.75" hidden="1" customHeight="1" x14ac:dyDescent="0.25">
      <c r="D518" s="115"/>
      <c r="E518" s="115" t="s">
        <v>4012</v>
      </c>
      <c r="F518" s="115"/>
      <c r="G518" s="114"/>
      <c r="H518" s="114"/>
      <c r="I518" s="114"/>
      <c r="J518" s="235"/>
      <c r="K518" s="235"/>
      <c r="L518" s="235"/>
      <c r="M518" s="235"/>
      <c r="N518" s="235"/>
      <c r="O518" s="235"/>
    </row>
    <row r="519" spans="4:15" ht="12.75" customHeight="1" x14ac:dyDescent="0.25">
      <c r="D519" s="115"/>
      <c r="E519" s="115" t="s">
        <v>4013</v>
      </c>
      <c r="F519" s="115"/>
      <c r="G519" s="114"/>
      <c r="H519" s="114"/>
      <c r="I519" s="114"/>
      <c r="J519" s="235"/>
      <c r="K519" s="235">
        <v>117000</v>
      </c>
      <c r="L519" s="235">
        <v>117000</v>
      </c>
      <c r="M519" s="235">
        <v>117000</v>
      </c>
      <c r="N519" s="235">
        <v>117000</v>
      </c>
      <c r="O519" s="235">
        <v>117000</v>
      </c>
    </row>
    <row r="520" spans="4:15" ht="12.75" customHeight="1" x14ac:dyDescent="0.25">
      <c r="D520" s="115"/>
      <c r="E520" s="308"/>
      <c r="F520" s="115"/>
      <c r="G520" s="235"/>
      <c r="H520" s="235"/>
      <c r="I520" s="235"/>
      <c r="J520" s="235"/>
      <c r="K520" s="235"/>
      <c r="L520" s="235"/>
      <c r="M520" s="235"/>
      <c r="N520" s="235"/>
      <c r="O520" s="235"/>
    </row>
    <row r="521" spans="4:15" ht="12.75" customHeight="1" x14ac:dyDescent="0.25">
      <c r="D521" s="115"/>
      <c r="E521" s="381" t="str">
        <f>"Totaal "&amp;D505</f>
        <v>Totaal 41100</v>
      </c>
      <c r="F521" s="115"/>
      <c r="G521" s="235"/>
      <c r="H521" s="235"/>
      <c r="I521" s="235"/>
      <c r="J521" s="1910">
        <v>678031.1</v>
      </c>
      <c r="K521" s="1910">
        <f>SUM(K506:K520)</f>
        <v>863865.67</v>
      </c>
      <c r="L521" s="1910">
        <f>SUM(L506:L520)</f>
        <v>895234.02814000007</v>
      </c>
      <c r="M521" s="1910">
        <f>SUM(M506:M520)</f>
        <v>924028.68718117988</v>
      </c>
      <c r="N521" s="1910">
        <f>SUM(N506:N520)</f>
        <v>953888.74860688346</v>
      </c>
      <c r="O521" s="1910">
        <f>SUM(O506:O520)</f>
        <v>984853.63230533828</v>
      </c>
    </row>
    <row r="522" spans="4:15" ht="12.75" customHeight="1" x14ac:dyDescent="0.25">
      <c r="D522" s="115"/>
      <c r="E522" s="115"/>
      <c r="F522" s="115"/>
      <c r="G522" s="235"/>
      <c r="H522" s="235"/>
      <c r="I522" s="235"/>
      <c r="J522" s="115"/>
      <c r="K522" s="115"/>
      <c r="L522" s="115"/>
      <c r="M522" s="115"/>
      <c r="N522" s="115"/>
      <c r="O522" s="115"/>
    </row>
    <row r="524" spans="4:15" ht="12.75" customHeight="1" x14ac:dyDescent="0.25">
      <c r="J524" s="60">
        <v>2025</v>
      </c>
      <c r="K524" s="60">
        <v>2026</v>
      </c>
      <c r="L524" s="60">
        <v>2027</v>
      </c>
      <c r="M524" s="60">
        <v>2028</v>
      </c>
      <c r="N524" s="407">
        <v>2029</v>
      </c>
      <c r="O524" s="407">
        <v>2030</v>
      </c>
    </row>
    <row r="525" spans="4:15" ht="12.75" customHeight="1" x14ac:dyDescent="0.25">
      <c r="E525" s="301"/>
      <c r="F525" s="301"/>
    </row>
    <row r="526" spans="4:15" ht="12.75" customHeight="1" x14ac:dyDescent="0.25">
      <c r="D526" s="143">
        <v>47300</v>
      </c>
      <c r="E526" s="301" t="s">
        <v>1725</v>
      </c>
      <c r="F526" s="301"/>
      <c r="J526" s="1697">
        <v>80877</v>
      </c>
      <c r="K526" s="1697">
        <v>81590</v>
      </c>
      <c r="L526" s="1697">
        <v>93871</v>
      </c>
      <c r="M526" s="1697">
        <v>93871</v>
      </c>
      <c r="N526" s="1697">
        <v>86789</v>
      </c>
      <c r="O526" s="2126">
        <v>86789</v>
      </c>
    </row>
    <row r="527" spans="4:15" ht="12.75" customHeight="1" x14ac:dyDescent="0.25">
      <c r="E527" s="301"/>
      <c r="F527" s="301"/>
      <c r="J527" s="1697"/>
      <c r="K527" s="1697"/>
      <c r="L527" s="1697"/>
      <c r="M527" s="1697"/>
      <c r="N527" s="1697"/>
      <c r="O527" s="1697"/>
    </row>
    <row r="528" spans="4:15" ht="12.75" customHeight="1" x14ac:dyDescent="0.25">
      <c r="E528" s="301" t="s">
        <v>536</v>
      </c>
      <c r="F528" s="301"/>
      <c r="J528" s="1912">
        <v>80877</v>
      </c>
      <c r="K528" s="1912">
        <f>SUM(K525:K527)</f>
        <v>81590</v>
      </c>
      <c r="L528" s="1912">
        <f>SUM(L525:L527)</f>
        <v>93871</v>
      </c>
      <c r="M528" s="1912">
        <f>SUM(M525:M527)</f>
        <v>93871</v>
      </c>
      <c r="N528" s="1912">
        <f>SUM(N525:N527)</f>
        <v>86789</v>
      </c>
      <c r="O528" s="1912">
        <f>SUM(O525:O527)</f>
        <v>86789</v>
      </c>
    </row>
    <row r="529" spans="5:15" ht="12.75" customHeight="1" x14ac:dyDescent="0.25">
      <c r="E529" s="301"/>
      <c r="F529" s="301"/>
      <c r="J529" s="1697"/>
      <c r="K529" s="1697"/>
      <c r="L529" s="1697"/>
      <c r="M529" s="1697"/>
      <c r="N529" s="1697"/>
      <c r="O529" s="1697"/>
    </row>
    <row r="530" spans="5:15" ht="12.75" customHeight="1" x14ac:dyDescent="0.25">
      <c r="E530" s="301"/>
      <c r="F530" s="301"/>
      <c r="J530" s="1697"/>
      <c r="K530" s="1697"/>
      <c r="L530" s="1697"/>
      <c r="M530" s="1697"/>
      <c r="N530" s="1697"/>
      <c r="O530" s="1697"/>
    </row>
    <row r="531" spans="5:15" ht="12.75" customHeight="1" x14ac:dyDescent="0.25">
      <c r="E531" s="301"/>
      <c r="F531" s="301"/>
      <c r="J531" s="1697"/>
      <c r="K531" s="1697"/>
      <c r="L531" s="1697"/>
      <c r="M531" s="1697"/>
      <c r="N531" s="1697"/>
      <c r="O531" s="1697"/>
    </row>
    <row r="532" spans="5:15" ht="12.75" customHeight="1" x14ac:dyDescent="0.25">
      <c r="E532" s="301"/>
      <c r="F532" s="301"/>
    </row>
    <row r="533" spans="5:15" ht="12.75" customHeight="1" x14ac:dyDescent="0.25">
      <c r="E533" s="301"/>
      <c r="F533" s="301"/>
    </row>
    <row r="534" spans="5:15" ht="12.75" customHeight="1" x14ac:dyDescent="0.25">
      <c r="E534" s="301"/>
      <c r="F534" s="301"/>
    </row>
    <row r="535" spans="5:15" ht="12.75" customHeight="1" x14ac:dyDescent="0.25">
      <c r="E535" s="301"/>
      <c r="F535" s="301"/>
    </row>
    <row r="536" spans="5:15" ht="12.75" customHeight="1" x14ac:dyDescent="0.25">
      <c r="E536" s="301"/>
      <c r="F536" s="301"/>
    </row>
    <row r="537" spans="5:15" ht="12.75" customHeight="1" x14ac:dyDescent="0.25">
      <c r="E537" s="301"/>
      <c r="F537" s="301"/>
    </row>
    <row r="538" spans="5:15" ht="12.75" customHeight="1" x14ac:dyDescent="0.25">
      <c r="E538" s="301"/>
      <c r="F538" s="301"/>
    </row>
    <row r="539" spans="5:15" ht="12.75" customHeight="1" x14ac:dyDescent="0.25">
      <c r="E539" s="301"/>
      <c r="F539" s="301"/>
    </row>
    <row r="540" spans="5:15" ht="12.75" customHeight="1" x14ac:dyDescent="0.25">
      <c r="E540" s="301"/>
      <c r="F540" s="301"/>
    </row>
    <row r="541" spans="5:15" ht="12.75" customHeight="1" x14ac:dyDescent="0.25">
      <c r="E541" s="301"/>
      <c r="F541" s="301"/>
    </row>
    <row r="542" spans="5:15" ht="12.75" customHeight="1" x14ac:dyDescent="0.25">
      <c r="E542" s="301"/>
      <c r="F542" s="301"/>
    </row>
    <row r="543" spans="5:15" ht="12.75" customHeight="1" x14ac:dyDescent="0.25">
      <c r="E543" s="301"/>
      <c r="F543" s="301"/>
    </row>
    <row r="544" spans="5:15" ht="12.75" customHeight="1" x14ac:dyDescent="0.25">
      <c r="E544" s="301"/>
      <c r="F544" s="301"/>
    </row>
    <row r="545" spans="5:6" ht="12.75" customHeight="1" x14ac:dyDescent="0.25">
      <c r="E545" s="301"/>
      <c r="F545" s="301"/>
    </row>
    <row r="546" spans="5:6" ht="12.75" customHeight="1" x14ac:dyDescent="0.25">
      <c r="E546" s="301"/>
      <c r="F546" s="301"/>
    </row>
    <row r="547" spans="5:6" ht="12.75" customHeight="1" x14ac:dyDescent="0.25">
      <c r="E547" s="301"/>
      <c r="F547" s="301"/>
    </row>
    <row r="548" spans="5:6" ht="12.75" customHeight="1" x14ac:dyDescent="0.25">
      <c r="E548" s="301"/>
      <c r="F548" s="301"/>
    </row>
    <row r="549" spans="5:6" ht="12.75" customHeight="1" x14ac:dyDescent="0.25">
      <c r="E549" s="301"/>
      <c r="F549" s="301"/>
    </row>
  </sheetData>
  <mergeCells count="7">
    <mergeCell ref="E454:I454"/>
    <mergeCell ref="E488:M489"/>
    <mergeCell ref="D75:D76"/>
    <mergeCell ref="F75:F76"/>
    <mergeCell ref="G75:H76"/>
    <mergeCell ref="E382:M384"/>
    <mergeCell ref="E450:I452"/>
  </mergeCells>
  <hyperlinks>
    <hyperlink ref="A1" location="Inhoudsopgave!A1" display="Inhoudsopgave" xr:uid="{A8EE796C-07F2-407B-9E1C-38391CDECF5B}"/>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7" manualBreakCount="7">
    <brk id="71" min="3" max="14" man="1"/>
    <brk id="151" min="3" max="14" man="1"/>
    <brk id="236" min="3" max="14" man="1"/>
    <brk id="259" min="3" max="14" man="1"/>
    <brk id="328" min="3" max="14" man="1"/>
    <brk id="417" min="3" max="14" man="1"/>
    <brk id="489" min="3" max="14" man="1"/>
  </rowBreaks>
  <ignoredErrors>
    <ignoredError sqref="K160:M160" formula="1"/>
    <ignoredError sqref="K528:M528" formulaRange="1"/>
  </ignoredError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5BC-743A-485C-99A9-FB6A0D24C61C}">
  <sheetPr codeName="Blad33"/>
  <dimension ref="A1:AA640"/>
  <sheetViews>
    <sheetView showGridLines="0" view="pageBreakPreview" topLeftCell="A593" zoomScaleNormal="100" zoomScaleSheetLayoutView="100" workbookViewId="0">
      <selection activeCell="E612" sqref="E612"/>
    </sheetView>
  </sheetViews>
  <sheetFormatPr defaultColWidth="9.109375" defaultRowHeight="12.75" customHeight="1" x14ac:dyDescent="0.25"/>
  <cols>
    <col min="1" max="1" width="9.88671875" style="833" bestFit="1" customWidth="1"/>
    <col min="2" max="3" width="9.109375" style="791"/>
    <col min="4" max="4" width="9.6640625" style="792" customWidth="1"/>
    <col min="5" max="6" width="9.6640625" style="793" customWidth="1"/>
    <col min="7" max="9" width="12.6640625" style="791" customWidth="1"/>
    <col min="10" max="15" width="11.6640625" style="791" customWidth="1"/>
    <col min="16" max="16" width="15.6640625" style="791" customWidth="1"/>
    <col min="17" max="17" width="9.109375" style="791" bestFit="1" customWidth="1"/>
    <col min="18" max="19" width="10.109375" style="791" bestFit="1" customWidth="1"/>
    <col min="20" max="22" width="9.44140625" style="791" bestFit="1" customWidth="1"/>
    <col min="23" max="25" width="9.109375" style="791"/>
    <col min="26" max="26" width="28" style="791" bestFit="1" customWidth="1"/>
    <col min="27" max="16384" width="9.109375" style="791"/>
  </cols>
  <sheetData>
    <row r="1" spans="1:23" ht="12.75" customHeight="1" x14ac:dyDescent="0.3">
      <c r="A1" s="157" t="s">
        <v>0</v>
      </c>
      <c r="M1" s="515"/>
      <c r="N1" s="515"/>
      <c r="O1" s="515"/>
      <c r="P1" s="988"/>
      <c r="Q1" s="794">
        <v>2024</v>
      </c>
      <c r="R1" s="794">
        <v>2025</v>
      </c>
      <c r="S1" s="794">
        <v>2026</v>
      </c>
      <c r="T1" s="794">
        <v>2027</v>
      </c>
      <c r="U1" s="794">
        <v>2028</v>
      </c>
      <c r="V1" s="794">
        <v>2029</v>
      </c>
      <c r="W1" s="794">
        <v>2030</v>
      </c>
    </row>
    <row r="2" spans="1:23" ht="12.75" customHeight="1" x14ac:dyDescent="0.3">
      <c r="D2" s="792" t="s">
        <v>504</v>
      </c>
      <c r="H2" s="833" t="s">
        <v>4014</v>
      </c>
      <c r="M2" s="949" t="s">
        <v>969</v>
      </c>
      <c r="N2" s="949" t="s">
        <v>969</v>
      </c>
      <c r="O2" s="949" t="s">
        <v>969</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M3" s="949" t="s">
        <v>970</v>
      </c>
      <c r="N3" s="949" t="s">
        <v>970</v>
      </c>
      <c r="O3" s="949" t="s">
        <v>970</v>
      </c>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792" t="s">
        <v>66</v>
      </c>
      <c r="H5" s="791" t="s">
        <v>34</v>
      </c>
      <c r="P5" s="842" t="s">
        <v>3334</v>
      </c>
      <c r="S5" s="495">
        <v>1.046</v>
      </c>
      <c r="T5" s="495">
        <f>Indexering!J7</f>
        <v>1.042</v>
      </c>
      <c r="U5" s="495">
        <f>Indexering!K7</f>
        <v>1.042</v>
      </c>
      <c r="V5" s="495">
        <f>Indexering!L7</f>
        <v>1.042</v>
      </c>
      <c r="W5" s="495">
        <f>Indexering!M7</f>
        <v>1.042</v>
      </c>
    </row>
    <row r="7" spans="1:23" ht="12.75" customHeight="1" x14ac:dyDescent="0.25">
      <c r="D7" s="792" t="s">
        <v>4015</v>
      </c>
    </row>
    <row r="8" spans="1:23" ht="12.75" customHeight="1" x14ac:dyDescent="0.25">
      <c r="D8" s="792" t="s">
        <v>4016</v>
      </c>
    </row>
    <row r="9" spans="1:23" ht="12.75" customHeight="1" x14ac:dyDescent="0.25">
      <c r="D9" s="792" t="s">
        <v>4017</v>
      </c>
    </row>
    <row r="10" spans="1:23" ht="12.75" customHeight="1" x14ac:dyDescent="0.25">
      <c r="D10" s="792" t="s">
        <v>4018</v>
      </c>
    </row>
    <row r="11" spans="1:23" ht="12.75" customHeight="1" x14ac:dyDescent="0.25">
      <c r="D11" s="792" t="s">
        <v>4019</v>
      </c>
    </row>
    <row r="12" spans="1:23" ht="12.75" customHeight="1" x14ac:dyDescent="0.25">
      <c r="D12" s="792" t="s">
        <v>4020</v>
      </c>
    </row>
    <row r="13" spans="1:23" ht="12.75" customHeight="1" x14ac:dyDescent="0.25">
      <c r="D13" s="792" t="s">
        <v>4021</v>
      </c>
    </row>
    <row r="14" spans="1:23" ht="12.75" customHeight="1" x14ac:dyDescent="0.25">
      <c r="D14" s="792" t="s">
        <v>4022</v>
      </c>
    </row>
    <row r="15" spans="1:23" ht="12.75" customHeight="1" x14ac:dyDescent="0.25">
      <c r="D15" s="791" t="s">
        <v>4023</v>
      </c>
    </row>
    <row r="16" spans="1:23" ht="12.75" customHeight="1" x14ac:dyDescent="0.25">
      <c r="D16" s="792" t="s">
        <v>4024</v>
      </c>
    </row>
    <row r="17" spans="1:15" ht="12.75" customHeight="1" x14ac:dyDescent="0.25">
      <c r="D17" s="792" t="s">
        <v>4025</v>
      </c>
    </row>
    <row r="18" spans="1:15" ht="12.75" customHeight="1" x14ac:dyDescent="0.25">
      <c r="D18" s="792" t="s">
        <v>4026</v>
      </c>
    </row>
    <row r="19" spans="1:15" ht="12.75" customHeight="1" x14ac:dyDescent="0.25">
      <c r="D19" s="792" t="s">
        <v>4027</v>
      </c>
    </row>
    <row r="20" spans="1:15" ht="12.75" customHeight="1" x14ac:dyDescent="0.25">
      <c r="D20" s="792" t="s">
        <v>4028</v>
      </c>
    </row>
    <row r="21" spans="1:15" ht="12.75" customHeight="1" x14ac:dyDescent="0.25">
      <c r="D21" s="792" t="s">
        <v>4029</v>
      </c>
    </row>
    <row r="22" spans="1:15" ht="12.75" customHeight="1" x14ac:dyDescent="0.25">
      <c r="D22" s="792" t="s">
        <v>4030</v>
      </c>
    </row>
    <row r="24" spans="1:15" ht="12.75" customHeight="1" x14ac:dyDescent="0.25">
      <c r="D24" s="797" t="s">
        <v>507</v>
      </c>
      <c r="E24" s="792"/>
      <c r="F24" s="792"/>
    </row>
    <row r="25" spans="1:15" ht="12.75" customHeight="1" x14ac:dyDescent="0.25">
      <c r="E25" s="792"/>
      <c r="F25" s="792"/>
    </row>
    <row r="26" spans="1:15" ht="12.75" customHeight="1" x14ac:dyDescent="0.25">
      <c r="D26" s="1913" t="s">
        <v>508</v>
      </c>
      <c r="E26" s="1914"/>
      <c r="F26" s="1914"/>
      <c r="G26" s="1915"/>
      <c r="H26" s="1915"/>
      <c r="I26" s="1916"/>
      <c r="J26" s="1916">
        <v>2025</v>
      </c>
      <c r="K26" s="1916">
        <v>2026</v>
      </c>
      <c r="L26" s="1916">
        <v>2027</v>
      </c>
      <c r="M26" s="1916">
        <v>2028</v>
      </c>
      <c r="N26" s="1916">
        <v>2029</v>
      </c>
      <c r="O26" s="1916">
        <v>2030</v>
      </c>
    </row>
    <row r="27" spans="1:15" customFormat="1" ht="12.75" customHeight="1" x14ac:dyDescent="0.3">
      <c r="A27" s="159"/>
      <c r="D27" s="798" t="str">
        <f>G94</f>
        <v>Koningin Emmalaan 27 (vso)</v>
      </c>
      <c r="E27" s="799"/>
      <c r="F27" s="799"/>
      <c r="G27" s="800"/>
      <c r="H27" s="800"/>
      <c r="I27" s="801"/>
      <c r="J27" s="807">
        <v>7505</v>
      </c>
      <c r="K27" s="989">
        <f>K100</f>
        <v>9758.4820499999987</v>
      </c>
      <c r="L27" s="989">
        <f>L100</f>
        <v>10081.411885849999</v>
      </c>
      <c r="M27" s="989">
        <f>M100</f>
        <v>10420.440125626448</v>
      </c>
      <c r="N27" s="989">
        <f>N100</f>
        <v>10769.940410274627</v>
      </c>
      <c r="O27" s="989">
        <f>O100</f>
        <v>10828.940410274627</v>
      </c>
    </row>
    <row r="28" spans="1:15" customFormat="1" ht="12.75" customHeight="1" x14ac:dyDescent="0.3">
      <c r="A28" s="159"/>
      <c r="D28" s="798" t="str">
        <f>G102</f>
        <v>Vlinderhei 12 (vso)</v>
      </c>
      <c r="E28" s="799"/>
      <c r="F28" s="799"/>
      <c r="G28" s="800"/>
      <c r="H28" s="800"/>
      <c r="I28" s="801"/>
      <c r="J28" s="807">
        <v>14456</v>
      </c>
      <c r="K28" s="989">
        <f>K108</f>
        <v>16446.331519807682</v>
      </c>
      <c r="L28" s="989">
        <f>L108</f>
        <v>16988.259786040562</v>
      </c>
      <c r="M28" s="989">
        <f>M108</f>
        <v>17557.983398124063</v>
      </c>
      <c r="N28" s="989">
        <f>N108</f>
        <v>18146.123783854651</v>
      </c>
      <c r="O28" s="989">
        <f>O108</f>
        <v>18249.123783854651</v>
      </c>
    </row>
    <row r="29" spans="1:15" customFormat="1" ht="12.75" customHeight="1" x14ac:dyDescent="0.3">
      <c r="A29" s="159"/>
      <c r="D29" s="798" t="str">
        <f>G110</f>
        <v>Burgemeester Notermansstraat 29A (vso)</v>
      </c>
      <c r="E29" s="799"/>
      <c r="F29" s="799"/>
      <c r="G29" s="800"/>
      <c r="H29" s="800"/>
      <c r="I29" s="801"/>
      <c r="J29" s="807">
        <v>1054</v>
      </c>
      <c r="K29" s="989">
        <f>K113</f>
        <v>0</v>
      </c>
      <c r="L29" s="989">
        <f>L113</f>
        <v>0</v>
      </c>
      <c r="M29" s="989">
        <f>M113</f>
        <v>0</v>
      </c>
      <c r="N29" s="989">
        <f>N113</f>
        <v>0</v>
      </c>
      <c r="O29" s="989">
        <f>O113</f>
        <v>0</v>
      </c>
    </row>
    <row r="30" spans="1:15" customFormat="1" ht="12.75" customHeight="1" x14ac:dyDescent="0.3">
      <c r="A30" s="159"/>
      <c r="D30" s="798" t="str">
        <f>G115</f>
        <v>Spar 2 (vso)</v>
      </c>
      <c r="E30" s="799"/>
      <c r="F30" s="799"/>
      <c r="G30" s="800"/>
      <c r="H30" s="800"/>
      <c r="I30" s="801"/>
      <c r="J30" s="807">
        <v>7681</v>
      </c>
      <c r="K30" s="989">
        <f>K121</f>
        <v>7933.3433412384002</v>
      </c>
      <c r="L30" s="989">
        <f>L121</f>
        <v>8177.7680448642204</v>
      </c>
      <c r="M30" s="989">
        <f>M121</f>
        <v>8435.8684625241949</v>
      </c>
      <c r="N30" s="989">
        <f>N121</f>
        <v>8702.8915956375895</v>
      </c>
      <c r="O30" s="989">
        <f>O121</f>
        <v>3341</v>
      </c>
    </row>
    <row r="31" spans="1:15" customFormat="1" ht="12.75" customHeight="1" x14ac:dyDescent="0.3">
      <c r="A31" s="159"/>
      <c r="D31" s="798" t="str">
        <f>G123</f>
        <v>Trompstraat 39 (vso)</v>
      </c>
      <c r="E31" s="799"/>
      <c r="F31" s="799"/>
      <c r="G31" s="800"/>
      <c r="H31" s="800"/>
      <c r="I31" s="801"/>
      <c r="J31" s="807">
        <v>17805</v>
      </c>
      <c r="K31" s="989">
        <f>K129</f>
        <v>21480.6092125</v>
      </c>
      <c r="L31" s="989">
        <f>L129</f>
        <v>22287.039673125</v>
      </c>
      <c r="M31" s="989">
        <f>M129</f>
        <v>23147.091656781253</v>
      </c>
      <c r="N31" s="989">
        <f>N129</f>
        <v>24044.296239620315</v>
      </c>
      <c r="O31" s="989">
        <f>O129</f>
        <v>10092</v>
      </c>
    </row>
    <row r="32" spans="1:15" customFormat="1" ht="12.75" customHeight="1" x14ac:dyDescent="0.3">
      <c r="A32" s="159"/>
      <c r="D32" s="798" t="str">
        <f>G131</f>
        <v>Vlinderhei 7 (vso)</v>
      </c>
      <c r="E32" s="799"/>
      <c r="F32" s="799"/>
      <c r="G32" s="800"/>
      <c r="H32" s="800"/>
      <c r="I32" s="801"/>
      <c r="J32" s="807">
        <v>36133</v>
      </c>
      <c r="K32" s="989">
        <f>K137</f>
        <v>37741.782713599998</v>
      </c>
      <c r="L32" s="989">
        <f>L137</f>
        <v>39383.021849280005</v>
      </c>
      <c r="M32" s="989">
        <f>M137</f>
        <v>41119.422941744007</v>
      </c>
      <c r="N32" s="989">
        <f>N137</f>
        <v>42936.644088831206</v>
      </c>
      <c r="O32" s="989">
        <f>O137</f>
        <v>9268</v>
      </c>
    </row>
    <row r="33" spans="1:15" customFormat="1" ht="12.75" customHeight="1" x14ac:dyDescent="0.3">
      <c r="A33" s="159"/>
      <c r="D33" s="798" t="str">
        <f>G139</f>
        <v>Burgemeester Notermansstraat 27 (vso)</v>
      </c>
      <c r="E33" s="799"/>
      <c r="F33" s="799"/>
      <c r="G33" s="800"/>
      <c r="H33" s="800"/>
      <c r="I33" s="801"/>
      <c r="J33" s="807">
        <v>4573</v>
      </c>
      <c r="K33" s="989">
        <f>K144</f>
        <v>0</v>
      </c>
      <c r="L33" s="989">
        <f>L144</f>
        <v>0</v>
      </c>
      <c r="M33" s="989">
        <f>M144</f>
        <v>0</v>
      </c>
      <c r="N33" s="989">
        <f>N144</f>
        <v>0</v>
      </c>
      <c r="O33" s="989">
        <f>O144</f>
        <v>0</v>
      </c>
    </row>
    <row r="34" spans="1:15" customFormat="1" ht="12.75" customHeight="1" x14ac:dyDescent="0.3">
      <c r="A34" s="159"/>
      <c r="D34" s="803" t="str">
        <f>G146</f>
        <v>Wildheuvel 1-3 (schoolwoningen-vso)</v>
      </c>
      <c r="E34" s="804"/>
      <c r="F34" s="805"/>
      <c r="G34" s="791"/>
      <c r="H34" s="791"/>
      <c r="I34" s="806"/>
      <c r="J34" s="63">
        <v>2668</v>
      </c>
      <c r="K34" s="271">
        <f>K150</f>
        <v>2737</v>
      </c>
      <c r="L34" s="271">
        <f>L150</f>
        <v>2795</v>
      </c>
      <c r="M34" s="271">
        <f>M150</f>
        <v>2860</v>
      </c>
      <c r="N34" s="271">
        <f>N150</f>
        <v>2926</v>
      </c>
      <c r="O34" s="271">
        <f>O150</f>
        <v>2994</v>
      </c>
    </row>
    <row r="35" spans="1:15" customFormat="1" ht="12.75" customHeight="1" x14ac:dyDescent="0.3">
      <c r="A35" s="159"/>
      <c r="D35" s="803" t="str">
        <f>G152</f>
        <v>Wildheuvel 9-19 (schoolwoningen-vso)</v>
      </c>
      <c r="E35" s="804"/>
      <c r="F35" s="805"/>
      <c r="G35" s="791"/>
      <c r="H35" s="791"/>
      <c r="I35" s="806"/>
      <c r="J35" s="63">
        <v>5381</v>
      </c>
      <c r="K35" s="271">
        <f>K156</f>
        <v>5521</v>
      </c>
      <c r="L35" s="271">
        <f>L156</f>
        <v>5637</v>
      </c>
      <c r="M35" s="271">
        <f>M156</f>
        <v>5767</v>
      </c>
      <c r="N35" s="271">
        <f>N156</f>
        <v>5900</v>
      </c>
      <c r="O35" s="271">
        <f>O156</f>
        <v>6036</v>
      </c>
    </row>
    <row r="36" spans="1:15" customFormat="1" ht="12.75" customHeight="1" x14ac:dyDescent="0.3">
      <c r="A36" s="159"/>
      <c r="D36" s="803" t="str">
        <f>G158</f>
        <v>Joh. Verleunstraat 27/27a (schoolwoningen-vso)</v>
      </c>
      <c r="E36" s="804"/>
      <c r="F36" s="805"/>
      <c r="G36" s="791"/>
      <c r="H36" s="791"/>
      <c r="I36" s="806"/>
      <c r="J36" s="63">
        <v>1388</v>
      </c>
      <c r="K36" s="271">
        <f>K162</f>
        <v>1424</v>
      </c>
      <c r="L36" s="271">
        <f>L162</f>
        <v>1454</v>
      </c>
      <c r="M36" s="271">
        <f>M162</f>
        <v>1488</v>
      </c>
      <c r="N36" s="271">
        <f>N162</f>
        <v>1522</v>
      </c>
      <c r="O36" s="271">
        <f>O162</f>
        <v>1557</v>
      </c>
    </row>
    <row r="37" spans="1:15" ht="12.75" customHeight="1" x14ac:dyDescent="0.25">
      <c r="D37" s="803" t="s">
        <v>4031</v>
      </c>
      <c r="E37" s="799"/>
      <c r="F37" s="799"/>
      <c r="G37" s="800"/>
      <c r="H37" s="800"/>
      <c r="I37" s="801"/>
      <c r="J37" s="63">
        <v>38935</v>
      </c>
      <c r="K37" s="271">
        <f t="shared" ref="K37:M37" si="0">+K245</f>
        <v>40452.719095551998</v>
      </c>
      <c r="L37" s="271">
        <f t="shared" si="0"/>
        <v>41996.405050329602</v>
      </c>
      <c r="M37" s="271">
        <f t="shared" si="0"/>
        <v>43617.925302846081</v>
      </c>
      <c r="N37" s="271">
        <f t="shared" ref="N37:O37" si="1">+N245</f>
        <v>45306.271567988384</v>
      </c>
      <c r="O37" s="271">
        <f t="shared" si="1"/>
        <v>17972</v>
      </c>
    </row>
    <row r="38" spans="1:15" ht="12.75" customHeight="1" x14ac:dyDescent="0.25">
      <c r="D38" s="798" t="str">
        <f>G165</f>
        <v>Burgerinitiatieven respijtzorg</v>
      </c>
      <c r="E38" s="799"/>
      <c r="F38" s="799"/>
      <c r="G38" s="800"/>
      <c r="H38" s="800"/>
      <c r="I38" s="801"/>
      <c r="J38" s="802">
        <v>31520</v>
      </c>
      <c r="K38" s="990">
        <f>K168</f>
        <v>32340</v>
      </c>
      <c r="L38" s="990">
        <f>L168</f>
        <v>33020</v>
      </c>
      <c r="M38" s="990">
        <f>M168</f>
        <v>33780</v>
      </c>
      <c r="N38" s="990">
        <f>N168</f>
        <v>34560</v>
      </c>
      <c r="O38" s="990">
        <f>O168</f>
        <v>35350</v>
      </c>
    </row>
    <row r="39" spans="1:15" ht="12.75" customHeight="1" x14ac:dyDescent="0.25">
      <c r="D39" s="803" t="str">
        <f>G170</f>
        <v>Maatschappelijk werk en huiselijk geweld</v>
      </c>
      <c r="E39" s="804"/>
      <c r="F39" s="805"/>
      <c r="I39" s="806"/>
      <c r="J39" s="802">
        <v>671250</v>
      </c>
      <c r="K39" s="990">
        <f>K173</f>
        <v>701980</v>
      </c>
      <c r="L39" s="990">
        <f>L173</f>
        <v>731300</v>
      </c>
      <c r="M39" s="990">
        <f>M173</f>
        <v>761860</v>
      </c>
      <c r="N39" s="990">
        <f>N173</f>
        <v>793710</v>
      </c>
      <c r="O39" s="990">
        <f>O173</f>
        <v>826890</v>
      </c>
    </row>
    <row r="40" spans="1:15" ht="12.75" customHeight="1" x14ac:dyDescent="0.25">
      <c r="D40" s="803" t="str">
        <f>G175</f>
        <v>Welzijnsfonds</v>
      </c>
      <c r="E40" s="804"/>
      <c r="F40" s="805"/>
      <c r="I40" s="806"/>
      <c r="J40" s="802">
        <v>7770</v>
      </c>
      <c r="K40" s="990">
        <f>K178</f>
        <v>7970</v>
      </c>
      <c r="L40" s="990">
        <f>L178</f>
        <v>8140</v>
      </c>
      <c r="M40" s="990">
        <f>M178</f>
        <v>8330</v>
      </c>
      <c r="N40" s="990">
        <f>N178</f>
        <v>8520</v>
      </c>
      <c r="O40" s="990">
        <f>O178</f>
        <v>8720</v>
      </c>
    </row>
    <row r="41" spans="1:15" ht="12.75" customHeight="1" x14ac:dyDescent="0.25">
      <c r="D41" s="803" t="str">
        <f>G180</f>
        <v>Adviesraad sociaal domein</v>
      </c>
      <c r="E41" s="804"/>
      <c r="F41" s="805"/>
      <c r="I41" s="806"/>
      <c r="J41" s="63">
        <v>29320</v>
      </c>
      <c r="K41" s="271">
        <f>K183</f>
        <v>22080</v>
      </c>
      <c r="L41" s="271">
        <f>L183</f>
        <v>22540</v>
      </c>
      <c r="M41" s="271">
        <f>M183</f>
        <v>23060</v>
      </c>
      <c r="N41" s="271">
        <f>N183</f>
        <v>23590</v>
      </c>
      <c r="O41" s="271">
        <f>O183</f>
        <v>24130</v>
      </c>
    </row>
    <row r="42" spans="1:15" ht="12.75" customHeight="1" x14ac:dyDescent="0.25">
      <c r="D42" s="803" t="str">
        <f>G185</f>
        <v>Dementievoorzieningen</v>
      </c>
      <c r="E42" s="804"/>
      <c r="F42" s="805"/>
      <c r="I42" s="806"/>
      <c r="J42" s="63">
        <v>103</v>
      </c>
      <c r="K42" s="271">
        <f>K189</f>
        <v>122</v>
      </c>
      <c r="L42" s="271">
        <f>L189</f>
        <v>243</v>
      </c>
      <c r="M42" s="271">
        <f>M189</f>
        <v>378</v>
      </c>
      <c r="N42" s="271">
        <f>N189</f>
        <v>516</v>
      </c>
      <c r="O42" s="271">
        <f>O189</f>
        <v>658</v>
      </c>
    </row>
    <row r="43" spans="1:15" ht="12.75" customHeight="1" x14ac:dyDescent="0.25">
      <c r="D43" s="803" t="str">
        <f>G197</f>
        <v>Subsidie zelfredzaamheid, participatie en mantelzorgondersteuning</v>
      </c>
      <c r="E43" s="804"/>
      <c r="F43" s="805"/>
      <c r="I43" s="806"/>
      <c r="J43" s="63">
        <v>223183</v>
      </c>
      <c r="K43" s="271">
        <f>K201</f>
        <v>228983</v>
      </c>
      <c r="L43" s="271">
        <f>L201</f>
        <v>233797</v>
      </c>
      <c r="M43" s="271">
        <f>M201</f>
        <v>239172</v>
      </c>
      <c r="N43" s="271">
        <f>N201</f>
        <v>244669</v>
      </c>
      <c r="O43" s="271">
        <f>O201</f>
        <v>250298</v>
      </c>
    </row>
    <row r="44" spans="1:15" ht="12.75" customHeight="1" x14ac:dyDescent="0.25">
      <c r="D44" s="803" t="str">
        <f>G203</f>
        <v>Algemene voorzieningen welzijn</v>
      </c>
      <c r="E44" s="804"/>
      <c r="F44" s="805"/>
      <c r="I44" s="806"/>
      <c r="J44" s="63">
        <v>797670</v>
      </c>
      <c r="K44" s="271">
        <f>K207</f>
        <v>834220</v>
      </c>
      <c r="L44" s="271">
        <f>L207</f>
        <v>869100</v>
      </c>
      <c r="M44" s="271">
        <f>M207</f>
        <v>905470</v>
      </c>
      <c r="N44" s="271">
        <f>N207</f>
        <v>943360</v>
      </c>
      <c r="O44" s="271">
        <f>O207</f>
        <v>982830</v>
      </c>
    </row>
    <row r="45" spans="1:15" ht="12.75" customHeight="1" x14ac:dyDescent="0.25">
      <c r="D45" s="803" t="str">
        <f>G209</f>
        <v>Diverse buurtaccommodaties</v>
      </c>
      <c r="E45" s="804"/>
      <c r="F45" s="805"/>
      <c r="I45" s="806"/>
      <c r="J45" s="63">
        <v>879</v>
      </c>
      <c r="K45" s="271">
        <f>K213</f>
        <v>902</v>
      </c>
      <c r="L45" s="271">
        <f>L213</f>
        <v>921</v>
      </c>
      <c r="M45" s="271">
        <f>M213</f>
        <v>943</v>
      </c>
      <c r="N45" s="271">
        <f>N213</f>
        <v>965</v>
      </c>
      <c r="O45" s="271">
        <f>O213</f>
        <v>987</v>
      </c>
    </row>
    <row r="46" spans="1:15" ht="12.75" customHeight="1" x14ac:dyDescent="0.25">
      <c r="D46" s="803" t="str">
        <f>G215</f>
        <v>Buutrcentra Vlinderhei 16 / Zessprong</v>
      </c>
      <c r="E46" s="804"/>
      <c r="F46" s="805"/>
      <c r="I46" s="806"/>
      <c r="J46" s="63">
        <v>21106</v>
      </c>
      <c r="K46" s="271">
        <f>K221</f>
        <v>21701.559997076321</v>
      </c>
      <c r="L46" s="271">
        <f>L221</f>
        <v>22227.342716968142</v>
      </c>
      <c r="M46" s="271">
        <f>M221</f>
        <v>22802.185397495963</v>
      </c>
      <c r="N46" s="271">
        <f>N221</f>
        <v>23393.312257203313</v>
      </c>
      <c r="O46" s="271">
        <f>O221</f>
        <v>18881</v>
      </c>
    </row>
    <row r="47" spans="1:15" ht="12.75" customHeight="1" x14ac:dyDescent="0.25">
      <c r="D47" s="803" t="str">
        <f>G223</f>
        <v>GGZ</v>
      </c>
      <c r="J47" s="63">
        <v>238890</v>
      </c>
      <c r="K47" s="271">
        <f>K226</f>
        <v>218850</v>
      </c>
      <c r="L47" s="271">
        <f>L226</f>
        <v>228380</v>
      </c>
      <c r="M47" s="271">
        <f>M226</f>
        <v>238320</v>
      </c>
      <c r="N47" s="271">
        <f>N226</f>
        <v>248680</v>
      </c>
      <c r="O47" s="271">
        <f>O226</f>
        <v>259570</v>
      </c>
    </row>
    <row r="48" spans="1:15" ht="12.75" customHeight="1" x14ac:dyDescent="0.25">
      <c r="D48" s="803" t="str">
        <f>G228</f>
        <v>Ondersteuning en waardering mantelzorgers</v>
      </c>
      <c r="E48" s="804"/>
      <c r="F48" s="805"/>
      <c r="I48" s="806"/>
      <c r="J48" s="63">
        <v>77400</v>
      </c>
      <c r="K48" s="271">
        <f>K232</f>
        <v>79410</v>
      </c>
      <c r="L48" s="271">
        <f>L232</f>
        <v>81080</v>
      </c>
      <c r="M48" s="271">
        <f>M232</f>
        <v>82940</v>
      </c>
      <c r="N48" s="271">
        <f>N232</f>
        <v>84850</v>
      </c>
      <c r="O48" s="271">
        <f>O232</f>
        <v>86800</v>
      </c>
    </row>
    <row r="49" spans="4:21" ht="12.75" customHeight="1" x14ac:dyDescent="0.25">
      <c r="D49" s="803" t="str">
        <f>G234</f>
        <v>Integrale wijkontwikkeling</v>
      </c>
      <c r="E49" s="804"/>
      <c r="F49" s="805"/>
      <c r="I49" s="806"/>
      <c r="J49" s="63">
        <v>16180</v>
      </c>
      <c r="K49" s="271">
        <f>K237</f>
        <v>16600</v>
      </c>
      <c r="L49" s="271">
        <f>L237</f>
        <v>16950</v>
      </c>
      <c r="M49" s="271">
        <f>M237</f>
        <v>17340</v>
      </c>
      <c r="N49" s="271">
        <f>N237</f>
        <v>17740</v>
      </c>
      <c r="O49" s="271">
        <f>O237</f>
        <v>18140</v>
      </c>
    </row>
    <row r="50" spans="4:21" ht="12.75" customHeight="1" x14ac:dyDescent="0.25">
      <c r="D50" s="803" t="str">
        <f>G247</f>
        <v>Buurtbudget</v>
      </c>
      <c r="E50" s="804"/>
      <c r="F50" s="805"/>
      <c r="I50" s="806"/>
      <c r="J50" s="63">
        <v>68230</v>
      </c>
      <c r="K50" s="271">
        <f t="shared" ref="K50:M50" si="2">K250</f>
        <v>70000</v>
      </c>
      <c r="L50" s="271">
        <f t="shared" si="2"/>
        <v>71470</v>
      </c>
      <c r="M50" s="271">
        <f t="shared" si="2"/>
        <v>73110</v>
      </c>
      <c r="N50" s="271">
        <f t="shared" ref="N50:O50" si="3">N250</f>
        <v>74790</v>
      </c>
      <c r="O50" s="271">
        <f t="shared" si="3"/>
        <v>76510</v>
      </c>
    </row>
    <row r="51" spans="4:21" ht="12.75" customHeight="1" x14ac:dyDescent="0.25">
      <c r="D51" s="803" t="str">
        <f>G252</f>
        <v>Opvang vluchtelingen/arbeidsmigranten</v>
      </c>
      <c r="E51" s="804"/>
      <c r="F51" s="805"/>
      <c r="I51" s="806"/>
      <c r="J51" s="63">
        <f>J255</f>
        <v>0</v>
      </c>
      <c r="K51" s="63">
        <f t="shared" ref="K51:O51" si="4">K255</f>
        <v>1500000</v>
      </c>
      <c r="L51" s="63">
        <f t="shared" si="4"/>
        <v>0</v>
      </c>
      <c r="M51" s="63">
        <f t="shared" si="4"/>
        <v>0</v>
      </c>
      <c r="N51" s="63">
        <f t="shared" si="4"/>
        <v>0</v>
      </c>
      <c r="O51" s="63">
        <f t="shared" si="4"/>
        <v>0</v>
      </c>
    </row>
    <row r="52" spans="4:21" ht="12.75" customHeight="1" x14ac:dyDescent="0.25">
      <c r="D52" s="803" t="str">
        <f>G191</f>
        <v>Directe toerekening samenkracht en burgerparticipatie</v>
      </c>
      <c r="E52" s="804"/>
      <c r="F52" s="805"/>
      <c r="I52" s="806"/>
      <c r="J52" s="802">
        <v>683548.99</v>
      </c>
      <c r="K52" s="990">
        <f>K195</f>
        <v>890263.23</v>
      </c>
      <c r="L52" s="990">
        <f t="shared" ref="L52:N52" si="5">L195</f>
        <v>969839</v>
      </c>
      <c r="M52" s="990">
        <f t="shared" si="5"/>
        <v>1000967</v>
      </c>
      <c r="N52" s="990">
        <f t="shared" si="5"/>
        <v>1020746</v>
      </c>
      <c r="O52" s="990">
        <f t="shared" ref="O52" si="6">O195</f>
        <v>1054221</v>
      </c>
      <c r="Q52" s="812"/>
    </row>
    <row r="53" spans="4:21" ht="12.75" customHeight="1" x14ac:dyDescent="0.25">
      <c r="D53" s="803" t="str">
        <f>G257</f>
        <v>BS Valpreventie</v>
      </c>
      <c r="E53" s="804"/>
      <c r="F53" s="805"/>
      <c r="I53" s="806"/>
      <c r="J53" s="802">
        <v>70914</v>
      </c>
      <c r="K53" s="990">
        <f t="shared" ref="K53:M53" si="7">K505</f>
        <v>26172</v>
      </c>
      <c r="L53" s="990">
        <f t="shared" si="7"/>
        <v>26172</v>
      </c>
      <c r="M53" s="990">
        <f t="shared" si="7"/>
        <v>26172</v>
      </c>
      <c r="N53" s="990">
        <f t="shared" ref="N53:O53" si="8">N505</f>
        <v>26172</v>
      </c>
      <c r="O53" s="990">
        <f t="shared" si="8"/>
        <v>26172</v>
      </c>
      <c r="Q53" s="812"/>
    </row>
    <row r="54" spans="4:21" ht="12.75" customHeight="1" x14ac:dyDescent="0.25">
      <c r="D54" s="803" t="str">
        <f>G262</f>
        <v>BS Versterken sociale basis</v>
      </c>
      <c r="E54" s="804"/>
      <c r="F54" s="805"/>
      <c r="I54" s="806"/>
      <c r="J54" s="63">
        <v>53745</v>
      </c>
      <c r="K54" s="271">
        <f t="shared" ref="K54:M54" si="9">K265</f>
        <v>41972</v>
      </c>
      <c r="L54" s="271">
        <f t="shared" si="9"/>
        <v>41972</v>
      </c>
      <c r="M54" s="271">
        <f t="shared" si="9"/>
        <v>41972</v>
      </c>
      <c r="N54" s="271">
        <f t="shared" ref="N54:O54" si="10">N265</f>
        <v>41972</v>
      </c>
      <c r="O54" s="271">
        <f t="shared" si="10"/>
        <v>41972</v>
      </c>
    </row>
    <row r="55" spans="4:21" ht="12.75" customHeight="1" x14ac:dyDescent="0.25">
      <c r="D55" s="803" t="str">
        <f>G267</f>
        <v>BS Mantelzorg</v>
      </c>
      <c r="E55" s="804"/>
      <c r="F55" s="805"/>
      <c r="I55" s="806"/>
      <c r="J55" s="64">
        <v>14929</v>
      </c>
      <c r="K55" s="272">
        <f t="shared" ref="K55:M55" si="11">K270</f>
        <v>13990</v>
      </c>
      <c r="L55" s="272">
        <f t="shared" si="11"/>
        <v>13990</v>
      </c>
      <c r="M55" s="272">
        <f t="shared" si="11"/>
        <v>13990</v>
      </c>
      <c r="N55" s="272">
        <f t="shared" ref="N55:O55" si="12">N270</f>
        <v>13990</v>
      </c>
      <c r="O55" s="272">
        <f t="shared" si="12"/>
        <v>13990</v>
      </c>
    </row>
    <row r="56" spans="4:21" ht="12.75" customHeight="1" x14ac:dyDescent="0.25">
      <c r="D56" s="803" t="str">
        <f>G272</f>
        <v>BS Eén tegen eenzaamheid</v>
      </c>
      <c r="E56" s="804"/>
      <c r="F56" s="805"/>
      <c r="I56" s="806"/>
      <c r="J56" s="64">
        <v>11943</v>
      </c>
      <c r="K56" s="272">
        <f t="shared" ref="K56:M56" si="13">K275</f>
        <v>0</v>
      </c>
      <c r="L56" s="272">
        <f t="shared" si="13"/>
        <v>0</v>
      </c>
      <c r="M56" s="272">
        <f t="shared" si="13"/>
        <v>0</v>
      </c>
      <c r="N56" s="272">
        <f t="shared" ref="N56:O56" si="14">N275</f>
        <v>0</v>
      </c>
      <c r="O56" s="272">
        <f t="shared" si="14"/>
        <v>0</v>
      </c>
    </row>
    <row r="57" spans="4:21" ht="12.75" customHeight="1" x14ac:dyDescent="0.25">
      <c r="D57" s="803" t="str">
        <f>G277</f>
        <v>BS Welzijn op recept</v>
      </c>
      <c r="E57" s="804"/>
      <c r="F57" s="805"/>
      <c r="I57" s="806"/>
      <c r="J57" s="64">
        <v>17169</v>
      </c>
      <c r="K57" s="272">
        <f t="shared" ref="K57:M57" si="15">K280</f>
        <v>20987</v>
      </c>
      <c r="L57" s="272">
        <f t="shared" si="15"/>
        <v>20987</v>
      </c>
      <c r="M57" s="272">
        <f t="shared" si="15"/>
        <v>20987</v>
      </c>
      <c r="N57" s="272">
        <f t="shared" ref="N57:O57" si="16">N280</f>
        <v>20987</v>
      </c>
      <c r="O57" s="272">
        <f t="shared" si="16"/>
        <v>20987</v>
      </c>
    </row>
    <row r="58" spans="4:21" ht="12.75" customHeight="1" x14ac:dyDescent="0.25">
      <c r="D58" s="991" t="s">
        <v>4032</v>
      </c>
      <c r="E58" s="804"/>
      <c r="F58" s="805"/>
      <c r="I58" s="806"/>
      <c r="J58" s="64">
        <v>0</v>
      </c>
      <c r="K58" s="272">
        <f>K285</f>
        <v>27700</v>
      </c>
      <c r="L58" s="272">
        <f t="shared" ref="L58:N58" si="17">L285</f>
        <v>28280</v>
      </c>
      <c r="M58" s="272">
        <f t="shared" si="17"/>
        <v>28930</v>
      </c>
      <c r="N58" s="272">
        <f t="shared" si="17"/>
        <v>29600</v>
      </c>
      <c r="O58" s="272">
        <f t="shared" ref="O58" si="18">O285</f>
        <v>30280</v>
      </c>
    </row>
    <row r="59" spans="4:21" ht="12.75" customHeight="1" x14ac:dyDescent="0.25">
      <c r="D59" s="991" t="s">
        <v>4033</v>
      </c>
      <c r="E59" s="804"/>
      <c r="F59" s="805"/>
      <c r="I59" s="806"/>
      <c r="J59" s="64">
        <v>0</v>
      </c>
      <c r="K59" s="272">
        <f>K290</f>
        <v>10260</v>
      </c>
      <c r="L59" s="272">
        <f t="shared" ref="L59:N59" si="19">L290</f>
        <v>10480</v>
      </c>
      <c r="M59" s="272">
        <f t="shared" si="19"/>
        <v>10720</v>
      </c>
      <c r="N59" s="272">
        <f t="shared" si="19"/>
        <v>10970</v>
      </c>
      <c r="O59" s="272">
        <f t="shared" ref="O59" si="20">O290</f>
        <v>11220</v>
      </c>
    </row>
    <row r="60" spans="4:21" ht="12.75" customHeight="1" x14ac:dyDescent="0.25">
      <c r="D60" s="808"/>
      <c r="E60" s="804"/>
      <c r="F60" s="805"/>
      <c r="I60" s="806"/>
      <c r="J60" s="65"/>
      <c r="K60" s="65"/>
      <c r="L60" s="65"/>
      <c r="M60" s="65"/>
      <c r="N60" s="65"/>
      <c r="O60" s="65"/>
      <c r="R60" s="992"/>
    </row>
    <row r="61" spans="4:21" ht="12.75" customHeight="1" x14ac:dyDescent="0.25">
      <c r="D61" s="1917" t="s">
        <v>525</v>
      </c>
      <c r="E61" s="1918"/>
      <c r="F61" s="1919"/>
      <c r="G61" s="1920"/>
      <c r="H61" s="1920"/>
      <c r="I61" s="1921"/>
      <c r="J61" s="1922">
        <v>3173328.99</v>
      </c>
      <c r="K61" s="1922">
        <f>SUM(K27:K60)</f>
        <v>4909998.0579297747</v>
      </c>
      <c r="L61" s="1922">
        <f>SUM(L27:L60)</f>
        <v>3579688.2490064576</v>
      </c>
      <c r="M61" s="1922">
        <f>SUM(M27:M60)</f>
        <v>3705656.917285142</v>
      </c>
      <c r="N61" s="1922">
        <f>SUM(N27:N60)</f>
        <v>3824034.47994341</v>
      </c>
      <c r="O61" s="1922">
        <f>SUM(O27:O60)</f>
        <v>3868944.0641941293</v>
      </c>
      <c r="Q61" s="812"/>
      <c r="R61" s="812"/>
      <c r="S61" s="812"/>
      <c r="T61" s="812"/>
      <c r="U61" s="812"/>
    </row>
    <row r="62" spans="4:21" ht="12.75" customHeight="1" x14ac:dyDescent="0.25">
      <c r="E62" s="804"/>
      <c r="F62" s="805"/>
      <c r="Q62" s="812"/>
      <c r="R62" s="812"/>
      <c r="S62" s="812"/>
      <c r="T62" s="812"/>
      <c r="U62" s="812"/>
    </row>
    <row r="63" spans="4:21" ht="12.75" customHeight="1" x14ac:dyDescent="0.25">
      <c r="D63" s="1913" t="s">
        <v>526</v>
      </c>
      <c r="E63" s="1914"/>
      <c r="F63" s="1914"/>
      <c r="G63" s="1915"/>
      <c r="H63" s="1915"/>
      <c r="I63" s="1916"/>
      <c r="J63" s="1916">
        <v>2025</v>
      </c>
      <c r="K63" s="1916">
        <v>2026</v>
      </c>
      <c r="L63" s="1916">
        <v>2027</v>
      </c>
      <c r="M63" s="1916">
        <v>2028</v>
      </c>
      <c r="N63" s="1916">
        <v>2029</v>
      </c>
      <c r="O63" s="1916">
        <v>2030</v>
      </c>
      <c r="Q63" s="812"/>
      <c r="R63" s="812"/>
      <c r="S63" s="812"/>
      <c r="T63" s="812"/>
      <c r="U63" s="812"/>
    </row>
    <row r="64" spans="4:21" ht="12.75" customHeight="1" x14ac:dyDescent="0.25">
      <c r="D64" s="803" t="str">
        <f>G322</f>
        <v>Diverse buurtaccommodaties</v>
      </c>
      <c r="E64" s="804"/>
      <c r="F64" s="805"/>
      <c r="I64" s="806"/>
      <c r="J64" s="802">
        <v>-3290</v>
      </c>
      <c r="K64" s="990">
        <f>K325</f>
        <v>-3408</v>
      </c>
      <c r="L64" s="990">
        <f>L325</f>
        <v>-3502.67</v>
      </c>
      <c r="M64" s="990">
        <f>M325</f>
        <v>-3582</v>
      </c>
      <c r="N64" s="990">
        <f>N325</f>
        <v>-3672</v>
      </c>
      <c r="O64" s="990">
        <f>O325</f>
        <v>-3762</v>
      </c>
      <c r="Q64" s="812"/>
      <c r="R64" s="812"/>
      <c r="S64" s="812"/>
    </row>
    <row r="65" spans="1:19" ht="12.75" customHeight="1" x14ac:dyDescent="0.25">
      <c r="D65" s="803" t="str">
        <f>G327</f>
        <v>Vlinderhei 16 (buurtvoorziening)</v>
      </c>
      <c r="E65" s="804"/>
      <c r="F65" s="805"/>
      <c r="I65" s="806"/>
      <c r="J65" s="802">
        <v>-10548</v>
      </c>
      <c r="K65" s="990">
        <f>K330</f>
        <v>-10928</v>
      </c>
      <c r="L65" s="990">
        <f>L330</f>
        <v>-11233.12</v>
      </c>
      <c r="M65" s="990">
        <f>M330</f>
        <v>-11490</v>
      </c>
      <c r="N65" s="990">
        <f>N330</f>
        <v>-11750</v>
      </c>
      <c r="O65" s="990">
        <f>O330</f>
        <v>-12020</v>
      </c>
      <c r="Q65" s="812"/>
    </row>
    <row r="66" spans="1:19" customFormat="1" ht="12.75" customHeight="1" x14ac:dyDescent="0.3">
      <c r="A66" s="159"/>
      <c r="D66" s="798" t="str">
        <f>G292</f>
        <v>Koningin Emmalaan 27 (vso)</v>
      </c>
      <c r="E66" s="799"/>
      <c r="F66" s="799"/>
      <c r="G66" s="800"/>
      <c r="H66" s="800"/>
      <c r="I66" s="801"/>
      <c r="J66" s="807">
        <v>-22838</v>
      </c>
      <c r="K66" s="989">
        <f t="shared" ref="K66:M66" si="21">K295</f>
        <v>-23591</v>
      </c>
      <c r="L66" s="989">
        <f t="shared" si="21"/>
        <v>-24250.59</v>
      </c>
      <c r="M66" s="989">
        <f t="shared" si="21"/>
        <v>-24810</v>
      </c>
      <c r="N66" s="989">
        <f t="shared" ref="N66:O66" si="22">N295</f>
        <v>-25380</v>
      </c>
      <c r="O66" s="989">
        <f t="shared" si="22"/>
        <v>-25960</v>
      </c>
      <c r="Q66" s="993"/>
      <c r="R66" s="993"/>
      <c r="S66" s="19"/>
    </row>
    <row r="67" spans="1:19" customFormat="1" ht="12.75" customHeight="1" x14ac:dyDescent="0.3">
      <c r="A67" s="159"/>
      <c r="D67" s="798" t="str">
        <f>G297</f>
        <v>Vlinderhei 12 (vso)</v>
      </c>
      <c r="E67" s="799"/>
      <c r="F67" s="799"/>
      <c r="G67" s="800"/>
      <c r="H67" s="800"/>
      <c r="I67" s="801"/>
      <c r="J67" s="807">
        <v>-44881</v>
      </c>
      <c r="K67" s="989">
        <f t="shared" ref="K67:M67" si="23">K300</f>
        <v>-46361</v>
      </c>
      <c r="L67" s="989">
        <f t="shared" si="23"/>
        <v>-47658.03</v>
      </c>
      <c r="M67" s="989">
        <f t="shared" si="23"/>
        <v>-48750</v>
      </c>
      <c r="N67" s="989">
        <f t="shared" ref="N67:O67" si="24">N300</f>
        <v>-49870</v>
      </c>
      <c r="O67" s="989">
        <f t="shared" si="24"/>
        <v>-51020</v>
      </c>
      <c r="Q67" s="993"/>
      <c r="R67" s="993"/>
      <c r="S67" s="19"/>
    </row>
    <row r="68" spans="1:19" customFormat="1" ht="12.75" customHeight="1" x14ac:dyDescent="0.3">
      <c r="A68" s="159"/>
      <c r="D68" s="798" t="str">
        <f>G302</f>
        <v>Spar 2 (vso)</v>
      </c>
      <c r="E68" s="799"/>
      <c r="F68" s="799"/>
      <c r="G68" s="800"/>
      <c r="H68" s="800"/>
      <c r="I68" s="801"/>
      <c r="J68" s="807">
        <v>-22393</v>
      </c>
      <c r="K68" s="989">
        <f t="shared" ref="K68:M68" si="25">K305</f>
        <v>-23199</v>
      </c>
      <c r="L68" s="989">
        <f t="shared" si="25"/>
        <v>-23847.86</v>
      </c>
      <c r="M68" s="989">
        <f t="shared" si="25"/>
        <v>-24400</v>
      </c>
      <c r="N68" s="989">
        <f t="shared" ref="N68:O68" si="26">N305</f>
        <v>-24960</v>
      </c>
      <c r="O68" s="989">
        <f t="shared" si="26"/>
        <v>-25530</v>
      </c>
      <c r="Q68" s="993"/>
      <c r="R68" s="993"/>
      <c r="S68" s="19"/>
    </row>
    <row r="69" spans="1:19" customFormat="1" ht="12.75" customHeight="1" x14ac:dyDescent="0.3">
      <c r="A69" s="159"/>
      <c r="D69" s="798" t="str">
        <f>G307</f>
        <v>Trompstraat 39 (vso)</v>
      </c>
      <c r="E69" s="799"/>
      <c r="F69" s="799"/>
      <c r="G69" s="800"/>
      <c r="H69" s="800"/>
      <c r="I69" s="801"/>
      <c r="J69" s="807">
        <v>-80895</v>
      </c>
      <c r="K69" s="989">
        <f t="shared" ref="K69:M69" si="27">K310</f>
        <v>-83564</v>
      </c>
      <c r="L69" s="989">
        <f t="shared" si="27"/>
        <v>-85900.53</v>
      </c>
      <c r="M69" s="989">
        <f t="shared" si="27"/>
        <v>-87880</v>
      </c>
      <c r="N69" s="989">
        <f t="shared" ref="N69:O69" si="28">N310</f>
        <v>-89900</v>
      </c>
      <c r="O69" s="989">
        <f t="shared" si="28"/>
        <v>-91970</v>
      </c>
      <c r="Q69" s="993"/>
      <c r="R69" s="993"/>
      <c r="S69" s="19"/>
    </row>
    <row r="70" spans="1:19" customFormat="1" ht="12.75" customHeight="1" x14ac:dyDescent="0.3">
      <c r="A70" s="159"/>
      <c r="D70" s="798" t="str">
        <f>G312</f>
        <v>Vlinderhei 7 (vso)</v>
      </c>
      <c r="E70" s="799"/>
      <c r="F70" s="799"/>
      <c r="G70" s="800"/>
      <c r="H70" s="800"/>
      <c r="I70" s="801"/>
      <c r="J70" s="807">
        <v>-128131</v>
      </c>
      <c r="K70" s="989">
        <f t="shared" ref="K70:M70" si="29">K315</f>
        <v>-132357</v>
      </c>
      <c r="L70" s="989">
        <f t="shared" si="29"/>
        <v>-136058.95000000001</v>
      </c>
      <c r="M70" s="989">
        <f t="shared" si="29"/>
        <v>-139190</v>
      </c>
      <c r="N70" s="989">
        <f t="shared" ref="N70:O70" si="30">N315</f>
        <v>-142390</v>
      </c>
      <c r="O70" s="989">
        <f t="shared" si="30"/>
        <v>-145660</v>
      </c>
      <c r="Q70" s="993"/>
      <c r="R70" s="993"/>
      <c r="S70" s="19"/>
    </row>
    <row r="71" spans="1:19" customFormat="1" ht="12.75" customHeight="1" x14ac:dyDescent="0.3">
      <c r="A71" s="159"/>
      <c r="D71" s="798" t="str">
        <f>G317</f>
        <v>Burg Notermansstraat 27 (vso)</v>
      </c>
      <c r="E71" s="799"/>
      <c r="F71" s="799"/>
      <c r="G71" s="800"/>
      <c r="H71" s="800"/>
      <c r="I71" s="801"/>
      <c r="J71" s="807">
        <v>-74988</v>
      </c>
      <c r="K71" s="989">
        <f t="shared" ref="K71:M71" si="31">K320</f>
        <v>0</v>
      </c>
      <c r="L71" s="989">
        <f t="shared" si="31"/>
        <v>0</v>
      </c>
      <c r="M71" s="989">
        <f t="shared" si="31"/>
        <v>0</v>
      </c>
      <c r="N71" s="989">
        <f t="shared" ref="N71:O71" si="32">N320</f>
        <v>0</v>
      </c>
      <c r="O71" s="989">
        <f t="shared" si="32"/>
        <v>0</v>
      </c>
      <c r="Q71" s="993"/>
      <c r="R71" s="993"/>
      <c r="S71" s="19"/>
    </row>
    <row r="72" spans="1:19" customFormat="1" ht="12.75" customHeight="1" x14ac:dyDescent="0.3">
      <c r="A72" s="159"/>
      <c r="D72" s="803" t="str">
        <f>G332</f>
        <v>Wildheuvel 1-3 (schoolwoningen-vso)</v>
      </c>
      <c r="E72" s="804"/>
      <c r="F72" s="805"/>
      <c r="G72" s="791"/>
      <c r="H72" s="791"/>
      <c r="I72" s="806"/>
      <c r="J72" s="802">
        <v>-58810</v>
      </c>
      <c r="K72" s="990">
        <f t="shared" ref="K72:M72" si="33">K335</f>
        <v>-60750</v>
      </c>
      <c r="L72" s="990">
        <f t="shared" si="33"/>
        <v>-62448.93</v>
      </c>
      <c r="M72" s="990">
        <f t="shared" si="33"/>
        <v>-63890</v>
      </c>
      <c r="N72" s="990">
        <f t="shared" ref="N72:O72" si="34">N335</f>
        <v>-65360</v>
      </c>
      <c r="O72" s="990">
        <f t="shared" si="34"/>
        <v>-66860</v>
      </c>
    </row>
    <row r="73" spans="1:19" customFormat="1" ht="12.75" customHeight="1" x14ac:dyDescent="0.3">
      <c r="A73" s="159"/>
      <c r="D73" s="803" t="str">
        <f>G337</f>
        <v>Wildheuvel 9-19 (schoolwoningen-vso)</v>
      </c>
      <c r="E73" s="804"/>
      <c r="F73" s="805"/>
      <c r="G73" s="791"/>
      <c r="H73" s="791"/>
      <c r="I73" s="806"/>
      <c r="J73" s="802">
        <v>-88419</v>
      </c>
      <c r="K73" s="990">
        <f t="shared" ref="K73:M73" si="35">K340</f>
        <v>-91335</v>
      </c>
      <c r="L73" s="990">
        <f t="shared" si="35"/>
        <v>-93889.65</v>
      </c>
      <c r="M73" s="990">
        <f t="shared" si="35"/>
        <v>-96050</v>
      </c>
      <c r="N73" s="990">
        <f t="shared" ref="N73:O73" si="36">N340</f>
        <v>-98260</v>
      </c>
      <c r="O73" s="990">
        <f t="shared" si="36"/>
        <v>-100520</v>
      </c>
    </row>
    <row r="74" spans="1:19" customFormat="1" ht="12.75" customHeight="1" x14ac:dyDescent="0.3">
      <c r="A74" s="159"/>
      <c r="D74" s="803" t="str">
        <f>G342</f>
        <v>Joh. Verleunstraat 27/27a (schoolwoningen-vso)</v>
      </c>
      <c r="E74" s="804"/>
      <c r="F74" s="805"/>
      <c r="G74" s="791"/>
      <c r="H74" s="791"/>
      <c r="I74" s="806"/>
      <c r="J74" s="802">
        <v>-42464</v>
      </c>
      <c r="K74" s="990">
        <f t="shared" ref="K74:M74" si="37">K345</f>
        <v>-44963</v>
      </c>
      <c r="L74" s="990">
        <f t="shared" si="37"/>
        <v>-46220</v>
      </c>
      <c r="M74" s="990">
        <f t="shared" si="37"/>
        <v>-47280</v>
      </c>
      <c r="N74" s="990">
        <f t="shared" ref="N74:O74" si="38">N345</f>
        <v>-48370</v>
      </c>
      <c r="O74" s="990">
        <f t="shared" si="38"/>
        <v>-49480</v>
      </c>
    </row>
    <row r="75" spans="1:19" customFormat="1" ht="12.75" customHeight="1" x14ac:dyDescent="0.3">
      <c r="A75" s="159"/>
      <c r="D75" s="803" t="str">
        <f>G347</f>
        <v>Haktol 1 (KDV Zevensprong)</v>
      </c>
      <c r="E75" s="804"/>
      <c r="F75" s="805"/>
      <c r="G75" s="791"/>
      <c r="H75" s="791"/>
      <c r="I75" s="806"/>
      <c r="J75" s="802">
        <v>0</v>
      </c>
      <c r="K75" s="990">
        <f>K350</f>
        <v>-28587.33</v>
      </c>
      <c r="L75" s="990">
        <f>L350</f>
        <v>-27659.61</v>
      </c>
      <c r="M75" s="990">
        <f>M350</f>
        <v>-28300</v>
      </c>
      <c r="N75" s="990">
        <f>N350</f>
        <v>-28950</v>
      </c>
      <c r="O75" s="990">
        <f>O350</f>
        <v>-29620</v>
      </c>
    </row>
    <row r="76" spans="1:19" customFormat="1" ht="12.75" customHeight="1" x14ac:dyDescent="0.3">
      <c r="A76" s="159"/>
      <c r="D76" s="803" t="str">
        <f>G352</f>
        <v>Den Dries 17 (KDV Op 't Erf)</v>
      </c>
      <c r="E76" s="804"/>
      <c r="F76" s="805"/>
      <c r="G76" s="791"/>
      <c r="H76" s="791"/>
      <c r="I76" s="806"/>
      <c r="J76" s="802">
        <v>0</v>
      </c>
      <c r="K76" s="990">
        <f>K355</f>
        <v>-34874.351999999999</v>
      </c>
      <c r="L76" s="990">
        <f>L355</f>
        <v>-37567.53</v>
      </c>
      <c r="M76" s="990">
        <f>M355</f>
        <v>-38430</v>
      </c>
      <c r="N76" s="990">
        <f>N355</f>
        <v>-39310</v>
      </c>
      <c r="O76" s="990">
        <f>O355</f>
        <v>-40210</v>
      </c>
    </row>
    <row r="77" spans="1:19" customFormat="1" ht="12.75" customHeight="1" x14ac:dyDescent="0.3">
      <c r="A77" s="159"/>
      <c r="D77" s="803" t="str">
        <f>G357</f>
        <v>Maatstok 1 (KDV Platijn)</v>
      </c>
      <c r="E77" s="804"/>
      <c r="F77" s="805"/>
      <c r="G77" s="791"/>
      <c r="H77" s="791"/>
      <c r="I77" s="806"/>
      <c r="J77" s="802">
        <v>0</v>
      </c>
      <c r="K77" s="990">
        <f>K360</f>
        <v>-22224.42</v>
      </c>
      <c r="L77" s="990">
        <f>L360</f>
        <v>-24260.799999999999</v>
      </c>
      <c r="M77" s="990">
        <f>M360</f>
        <v>-24820</v>
      </c>
      <c r="N77" s="990">
        <f>N360</f>
        <v>-25390</v>
      </c>
      <c r="O77" s="990">
        <f>O360</f>
        <v>-25970</v>
      </c>
    </row>
    <row r="78" spans="1:19" ht="12.75" customHeight="1" x14ac:dyDescent="0.25">
      <c r="D78" s="803" t="s">
        <v>4031</v>
      </c>
      <c r="E78" s="804"/>
      <c r="F78" s="805"/>
      <c r="I78" s="806"/>
      <c r="J78" s="802">
        <v>-128512</v>
      </c>
      <c r="K78" s="990">
        <f t="shared" ref="K78:M78" si="39">+K365</f>
        <v>-128346</v>
      </c>
      <c r="L78" s="990">
        <f t="shared" si="39"/>
        <v>-131935.5</v>
      </c>
      <c r="M78" s="990">
        <f t="shared" si="39"/>
        <v>-134970</v>
      </c>
      <c r="N78" s="990">
        <f t="shared" ref="N78:O78" si="40">+N365</f>
        <v>-138074</v>
      </c>
      <c r="O78" s="990">
        <f t="shared" si="40"/>
        <v>-141250</v>
      </c>
    </row>
    <row r="79" spans="1:19" ht="12.75" customHeight="1" x14ac:dyDescent="0.25">
      <c r="D79" s="803" t="str">
        <f>G367</f>
        <v>BS Valpreventie</v>
      </c>
      <c r="E79" s="804"/>
      <c r="F79" s="805"/>
      <c r="I79" s="806"/>
      <c r="J79" s="807">
        <v>-70914</v>
      </c>
      <c r="K79" s="989">
        <f t="shared" ref="K79:M79" si="41">K370</f>
        <v>-76172</v>
      </c>
      <c r="L79" s="989">
        <f t="shared" si="41"/>
        <v>-76172</v>
      </c>
      <c r="M79" s="989">
        <f t="shared" si="41"/>
        <v>-76172</v>
      </c>
      <c r="N79" s="989">
        <f t="shared" ref="N79:O79" si="42">N370</f>
        <v>-76172</v>
      </c>
      <c r="O79" s="989">
        <f t="shared" si="42"/>
        <v>-76172</v>
      </c>
    </row>
    <row r="80" spans="1:19" ht="12.75" customHeight="1" x14ac:dyDescent="0.25">
      <c r="D80" s="803" t="str">
        <f>G372</f>
        <v>BS Versterken sociale basis</v>
      </c>
      <c r="E80" s="804"/>
      <c r="F80" s="805"/>
      <c r="I80" s="806"/>
      <c r="J80" s="807">
        <v>-53745</v>
      </c>
      <c r="K80" s="989">
        <f t="shared" ref="K80:M80" si="43">K375</f>
        <v>-41972</v>
      </c>
      <c r="L80" s="989">
        <f t="shared" si="43"/>
        <v>-41972</v>
      </c>
      <c r="M80" s="989">
        <f t="shared" si="43"/>
        <v>-41972</v>
      </c>
      <c r="N80" s="989">
        <f t="shared" ref="N80:O80" si="44">N375</f>
        <v>-41972</v>
      </c>
      <c r="O80" s="989">
        <f t="shared" si="44"/>
        <v>-41972</v>
      </c>
    </row>
    <row r="81" spans="1:15" ht="12.75" customHeight="1" x14ac:dyDescent="0.25">
      <c r="D81" s="803" t="str">
        <f>G377</f>
        <v>BS Mantelzorg</v>
      </c>
      <c r="E81" s="804"/>
      <c r="F81" s="805"/>
      <c r="I81" s="806"/>
      <c r="J81" s="807">
        <v>-14929</v>
      </c>
      <c r="K81" s="989">
        <f t="shared" ref="K81:M81" si="45">K380</f>
        <v>-13990</v>
      </c>
      <c r="L81" s="989">
        <f t="shared" si="45"/>
        <v>-13990</v>
      </c>
      <c r="M81" s="989">
        <f t="shared" si="45"/>
        <v>-13990</v>
      </c>
      <c r="N81" s="989">
        <f t="shared" ref="N81:O81" si="46">N380</f>
        <v>-13990</v>
      </c>
      <c r="O81" s="989">
        <f t="shared" si="46"/>
        <v>-13990</v>
      </c>
    </row>
    <row r="82" spans="1:15" ht="12.75" customHeight="1" x14ac:dyDescent="0.25">
      <c r="D82" s="803" t="str">
        <f>G382</f>
        <v>BS Eén tegen eenzaamheid</v>
      </c>
      <c r="E82" s="804"/>
      <c r="F82" s="805"/>
      <c r="I82" s="806"/>
      <c r="J82" s="807">
        <v>-11943</v>
      </c>
      <c r="K82" s="989">
        <f t="shared" ref="K82:M82" si="47">K385</f>
        <v>0</v>
      </c>
      <c r="L82" s="989">
        <f t="shared" si="47"/>
        <v>0</v>
      </c>
      <c r="M82" s="989">
        <f t="shared" si="47"/>
        <v>0</v>
      </c>
      <c r="N82" s="989">
        <f t="shared" ref="N82:O82" si="48">N385</f>
        <v>0</v>
      </c>
      <c r="O82" s="989">
        <f t="shared" si="48"/>
        <v>0</v>
      </c>
    </row>
    <row r="83" spans="1:15" ht="12.75" customHeight="1" x14ac:dyDescent="0.25">
      <c r="D83" s="803" t="str">
        <f>G387</f>
        <v>BS Welzijn op recept</v>
      </c>
      <c r="E83" s="804"/>
      <c r="F83" s="805"/>
      <c r="I83" s="806"/>
      <c r="J83" s="807">
        <v>-17169</v>
      </c>
      <c r="K83" s="989">
        <f t="shared" ref="K83:M83" si="49">K390</f>
        <v>-20987</v>
      </c>
      <c r="L83" s="989">
        <f t="shared" si="49"/>
        <v>-20987</v>
      </c>
      <c r="M83" s="989">
        <f t="shared" si="49"/>
        <v>-20987</v>
      </c>
      <c r="N83" s="989">
        <f t="shared" ref="N83:O83" si="50">N390</f>
        <v>-20987</v>
      </c>
      <c r="O83" s="989">
        <f t="shared" si="50"/>
        <v>-20987</v>
      </c>
    </row>
    <row r="84" spans="1:15" ht="12.75" customHeight="1" x14ac:dyDescent="0.25">
      <c r="D84" s="803"/>
      <c r="E84" s="804"/>
      <c r="F84" s="805"/>
      <c r="I84" s="806"/>
      <c r="J84" s="807"/>
      <c r="K84" s="807"/>
      <c r="L84" s="807"/>
      <c r="M84" s="807"/>
      <c r="N84" s="807"/>
      <c r="O84" s="807"/>
    </row>
    <row r="85" spans="1:15" ht="12.75" customHeight="1" x14ac:dyDescent="0.25">
      <c r="D85" s="1917" t="s">
        <v>328</v>
      </c>
      <c r="E85" s="1918"/>
      <c r="F85" s="1919"/>
      <c r="G85" s="1920"/>
      <c r="H85" s="1920"/>
      <c r="I85" s="1921"/>
      <c r="J85" s="1922">
        <v>-874869</v>
      </c>
      <c r="K85" s="1922">
        <f>SUM(K64:K84)</f>
        <v>-887609.10199999996</v>
      </c>
      <c r="L85" s="1922">
        <f>SUM(L64:L84)</f>
        <v>-909554.77</v>
      </c>
      <c r="M85" s="1922">
        <f>SUM(M64:M84)</f>
        <v>-926963</v>
      </c>
      <c r="N85" s="1922">
        <f>SUM(N64:N84)</f>
        <v>-944757</v>
      </c>
      <c r="O85" s="1922">
        <f>SUM(O64:O84)</f>
        <v>-962953</v>
      </c>
    </row>
    <row r="86" spans="1:15" ht="12.75" customHeight="1" x14ac:dyDescent="0.25">
      <c r="E86" s="804"/>
      <c r="F86" s="805"/>
      <c r="J86" s="812"/>
      <c r="K86" s="812"/>
      <c r="L86" s="812"/>
      <c r="M86" s="812"/>
      <c r="N86" s="812"/>
      <c r="O86" s="812"/>
    </row>
    <row r="87" spans="1:15" ht="12.75" customHeight="1" x14ac:dyDescent="0.25">
      <c r="D87" s="1917" t="s">
        <v>976</v>
      </c>
      <c r="E87" s="1923"/>
      <c r="F87" s="1923"/>
      <c r="G87" s="1920"/>
      <c r="H87" s="1920"/>
      <c r="I87" s="1920"/>
      <c r="J87" s="1924">
        <v>2298459.9900000002</v>
      </c>
      <c r="K87" s="1924">
        <f>K61+K85</f>
        <v>4022388.9559297748</v>
      </c>
      <c r="L87" s="1924">
        <f>L61+L85</f>
        <v>2670133.4790064576</v>
      </c>
      <c r="M87" s="1924">
        <f>M61+M85</f>
        <v>2778693.917285142</v>
      </c>
      <c r="N87" s="1924">
        <f>N61+N85</f>
        <v>2879277.47994341</v>
      </c>
      <c r="O87" s="1924">
        <f>O61+O85</f>
        <v>2905991.0641941293</v>
      </c>
    </row>
    <row r="88" spans="1:15" ht="12.75" customHeight="1" x14ac:dyDescent="0.25">
      <c r="E88" s="804"/>
      <c r="F88" s="805"/>
      <c r="J88" s="812"/>
      <c r="K88" s="812"/>
      <c r="L88" s="812"/>
      <c r="M88" s="812"/>
      <c r="N88" s="812"/>
      <c r="O88" s="812"/>
    </row>
    <row r="89" spans="1:15" ht="12.75" customHeight="1" x14ac:dyDescent="0.25">
      <c r="D89" s="797" t="s">
        <v>528</v>
      </c>
      <c r="E89" s="813"/>
      <c r="F89" s="813"/>
    </row>
    <row r="91" spans="1:15" ht="12.75" customHeight="1" x14ac:dyDescent="0.25">
      <c r="A91" s="795"/>
      <c r="D91" s="2495" t="s">
        <v>531</v>
      </c>
      <c r="E91" s="1925" t="s">
        <v>530</v>
      </c>
      <c r="F91" s="2495" t="s">
        <v>531</v>
      </c>
      <c r="G91" s="2497" t="s">
        <v>206</v>
      </c>
      <c r="H91" s="2497"/>
      <c r="I91" s="1927"/>
      <c r="J91" s="1928"/>
      <c r="K91" s="1928"/>
      <c r="L91" s="1928"/>
      <c r="M91" s="1928"/>
      <c r="N91" s="1928"/>
      <c r="O91" s="1928"/>
    </row>
    <row r="92" spans="1:15" ht="12.75" customHeight="1" x14ac:dyDescent="0.25">
      <c r="A92" s="795"/>
      <c r="D92" s="2495"/>
      <c r="E92" s="815" t="s">
        <v>532</v>
      </c>
      <c r="F92" s="2496"/>
      <c r="G92" s="2498"/>
      <c r="H92" s="2498"/>
      <c r="I92" s="935"/>
      <c r="J92" s="1929">
        <v>2025</v>
      </c>
      <c r="K92" s="1929">
        <v>2026</v>
      </c>
      <c r="L92" s="1929">
        <v>2027</v>
      </c>
      <c r="M92" s="1930">
        <v>2028</v>
      </c>
      <c r="N92" s="1930">
        <v>2029</v>
      </c>
      <c r="O92" s="1930">
        <v>2030</v>
      </c>
    </row>
    <row r="93" spans="1:15" ht="12.75" customHeight="1" x14ac:dyDescent="0.25">
      <c r="A93" s="795"/>
      <c r="D93" s="1931"/>
      <c r="E93" s="846"/>
      <c r="F93" s="847"/>
      <c r="G93" s="848"/>
      <c r="H93" s="849"/>
      <c r="I93" s="994"/>
      <c r="J93" s="806"/>
      <c r="K93" s="806"/>
      <c r="M93" s="1932"/>
      <c r="N93" s="1930"/>
      <c r="O93" s="1930"/>
    </row>
    <row r="94" spans="1:15" ht="12.75" customHeight="1" x14ac:dyDescent="0.25">
      <c r="A94" s="795"/>
      <c r="D94" s="818">
        <v>636012</v>
      </c>
      <c r="E94" s="819"/>
      <c r="F94" s="914"/>
      <c r="G94" s="820" t="s">
        <v>4034</v>
      </c>
      <c r="I94" s="807"/>
      <c r="J94" s="995"/>
      <c r="K94" s="995"/>
      <c r="L94" s="996"/>
      <c r="M94" s="823"/>
      <c r="N94" s="850"/>
      <c r="O94" s="850"/>
    </row>
    <row r="95" spans="1:15" ht="12.75" customHeight="1" x14ac:dyDescent="0.25">
      <c r="A95" s="795"/>
      <c r="D95" s="851"/>
      <c r="E95" s="851"/>
      <c r="F95" s="851"/>
      <c r="G95" s="822" t="s">
        <v>533</v>
      </c>
      <c r="I95" s="807"/>
      <c r="J95" s="995"/>
      <c r="K95" s="995"/>
      <c r="L95" s="996"/>
      <c r="M95" s="823"/>
      <c r="N95" s="850"/>
      <c r="O95" s="850"/>
    </row>
    <row r="96" spans="1:15" ht="12.75" customHeight="1" x14ac:dyDescent="0.25">
      <c r="A96" s="795">
        <f>D94</f>
        <v>636012</v>
      </c>
      <c r="B96" s="791" t="str">
        <f>G94</f>
        <v>Koningin Emmalaan 27 (vso)</v>
      </c>
      <c r="D96" s="821">
        <v>42100</v>
      </c>
      <c r="E96" s="821"/>
      <c r="F96" s="821"/>
      <c r="G96" s="823" t="s">
        <v>978</v>
      </c>
      <c r="I96" s="807"/>
      <c r="J96" s="995">
        <v>426</v>
      </c>
      <c r="K96" s="995">
        <f t="shared" ref="K96:O98" si="51">ROUND(J96*S$2,0)</f>
        <v>437</v>
      </c>
      <c r="L96" s="996">
        <f t="shared" si="51"/>
        <v>446</v>
      </c>
      <c r="M96" s="996">
        <f t="shared" si="51"/>
        <v>456</v>
      </c>
      <c r="N96" s="995">
        <f t="shared" si="51"/>
        <v>466</v>
      </c>
      <c r="O96" s="995">
        <f t="shared" si="51"/>
        <v>477</v>
      </c>
    </row>
    <row r="97" spans="1:15" ht="12.75" customHeight="1" x14ac:dyDescent="0.25">
      <c r="A97" s="795">
        <f>D94</f>
        <v>636012</v>
      </c>
      <c r="B97" s="791" t="str">
        <f>G94</f>
        <v>Koningin Emmalaan 27 (vso)</v>
      </c>
      <c r="D97" s="821">
        <v>43806</v>
      </c>
      <c r="E97" s="821"/>
      <c r="F97" s="821"/>
      <c r="G97" s="823" t="s">
        <v>980</v>
      </c>
      <c r="I97" s="807"/>
      <c r="J97" s="995">
        <v>379</v>
      </c>
      <c r="K97" s="995">
        <f t="shared" si="51"/>
        <v>389</v>
      </c>
      <c r="L97" s="995">
        <f t="shared" si="51"/>
        <v>397</v>
      </c>
      <c r="M97" s="996">
        <f t="shared" si="51"/>
        <v>406</v>
      </c>
      <c r="N97" s="995">
        <f t="shared" si="51"/>
        <v>415</v>
      </c>
      <c r="O97" s="995">
        <f t="shared" si="51"/>
        <v>425</v>
      </c>
    </row>
    <row r="98" spans="1:15" ht="12.75" customHeight="1" x14ac:dyDescent="0.3">
      <c r="A98" s="795">
        <f>D94</f>
        <v>636012</v>
      </c>
      <c r="B98" s="791" t="str">
        <f>G94</f>
        <v>Koningin Emmalaan 27 (vso)</v>
      </c>
      <c r="D98" s="821">
        <v>43817</v>
      </c>
      <c r="E98" s="821"/>
      <c r="F98" s="997"/>
      <c r="G98" s="998" t="s">
        <v>1002</v>
      </c>
      <c r="H98" s="999"/>
      <c r="I98" s="807"/>
      <c r="J98" s="995">
        <v>1517</v>
      </c>
      <c r="K98" s="995">
        <f t="shared" si="51"/>
        <v>1556</v>
      </c>
      <c r="L98" s="995">
        <f t="shared" si="51"/>
        <v>1589</v>
      </c>
      <c r="M98" s="995">
        <f t="shared" si="51"/>
        <v>1626</v>
      </c>
      <c r="N98" s="995">
        <f t="shared" si="51"/>
        <v>1663</v>
      </c>
      <c r="O98" s="995">
        <f t="shared" si="51"/>
        <v>1701</v>
      </c>
    </row>
    <row r="99" spans="1:15" ht="12.75" customHeight="1" x14ac:dyDescent="0.25">
      <c r="A99" s="824">
        <f>D94</f>
        <v>636012</v>
      </c>
      <c r="B99" s="791" t="str">
        <f>G94</f>
        <v>Koningin Emmalaan 27 (vso)</v>
      </c>
      <c r="D99" s="821">
        <v>47201</v>
      </c>
      <c r="E99" s="821"/>
      <c r="F99" s="821"/>
      <c r="G99" s="823" t="s">
        <v>4035</v>
      </c>
      <c r="I99" s="807"/>
      <c r="J99" s="995">
        <v>5183</v>
      </c>
      <c r="K99" s="995">
        <v>7376.4820499999996</v>
      </c>
      <c r="L99" s="995">
        <v>7649.4118858499987</v>
      </c>
      <c r="M99" s="995">
        <v>7932.4401256264482</v>
      </c>
      <c r="N99" s="995">
        <v>8225.9404102746266</v>
      </c>
      <c r="O99" s="995">
        <v>8225.9404102746266</v>
      </c>
    </row>
    <row r="100" spans="1:15" ht="12.75" customHeight="1" thickBot="1" x14ac:dyDescent="0.3">
      <c r="A100" s="795"/>
      <c r="D100" s="851"/>
      <c r="E100" s="851"/>
      <c r="F100" s="851"/>
      <c r="G100" s="823" t="s">
        <v>536</v>
      </c>
      <c r="I100" s="807"/>
      <c r="J100" s="825">
        <v>7505</v>
      </c>
      <c r="K100" s="825">
        <f t="shared" ref="K100:M100" si="52">SUM(K96:K99)</f>
        <v>9758.4820499999987</v>
      </c>
      <c r="L100" s="825">
        <f t="shared" si="52"/>
        <v>10081.411885849999</v>
      </c>
      <c r="M100" s="825">
        <f t="shared" si="52"/>
        <v>10420.440125626448</v>
      </c>
      <c r="N100" s="825">
        <f t="shared" ref="N100:O100" si="53">SUM(N96:N99)</f>
        <v>10769.940410274627</v>
      </c>
      <c r="O100" s="825">
        <f t="shared" si="53"/>
        <v>10828.940410274627</v>
      </c>
    </row>
    <row r="101" spans="1:15" ht="12.75" customHeight="1" thickTop="1" x14ac:dyDescent="0.25">
      <c r="A101" s="795"/>
      <c r="D101" s="851"/>
      <c r="E101" s="851"/>
      <c r="F101" s="851"/>
      <c r="G101" s="823"/>
      <c r="I101" s="807"/>
      <c r="J101" s="995"/>
      <c r="K101" s="995"/>
      <c r="L101" s="995"/>
      <c r="M101" s="995"/>
      <c r="N101" s="995"/>
      <c r="O101" s="995"/>
    </row>
    <row r="102" spans="1:15" ht="12.75" customHeight="1" x14ac:dyDescent="0.25">
      <c r="A102" s="795"/>
      <c r="D102" s="818">
        <v>636013</v>
      </c>
      <c r="E102" s="819"/>
      <c r="F102" s="914"/>
      <c r="G102" s="820" t="s">
        <v>4036</v>
      </c>
      <c r="I102" s="807"/>
      <c r="J102" s="995"/>
      <c r="K102" s="995"/>
      <c r="L102" s="995"/>
      <c r="M102" s="995"/>
      <c r="N102" s="995"/>
      <c r="O102" s="995"/>
    </row>
    <row r="103" spans="1:15" ht="12.75" customHeight="1" x14ac:dyDescent="0.25">
      <c r="A103" s="795"/>
      <c r="D103" s="851"/>
      <c r="E103" s="851"/>
      <c r="F103" s="851"/>
      <c r="G103" s="822" t="s">
        <v>533</v>
      </c>
      <c r="I103" s="807"/>
      <c r="J103" s="995"/>
      <c r="K103" s="995"/>
      <c r="L103" s="995"/>
      <c r="M103" s="995"/>
      <c r="N103" s="995"/>
      <c r="O103" s="995"/>
    </row>
    <row r="104" spans="1:15" ht="12.75" customHeight="1" x14ac:dyDescent="0.25">
      <c r="A104" s="795">
        <f>D102</f>
        <v>636013</v>
      </c>
      <c r="B104" s="791" t="str">
        <f>G102</f>
        <v>Vlinderhei 12 (vso)</v>
      </c>
      <c r="D104" s="821">
        <v>42100</v>
      </c>
      <c r="E104" s="821"/>
      <c r="F104" s="821"/>
      <c r="G104" s="823" t="s">
        <v>978</v>
      </c>
      <c r="I104" s="807"/>
      <c r="J104" s="995">
        <v>775</v>
      </c>
      <c r="K104" s="995">
        <f t="shared" ref="K104:O106" si="54">ROUND(J104*S$2,0)</f>
        <v>795</v>
      </c>
      <c r="L104" s="995">
        <f t="shared" si="54"/>
        <v>812</v>
      </c>
      <c r="M104" s="995">
        <f t="shared" si="54"/>
        <v>831</v>
      </c>
      <c r="N104" s="995">
        <f t="shared" si="54"/>
        <v>850</v>
      </c>
      <c r="O104" s="995">
        <f t="shared" si="54"/>
        <v>870</v>
      </c>
    </row>
    <row r="105" spans="1:15" ht="12.75" customHeight="1" x14ac:dyDescent="0.25">
      <c r="A105" s="795">
        <f>D102</f>
        <v>636013</v>
      </c>
      <c r="B105" s="791" t="str">
        <f>G102</f>
        <v>Vlinderhei 12 (vso)</v>
      </c>
      <c r="D105" s="821">
        <v>43806</v>
      </c>
      <c r="E105" s="821"/>
      <c r="F105" s="821"/>
      <c r="G105" s="823" t="s">
        <v>980</v>
      </c>
      <c r="I105" s="807"/>
      <c r="J105" s="995">
        <v>645</v>
      </c>
      <c r="K105" s="995">
        <f t="shared" si="54"/>
        <v>662</v>
      </c>
      <c r="L105" s="995">
        <f t="shared" si="54"/>
        <v>676</v>
      </c>
      <c r="M105" s="995">
        <f t="shared" si="54"/>
        <v>692</v>
      </c>
      <c r="N105" s="995">
        <f t="shared" si="54"/>
        <v>708</v>
      </c>
      <c r="O105" s="995">
        <f t="shared" si="54"/>
        <v>724</v>
      </c>
    </row>
    <row r="106" spans="1:15" ht="12.75" customHeight="1" x14ac:dyDescent="0.3">
      <c r="A106" s="795">
        <f>D102</f>
        <v>636013</v>
      </c>
      <c r="B106" s="791" t="str">
        <f>G102</f>
        <v>Vlinderhei 12 (vso)</v>
      </c>
      <c r="D106" s="821">
        <v>43817</v>
      </c>
      <c r="E106" s="821"/>
      <c r="F106" s="997"/>
      <c r="G106" s="998" t="s">
        <v>1002</v>
      </c>
      <c r="H106" s="999"/>
      <c r="I106" s="807"/>
      <c r="J106" s="995">
        <v>2652</v>
      </c>
      <c r="K106" s="995">
        <f t="shared" si="54"/>
        <v>2721</v>
      </c>
      <c r="L106" s="995">
        <f t="shared" si="54"/>
        <v>2778</v>
      </c>
      <c r="M106" s="995">
        <f t="shared" si="54"/>
        <v>2842</v>
      </c>
      <c r="N106" s="995">
        <f t="shared" si="54"/>
        <v>2907</v>
      </c>
      <c r="O106" s="995">
        <f t="shared" si="54"/>
        <v>2974</v>
      </c>
    </row>
    <row r="107" spans="1:15" ht="12.75" customHeight="1" x14ac:dyDescent="0.25">
      <c r="A107" s="824">
        <f>D102</f>
        <v>636013</v>
      </c>
      <c r="B107" s="791" t="str">
        <f>G102</f>
        <v>Vlinderhei 12 (vso)</v>
      </c>
      <c r="D107" s="821">
        <v>47201</v>
      </c>
      <c r="E107" s="821"/>
      <c r="F107" s="821"/>
      <c r="G107" s="823" t="s">
        <v>4037</v>
      </c>
      <c r="I107" s="807"/>
      <c r="J107" s="995">
        <v>10384</v>
      </c>
      <c r="K107" s="995">
        <v>12268.33151980768</v>
      </c>
      <c r="L107" s="995">
        <v>12722.259786040562</v>
      </c>
      <c r="M107" s="995">
        <v>13192.983398124063</v>
      </c>
      <c r="N107" s="995">
        <v>13681.123783854651</v>
      </c>
      <c r="O107" s="995">
        <v>13681.123783854651</v>
      </c>
    </row>
    <row r="108" spans="1:15" ht="12.75" customHeight="1" thickBot="1" x14ac:dyDescent="0.3">
      <c r="A108" s="795"/>
      <c r="D108" s="851"/>
      <c r="E108" s="851"/>
      <c r="F108" s="851"/>
      <c r="G108" s="823" t="s">
        <v>536</v>
      </c>
      <c r="I108" s="807"/>
      <c r="J108" s="825">
        <v>14456</v>
      </c>
      <c r="K108" s="825">
        <f t="shared" ref="K108:M108" si="55">SUM(K104:K107)</f>
        <v>16446.331519807682</v>
      </c>
      <c r="L108" s="825">
        <f t="shared" si="55"/>
        <v>16988.259786040562</v>
      </c>
      <c r="M108" s="825">
        <f t="shared" si="55"/>
        <v>17557.983398124063</v>
      </c>
      <c r="N108" s="825">
        <f t="shared" ref="N108:O108" si="56">SUM(N104:N107)</f>
        <v>18146.123783854651</v>
      </c>
      <c r="O108" s="825">
        <f t="shared" si="56"/>
        <v>18249.123783854651</v>
      </c>
    </row>
    <row r="109" spans="1:15" ht="12.75" customHeight="1" thickTop="1" x14ac:dyDescent="0.25">
      <c r="A109" s="795"/>
      <c r="D109" s="851"/>
      <c r="E109" s="851"/>
      <c r="F109" s="851"/>
      <c r="G109" s="823"/>
      <c r="I109" s="807"/>
      <c r="J109" s="807"/>
      <c r="K109" s="807"/>
      <c r="L109" s="807"/>
      <c r="M109" s="807"/>
      <c r="N109" s="807"/>
      <c r="O109" s="807"/>
    </row>
    <row r="110" spans="1:15" ht="12.75" customHeight="1" x14ac:dyDescent="0.25">
      <c r="A110" s="795"/>
      <c r="D110" s="818">
        <v>636015</v>
      </c>
      <c r="E110" s="819"/>
      <c r="F110" s="914"/>
      <c r="G110" s="820" t="s">
        <v>4038</v>
      </c>
      <c r="I110" s="807"/>
      <c r="J110" s="807"/>
      <c r="K110" s="807"/>
      <c r="L110" s="807"/>
      <c r="M110" s="807"/>
      <c r="N110" s="807"/>
      <c r="O110" s="807"/>
    </row>
    <row r="111" spans="1:15" ht="12.75" customHeight="1" x14ac:dyDescent="0.25">
      <c r="A111" s="795"/>
      <c r="D111" s="851"/>
      <c r="E111" s="851"/>
      <c r="F111" s="851"/>
      <c r="G111" s="822" t="s">
        <v>533</v>
      </c>
      <c r="I111" s="807"/>
      <c r="J111" s="807"/>
      <c r="K111" s="807"/>
      <c r="L111" s="807"/>
      <c r="M111" s="807"/>
      <c r="N111" s="807"/>
      <c r="O111" s="807"/>
    </row>
    <row r="112" spans="1:15" ht="12.75" customHeight="1" x14ac:dyDescent="0.25">
      <c r="A112" s="795">
        <f>D110</f>
        <v>636015</v>
      </c>
      <c r="B112" s="791" t="str">
        <f>G110</f>
        <v>Burgemeester Notermansstraat 29A (vso)</v>
      </c>
      <c r="D112" s="821">
        <v>43806</v>
      </c>
      <c r="E112" s="821"/>
      <c r="F112" s="821"/>
      <c r="G112" s="823" t="s">
        <v>980</v>
      </c>
      <c r="I112" s="807"/>
      <c r="J112" s="995">
        <v>1054</v>
      </c>
      <c r="K112" s="995">
        <v>0</v>
      </c>
      <c r="L112" s="995">
        <f>ROUND(K112*T$2,0)</f>
        <v>0</v>
      </c>
      <c r="M112" s="995">
        <f>ROUND(L112*U$2,0)</f>
        <v>0</v>
      </c>
      <c r="N112" s="995">
        <f>ROUND(M112*V$2,0)</f>
        <v>0</v>
      </c>
      <c r="O112" s="995">
        <f>ROUND(N112*W$2,0)</f>
        <v>0</v>
      </c>
    </row>
    <row r="113" spans="1:15" ht="12.75" customHeight="1" thickBot="1" x14ac:dyDescent="0.3">
      <c r="A113" s="795"/>
      <c r="D113" s="851"/>
      <c r="E113" s="851"/>
      <c r="F113" s="851"/>
      <c r="G113" s="823" t="s">
        <v>536</v>
      </c>
      <c r="I113" s="807"/>
      <c r="J113" s="825">
        <v>1054</v>
      </c>
      <c r="K113" s="825">
        <f>SUM(K112:K112)</f>
        <v>0</v>
      </c>
      <c r="L113" s="825">
        <f>SUM(L112:L112)</f>
        <v>0</v>
      </c>
      <c r="M113" s="825">
        <f>SUM(M112:M112)</f>
        <v>0</v>
      </c>
      <c r="N113" s="825">
        <f>SUM(N112:N112)</f>
        <v>0</v>
      </c>
      <c r="O113" s="825">
        <f>SUM(O112:O112)</f>
        <v>0</v>
      </c>
    </row>
    <row r="114" spans="1:15" ht="12.75" customHeight="1" thickTop="1" x14ac:dyDescent="0.25">
      <c r="A114" s="795"/>
      <c r="D114" s="851"/>
      <c r="E114" s="851"/>
      <c r="F114" s="851"/>
      <c r="G114" s="823"/>
      <c r="I114" s="807"/>
      <c r="J114" s="802"/>
      <c r="K114" s="802"/>
      <c r="L114" s="802"/>
      <c r="M114" s="802"/>
      <c r="N114" s="802"/>
      <c r="O114" s="802"/>
    </row>
    <row r="115" spans="1:15" ht="12.75" customHeight="1" x14ac:dyDescent="0.25">
      <c r="A115" s="795"/>
      <c r="D115" s="913">
        <v>636016</v>
      </c>
      <c r="E115" s="819"/>
      <c r="F115" s="914"/>
      <c r="G115" s="820" t="s">
        <v>4039</v>
      </c>
      <c r="I115" s="807"/>
      <c r="J115" s="802"/>
      <c r="K115" s="802"/>
      <c r="L115" s="802"/>
      <c r="M115" s="802"/>
      <c r="N115" s="802"/>
      <c r="O115" s="802"/>
    </row>
    <row r="116" spans="1:15" ht="12.75" customHeight="1" x14ac:dyDescent="0.25">
      <c r="A116" s="795"/>
      <c r="D116" s="851"/>
      <c r="E116" s="851"/>
      <c r="F116" s="851"/>
      <c r="G116" s="822" t="s">
        <v>533</v>
      </c>
      <c r="I116" s="807"/>
      <c r="J116" s="802"/>
      <c r="K116" s="802"/>
      <c r="L116" s="802"/>
      <c r="M116" s="802"/>
      <c r="N116" s="802"/>
      <c r="O116" s="802"/>
    </row>
    <row r="117" spans="1:15" ht="12.75" customHeight="1" x14ac:dyDescent="0.25">
      <c r="A117" s="795">
        <f>D115</f>
        <v>636016</v>
      </c>
      <c r="B117" s="791" t="str">
        <f>G115</f>
        <v>Spar 2 (vso)</v>
      </c>
      <c r="D117" s="821">
        <v>42100</v>
      </c>
      <c r="E117" s="821"/>
      <c r="F117" s="821"/>
      <c r="G117" s="823" t="s">
        <v>978</v>
      </c>
      <c r="I117" s="807"/>
      <c r="J117" s="995">
        <v>344</v>
      </c>
      <c r="K117" s="995">
        <f t="shared" ref="K117:O119" si="57">ROUND(J117*S$2,0)</f>
        <v>353</v>
      </c>
      <c r="L117" s="995">
        <f t="shared" si="57"/>
        <v>360</v>
      </c>
      <c r="M117" s="995">
        <f t="shared" si="57"/>
        <v>368</v>
      </c>
      <c r="N117" s="995">
        <f t="shared" si="57"/>
        <v>376</v>
      </c>
      <c r="O117" s="995">
        <f t="shared" si="57"/>
        <v>385</v>
      </c>
    </row>
    <row r="118" spans="1:15" ht="12.75" customHeight="1" x14ac:dyDescent="0.25">
      <c r="A118" s="795">
        <f>D115</f>
        <v>636016</v>
      </c>
      <c r="B118" s="791" t="str">
        <f>G115</f>
        <v>Spar 2 (vso)</v>
      </c>
      <c r="D118" s="821">
        <v>43806</v>
      </c>
      <c r="E118" s="821"/>
      <c r="F118" s="821"/>
      <c r="G118" s="823" t="s">
        <v>980</v>
      </c>
      <c r="I118" s="807"/>
      <c r="J118" s="995">
        <v>306</v>
      </c>
      <c r="K118" s="995">
        <f t="shared" si="57"/>
        <v>314</v>
      </c>
      <c r="L118" s="995">
        <f t="shared" si="57"/>
        <v>321</v>
      </c>
      <c r="M118" s="995">
        <f t="shared" si="57"/>
        <v>328</v>
      </c>
      <c r="N118" s="995">
        <f t="shared" si="57"/>
        <v>336</v>
      </c>
      <c r="O118" s="995">
        <f t="shared" si="57"/>
        <v>344</v>
      </c>
    </row>
    <row r="119" spans="1:15" ht="12.75" customHeight="1" x14ac:dyDescent="0.3">
      <c r="A119" s="795">
        <f>D115</f>
        <v>636016</v>
      </c>
      <c r="B119" s="791" t="str">
        <f>G115</f>
        <v>Spar 2 (vso)</v>
      </c>
      <c r="D119" s="821">
        <v>43817</v>
      </c>
      <c r="E119" s="821"/>
      <c r="F119" s="997"/>
      <c r="G119" s="998" t="s">
        <v>1002</v>
      </c>
      <c r="H119" s="999"/>
      <c r="I119" s="807"/>
      <c r="J119" s="995">
        <v>2329</v>
      </c>
      <c r="K119" s="995">
        <f t="shared" si="57"/>
        <v>2390</v>
      </c>
      <c r="L119" s="995">
        <f t="shared" si="57"/>
        <v>2440</v>
      </c>
      <c r="M119" s="995">
        <f t="shared" si="57"/>
        <v>2496</v>
      </c>
      <c r="N119" s="995">
        <f t="shared" si="57"/>
        <v>2553</v>
      </c>
      <c r="O119" s="995">
        <f t="shared" si="57"/>
        <v>2612</v>
      </c>
    </row>
    <row r="120" spans="1:15" ht="12.75" customHeight="1" x14ac:dyDescent="0.25">
      <c r="A120" s="824">
        <f>D115</f>
        <v>636016</v>
      </c>
      <c r="B120" s="791" t="str">
        <f>G115</f>
        <v>Spar 2 (vso)</v>
      </c>
      <c r="D120" s="821">
        <v>47201</v>
      </c>
      <c r="E120" s="821"/>
      <c r="F120" s="821"/>
      <c r="G120" s="823" t="s">
        <v>4040</v>
      </c>
      <c r="I120" s="807"/>
      <c r="J120" s="995">
        <v>4702</v>
      </c>
      <c r="K120" s="995">
        <v>4876.3433412384002</v>
      </c>
      <c r="L120" s="995">
        <v>5056.7680448642204</v>
      </c>
      <c r="M120" s="995">
        <v>5243.8684625241958</v>
      </c>
      <c r="N120" s="995">
        <v>5437.8915956375904</v>
      </c>
      <c r="O120" s="2127">
        <v>0</v>
      </c>
    </row>
    <row r="121" spans="1:15" ht="12.75" customHeight="1" thickBot="1" x14ac:dyDescent="0.3">
      <c r="A121" s="795"/>
      <c r="D121" s="851"/>
      <c r="E121" s="851"/>
      <c r="F121" s="851"/>
      <c r="G121" s="823" t="s">
        <v>536</v>
      </c>
      <c r="I121" s="807"/>
      <c r="J121" s="852">
        <v>7681</v>
      </c>
      <c r="K121" s="852">
        <f t="shared" ref="K121:M121" si="58">SUM(K117:K120)</f>
        <v>7933.3433412384002</v>
      </c>
      <c r="L121" s="852">
        <f t="shared" si="58"/>
        <v>8177.7680448642204</v>
      </c>
      <c r="M121" s="852">
        <f t="shared" si="58"/>
        <v>8435.8684625241949</v>
      </c>
      <c r="N121" s="852">
        <f t="shared" ref="N121:O121" si="59">SUM(N117:N120)</f>
        <v>8702.8915956375895</v>
      </c>
      <c r="O121" s="852">
        <f t="shared" si="59"/>
        <v>3341</v>
      </c>
    </row>
    <row r="122" spans="1:15" ht="12.75" customHeight="1" thickTop="1" x14ac:dyDescent="0.25">
      <c r="A122" s="795"/>
      <c r="D122" s="851"/>
      <c r="E122" s="851"/>
      <c r="F122" s="851"/>
      <c r="G122" s="823"/>
      <c r="I122" s="807"/>
      <c r="J122" s="802"/>
      <c r="K122" s="802"/>
      <c r="L122" s="802"/>
      <c r="M122" s="802"/>
      <c r="N122" s="802"/>
      <c r="O122" s="802"/>
    </row>
    <row r="123" spans="1:15" ht="12.75" customHeight="1" x14ac:dyDescent="0.25">
      <c r="A123" s="795"/>
      <c r="D123" s="913">
        <v>636018</v>
      </c>
      <c r="E123" s="819"/>
      <c r="F123" s="914"/>
      <c r="G123" s="820" t="s">
        <v>4041</v>
      </c>
      <c r="I123" s="807"/>
      <c r="J123" s="802"/>
      <c r="K123" s="802"/>
      <c r="L123" s="802"/>
      <c r="M123" s="802"/>
      <c r="N123" s="802"/>
      <c r="O123" s="802"/>
    </row>
    <row r="124" spans="1:15" ht="12.75" customHeight="1" x14ac:dyDescent="0.25">
      <c r="A124" s="795"/>
      <c r="D124" s="913"/>
      <c r="E124" s="914"/>
      <c r="F124" s="914"/>
      <c r="G124" s="822" t="s">
        <v>533</v>
      </c>
      <c r="I124" s="807"/>
      <c r="J124" s="802"/>
      <c r="K124" s="802"/>
      <c r="L124" s="802"/>
      <c r="M124" s="802"/>
      <c r="N124" s="802"/>
      <c r="O124" s="802"/>
    </row>
    <row r="125" spans="1:15" ht="12.75" customHeight="1" x14ac:dyDescent="0.25">
      <c r="A125" s="795">
        <f>D123</f>
        <v>636018</v>
      </c>
      <c r="B125" s="791" t="str">
        <f>G123</f>
        <v>Trompstraat 39 (vso)</v>
      </c>
      <c r="D125" s="821">
        <v>42100</v>
      </c>
      <c r="E125" s="821"/>
      <c r="F125" s="821"/>
      <c r="G125" s="823" t="s">
        <v>978</v>
      </c>
      <c r="I125" s="807"/>
      <c r="J125" s="995">
        <v>639</v>
      </c>
      <c r="K125" s="995">
        <f t="shared" ref="K125:O127" si="60">ROUND(J125*S$2,0)</f>
        <v>656</v>
      </c>
      <c r="L125" s="995">
        <f t="shared" si="60"/>
        <v>670</v>
      </c>
      <c r="M125" s="995">
        <f t="shared" si="60"/>
        <v>685</v>
      </c>
      <c r="N125" s="995">
        <f t="shared" si="60"/>
        <v>701</v>
      </c>
      <c r="O125" s="995">
        <f t="shared" si="60"/>
        <v>717</v>
      </c>
    </row>
    <row r="126" spans="1:15" ht="12.75" customHeight="1" x14ac:dyDescent="0.25">
      <c r="A126" s="795">
        <f>D123</f>
        <v>636018</v>
      </c>
      <c r="B126" s="791" t="str">
        <f>G123</f>
        <v>Trompstraat 39 (vso)</v>
      </c>
      <c r="D126" s="821">
        <v>43806</v>
      </c>
      <c r="E126" s="821"/>
      <c r="F126" s="821"/>
      <c r="G126" s="823" t="s">
        <v>546</v>
      </c>
      <c r="I126" s="807"/>
      <c r="J126" s="995">
        <v>1064</v>
      </c>
      <c r="K126" s="995">
        <f t="shared" si="60"/>
        <v>1092</v>
      </c>
      <c r="L126" s="995">
        <f t="shared" si="60"/>
        <v>1115</v>
      </c>
      <c r="M126" s="995">
        <f t="shared" si="60"/>
        <v>1141</v>
      </c>
      <c r="N126" s="995">
        <f t="shared" si="60"/>
        <v>1167</v>
      </c>
      <c r="O126" s="995">
        <f t="shared" si="60"/>
        <v>1194</v>
      </c>
    </row>
    <row r="127" spans="1:15" ht="12.75" customHeight="1" x14ac:dyDescent="0.3">
      <c r="A127" s="795">
        <f>D123</f>
        <v>636018</v>
      </c>
      <c r="B127" s="791" t="str">
        <f>G123</f>
        <v>Trompstraat 39 (vso)</v>
      </c>
      <c r="D127" s="821">
        <v>43817</v>
      </c>
      <c r="E127" s="821"/>
      <c r="F127" s="997"/>
      <c r="G127" s="998" t="s">
        <v>1002</v>
      </c>
      <c r="H127" s="999"/>
      <c r="I127" s="807"/>
      <c r="J127" s="995">
        <v>7294</v>
      </c>
      <c r="K127" s="995">
        <f t="shared" si="60"/>
        <v>7484</v>
      </c>
      <c r="L127" s="995">
        <f t="shared" si="60"/>
        <v>7641</v>
      </c>
      <c r="M127" s="995">
        <f t="shared" si="60"/>
        <v>7817</v>
      </c>
      <c r="N127" s="995">
        <f t="shared" si="60"/>
        <v>7997</v>
      </c>
      <c r="O127" s="995">
        <f t="shared" si="60"/>
        <v>8181</v>
      </c>
    </row>
    <row r="128" spans="1:15" ht="12.75" customHeight="1" x14ac:dyDescent="0.25">
      <c r="A128" s="795">
        <f>D123</f>
        <v>636018</v>
      </c>
      <c r="B128" s="791" t="str">
        <f>G123</f>
        <v>Trompstraat 39 (vso)</v>
      </c>
      <c r="D128" s="821">
        <v>47201</v>
      </c>
      <c r="E128" s="821"/>
      <c r="F128" s="821"/>
      <c r="G128" s="823" t="s">
        <v>4042</v>
      </c>
      <c r="I128" s="807"/>
      <c r="J128" s="995">
        <v>8808</v>
      </c>
      <c r="K128" s="995">
        <v>12248.6092125</v>
      </c>
      <c r="L128" s="995">
        <v>12861.039673125</v>
      </c>
      <c r="M128" s="995">
        <v>13504.091656781251</v>
      </c>
      <c r="N128" s="995">
        <v>14179.296239620315</v>
      </c>
      <c r="O128" s="2127">
        <v>0</v>
      </c>
    </row>
    <row r="129" spans="1:15" ht="12.75" customHeight="1" thickBot="1" x14ac:dyDescent="0.3">
      <c r="A129" s="824"/>
      <c r="D129" s="851"/>
      <c r="E129" s="851"/>
      <c r="F129" s="851"/>
      <c r="G129" s="823" t="s">
        <v>536</v>
      </c>
      <c r="I129" s="807"/>
      <c r="J129" s="852">
        <v>17805</v>
      </c>
      <c r="K129" s="852">
        <f t="shared" ref="K129:M129" si="61">SUM(K125:K128)</f>
        <v>21480.6092125</v>
      </c>
      <c r="L129" s="852">
        <f t="shared" si="61"/>
        <v>22287.039673125</v>
      </c>
      <c r="M129" s="852">
        <f t="shared" si="61"/>
        <v>23147.091656781253</v>
      </c>
      <c r="N129" s="852">
        <f t="shared" ref="N129:O129" si="62">SUM(N125:N128)</f>
        <v>24044.296239620315</v>
      </c>
      <c r="O129" s="852">
        <f t="shared" si="62"/>
        <v>10092</v>
      </c>
    </row>
    <row r="130" spans="1:15" ht="12.75" customHeight="1" thickTop="1" x14ac:dyDescent="0.25">
      <c r="A130" s="795"/>
      <c r="D130" s="851"/>
      <c r="E130" s="851"/>
      <c r="F130" s="851"/>
      <c r="G130" s="823"/>
      <c r="I130" s="807"/>
      <c r="J130" s="802"/>
      <c r="K130" s="802"/>
      <c r="L130" s="802"/>
      <c r="M130" s="802"/>
      <c r="N130" s="802"/>
      <c r="O130" s="802"/>
    </row>
    <row r="131" spans="1:15" ht="12.75" customHeight="1" x14ac:dyDescent="0.25">
      <c r="A131" s="795"/>
      <c r="D131" s="913">
        <v>636019</v>
      </c>
      <c r="E131" s="819"/>
      <c r="F131" s="914"/>
      <c r="G131" s="820" t="s">
        <v>4043</v>
      </c>
      <c r="I131" s="807"/>
      <c r="J131" s="802"/>
      <c r="K131" s="802"/>
      <c r="L131" s="802"/>
      <c r="M131" s="802"/>
      <c r="N131" s="802"/>
      <c r="O131" s="802"/>
    </row>
    <row r="132" spans="1:15" ht="12.75" customHeight="1" x14ac:dyDescent="0.25">
      <c r="A132" s="795"/>
      <c r="D132" s="851"/>
      <c r="E132" s="851"/>
      <c r="F132" s="851"/>
      <c r="G132" s="822" t="s">
        <v>533</v>
      </c>
      <c r="I132" s="807"/>
      <c r="J132" s="802"/>
      <c r="K132" s="802"/>
      <c r="L132" s="802"/>
      <c r="M132" s="802"/>
      <c r="N132" s="802"/>
      <c r="O132" s="802"/>
    </row>
    <row r="133" spans="1:15" ht="12.75" customHeight="1" x14ac:dyDescent="0.25">
      <c r="A133" s="795">
        <f>D131</f>
        <v>636019</v>
      </c>
      <c r="B133" s="791" t="str">
        <f>G131</f>
        <v>Vlinderhei 7 (vso)</v>
      </c>
      <c r="D133" s="821">
        <v>42100</v>
      </c>
      <c r="E133" s="821"/>
      <c r="F133" s="821"/>
      <c r="G133" s="823" t="s">
        <v>4044</v>
      </c>
      <c r="I133" s="807"/>
      <c r="J133" s="995">
        <v>2765</v>
      </c>
      <c r="K133" s="995">
        <f t="shared" ref="K133:O135" si="63">ROUND(J133*S$2,0)</f>
        <v>2837</v>
      </c>
      <c r="L133" s="995">
        <f t="shared" si="63"/>
        <v>2897</v>
      </c>
      <c r="M133" s="995">
        <f t="shared" si="63"/>
        <v>2964</v>
      </c>
      <c r="N133" s="995">
        <f t="shared" si="63"/>
        <v>3032</v>
      </c>
      <c r="O133" s="995">
        <f t="shared" si="63"/>
        <v>3102</v>
      </c>
    </row>
    <row r="134" spans="1:15" ht="12.75" customHeight="1" x14ac:dyDescent="0.25">
      <c r="A134" s="916">
        <f>D131</f>
        <v>636019</v>
      </c>
      <c r="B134" s="791" t="str">
        <f>G131</f>
        <v>Vlinderhei 7 (vso)</v>
      </c>
      <c r="D134" s="821">
        <v>43806</v>
      </c>
      <c r="E134" s="821"/>
      <c r="F134" s="821"/>
      <c r="G134" s="823" t="s">
        <v>980</v>
      </c>
      <c r="I134" s="807"/>
      <c r="J134" s="995">
        <v>1739</v>
      </c>
      <c r="K134" s="995">
        <f t="shared" si="63"/>
        <v>1784</v>
      </c>
      <c r="L134" s="995">
        <f t="shared" si="63"/>
        <v>1821</v>
      </c>
      <c r="M134" s="995">
        <f t="shared" si="63"/>
        <v>1863</v>
      </c>
      <c r="N134" s="995">
        <f t="shared" si="63"/>
        <v>1906</v>
      </c>
      <c r="O134" s="995">
        <f t="shared" si="63"/>
        <v>1950</v>
      </c>
    </row>
    <row r="135" spans="1:15" ht="12.75" customHeight="1" x14ac:dyDescent="0.3">
      <c r="A135" s="916">
        <f>D131</f>
        <v>636019</v>
      </c>
      <c r="B135" s="791" t="str">
        <f>G131</f>
        <v>Vlinderhei 7 (vso)</v>
      </c>
      <c r="D135" s="821">
        <v>43817</v>
      </c>
      <c r="E135" s="821"/>
      <c r="F135" s="997"/>
      <c r="G135" s="998" t="s">
        <v>1002</v>
      </c>
      <c r="H135" s="999"/>
      <c r="I135" s="807"/>
      <c r="J135" s="995">
        <v>3758</v>
      </c>
      <c r="K135" s="995">
        <f t="shared" si="63"/>
        <v>3856</v>
      </c>
      <c r="L135" s="995">
        <f t="shared" si="63"/>
        <v>3937</v>
      </c>
      <c r="M135" s="995">
        <f t="shared" si="63"/>
        <v>4028</v>
      </c>
      <c r="N135" s="995">
        <f t="shared" si="63"/>
        <v>4121</v>
      </c>
      <c r="O135" s="995">
        <f t="shared" si="63"/>
        <v>4216</v>
      </c>
    </row>
    <row r="136" spans="1:15" ht="12.75" customHeight="1" x14ac:dyDescent="0.25">
      <c r="A136" s="916">
        <f>D131</f>
        <v>636019</v>
      </c>
      <c r="B136" s="791" t="str">
        <f>G131</f>
        <v>Vlinderhei 7 (vso)</v>
      </c>
      <c r="D136" s="821">
        <v>47201</v>
      </c>
      <c r="E136" s="821"/>
      <c r="F136" s="821"/>
      <c r="G136" s="823" t="s">
        <v>4045</v>
      </c>
      <c r="I136" s="807"/>
      <c r="J136" s="995">
        <v>27871</v>
      </c>
      <c r="K136" s="995">
        <v>29264.782713600001</v>
      </c>
      <c r="L136" s="995">
        <v>30728.021849280001</v>
      </c>
      <c r="M136" s="995">
        <v>32264.422941744004</v>
      </c>
      <c r="N136" s="995">
        <v>33877.644088831206</v>
      </c>
      <c r="O136" s="2127">
        <v>0</v>
      </c>
    </row>
    <row r="137" spans="1:15" ht="12.75" customHeight="1" thickBot="1" x14ac:dyDescent="0.3">
      <c r="A137" s="795"/>
      <c r="D137" s="851"/>
      <c r="E137" s="851"/>
      <c r="F137" s="851"/>
      <c r="G137" s="823" t="s">
        <v>536</v>
      </c>
      <c r="I137" s="807"/>
      <c r="J137" s="852">
        <v>36133</v>
      </c>
      <c r="K137" s="852">
        <f>SUM(K133:K136)</f>
        <v>37741.782713599998</v>
      </c>
      <c r="L137" s="852">
        <f>SUM(L133:L136)</f>
        <v>39383.021849280005</v>
      </c>
      <c r="M137" s="852">
        <f>SUM(M133:M136)</f>
        <v>41119.422941744007</v>
      </c>
      <c r="N137" s="852">
        <f>SUM(N133:N136)</f>
        <v>42936.644088831206</v>
      </c>
      <c r="O137" s="852">
        <f>SUM(O133:O136)</f>
        <v>9268</v>
      </c>
    </row>
    <row r="138" spans="1:15" ht="12.75" customHeight="1" thickTop="1" x14ac:dyDescent="0.25">
      <c r="A138" s="795"/>
      <c r="D138" s="851"/>
      <c r="E138" s="851"/>
      <c r="F138" s="851"/>
      <c r="G138" s="823"/>
      <c r="I138" s="807"/>
      <c r="J138" s="802"/>
      <c r="K138" s="802"/>
      <c r="L138" s="802"/>
      <c r="M138" s="802"/>
      <c r="N138" s="802"/>
      <c r="O138" s="802"/>
    </row>
    <row r="139" spans="1:15" ht="12.75" customHeight="1" x14ac:dyDescent="0.25">
      <c r="A139" s="795"/>
      <c r="D139" s="913">
        <v>636020</v>
      </c>
      <c r="E139" s="819"/>
      <c r="F139" s="914"/>
      <c r="G139" s="820" t="s">
        <v>4046</v>
      </c>
      <c r="I139" s="807"/>
      <c r="J139" s="802"/>
      <c r="K139" s="802"/>
      <c r="L139" s="802"/>
      <c r="M139" s="802"/>
      <c r="N139" s="802"/>
      <c r="O139" s="802"/>
    </row>
    <row r="140" spans="1:15" ht="12.75" customHeight="1" x14ac:dyDescent="0.25">
      <c r="A140" s="795"/>
      <c r="D140" s="851"/>
      <c r="E140" s="851"/>
      <c r="F140" s="851"/>
      <c r="G140" s="822" t="s">
        <v>533</v>
      </c>
      <c r="I140" s="807"/>
      <c r="J140" s="802"/>
      <c r="K140" s="802"/>
      <c r="L140" s="802"/>
      <c r="M140" s="802"/>
      <c r="N140" s="802"/>
      <c r="O140" s="802"/>
    </row>
    <row r="141" spans="1:15" ht="12.75" customHeight="1" x14ac:dyDescent="0.25">
      <c r="A141" s="795">
        <f>D139</f>
        <v>636020</v>
      </c>
      <c r="B141" s="791" t="str">
        <f>G139</f>
        <v>Burgemeester Notermansstraat 27 (vso)</v>
      </c>
      <c r="D141" s="851">
        <v>42100</v>
      </c>
      <c r="E141" s="851"/>
      <c r="F141" s="821"/>
      <c r="G141" s="823" t="s">
        <v>978</v>
      </c>
      <c r="I141" s="807"/>
      <c r="J141" s="995">
        <v>1074</v>
      </c>
      <c r="K141" s="995">
        <v>0</v>
      </c>
      <c r="L141" s="995">
        <f t="shared" ref="L141:O142" si="64">ROUND(K141*T$2,0)</f>
        <v>0</v>
      </c>
      <c r="M141" s="995">
        <f t="shared" si="64"/>
        <v>0</v>
      </c>
      <c r="N141" s="995">
        <f t="shared" si="64"/>
        <v>0</v>
      </c>
      <c r="O141" s="995">
        <f t="shared" si="64"/>
        <v>0</v>
      </c>
    </row>
    <row r="142" spans="1:15" ht="12.75" customHeight="1" x14ac:dyDescent="0.3">
      <c r="A142" s="795">
        <f>D139</f>
        <v>636020</v>
      </c>
      <c r="B142" s="791" t="str">
        <f>G139</f>
        <v>Burgemeester Notermansstraat 27 (vso)</v>
      </c>
      <c r="D142" s="821">
        <v>43817</v>
      </c>
      <c r="E142" s="821"/>
      <c r="F142" s="821"/>
      <c r="G142" s="998" t="s">
        <v>1002</v>
      </c>
      <c r="I142" s="807"/>
      <c r="J142" s="995">
        <v>3499</v>
      </c>
      <c r="K142" s="995">
        <v>0</v>
      </c>
      <c r="L142" s="995">
        <f t="shared" si="64"/>
        <v>0</v>
      </c>
      <c r="M142" s="995">
        <f t="shared" si="64"/>
        <v>0</v>
      </c>
      <c r="N142" s="995">
        <f t="shared" si="64"/>
        <v>0</v>
      </c>
      <c r="O142" s="995">
        <f t="shared" si="64"/>
        <v>0</v>
      </c>
    </row>
    <row r="143" spans="1:15" ht="12.75" customHeight="1" x14ac:dyDescent="0.25">
      <c r="A143" s="795">
        <f>D139</f>
        <v>636020</v>
      </c>
      <c r="B143" s="791" t="str">
        <f>G139</f>
        <v>Burgemeester Notermansstraat 27 (vso)</v>
      </c>
      <c r="D143" s="821">
        <v>47201</v>
      </c>
      <c r="E143" s="821"/>
      <c r="F143" s="821"/>
      <c r="G143" s="823" t="s">
        <v>4047</v>
      </c>
      <c r="I143" s="807"/>
      <c r="J143" s="995">
        <v>0</v>
      </c>
      <c r="K143" s="995">
        <v>0</v>
      </c>
      <c r="L143" s="995">
        <v>0</v>
      </c>
      <c r="M143" s="995">
        <v>0</v>
      </c>
      <c r="N143" s="995">
        <v>0</v>
      </c>
      <c r="O143" s="995">
        <v>0</v>
      </c>
    </row>
    <row r="144" spans="1:15" ht="12.75" customHeight="1" thickBot="1" x14ac:dyDescent="0.3">
      <c r="A144" s="795"/>
      <c r="D144" s="851"/>
      <c r="E144" s="851"/>
      <c r="F144" s="851"/>
      <c r="G144" s="823" t="s">
        <v>536</v>
      </c>
      <c r="I144" s="807"/>
      <c r="J144" s="825">
        <v>4573</v>
      </c>
      <c r="K144" s="825">
        <f t="shared" ref="K144:M144" si="65">SUM(K141:K143)</f>
        <v>0</v>
      </c>
      <c r="L144" s="825">
        <f t="shared" si="65"/>
        <v>0</v>
      </c>
      <c r="M144" s="825">
        <f t="shared" si="65"/>
        <v>0</v>
      </c>
      <c r="N144" s="825">
        <f t="shared" ref="N144:O144" si="66">SUM(N141:N143)</f>
        <v>0</v>
      </c>
      <c r="O144" s="825">
        <f t="shared" si="66"/>
        <v>0</v>
      </c>
    </row>
    <row r="145" spans="1:15" ht="12.75" customHeight="1" thickTop="1" x14ac:dyDescent="0.25">
      <c r="A145" s="795"/>
      <c r="D145" s="851"/>
      <c r="E145" s="851"/>
      <c r="F145" s="851"/>
      <c r="G145" s="823"/>
      <c r="I145" s="807"/>
      <c r="J145" s="802"/>
      <c r="K145" s="802"/>
      <c r="L145" s="802"/>
      <c r="M145" s="802"/>
      <c r="N145" s="802"/>
      <c r="O145" s="802"/>
    </row>
    <row r="146" spans="1:15" ht="12.75" customHeight="1" x14ac:dyDescent="0.25">
      <c r="A146" s="795"/>
      <c r="D146" s="818">
        <v>636024</v>
      </c>
      <c r="E146" s="819"/>
      <c r="F146" s="819"/>
      <c r="G146" s="820" t="s">
        <v>4048</v>
      </c>
      <c r="I146" s="807"/>
      <c r="J146" s="802"/>
      <c r="K146" s="802"/>
      <c r="L146" s="802"/>
      <c r="M146" s="802"/>
      <c r="N146" s="802"/>
      <c r="O146" s="802"/>
    </row>
    <row r="147" spans="1:15" ht="12.75" customHeight="1" x14ac:dyDescent="0.25">
      <c r="A147" s="795"/>
      <c r="D147" s="851"/>
      <c r="E147" s="851"/>
      <c r="F147" s="851"/>
      <c r="G147" s="822" t="s">
        <v>533</v>
      </c>
      <c r="I147" s="807"/>
      <c r="J147" s="802"/>
      <c r="K147" s="802"/>
      <c r="L147" s="802"/>
      <c r="M147" s="802"/>
      <c r="N147" s="802"/>
      <c r="O147" s="802"/>
    </row>
    <row r="148" spans="1:15" ht="12.75" customHeight="1" x14ac:dyDescent="0.25">
      <c r="A148" s="795">
        <f>D146</f>
        <v>636024</v>
      </c>
      <c r="B148" s="791" t="str">
        <f>G146</f>
        <v>Wildheuvel 1-3 (schoolwoningen-vso)</v>
      </c>
      <c r="D148" s="821">
        <v>42100</v>
      </c>
      <c r="E148" s="821"/>
      <c r="F148" s="821"/>
      <c r="G148" s="823" t="s">
        <v>4049</v>
      </c>
      <c r="I148" s="807"/>
      <c r="J148" s="995">
        <v>1850</v>
      </c>
      <c r="K148" s="995">
        <f t="shared" ref="K148:O149" si="67">ROUND(J148*S$2,0)</f>
        <v>1898</v>
      </c>
      <c r="L148" s="995">
        <f t="shared" si="67"/>
        <v>1938</v>
      </c>
      <c r="M148" s="995">
        <f t="shared" si="67"/>
        <v>1983</v>
      </c>
      <c r="N148" s="995">
        <f t="shared" si="67"/>
        <v>2029</v>
      </c>
      <c r="O148" s="995">
        <f t="shared" si="67"/>
        <v>2076</v>
      </c>
    </row>
    <row r="149" spans="1:15" ht="12.75" customHeight="1" x14ac:dyDescent="0.25">
      <c r="A149" s="795">
        <f>D146</f>
        <v>636024</v>
      </c>
      <c r="B149" s="791" t="str">
        <f>G146</f>
        <v>Wildheuvel 1-3 (schoolwoningen-vso)</v>
      </c>
      <c r="D149" s="821">
        <v>43806</v>
      </c>
      <c r="E149" s="821"/>
      <c r="F149" s="821"/>
      <c r="G149" s="823" t="s">
        <v>980</v>
      </c>
      <c r="I149" s="807"/>
      <c r="J149" s="995">
        <v>818</v>
      </c>
      <c r="K149" s="995">
        <f t="shared" si="67"/>
        <v>839</v>
      </c>
      <c r="L149" s="995">
        <f t="shared" si="67"/>
        <v>857</v>
      </c>
      <c r="M149" s="995">
        <f t="shared" si="67"/>
        <v>877</v>
      </c>
      <c r="N149" s="995">
        <f t="shared" si="67"/>
        <v>897</v>
      </c>
      <c r="O149" s="995">
        <f t="shared" si="67"/>
        <v>918</v>
      </c>
    </row>
    <row r="150" spans="1:15" ht="12.75" customHeight="1" thickBot="1" x14ac:dyDescent="0.3">
      <c r="A150" s="795"/>
      <c r="D150" s="851"/>
      <c r="E150" s="851"/>
      <c r="F150" s="851"/>
      <c r="G150" s="823" t="s">
        <v>536</v>
      </c>
      <c r="I150" s="807"/>
      <c r="J150" s="852">
        <v>2668</v>
      </c>
      <c r="K150" s="852">
        <f>SUM(K147:K149)</f>
        <v>2737</v>
      </c>
      <c r="L150" s="852">
        <f>SUM(L147:L149)</f>
        <v>2795</v>
      </c>
      <c r="M150" s="852">
        <f>SUM(M147:M149)</f>
        <v>2860</v>
      </c>
      <c r="N150" s="852">
        <f>SUM(N147:N149)</f>
        <v>2926</v>
      </c>
      <c r="O150" s="852">
        <f>SUM(O147:O149)</f>
        <v>2994</v>
      </c>
    </row>
    <row r="151" spans="1:15" ht="12.75" customHeight="1" thickTop="1" x14ac:dyDescent="0.25">
      <c r="A151" s="795"/>
      <c r="D151" s="851"/>
      <c r="E151" s="851"/>
      <c r="F151" s="851"/>
      <c r="G151" s="823"/>
      <c r="I151" s="807"/>
      <c r="J151" s="802"/>
      <c r="K151" s="802"/>
      <c r="L151" s="802"/>
      <c r="M151" s="802"/>
      <c r="N151" s="802"/>
      <c r="O151" s="802"/>
    </row>
    <row r="152" spans="1:15" ht="12.75" customHeight="1" x14ac:dyDescent="0.25">
      <c r="A152" s="795"/>
      <c r="D152" s="818">
        <v>636025</v>
      </c>
      <c r="E152" s="819"/>
      <c r="F152" s="819"/>
      <c r="G152" s="820" t="s">
        <v>4050</v>
      </c>
      <c r="I152" s="807"/>
      <c r="J152" s="802"/>
      <c r="K152" s="802"/>
      <c r="L152" s="802"/>
      <c r="M152" s="802"/>
      <c r="N152" s="802"/>
      <c r="O152" s="802"/>
    </row>
    <row r="153" spans="1:15" ht="12.75" customHeight="1" x14ac:dyDescent="0.25">
      <c r="A153" s="795"/>
      <c r="D153" s="851"/>
      <c r="E153" s="851"/>
      <c r="F153" s="851"/>
      <c r="G153" s="822" t="s">
        <v>533</v>
      </c>
      <c r="I153" s="807"/>
      <c r="J153" s="802"/>
      <c r="K153" s="802"/>
      <c r="L153" s="802"/>
      <c r="M153" s="802"/>
      <c r="N153" s="802"/>
      <c r="O153" s="802"/>
    </row>
    <row r="154" spans="1:15" ht="12.75" customHeight="1" x14ac:dyDescent="0.25">
      <c r="A154" s="795">
        <f>D152</f>
        <v>636025</v>
      </c>
      <c r="B154" s="791" t="str">
        <f>G152</f>
        <v>Wildheuvel 9-19 (schoolwoningen-vso)</v>
      </c>
      <c r="D154" s="821">
        <v>42100</v>
      </c>
      <c r="E154" s="821"/>
      <c r="F154" s="821"/>
      <c r="G154" s="823" t="s">
        <v>978</v>
      </c>
      <c r="I154" s="807"/>
      <c r="J154" s="995">
        <v>3769</v>
      </c>
      <c r="K154" s="995">
        <f t="shared" ref="K154:O155" si="68">ROUND(J154*S$2,0)</f>
        <v>3867</v>
      </c>
      <c r="L154" s="995">
        <f t="shared" si="68"/>
        <v>3948</v>
      </c>
      <c r="M154" s="995">
        <f t="shared" si="68"/>
        <v>4039</v>
      </c>
      <c r="N154" s="995">
        <f t="shared" si="68"/>
        <v>4132</v>
      </c>
      <c r="O154" s="995">
        <f t="shared" si="68"/>
        <v>4227</v>
      </c>
    </row>
    <row r="155" spans="1:15" ht="12.75" customHeight="1" x14ac:dyDescent="0.25">
      <c r="A155" s="795">
        <f>D152</f>
        <v>636025</v>
      </c>
      <c r="B155" s="791" t="str">
        <f>G152</f>
        <v>Wildheuvel 9-19 (schoolwoningen-vso)</v>
      </c>
      <c r="D155" s="821">
        <v>43806</v>
      </c>
      <c r="E155" s="821"/>
      <c r="F155" s="821"/>
      <c r="G155" s="823" t="s">
        <v>980</v>
      </c>
      <c r="I155" s="807"/>
      <c r="J155" s="995">
        <v>1612</v>
      </c>
      <c r="K155" s="995">
        <f t="shared" si="68"/>
        <v>1654</v>
      </c>
      <c r="L155" s="995">
        <f t="shared" si="68"/>
        <v>1689</v>
      </c>
      <c r="M155" s="995">
        <f t="shared" si="68"/>
        <v>1728</v>
      </c>
      <c r="N155" s="995">
        <f t="shared" si="68"/>
        <v>1768</v>
      </c>
      <c r="O155" s="995">
        <f t="shared" si="68"/>
        <v>1809</v>
      </c>
    </row>
    <row r="156" spans="1:15" ht="12.75" customHeight="1" thickBot="1" x14ac:dyDescent="0.3">
      <c r="A156" s="795"/>
      <c r="D156" s="851"/>
      <c r="E156" s="851"/>
      <c r="F156" s="851"/>
      <c r="G156" s="823" t="s">
        <v>536</v>
      </c>
      <c r="I156" s="807"/>
      <c r="J156" s="825">
        <v>5381</v>
      </c>
      <c r="K156" s="825">
        <f t="shared" ref="K156:M156" si="69">SUM(K154:K155)</f>
        <v>5521</v>
      </c>
      <c r="L156" s="825">
        <f t="shared" si="69"/>
        <v>5637</v>
      </c>
      <c r="M156" s="825">
        <f t="shared" si="69"/>
        <v>5767</v>
      </c>
      <c r="N156" s="825">
        <f t="shared" ref="N156:O156" si="70">SUM(N154:N155)</f>
        <v>5900</v>
      </c>
      <c r="O156" s="825">
        <f t="shared" si="70"/>
        <v>6036</v>
      </c>
    </row>
    <row r="157" spans="1:15" ht="12.75" customHeight="1" thickTop="1" x14ac:dyDescent="0.25">
      <c r="A157" s="795"/>
      <c r="D157" s="851"/>
      <c r="E157" s="851"/>
      <c r="F157" s="851"/>
      <c r="G157" s="823"/>
      <c r="I157" s="807"/>
      <c r="J157" s="802"/>
      <c r="K157" s="802"/>
      <c r="L157" s="802"/>
      <c r="M157" s="802"/>
      <c r="N157" s="802"/>
      <c r="O157" s="802"/>
    </row>
    <row r="158" spans="1:15" ht="12.75" customHeight="1" x14ac:dyDescent="0.25">
      <c r="A158" s="795"/>
      <c r="D158" s="818">
        <v>636026</v>
      </c>
      <c r="E158" s="819"/>
      <c r="F158" s="819"/>
      <c r="G158" s="820" t="s">
        <v>4051</v>
      </c>
      <c r="I158" s="807"/>
      <c r="J158" s="802"/>
      <c r="K158" s="802"/>
      <c r="L158" s="802"/>
      <c r="M158" s="802"/>
      <c r="N158" s="802"/>
      <c r="O158" s="802"/>
    </row>
    <row r="159" spans="1:15" ht="12.75" customHeight="1" x14ac:dyDescent="0.25">
      <c r="A159" s="795"/>
      <c r="D159" s="851"/>
      <c r="E159" s="851"/>
      <c r="F159" s="851"/>
      <c r="G159" s="822" t="s">
        <v>533</v>
      </c>
      <c r="I159" s="807"/>
      <c r="J159" s="802"/>
      <c r="K159" s="802"/>
      <c r="L159" s="802"/>
      <c r="M159" s="802"/>
      <c r="N159" s="802"/>
      <c r="O159" s="802"/>
    </row>
    <row r="160" spans="1:15" ht="12.75" customHeight="1" x14ac:dyDescent="0.25">
      <c r="A160" s="795">
        <f>D158</f>
        <v>636026</v>
      </c>
      <c r="B160" s="791" t="str">
        <f>G158</f>
        <v>Joh. Verleunstraat 27/27a (schoolwoningen-vso)</v>
      </c>
      <c r="D160" s="821">
        <v>42100</v>
      </c>
      <c r="E160" s="821"/>
      <c r="F160" s="821"/>
      <c r="G160" s="823" t="s">
        <v>978</v>
      </c>
      <c r="I160" s="807"/>
      <c r="J160" s="995">
        <v>570</v>
      </c>
      <c r="K160" s="995">
        <f t="shared" ref="K160:O161" si="71">ROUND(J160*S$2,0)</f>
        <v>585</v>
      </c>
      <c r="L160" s="995">
        <f t="shared" si="71"/>
        <v>597</v>
      </c>
      <c r="M160" s="995">
        <f t="shared" si="71"/>
        <v>611</v>
      </c>
      <c r="N160" s="995">
        <f t="shared" si="71"/>
        <v>625</v>
      </c>
      <c r="O160" s="995">
        <f t="shared" si="71"/>
        <v>639</v>
      </c>
    </row>
    <row r="161" spans="1:15" ht="12.75" customHeight="1" x14ac:dyDescent="0.25">
      <c r="A161" s="795">
        <f>D158</f>
        <v>636026</v>
      </c>
      <c r="B161" s="791" t="str">
        <f>G158</f>
        <v>Joh. Verleunstraat 27/27a (schoolwoningen-vso)</v>
      </c>
      <c r="D161" s="821">
        <v>43806</v>
      </c>
      <c r="E161" s="821"/>
      <c r="F161" s="821"/>
      <c r="G161" s="823" t="s">
        <v>546</v>
      </c>
      <c r="I161" s="807"/>
      <c r="J161" s="995">
        <v>818</v>
      </c>
      <c r="K161" s="995">
        <f t="shared" si="71"/>
        <v>839</v>
      </c>
      <c r="L161" s="995">
        <f t="shared" si="71"/>
        <v>857</v>
      </c>
      <c r="M161" s="995">
        <f t="shared" si="71"/>
        <v>877</v>
      </c>
      <c r="N161" s="995">
        <f t="shared" si="71"/>
        <v>897</v>
      </c>
      <c r="O161" s="995">
        <f t="shared" si="71"/>
        <v>918</v>
      </c>
    </row>
    <row r="162" spans="1:15" ht="12.75" customHeight="1" thickBot="1" x14ac:dyDescent="0.3">
      <c r="A162" s="795"/>
      <c r="D162" s="851"/>
      <c r="E162" s="851"/>
      <c r="F162" s="851"/>
      <c r="G162" s="823" t="s">
        <v>536</v>
      </c>
      <c r="I162" s="807"/>
      <c r="J162" s="852">
        <v>1388</v>
      </c>
      <c r="K162" s="852">
        <f>SUM(K159:K161)</f>
        <v>1424</v>
      </c>
      <c r="L162" s="852">
        <f>SUM(L159:L161)</f>
        <v>1454</v>
      </c>
      <c r="M162" s="852">
        <f>SUM(M159:M161)</f>
        <v>1488</v>
      </c>
      <c r="N162" s="852">
        <f>SUM(N159:N161)</f>
        <v>1522</v>
      </c>
      <c r="O162" s="852">
        <f>SUM(O159:O161)</f>
        <v>1557</v>
      </c>
    </row>
    <row r="163" spans="1:15" ht="12.75" customHeight="1" thickTop="1" x14ac:dyDescent="0.25">
      <c r="A163" s="795"/>
      <c r="D163" s="851"/>
      <c r="E163" s="851"/>
      <c r="F163" s="851"/>
      <c r="G163" s="823"/>
      <c r="I163" s="807"/>
      <c r="J163" s="802"/>
      <c r="K163" s="802"/>
      <c r="L163" s="802"/>
      <c r="M163" s="802"/>
      <c r="N163" s="802"/>
      <c r="O163" s="802"/>
    </row>
    <row r="164" spans="1:15" ht="12.75" customHeight="1" x14ac:dyDescent="0.25">
      <c r="A164" s="795"/>
      <c r="D164" s="821"/>
      <c r="E164" s="821"/>
      <c r="F164" s="821"/>
      <c r="G164" s="823"/>
      <c r="I164" s="807"/>
      <c r="J164" s="807"/>
      <c r="K164" s="807"/>
      <c r="L164" s="807"/>
      <c r="M164" s="807"/>
      <c r="N164" s="807"/>
      <c r="O164" s="807"/>
    </row>
    <row r="165" spans="1:15" ht="12.75" customHeight="1" x14ac:dyDescent="0.25">
      <c r="A165" s="795"/>
      <c r="D165" s="818">
        <v>636022</v>
      </c>
      <c r="E165" s="819"/>
      <c r="F165" s="819"/>
      <c r="G165" s="820" t="s">
        <v>4052</v>
      </c>
      <c r="I165" s="807"/>
      <c r="J165" s="807"/>
      <c r="K165" s="807"/>
      <c r="L165" s="807"/>
      <c r="M165" s="807"/>
      <c r="N165" s="807"/>
      <c r="O165" s="807"/>
    </row>
    <row r="166" spans="1:15" ht="12.75" customHeight="1" x14ac:dyDescent="0.25">
      <c r="A166" s="795"/>
      <c r="D166" s="821"/>
      <c r="E166" s="821"/>
      <c r="F166" s="821"/>
      <c r="G166" s="822" t="s">
        <v>533</v>
      </c>
      <c r="I166" s="807"/>
      <c r="J166" s="807"/>
      <c r="K166" s="807"/>
      <c r="L166" s="807"/>
      <c r="M166" s="807"/>
      <c r="N166" s="807"/>
      <c r="O166" s="807"/>
    </row>
    <row r="167" spans="1:15" ht="12.75" customHeight="1" x14ac:dyDescent="0.25">
      <c r="A167" s="795">
        <f>D165</f>
        <v>636022</v>
      </c>
      <c r="B167" s="791" t="str">
        <f>G165</f>
        <v>Burgerinitiatieven respijtzorg</v>
      </c>
      <c r="D167" s="821">
        <v>43410</v>
      </c>
      <c r="E167" s="821"/>
      <c r="F167" s="821"/>
      <c r="G167" s="823" t="s">
        <v>3341</v>
      </c>
      <c r="I167" s="807"/>
      <c r="J167" s="807">
        <v>31520</v>
      </c>
      <c r="K167" s="807">
        <f>K401</f>
        <v>32340</v>
      </c>
      <c r="L167" s="807">
        <f>L401</f>
        <v>33020</v>
      </c>
      <c r="M167" s="807">
        <f>M401</f>
        <v>33780</v>
      </c>
      <c r="N167" s="807">
        <f>N401</f>
        <v>34560</v>
      </c>
      <c r="O167" s="807">
        <f>O401</f>
        <v>35350</v>
      </c>
    </row>
    <row r="168" spans="1:15" ht="12.75" customHeight="1" thickBot="1" x14ac:dyDescent="0.3">
      <c r="A168" s="795"/>
      <c r="D168" s="821"/>
      <c r="E168" s="821"/>
      <c r="F168" s="821"/>
      <c r="G168" s="823" t="s">
        <v>536</v>
      </c>
      <c r="I168" s="807"/>
      <c r="J168" s="825">
        <v>31520</v>
      </c>
      <c r="K168" s="825">
        <f>+K167</f>
        <v>32340</v>
      </c>
      <c r="L168" s="825">
        <f>+L167</f>
        <v>33020</v>
      </c>
      <c r="M168" s="825">
        <f>+M167</f>
        <v>33780</v>
      </c>
      <c r="N168" s="825">
        <f>+N167</f>
        <v>34560</v>
      </c>
      <c r="O168" s="825">
        <f>+O167</f>
        <v>35350</v>
      </c>
    </row>
    <row r="169" spans="1:15" ht="12.75" customHeight="1" thickTop="1" x14ac:dyDescent="0.25">
      <c r="A169" s="795"/>
      <c r="D169" s="821"/>
      <c r="E169" s="821"/>
      <c r="F169" s="821"/>
      <c r="G169" s="823"/>
      <c r="I169" s="807"/>
      <c r="J169" s="1933"/>
      <c r="K169" s="1933"/>
      <c r="L169" s="1933"/>
      <c r="M169" s="1933"/>
      <c r="N169" s="1933"/>
      <c r="O169" s="1933"/>
    </row>
    <row r="170" spans="1:15" ht="12.75" customHeight="1" x14ac:dyDescent="0.25">
      <c r="A170" s="795"/>
      <c r="D170" s="818">
        <v>636001</v>
      </c>
      <c r="E170" s="819"/>
      <c r="F170" s="819"/>
      <c r="G170" s="915" t="s">
        <v>4053</v>
      </c>
      <c r="I170" s="807"/>
      <c r="J170" s="1934"/>
      <c r="K170" s="1934"/>
      <c r="L170" s="1934"/>
      <c r="M170" s="1934"/>
      <c r="N170" s="1934"/>
      <c r="O170" s="1934"/>
    </row>
    <row r="171" spans="1:15" ht="12.75" customHeight="1" x14ac:dyDescent="0.25">
      <c r="A171" s="795"/>
      <c r="D171" s="818"/>
      <c r="E171" s="819"/>
      <c r="F171" s="819"/>
      <c r="G171" s="822" t="s">
        <v>533</v>
      </c>
      <c r="I171" s="807"/>
      <c r="J171" s="802"/>
      <c r="K171" s="802"/>
      <c r="L171" s="802"/>
      <c r="M171" s="802"/>
      <c r="N171" s="802"/>
      <c r="O171" s="802"/>
    </row>
    <row r="172" spans="1:15" ht="12.75" customHeight="1" x14ac:dyDescent="0.25">
      <c r="A172" s="795">
        <f>D170</f>
        <v>636001</v>
      </c>
      <c r="B172" s="791" t="str">
        <f>G170</f>
        <v>Maatschappelijk werk en huiselijk geweld</v>
      </c>
      <c r="C172" s="833"/>
      <c r="D172" s="821">
        <v>44360</v>
      </c>
      <c r="E172" s="821"/>
      <c r="F172" s="821"/>
      <c r="G172" s="823" t="s">
        <v>558</v>
      </c>
      <c r="I172" s="807"/>
      <c r="J172" s="807">
        <v>671250</v>
      </c>
      <c r="K172" s="807">
        <f>K409</f>
        <v>701980</v>
      </c>
      <c r="L172" s="807">
        <f>L409</f>
        <v>731300</v>
      </c>
      <c r="M172" s="807">
        <f>M409</f>
        <v>761860</v>
      </c>
      <c r="N172" s="807">
        <f>N409</f>
        <v>793710</v>
      </c>
      <c r="O172" s="807">
        <f>O409</f>
        <v>826890</v>
      </c>
    </row>
    <row r="173" spans="1:15" ht="12.75" customHeight="1" thickBot="1" x14ac:dyDescent="0.3">
      <c r="A173" s="795"/>
      <c r="D173" s="851"/>
      <c r="E173" s="851"/>
      <c r="F173" s="851"/>
      <c r="G173" s="823" t="s">
        <v>536</v>
      </c>
      <c r="I173" s="807"/>
      <c r="J173" s="852">
        <v>671250</v>
      </c>
      <c r="K173" s="852">
        <f>SUM(K171:K172)</f>
        <v>701980</v>
      </c>
      <c r="L173" s="852">
        <f>SUM(L171:L172)</f>
        <v>731300</v>
      </c>
      <c r="M173" s="852">
        <f>SUM(M171:M172)</f>
        <v>761860</v>
      </c>
      <c r="N173" s="852">
        <f>SUM(N171:N172)</f>
        <v>793710</v>
      </c>
      <c r="O173" s="852">
        <f>SUM(O171:O172)</f>
        <v>826890</v>
      </c>
    </row>
    <row r="174" spans="1:15" ht="12.75" customHeight="1" thickTop="1" x14ac:dyDescent="0.25">
      <c r="A174" s="795"/>
      <c r="D174" s="851"/>
      <c r="E174" s="851"/>
      <c r="F174" s="851"/>
      <c r="G174" s="823"/>
      <c r="I174" s="807"/>
      <c r="J174" s="802"/>
      <c r="K174" s="802"/>
      <c r="L174" s="802"/>
      <c r="M174" s="802"/>
      <c r="N174" s="802"/>
      <c r="O174" s="802"/>
    </row>
    <row r="175" spans="1:15" ht="12.75" customHeight="1" x14ac:dyDescent="0.25">
      <c r="A175" s="795"/>
      <c r="D175" s="818">
        <v>636002</v>
      </c>
      <c r="E175" s="819"/>
      <c r="F175" s="819"/>
      <c r="G175" s="915" t="s">
        <v>4054</v>
      </c>
      <c r="I175" s="807"/>
      <c r="J175" s="802"/>
      <c r="K175" s="802"/>
      <c r="L175" s="802"/>
      <c r="M175" s="802"/>
      <c r="N175" s="802"/>
      <c r="O175" s="802"/>
    </row>
    <row r="176" spans="1:15" ht="12.75" customHeight="1" x14ac:dyDescent="0.25">
      <c r="A176" s="795"/>
      <c r="D176" s="851"/>
      <c r="E176" s="851"/>
      <c r="F176" s="851"/>
      <c r="G176" s="822" t="s">
        <v>533</v>
      </c>
      <c r="I176" s="807"/>
      <c r="J176" s="802"/>
      <c r="K176" s="802"/>
      <c r="L176" s="802"/>
      <c r="M176" s="802"/>
      <c r="N176" s="802"/>
      <c r="O176" s="802"/>
    </row>
    <row r="177" spans="1:15" ht="12.75" customHeight="1" x14ac:dyDescent="0.25">
      <c r="A177" s="795">
        <f>D175</f>
        <v>636002</v>
      </c>
      <c r="B177" s="791" t="str">
        <f>G175</f>
        <v>Welzijnsfonds</v>
      </c>
      <c r="D177" s="851">
        <v>44380</v>
      </c>
      <c r="E177" s="851"/>
      <c r="F177" s="851"/>
      <c r="G177" s="823" t="s">
        <v>4055</v>
      </c>
      <c r="I177" s="953"/>
      <c r="J177" s="995">
        <v>7770</v>
      </c>
      <c r="K177" s="995">
        <f>K414</f>
        <v>7970</v>
      </c>
      <c r="L177" s="995">
        <f>L414</f>
        <v>8140</v>
      </c>
      <c r="M177" s="995">
        <f>M414</f>
        <v>8330</v>
      </c>
      <c r="N177" s="995">
        <f>N414</f>
        <v>8520</v>
      </c>
      <c r="O177" s="995">
        <f>O414</f>
        <v>8720</v>
      </c>
    </row>
    <row r="178" spans="1:15" ht="12.75" customHeight="1" thickBot="1" x14ac:dyDescent="0.3">
      <c r="A178" s="795"/>
      <c r="D178" s="851"/>
      <c r="E178" s="851"/>
      <c r="F178" s="851"/>
      <c r="G178" s="823" t="s">
        <v>536</v>
      </c>
      <c r="I178" s="807"/>
      <c r="J178" s="852">
        <v>7770</v>
      </c>
      <c r="K178" s="852">
        <f>SUM(K177)</f>
        <v>7970</v>
      </c>
      <c r="L178" s="852">
        <f>SUM(L177)</f>
        <v>8140</v>
      </c>
      <c r="M178" s="852">
        <f>SUM(M177)</f>
        <v>8330</v>
      </c>
      <c r="N178" s="852">
        <f>SUM(N177)</f>
        <v>8520</v>
      </c>
      <c r="O178" s="852">
        <f>SUM(O177)</f>
        <v>8720</v>
      </c>
    </row>
    <row r="179" spans="1:15" ht="12.75" customHeight="1" thickTop="1" x14ac:dyDescent="0.25">
      <c r="A179" s="795"/>
      <c r="D179" s="851"/>
      <c r="E179" s="851"/>
      <c r="F179" s="851"/>
      <c r="G179" s="823"/>
      <c r="I179" s="807"/>
      <c r="J179" s="802"/>
      <c r="K179" s="802"/>
      <c r="L179" s="802"/>
      <c r="M179" s="802"/>
      <c r="N179" s="802"/>
      <c r="O179" s="802"/>
    </row>
    <row r="180" spans="1:15" ht="12.75" customHeight="1" x14ac:dyDescent="0.25">
      <c r="A180" s="795"/>
      <c r="D180" s="818">
        <v>636003</v>
      </c>
      <c r="E180" s="819"/>
      <c r="F180" s="819"/>
      <c r="G180" s="915" t="s">
        <v>4056</v>
      </c>
      <c r="I180" s="807"/>
      <c r="J180" s="802"/>
      <c r="K180" s="802"/>
      <c r="L180" s="802"/>
      <c r="M180" s="802"/>
      <c r="N180" s="802"/>
      <c r="O180" s="802"/>
    </row>
    <row r="181" spans="1:15" ht="12.75" customHeight="1" x14ac:dyDescent="0.25">
      <c r="A181" s="795"/>
      <c r="D181" s="851"/>
      <c r="E181" s="851"/>
      <c r="F181" s="851"/>
      <c r="G181" s="822" t="s">
        <v>533</v>
      </c>
      <c r="I181" s="807"/>
      <c r="J181" s="802"/>
      <c r="K181" s="802"/>
      <c r="L181" s="802"/>
      <c r="M181" s="802"/>
      <c r="N181" s="802"/>
      <c r="O181" s="802"/>
    </row>
    <row r="182" spans="1:15" ht="12.75" customHeight="1" x14ac:dyDescent="0.25">
      <c r="A182" s="795">
        <f>D180</f>
        <v>636003</v>
      </c>
      <c r="B182" s="791" t="str">
        <f>G180</f>
        <v>Adviesraad sociaal domein</v>
      </c>
      <c r="D182" s="851">
        <v>43812</v>
      </c>
      <c r="E182" s="851"/>
      <c r="F182" s="851"/>
      <c r="G182" s="823" t="s">
        <v>535</v>
      </c>
      <c r="I182" s="953"/>
      <c r="J182" s="995">
        <v>29320</v>
      </c>
      <c r="K182" s="995">
        <f>K421</f>
        <v>22080</v>
      </c>
      <c r="L182" s="995">
        <f>L421</f>
        <v>22540</v>
      </c>
      <c r="M182" s="995">
        <f>M421</f>
        <v>23060</v>
      </c>
      <c r="N182" s="995">
        <f>N421</f>
        <v>23590</v>
      </c>
      <c r="O182" s="995">
        <f>O421</f>
        <v>24130</v>
      </c>
    </row>
    <row r="183" spans="1:15" ht="12.75" customHeight="1" thickBot="1" x14ac:dyDescent="0.3">
      <c r="A183" s="795"/>
      <c r="D183" s="851"/>
      <c r="E183" s="851"/>
      <c r="F183" s="851"/>
      <c r="G183" s="823" t="s">
        <v>536</v>
      </c>
      <c r="I183" s="807"/>
      <c r="J183" s="852">
        <v>29320</v>
      </c>
      <c r="K183" s="852">
        <f>SUM(K182)</f>
        <v>22080</v>
      </c>
      <c r="L183" s="852">
        <f>SUM(L182)</f>
        <v>22540</v>
      </c>
      <c r="M183" s="852">
        <f>SUM(M182)</f>
        <v>23060</v>
      </c>
      <c r="N183" s="852">
        <f>SUM(N182)</f>
        <v>23590</v>
      </c>
      <c r="O183" s="852">
        <f>SUM(O182)</f>
        <v>24130</v>
      </c>
    </row>
    <row r="184" spans="1:15" ht="12.75" customHeight="1" thickTop="1" x14ac:dyDescent="0.25">
      <c r="A184" s="795"/>
      <c r="D184" s="851"/>
      <c r="E184" s="851"/>
      <c r="F184" s="851"/>
      <c r="G184" s="823"/>
      <c r="I184" s="807"/>
      <c r="J184" s="802"/>
      <c r="K184" s="802"/>
      <c r="L184" s="802"/>
      <c r="M184" s="802"/>
      <c r="N184" s="802"/>
      <c r="O184" s="802"/>
    </row>
    <row r="185" spans="1:15" ht="12.75" customHeight="1" x14ac:dyDescent="0.25">
      <c r="A185" s="795"/>
      <c r="D185" s="818">
        <v>636004</v>
      </c>
      <c r="E185" s="819"/>
      <c r="F185" s="819"/>
      <c r="G185" s="915" t="s">
        <v>4057</v>
      </c>
      <c r="I185" s="807"/>
      <c r="J185" s="802"/>
      <c r="K185" s="802"/>
      <c r="L185" s="802"/>
      <c r="M185" s="802"/>
      <c r="N185" s="802"/>
      <c r="O185" s="802"/>
    </row>
    <row r="186" spans="1:15" ht="12.75" customHeight="1" x14ac:dyDescent="0.25">
      <c r="A186" s="795"/>
      <c r="D186" s="851"/>
      <c r="E186" s="851"/>
      <c r="F186" s="851"/>
      <c r="G186" s="822" t="s">
        <v>533</v>
      </c>
      <c r="I186" s="807"/>
      <c r="J186" s="802"/>
      <c r="K186" s="802"/>
      <c r="L186" s="802"/>
      <c r="M186" s="802"/>
      <c r="N186" s="802"/>
      <c r="O186" s="802"/>
    </row>
    <row r="187" spans="1:15" ht="12.75" customHeight="1" x14ac:dyDescent="0.25">
      <c r="A187" s="795">
        <f>D185</f>
        <v>636004</v>
      </c>
      <c r="B187" s="791" t="str">
        <f>G185</f>
        <v>Dementievoorzieningen</v>
      </c>
      <c r="D187" s="851">
        <v>43812</v>
      </c>
      <c r="E187" s="851"/>
      <c r="F187" s="851"/>
      <c r="G187" s="823" t="s">
        <v>535</v>
      </c>
      <c r="I187" s="953"/>
      <c r="J187" s="995">
        <v>5618</v>
      </c>
      <c r="K187" s="995">
        <f>ROUND(J187*S$2,0)</f>
        <v>5764</v>
      </c>
      <c r="L187" s="995">
        <f>ROUND(K187*T$2,0)</f>
        <v>5885</v>
      </c>
      <c r="M187" s="995">
        <f>ROUND(L187*U$2,0)</f>
        <v>6020</v>
      </c>
      <c r="N187" s="995">
        <f>ROUND(M187*V$2,0)</f>
        <v>6158</v>
      </c>
      <c r="O187" s="995">
        <f>ROUND(N187*W$2,0)</f>
        <v>6300</v>
      </c>
    </row>
    <row r="188" spans="1:15" ht="12.75" customHeight="1" x14ac:dyDescent="0.25">
      <c r="A188" s="795">
        <f>D185</f>
        <v>636004</v>
      </c>
      <c r="B188" s="791" t="str">
        <f>G185</f>
        <v>Dementievoorzieningen</v>
      </c>
      <c r="D188" s="851">
        <v>43812</v>
      </c>
      <c r="E188" s="851"/>
      <c r="F188" s="851"/>
      <c r="G188" s="823" t="s">
        <v>4058</v>
      </c>
      <c r="I188" s="953"/>
      <c r="J188" s="995">
        <v>-5515</v>
      </c>
      <c r="K188" s="995">
        <v>-5642</v>
      </c>
      <c r="L188" s="995">
        <v>-5642</v>
      </c>
      <c r="M188" s="995">
        <v>-5642</v>
      </c>
      <c r="N188" s="995">
        <v>-5642</v>
      </c>
      <c r="O188" s="995">
        <v>-5642</v>
      </c>
    </row>
    <row r="189" spans="1:15" ht="12.75" customHeight="1" thickBot="1" x14ac:dyDescent="0.3">
      <c r="A189" s="795"/>
      <c r="D189" s="851"/>
      <c r="E189" s="851"/>
      <c r="F189" s="851"/>
      <c r="G189" s="823" t="s">
        <v>536</v>
      </c>
      <c r="I189" s="807"/>
      <c r="J189" s="852">
        <v>103</v>
      </c>
      <c r="K189" s="852">
        <f t="shared" ref="K189:M189" si="72">SUM(K187:K188)</f>
        <v>122</v>
      </c>
      <c r="L189" s="852">
        <f t="shared" si="72"/>
        <v>243</v>
      </c>
      <c r="M189" s="852">
        <f t="shared" si="72"/>
        <v>378</v>
      </c>
      <c r="N189" s="852">
        <f t="shared" ref="N189:O189" si="73">SUM(N187:N188)</f>
        <v>516</v>
      </c>
      <c r="O189" s="852">
        <f t="shared" si="73"/>
        <v>658</v>
      </c>
    </row>
    <row r="190" spans="1:15" ht="12.75" customHeight="1" thickTop="1" x14ac:dyDescent="0.25">
      <c r="A190" s="795"/>
      <c r="D190" s="851"/>
      <c r="E190" s="851"/>
      <c r="F190" s="851"/>
      <c r="G190" s="823"/>
      <c r="I190" s="807"/>
      <c r="J190" s="807"/>
      <c r="K190" s="807"/>
      <c r="L190" s="807"/>
      <c r="M190" s="807"/>
      <c r="N190" s="807"/>
      <c r="O190" s="807"/>
    </row>
    <row r="191" spans="1:15" ht="12.75" customHeight="1" x14ac:dyDescent="0.25">
      <c r="A191" s="795"/>
      <c r="D191" s="818">
        <v>636901</v>
      </c>
      <c r="E191" s="819"/>
      <c r="F191" s="819"/>
      <c r="G191" s="915" t="s">
        <v>4059</v>
      </c>
      <c r="I191" s="807"/>
      <c r="J191" s="802"/>
      <c r="K191" s="802"/>
      <c r="L191" s="802"/>
      <c r="M191" s="802"/>
      <c r="N191" s="802"/>
      <c r="O191" s="802"/>
    </row>
    <row r="192" spans="1:15" ht="12.75" customHeight="1" x14ac:dyDescent="0.25">
      <c r="A192" s="795"/>
      <c r="D192" s="851"/>
      <c r="E192" s="851"/>
      <c r="F192" s="851"/>
      <c r="G192" s="822" t="s">
        <v>533</v>
      </c>
      <c r="I192" s="807"/>
      <c r="J192" s="802"/>
      <c r="K192" s="802"/>
      <c r="L192" s="802"/>
      <c r="M192" s="802"/>
      <c r="N192" s="802"/>
      <c r="O192" s="802"/>
    </row>
    <row r="193" spans="1:16" ht="12.75" customHeight="1" x14ac:dyDescent="0.25">
      <c r="A193" s="795">
        <f>D191</f>
        <v>636901</v>
      </c>
      <c r="B193" s="791" t="str">
        <f>G191</f>
        <v>Directe toerekening samenkracht en burgerparticipatie</v>
      </c>
      <c r="D193" s="851">
        <v>41100</v>
      </c>
      <c r="E193" s="851"/>
      <c r="F193" s="851"/>
      <c r="G193" s="823" t="s">
        <v>700</v>
      </c>
      <c r="I193" s="953"/>
      <c r="J193" s="995">
        <v>600668.99</v>
      </c>
      <c r="K193" s="995">
        <f>K432</f>
        <v>807384.23</v>
      </c>
      <c r="L193" s="995">
        <f>L432</f>
        <v>841293</v>
      </c>
      <c r="M193" s="995">
        <f>M432</f>
        <v>872421</v>
      </c>
      <c r="N193" s="995">
        <f>N432</f>
        <v>904700</v>
      </c>
      <c r="O193" s="995">
        <f>O432</f>
        <v>938175</v>
      </c>
    </row>
    <row r="194" spans="1:16" ht="12.75" customHeight="1" x14ac:dyDescent="0.25">
      <c r="A194" s="795">
        <f>D191</f>
        <v>636901</v>
      </c>
      <c r="B194" s="791" t="str">
        <f>G191</f>
        <v>Directe toerekening samenkracht en burgerparticipatie</v>
      </c>
      <c r="D194" s="821">
        <v>47300</v>
      </c>
      <c r="E194" s="821"/>
      <c r="F194" s="821"/>
      <c r="G194" s="823" t="s">
        <v>1033</v>
      </c>
      <c r="I194" s="953"/>
      <c r="J194" s="953">
        <v>82880</v>
      </c>
      <c r="K194" s="953">
        <f>K435</f>
        <v>82879</v>
      </c>
      <c r="L194" s="953">
        <f t="shared" ref="L194:N194" si="74">L435</f>
        <v>128546</v>
      </c>
      <c r="M194" s="953">
        <f t="shared" si="74"/>
        <v>128546</v>
      </c>
      <c r="N194" s="953">
        <f t="shared" si="74"/>
        <v>116046</v>
      </c>
      <c r="O194" s="953">
        <f t="shared" ref="O194" si="75">O435</f>
        <v>116046</v>
      </c>
      <c r="P194" s="812"/>
    </row>
    <row r="195" spans="1:16" ht="12.75" customHeight="1" thickBot="1" x14ac:dyDescent="0.3">
      <c r="A195" s="795"/>
      <c r="D195" s="851"/>
      <c r="E195" s="851"/>
      <c r="F195" s="851"/>
      <c r="G195" s="823" t="s">
        <v>536</v>
      </c>
      <c r="I195" s="807"/>
      <c r="J195" s="825">
        <v>683548.99</v>
      </c>
      <c r="K195" s="825">
        <f>SUM(K193:K194)</f>
        <v>890263.23</v>
      </c>
      <c r="L195" s="825">
        <f>SUM(L193:L194)</f>
        <v>969839</v>
      </c>
      <c r="M195" s="825">
        <f>SUM(M193:M194)</f>
        <v>1000967</v>
      </c>
      <c r="N195" s="825">
        <f>SUM(N193:N194)</f>
        <v>1020746</v>
      </c>
      <c r="O195" s="825">
        <f>SUM(O193:O194)</f>
        <v>1054221</v>
      </c>
    </row>
    <row r="196" spans="1:16" ht="12.75" customHeight="1" thickTop="1" x14ac:dyDescent="0.25">
      <c r="A196" s="795"/>
      <c r="D196" s="851"/>
      <c r="E196" s="851"/>
      <c r="F196" s="851"/>
      <c r="G196" s="823"/>
      <c r="I196" s="807"/>
      <c r="J196" s="807"/>
      <c r="K196" s="807"/>
      <c r="L196" s="807"/>
      <c r="M196" s="807"/>
      <c r="N196" s="807"/>
      <c r="O196" s="807"/>
    </row>
    <row r="197" spans="1:16" ht="12.75" customHeight="1" x14ac:dyDescent="0.25">
      <c r="A197" s="795"/>
      <c r="D197" s="818">
        <v>636005</v>
      </c>
      <c r="E197" s="819"/>
      <c r="F197" s="819"/>
      <c r="G197" s="911" t="s">
        <v>4060</v>
      </c>
      <c r="I197" s="806"/>
      <c r="J197" s="806"/>
      <c r="K197" s="806"/>
      <c r="L197" s="806"/>
      <c r="M197" s="806"/>
      <c r="N197" s="806"/>
      <c r="O197" s="806"/>
    </row>
    <row r="198" spans="1:16" ht="12.75" customHeight="1" x14ac:dyDescent="0.25">
      <c r="A198" s="795"/>
      <c r="D198" s="818"/>
      <c r="E198" s="819"/>
      <c r="F198" s="819"/>
      <c r="G198" s="822" t="s">
        <v>533</v>
      </c>
      <c r="I198" s="806"/>
      <c r="J198" s="806"/>
      <c r="K198" s="806"/>
      <c r="L198" s="806"/>
      <c r="M198" s="806"/>
      <c r="N198" s="806"/>
      <c r="O198" s="806"/>
    </row>
    <row r="199" spans="1:16" ht="12.75" customHeight="1" x14ac:dyDescent="0.25">
      <c r="A199" s="795">
        <f>D197</f>
        <v>636005</v>
      </c>
      <c r="B199" s="791" t="str">
        <f>G197</f>
        <v>Subsidie zelfredzaamheid, participatie en mantelzorgondersteuning</v>
      </c>
      <c r="D199" s="821">
        <v>43806</v>
      </c>
      <c r="E199" s="821"/>
      <c r="F199" s="821"/>
      <c r="G199" s="823" t="s">
        <v>546</v>
      </c>
      <c r="I199" s="807"/>
      <c r="J199" s="807">
        <v>4340</v>
      </c>
      <c r="K199" s="807">
        <f>K440</f>
        <v>4453</v>
      </c>
      <c r="L199" s="807">
        <f>L440</f>
        <v>4547</v>
      </c>
      <c r="M199" s="807">
        <f>M440</f>
        <v>4652</v>
      </c>
      <c r="N199" s="807">
        <f>N440</f>
        <v>4759</v>
      </c>
      <c r="O199" s="807">
        <f>O440</f>
        <v>4868</v>
      </c>
    </row>
    <row r="200" spans="1:16" ht="12.75" customHeight="1" x14ac:dyDescent="0.25">
      <c r="A200" s="824">
        <f>D197</f>
        <v>636005</v>
      </c>
      <c r="B200" s="833" t="str">
        <f>G197</f>
        <v>Subsidie zelfredzaamheid, participatie en mantelzorgondersteuning</v>
      </c>
      <c r="D200" s="821">
        <v>44380</v>
      </c>
      <c r="E200" s="821"/>
      <c r="F200" s="851"/>
      <c r="G200" s="823" t="s">
        <v>4055</v>
      </c>
      <c r="I200" s="807"/>
      <c r="J200" s="802">
        <v>218843</v>
      </c>
      <c r="K200" s="802">
        <f>K443</f>
        <v>224530</v>
      </c>
      <c r="L200" s="802">
        <f>L443</f>
        <v>229250</v>
      </c>
      <c r="M200" s="802">
        <f>M443</f>
        <v>234520</v>
      </c>
      <c r="N200" s="802">
        <f>N443</f>
        <v>239910</v>
      </c>
      <c r="O200" s="802">
        <f>O443</f>
        <v>245430</v>
      </c>
    </row>
    <row r="201" spans="1:16" ht="12.75" customHeight="1" thickBot="1" x14ac:dyDescent="0.3">
      <c r="A201" s="795"/>
      <c r="D201" s="851"/>
      <c r="E201" s="851"/>
      <c r="F201" s="851"/>
      <c r="G201" s="823" t="s">
        <v>536</v>
      </c>
      <c r="I201" s="807"/>
      <c r="J201" s="825">
        <v>223183</v>
      </c>
      <c r="K201" s="825">
        <f>SUM(K199:K200)</f>
        <v>228983</v>
      </c>
      <c r="L201" s="825">
        <f>SUM(L199:L200)</f>
        <v>233797</v>
      </c>
      <c r="M201" s="825">
        <f>SUM(M199:M200)</f>
        <v>239172</v>
      </c>
      <c r="N201" s="825">
        <f>SUM(N199:N200)</f>
        <v>244669</v>
      </c>
      <c r="O201" s="825">
        <f>SUM(O199:O200)</f>
        <v>250298</v>
      </c>
    </row>
    <row r="202" spans="1:16" ht="12.75" customHeight="1" thickTop="1" x14ac:dyDescent="0.25">
      <c r="A202" s="795"/>
      <c r="D202" s="851"/>
      <c r="E202" s="851"/>
      <c r="F202" s="851"/>
      <c r="G202" s="823"/>
      <c r="I202" s="807"/>
      <c r="J202" s="802"/>
      <c r="K202" s="802"/>
      <c r="L202" s="802"/>
      <c r="M202" s="802"/>
      <c r="N202" s="802"/>
      <c r="O202" s="802"/>
    </row>
    <row r="203" spans="1:16" ht="12.75" customHeight="1" x14ac:dyDescent="0.25">
      <c r="A203" s="795"/>
      <c r="D203" s="913">
        <v>636006</v>
      </c>
      <c r="E203" s="819"/>
      <c r="F203" s="914"/>
      <c r="G203" s="820" t="s">
        <v>4061</v>
      </c>
      <c r="I203" s="807"/>
      <c r="J203" s="802"/>
      <c r="K203" s="802"/>
      <c r="L203" s="802"/>
      <c r="M203" s="802"/>
      <c r="N203" s="802"/>
      <c r="O203" s="802"/>
    </row>
    <row r="204" spans="1:16" ht="12.75" customHeight="1" x14ac:dyDescent="0.25">
      <c r="A204" s="795"/>
      <c r="D204" s="851"/>
      <c r="E204" s="851"/>
      <c r="F204" s="851"/>
      <c r="G204" s="822" t="s">
        <v>533</v>
      </c>
      <c r="I204" s="807"/>
      <c r="J204" s="802"/>
      <c r="K204" s="802"/>
      <c r="L204" s="802"/>
      <c r="M204" s="802"/>
      <c r="N204" s="802"/>
      <c r="O204" s="802"/>
    </row>
    <row r="205" spans="1:16" ht="12.75" customHeight="1" x14ac:dyDescent="0.25">
      <c r="A205" s="795">
        <f>D203</f>
        <v>636006</v>
      </c>
      <c r="B205" s="791" t="str">
        <f>G203</f>
        <v>Algemene voorzieningen welzijn</v>
      </c>
      <c r="D205" s="821">
        <v>43812</v>
      </c>
      <c r="E205" s="821"/>
      <c r="F205" s="821"/>
      <c r="G205" s="823" t="s">
        <v>535</v>
      </c>
      <c r="I205" s="807"/>
      <c r="J205" s="802">
        <v>7140</v>
      </c>
      <c r="K205" s="802">
        <f t="shared" ref="K205:M205" si="76">K457</f>
        <v>7330</v>
      </c>
      <c r="L205" s="802">
        <f t="shared" si="76"/>
        <v>7480</v>
      </c>
      <c r="M205" s="802">
        <f t="shared" si="76"/>
        <v>7660</v>
      </c>
      <c r="N205" s="802">
        <f t="shared" ref="N205:O205" si="77">N457</f>
        <v>7840</v>
      </c>
      <c r="O205" s="802">
        <f t="shared" si="77"/>
        <v>8020</v>
      </c>
    </row>
    <row r="206" spans="1:16" ht="12.75" customHeight="1" x14ac:dyDescent="0.25">
      <c r="A206" s="824">
        <f>D203</f>
        <v>636006</v>
      </c>
      <c r="B206" s="833" t="str">
        <f>G203</f>
        <v>Algemene voorzieningen welzijn</v>
      </c>
      <c r="D206" s="821">
        <v>44380</v>
      </c>
      <c r="E206" s="821"/>
      <c r="F206" s="821"/>
      <c r="G206" s="823" t="s">
        <v>558</v>
      </c>
      <c r="I206" s="807"/>
      <c r="J206" s="802">
        <v>790530</v>
      </c>
      <c r="K206" s="802">
        <f>K460</f>
        <v>826890</v>
      </c>
      <c r="L206" s="802">
        <f>L460</f>
        <v>861620</v>
      </c>
      <c r="M206" s="802">
        <f>M460</f>
        <v>897810</v>
      </c>
      <c r="N206" s="802">
        <f>N460</f>
        <v>935520</v>
      </c>
      <c r="O206" s="802">
        <f>O460</f>
        <v>974810</v>
      </c>
    </row>
    <row r="207" spans="1:16" ht="12.75" customHeight="1" thickBot="1" x14ac:dyDescent="0.3">
      <c r="A207" s="795"/>
      <c r="D207" s="851"/>
      <c r="E207" s="851"/>
      <c r="F207" s="851"/>
      <c r="G207" s="823" t="s">
        <v>536</v>
      </c>
      <c r="I207" s="807"/>
      <c r="J207" s="852">
        <v>797670</v>
      </c>
      <c r="K207" s="852">
        <f>SUM(K204:K206)</f>
        <v>834220</v>
      </c>
      <c r="L207" s="852">
        <f>SUM(L204:L206)</f>
        <v>869100</v>
      </c>
      <c r="M207" s="852">
        <f>SUM(M204:M206)</f>
        <v>905470</v>
      </c>
      <c r="N207" s="852">
        <f>SUM(N204:N206)</f>
        <v>943360</v>
      </c>
      <c r="O207" s="852">
        <f>SUM(O204:O206)</f>
        <v>982830</v>
      </c>
    </row>
    <row r="208" spans="1:16" ht="12.75" customHeight="1" thickTop="1" x14ac:dyDescent="0.25">
      <c r="A208" s="795"/>
      <c r="D208" s="851"/>
      <c r="E208" s="851"/>
      <c r="F208" s="851"/>
      <c r="G208" s="823"/>
      <c r="I208" s="807"/>
      <c r="J208" s="802"/>
      <c r="K208" s="802"/>
      <c r="L208" s="802"/>
      <c r="M208" s="802"/>
      <c r="N208" s="802"/>
      <c r="O208" s="802"/>
    </row>
    <row r="209" spans="1:15" ht="12.75" customHeight="1" x14ac:dyDescent="0.25">
      <c r="A209" s="795"/>
      <c r="D209" s="818">
        <v>636007</v>
      </c>
      <c r="E209" s="819"/>
      <c r="F209" s="819"/>
      <c r="G209" s="820" t="s">
        <v>4062</v>
      </c>
      <c r="I209" s="807"/>
      <c r="J209" s="802"/>
      <c r="K209" s="802"/>
      <c r="L209" s="802"/>
      <c r="M209" s="802"/>
      <c r="N209" s="802"/>
      <c r="O209" s="802"/>
    </row>
    <row r="210" spans="1:15" ht="12.75" customHeight="1" x14ac:dyDescent="0.25">
      <c r="A210" s="795"/>
      <c r="D210" s="851"/>
      <c r="E210" s="851"/>
      <c r="F210" s="851"/>
      <c r="G210" s="822" t="s">
        <v>533</v>
      </c>
      <c r="I210" s="807"/>
      <c r="J210" s="802"/>
      <c r="K210" s="802"/>
      <c r="L210" s="802"/>
      <c r="M210" s="802"/>
      <c r="N210" s="802"/>
      <c r="O210" s="802"/>
    </row>
    <row r="211" spans="1:15" ht="12.75" customHeight="1" x14ac:dyDescent="0.25">
      <c r="A211" s="795">
        <f>D209</f>
        <v>636007</v>
      </c>
      <c r="B211" s="791" t="str">
        <f>G209</f>
        <v>Diverse buurtaccommodaties</v>
      </c>
      <c r="D211" s="821">
        <v>42100</v>
      </c>
      <c r="E211" s="821"/>
      <c r="F211" s="821"/>
      <c r="G211" s="823" t="s">
        <v>978</v>
      </c>
      <c r="I211" s="807"/>
      <c r="J211" s="995">
        <v>602</v>
      </c>
      <c r="K211" s="995">
        <f t="shared" ref="K211:O212" si="78">ROUND(J211*S$2,0)</f>
        <v>618</v>
      </c>
      <c r="L211" s="995">
        <f t="shared" si="78"/>
        <v>631</v>
      </c>
      <c r="M211" s="995">
        <f t="shared" si="78"/>
        <v>646</v>
      </c>
      <c r="N211" s="995">
        <f t="shared" si="78"/>
        <v>661</v>
      </c>
      <c r="O211" s="995">
        <f t="shared" si="78"/>
        <v>676</v>
      </c>
    </row>
    <row r="212" spans="1:15" ht="12.75" customHeight="1" x14ac:dyDescent="0.25">
      <c r="A212" s="795">
        <f>D209</f>
        <v>636007</v>
      </c>
      <c r="B212" s="791" t="str">
        <f>G209</f>
        <v>Diverse buurtaccommodaties</v>
      </c>
      <c r="D212" s="821">
        <v>43806</v>
      </c>
      <c r="E212" s="821"/>
      <c r="F212" s="821"/>
      <c r="G212" s="823" t="s">
        <v>980</v>
      </c>
      <c r="I212" s="807"/>
      <c r="J212" s="995">
        <v>277</v>
      </c>
      <c r="K212" s="995">
        <f t="shared" si="78"/>
        <v>284</v>
      </c>
      <c r="L212" s="995">
        <f t="shared" si="78"/>
        <v>290</v>
      </c>
      <c r="M212" s="995">
        <f t="shared" si="78"/>
        <v>297</v>
      </c>
      <c r="N212" s="995">
        <f t="shared" si="78"/>
        <v>304</v>
      </c>
      <c r="O212" s="995">
        <f t="shared" si="78"/>
        <v>311</v>
      </c>
    </row>
    <row r="213" spans="1:15" ht="12.75" customHeight="1" thickBot="1" x14ac:dyDescent="0.3">
      <c r="A213" s="795"/>
      <c r="D213" s="851"/>
      <c r="E213" s="851"/>
      <c r="F213" s="851"/>
      <c r="G213" s="823" t="s">
        <v>536</v>
      </c>
      <c r="I213" s="807"/>
      <c r="J213" s="852">
        <v>879</v>
      </c>
      <c r="K213" s="852">
        <f t="shared" ref="K213:M213" si="79">SUM(K211:K212)</f>
        <v>902</v>
      </c>
      <c r="L213" s="852">
        <f t="shared" si="79"/>
        <v>921</v>
      </c>
      <c r="M213" s="852">
        <f t="shared" si="79"/>
        <v>943</v>
      </c>
      <c r="N213" s="852">
        <f t="shared" ref="N213:O213" si="80">SUM(N211:N212)</f>
        <v>965</v>
      </c>
      <c r="O213" s="852">
        <f t="shared" si="80"/>
        <v>987</v>
      </c>
    </row>
    <row r="214" spans="1:15" ht="12.75" customHeight="1" thickTop="1" x14ac:dyDescent="0.25">
      <c r="A214" s="795"/>
      <c r="D214" s="851"/>
      <c r="E214" s="851"/>
      <c r="F214" s="851"/>
      <c r="G214" s="823"/>
      <c r="I214" s="807"/>
      <c r="J214" s="802"/>
      <c r="K214" s="802"/>
      <c r="L214" s="802"/>
      <c r="M214" s="802"/>
      <c r="N214" s="802"/>
      <c r="O214" s="802"/>
    </row>
    <row r="215" spans="1:15" ht="12.75" customHeight="1" x14ac:dyDescent="0.25">
      <c r="A215" s="795"/>
      <c r="D215" s="818">
        <v>636008</v>
      </c>
      <c r="E215" s="819"/>
      <c r="F215" s="819"/>
      <c r="G215" s="820" t="s">
        <v>4063</v>
      </c>
      <c r="I215" s="807"/>
      <c r="J215" s="802"/>
      <c r="K215" s="802"/>
      <c r="L215" s="802"/>
      <c r="M215" s="802"/>
      <c r="N215" s="802"/>
      <c r="O215" s="802"/>
    </row>
    <row r="216" spans="1:15" ht="12.75" customHeight="1" x14ac:dyDescent="0.25">
      <c r="A216" s="795"/>
      <c r="D216" s="851"/>
      <c r="E216" s="851"/>
      <c r="F216" s="851"/>
      <c r="G216" s="822" t="s">
        <v>533</v>
      </c>
      <c r="I216" s="807"/>
      <c r="J216" s="802"/>
      <c r="K216" s="802"/>
      <c r="L216" s="802"/>
      <c r="M216" s="802"/>
      <c r="N216" s="802"/>
      <c r="O216" s="802"/>
    </row>
    <row r="217" spans="1:15" ht="12.75" customHeight="1" x14ac:dyDescent="0.25">
      <c r="A217" s="824">
        <f>D215</f>
        <v>636008</v>
      </c>
      <c r="B217" s="833" t="str">
        <f>G215</f>
        <v>Buutrcentra Vlinderhei 16 / Zessprong</v>
      </c>
      <c r="D217" s="821">
        <v>42100</v>
      </c>
      <c r="E217" s="821"/>
      <c r="F217" s="821"/>
      <c r="G217" s="823" t="s">
        <v>978</v>
      </c>
      <c r="I217" s="807"/>
      <c r="J217" s="995">
        <v>759</v>
      </c>
      <c r="K217" s="995">
        <f t="shared" ref="K217:O219" si="81">ROUND(J217*S$2,0)</f>
        <v>779</v>
      </c>
      <c r="L217" s="995">
        <f t="shared" si="81"/>
        <v>795</v>
      </c>
      <c r="M217" s="995">
        <f t="shared" si="81"/>
        <v>813</v>
      </c>
      <c r="N217" s="995">
        <f t="shared" si="81"/>
        <v>832</v>
      </c>
      <c r="O217" s="995">
        <f t="shared" si="81"/>
        <v>851</v>
      </c>
    </row>
    <row r="218" spans="1:15" ht="12.75" customHeight="1" x14ac:dyDescent="0.25">
      <c r="A218" s="795">
        <f>D215</f>
        <v>636008</v>
      </c>
      <c r="B218" s="791" t="str">
        <f>G215</f>
        <v>Buutrcentra Vlinderhei 16 / Zessprong</v>
      </c>
      <c r="D218" s="821">
        <v>43806</v>
      </c>
      <c r="E218" s="821"/>
      <c r="F218" s="821"/>
      <c r="G218" s="823" t="s">
        <v>980</v>
      </c>
      <c r="I218" s="807"/>
      <c r="J218" s="995">
        <v>50</v>
      </c>
      <c r="K218" s="995">
        <f t="shared" si="81"/>
        <v>51</v>
      </c>
      <c r="L218" s="995">
        <f t="shared" si="81"/>
        <v>52</v>
      </c>
      <c r="M218" s="995">
        <f t="shared" si="81"/>
        <v>53</v>
      </c>
      <c r="N218" s="995">
        <f t="shared" si="81"/>
        <v>54</v>
      </c>
      <c r="O218" s="995">
        <f t="shared" si="81"/>
        <v>55</v>
      </c>
    </row>
    <row r="219" spans="1:15" ht="12.75" customHeight="1" x14ac:dyDescent="0.25">
      <c r="A219" s="795">
        <f>D215</f>
        <v>636008</v>
      </c>
      <c r="B219" s="791" t="str">
        <f>G215</f>
        <v>Buutrcentra Vlinderhei 16 / Zessprong</v>
      </c>
      <c r="D219" s="821">
        <v>44380</v>
      </c>
      <c r="E219" s="821"/>
      <c r="F219" s="851"/>
      <c r="G219" s="823" t="s">
        <v>4055</v>
      </c>
      <c r="I219" s="807"/>
      <c r="J219" s="995">
        <v>16028</v>
      </c>
      <c r="K219" s="995">
        <f t="shared" si="81"/>
        <v>16445</v>
      </c>
      <c r="L219" s="995">
        <f t="shared" si="81"/>
        <v>16790</v>
      </c>
      <c r="M219" s="995">
        <f t="shared" si="81"/>
        <v>17176</v>
      </c>
      <c r="N219" s="995">
        <f t="shared" si="81"/>
        <v>17571</v>
      </c>
      <c r="O219" s="995">
        <f t="shared" si="81"/>
        <v>17975</v>
      </c>
    </row>
    <row r="220" spans="1:15" ht="12.75" customHeight="1" x14ac:dyDescent="0.25">
      <c r="A220" s="795">
        <f>D215</f>
        <v>636008</v>
      </c>
      <c r="B220" s="791" t="str">
        <f>G215</f>
        <v>Buutrcentra Vlinderhei 16 / Zessprong</v>
      </c>
      <c r="D220" s="851">
        <v>47201</v>
      </c>
      <c r="E220" s="851"/>
      <c r="F220" s="851"/>
      <c r="G220" s="823" t="s">
        <v>4064</v>
      </c>
      <c r="I220" s="807"/>
      <c r="J220" s="995">
        <v>4269</v>
      </c>
      <c r="K220" s="995">
        <v>4426.5599970763196</v>
      </c>
      <c r="L220" s="995">
        <v>4590.3427169681427</v>
      </c>
      <c r="M220" s="995">
        <v>4760.185397495964</v>
      </c>
      <c r="N220" s="995">
        <v>4936.3122572033144</v>
      </c>
      <c r="O220" s="2127">
        <v>0</v>
      </c>
    </row>
    <row r="221" spans="1:15" ht="12.75" customHeight="1" thickBot="1" x14ac:dyDescent="0.3">
      <c r="A221" s="795"/>
      <c r="D221" s="851"/>
      <c r="E221" s="851"/>
      <c r="F221" s="851"/>
      <c r="G221" s="823" t="s">
        <v>536</v>
      </c>
      <c r="I221" s="807"/>
      <c r="J221" s="825">
        <v>21106</v>
      </c>
      <c r="K221" s="825">
        <f>SUM(K217:K220)</f>
        <v>21701.559997076321</v>
      </c>
      <c r="L221" s="825">
        <f>SUM(L217:L220)</f>
        <v>22227.342716968142</v>
      </c>
      <c r="M221" s="825">
        <f>SUM(M217:M220)</f>
        <v>22802.185397495963</v>
      </c>
      <c r="N221" s="825">
        <f>SUM(N217:N220)</f>
        <v>23393.312257203313</v>
      </c>
      <c r="O221" s="825">
        <f>SUM(O217:O220)</f>
        <v>18881</v>
      </c>
    </row>
    <row r="222" spans="1:15" ht="12.75" customHeight="1" thickTop="1" x14ac:dyDescent="0.25">
      <c r="A222" s="795"/>
      <c r="D222" s="851"/>
      <c r="E222" s="851"/>
      <c r="F222" s="851"/>
      <c r="G222" s="823"/>
      <c r="I222" s="807"/>
      <c r="J222" s="802"/>
      <c r="K222" s="802"/>
      <c r="L222" s="802"/>
      <c r="M222" s="802"/>
      <c r="N222" s="802"/>
      <c r="O222" s="802"/>
    </row>
    <row r="223" spans="1:15" ht="12.75" customHeight="1" x14ac:dyDescent="0.25">
      <c r="A223" s="795"/>
      <c r="D223" s="913">
        <v>636009</v>
      </c>
      <c r="E223" s="819"/>
      <c r="F223" s="914"/>
      <c r="G223" s="820" t="s">
        <v>4065</v>
      </c>
      <c r="I223" s="807"/>
      <c r="J223" s="802"/>
      <c r="K223" s="802"/>
      <c r="L223" s="802"/>
      <c r="M223" s="802"/>
      <c r="N223" s="802"/>
      <c r="O223" s="802"/>
    </row>
    <row r="224" spans="1:15" ht="12.75" customHeight="1" x14ac:dyDescent="0.25">
      <c r="A224" s="795"/>
      <c r="D224" s="851"/>
      <c r="E224" s="851"/>
      <c r="F224" s="851"/>
      <c r="G224" s="822" t="s">
        <v>533</v>
      </c>
      <c r="I224" s="807"/>
      <c r="J224" s="802"/>
      <c r="K224" s="802"/>
      <c r="L224" s="802"/>
      <c r="M224" s="802"/>
      <c r="N224" s="802"/>
      <c r="O224" s="802"/>
    </row>
    <row r="225" spans="1:15" ht="12.75" customHeight="1" x14ac:dyDescent="0.25">
      <c r="A225" s="795">
        <f>D223</f>
        <v>636009</v>
      </c>
      <c r="B225" s="791" t="str">
        <f>G223</f>
        <v>GGZ</v>
      </c>
      <c r="D225" s="851">
        <v>44380</v>
      </c>
      <c r="E225" s="851"/>
      <c r="F225" s="851"/>
      <c r="G225" s="823" t="s">
        <v>4055</v>
      </c>
      <c r="I225" s="807"/>
      <c r="J225" s="802">
        <v>238890</v>
      </c>
      <c r="K225" s="802">
        <f>K474</f>
        <v>218850</v>
      </c>
      <c r="L225" s="802">
        <f>L474</f>
        <v>228380</v>
      </c>
      <c r="M225" s="802">
        <f>M474</f>
        <v>238320</v>
      </c>
      <c r="N225" s="802">
        <f>N474</f>
        <v>248680</v>
      </c>
      <c r="O225" s="802">
        <f>O474</f>
        <v>259570</v>
      </c>
    </row>
    <row r="226" spans="1:15" ht="12.75" customHeight="1" thickBot="1" x14ac:dyDescent="0.3">
      <c r="A226" s="795"/>
      <c r="D226" s="851"/>
      <c r="E226" s="851"/>
      <c r="F226" s="851"/>
      <c r="G226" s="823" t="s">
        <v>536</v>
      </c>
      <c r="I226" s="807"/>
      <c r="J226" s="852">
        <v>238890</v>
      </c>
      <c r="K226" s="852">
        <f>SUM(K223:K225)</f>
        <v>218850</v>
      </c>
      <c r="L226" s="852">
        <f>SUM(L223:L225)</f>
        <v>228380</v>
      </c>
      <c r="M226" s="852">
        <f>SUM(M223:M225)</f>
        <v>238320</v>
      </c>
      <c r="N226" s="852">
        <f>SUM(N223:N225)</f>
        <v>248680</v>
      </c>
      <c r="O226" s="852">
        <f>SUM(O223:O225)</f>
        <v>259570</v>
      </c>
    </row>
    <row r="227" spans="1:15" ht="12.75" customHeight="1" thickTop="1" x14ac:dyDescent="0.25">
      <c r="A227" s="795"/>
      <c r="D227" s="851"/>
      <c r="E227" s="851"/>
      <c r="F227" s="851"/>
      <c r="G227" s="823"/>
      <c r="I227" s="807"/>
      <c r="J227" s="802"/>
      <c r="K227" s="802"/>
      <c r="L227" s="802"/>
      <c r="M227" s="802"/>
      <c r="N227" s="802"/>
      <c r="O227" s="802"/>
    </row>
    <row r="228" spans="1:15" ht="12.75" customHeight="1" x14ac:dyDescent="0.25">
      <c r="A228" s="795"/>
      <c r="D228" s="913">
        <v>636010</v>
      </c>
      <c r="E228" s="819"/>
      <c r="F228" s="914"/>
      <c r="G228" s="820" t="s">
        <v>4066</v>
      </c>
      <c r="I228" s="807"/>
      <c r="J228" s="802"/>
      <c r="K228" s="802"/>
      <c r="L228" s="802"/>
      <c r="M228" s="802"/>
      <c r="N228" s="802"/>
      <c r="O228" s="802"/>
    </row>
    <row r="229" spans="1:15" ht="12.75" customHeight="1" x14ac:dyDescent="0.25">
      <c r="A229" s="795"/>
      <c r="D229" s="851"/>
      <c r="E229" s="851"/>
      <c r="F229" s="851"/>
      <c r="G229" s="822" t="s">
        <v>533</v>
      </c>
      <c r="I229" s="807"/>
      <c r="J229" s="802"/>
      <c r="K229" s="802"/>
      <c r="L229" s="802"/>
      <c r="M229" s="802"/>
      <c r="N229" s="802"/>
      <c r="O229" s="802"/>
    </row>
    <row r="230" spans="1:15" ht="12.75" customHeight="1" x14ac:dyDescent="0.25">
      <c r="A230" s="795">
        <f>D228</f>
        <v>636010</v>
      </c>
      <c r="B230" s="791" t="str">
        <f>G228</f>
        <v>Ondersteuning en waardering mantelzorgers</v>
      </c>
      <c r="D230" s="821">
        <v>43812</v>
      </c>
      <c r="E230" s="821"/>
      <c r="F230" s="821"/>
      <c r="G230" s="823" t="s">
        <v>535</v>
      </c>
      <c r="I230" s="807"/>
      <c r="J230" s="802">
        <v>0</v>
      </c>
      <c r="K230" s="802">
        <v>0</v>
      </c>
      <c r="L230" s="802">
        <v>0</v>
      </c>
      <c r="M230" s="802">
        <v>0</v>
      </c>
      <c r="N230" s="802">
        <v>0</v>
      </c>
      <c r="O230" s="802">
        <v>0</v>
      </c>
    </row>
    <row r="231" spans="1:15" ht="12.75" customHeight="1" x14ac:dyDescent="0.25">
      <c r="A231" s="824">
        <f>D228</f>
        <v>636010</v>
      </c>
      <c r="B231" s="833" t="str">
        <f>G228</f>
        <v>Ondersteuning en waardering mantelzorgers</v>
      </c>
      <c r="D231" s="821">
        <v>44380</v>
      </c>
      <c r="E231" s="821"/>
      <c r="F231" s="851"/>
      <c r="G231" s="823" t="s">
        <v>4055</v>
      </c>
      <c r="I231" s="807"/>
      <c r="J231" s="802">
        <v>77400</v>
      </c>
      <c r="K231" s="802">
        <f>K479</f>
        <v>79410</v>
      </c>
      <c r="L231" s="802">
        <f>L479</f>
        <v>81080</v>
      </c>
      <c r="M231" s="802">
        <f>M479</f>
        <v>82940</v>
      </c>
      <c r="N231" s="802">
        <f>N479</f>
        <v>84850</v>
      </c>
      <c r="O231" s="802">
        <f>O479</f>
        <v>86800</v>
      </c>
    </row>
    <row r="232" spans="1:15" ht="12.75" customHeight="1" thickBot="1" x14ac:dyDescent="0.3">
      <c r="A232" s="795"/>
      <c r="D232" s="851"/>
      <c r="E232" s="851"/>
      <c r="F232" s="851"/>
      <c r="G232" s="823" t="s">
        <v>536</v>
      </c>
      <c r="I232" s="807"/>
      <c r="J232" s="852">
        <v>77400</v>
      </c>
      <c r="K232" s="852">
        <f>SUM(K227:K231)</f>
        <v>79410</v>
      </c>
      <c r="L232" s="852">
        <f>SUM(L227:L231)</f>
        <v>81080</v>
      </c>
      <c r="M232" s="852">
        <f>SUM(M227:M231)</f>
        <v>82940</v>
      </c>
      <c r="N232" s="852">
        <f>SUM(N227:N231)</f>
        <v>84850</v>
      </c>
      <c r="O232" s="852">
        <f>SUM(O227:O231)</f>
        <v>86800</v>
      </c>
    </row>
    <row r="233" spans="1:15" ht="12.75" customHeight="1" thickTop="1" x14ac:dyDescent="0.25">
      <c r="A233" s="795"/>
      <c r="D233" s="851"/>
      <c r="E233" s="851"/>
      <c r="F233" s="851"/>
      <c r="G233" s="823"/>
      <c r="I233" s="807"/>
      <c r="J233" s="802"/>
      <c r="K233" s="802"/>
      <c r="L233" s="802"/>
      <c r="M233" s="802"/>
      <c r="N233" s="802"/>
      <c r="O233" s="802"/>
    </row>
    <row r="234" spans="1:15" ht="12.75" customHeight="1" x14ac:dyDescent="0.25">
      <c r="A234" s="921"/>
      <c r="D234" s="913">
        <v>636023</v>
      </c>
      <c r="E234" s="914"/>
      <c r="F234" s="914"/>
      <c r="G234" s="820" t="s">
        <v>4067</v>
      </c>
      <c r="I234" s="807"/>
      <c r="J234" s="802"/>
      <c r="K234" s="802"/>
      <c r="L234" s="802"/>
      <c r="M234" s="802"/>
      <c r="N234" s="802"/>
      <c r="O234" s="802"/>
    </row>
    <row r="235" spans="1:15" ht="12.75" customHeight="1" x14ac:dyDescent="0.25">
      <c r="A235" s="921"/>
      <c r="D235" s="851"/>
      <c r="E235" s="851"/>
      <c r="F235" s="851"/>
      <c r="G235" s="822" t="s">
        <v>533</v>
      </c>
      <c r="I235" s="807"/>
      <c r="J235" s="802"/>
      <c r="K235" s="802"/>
      <c r="L235" s="802"/>
      <c r="M235" s="802"/>
      <c r="N235" s="802"/>
      <c r="O235" s="802"/>
    </row>
    <row r="236" spans="1:15" ht="12.75" customHeight="1" x14ac:dyDescent="0.25">
      <c r="A236" s="795">
        <f>D234</f>
        <v>636023</v>
      </c>
      <c r="B236" s="791" t="str">
        <f>G234</f>
        <v>Integrale wijkontwikkeling</v>
      </c>
      <c r="D236" s="821">
        <v>43812</v>
      </c>
      <c r="E236" s="821"/>
      <c r="F236" s="821"/>
      <c r="G236" s="823" t="s">
        <v>535</v>
      </c>
      <c r="I236" s="807"/>
      <c r="J236" s="802">
        <v>16180</v>
      </c>
      <c r="K236" s="802">
        <f>K485</f>
        <v>16600</v>
      </c>
      <c r="L236" s="802">
        <f>L485</f>
        <v>16950</v>
      </c>
      <c r="M236" s="802">
        <f>M485</f>
        <v>17340</v>
      </c>
      <c r="N236" s="802">
        <f>N485</f>
        <v>17740</v>
      </c>
      <c r="O236" s="802">
        <f>O485</f>
        <v>18140</v>
      </c>
    </row>
    <row r="237" spans="1:15" ht="12.75" customHeight="1" thickBot="1" x14ac:dyDescent="0.3">
      <c r="A237" s="921"/>
      <c r="D237" s="851"/>
      <c r="E237" s="851"/>
      <c r="F237" s="851"/>
      <c r="G237" s="823" t="s">
        <v>536</v>
      </c>
      <c r="I237" s="807"/>
      <c r="J237" s="852">
        <v>16180</v>
      </c>
      <c r="K237" s="852">
        <f>SUM(K234:K236)</f>
        <v>16600</v>
      </c>
      <c r="L237" s="852">
        <f>SUM(L234:L236)</f>
        <v>16950</v>
      </c>
      <c r="M237" s="852">
        <f>SUM(M234:M236)</f>
        <v>17340</v>
      </c>
      <c r="N237" s="852">
        <f>SUM(N234:N236)</f>
        <v>17740</v>
      </c>
      <c r="O237" s="852">
        <f>SUM(O234:O236)</f>
        <v>18140</v>
      </c>
    </row>
    <row r="238" spans="1:15" ht="12.75" customHeight="1" thickTop="1" x14ac:dyDescent="0.25">
      <c r="A238" s="921"/>
      <c r="D238" s="851"/>
      <c r="E238" s="851"/>
      <c r="F238" s="851"/>
      <c r="G238" s="823"/>
      <c r="I238" s="807"/>
      <c r="J238" s="807"/>
      <c r="K238" s="807"/>
      <c r="L238" s="807"/>
      <c r="M238" s="807"/>
      <c r="N238" s="807"/>
      <c r="O238" s="807"/>
    </row>
    <row r="239" spans="1:15" ht="12.75" customHeight="1" x14ac:dyDescent="0.25">
      <c r="A239" s="795"/>
      <c r="D239" s="913">
        <v>636027</v>
      </c>
      <c r="E239" s="851"/>
      <c r="F239" s="851"/>
      <c r="G239" s="820" t="s">
        <v>4031</v>
      </c>
      <c r="I239" s="807"/>
      <c r="J239" s="807"/>
      <c r="K239" s="807"/>
      <c r="L239" s="807"/>
      <c r="M239" s="807"/>
      <c r="N239" s="807"/>
      <c r="O239" s="807"/>
    </row>
    <row r="240" spans="1:15" ht="12.75" customHeight="1" x14ac:dyDescent="0.25">
      <c r="A240" s="795"/>
      <c r="D240" s="851"/>
      <c r="E240" s="851"/>
      <c r="F240" s="851"/>
      <c r="G240" s="823" t="s">
        <v>533</v>
      </c>
      <c r="I240" s="807"/>
      <c r="J240" s="807"/>
      <c r="K240" s="807"/>
      <c r="L240" s="807"/>
      <c r="M240" s="807"/>
      <c r="N240" s="807"/>
      <c r="O240" s="807"/>
    </row>
    <row r="241" spans="1:15" ht="12.75" customHeight="1" x14ac:dyDescent="0.25">
      <c r="A241" s="795">
        <f>+D239</f>
        <v>636027</v>
      </c>
      <c r="B241" s="791" t="str">
        <f>+G239</f>
        <v>Jongerencentrum</v>
      </c>
      <c r="D241" s="851">
        <v>42100</v>
      </c>
      <c r="E241" s="851"/>
      <c r="F241" s="851"/>
      <c r="G241" s="823" t="s">
        <v>4068</v>
      </c>
      <c r="I241" s="807"/>
      <c r="J241" s="995">
        <v>4371</v>
      </c>
      <c r="K241" s="995">
        <f t="shared" ref="K241:M241" si="82">K489</f>
        <v>4485</v>
      </c>
      <c r="L241" s="995">
        <f t="shared" si="82"/>
        <v>4579</v>
      </c>
      <c r="M241" s="995">
        <f t="shared" si="82"/>
        <v>4684</v>
      </c>
      <c r="N241" s="995">
        <f t="shared" ref="N241:O241" si="83">N489</f>
        <v>4792</v>
      </c>
      <c r="O241" s="995">
        <f t="shared" si="83"/>
        <v>4902</v>
      </c>
    </row>
    <row r="242" spans="1:15" ht="12.75" customHeight="1" x14ac:dyDescent="0.25">
      <c r="A242" s="795">
        <v>636027</v>
      </c>
      <c r="B242" s="791" t="s">
        <v>4031</v>
      </c>
      <c r="D242" s="851">
        <v>43806</v>
      </c>
      <c r="E242" s="851"/>
      <c r="F242" s="851"/>
      <c r="G242" s="823" t="s">
        <v>546</v>
      </c>
      <c r="I242" s="807"/>
      <c r="J242" s="995">
        <v>2470</v>
      </c>
      <c r="K242" s="995">
        <f t="shared" ref="K242:M243" si="84">K490</f>
        <v>2534</v>
      </c>
      <c r="L242" s="995">
        <f t="shared" si="84"/>
        <v>2587</v>
      </c>
      <c r="M242" s="995">
        <f t="shared" si="84"/>
        <v>2647</v>
      </c>
      <c r="N242" s="995">
        <f t="shared" ref="N242:O242" si="85">N490</f>
        <v>2708</v>
      </c>
      <c r="O242" s="995">
        <f t="shared" si="85"/>
        <v>2770</v>
      </c>
    </row>
    <row r="243" spans="1:15" ht="12.75" customHeight="1" x14ac:dyDescent="0.25">
      <c r="A243" s="795">
        <v>636027</v>
      </c>
      <c r="B243" s="791" t="s">
        <v>4031</v>
      </c>
      <c r="D243" s="851">
        <v>43817</v>
      </c>
      <c r="E243" s="851"/>
      <c r="F243" s="851"/>
      <c r="G243" s="823" t="s">
        <v>535</v>
      </c>
      <c r="I243" s="807"/>
      <c r="J243" s="995">
        <v>9300</v>
      </c>
      <c r="K243" s="995">
        <f t="shared" si="84"/>
        <v>9500</v>
      </c>
      <c r="L243" s="995">
        <f t="shared" si="84"/>
        <v>9700</v>
      </c>
      <c r="M243" s="995">
        <f t="shared" si="84"/>
        <v>9900</v>
      </c>
      <c r="N243" s="995">
        <f t="shared" ref="N243:O243" si="86">N491</f>
        <v>10100</v>
      </c>
      <c r="O243" s="995">
        <f t="shared" si="86"/>
        <v>10300</v>
      </c>
    </row>
    <row r="244" spans="1:15" ht="12.75" customHeight="1" x14ac:dyDescent="0.25">
      <c r="A244" s="795">
        <v>636027</v>
      </c>
      <c r="B244" s="791" t="s">
        <v>4031</v>
      </c>
      <c r="D244" s="851">
        <v>47201</v>
      </c>
      <c r="E244" s="851"/>
      <c r="F244" s="851"/>
      <c r="G244" s="823" t="s">
        <v>4069</v>
      </c>
      <c r="I244" s="807"/>
      <c r="J244" s="995">
        <v>22794</v>
      </c>
      <c r="K244" s="995">
        <v>23933.719095551998</v>
      </c>
      <c r="L244" s="995">
        <v>25130.405050329598</v>
      </c>
      <c r="M244" s="995">
        <v>26386.925302846081</v>
      </c>
      <c r="N244" s="995">
        <v>27706.271567988388</v>
      </c>
      <c r="O244" s="995">
        <v>0</v>
      </c>
    </row>
    <row r="245" spans="1:15" ht="12.75" customHeight="1" thickBot="1" x14ac:dyDescent="0.3">
      <c r="A245" s="795"/>
      <c r="D245" s="851"/>
      <c r="E245" s="851"/>
      <c r="F245" s="851"/>
      <c r="G245" s="823" t="s">
        <v>536</v>
      </c>
      <c r="I245" s="807"/>
      <c r="J245" s="852">
        <v>38935</v>
      </c>
      <c r="K245" s="852">
        <f t="shared" ref="K245:M245" si="87">SUM(K241:K244)</f>
        <v>40452.719095551998</v>
      </c>
      <c r="L245" s="852">
        <f t="shared" si="87"/>
        <v>41996.405050329602</v>
      </c>
      <c r="M245" s="852">
        <f t="shared" si="87"/>
        <v>43617.925302846081</v>
      </c>
      <c r="N245" s="852">
        <f t="shared" ref="N245:O245" si="88">SUM(N241:N244)</f>
        <v>45306.271567988384</v>
      </c>
      <c r="O245" s="852">
        <f t="shared" si="88"/>
        <v>17972</v>
      </c>
    </row>
    <row r="246" spans="1:15" ht="12.75" customHeight="1" thickTop="1" x14ac:dyDescent="0.25">
      <c r="A246" s="795"/>
      <c r="D246" s="851"/>
      <c r="E246" s="851"/>
      <c r="F246" s="851"/>
      <c r="G246" s="823"/>
      <c r="I246" s="807"/>
      <c r="J246" s="802"/>
      <c r="K246" s="802"/>
      <c r="L246" s="802"/>
    </row>
    <row r="247" spans="1:15" ht="12.75" customHeight="1" x14ac:dyDescent="0.25">
      <c r="A247" s="795"/>
      <c r="D247" s="913">
        <v>636028</v>
      </c>
      <c r="E247" s="914"/>
      <c r="F247" s="914"/>
      <c r="G247" s="820" t="s">
        <v>4070</v>
      </c>
      <c r="I247" s="807"/>
      <c r="J247" s="802"/>
      <c r="K247" s="802"/>
      <c r="L247" s="802"/>
    </row>
    <row r="248" spans="1:15" ht="12.75" customHeight="1" x14ac:dyDescent="0.25">
      <c r="A248" s="795"/>
      <c r="D248" s="851"/>
      <c r="E248" s="851"/>
      <c r="F248" s="851"/>
      <c r="G248" s="822" t="s">
        <v>533</v>
      </c>
      <c r="I248" s="807"/>
      <c r="J248" s="802"/>
      <c r="K248" s="802"/>
      <c r="L248" s="802"/>
    </row>
    <row r="249" spans="1:15" ht="12.75" customHeight="1" x14ac:dyDescent="0.25">
      <c r="A249" s="795">
        <f>+D247</f>
        <v>636028</v>
      </c>
      <c r="B249" s="791" t="str">
        <f>+G247</f>
        <v>Buurtbudget</v>
      </c>
      <c r="D249" s="821">
        <v>43812</v>
      </c>
      <c r="E249" s="821"/>
      <c r="F249" s="821"/>
      <c r="G249" s="823" t="s">
        <v>535</v>
      </c>
      <c r="I249" s="807"/>
      <c r="J249" s="802">
        <v>68230</v>
      </c>
      <c r="K249" s="802">
        <f>K496</f>
        <v>70000</v>
      </c>
      <c r="L249" s="802">
        <f>L496</f>
        <v>71470</v>
      </c>
      <c r="M249" s="802">
        <f>M496</f>
        <v>73110</v>
      </c>
      <c r="N249" s="802">
        <f>N496</f>
        <v>74790</v>
      </c>
      <c r="O249" s="802">
        <f>O496</f>
        <v>76510</v>
      </c>
    </row>
    <row r="250" spans="1:15" ht="12.75" customHeight="1" thickBot="1" x14ac:dyDescent="0.3">
      <c r="A250" s="795"/>
      <c r="D250" s="851"/>
      <c r="E250" s="851"/>
      <c r="F250" s="851"/>
      <c r="G250" s="823" t="s">
        <v>536</v>
      </c>
      <c r="I250" s="807"/>
      <c r="J250" s="852">
        <v>68230</v>
      </c>
      <c r="K250" s="852">
        <f>SUM(K247:K249)</f>
        <v>70000</v>
      </c>
      <c r="L250" s="852">
        <f>SUM(L247:L249)</f>
        <v>71470</v>
      </c>
      <c r="M250" s="852">
        <f>SUM(M247:M249)</f>
        <v>73110</v>
      </c>
      <c r="N250" s="852">
        <f>SUM(N247:N249)</f>
        <v>74790</v>
      </c>
      <c r="O250" s="852">
        <f>SUM(O247:O249)</f>
        <v>76510</v>
      </c>
    </row>
    <row r="251" spans="1:15" ht="12.75" customHeight="1" thickTop="1" x14ac:dyDescent="0.25">
      <c r="A251" s="795"/>
      <c r="D251" s="851"/>
      <c r="E251" s="851"/>
      <c r="F251" s="851"/>
      <c r="G251" s="823"/>
      <c r="I251" s="807"/>
      <c r="J251" s="802"/>
      <c r="K251" s="802"/>
      <c r="L251" s="802"/>
      <c r="M251" s="802"/>
      <c r="N251" s="802"/>
      <c r="O251" s="802"/>
    </row>
    <row r="252" spans="1:15" ht="12.75" customHeight="1" x14ac:dyDescent="0.25">
      <c r="A252" s="795"/>
      <c r="D252" s="914">
        <v>636033</v>
      </c>
      <c r="E252" s="851"/>
      <c r="F252" s="851"/>
      <c r="G252" s="820" t="s">
        <v>5364</v>
      </c>
      <c r="I252" s="807"/>
      <c r="J252" s="802"/>
      <c r="K252" s="802"/>
      <c r="L252" s="802"/>
      <c r="M252" s="802"/>
      <c r="N252" s="802"/>
      <c r="O252" s="802"/>
    </row>
    <row r="253" spans="1:15" ht="12.75" customHeight="1" x14ac:dyDescent="0.25">
      <c r="A253" s="795"/>
      <c r="D253" s="851"/>
      <c r="E253" s="851"/>
      <c r="F253" s="851"/>
      <c r="G253" s="822" t="s">
        <v>533</v>
      </c>
      <c r="I253" s="807"/>
      <c r="J253" s="802"/>
      <c r="K253" s="802"/>
      <c r="L253" s="802"/>
      <c r="M253" s="802"/>
      <c r="N253" s="802"/>
      <c r="O253" s="802"/>
    </row>
    <row r="254" spans="1:15" ht="12.75" customHeight="1" x14ac:dyDescent="0.25">
      <c r="A254" s="795"/>
      <c r="D254" s="851">
        <v>43812</v>
      </c>
      <c r="E254" s="851"/>
      <c r="F254" s="851"/>
      <c r="G254" s="1002" t="s">
        <v>535</v>
      </c>
      <c r="I254" s="807"/>
      <c r="J254" s="2270">
        <v>0</v>
      </c>
      <c r="K254" s="2270">
        <v>1500000</v>
      </c>
      <c r="L254" s="2270">
        <v>0</v>
      </c>
      <c r="M254" s="2270">
        <v>0</v>
      </c>
      <c r="N254" s="2270">
        <v>0</v>
      </c>
      <c r="O254" s="2270">
        <v>0</v>
      </c>
    </row>
    <row r="255" spans="1:15" ht="12.75" customHeight="1" thickBot="1" x14ac:dyDescent="0.3">
      <c r="A255" s="795"/>
      <c r="D255" s="851"/>
      <c r="E255" s="851"/>
      <c r="F255" s="851"/>
      <c r="G255" s="823"/>
      <c r="I255" s="807"/>
      <c r="J255" s="852">
        <f>SUM(J254)</f>
        <v>0</v>
      </c>
      <c r="K255" s="852">
        <f t="shared" ref="K255:O255" si="89">SUM(K254)</f>
        <v>1500000</v>
      </c>
      <c r="L255" s="852">
        <f t="shared" si="89"/>
        <v>0</v>
      </c>
      <c r="M255" s="852">
        <f t="shared" si="89"/>
        <v>0</v>
      </c>
      <c r="N255" s="852">
        <f t="shared" si="89"/>
        <v>0</v>
      </c>
      <c r="O255" s="852">
        <f t="shared" si="89"/>
        <v>0</v>
      </c>
    </row>
    <row r="256" spans="1:15" ht="12.75" customHeight="1" thickTop="1" x14ac:dyDescent="0.25">
      <c r="A256" s="795"/>
      <c r="D256" s="851"/>
      <c r="E256" s="851"/>
      <c r="F256" s="851"/>
      <c r="G256" s="823"/>
      <c r="I256" s="807"/>
      <c r="J256" s="802"/>
      <c r="K256" s="802"/>
      <c r="L256" s="802"/>
      <c r="M256" s="802"/>
      <c r="N256" s="802"/>
      <c r="O256" s="802"/>
    </row>
    <row r="257" spans="1:15" ht="12.75" customHeight="1" x14ac:dyDescent="0.25">
      <c r="A257" s="795"/>
      <c r="D257" s="913">
        <v>636036</v>
      </c>
      <c r="E257" s="914"/>
      <c r="F257" s="914"/>
      <c r="G257" s="820" t="s">
        <v>4071</v>
      </c>
      <c r="I257" s="807"/>
      <c r="J257" s="802"/>
      <c r="K257" s="802"/>
      <c r="L257" s="802"/>
      <c r="M257" s="802"/>
      <c r="N257" s="802"/>
      <c r="O257" s="802"/>
    </row>
    <row r="258" spans="1:15" ht="12.75" customHeight="1" x14ac:dyDescent="0.25">
      <c r="A258" s="795"/>
      <c r="D258" s="851"/>
      <c r="E258" s="851"/>
      <c r="F258" s="851"/>
      <c r="G258" s="822" t="s">
        <v>533</v>
      </c>
      <c r="I258" s="807"/>
      <c r="J258" s="802"/>
      <c r="K258" s="802"/>
      <c r="L258" s="802"/>
      <c r="M258" s="802"/>
      <c r="N258" s="802"/>
      <c r="O258" s="802"/>
    </row>
    <row r="259" spans="1:15" ht="12.75" customHeight="1" x14ac:dyDescent="0.25">
      <c r="A259" s="795">
        <f>+D257</f>
        <v>636036</v>
      </c>
      <c r="B259" s="791" t="str">
        <f>+G257</f>
        <v>BS Valpreventie</v>
      </c>
      <c r="D259" s="821">
        <v>44380</v>
      </c>
      <c r="E259" s="821"/>
      <c r="F259" s="821"/>
      <c r="G259" s="823" t="s">
        <v>4055</v>
      </c>
      <c r="I259" s="807"/>
      <c r="J259" s="802">
        <v>70914</v>
      </c>
      <c r="K259" s="802">
        <f t="shared" ref="K259:M259" si="90">K505</f>
        <v>26172</v>
      </c>
      <c r="L259" s="802">
        <f t="shared" si="90"/>
        <v>26172</v>
      </c>
      <c r="M259" s="802">
        <f t="shared" si="90"/>
        <v>26172</v>
      </c>
      <c r="N259" s="802">
        <f t="shared" ref="N259:O259" si="91">N505</f>
        <v>26172</v>
      </c>
      <c r="O259" s="802">
        <f t="shared" si="91"/>
        <v>26172</v>
      </c>
    </row>
    <row r="260" spans="1:15" ht="12.75" customHeight="1" thickBot="1" x14ac:dyDescent="0.3">
      <c r="A260" s="795"/>
      <c r="D260" s="851"/>
      <c r="E260" s="851"/>
      <c r="F260" s="851"/>
      <c r="G260" s="823" t="s">
        <v>536</v>
      </c>
      <c r="I260" s="807"/>
      <c r="J260" s="852">
        <v>70914</v>
      </c>
      <c r="K260" s="852">
        <f>SUM(K257:K259)</f>
        <v>26172</v>
      </c>
      <c r="L260" s="852">
        <f>SUM(L257:L259)</f>
        <v>26172</v>
      </c>
      <c r="M260" s="852">
        <f>SUM(M257:M259)</f>
        <v>26172</v>
      </c>
      <c r="N260" s="852">
        <f>SUM(N257:N259)</f>
        <v>26172</v>
      </c>
      <c r="O260" s="852">
        <f>SUM(O257:O259)</f>
        <v>26172</v>
      </c>
    </row>
    <row r="261" spans="1:15" ht="12.75" customHeight="1" thickTop="1" x14ac:dyDescent="0.25">
      <c r="A261" s="795"/>
      <c r="D261" s="851"/>
      <c r="E261" s="851"/>
      <c r="F261" s="851"/>
      <c r="G261" s="823"/>
      <c r="I261" s="807"/>
      <c r="J261" s="802"/>
      <c r="K261" s="802"/>
      <c r="L261" s="802"/>
      <c r="M261" s="802"/>
      <c r="N261" s="802"/>
      <c r="O261" s="802"/>
    </row>
    <row r="262" spans="1:15" ht="12.75" customHeight="1" x14ac:dyDescent="0.25">
      <c r="A262" s="795"/>
      <c r="D262" s="913">
        <v>636037</v>
      </c>
      <c r="E262" s="914"/>
      <c r="F262" s="914"/>
      <c r="G262" s="987" t="s">
        <v>4072</v>
      </c>
      <c r="I262" s="807"/>
      <c r="J262" s="802"/>
      <c r="K262" s="802"/>
      <c r="L262" s="802"/>
      <c r="M262" s="802"/>
      <c r="N262" s="802"/>
      <c r="O262" s="802"/>
    </row>
    <row r="263" spans="1:15" ht="12.75" customHeight="1" x14ac:dyDescent="0.25">
      <c r="A263" s="795"/>
      <c r="D263" s="851"/>
      <c r="E263" s="851"/>
      <c r="F263" s="851"/>
      <c r="G263" s="822" t="s">
        <v>533</v>
      </c>
      <c r="I263" s="807"/>
      <c r="J263" s="802"/>
      <c r="K263" s="802"/>
      <c r="L263" s="802"/>
      <c r="M263" s="802"/>
      <c r="N263" s="802"/>
      <c r="O263" s="802"/>
    </row>
    <row r="264" spans="1:15" ht="12.75" customHeight="1" x14ac:dyDescent="0.25">
      <c r="A264" s="795">
        <f>+D262</f>
        <v>636037</v>
      </c>
      <c r="B264" s="791" t="str">
        <f>+G262</f>
        <v>BS Versterken sociale basis</v>
      </c>
      <c r="D264" s="821">
        <v>44380</v>
      </c>
      <c r="E264" s="821"/>
      <c r="F264" s="821"/>
      <c r="G264" s="823" t="s">
        <v>4055</v>
      </c>
      <c r="I264" s="807"/>
      <c r="J264" s="802">
        <v>53745</v>
      </c>
      <c r="K264" s="802">
        <f t="shared" ref="K264:M264" si="92">K510</f>
        <v>41972</v>
      </c>
      <c r="L264" s="802">
        <f t="shared" si="92"/>
        <v>41972</v>
      </c>
      <c r="M264" s="802">
        <f t="shared" si="92"/>
        <v>41972</v>
      </c>
      <c r="N264" s="802">
        <f t="shared" ref="N264:O264" si="93">N510</f>
        <v>41972</v>
      </c>
      <c r="O264" s="802">
        <f t="shared" si="93"/>
        <v>41972</v>
      </c>
    </row>
    <row r="265" spans="1:15" ht="12.75" customHeight="1" thickBot="1" x14ac:dyDescent="0.3">
      <c r="A265" s="795"/>
      <c r="D265" s="851"/>
      <c r="E265" s="851"/>
      <c r="F265" s="851"/>
      <c r="G265" s="823" t="s">
        <v>536</v>
      </c>
      <c r="I265" s="807"/>
      <c r="J265" s="852">
        <v>53745</v>
      </c>
      <c r="K265" s="852">
        <f>SUM(K262:K264)</f>
        <v>41972</v>
      </c>
      <c r="L265" s="852">
        <f>SUM(L262:L264)</f>
        <v>41972</v>
      </c>
      <c r="M265" s="852">
        <f>SUM(M262:M264)</f>
        <v>41972</v>
      </c>
      <c r="N265" s="852">
        <f>SUM(N262:N264)</f>
        <v>41972</v>
      </c>
      <c r="O265" s="852">
        <f>SUM(O262:O264)</f>
        <v>41972</v>
      </c>
    </row>
    <row r="266" spans="1:15" ht="12.75" customHeight="1" thickTop="1" x14ac:dyDescent="0.25">
      <c r="A266" s="795"/>
      <c r="D266" s="851"/>
      <c r="E266" s="851"/>
      <c r="F266" s="851"/>
      <c r="G266" s="823"/>
      <c r="I266" s="807"/>
      <c r="J266" s="802"/>
      <c r="K266" s="802"/>
      <c r="L266" s="802"/>
      <c r="M266" s="802"/>
      <c r="N266" s="802"/>
      <c r="O266" s="802"/>
    </row>
    <row r="267" spans="1:15" ht="12.75" customHeight="1" x14ac:dyDescent="0.25">
      <c r="A267" s="795"/>
      <c r="D267" s="913">
        <v>636038</v>
      </c>
      <c r="E267" s="914"/>
      <c r="F267" s="914"/>
      <c r="G267" s="987" t="s">
        <v>4073</v>
      </c>
      <c r="I267" s="807"/>
      <c r="J267" s="802"/>
      <c r="K267" s="802"/>
      <c r="L267" s="802"/>
      <c r="M267" s="802"/>
      <c r="N267" s="802"/>
      <c r="O267" s="802"/>
    </row>
    <row r="268" spans="1:15" ht="12.75" customHeight="1" x14ac:dyDescent="0.25">
      <c r="A268" s="795"/>
      <c r="D268" s="851"/>
      <c r="E268" s="851"/>
      <c r="F268" s="851"/>
      <c r="G268" s="822" t="s">
        <v>533</v>
      </c>
      <c r="I268" s="807"/>
      <c r="J268" s="802"/>
      <c r="K268" s="802"/>
      <c r="L268" s="802"/>
      <c r="M268" s="802"/>
      <c r="N268" s="802"/>
      <c r="O268" s="802"/>
    </row>
    <row r="269" spans="1:15" ht="12.75" customHeight="1" x14ac:dyDescent="0.25">
      <c r="A269" s="795">
        <f>+D267</f>
        <v>636038</v>
      </c>
      <c r="B269" s="791" t="str">
        <f>+G267</f>
        <v>BS Mantelzorg</v>
      </c>
      <c r="D269" s="821">
        <v>44380</v>
      </c>
      <c r="E269" s="821"/>
      <c r="F269" s="821"/>
      <c r="G269" s="823" t="s">
        <v>4055</v>
      </c>
      <c r="I269" s="807"/>
      <c r="J269" s="802">
        <v>14929</v>
      </c>
      <c r="K269" s="802">
        <f t="shared" ref="K269:M269" si="94">K515</f>
        <v>13990</v>
      </c>
      <c r="L269" s="802">
        <f t="shared" si="94"/>
        <v>13990</v>
      </c>
      <c r="M269" s="802">
        <f t="shared" si="94"/>
        <v>13990</v>
      </c>
      <c r="N269" s="802">
        <f t="shared" ref="N269:O269" si="95">N515</f>
        <v>13990</v>
      </c>
      <c r="O269" s="802">
        <f t="shared" si="95"/>
        <v>13990</v>
      </c>
    </row>
    <row r="270" spans="1:15" ht="12.75" customHeight="1" thickBot="1" x14ac:dyDescent="0.3">
      <c r="A270" s="795"/>
      <c r="D270" s="851"/>
      <c r="E270" s="851"/>
      <c r="F270" s="851"/>
      <c r="G270" s="823" t="s">
        <v>536</v>
      </c>
      <c r="I270" s="807"/>
      <c r="J270" s="852">
        <v>14929</v>
      </c>
      <c r="K270" s="852">
        <f t="shared" ref="K270:M270" si="96">SUM(K268:K269)</f>
        <v>13990</v>
      </c>
      <c r="L270" s="852">
        <f t="shared" si="96"/>
        <v>13990</v>
      </c>
      <c r="M270" s="852">
        <f t="shared" si="96"/>
        <v>13990</v>
      </c>
      <c r="N270" s="852">
        <f t="shared" ref="N270:O270" si="97">SUM(N268:N269)</f>
        <v>13990</v>
      </c>
      <c r="O270" s="852">
        <f t="shared" si="97"/>
        <v>13990</v>
      </c>
    </row>
    <row r="271" spans="1:15" ht="12.75" customHeight="1" thickTop="1" x14ac:dyDescent="0.25">
      <c r="A271" s="795"/>
      <c r="D271" s="851"/>
      <c r="E271" s="851"/>
      <c r="F271" s="851"/>
      <c r="G271" s="823"/>
      <c r="I271" s="807"/>
      <c r="J271" s="802"/>
      <c r="K271" s="802"/>
      <c r="L271" s="802"/>
      <c r="M271" s="802"/>
      <c r="N271" s="802"/>
      <c r="O271" s="802"/>
    </row>
    <row r="272" spans="1:15" ht="12.75" customHeight="1" x14ac:dyDescent="0.25">
      <c r="A272" s="795"/>
      <c r="D272" s="913">
        <v>636039</v>
      </c>
      <c r="E272" s="914"/>
      <c r="F272" s="914"/>
      <c r="G272" s="987" t="s">
        <v>4074</v>
      </c>
      <c r="I272" s="807"/>
      <c r="J272" s="802"/>
      <c r="K272" s="802"/>
      <c r="L272" s="802"/>
      <c r="M272" s="802"/>
      <c r="N272" s="802"/>
      <c r="O272" s="802"/>
    </row>
    <row r="273" spans="1:15" ht="12.75" customHeight="1" x14ac:dyDescent="0.25">
      <c r="A273" s="795"/>
      <c r="D273" s="851"/>
      <c r="E273" s="851"/>
      <c r="F273" s="851"/>
      <c r="G273" s="822" t="s">
        <v>533</v>
      </c>
      <c r="I273" s="807"/>
      <c r="J273" s="802"/>
      <c r="K273" s="802"/>
      <c r="L273" s="802"/>
      <c r="M273" s="802"/>
      <c r="N273" s="802"/>
      <c r="O273" s="802"/>
    </row>
    <row r="274" spans="1:15" ht="12.75" customHeight="1" x14ac:dyDescent="0.25">
      <c r="A274" s="795">
        <f>+D272</f>
        <v>636039</v>
      </c>
      <c r="B274" s="791" t="str">
        <f>+G272</f>
        <v>BS Eén tegen eenzaamheid</v>
      </c>
      <c r="D274" s="821">
        <v>44380</v>
      </c>
      <c r="E274" s="821"/>
      <c r="F274" s="821"/>
      <c r="G274" s="823" t="s">
        <v>4055</v>
      </c>
      <c r="I274" s="807"/>
      <c r="J274" s="802">
        <v>11943</v>
      </c>
      <c r="K274" s="802">
        <f t="shared" ref="K274:M274" si="98">K520</f>
        <v>0</v>
      </c>
      <c r="L274" s="802">
        <f t="shared" si="98"/>
        <v>0</v>
      </c>
      <c r="M274" s="802">
        <f t="shared" si="98"/>
        <v>0</v>
      </c>
      <c r="N274" s="802">
        <f t="shared" ref="N274:O274" si="99">N520</f>
        <v>0</v>
      </c>
      <c r="O274" s="802">
        <f t="shared" si="99"/>
        <v>0</v>
      </c>
    </row>
    <row r="275" spans="1:15" ht="12.75" customHeight="1" thickBot="1" x14ac:dyDescent="0.3">
      <c r="A275" s="795"/>
      <c r="D275" s="851"/>
      <c r="E275" s="851"/>
      <c r="F275" s="851"/>
      <c r="G275" s="823" t="s">
        <v>536</v>
      </c>
      <c r="I275" s="807"/>
      <c r="J275" s="852">
        <v>11943</v>
      </c>
      <c r="K275" s="852">
        <f t="shared" ref="K275:M275" si="100">SUM(K273:K274)</f>
        <v>0</v>
      </c>
      <c r="L275" s="852">
        <f t="shared" si="100"/>
        <v>0</v>
      </c>
      <c r="M275" s="852">
        <f t="shared" si="100"/>
        <v>0</v>
      </c>
      <c r="N275" s="852">
        <f t="shared" ref="N275:O275" si="101">SUM(N273:N274)</f>
        <v>0</v>
      </c>
      <c r="O275" s="852">
        <f t="shared" si="101"/>
        <v>0</v>
      </c>
    </row>
    <row r="276" spans="1:15" ht="12.75" customHeight="1" thickTop="1" x14ac:dyDescent="0.25">
      <c r="A276" s="795"/>
      <c r="D276" s="851"/>
      <c r="E276" s="851"/>
      <c r="F276" s="851"/>
      <c r="G276" s="823"/>
      <c r="I276" s="807"/>
      <c r="J276" s="802"/>
      <c r="K276" s="802"/>
      <c r="L276" s="802"/>
      <c r="M276" s="802"/>
      <c r="N276" s="802"/>
      <c r="O276" s="802"/>
    </row>
    <row r="277" spans="1:15" ht="12.75" customHeight="1" x14ac:dyDescent="0.25">
      <c r="A277" s="795"/>
      <c r="D277" s="913">
        <v>636040</v>
      </c>
      <c r="E277" s="914"/>
      <c r="F277" s="914"/>
      <c r="G277" s="987" t="s">
        <v>4075</v>
      </c>
      <c r="I277" s="807"/>
      <c r="J277" s="802"/>
      <c r="K277" s="802"/>
      <c r="L277" s="802"/>
      <c r="M277" s="802"/>
      <c r="N277" s="802"/>
      <c r="O277" s="802"/>
    </row>
    <row r="278" spans="1:15" ht="12.75" customHeight="1" x14ac:dyDescent="0.25">
      <c r="A278" s="795"/>
      <c r="D278" s="851"/>
      <c r="E278" s="851"/>
      <c r="F278" s="851"/>
      <c r="G278" s="822" t="s">
        <v>533</v>
      </c>
      <c r="I278" s="807"/>
      <c r="J278" s="802"/>
      <c r="K278" s="802"/>
      <c r="L278" s="802"/>
      <c r="M278" s="802"/>
      <c r="N278" s="802"/>
      <c r="O278" s="802"/>
    </row>
    <row r="279" spans="1:15" ht="12.75" customHeight="1" x14ac:dyDescent="0.25">
      <c r="A279" s="795">
        <f>+D277</f>
        <v>636040</v>
      </c>
      <c r="B279" s="791" t="str">
        <f>+G277</f>
        <v>BS Welzijn op recept</v>
      </c>
      <c r="D279" s="821">
        <v>44380</v>
      </c>
      <c r="E279" s="821"/>
      <c r="F279" s="821"/>
      <c r="G279" s="823" t="s">
        <v>4055</v>
      </c>
      <c r="I279" s="807"/>
      <c r="J279" s="802">
        <v>17169</v>
      </c>
      <c r="K279" s="802">
        <f t="shared" ref="K279:M279" si="102">K525</f>
        <v>20987</v>
      </c>
      <c r="L279" s="802">
        <f t="shared" si="102"/>
        <v>20987</v>
      </c>
      <c r="M279" s="802">
        <f t="shared" si="102"/>
        <v>20987</v>
      </c>
      <c r="N279" s="802">
        <f t="shared" ref="N279:O279" si="103">N525</f>
        <v>20987</v>
      </c>
      <c r="O279" s="802">
        <f t="shared" si="103"/>
        <v>20987</v>
      </c>
    </row>
    <row r="280" spans="1:15" ht="12.75" customHeight="1" thickBot="1" x14ac:dyDescent="0.3">
      <c r="A280" s="795"/>
      <c r="D280" s="851"/>
      <c r="E280" s="851"/>
      <c r="F280" s="851"/>
      <c r="G280" s="823" t="s">
        <v>536</v>
      </c>
      <c r="I280" s="807"/>
      <c r="J280" s="852">
        <v>17169</v>
      </c>
      <c r="K280" s="852">
        <f t="shared" ref="K280:M280" si="104">SUM(K278:K279)</f>
        <v>20987</v>
      </c>
      <c r="L280" s="852">
        <f t="shared" si="104"/>
        <v>20987</v>
      </c>
      <c r="M280" s="852">
        <f t="shared" si="104"/>
        <v>20987</v>
      </c>
      <c r="N280" s="852">
        <f t="shared" ref="N280:O280" si="105">SUM(N278:N279)</f>
        <v>20987</v>
      </c>
      <c r="O280" s="852">
        <f t="shared" si="105"/>
        <v>20987</v>
      </c>
    </row>
    <row r="281" spans="1:15" ht="12.75" customHeight="1" thickTop="1" x14ac:dyDescent="0.25">
      <c r="A281" s="795"/>
      <c r="D281" s="851"/>
      <c r="E281" s="851"/>
      <c r="F281" s="851"/>
      <c r="G281" s="823"/>
      <c r="I281" s="807"/>
      <c r="J281" s="802"/>
      <c r="K281" s="802"/>
      <c r="L281" s="802"/>
      <c r="M281" s="802"/>
      <c r="N281" s="802"/>
      <c r="O281" s="802"/>
    </row>
    <row r="282" spans="1:15" ht="12.75" customHeight="1" x14ac:dyDescent="0.25">
      <c r="A282" s="1000"/>
      <c r="B282" s="842"/>
      <c r="D282" s="913">
        <v>636042</v>
      </c>
      <c r="E282" s="851"/>
      <c r="F282" s="851"/>
      <c r="G282" s="820" t="s">
        <v>4032</v>
      </c>
      <c r="I282" s="807"/>
      <c r="J282" s="807"/>
      <c r="K282" s="807"/>
      <c r="L282" s="807"/>
      <c r="M282" s="807"/>
      <c r="N282" s="807"/>
      <c r="O282" s="807"/>
    </row>
    <row r="283" spans="1:15" ht="12.75" customHeight="1" x14ac:dyDescent="0.25">
      <c r="A283" s="795"/>
      <c r="D283" s="851"/>
      <c r="E283" s="851"/>
      <c r="F283" s="851"/>
      <c r="G283" s="822" t="s">
        <v>533</v>
      </c>
      <c r="I283" s="807"/>
      <c r="J283" s="807"/>
      <c r="K283" s="807"/>
      <c r="L283" s="807"/>
      <c r="M283" s="807"/>
      <c r="N283" s="807"/>
      <c r="O283" s="807"/>
    </row>
    <row r="284" spans="1:15" ht="12.75" customHeight="1" x14ac:dyDescent="0.25">
      <c r="A284" s="933">
        <v>636042</v>
      </c>
      <c r="B284" s="842" t="s">
        <v>4032</v>
      </c>
      <c r="D284" s="851">
        <v>43812</v>
      </c>
      <c r="E284" s="851"/>
      <c r="F284" s="851"/>
      <c r="G284" s="823" t="s">
        <v>535</v>
      </c>
      <c r="I284" s="807"/>
      <c r="J284" s="807">
        <v>0</v>
      </c>
      <c r="K284" s="807">
        <f>K530</f>
        <v>27700</v>
      </c>
      <c r="L284" s="807">
        <f t="shared" ref="L284:N284" si="106">L530</f>
        <v>28280</v>
      </c>
      <c r="M284" s="807">
        <f t="shared" si="106"/>
        <v>28930</v>
      </c>
      <c r="N284" s="807">
        <f t="shared" si="106"/>
        <v>29600</v>
      </c>
      <c r="O284" s="807">
        <f t="shared" ref="O284" si="107">O530</f>
        <v>30280</v>
      </c>
    </row>
    <row r="285" spans="1:15" ht="12.75" customHeight="1" thickBot="1" x14ac:dyDescent="0.3">
      <c r="A285" s="795"/>
      <c r="D285" s="851"/>
      <c r="E285" s="851"/>
      <c r="F285" s="851"/>
      <c r="G285" s="823"/>
      <c r="I285" s="807"/>
      <c r="J285" s="852">
        <v>0</v>
      </c>
      <c r="K285" s="825">
        <f>SUM(K284)</f>
        <v>27700</v>
      </c>
      <c r="L285" s="825">
        <f t="shared" ref="L285:N285" si="108">SUM(L284)</f>
        <v>28280</v>
      </c>
      <c r="M285" s="825">
        <f t="shared" si="108"/>
        <v>28930</v>
      </c>
      <c r="N285" s="825">
        <f t="shared" si="108"/>
        <v>29600</v>
      </c>
      <c r="O285" s="825">
        <f t="shared" ref="O285" si="109">SUM(O284)</f>
        <v>30280</v>
      </c>
    </row>
    <row r="286" spans="1:15" ht="12.75" customHeight="1" thickTop="1" x14ac:dyDescent="0.25">
      <c r="A286" s="795"/>
      <c r="D286" s="851"/>
      <c r="E286" s="851"/>
      <c r="F286" s="851"/>
      <c r="G286" s="823"/>
      <c r="I286" s="807"/>
      <c r="J286" s="807"/>
      <c r="K286" s="807"/>
      <c r="L286" s="807"/>
      <c r="M286" s="807"/>
      <c r="N286" s="807"/>
      <c r="O286" s="807"/>
    </row>
    <row r="287" spans="1:15" ht="12.75" customHeight="1" x14ac:dyDescent="0.25">
      <c r="D287" s="913">
        <v>636043</v>
      </c>
      <c r="E287" s="851"/>
      <c r="F287" s="851"/>
      <c r="G287" s="820" t="s">
        <v>4033</v>
      </c>
      <c r="I287" s="807"/>
      <c r="J287" s="807"/>
      <c r="K287" s="807"/>
      <c r="L287" s="807"/>
      <c r="M287" s="807"/>
      <c r="N287" s="807"/>
      <c r="O287" s="807"/>
    </row>
    <row r="288" spans="1:15" ht="12.75" customHeight="1" x14ac:dyDescent="0.25">
      <c r="A288" s="795"/>
      <c r="D288" s="851"/>
      <c r="E288" s="851"/>
      <c r="F288" s="851"/>
      <c r="G288" s="822" t="s">
        <v>533</v>
      </c>
      <c r="I288" s="807"/>
      <c r="J288" s="807"/>
      <c r="K288" s="807"/>
      <c r="L288" s="807"/>
      <c r="M288" s="807"/>
      <c r="N288" s="807"/>
      <c r="O288" s="807"/>
    </row>
    <row r="289" spans="1:15" ht="12.75" customHeight="1" x14ac:dyDescent="0.25">
      <c r="A289" s="795">
        <f>D287</f>
        <v>636043</v>
      </c>
      <c r="B289" s="791" t="str">
        <f>G287</f>
        <v>Uitvoering inclusie-agenda</v>
      </c>
      <c r="D289" s="851">
        <v>43812</v>
      </c>
      <c r="E289" s="851"/>
      <c r="F289" s="851"/>
      <c r="G289" s="823" t="s">
        <v>535</v>
      </c>
      <c r="I289" s="807"/>
      <c r="J289" s="807">
        <v>0</v>
      </c>
      <c r="K289" s="807">
        <f>K535</f>
        <v>10260</v>
      </c>
      <c r="L289" s="807">
        <f t="shared" ref="L289:N289" si="110">L535</f>
        <v>10480</v>
      </c>
      <c r="M289" s="807">
        <f t="shared" si="110"/>
        <v>10720</v>
      </c>
      <c r="N289" s="807">
        <f t="shared" si="110"/>
        <v>10970</v>
      </c>
      <c r="O289" s="807">
        <f t="shared" ref="O289" si="111">O535</f>
        <v>11220</v>
      </c>
    </row>
    <row r="290" spans="1:15" ht="12.75" customHeight="1" thickBot="1" x14ac:dyDescent="0.3">
      <c r="A290" s="795"/>
      <c r="D290" s="851"/>
      <c r="E290" s="851"/>
      <c r="F290" s="851"/>
      <c r="G290" s="823"/>
      <c r="I290" s="807"/>
      <c r="J290" s="852">
        <v>0</v>
      </c>
      <c r="K290" s="825">
        <f>SUM(K289)</f>
        <v>10260</v>
      </c>
      <c r="L290" s="825">
        <f t="shared" ref="L290:N290" si="112">SUM(L289)</f>
        <v>10480</v>
      </c>
      <c r="M290" s="825">
        <f t="shared" si="112"/>
        <v>10720</v>
      </c>
      <c r="N290" s="825">
        <f t="shared" si="112"/>
        <v>10970</v>
      </c>
      <c r="O290" s="825">
        <f t="shared" ref="O290" si="113">SUM(O289)</f>
        <v>11220</v>
      </c>
    </row>
    <row r="291" spans="1:15" ht="12.75" customHeight="1" thickTop="1" x14ac:dyDescent="0.25">
      <c r="A291" s="795"/>
      <c r="D291" s="851"/>
      <c r="E291" s="851"/>
      <c r="F291" s="851"/>
      <c r="G291" s="823"/>
      <c r="I291" s="807"/>
      <c r="J291" s="807"/>
      <c r="K291" s="807"/>
      <c r="L291" s="807"/>
      <c r="M291" s="807"/>
      <c r="N291" s="807"/>
      <c r="O291" s="807"/>
    </row>
    <row r="292" spans="1:15" ht="12.75" customHeight="1" x14ac:dyDescent="0.25">
      <c r="A292" s="795"/>
      <c r="D292" s="818">
        <v>636012</v>
      </c>
      <c r="E292" s="819"/>
      <c r="F292" s="914"/>
      <c r="G292" s="820" t="s">
        <v>4034</v>
      </c>
      <c r="I292" s="807"/>
      <c r="J292" s="807"/>
      <c r="K292" s="807"/>
      <c r="L292" s="807"/>
      <c r="M292" s="807"/>
      <c r="N292" s="807"/>
      <c r="O292" s="807"/>
    </row>
    <row r="293" spans="1:15" ht="12.75" customHeight="1" x14ac:dyDescent="0.25">
      <c r="A293" s="795"/>
      <c r="D293" s="851"/>
      <c r="E293" s="851"/>
      <c r="F293" s="851"/>
      <c r="G293" s="822" t="s">
        <v>554</v>
      </c>
      <c r="I293" s="807"/>
      <c r="J293" s="807"/>
      <c r="K293" s="807"/>
      <c r="L293" s="807"/>
      <c r="M293" s="807"/>
      <c r="N293" s="807"/>
      <c r="O293" s="807"/>
    </row>
    <row r="294" spans="1:15" ht="12.75" customHeight="1" x14ac:dyDescent="0.25">
      <c r="A294" s="795">
        <f>D292</f>
        <v>636012</v>
      </c>
      <c r="B294" s="791" t="str">
        <f>G292</f>
        <v>Koningin Emmalaan 27 (vso)</v>
      </c>
      <c r="D294" s="821">
        <v>83600</v>
      </c>
      <c r="E294" s="821"/>
      <c r="F294" s="821"/>
      <c r="G294" s="823" t="s">
        <v>1015</v>
      </c>
      <c r="I294" s="807"/>
      <c r="J294" s="807">
        <v>-22838</v>
      </c>
      <c r="K294" s="807">
        <f>'T61'!K540</f>
        <v>-23591</v>
      </c>
      <c r="L294" s="807">
        <f>'T61'!L540</f>
        <v>-24250.59</v>
      </c>
      <c r="M294" s="807">
        <f>'T61'!M540</f>
        <v>-24810</v>
      </c>
      <c r="N294" s="807">
        <f>'T61'!N540</f>
        <v>-25380</v>
      </c>
      <c r="O294" s="807">
        <f>'T61'!O540</f>
        <v>-25960</v>
      </c>
    </row>
    <row r="295" spans="1:15" ht="12.75" customHeight="1" thickBot="1" x14ac:dyDescent="0.3">
      <c r="A295" s="795"/>
      <c r="D295" s="851"/>
      <c r="E295" s="851"/>
      <c r="F295" s="851"/>
      <c r="G295" s="823" t="s">
        <v>536</v>
      </c>
      <c r="I295" s="807"/>
      <c r="J295" s="825">
        <v>-22838</v>
      </c>
      <c r="K295" s="825">
        <f>SUM(K293:K294)</f>
        <v>-23591</v>
      </c>
      <c r="L295" s="825">
        <f>SUM(L293:L294)</f>
        <v>-24250.59</v>
      </c>
      <c r="M295" s="825">
        <f>SUM(M293:M294)</f>
        <v>-24810</v>
      </c>
      <c r="N295" s="825">
        <f>SUM(N293:N294)</f>
        <v>-25380</v>
      </c>
      <c r="O295" s="825">
        <f>SUM(O293:O294)</f>
        <v>-25960</v>
      </c>
    </row>
    <row r="296" spans="1:15" ht="12.75" customHeight="1" thickTop="1" x14ac:dyDescent="0.25">
      <c r="A296" s="795"/>
      <c r="D296" s="851"/>
      <c r="E296" s="851"/>
      <c r="F296" s="851"/>
      <c r="G296" s="823"/>
      <c r="I296" s="807"/>
      <c r="J296" s="807"/>
      <c r="K296" s="807"/>
      <c r="L296" s="807"/>
      <c r="M296" s="807"/>
      <c r="N296" s="807"/>
      <c r="O296" s="807"/>
    </row>
    <row r="297" spans="1:15" ht="12.75" customHeight="1" x14ac:dyDescent="0.25">
      <c r="A297" s="795"/>
      <c r="D297" s="818">
        <v>636013</v>
      </c>
      <c r="E297" s="819"/>
      <c r="F297" s="914"/>
      <c r="G297" s="820" t="s">
        <v>4036</v>
      </c>
      <c r="I297" s="807"/>
      <c r="J297" s="807"/>
      <c r="K297" s="807"/>
      <c r="L297" s="807"/>
      <c r="M297" s="807"/>
      <c r="N297" s="807"/>
      <c r="O297" s="807"/>
    </row>
    <row r="298" spans="1:15" ht="12.75" customHeight="1" x14ac:dyDescent="0.25">
      <c r="A298" s="795"/>
      <c r="D298" s="851"/>
      <c r="E298" s="851"/>
      <c r="F298" s="851"/>
      <c r="G298" s="822" t="s">
        <v>554</v>
      </c>
      <c r="I298" s="807"/>
      <c r="J298" s="807"/>
      <c r="K298" s="807"/>
      <c r="L298" s="807"/>
      <c r="M298" s="807"/>
      <c r="N298" s="807"/>
      <c r="O298" s="807"/>
    </row>
    <row r="299" spans="1:15" ht="12.75" customHeight="1" x14ac:dyDescent="0.25">
      <c r="A299" s="795">
        <f>D297</f>
        <v>636013</v>
      </c>
      <c r="B299" s="791" t="str">
        <f>G297</f>
        <v>Vlinderhei 12 (vso)</v>
      </c>
      <c r="D299" s="821">
        <v>83600</v>
      </c>
      <c r="E299" s="821"/>
      <c r="F299" s="821"/>
      <c r="G299" s="823" t="s">
        <v>1015</v>
      </c>
      <c r="I299" s="807"/>
      <c r="J299" s="807">
        <v>-44881</v>
      </c>
      <c r="K299" s="807">
        <f>'T61'!K545</f>
        <v>-46361</v>
      </c>
      <c r="L299" s="807">
        <f>'T61'!L545</f>
        <v>-47658.03</v>
      </c>
      <c r="M299" s="807">
        <f>'T61'!M545</f>
        <v>-48750</v>
      </c>
      <c r="N299" s="807">
        <f>'T61'!N545</f>
        <v>-49870</v>
      </c>
      <c r="O299" s="807">
        <f>'T61'!O545</f>
        <v>-51020</v>
      </c>
    </row>
    <row r="300" spans="1:15" ht="12.75" customHeight="1" thickBot="1" x14ac:dyDescent="0.3">
      <c r="A300" s="795"/>
      <c r="D300" s="851"/>
      <c r="E300" s="851"/>
      <c r="F300" s="851"/>
      <c r="G300" s="823" t="s">
        <v>536</v>
      </c>
      <c r="I300" s="807"/>
      <c r="J300" s="825">
        <v>-44881</v>
      </c>
      <c r="K300" s="825">
        <f>SUM(K298:K299)</f>
        <v>-46361</v>
      </c>
      <c r="L300" s="825">
        <f>SUM(L298:L299)</f>
        <v>-47658.03</v>
      </c>
      <c r="M300" s="825">
        <f>SUM(M298:M299)</f>
        <v>-48750</v>
      </c>
      <c r="N300" s="825">
        <f>SUM(N298:N299)</f>
        <v>-49870</v>
      </c>
      <c r="O300" s="825">
        <f>SUM(O298:O299)</f>
        <v>-51020</v>
      </c>
    </row>
    <row r="301" spans="1:15" ht="12.75" customHeight="1" thickTop="1" x14ac:dyDescent="0.25">
      <c r="A301" s="795"/>
      <c r="D301" s="851"/>
      <c r="E301" s="851"/>
      <c r="F301" s="851"/>
      <c r="G301" s="823"/>
      <c r="I301" s="807"/>
      <c r="J301" s="807"/>
      <c r="K301" s="807"/>
      <c r="L301" s="807"/>
      <c r="M301" s="807"/>
      <c r="N301" s="807"/>
      <c r="O301" s="807"/>
    </row>
    <row r="302" spans="1:15" ht="12.75" customHeight="1" x14ac:dyDescent="0.25">
      <c r="A302" s="795"/>
      <c r="D302" s="913">
        <v>636016</v>
      </c>
      <c r="E302" s="819"/>
      <c r="F302" s="914"/>
      <c r="G302" s="820" t="s">
        <v>4039</v>
      </c>
      <c r="I302" s="807"/>
      <c r="J302" s="807"/>
      <c r="K302" s="807"/>
      <c r="L302" s="807"/>
      <c r="M302" s="807"/>
      <c r="N302" s="807"/>
      <c r="O302" s="807"/>
    </row>
    <row r="303" spans="1:15" ht="12.75" customHeight="1" x14ac:dyDescent="0.25">
      <c r="A303" s="795"/>
      <c r="D303" s="851"/>
      <c r="E303" s="851"/>
      <c r="F303" s="851"/>
      <c r="G303" s="822" t="s">
        <v>554</v>
      </c>
      <c r="I303" s="807"/>
      <c r="J303" s="807"/>
      <c r="K303" s="807"/>
      <c r="L303" s="807"/>
      <c r="M303" s="807"/>
      <c r="N303" s="807"/>
      <c r="O303" s="807"/>
    </row>
    <row r="304" spans="1:15" ht="12.75" customHeight="1" x14ac:dyDescent="0.25">
      <c r="A304" s="795">
        <f>D302</f>
        <v>636016</v>
      </c>
      <c r="B304" s="791" t="str">
        <f>G302</f>
        <v>Spar 2 (vso)</v>
      </c>
      <c r="D304" s="821">
        <v>83600</v>
      </c>
      <c r="E304" s="821"/>
      <c r="F304" s="821"/>
      <c r="G304" s="823" t="s">
        <v>1015</v>
      </c>
      <c r="I304" s="807"/>
      <c r="J304" s="807">
        <v>-22393</v>
      </c>
      <c r="K304" s="807">
        <f>'T61'!K550</f>
        <v>-23199</v>
      </c>
      <c r="L304" s="807">
        <f>'T61'!L550</f>
        <v>-23847.86</v>
      </c>
      <c r="M304" s="807">
        <f>'T61'!M550</f>
        <v>-24400</v>
      </c>
      <c r="N304" s="807">
        <f>'T61'!N550</f>
        <v>-24960</v>
      </c>
      <c r="O304" s="807">
        <f>'T61'!O550</f>
        <v>-25530</v>
      </c>
    </row>
    <row r="305" spans="1:15" ht="12.75" customHeight="1" thickBot="1" x14ac:dyDescent="0.3">
      <c r="A305" s="795"/>
      <c r="D305" s="851"/>
      <c r="E305" s="851"/>
      <c r="F305" s="851"/>
      <c r="G305" s="823" t="s">
        <v>536</v>
      </c>
      <c r="I305" s="807"/>
      <c r="J305" s="825">
        <v>-22393</v>
      </c>
      <c r="K305" s="825">
        <f>SUM(K303:K304)</f>
        <v>-23199</v>
      </c>
      <c r="L305" s="825">
        <f>SUM(L303:L304)</f>
        <v>-23847.86</v>
      </c>
      <c r="M305" s="825">
        <f>SUM(M303:M304)</f>
        <v>-24400</v>
      </c>
      <c r="N305" s="825">
        <f>SUM(N303:N304)</f>
        <v>-24960</v>
      </c>
      <c r="O305" s="825">
        <f>SUM(O303:O304)</f>
        <v>-25530</v>
      </c>
    </row>
    <row r="306" spans="1:15" ht="12.75" customHeight="1" thickTop="1" x14ac:dyDescent="0.25">
      <c r="A306" s="795"/>
      <c r="D306" s="851"/>
      <c r="E306" s="851"/>
      <c r="F306" s="851"/>
      <c r="G306" s="823"/>
      <c r="I306" s="807"/>
      <c r="J306" s="807"/>
      <c r="K306" s="807"/>
      <c r="L306" s="807"/>
      <c r="M306" s="807"/>
      <c r="N306" s="807"/>
      <c r="O306" s="807"/>
    </row>
    <row r="307" spans="1:15" ht="12.75" customHeight="1" x14ac:dyDescent="0.25">
      <c r="A307" s="795"/>
      <c r="D307" s="913">
        <v>636018</v>
      </c>
      <c r="E307" s="819"/>
      <c r="F307" s="914"/>
      <c r="G307" s="820" t="s">
        <v>4041</v>
      </c>
      <c r="I307" s="807"/>
      <c r="J307" s="807"/>
      <c r="K307" s="807"/>
      <c r="L307" s="807"/>
      <c r="M307" s="807"/>
      <c r="N307" s="807"/>
      <c r="O307" s="807"/>
    </row>
    <row r="308" spans="1:15" ht="12.75" customHeight="1" x14ac:dyDescent="0.25">
      <c r="A308" s="795"/>
      <c r="D308" s="851"/>
      <c r="E308" s="851"/>
      <c r="F308" s="851"/>
      <c r="G308" s="822" t="s">
        <v>554</v>
      </c>
      <c r="I308" s="807"/>
      <c r="J308" s="807"/>
      <c r="K308" s="807"/>
      <c r="L308" s="807"/>
      <c r="M308" s="807"/>
      <c r="N308" s="807"/>
      <c r="O308" s="807"/>
    </row>
    <row r="309" spans="1:15" ht="12.75" customHeight="1" x14ac:dyDescent="0.25">
      <c r="A309" s="795">
        <f>D307</f>
        <v>636018</v>
      </c>
      <c r="B309" s="791" t="str">
        <f>G307</f>
        <v>Trompstraat 39 (vso)</v>
      </c>
      <c r="D309" s="821">
        <v>83600</v>
      </c>
      <c r="E309" s="821"/>
      <c r="F309" s="821"/>
      <c r="G309" s="823" t="s">
        <v>1015</v>
      </c>
      <c r="I309" s="807"/>
      <c r="J309" s="807">
        <v>-80895</v>
      </c>
      <c r="K309" s="807">
        <f>'T61'!K555</f>
        <v>-83564</v>
      </c>
      <c r="L309" s="807">
        <f>'T61'!L555</f>
        <v>-85900.53</v>
      </c>
      <c r="M309" s="807">
        <f>'T61'!M555</f>
        <v>-87880</v>
      </c>
      <c r="N309" s="807">
        <f>'T61'!N555</f>
        <v>-89900</v>
      </c>
      <c r="O309" s="807">
        <f>'T61'!O555</f>
        <v>-91970</v>
      </c>
    </row>
    <row r="310" spans="1:15" ht="12.75" customHeight="1" thickBot="1" x14ac:dyDescent="0.3">
      <c r="A310" s="795"/>
      <c r="D310" s="851"/>
      <c r="E310" s="851"/>
      <c r="F310" s="851"/>
      <c r="G310" s="823" t="s">
        <v>536</v>
      </c>
      <c r="I310" s="807"/>
      <c r="J310" s="825">
        <v>-80895</v>
      </c>
      <c r="K310" s="825">
        <f>SUM(K308:K309)</f>
        <v>-83564</v>
      </c>
      <c r="L310" s="825">
        <f>SUM(L308:L309)</f>
        <v>-85900.53</v>
      </c>
      <c r="M310" s="825">
        <f>SUM(M308:M309)</f>
        <v>-87880</v>
      </c>
      <c r="N310" s="825">
        <f>SUM(N308:N309)</f>
        <v>-89900</v>
      </c>
      <c r="O310" s="825">
        <f>SUM(O308:O309)</f>
        <v>-91970</v>
      </c>
    </row>
    <row r="311" spans="1:15" ht="12.75" customHeight="1" thickTop="1" x14ac:dyDescent="0.25">
      <c r="A311" s="795"/>
      <c r="D311" s="851"/>
      <c r="E311" s="851"/>
      <c r="F311" s="851"/>
      <c r="G311" s="823"/>
      <c r="I311" s="807"/>
      <c r="J311" s="807"/>
      <c r="K311" s="807"/>
      <c r="L311" s="807"/>
      <c r="M311" s="807"/>
      <c r="N311" s="807"/>
      <c r="O311" s="807"/>
    </row>
    <row r="312" spans="1:15" ht="12.75" customHeight="1" x14ac:dyDescent="0.25">
      <c r="A312" s="795"/>
      <c r="D312" s="913">
        <v>636019</v>
      </c>
      <c r="E312" s="819"/>
      <c r="F312" s="914"/>
      <c r="G312" s="820" t="s">
        <v>4043</v>
      </c>
      <c r="I312" s="807"/>
      <c r="J312" s="807"/>
      <c r="K312" s="807"/>
      <c r="L312" s="807"/>
      <c r="M312" s="807"/>
      <c r="N312" s="807"/>
      <c r="O312" s="807"/>
    </row>
    <row r="313" spans="1:15" ht="12.75" customHeight="1" x14ac:dyDescent="0.25">
      <c r="A313" s="795"/>
      <c r="D313" s="851"/>
      <c r="E313" s="851"/>
      <c r="F313" s="851"/>
      <c r="G313" s="822" t="s">
        <v>554</v>
      </c>
      <c r="I313" s="807"/>
      <c r="J313" s="807"/>
      <c r="K313" s="807"/>
      <c r="L313" s="807"/>
      <c r="M313" s="807"/>
      <c r="N313" s="807"/>
      <c r="O313" s="807"/>
    </row>
    <row r="314" spans="1:15" ht="12.75" customHeight="1" x14ac:dyDescent="0.25">
      <c r="A314" s="795">
        <f>D312</f>
        <v>636019</v>
      </c>
      <c r="B314" s="791" t="str">
        <f>G312</f>
        <v>Vlinderhei 7 (vso)</v>
      </c>
      <c r="D314" s="821">
        <v>83600</v>
      </c>
      <c r="E314" s="821"/>
      <c r="F314" s="821"/>
      <c r="G314" s="823" t="s">
        <v>1010</v>
      </c>
      <c r="I314" s="807"/>
      <c r="J314" s="802">
        <v>-128131</v>
      </c>
      <c r="K314" s="802">
        <f>'T61'!K560</f>
        <v>-132357</v>
      </c>
      <c r="L314" s="802">
        <f>'T61'!L560</f>
        <v>-136058.95000000001</v>
      </c>
      <c r="M314" s="802">
        <f>'T61'!M560</f>
        <v>-139190</v>
      </c>
      <c r="N314" s="802">
        <f>'T61'!N560</f>
        <v>-142390</v>
      </c>
      <c r="O314" s="802">
        <f>'T61'!O560</f>
        <v>-145660</v>
      </c>
    </row>
    <row r="315" spans="1:15" ht="12.75" customHeight="1" thickBot="1" x14ac:dyDescent="0.3">
      <c r="A315" s="795"/>
      <c r="D315" s="851"/>
      <c r="E315" s="851"/>
      <c r="F315" s="851"/>
      <c r="G315" s="823" t="s">
        <v>536</v>
      </c>
      <c r="I315" s="807"/>
      <c r="J315" s="825">
        <v>-128131</v>
      </c>
      <c r="K315" s="825">
        <f>SUM(K313:K314)</f>
        <v>-132357</v>
      </c>
      <c r="L315" s="825">
        <f>SUM(L313:L314)</f>
        <v>-136058.95000000001</v>
      </c>
      <c r="M315" s="825">
        <f>SUM(M313:M314)</f>
        <v>-139190</v>
      </c>
      <c r="N315" s="825">
        <f>SUM(N313:N314)</f>
        <v>-142390</v>
      </c>
      <c r="O315" s="825">
        <f>SUM(O313:O314)</f>
        <v>-145660</v>
      </c>
    </row>
    <row r="316" spans="1:15" ht="12.75" customHeight="1" thickTop="1" x14ac:dyDescent="0.25">
      <c r="A316" s="795"/>
      <c r="D316" s="851"/>
      <c r="E316" s="851"/>
      <c r="F316" s="851"/>
      <c r="G316" s="823"/>
      <c r="I316" s="807"/>
      <c r="J316" s="807"/>
      <c r="K316" s="807"/>
      <c r="L316" s="807"/>
      <c r="M316" s="807"/>
      <c r="N316" s="807"/>
      <c r="O316" s="807"/>
    </row>
    <row r="317" spans="1:15" ht="12.75" customHeight="1" x14ac:dyDescent="0.25">
      <c r="A317" s="795"/>
      <c r="D317" s="913">
        <v>636020</v>
      </c>
      <c r="E317" s="819"/>
      <c r="F317" s="914"/>
      <c r="G317" s="820" t="s">
        <v>4076</v>
      </c>
      <c r="I317" s="807"/>
      <c r="J317" s="807"/>
      <c r="K317" s="807"/>
      <c r="L317" s="807"/>
      <c r="M317" s="807"/>
      <c r="N317" s="807"/>
      <c r="O317" s="807"/>
    </row>
    <row r="318" spans="1:15" ht="12.75" customHeight="1" x14ac:dyDescent="0.25">
      <c r="A318" s="795"/>
      <c r="D318" s="851"/>
      <c r="E318" s="851"/>
      <c r="F318" s="851"/>
      <c r="G318" s="822" t="s">
        <v>554</v>
      </c>
      <c r="I318" s="807"/>
      <c r="J318" s="807"/>
      <c r="K318" s="807"/>
      <c r="L318" s="807"/>
      <c r="M318" s="807"/>
      <c r="N318" s="807"/>
      <c r="O318" s="807"/>
    </row>
    <row r="319" spans="1:15" ht="12.75" customHeight="1" x14ac:dyDescent="0.25">
      <c r="A319" s="795">
        <f>D317</f>
        <v>636020</v>
      </c>
      <c r="B319" s="791" t="str">
        <f>G317</f>
        <v>Burg Notermansstraat 27 (vso)</v>
      </c>
      <c r="D319" s="821">
        <v>83600</v>
      </c>
      <c r="E319" s="821"/>
      <c r="F319" s="821"/>
      <c r="G319" s="823" t="s">
        <v>1015</v>
      </c>
      <c r="I319" s="807"/>
      <c r="J319" s="807">
        <v>-74988</v>
      </c>
      <c r="K319" s="807">
        <f>'T61'!K565</f>
        <v>0</v>
      </c>
      <c r="L319" s="807">
        <f>'T61'!L565</f>
        <v>0</v>
      </c>
      <c r="M319" s="807">
        <f>'T61'!M565</f>
        <v>0</v>
      </c>
      <c r="N319" s="807">
        <f>'T61'!N565</f>
        <v>0</v>
      </c>
      <c r="O319" s="807">
        <f>'T61'!O565</f>
        <v>0</v>
      </c>
    </row>
    <row r="320" spans="1:15" ht="12.75" customHeight="1" thickBot="1" x14ac:dyDescent="0.3">
      <c r="A320" s="795"/>
      <c r="D320" s="851"/>
      <c r="E320" s="851"/>
      <c r="F320" s="851"/>
      <c r="G320" s="823" t="s">
        <v>536</v>
      </c>
      <c r="I320" s="807"/>
      <c r="J320" s="825">
        <v>-74988</v>
      </c>
      <c r="K320" s="825">
        <f>SUM(K318:K319)</f>
        <v>0</v>
      </c>
      <c r="L320" s="825">
        <f>SUM(L318:L319)</f>
        <v>0</v>
      </c>
      <c r="M320" s="825">
        <f>SUM(M318:M319)</f>
        <v>0</v>
      </c>
      <c r="N320" s="825">
        <f>SUM(N318:N319)</f>
        <v>0</v>
      </c>
      <c r="O320" s="825">
        <f>SUM(O318:O319)</f>
        <v>0</v>
      </c>
    </row>
    <row r="321" spans="1:15" ht="12.75" customHeight="1" thickTop="1" x14ac:dyDescent="0.25">
      <c r="A321" s="795"/>
      <c r="D321" s="851"/>
      <c r="E321" s="851"/>
      <c r="F321" s="851"/>
      <c r="G321" s="823"/>
      <c r="I321" s="807"/>
      <c r="J321" s="807"/>
      <c r="K321" s="807"/>
      <c r="L321" s="807"/>
      <c r="M321" s="807"/>
      <c r="N321" s="807"/>
      <c r="O321" s="807"/>
    </row>
    <row r="322" spans="1:15" ht="12.75" customHeight="1" x14ac:dyDescent="0.25">
      <c r="A322" s="795"/>
      <c r="D322" s="818">
        <v>636007</v>
      </c>
      <c r="E322" s="914"/>
      <c r="F322" s="819"/>
      <c r="G322" s="820" t="s">
        <v>4062</v>
      </c>
      <c r="I322" s="807"/>
      <c r="J322" s="802"/>
      <c r="K322" s="802"/>
      <c r="L322" s="802"/>
      <c r="M322" s="802"/>
      <c r="N322" s="802"/>
      <c r="O322" s="802"/>
    </row>
    <row r="323" spans="1:15" ht="12.75" customHeight="1" x14ac:dyDescent="0.25">
      <c r="A323" s="795"/>
      <c r="D323" s="851"/>
      <c r="E323" s="851"/>
      <c r="F323" s="851"/>
      <c r="G323" s="822" t="s">
        <v>554</v>
      </c>
      <c r="I323" s="807"/>
      <c r="J323" s="802"/>
      <c r="K323" s="802"/>
      <c r="L323" s="802"/>
      <c r="M323" s="802"/>
      <c r="N323" s="802"/>
      <c r="O323" s="802"/>
    </row>
    <row r="324" spans="1:15" ht="12.75" customHeight="1" x14ac:dyDescent="0.25">
      <c r="A324" s="795">
        <f>D322</f>
        <v>636007</v>
      </c>
      <c r="B324" s="791" t="str">
        <f>G322</f>
        <v>Diverse buurtaccommodaties</v>
      </c>
      <c r="D324" s="821">
        <v>83600</v>
      </c>
      <c r="E324" s="821"/>
      <c r="F324" s="821"/>
      <c r="G324" s="823" t="s">
        <v>1010</v>
      </c>
      <c r="I324" s="807"/>
      <c r="J324" s="802">
        <v>-3290</v>
      </c>
      <c r="K324" s="802">
        <f t="shared" ref="K324:M324" si="114">K573</f>
        <v>-3408</v>
      </c>
      <c r="L324" s="802">
        <f t="shared" si="114"/>
        <v>-3502.67</v>
      </c>
      <c r="M324" s="802">
        <f t="shared" si="114"/>
        <v>-3582</v>
      </c>
      <c r="N324" s="802">
        <f t="shared" ref="N324:O324" si="115">N573</f>
        <v>-3672</v>
      </c>
      <c r="O324" s="802">
        <f t="shared" si="115"/>
        <v>-3762</v>
      </c>
    </row>
    <row r="325" spans="1:15" ht="12.75" customHeight="1" thickBot="1" x14ac:dyDescent="0.3">
      <c r="A325" s="795"/>
      <c r="D325" s="851"/>
      <c r="E325" s="851"/>
      <c r="F325" s="851"/>
      <c r="G325" s="823" t="s">
        <v>536</v>
      </c>
      <c r="I325" s="807"/>
      <c r="J325" s="852">
        <v>-3290</v>
      </c>
      <c r="K325" s="852">
        <f>SUM(K322:K324)</f>
        <v>-3408</v>
      </c>
      <c r="L325" s="852">
        <f>SUM(L322:L324)</f>
        <v>-3502.67</v>
      </c>
      <c r="M325" s="852">
        <f>SUM(M322:M324)</f>
        <v>-3582</v>
      </c>
      <c r="N325" s="852">
        <f>SUM(N322:N324)</f>
        <v>-3672</v>
      </c>
      <c r="O325" s="852">
        <f>SUM(O322:O324)</f>
        <v>-3762</v>
      </c>
    </row>
    <row r="326" spans="1:15" ht="12.75" customHeight="1" thickTop="1" x14ac:dyDescent="0.25">
      <c r="A326" s="795"/>
      <c r="D326" s="851"/>
      <c r="E326" s="851"/>
      <c r="F326" s="851"/>
      <c r="G326" s="823"/>
      <c r="I326" s="807"/>
      <c r="J326" s="802"/>
      <c r="K326" s="802"/>
      <c r="L326" s="802"/>
      <c r="M326" s="802"/>
      <c r="N326" s="802"/>
      <c r="O326" s="802"/>
    </row>
    <row r="327" spans="1:15" ht="12.75" customHeight="1" x14ac:dyDescent="0.25">
      <c r="A327" s="795"/>
      <c r="D327" s="818">
        <v>636008</v>
      </c>
      <c r="E327" s="819"/>
      <c r="F327" s="819"/>
      <c r="G327" s="820" t="s">
        <v>4077</v>
      </c>
      <c r="I327" s="807"/>
      <c r="J327" s="802"/>
      <c r="K327" s="802"/>
      <c r="L327" s="802"/>
      <c r="M327" s="802"/>
      <c r="N327" s="802"/>
      <c r="O327" s="802"/>
    </row>
    <row r="328" spans="1:15" ht="12.75" customHeight="1" x14ac:dyDescent="0.25">
      <c r="A328" s="795"/>
      <c r="D328" s="851"/>
      <c r="E328" s="851"/>
      <c r="F328" s="851"/>
      <c r="G328" s="822" t="s">
        <v>554</v>
      </c>
      <c r="I328" s="812"/>
      <c r="J328" s="802"/>
      <c r="K328" s="802"/>
      <c r="L328" s="802"/>
      <c r="M328" s="802"/>
      <c r="N328" s="802"/>
      <c r="O328" s="802"/>
    </row>
    <row r="329" spans="1:15" ht="12.75" customHeight="1" x14ac:dyDescent="0.25">
      <c r="A329" s="795">
        <f>D327</f>
        <v>636008</v>
      </c>
      <c r="B329" s="791" t="str">
        <f>G327</f>
        <v>Vlinderhei 16 (buurtvoorziening)</v>
      </c>
      <c r="D329" s="821">
        <v>83600</v>
      </c>
      <c r="E329" s="821"/>
      <c r="F329" s="821"/>
      <c r="G329" s="823" t="s">
        <v>1010</v>
      </c>
      <c r="I329" s="812"/>
      <c r="J329" s="802">
        <v>-10548</v>
      </c>
      <c r="K329" s="802">
        <f>K578</f>
        <v>-10928</v>
      </c>
      <c r="L329" s="802">
        <f>L578</f>
        <v>-11233.12</v>
      </c>
      <c r="M329" s="802">
        <f>M578</f>
        <v>-11490</v>
      </c>
      <c r="N329" s="802">
        <f>N578</f>
        <v>-11750</v>
      </c>
      <c r="O329" s="802">
        <f>O578</f>
        <v>-12020</v>
      </c>
    </row>
    <row r="330" spans="1:15" ht="12.75" customHeight="1" thickBot="1" x14ac:dyDescent="0.3">
      <c r="A330" s="795"/>
      <c r="D330" s="851"/>
      <c r="E330" s="851"/>
      <c r="F330" s="851"/>
      <c r="G330" s="823" t="s">
        <v>536</v>
      </c>
      <c r="I330" s="812"/>
      <c r="J330" s="852">
        <v>-10548</v>
      </c>
      <c r="K330" s="852">
        <f>SUM(K327:K329)</f>
        <v>-10928</v>
      </c>
      <c r="L330" s="852">
        <f>SUM(L327:L329)</f>
        <v>-11233.12</v>
      </c>
      <c r="M330" s="852">
        <f>SUM(M327:M329)</f>
        <v>-11490</v>
      </c>
      <c r="N330" s="852">
        <f>SUM(N327:N329)</f>
        <v>-11750</v>
      </c>
      <c r="O330" s="852">
        <f>SUM(O327:O329)</f>
        <v>-12020</v>
      </c>
    </row>
    <row r="331" spans="1:15" ht="12.75" customHeight="1" thickTop="1" x14ac:dyDescent="0.25">
      <c r="A331" s="795"/>
      <c r="D331" s="851"/>
      <c r="E331" s="851"/>
      <c r="F331" s="851"/>
      <c r="I331" s="812"/>
      <c r="J331" s="850"/>
      <c r="K331" s="850"/>
      <c r="L331" s="850"/>
      <c r="M331" s="823"/>
      <c r="N331" s="823"/>
      <c r="O331" s="823"/>
    </row>
    <row r="332" spans="1:15" ht="12.75" customHeight="1" x14ac:dyDescent="0.25">
      <c r="A332" s="795"/>
      <c r="D332" s="818">
        <v>636024</v>
      </c>
      <c r="E332" s="819"/>
      <c r="F332" s="819"/>
      <c r="G332" s="820" t="s">
        <v>4048</v>
      </c>
      <c r="I332" s="812"/>
      <c r="J332" s="802"/>
      <c r="K332" s="802"/>
      <c r="L332" s="802"/>
      <c r="M332" s="802"/>
      <c r="N332" s="802"/>
      <c r="O332" s="802"/>
    </row>
    <row r="333" spans="1:15" ht="12.75" customHeight="1" x14ac:dyDescent="0.25">
      <c r="A333" s="795"/>
      <c r="D333" s="851"/>
      <c r="E333" s="851"/>
      <c r="F333" s="851"/>
      <c r="G333" s="822" t="s">
        <v>554</v>
      </c>
      <c r="I333" s="812"/>
      <c r="J333" s="802"/>
      <c r="K333" s="802"/>
      <c r="L333" s="802"/>
      <c r="M333" s="802"/>
      <c r="N333" s="802"/>
      <c r="O333" s="802"/>
    </row>
    <row r="334" spans="1:15" ht="12.75" customHeight="1" x14ac:dyDescent="0.25">
      <c r="A334" s="795">
        <f>D332</f>
        <v>636024</v>
      </c>
      <c r="B334" s="791" t="str">
        <f>G332</f>
        <v>Wildheuvel 1-3 (schoolwoningen-vso)</v>
      </c>
      <c r="D334" s="821">
        <v>83600</v>
      </c>
      <c r="E334" s="821"/>
      <c r="F334" s="821"/>
      <c r="G334" s="823" t="s">
        <v>1010</v>
      </c>
      <c r="I334" s="812"/>
      <c r="J334" s="802">
        <v>-58810</v>
      </c>
      <c r="K334" s="802">
        <f t="shared" ref="K334:M334" si="116">K583</f>
        <v>-60750</v>
      </c>
      <c r="L334" s="802">
        <f t="shared" si="116"/>
        <v>-62448.93</v>
      </c>
      <c r="M334" s="802">
        <f t="shared" si="116"/>
        <v>-63890</v>
      </c>
      <c r="N334" s="802">
        <f t="shared" ref="N334:O334" si="117">N583</f>
        <v>-65360</v>
      </c>
      <c r="O334" s="802">
        <f t="shared" si="117"/>
        <v>-66860</v>
      </c>
    </row>
    <row r="335" spans="1:15" ht="12.75" customHeight="1" thickBot="1" x14ac:dyDescent="0.3">
      <c r="A335" s="795"/>
      <c r="D335" s="851"/>
      <c r="E335" s="851"/>
      <c r="F335" s="851"/>
      <c r="G335" s="823" t="s">
        <v>536</v>
      </c>
      <c r="I335" s="807"/>
      <c r="J335" s="852">
        <v>-58810</v>
      </c>
      <c r="K335" s="852">
        <f>SUM(K333:K334)</f>
        <v>-60750</v>
      </c>
      <c r="L335" s="852">
        <f>SUM(L333:L334)</f>
        <v>-62448.93</v>
      </c>
      <c r="M335" s="852">
        <f>SUM(M333:M334)</f>
        <v>-63890</v>
      </c>
      <c r="N335" s="852">
        <f>SUM(N333:N334)</f>
        <v>-65360</v>
      </c>
      <c r="O335" s="852">
        <f>SUM(O333:O334)</f>
        <v>-66860</v>
      </c>
    </row>
    <row r="336" spans="1:15" ht="12.75" customHeight="1" thickTop="1" x14ac:dyDescent="0.25">
      <c r="A336" s="795"/>
      <c r="D336" s="851"/>
      <c r="E336" s="851"/>
      <c r="F336" s="851"/>
      <c r="G336" s="823"/>
      <c r="I336" s="807"/>
      <c r="J336" s="807"/>
      <c r="K336" s="807"/>
      <c r="L336" s="807"/>
      <c r="M336" s="807"/>
      <c r="N336" s="807"/>
      <c r="O336" s="807"/>
    </row>
    <row r="337" spans="1:27" ht="12.75" customHeight="1" x14ac:dyDescent="0.25">
      <c r="A337" s="795"/>
      <c r="D337" s="818">
        <v>636025</v>
      </c>
      <c r="E337" s="819"/>
      <c r="F337" s="819"/>
      <c r="G337" s="820" t="s">
        <v>4050</v>
      </c>
      <c r="I337" s="807"/>
      <c r="J337" s="802"/>
      <c r="K337" s="802"/>
      <c r="L337" s="802"/>
      <c r="M337" s="802"/>
      <c r="N337" s="802"/>
      <c r="O337" s="802"/>
    </row>
    <row r="338" spans="1:27" ht="12.75" customHeight="1" x14ac:dyDescent="0.25">
      <c r="A338" s="795"/>
      <c r="D338" s="851"/>
      <c r="E338" s="851"/>
      <c r="F338" s="851"/>
      <c r="G338" s="822" t="s">
        <v>554</v>
      </c>
      <c r="I338" s="807"/>
      <c r="J338" s="802"/>
      <c r="K338" s="802"/>
      <c r="L338" s="802"/>
      <c r="M338" s="802"/>
      <c r="N338" s="802"/>
      <c r="O338" s="802"/>
    </row>
    <row r="339" spans="1:27" ht="12.75" customHeight="1" x14ac:dyDescent="0.25">
      <c r="A339" s="795">
        <f>D337</f>
        <v>636025</v>
      </c>
      <c r="B339" s="791" t="str">
        <f>G337</f>
        <v>Wildheuvel 9-19 (schoolwoningen-vso)</v>
      </c>
      <c r="D339" s="821">
        <v>83600</v>
      </c>
      <c r="E339" s="821"/>
      <c r="F339" s="821"/>
      <c r="G339" s="823" t="s">
        <v>1010</v>
      </c>
      <c r="I339" s="807"/>
      <c r="J339" s="802">
        <v>-88419</v>
      </c>
      <c r="K339" s="802">
        <f t="shared" ref="K339:M339" si="118">K588</f>
        <v>-91335</v>
      </c>
      <c r="L339" s="802">
        <f t="shared" si="118"/>
        <v>-93889.65</v>
      </c>
      <c r="M339" s="802">
        <f t="shared" si="118"/>
        <v>-96050</v>
      </c>
      <c r="N339" s="802">
        <f t="shared" ref="N339:O339" si="119">N588</f>
        <v>-98260</v>
      </c>
      <c r="O339" s="802">
        <f t="shared" si="119"/>
        <v>-100520</v>
      </c>
    </row>
    <row r="340" spans="1:27" ht="12.75" customHeight="1" thickBot="1" x14ac:dyDescent="0.3">
      <c r="A340" s="795"/>
      <c r="D340" s="851"/>
      <c r="E340" s="851"/>
      <c r="F340" s="851"/>
      <c r="G340" s="823" t="s">
        <v>536</v>
      </c>
      <c r="I340" s="807"/>
      <c r="J340" s="852">
        <v>-88419</v>
      </c>
      <c r="K340" s="852">
        <f>SUM(K338:K339)</f>
        <v>-91335</v>
      </c>
      <c r="L340" s="852">
        <f>SUM(L338:L339)</f>
        <v>-93889.65</v>
      </c>
      <c r="M340" s="852">
        <f>SUM(M338:M339)</f>
        <v>-96050</v>
      </c>
      <c r="N340" s="852">
        <f>SUM(N338:N339)</f>
        <v>-98260</v>
      </c>
      <c r="O340" s="852">
        <f>SUM(O338:O339)</f>
        <v>-100520</v>
      </c>
    </row>
    <row r="341" spans="1:27" ht="12.75" customHeight="1" thickTop="1" x14ac:dyDescent="0.25">
      <c r="A341" s="795"/>
      <c r="D341" s="851"/>
      <c r="E341" s="851"/>
      <c r="F341" s="851"/>
      <c r="G341" s="823"/>
      <c r="I341" s="807"/>
      <c r="J341" s="807"/>
      <c r="K341" s="807"/>
      <c r="L341" s="807"/>
      <c r="N341" s="2128"/>
    </row>
    <row r="342" spans="1:27" ht="12.75" customHeight="1" x14ac:dyDescent="0.25">
      <c r="A342" s="795"/>
      <c r="D342" s="818">
        <v>636026</v>
      </c>
      <c r="E342" s="819"/>
      <c r="F342" s="819"/>
      <c r="G342" s="820" t="s">
        <v>4051</v>
      </c>
      <c r="I342" s="807"/>
      <c r="J342" s="802"/>
      <c r="K342" s="802"/>
      <c r="L342" s="802"/>
      <c r="N342" s="850"/>
    </row>
    <row r="343" spans="1:27" ht="12.75" customHeight="1" x14ac:dyDescent="0.25">
      <c r="A343" s="795"/>
      <c r="D343" s="851"/>
      <c r="E343" s="851"/>
      <c r="F343" s="851"/>
      <c r="G343" s="822" t="s">
        <v>554</v>
      </c>
      <c r="I343" s="807"/>
      <c r="J343" s="802"/>
      <c r="K343" s="802"/>
      <c r="L343" s="802"/>
      <c r="M343" s="802"/>
      <c r="N343" s="802"/>
      <c r="O343" s="802"/>
    </row>
    <row r="344" spans="1:27" ht="12.75" customHeight="1" x14ac:dyDescent="0.25">
      <c r="A344" s="795">
        <f>D342</f>
        <v>636026</v>
      </c>
      <c r="B344" s="791" t="str">
        <f>G342</f>
        <v>Joh. Verleunstraat 27/27a (schoolwoningen-vso)</v>
      </c>
      <c r="D344" s="821">
        <v>83600</v>
      </c>
      <c r="E344" s="821"/>
      <c r="F344" s="821"/>
      <c r="G344" s="823" t="s">
        <v>1010</v>
      </c>
      <c r="I344" s="807"/>
      <c r="J344" s="802">
        <v>-42464</v>
      </c>
      <c r="K344" s="802">
        <f t="shared" ref="K344:M344" si="120">K593</f>
        <v>-44963</v>
      </c>
      <c r="L344" s="802">
        <f t="shared" si="120"/>
        <v>-46220</v>
      </c>
      <c r="M344" s="802">
        <f t="shared" si="120"/>
        <v>-47280</v>
      </c>
      <c r="N344" s="802">
        <f t="shared" ref="N344:O344" si="121">N593</f>
        <v>-48370</v>
      </c>
      <c r="O344" s="802">
        <f t="shared" si="121"/>
        <v>-49480</v>
      </c>
    </row>
    <row r="345" spans="1:27" ht="12.75" customHeight="1" thickBot="1" x14ac:dyDescent="0.3">
      <c r="A345" s="795"/>
      <c r="D345" s="851"/>
      <c r="E345" s="851"/>
      <c r="F345" s="851"/>
      <c r="G345" s="823" t="s">
        <v>536</v>
      </c>
      <c r="I345" s="807"/>
      <c r="J345" s="852">
        <v>-42464</v>
      </c>
      <c r="K345" s="852">
        <f>SUM(K343:K344)</f>
        <v>-44963</v>
      </c>
      <c r="L345" s="852">
        <f>SUM(L343:L344)</f>
        <v>-46220</v>
      </c>
      <c r="M345" s="852">
        <f>SUM(M343:M344)</f>
        <v>-47280</v>
      </c>
      <c r="N345" s="852">
        <f>SUM(N343:N344)</f>
        <v>-48370</v>
      </c>
      <c r="O345" s="852">
        <f>SUM(O343:O344)</f>
        <v>-49480</v>
      </c>
    </row>
    <row r="346" spans="1:27" ht="12.75" customHeight="1" thickTop="1" x14ac:dyDescent="0.25">
      <c r="A346" s="795"/>
      <c r="D346" s="851"/>
      <c r="E346" s="851"/>
      <c r="F346" s="851"/>
      <c r="G346" s="823"/>
      <c r="I346" s="812"/>
      <c r="J346" s="802"/>
      <c r="K346" s="802"/>
      <c r="L346" s="802"/>
      <c r="M346" s="802"/>
      <c r="N346" s="802"/>
      <c r="O346" s="802"/>
    </row>
    <row r="347" spans="1:27" ht="12.75" customHeight="1" x14ac:dyDescent="0.25">
      <c r="A347" s="933"/>
      <c r="B347" s="842"/>
      <c r="C347" s="842"/>
      <c r="D347" s="818">
        <v>636044</v>
      </c>
      <c r="E347" s="914"/>
      <c r="F347" s="914"/>
      <c r="G347" s="820" t="s">
        <v>4078</v>
      </c>
      <c r="H347" s="842"/>
      <c r="I347" s="934"/>
      <c r="J347" s="990"/>
      <c r="K347" s="990"/>
      <c r="L347" s="990"/>
      <c r="M347" s="990"/>
      <c r="N347" s="990"/>
      <c r="O347" s="990"/>
      <c r="Q347" s="842"/>
      <c r="R347" s="842"/>
      <c r="S347" s="842"/>
      <c r="T347" s="842"/>
      <c r="U347" s="842"/>
      <c r="V347" s="842"/>
      <c r="W347" s="842"/>
      <c r="X347" s="842"/>
      <c r="Y347" s="842"/>
      <c r="Z347" s="842"/>
      <c r="AA347" s="842"/>
    </row>
    <row r="348" spans="1:27" ht="12.75" customHeight="1" x14ac:dyDescent="0.25">
      <c r="A348" s="933"/>
      <c r="B348" s="842"/>
      <c r="C348" s="842"/>
      <c r="D348" s="958"/>
      <c r="E348" s="958"/>
      <c r="F348" s="958"/>
      <c r="G348" s="822" t="s">
        <v>554</v>
      </c>
      <c r="H348" s="842"/>
      <c r="I348" s="934"/>
      <c r="J348" s="990"/>
      <c r="K348" s="990"/>
      <c r="L348" s="990"/>
      <c r="M348" s="990"/>
      <c r="N348" s="990"/>
      <c r="O348" s="990"/>
      <c r="Q348" s="842"/>
      <c r="R348" s="842"/>
      <c r="S348" s="842"/>
      <c r="T348" s="842"/>
      <c r="U348" s="842"/>
      <c r="V348" s="842"/>
      <c r="W348" s="842"/>
      <c r="X348" s="842"/>
      <c r="Y348" s="842"/>
      <c r="Z348" s="842"/>
      <c r="AA348" s="842"/>
    </row>
    <row r="349" spans="1:27" ht="12.75" customHeight="1" x14ac:dyDescent="0.25">
      <c r="A349" s="933">
        <f>D347</f>
        <v>636044</v>
      </c>
      <c r="B349" s="842" t="str">
        <f>G347</f>
        <v>Haktol 1 (KDV Zevensprong)</v>
      </c>
      <c r="C349" s="842"/>
      <c r="D349" s="1001">
        <v>83600</v>
      </c>
      <c r="E349" s="958"/>
      <c r="F349" s="958"/>
      <c r="G349" s="1002" t="s">
        <v>1010</v>
      </c>
      <c r="H349" s="842"/>
      <c r="I349" s="934"/>
      <c r="J349" s="990">
        <v>0</v>
      </c>
      <c r="K349" s="990">
        <f>K598</f>
        <v>-28587.33</v>
      </c>
      <c r="L349" s="990">
        <f>L598</f>
        <v>-27659.61</v>
      </c>
      <c r="M349" s="990">
        <f>M598</f>
        <v>-28300</v>
      </c>
      <c r="N349" s="990">
        <f>N598</f>
        <v>-28950</v>
      </c>
      <c r="O349" s="990">
        <f>O598</f>
        <v>-29620</v>
      </c>
      <c r="Q349" s="842"/>
      <c r="R349" s="842"/>
      <c r="S349" s="842"/>
      <c r="T349" s="842"/>
      <c r="U349" s="842"/>
      <c r="V349" s="842"/>
      <c r="W349" s="842"/>
      <c r="X349" s="842"/>
      <c r="Y349" s="842"/>
      <c r="Z349" s="842"/>
      <c r="AA349" s="842"/>
    </row>
    <row r="350" spans="1:27" ht="12.75" customHeight="1" thickBot="1" x14ac:dyDescent="0.3">
      <c r="A350" s="933"/>
      <c r="B350" s="842"/>
      <c r="C350" s="842"/>
      <c r="D350" s="958"/>
      <c r="E350" s="958"/>
      <c r="F350" s="958"/>
      <c r="G350" s="1002" t="s">
        <v>536</v>
      </c>
      <c r="H350" s="842"/>
      <c r="I350" s="989"/>
      <c r="J350" s="964">
        <v>0</v>
      </c>
      <c r="K350" s="964">
        <f>SUM(K348:K349)</f>
        <v>-28587.33</v>
      </c>
      <c r="L350" s="964">
        <f>SUM(L348:L349)</f>
        <v>-27659.61</v>
      </c>
      <c r="M350" s="964">
        <f>SUM(M348:M349)</f>
        <v>-28300</v>
      </c>
      <c r="N350" s="964">
        <f>SUM(N348:N349)</f>
        <v>-28950</v>
      </c>
      <c r="O350" s="964">
        <f>SUM(O348:O349)</f>
        <v>-29620</v>
      </c>
      <c r="P350" s="842"/>
      <c r="Q350" s="842"/>
      <c r="R350" s="842"/>
      <c r="S350" s="842"/>
      <c r="T350" s="842"/>
      <c r="U350" s="842"/>
      <c r="V350" s="842"/>
      <c r="W350" s="842"/>
      <c r="X350" s="842"/>
      <c r="Y350" s="842"/>
      <c r="Z350" s="842"/>
      <c r="AA350" s="842"/>
    </row>
    <row r="351" spans="1:27" ht="12.75" customHeight="1" thickTop="1" x14ac:dyDescent="0.25">
      <c r="A351" s="933"/>
      <c r="B351" s="842"/>
      <c r="C351" s="842"/>
      <c r="D351" s="958"/>
      <c r="E351" s="958"/>
      <c r="F351" s="958"/>
      <c r="G351" s="1002"/>
      <c r="H351" s="842"/>
      <c r="I351" s="989"/>
      <c r="J351" s="989"/>
      <c r="K351" s="989"/>
      <c r="L351" s="989"/>
      <c r="M351" s="989"/>
      <c r="N351" s="989"/>
      <c r="O351" s="989"/>
      <c r="P351" s="842"/>
      <c r="Q351" s="842"/>
      <c r="R351" s="842"/>
      <c r="S351" s="842"/>
      <c r="T351" s="842"/>
      <c r="U351" s="842"/>
      <c r="V351" s="842"/>
      <c r="W351" s="842"/>
      <c r="X351" s="842"/>
      <c r="Y351" s="842"/>
      <c r="Z351" s="842"/>
      <c r="AA351" s="842"/>
    </row>
    <row r="352" spans="1:27" ht="12.75" customHeight="1" x14ac:dyDescent="0.25">
      <c r="A352" s="933"/>
      <c r="B352" s="842"/>
      <c r="C352" s="842"/>
      <c r="D352" s="818">
        <v>636045</v>
      </c>
      <c r="E352" s="914"/>
      <c r="F352" s="914"/>
      <c r="G352" s="820" t="s">
        <v>4079</v>
      </c>
      <c r="H352" s="842"/>
      <c r="I352" s="989"/>
      <c r="J352" s="990"/>
      <c r="K352" s="990"/>
      <c r="L352" s="990"/>
      <c r="M352" s="990"/>
      <c r="N352" s="990"/>
      <c r="O352" s="990"/>
      <c r="P352" s="842"/>
      <c r="Q352" s="842"/>
      <c r="R352" s="842"/>
      <c r="S352" s="842"/>
      <c r="T352" s="842"/>
      <c r="U352" s="842"/>
      <c r="V352" s="842"/>
      <c r="W352" s="842"/>
      <c r="X352" s="842"/>
      <c r="Y352" s="842"/>
      <c r="Z352" s="842"/>
      <c r="AA352" s="842"/>
    </row>
    <row r="353" spans="1:27" ht="12.75" customHeight="1" x14ac:dyDescent="0.25">
      <c r="A353" s="933"/>
      <c r="B353" s="842"/>
      <c r="C353" s="842"/>
      <c r="D353" s="958"/>
      <c r="E353" s="958"/>
      <c r="F353" s="958"/>
      <c r="G353" s="822" t="s">
        <v>554</v>
      </c>
      <c r="H353" s="842"/>
      <c r="I353" s="989"/>
      <c r="J353" s="990"/>
      <c r="K353" s="990"/>
      <c r="L353" s="990"/>
      <c r="M353" s="990"/>
      <c r="N353" s="990"/>
      <c r="O353" s="990"/>
      <c r="P353" s="842"/>
      <c r="Q353" s="842"/>
      <c r="R353" s="842"/>
      <c r="S353" s="842"/>
      <c r="T353" s="842"/>
      <c r="U353" s="842"/>
      <c r="V353" s="842"/>
      <c r="W353" s="842"/>
      <c r="X353" s="842"/>
      <c r="Y353" s="842"/>
      <c r="Z353" s="842"/>
      <c r="AA353" s="842"/>
    </row>
    <row r="354" spans="1:27" ht="12.75" customHeight="1" x14ac:dyDescent="0.25">
      <c r="A354" s="933">
        <f>D352</f>
        <v>636045</v>
      </c>
      <c r="B354" s="842" t="str">
        <f>G352</f>
        <v>Den Dries 17 (KDV Op 't Erf)</v>
      </c>
      <c r="C354" s="842"/>
      <c r="D354" s="1001">
        <v>83600</v>
      </c>
      <c r="E354" s="958"/>
      <c r="F354" s="958"/>
      <c r="G354" s="1002" t="s">
        <v>1010</v>
      </c>
      <c r="H354" s="842"/>
      <c r="I354" s="989"/>
      <c r="J354" s="990">
        <v>0</v>
      </c>
      <c r="K354" s="990">
        <f>K603</f>
        <v>-34874.351999999999</v>
      </c>
      <c r="L354" s="990">
        <f>L603</f>
        <v>-37567.53</v>
      </c>
      <c r="M354" s="990">
        <f>M603</f>
        <v>-38430</v>
      </c>
      <c r="N354" s="990">
        <f>N603</f>
        <v>-39310</v>
      </c>
      <c r="O354" s="990">
        <f>O603</f>
        <v>-40210</v>
      </c>
      <c r="P354" s="842"/>
      <c r="Q354" s="842"/>
      <c r="R354" s="842"/>
      <c r="S354" s="842"/>
      <c r="T354" s="842"/>
      <c r="U354" s="842"/>
      <c r="V354" s="842"/>
      <c r="W354" s="842"/>
      <c r="X354" s="842"/>
      <c r="Y354" s="842"/>
      <c r="Z354" s="842"/>
      <c r="AA354" s="842"/>
    </row>
    <row r="355" spans="1:27" ht="12.75" customHeight="1" thickBot="1" x14ac:dyDescent="0.3">
      <c r="A355" s="933"/>
      <c r="B355" s="842"/>
      <c r="C355" s="842"/>
      <c r="D355" s="958"/>
      <c r="E355" s="958"/>
      <c r="F355" s="958"/>
      <c r="G355" s="1002" t="s">
        <v>536</v>
      </c>
      <c r="H355" s="842"/>
      <c r="I355" s="989"/>
      <c r="J355" s="964">
        <v>0</v>
      </c>
      <c r="K355" s="964">
        <f>SUM(K353:K354)</f>
        <v>-34874.351999999999</v>
      </c>
      <c r="L355" s="964">
        <f>SUM(L353:L354)</f>
        <v>-37567.53</v>
      </c>
      <c r="M355" s="964">
        <f>SUM(M353:M354)</f>
        <v>-38430</v>
      </c>
      <c r="N355" s="964">
        <f>SUM(N353:N354)</f>
        <v>-39310</v>
      </c>
      <c r="O355" s="964">
        <f>SUM(O353:O354)</f>
        <v>-40210</v>
      </c>
      <c r="P355" s="842"/>
      <c r="Q355" s="842"/>
      <c r="R355" s="842"/>
      <c r="S355" s="842"/>
      <c r="T355" s="842"/>
      <c r="U355" s="842"/>
      <c r="V355" s="842"/>
      <c r="W355" s="842"/>
      <c r="X355" s="842"/>
      <c r="Y355" s="842"/>
      <c r="Z355" s="842"/>
      <c r="AA355" s="842"/>
    </row>
    <row r="356" spans="1:27" ht="12.75" customHeight="1" thickTop="1" x14ac:dyDescent="0.25">
      <c r="A356" s="933"/>
      <c r="B356" s="842"/>
      <c r="C356" s="842"/>
      <c r="D356" s="958"/>
      <c r="E356" s="958"/>
      <c r="F356" s="958"/>
      <c r="G356" s="1002"/>
      <c r="H356" s="842"/>
      <c r="I356" s="989"/>
      <c r="J356" s="989"/>
      <c r="K356" s="989"/>
      <c r="L356" s="989"/>
      <c r="M356" s="842"/>
      <c r="N356" s="2129"/>
      <c r="O356" s="842"/>
      <c r="P356" s="842"/>
      <c r="Q356" s="842"/>
      <c r="R356" s="842"/>
      <c r="S356" s="842"/>
      <c r="T356" s="842"/>
      <c r="U356" s="842"/>
      <c r="V356" s="842"/>
      <c r="W356" s="842"/>
      <c r="X356" s="842"/>
      <c r="Y356" s="842"/>
      <c r="Z356" s="842"/>
      <c r="AA356" s="842"/>
    </row>
    <row r="357" spans="1:27" ht="12.75" customHeight="1" x14ac:dyDescent="0.25">
      <c r="A357" s="933"/>
      <c r="B357" s="842"/>
      <c r="C357" s="842"/>
      <c r="D357" s="818">
        <v>636046</v>
      </c>
      <c r="E357" s="914"/>
      <c r="F357" s="914"/>
      <c r="G357" s="820" t="s">
        <v>4080</v>
      </c>
      <c r="H357" s="842"/>
      <c r="I357" s="989"/>
      <c r="J357" s="990"/>
      <c r="K357" s="990"/>
      <c r="L357" s="990"/>
      <c r="M357" s="842"/>
      <c r="N357" s="2130"/>
      <c r="O357" s="842"/>
      <c r="P357" s="842"/>
      <c r="Q357" s="842"/>
      <c r="R357" s="842"/>
      <c r="S357" s="842"/>
      <c r="T357" s="842"/>
      <c r="U357" s="842"/>
      <c r="V357" s="842"/>
      <c r="W357" s="842"/>
      <c r="X357" s="842"/>
      <c r="Y357" s="842"/>
      <c r="Z357" s="842"/>
      <c r="AA357" s="842"/>
    </row>
    <row r="358" spans="1:27" ht="12.75" customHeight="1" x14ac:dyDescent="0.25">
      <c r="A358" s="933"/>
      <c r="B358" s="842"/>
      <c r="C358" s="842"/>
      <c r="D358" s="958"/>
      <c r="E358" s="958"/>
      <c r="F358" s="958"/>
      <c r="G358" s="822" t="s">
        <v>554</v>
      </c>
      <c r="H358" s="842"/>
      <c r="I358" s="989"/>
      <c r="J358" s="990"/>
      <c r="K358" s="990"/>
      <c r="L358" s="990"/>
      <c r="M358" s="990"/>
      <c r="N358" s="990"/>
      <c r="O358" s="990"/>
      <c r="P358" s="842"/>
      <c r="Q358" s="842"/>
      <c r="R358" s="842"/>
      <c r="S358" s="842"/>
      <c r="T358" s="842"/>
      <c r="U358" s="842"/>
      <c r="V358" s="842"/>
      <c r="W358" s="842"/>
      <c r="X358" s="842"/>
      <c r="Y358" s="842"/>
      <c r="Z358" s="842"/>
      <c r="AA358" s="842"/>
    </row>
    <row r="359" spans="1:27" ht="12.75" customHeight="1" x14ac:dyDescent="0.25">
      <c r="A359" s="933">
        <f>D357</f>
        <v>636046</v>
      </c>
      <c r="B359" s="842" t="str">
        <f>G357</f>
        <v>Maatstok 1 (KDV Platijn)</v>
      </c>
      <c r="C359" s="842"/>
      <c r="D359" s="1001">
        <v>83600</v>
      </c>
      <c r="E359" s="958"/>
      <c r="F359" s="958"/>
      <c r="G359" s="1002" t="s">
        <v>1010</v>
      </c>
      <c r="H359" s="842"/>
      <c r="I359" s="989"/>
      <c r="J359" s="990">
        <v>0</v>
      </c>
      <c r="K359" s="990">
        <f>K608</f>
        <v>-22224.42</v>
      </c>
      <c r="L359" s="990">
        <f>L608</f>
        <v>-24260.799999999999</v>
      </c>
      <c r="M359" s="990">
        <f>M608</f>
        <v>-24820</v>
      </c>
      <c r="N359" s="990">
        <f>N608</f>
        <v>-25390</v>
      </c>
      <c r="O359" s="990">
        <f>O608</f>
        <v>-25970</v>
      </c>
      <c r="P359" s="842"/>
      <c r="Q359" s="842"/>
      <c r="R359" s="842"/>
      <c r="S359" s="842"/>
      <c r="T359" s="842"/>
      <c r="U359" s="842"/>
      <c r="V359" s="842"/>
      <c r="W359" s="842"/>
      <c r="X359" s="842"/>
      <c r="Y359" s="842"/>
      <c r="Z359" s="842"/>
      <c r="AA359" s="842"/>
    </row>
    <row r="360" spans="1:27" ht="12.75" customHeight="1" thickBot="1" x14ac:dyDescent="0.3">
      <c r="A360" s="933"/>
      <c r="B360" s="842"/>
      <c r="C360" s="842"/>
      <c r="D360" s="958"/>
      <c r="E360" s="958"/>
      <c r="F360" s="958"/>
      <c r="G360" s="1002" t="s">
        <v>536</v>
      </c>
      <c r="H360" s="842"/>
      <c r="I360" s="989"/>
      <c r="J360" s="964">
        <v>0</v>
      </c>
      <c r="K360" s="964">
        <f>SUM(K358:K359)</f>
        <v>-22224.42</v>
      </c>
      <c r="L360" s="964">
        <f>SUM(L358:L359)</f>
        <v>-24260.799999999999</v>
      </c>
      <c r="M360" s="964">
        <f>SUM(M358:M359)</f>
        <v>-24820</v>
      </c>
      <c r="N360" s="964">
        <f>SUM(N358:N359)</f>
        <v>-25390</v>
      </c>
      <c r="O360" s="964">
        <f>SUM(O358:O359)</f>
        <v>-25970</v>
      </c>
      <c r="P360" s="842"/>
      <c r="Q360" s="842"/>
      <c r="R360" s="842"/>
      <c r="S360" s="842"/>
      <c r="T360" s="842"/>
      <c r="U360" s="842"/>
      <c r="V360" s="842"/>
      <c r="W360" s="842"/>
      <c r="X360" s="842"/>
      <c r="Y360" s="842"/>
      <c r="Z360" s="842"/>
      <c r="AA360" s="842"/>
    </row>
    <row r="361" spans="1:27" ht="12.75" customHeight="1" thickTop="1" x14ac:dyDescent="0.25">
      <c r="A361" s="795"/>
      <c r="D361" s="851"/>
      <c r="E361" s="851"/>
      <c r="F361" s="851"/>
      <c r="G361" s="823"/>
      <c r="I361" s="807"/>
      <c r="J361" s="807"/>
      <c r="K361" s="807"/>
      <c r="L361" s="807"/>
      <c r="M361" s="807"/>
      <c r="N361" s="807"/>
      <c r="O361" s="807"/>
    </row>
    <row r="362" spans="1:27" ht="12.75" customHeight="1" x14ac:dyDescent="0.25">
      <c r="D362" s="818">
        <v>636027</v>
      </c>
      <c r="E362" s="819"/>
      <c r="F362" s="819"/>
      <c r="G362" s="820" t="s">
        <v>4031</v>
      </c>
      <c r="I362" s="807"/>
      <c r="J362" s="802"/>
      <c r="K362" s="802"/>
      <c r="L362" s="802"/>
      <c r="M362" s="802"/>
      <c r="N362" s="802"/>
      <c r="O362" s="802"/>
    </row>
    <row r="363" spans="1:27" ht="12.75" customHeight="1" x14ac:dyDescent="0.25">
      <c r="D363" s="851"/>
      <c r="E363" s="851"/>
      <c r="F363" s="851"/>
      <c r="G363" s="822" t="s">
        <v>554</v>
      </c>
      <c r="I363" s="807"/>
      <c r="J363" s="802"/>
      <c r="K363" s="802"/>
      <c r="L363" s="802"/>
      <c r="M363" s="802"/>
      <c r="N363" s="802"/>
      <c r="O363" s="802"/>
    </row>
    <row r="364" spans="1:27" ht="12.75" customHeight="1" x14ac:dyDescent="0.25">
      <c r="A364" s="795">
        <f>+D362</f>
        <v>636027</v>
      </c>
      <c r="B364" s="791" t="str">
        <f>+G362</f>
        <v>Jongerencentrum</v>
      </c>
      <c r="D364" s="821">
        <v>83600</v>
      </c>
      <c r="E364" s="821"/>
      <c r="F364" s="821"/>
      <c r="G364" s="823" t="s">
        <v>4081</v>
      </c>
      <c r="I364" s="807"/>
      <c r="J364" s="802">
        <v>-128512</v>
      </c>
      <c r="K364" s="802">
        <f t="shared" ref="K364:M364" si="122">K613</f>
        <v>-128346</v>
      </c>
      <c r="L364" s="802">
        <f t="shared" si="122"/>
        <v>-131935.5</v>
      </c>
      <c r="M364" s="802">
        <f t="shared" si="122"/>
        <v>-134970</v>
      </c>
      <c r="N364" s="802">
        <f t="shared" ref="N364:O364" si="123">N613</f>
        <v>-138074</v>
      </c>
      <c r="O364" s="802">
        <f t="shared" si="123"/>
        <v>-141250</v>
      </c>
    </row>
    <row r="365" spans="1:27" ht="12.75" customHeight="1" thickBot="1" x14ac:dyDescent="0.3">
      <c r="D365" s="851"/>
      <c r="E365" s="851"/>
      <c r="F365" s="851"/>
      <c r="G365" s="823" t="s">
        <v>3812</v>
      </c>
      <c r="I365" s="807"/>
      <c r="J365" s="852">
        <v>-128512</v>
      </c>
      <c r="K365" s="852">
        <f>SUM(K363:K364)</f>
        <v>-128346</v>
      </c>
      <c r="L365" s="852">
        <f>SUM(L363:L364)</f>
        <v>-131935.5</v>
      </c>
      <c r="M365" s="852">
        <f>SUM(M363:M364)</f>
        <v>-134970</v>
      </c>
      <c r="N365" s="852">
        <f>SUM(N363:N364)</f>
        <v>-138074</v>
      </c>
      <c r="O365" s="852">
        <f>SUM(O363:O364)</f>
        <v>-141250</v>
      </c>
    </row>
    <row r="366" spans="1:27" ht="12.75" customHeight="1" thickTop="1" x14ac:dyDescent="0.25">
      <c r="D366" s="851"/>
      <c r="E366" s="851"/>
      <c r="F366" s="851"/>
      <c r="G366" s="823"/>
      <c r="I366" s="807"/>
      <c r="J366" s="807"/>
      <c r="K366" s="807"/>
      <c r="L366" s="807"/>
      <c r="M366" s="807"/>
      <c r="N366" s="807"/>
      <c r="O366" s="807"/>
    </row>
    <row r="367" spans="1:27" ht="12.75" customHeight="1" x14ac:dyDescent="0.25">
      <c r="A367" s="795"/>
      <c r="D367" s="913">
        <v>636036</v>
      </c>
      <c r="E367" s="914"/>
      <c r="F367" s="914"/>
      <c r="G367" s="820" t="s">
        <v>4071</v>
      </c>
      <c r="I367" s="807"/>
      <c r="J367" s="802"/>
      <c r="K367" s="802"/>
      <c r="L367" s="802"/>
      <c r="M367" s="802"/>
      <c r="N367" s="802"/>
      <c r="O367" s="802"/>
    </row>
    <row r="368" spans="1:27" ht="12.75" customHeight="1" x14ac:dyDescent="0.25">
      <c r="A368" s="795"/>
      <c r="D368" s="851"/>
      <c r="E368" s="851"/>
      <c r="F368" s="851"/>
      <c r="G368" s="822" t="s">
        <v>554</v>
      </c>
      <c r="I368" s="807"/>
      <c r="J368" s="802"/>
      <c r="K368" s="802"/>
      <c r="L368" s="802"/>
      <c r="M368" s="802"/>
      <c r="N368" s="802"/>
      <c r="O368" s="802"/>
    </row>
    <row r="369" spans="1:15" ht="12.75" customHeight="1" x14ac:dyDescent="0.25">
      <c r="A369" s="795">
        <f>+D367</f>
        <v>636036</v>
      </c>
      <c r="B369" s="791" t="str">
        <f>+G367</f>
        <v>BS Valpreventie</v>
      </c>
      <c r="D369" s="821">
        <v>84310</v>
      </c>
      <c r="E369" s="821"/>
      <c r="F369" s="821"/>
      <c r="G369" s="823" t="s">
        <v>4082</v>
      </c>
      <c r="I369" s="807"/>
      <c r="J369" s="802">
        <v>-70914</v>
      </c>
      <c r="K369" s="802">
        <f t="shared" ref="K369:M369" si="124">K619</f>
        <v>-76172</v>
      </c>
      <c r="L369" s="802">
        <f t="shared" si="124"/>
        <v>-76172</v>
      </c>
      <c r="M369" s="802">
        <f t="shared" si="124"/>
        <v>-76172</v>
      </c>
      <c r="N369" s="802">
        <f t="shared" ref="N369:O369" si="125">N619</f>
        <v>-76172</v>
      </c>
      <c r="O369" s="802">
        <f t="shared" si="125"/>
        <v>-76172</v>
      </c>
    </row>
    <row r="370" spans="1:15" ht="12.75" customHeight="1" thickBot="1" x14ac:dyDescent="0.3">
      <c r="A370" s="795"/>
      <c r="D370" s="851"/>
      <c r="E370" s="851"/>
      <c r="F370" s="851"/>
      <c r="G370" s="823" t="s">
        <v>536</v>
      </c>
      <c r="I370" s="807"/>
      <c r="J370" s="852">
        <v>-70914</v>
      </c>
      <c r="K370" s="852">
        <f>SUM(K367:K369)</f>
        <v>-76172</v>
      </c>
      <c r="L370" s="852">
        <f>SUM(L367:L369)</f>
        <v>-76172</v>
      </c>
      <c r="M370" s="852">
        <f>SUM(M367:M369)</f>
        <v>-76172</v>
      </c>
      <c r="N370" s="852">
        <f>SUM(N367:N369)</f>
        <v>-76172</v>
      </c>
      <c r="O370" s="852">
        <f>SUM(O367:O369)</f>
        <v>-76172</v>
      </c>
    </row>
    <row r="371" spans="1:15" ht="12.75" customHeight="1" thickTop="1" x14ac:dyDescent="0.25">
      <c r="A371" s="795"/>
      <c r="D371" s="851"/>
      <c r="E371" s="851"/>
      <c r="F371" s="851"/>
      <c r="G371" s="823"/>
      <c r="I371" s="807"/>
      <c r="J371" s="802"/>
      <c r="K371" s="802"/>
      <c r="L371" s="802"/>
      <c r="M371" s="802"/>
      <c r="N371" s="802"/>
      <c r="O371" s="802"/>
    </row>
    <row r="372" spans="1:15" ht="12.75" customHeight="1" x14ac:dyDescent="0.25">
      <c r="A372" s="795"/>
      <c r="D372" s="913">
        <v>636037</v>
      </c>
      <c r="E372" s="914"/>
      <c r="F372" s="914"/>
      <c r="G372" s="987" t="s">
        <v>4072</v>
      </c>
      <c r="I372" s="807"/>
      <c r="J372" s="802"/>
      <c r="K372" s="802"/>
      <c r="L372" s="802"/>
      <c r="M372" s="802"/>
      <c r="N372" s="802"/>
      <c r="O372" s="802"/>
    </row>
    <row r="373" spans="1:15" ht="12.75" customHeight="1" x14ac:dyDescent="0.25">
      <c r="A373" s="795"/>
      <c r="D373" s="851"/>
      <c r="E373" s="851"/>
      <c r="F373" s="851"/>
      <c r="G373" s="822" t="s">
        <v>554</v>
      </c>
      <c r="I373" s="807"/>
      <c r="J373" s="802"/>
      <c r="K373" s="802"/>
      <c r="L373" s="802"/>
      <c r="M373" s="802"/>
      <c r="N373" s="802"/>
      <c r="O373" s="802"/>
    </row>
    <row r="374" spans="1:15" ht="12.75" customHeight="1" x14ac:dyDescent="0.25">
      <c r="A374" s="795">
        <f>+D372</f>
        <v>636037</v>
      </c>
      <c r="B374" s="791" t="str">
        <f>+G372</f>
        <v>BS Versterken sociale basis</v>
      </c>
      <c r="D374" s="821">
        <v>84310</v>
      </c>
      <c r="E374" s="821"/>
      <c r="F374" s="821"/>
      <c r="G374" s="823" t="s">
        <v>4082</v>
      </c>
      <c r="I374" s="807"/>
      <c r="J374" s="802">
        <v>-53745</v>
      </c>
      <c r="K374" s="802">
        <f t="shared" ref="K374:M374" si="126">K624</f>
        <v>-41972</v>
      </c>
      <c r="L374" s="802">
        <f t="shared" si="126"/>
        <v>-41972</v>
      </c>
      <c r="M374" s="802">
        <f t="shared" si="126"/>
        <v>-41972</v>
      </c>
      <c r="N374" s="802">
        <f t="shared" ref="N374:O374" si="127">N624</f>
        <v>-41972</v>
      </c>
      <c r="O374" s="802">
        <f t="shared" si="127"/>
        <v>-41972</v>
      </c>
    </row>
    <row r="375" spans="1:15" ht="12.75" customHeight="1" thickBot="1" x14ac:dyDescent="0.3">
      <c r="A375" s="795"/>
      <c r="D375" s="851"/>
      <c r="E375" s="851"/>
      <c r="F375" s="851"/>
      <c r="G375" s="823" t="s">
        <v>536</v>
      </c>
      <c r="I375" s="807"/>
      <c r="J375" s="852">
        <v>-53745</v>
      </c>
      <c r="K375" s="852">
        <f>SUM(K372:K374)</f>
        <v>-41972</v>
      </c>
      <c r="L375" s="852">
        <f>SUM(L372:L374)</f>
        <v>-41972</v>
      </c>
      <c r="M375" s="852">
        <f>SUM(M372:M374)</f>
        <v>-41972</v>
      </c>
      <c r="N375" s="852">
        <f>SUM(N372:N374)</f>
        <v>-41972</v>
      </c>
      <c r="O375" s="852">
        <f>SUM(O372:O374)</f>
        <v>-41972</v>
      </c>
    </row>
    <row r="376" spans="1:15" ht="12.75" customHeight="1" thickTop="1" x14ac:dyDescent="0.25">
      <c r="A376" s="795"/>
      <c r="D376" s="851"/>
      <c r="E376" s="851"/>
      <c r="F376" s="851"/>
      <c r="G376" s="823"/>
      <c r="I376" s="807"/>
      <c r="J376" s="802"/>
      <c r="K376" s="802"/>
      <c r="L376" s="802"/>
      <c r="M376" s="802"/>
      <c r="N376" s="802"/>
      <c r="O376" s="802"/>
    </row>
    <row r="377" spans="1:15" ht="12.75" customHeight="1" x14ac:dyDescent="0.25">
      <c r="A377" s="795"/>
      <c r="D377" s="913">
        <v>636038</v>
      </c>
      <c r="E377" s="914"/>
      <c r="F377" s="914"/>
      <c r="G377" s="987" t="s">
        <v>4073</v>
      </c>
      <c r="I377" s="807"/>
      <c r="J377" s="802"/>
      <c r="K377" s="802"/>
      <c r="L377" s="802"/>
      <c r="M377" s="802"/>
      <c r="N377" s="802"/>
      <c r="O377" s="802"/>
    </row>
    <row r="378" spans="1:15" ht="12.75" customHeight="1" x14ac:dyDescent="0.25">
      <c r="A378" s="795"/>
      <c r="D378" s="851"/>
      <c r="E378" s="851"/>
      <c r="F378" s="851"/>
      <c r="G378" s="822" t="s">
        <v>554</v>
      </c>
      <c r="I378" s="807"/>
      <c r="J378" s="802"/>
      <c r="K378" s="802"/>
      <c r="L378" s="802"/>
      <c r="M378" s="802"/>
      <c r="N378" s="802"/>
      <c r="O378" s="802"/>
    </row>
    <row r="379" spans="1:15" ht="12.75" customHeight="1" x14ac:dyDescent="0.25">
      <c r="A379" s="795">
        <f>+D377</f>
        <v>636038</v>
      </c>
      <c r="B379" s="791" t="str">
        <f>+G377</f>
        <v>BS Mantelzorg</v>
      </c>
      <c r="D379" s="821">
        <v>84310</v>
      </c>
      <c r="E379" s="821"/>
      <c r="F379" s="821"/>
      <c r="G379" s="823" t="s">
        <v>4082</v>
      </c>
      <c r="I379" s="807"/>
      <c r="J379" s="802">
        <v>-14929</v>
      </c>
      <c r="K379" s="802">
        <f t="shared" ref="K379:M379" si="128">K629</f>
        <v>-13990</v>
      </c>
      <c r="L379" s="802">
        <f t="shared" si="128"/>
        <v>-13990</v>
      </c>
      <c r="M379" s="802">
        <f t="shared" si="128"/>
        <v>-13990</v>
      </c>
      <c r="N379" s="802">
        <f t="shared" ref="N379:O379" si="129">N629</f>
        <v>-13990</v>
      </c>
      <c r="O379" s="802">
        <f t="shared" si="129"/>
        <v>-13990</v>
      </c>
    </row>
    <row r="380" spans="1:15" ht="12.75" customHeight="1" thickBot="1" x14ac:dyDescent="0.3">
      <c r="A380" s="795"/>
      <c r="D380" s="851"/>
      <c r="E380" s="851"/>
      <c r="F380" s="851"/>
      <c r="G380" s="823" t="s">
        <v>536</v>
      </c>
      <c r="I380" s="807"/>
      <c r="J380" s="852">
        <v>-14929</v>
      </c>
      <c r="K380" s="852">
        <f t="shared" ref="K380:M380" si="130">SUM(K377:K379)</f>
        <v>-13990</v>
      </c>
      <c r="L380" s="852">
        <f t="shared" si="130"/>
        <v>-13990</v>
      </c>
      <c r="M380" s="852">
        <f t="shared" si="130"/>
        <v>-13990</v>
      </c>
      <c r="N380" s="852">
        <f t="shared" ref="N380:O380" si="131">SUM(N377:N379)</f>
        <v>-13990</v>
      </c>
      <c r="O380" s="852">
        <f t="shared" si="131"/>
        <v>-13990</v>
      </c>
    </row>
    <row r="381" spans="1:15" ht="12.75" customHeight="1" thickTop="1" x14ac:dyDescent="0.25">
      <c r="A381" s="795"/>
      <c r="D381" s="851"/>
      <c r="E381" s="851"/>
      <c r="F381" s="851"/>
      <c r="G381" s="823"/>
      <c r="I381" s="807"/>
      <c r="J381" s="802"/>
      <c r="K381" s="802"/>
      <c r="L381" s="802"/>
      <c r="M381" s="802"/>
      <c r="N381" s="802"/>
      <c r="O381" s="802"/>
    </row>
    <row r="382" spans="1:15" ht="12.75" customHeight="1" x14ac:dyDescent="0.25">
      <c r="A382" s="795"/>
      <c r="D382" s="913">
        <v>636039</v>
      </c>
      <c r="E382" s="914"/>
      <c r="F382" s="914"/>
      <c r="G382" s="987" t="s">
        <v>4074</v>
      </c>
      <c r="I382" s="807"/>
      <c r="J382" s="802"/>
      <c r="K382" s="802"/>
      <c r="L382" s="802"/>
      <c r="M382" s="802"/>
      <c r="N382" s="802"/>
      <c r="O382" s="802"/>
    </row>
    <row r="383" spans="1:15" ht="12.75" customHeight="1" x14ac:dyDescent="0.25">
      <c r="A383" s="795"/>
      <c r="D383" s="851"/>
      <c r="E383" s="851"/>
      <c r="F383" s="851"/>
      <c r="G383" s="822" t="s">
        <v>554</v>
      </c>
      <c r="I383" s="807"/>
      <c r="J383" s="802"/>
      <c r="K383" s="802"/>
      <c r="L383" s="802"/>
      <c r="M383" s="802"/>
      <c r="N383" s="802"/>
      <c r="O383" s="802"/>
    </row>
    <row r="384" spans="1:15" ht="12.75" customHeight="1" x14ac:dyDescent="0.25">
      <c r="A384" s="795">
        <f>+D382</f>
        <v>636039</v>
      </c>
      <c r="B384" s="791" t="str">
        <f>+G382</f>
        <v>BS Eén tegen eenzaamheid</v>
      </c>
      <c r="D384" s="821">
        <v>84310</v>
      </c>
      <c r="E384" s="821"/>
      <c r="F384" s="821"/>
      <c r="G384" s="823" t="s">
        <v>4082</v>
      </c>
      <c r="I384" s="807"/>
      <c r="J384" s="802">
        <v>-11943</v>
      </c>
      <c r="K384" s="802">
        <f t="shared" ref="K384:M384" si="132">K634</f>
        <v>0</v>
      </c>
      <c r="L384" s="802">
        <f t="shared" si="132"/>
        <v>0</v>
      </c>
      <c r="M384" s="802">
        <f t="shared" si="132"/>
        <v>0</v>
      </c>
      <c r="N384" s="802">
        <f t="shared" ref="N384:O384" si="133">N634</f>
        <v>0</v>
      </c>
      <c r="O384" s="802">
        <f t="shared" si="133"/>
        <v>0</v>
      </c>
    </row>
    <row r="385" spans="1:15" ht="12.75" customHeight="1" thickBot="1" x14ac:dyDescent="0.3">
      <c r="A385" s="795"/>
      <c r="D385" s="851"/>
      <c r="E385" s="851"/>
      <c r="F385" s="851"/>
      <c r="G385" s="823" t="s">
        <v>536</v>
      </c>
      <c r="I385" s="807"/>
      <c r="J385" s="852">
        <v>-11943</v>
      </c>
      <c r="K385" s="852">
        <f t="shared" ref="K385:M385" si="134">SUM(K383:K384)</f>
        <v>0</v>
      </c>
      <c r="L385" s="852">
        <f t="shared" si="134"/>
        <v>0</v>
      </c>
      <c r="M385" s="852">
        <f t="shared" si="134"/>
        <v>0</v>
      </c>
      <c r="N385" s="852">
        <f t="shared" ref="N385:O385" si="135">SUM(N383:N384)</f>
        <v>0</v>
      </c>
      <c r="O385" s="852">
        <f t="shared" si="135"/>
        <v>0</v>
      </c>
    </row>
    <row r="386" spans="1:15" ht="12.75" customHeight="1" thickTop="1" x14ac:dyDescent="0.25">
      <c r="A386" s="795"/>
      <c r="D386" s="851"/>
      <c r="E386" s="851"/>
      <c r="F386" s="851"/>
      <c r="G386" s="823"/>
      <c r="I386" s="807"/>
      <c r="J386" s="802"/>
      <c r="K386" s="802"/>
      <c r="L386" s="802"/>
      <c r="M386" s="802"/>
      <c r="N386" s="802"/>
      <c r="O386" s="802"/>
    </row>
    <row r="387" spans="1:15" ht="12.75" customHeight="1" x14ac:dyDescent="0.25">
      <c r="A387" s="795"/>
      <c r="D387" s="913">
        <v>636040</v>
      </c>
      <c r="E387" s="914"/>
      <c r="F387" s="914"/>
      <c r="G387" s="987" t="s">
        <v>4075</v>
      </c>
      <c r="I387" s="807"/>
      <c r="J387" s="802"/>
      <c r="K387" s="802"/>
      <c r="L387" s="802"/>
      <c r="M387" s="802"/>
      <c r="N387" s="802"/>
      <c r="O387" s="802"/>
    </row>
    <row r="388" spans="1:15" ht="12.75" customHeight="1" x14ac:dyDescent="0.25">
      <c r="A388" s="795"/>
      <c r="D388" s="851"/>
      <c r="E388" s="851"/>
      <c r="F388" s="851"/>
      <c r="G388" s="822" t="s">
        <v>554</v>
      </c>
      <c r="I388" s="807"/>
      <c r="J388" s="802"/>
      <c r="K388" s="802"/>
      <c r="L388" s="802"/>
      <c r="M388" s="802"/>
      <c r="N388" s="802"/>
      <c r="O388" s="802"/>
    </row>
    <row r="389" spans="1:15" ht="12.75" customHeight="1" x14ac:dyDescent="0.25">
      <c r="A389" s="795">
        <f>+D387</f>
        <v>636040</v>
      </c>
      <c r="B389" s="791" t="str">
        <f>+G387</f>
        <v>BS Welzijn op recept</v>
      </c>
      <c r="D389" s="821">
        <v>84310</v>
      </c>
      <c r="E389" s="821"/>
      <c r="F389" s="821"/>
      <c r="G389" s="823" t="s">
        <v>4082</v>
      </c>
      <c r="I389" s="807"/>
      <c r="J389" s="802">
        <v>-17169</v>
      </c>
      <c r="K389" s="802">
        <f t="shared" ref="K389:M389" si="136">K639</f>
        <v>-20987</v>
      </c>
      <c r="L389" s="802">
        <f t="shared" si="136"/>
        <v>-20987</v>
      </c>
      <c r="M389" s="802">
        <f t="shared" si="136"/>
        <v>-20987</v>
      </c>
      <c r="N389" s="802">
        <f t="shared" ref="N389:O389" si="137">N639</f>
        <v>-20987</v>
      </c>
      <c r="O389" s="802">
        <f t="shared" si="137"/>
        <v>-20987</v>
      </c>
    </row>
    <row r="390" spans="1:15" ht="12.75" customHeight="1" thickBot="1" x14ac:dyDescent="0.3">
      <c r="A390" s="795"/>
      <c r="D390" s="851"/>
      <c r="E390" s="851"/>
      <c r="F390" s="851"/>
      <c r="G390" s="823" t="s">
        <v>536</v>
      </c>
      <c r="I390" s="807"/>
      <c r="J390" s="852">
        <v>-17169</v>
      </c>
      <c r="K390" s="852">
        <f t="shared" ref="K390:M390" si="138">SUM(K388:K389)</f>
        <v>-20987</v>
      </c>
      <c r="L390" s="852">
        <f t="shared" si="138"/>
        <v>-20987</v>
      </c>
      <c r="M390" s="852">
        <f t="shared" si="138"/>
        <v>-20987</v>
      </c>
      <c r="N390" s="852">
        <f t="shared" ref="N390:O390" si="139">SUM(N388:N389)</f>
        <v>-20987</v>
      </c>
      <c r="O390" s="852">
        <f t="shared" si="139"/>
        <v>-20987</v>
      </c>
    </row>
    <row r="391" spans="1:15" ht="12.75" customHeight="1" thickTop="1" x14ac:dyDescent="0.25">
      <c r="A391" s="795"/>
      <c r="D391" s="851"/>
      <c r="E391" s="851"/>
      <c r="F391" s="851"/>
      <c r="G391" s="823"/>
      <c r="I391" s="807"/>
      <c r="J391" s="802"/>
      <c r="K391" s="802"/>
      <c r="L391" s="802"/>
      <c r="M391" s="802"/>
      <c r="N391" s="802"/>
      <c r="O391" s="802"/>
    </row>
    <row r="392" spans="1:15" ht="12.75" customHeight="1" x14ac:dyDescent="0.25">
      <c r="A392" s="795"/>
      <c r="D392" s="854"/>
      <c r="E392" s="854"/>
      <c r="F392" s="854"/>
      <c r="G392" s="827"/>
      <c r="H392" s="811"/>
      <c r="I392" s="828"/>
      <c r="J392" s="829"/>
      <c r="K392" s="829"/>
      <c r="L392" s="829"/>
      <c r="M392" s="829"/>
      <c r="N392" s="829"/>
      <c r="O392" s="829"/>
    </row>
    <row r="393" spans="1:15" ht="12.75" customHeight="1" x14ac:dyDescent="0.25">
      <c r="A393" s="795"/>
      <c r="D393" s="831"/>
      <c r="E393" s="831"/>
      <c r="F393" s="831"/>
      <c r="I393" s="812"/>
      <c r="J393" s="812"/>
      <c r="K393" s="812"/>
      <c r="L393" s="812"/>
    </row>
    <row r="394" spans="1:15" ht="12.75" customHeight="1" x14ac:dyDescent="0.25">
      <c r="A394" s="795"/>
      <c r="D394" s="831"/>
      <c r="E394" s="831"/>
      <c r="F394" s="831"/>
      <c r="I394" s="812"/>
      <c r="J394" s="812"/>
      <c r="K394" s="812"/>
      <c r="L394" s="812"/>
    </row>
    <row r="395" spans="1:15" ht="12.75" customHeight="1" x14ac:dyDescent="0.25">
      <c r="A395" s="795"/>
      <c r="D395" s="831"/>
      <c r="E395" s="831"/>
      <c r="F395" s="831"/>
      <c r="I395" s="812"/>
      <c r="J395" s="812"/>
      <c r="K395" s="812"/>
      <c r="L395" s="812"/>
    </row>
    <row r="396" spans="1:15" ht="12.75" customHeight="1" x14ac:dyDescent="0.25">
      <c r="A396" s="795"/>
      <c r="D396" s="830" t="s">
        <v>561</v>
      </c>
      <c r="E396" s="831"/>
      <c r="F396" s="831"/>
      <c r="I396" s="812"/>
      <c r="J396" s="812"/>
      <c r="K396" s="812"/>
      <c r="L396" s="812"/>
    </row>
    <row r="397" spans="1:15" ht="12.75" customHeight="1" x14ac:dyDescent="0.25">
      <c r="G397" s="923"/>
      <c r="I397" s="927"/>
      <c r="J397" s="927"/>
      <c r="K397" s="927"/>
      <c r="L397" s="927"/>
    </row>
    <row r="398" spans="1:15" ht="12.75" customHeight="1" x14ac:dyDescent="0.25">
      <c r="A398" s="795"/>
      <c r="D398" s="834">
        <v>636022</v>
      </c>
      <c r="E398" s="832" t="s">
        <v>4052</v>
      </c>
      <c r="F398" s="813"/>
      <c r="I398" s="812"/>
      <c r="J398" s="837">
        <v>2025</v>
      </c>
      <c r="K398" s="837">
        <v>2026</v>
      </c>
      <c r="L398" s="837">
        <v>2027</v>
      </c>
      <c r="M398" s="837">
        <v>2028</v>
      </c>
      <c r="N398" s="837">
        <v>2029</v>
      </c>
      <c r="O398" s="837">
        <v>2030</v>
      </c>
    </row>
    <row r="399" spans="1:15" ht="12.75" customHeight="1" x14ac:dyDescent="0.25">
      <c r="A399" s="795"/>
      <c r="D399" s="793"/>
      <c r="E399" s="800" t="s">
        <v>533</v>
      </c>
      <c r="I399" s="812"/>
      <c r="J399" s="812"/>
      <c r="K399" s="812"/>
      <c r="L399" s="812"/>
      <c r="M399" s="1003"/>
      <c r="N399" s="1003"/>
      <c r="O399" s="1003"/>
    </row>
    <row r="400" spans="1:15" ht="12.75" customHeight="1" x14ac:dyDescent="0.25">
      <c r="A400" s="795"/>
      <c r="D400" s="793">
        <v>43410</v>
      </c>
      <c r="E400" s="791" t="s">
        <v>4083</v>
      </c>
      <c r="I400" s="812"/>
      <c r="J400" s="812">
        <v>31520</v>
      </c>
      <c r="K400" s="812">
        <f>ROUND(31520*S$2,-1)</f>
        <v>32340</v>
      </c>
      <c r="L400" s="812">
        <f>ROUND(K400*T$2,-1)</f>
        <v>33020</v>
      </c>
      <c r="M400" s="812">
        <f>ROUND(L400*U$2,-1)</f>
        <v>33780</v>
      </c>
      <c r="N400" s="812">
        <f>ROUND(M400*V$2,-1)</f>
        <v>34560</v>
      </c>
      <c r="O400" s="812">
        <f>ROUND(N400*W$2,-1)</f>
        <v>35350</v>
      </c>
    </row>
    <row r="401" spans="1:27" ht="12.75" customHeight="1" thickBot="1" x14ac:dyDescent="0.3">
      <c r="A401" s="795"/>
      <c r="D401" s="793"/>
      <c r="E401" s="791" t="str">
        <f>"Totaal "&amp;D400</f>
        <v>Totaal 43410</v>
      </c>
      <c r="I401" s="934"/>
      <c r="J401" s="1935">
        <v>31520</v>
      </c>
      <c r="K401" s="1935">
        <f>SUM(K400:K400)</f>
        <v>32340</v>
      </c>
      <c r="L401" s="1935">
        <f>SUM(L400:L400)</f>
        <v>33020</v>
      </c>
      <c r="M401" s="1935">
        <f>SUM(M400:M400)</f>
        <v>33780</v>
      </c>
      <c r="N401" s="1935">
        <f>SUM(N400:N400)</f>
        <v>34560</v>
      </c>
      <c r="O401" s="1935">
        <f>SUM(O400:O400)</f>
        <v>35350</v>
      </c>
    </row>
    <row r="402" spans="1:27" ht="12.75" customHeight="1" thickTop="1" x14ac:dyDescent="0.25">
      <c r="A402" s="795"/>
      <c r="D402" s="793"/>
      <c r="I402" s="812"/>
      <c r="J402" s="812"/>
      <c r="K402" s="812"/>
      <c r="L402" s="812"/>
      <c r="M402" s="812"/>
      <c r="N402" s="812"/>
      <c r="O402" s="812"/>
      <c r="P402" s="1003"/>
    </row>
    <row r="403" spans="1:27" ht="12.75" customHeight="1" x14ac:dyDescent="0.25">
      <c r="A403" s="795"/>
      <c r="D403" s="834">
        <v>636001</v>
      </c>
      <c r="E403" s="835" t="s">
        <v>4053</v>
      </c>
      <c r="F403" s="813"/>
      <c r="I403" s="812"/>
      <c r="J403" s="812"/>
      <c r="K403" s="812"/>
      <c r="L403" s="812"/>
      <c r="M403" s="812"/>
      <c r="N403" s="812"/>
      <c r="O403" s="812"/>
      <c r="P403" s="971"/>
    </row>
    <row r="404" spans="1:27" ht="12.75" customHeight="1" x14ac:dyDescent="0.25">
      <c r="A404" s="795"/>
      <c r="D404" s="834"/>
      <c r="E404" s="800" t="s">
        <v>533</v>
      </c>
      <c r="F404" s="813"/>
      <c r="I404" s="812"/>
      <c r="J404" s="912"/>
      <c r="K404" s="912"/>
      <c r="L404" s="912"/>
      <c r="P404" s="971"/>
    </row>
    <row r="405" spans="1:27" ht="12.75" customHeight="1" x14ac:dyDescent="0.25">
      <c r="A405" s="795"/>
      <c r="D405" s="834"/>
      <c r="E405" s="856" t="s">
        <v>4084</v>
      </c>
      <c r="F405" s="813"/>
      <c r="I405" s="812"/>
      <c r="P405" s="971"/>
    </row>
    <row r="406" spans="1:27" ht="12.75" customHeight="1" x14ac:dyDescent="0.25">
      <c r="A406" s="795"/>
      <c r="D406" s="793">
        <v>44360</v>
      </c>
      <c r="E406" s="840" t="s">
        <v>4085</v>
      </c>
      <c r="I406" s="812"/>
      <c r="J406" s="812">
        <v>663710</v>
      </c>
      <c r="K406" s="812">
        <f>ROUND(663710*S$5,-1)</f>
        <v>694240</v>
      </c>
      <c r="L406" s="812">
        <f>ROUND(K406*T$5,-1)</f>
        <v>723400</v>
      </c>
      <c r="M406" s="812">
        <f>ROUND(L406*U$5,-1)</f>
        <v>753780</v>
      </c>
      <c r="N406" s="812">
        <f>ROUND(M406*V$5,-1)</f>
        <v>785440</v>
      </c>
      <c r="O406" s="812">
        <f>ROUND(N406*W$5,-1)</f>
        <v>818430</v>
      </c>
      <c r="P406" s="971"/>
    </row>
    <row r="407" spans="1:27" ht="12.75" customHeight="1" x14ac:dyDescent="0.25">
      <c r="A407" s="795"/>
      <c r="D407" s="793"/>
      <c r="E407" s="812" t="s">
        <v>4086</v>
      </c>
      <c r="I407" s="812"/>
      <c r="J407" s="812"/>
      <c r="K407" s="812"/>
      <c r="L407" s="812"/>
      <c r="M407" s="812"/>
      <c r="N407" s="812"/>
      <c r="O407" s="812"/>
      <c r="P407" s="796"/>
    </row>
    <row r="408" spans="1:27" ht="12.75" customHeight="1" x14ac:dyDescent="0.25">
      <c r="A408" s="795"/>
      <c r="E408" s="840" t="s">
        <v>4087</v>
      </c>
      <c r="I408" s="812"/>
      <c r="J408" s="812">
        <v>7540</v>
      </c>
      <c r="K408" s="812">
        <f>ROUND(7540*S$2,-1)</f>
        <v>7740</v>
      </c>
      <c r="L408" s="812">
        <f>ROUND(K408*T$2,-1)</f>
        <v>7900</v>
      </c>
      <c r="M408" s="812">
        <f>ROUND(L408*U$2,-1)</f>
        <v>8080</v>
      </c>
      <c r="N408" s="812">
        <f>ROUND(M408*V$2,-1)</f>
        <v>8270</v>
      </c>
      <c r="O408" s="812">
        <f>ROUND(N408*W$2,-1)</f>
        <v>8460</v>
      </c>
    </row>
    <row r="409" spans="1:27" ht="12.75" customHeight="1" thickBot="1" x14ac:dyDescent="0.3">
      <c r="A409" s="795"/>
      <c r="D409" s="834"/>
      <c r="E409" s="812" t="str">
        <f>"Totaal "&amp;D406</f>
        <v>Totaal 44360</v>
      </c>
      <c r="F409" s="813"/>
      <c r="I409" s="812"/>
      <c r="J409" s="1935">
        <v>671250</v>
      </c>
      <c r="K409" s="1935">
        <f>SUM(K406:K408)</f>
        <v>701980</v>
      </c>
      <c r="L409" s="1935">
        <f>SUM(L406:L408)</f>
        <v>731300</v>
      </c>
      <c r="M409" s="1935">
        <f>SUM(M406:M408)</f>
        <v>761860</v>
      </c>
      <c r="N409" s="1935">
        <f>SUM(N406:N408)</f>
        <v>793710</v>
      </c>
      <c r="O409" s="1935">
        <f>SUM(O406:O408)</f>
        <v>826890</v>
      </c>
      <c r="P409" s="812"/>
    </row>
    <row r="410" spans="1:27" ht="12.75" customHeight="1" thickTop="1" x14ac:dyDescent="0.25">
      <c r="A410" s="795"/>
      <c r="D410" s="834"/>
      <c r="E410" s="791"/>
      <c r="F410" s="813"/>
      <c r="I410" s="812"/>
      <c r="J410" s="1004"/>
      <c r="K410" s="1004"/>
      <c r="L410" s="1004"/>
    </row>
    <row r="411" spans="1:27" ht="12.75" customHeight="1" x14ac:dyDescent="0.25">
      <c r="A411" s="795"/>
      <c r="D411" s="834">
        <v>636002</v>
      </c>
      <c r="E411" s="832" t="s">
        <v>4054</v>
      </c>
      <c r="F411" s="813"/>
      <c r="I411" s="812"/>
      <c r="J411" s="812"/>
      <c r="K411" s="812"/>
      <c r="L411" s="812"/>
      <c r="M411" s="812"/>
      <c r="N411" s="812"/>
      <c r="O411" s="812"/>
    </row>
    <row r="412" spans="1:27" ht="12.75" customHeight="1" x14ac:dyDescent="0.25">
      <c r="A412" s="795"/>
      <c r="D412" s="834"/>
      <c r="E412" s="800" t="s">
        <v>533</v>
      </c>
      <c r="F412" s="813"/>
      <c r="I412" s="812"/>
      <c r="J412" s="912"/>
      <c r="K412" s="912"/>
      <c r="L412" s="912"/>
    </row>
    <row r="413" spans="1:27" ht="12.75" customHeight="1" x14ac:dyDescent="0.25">
      <c r="A413" s="795"/>
      <c r="D413" s="793">
        <v>44380</v>
      </c>
      <c r="E413" s="841" t="s">
        <v>4088</v>
      </c>
      <c r="I413" s="812"/>
      <c r="J413" s="812">
        <v>7770</v>
      </c>
      <c r="K413" s="812">
        <f>ROUND(7770*S$2,-1)</f>
        <v>7970</v>
      </c>
      <c r="L413" s="812">
        <f>ROUND(K413*T$2,-1)</f>
        <v>8140</v>
      </c>
      <c r="M413" s="812">
        <f>ROUND(L413*U$2,-1)</f>
        <v>8330</v>
      </c>
      <c r="N413" s="812">
        <f>ROUND(M413*V$2,-1)</f>
        <v>8520</v>
      </c>
      <c r="O413" s="812">
        <f>ROUND(N413*W$2,-1)</f>
        <v>8720</v>
      </c>
      <c r="Q413" s="795"/>
      <c r="R413" s="795"/>
      <c r="S413" s="795"/>
      <c r="U413" s="812"/>
    </row>
    <row r="414" spans="1:27" ht="12.75" customHeight="1" thickBot="1" x14ac:dyDescent="0.3">
      <c r="A414" s="795"/>
      <c r="D414" s="831"/>
      <c r="E414" s="812" t="str">
        <f>"Totaal "&amp;D413</f>
        <v>Totaal 44380</v>
      </c>
      <c r="F414" s="831"/>
      <c r="H414" s="812"/>
      <c r="I414" s="812"/>
      <c r="J414" s="1935">
        <v>7770</v>
      </c>
      <c r="K414" s="1935">
        <f>SUM(K413:K413)</f>
        <v>7970</v>
      </c>
      <c r="L414" s="1935">
        <f>SUM(L413:L413)</f>
        <v>8140</v>
      </c>
      <c r="M414" s="1935">
        <f>SUM(M413:M413)</f>
        <v>8330</v>
      </c>
      <c r="N414" s="1935">
        <f>SUM(N413:N413)</f>
        <v>8520</v>
      </c>
      <c r="O414" s="1935">
        <f>SUM(O413:O413)</f>
        <v>8720</v>
      </c>
      <c r="U414" s="812"/>
    </row>
    <row r="415" spans="1:27" ht="12.75" customHeight="1" thickTop="1" x14ac:dyDescent="0.25">
      <c r="A415" s="795"/>
      <c r="D415" s="831"/>
      <c r="E415" s="831"/>
      <c r="F415" s="831"/>
      <c r="G415" s="840"/>
      <c r="I415" s="812"/>
      <c r="J415" s="812"/>
      <c r="K415" s="812"/>
      <c r="L415" s="812"/>
    </row>
    <row r="416" spans="1:27" ht="12.75" customHeight="1" x14ac:dyDescent="0.25">
      <c r="A416" s="795"/>
      <c r="D416" s="834">
        <v>636003</v>
      </c>
      <c r="E416" s="832" t="s">
        <v>4056</v>
      </c>
      <c r="F416" s="791"/>
      <c r="I416" s="812"/>
      <c r="J416" s="812"/>
      <c r="K416" s="812"/>
      <c r="L416" s="812"/>
      <c r="M416" s="812"/>
      <c r="N416" s="812"/>
      <c r="O416" s="812"/>
      <c r="P416" s="812"/>
      <c r="Q416" s="812"/>
      <c r="AA416" s="812"/>
    </row>
    <row r="417" spans="1:27" ht="12.75" customHeight="1" x14ac:dyDescent="0.25">
      <c r="A417" s="795"/>
      <c r="D417" s="929"/>
      <c r="E417" s="800" t="s">
        <v>533</v>
      </c>
      <c r="F417" s="791"/>
      <c r="I417" s="812"/>
      <c r="AA417" s="812"/>
    </row>
    <row r="418" spans="1:27" ht="12.75" customHeight="1" x14ac:dyDescent="0.25">
      <c r="A418" s="795"/>
      <c r="D418" s="793">
        <v>43812</v>
      </c>
      <c r="E418" s="923" t="s">
        <v>1615</v>
      </c>
      <c r="F418" s="1005"/>
      <c r="I418" s="812"/>
      <c r="J418" s="912"/>
      <c r="K418" s="912"/>
      <c r="L418" s="912"/>
      <c r="Q418" s="795"/>
      <c r="R418" s="795"/>
      <c r="S418" s="795"/>
      <c r="U418" s="812"/>
      <c r="AA418" s="812"/>
    </row>
    <row r="419" spans="1:27" ht="12.75" customHeight="1" x14ac:dyDescent="0.25">
      <c r="A419" s="795"/>
      <c r="D419" s="793"/>
      <c r="E419" s="923" t="s">
        <v>4089</v>
      </c>
      <c r="F419" s="919"/>
      <c r="I419" s="812"/>
      <c r="J419" s="812">
        <v>29320</v>
      </c>
      <c r="K419" s="812">
        <f>ROUND(29320*S$2,-1)</f>
        <v>30080</v>
      </c>
      <c r="L419" s="812">
        <f t="shared" ref="L419:O420" si="140">ROUND(K419*T$2,-1)</f>
        <v>30710</v>
      </c>
      <c r="M419" s="812">
        <f t="shared" si="140"/>
        <v>31420</v>
      </c>
      <c r="N419" s="812">
        <f t="shared" si="140"/>
        <v>32140</v>
      </c>
      <c r="O419" s="812">
        <f t="shared" si="140"/>
        <v>32880</v>
      </c>
      <c r="Q419" s="795"/>
      <c r="R419" s="795"/>
      <c r="S419" s="795"/>
      <c r="U419" s="812"/>
      <c r="AA419" s="812"/>
    </row>
    <row r="420" spans="1:27" ht="12.75" customHeight="1" x14ac:dyDescent="0.25">
      <c r="A420" s="795"/>
      <c r="D420" s="793"/>
      <c r="E420" s="925" t="s">
        <v>4090</v>
      </c>
      <c r="F420" s="919"/>
      <c r="I420" s="812"/>
      <c r="J420" s="812"/>
      <c r="K420" s="812">
        <v>-8000</v>
      </c>
      <c r="L420" s="812">
        <f t="shared" si="140"/>
        <v>-8170</v>
      </c>
      <c r="M420" s="812">
        <f t="shared" si="140"/>
        <v>-8360</v>
      </c>
      <c r="N420" s="812">
        <f t="shared" si="140"/>
        <v>-8550</v>
      </c>
      <c r="O420" s="812">
        <f t="shared" si="140"/>
        <v>-8750</v>
      </c>
      <c r="Q420" s="795"/>
      <c r="R420" s="795"/>
      <c r="S420" s="795"/>
      <c r="U420" s="812"/>
      <c r="AA420" s="812"/>
    </row>
    <row r="421" spans="1:27" ht="12.75" customHeight="1" thickBot="1" x14ac:dyDescent="0.3">
      <c r="A421" s="795"/>
      <c r="D421" s="793"/>
      <c r="E421" s="812" t="str">
        <f>"Totaal "&amp;D418</f>
        <v>Totaal 43812</v>
      </c>
      <c r="F421" s="928"/>
      <c r="I421" s="812"/>
      <c r="J421" s="1936">
        <v>29320</v>
      </c>
      <c r="K421" s="1936">
        <f>SUM(K419:K420)</f>
        <v>22080</v>
      </c>
      <c r="L421" s="1936">
        <f t="shared" ref="L421:N421" si="141">SUM(L419:L420)</f>
        <v>22540</v>
      </c>
      <c r="M421" s="1936">
        <f t="shared" si="141"/>
        <v>23060</v>
      </c>
      <c r="N421" s="1936">
        <f t="shared" si="141"/>
        <v>23590</v>
      </c>
      <c r="O421" s="1936">
        <f t="shared" ref="O421" si="142">SUM(O419:O420)</f>
        <v>24130</v>
      </c>
      <c r="Q421" s="795"/>
      <c r="R421" s="795"/>
      <c r="S421" s="795"/>
      <c r="U421" s="812"/>
      <c r="AA421" s="812"/>
    </row>
    <row r="422" spans="1:27" ht="12.75" customHeight="1" thickTop="1" x14ac:dyDescent="0.25">
      <c r="I422" s="812"/>
      <c r="Q422" s="795"/>
      <c r="R422" s="795"/>
      <c r="S422" s="795"/>
      <c r="U422" s="812"/>
      <c r="AA422" s="812"/>
    </row>
    <row r="423" spans="1:27" ht="12.75" customHeight="1" x14ac:dyDescent="0.25">
      <c r="D423" s="834">
        <v>636901</v>
      </c>
      <c r="E423" s="835" t="s">
        <v>4059</v>
      </c>
      <c r="F423" s="813"/>
      <c r="I423" s="812"/>
      <c r="J423" s="812"/>
      <c r="K423" s="812"/>
      <c r="L423" s="812"/>
      <c r="M423" s="812"/>
      <c r="N423" s="812"/>
      <c r="O423" s="812"/>
      <c r="Q423" s="795"/>
      <c r="R423" s="795"/>
      <c r="S423" s="795"/>
      <c r="U423" s="812"/>
      <c r="AA423" s="812"/>
    </row>
    <row r="424" spans="1:27" ht="12.75" customHeight="1" x14ac:dyDescent="0.25">
      <c r="E424" s="800" t="s">
        <v>533</v>
      </c>
      <c r="I424" s="812"/>
      <c r="Q424" s="795"/>
      <c r="R424" s="795"/>
      <c r="S424" s="795"/>
      <c r="U424" s="812"/>
      <c r="AA424" s="812"/>
    </row>
    <row r="425" spans="1:27" ht="12.75" customHeight="1" x14ac:dyDescent="0.25">
      <c r="D425" s="793">
        <v>41100</v>
      </c>
      <c r="E425" s="796" t="s">
        <v>3261</v>
      </c>
      <c r="I425" s="812"/>
      <c r="J425" s="859">
        <v>461470.51</v>
      </c>
      <c r="K425" s="859">
        <v>541796.23</v>
      </c>
      <c r="L425" s="859">
        <f t="shared" ref="L425:L429" si="143">ROUND(K425*T$3,0)</f>
        <v>564552</v>
      </c>
      <c r="M425" s="859">
        <f t="shared" ref="M425:M429" si="144">ROUND(L425*U$3,0)</f>
        <v>585440</v>
      </c>
      <c r="N425" s="859">
        <f t="shared" ref="N425:O429" si="145">ROUND(M425*V$3,0)</f>
        <v>607101</v>
      </c>
      <c r="O425" s="859">
        <f t="shared" si="145"/>
        <v>629564</v>
      </c>
      <c r="Q425" s="795"/>
      <c r="R425" s="795"/>
      <c r="S425" s="795"/>
      <c r="U425" s="812"/>
      <c r="AA425" s="812"/>
    </row>
    <row r="426" spans="1:27" ht="12.75" customHeight="1" x14ac:dyDescent="0.25">
      <c r="E426" s="796" t="s">
        <v>1029</v>
      </c>
      <c r="I426" s="812"/>
      <c r="J426" s="859">
        <v>72561</v>
      </c>
      <c r="K426" s="859">
        <f>62425+10033</f>
        <v>72458</v>
      </c>
      <c r="L426" s="859">
        <f t="shared" si="143"/>
        <v>75501</v>
      </c>
      <c r="M426" s="859">
        <f t="shared" si="144"/>
        <v>78295</v>
      </c>
      <c r="N426" s="859">
        <f t="shared" si="145"/>
        <v>81192</v>
      </c>
      <c r="O426" s="859">
        <f t="shared" si="145"/>
        <v>84196</v>
      </c>
      <c r="Q426" s="795"/>
      <c r="R426" s="795"/>
      <c r="S426" s="795"/>
      <c r="U426" s="812"/>
      <c r="AA426" s="812"/>
    </row>
    <row r="427" spans="1:27" ht="12.75" customHeight="1" x14ac:dyDescent="0.25">
      <c r="E427" s="796" t="s">
        <v>1028</v>
      </c>
      <c r="I427" s="812"/>
      <c r="J427" s="859">
        <v>19268</v>
      </c>
      <c r="K427" s="859">
        <f>11215+1122+2245</f>
        <v>14582</v>
      </c>
      <c r="L427" s="859">
        <f t="shared" si="143"/>
        <v>15194</v>
      </c>
      <c r="M427" s="859">
        <f t="shared" si="144"/>
        <v>15756</v>
      </c>
      <c r="N427" s="859">
        <f t="shared" si="145"/>
        <v>16339</v>
      </c>
      <c r="O427" s="859">
        <f t="shared" si="145"/>
        <v>16944</v>
      </c>
      <c r="Q427" s="795"/>
      <c r="R427" s="795"/>
      <c r="S427" s="795"/>
      <c r="U427" s="812"/>
      <c r="AA427" s="812"/>
    </row>
    <row r="428" spans="1:27" ht="12.75" customHeight="1" x14ac:dyDescent="0.25">
      <c r="E428" s="796" t="s">
        <v>1030</v>
      </c>
      <c r="I428" s="812"/>
      <c r="J428" s="859">
        <v>37518</v>
      </c>
      <c r="K428" s="859">
        <v>39481</v>
      </c>
      <c r="L428" s="859">
        <f t="shared" si="143"/>
        <v>41139</v>
      </c>
      <c r="M428" s="859">
        <f t="shared" si="144"/>
        <v>42661</v>
      </c>
      <c r="N428" s="859">
        <f t="shared" si="145"/>
        <v>44239</v>
      </c>
      <c r="O428" s="859">
        <f t="shared" si="145"/>
        <v>45876</v>
      </c>
      <c r="Q428" s="795"/>
      <c r="R428" s="795"/>
      <c r="S428" s="795"/>
      <c r="U428" s="812"/>
      <c r="AA428" s="812"/>
    </row>
    <row r="429" spans="1:27" ht="12.75" customHeight="1" x14ac:dyDescent="0.25">
      <c r="E429" s="796" t="s">
        <v>3089</v>
      </c>
      <c r="I429" s="812"/>
      <c r="J429" s="859">
        <v>9851.48</v>
      </c>
      <c r="K429" s="859">
        <v>6867</v>
      </c>
      <c r="L429" s="859">
        <f t="shared" si="143"/>
        <v>7155</v>
      </c>
      <c r="M429" s="859">
        <f t="shared" si="144"/>
        <v>7420</v>
      </c>
      <c r="N429" s="859">
        <f t="shared" si="145"/>
        <v>7695</v>
      </c>
      <c r="O429" s="859">
        <f t="shared" si="145"/>
        <v>7980</v>
      </c>
      <c r="Q429" s="795"/>
      <c r="R429" s="795"/>
      <c r="S429" s="795"/>
      <c r="U429" s="812"/>
      <c r="AA429" s="812"/>
    </row>
    <row r="430" spans="1:27" ht="12.75" customHeight="1" x14ac:dyDescent="0.25">
      <c r="E430" s="858" t="s">
        <v>4091</v>
      </c>
      <c r="I430" s="812"/>
      <c r="J430" s="859"/>
      <c r="K430" s="859">
        <v>132200</v>
      </c>
      <c r="L430" s="859">
        <f>ROUND(K430*T$3,0)</f>
        <v>137752</v>
      </c>
      <c r="M430" s="859">
        <f>ROUND(L430*U$3,0)</f>
        <v>142849</v>
      </c>
      <c r="N430" s="859">
        <f>ROUND(M430*V$3,0)</f>
        <v>148134</v>
      </c>
      <c r="O430" s="859">
        <f>ROUND(N430*W$3,0)</f>
        <v>153615</v>
      </c>
      <c r="Q430" s="795"/>
      <c r="R430" s="795"/>
      <c r="S430" s="795"/>
      <c r="U430" s="812"/>
      <c r="AA430" s="812"/>
    </row>
    <row r="431" spans="1:27" ht="12.75" customHeight="1" x14ac:dyDescent="0.25">
      <c r="E431" s="796"/>
      <c r="I431" s="812"/>
      <c r="J431" s="859"/>
      <c r="K431" s="859"/>
      <c r="L431" s="859"/>
      <c r="M431" s="859"/>
      <c r="N431" s="859"/>
      <c r="O431" s="859"/>
      <c r="Q431" s="795"/>
      <c r="R431" s="795"/>
      <c r="S431" s="795"/>
      <c r="U431" s="812"/>
      <c r="AA431" s="812"/>
    </row>
    <row r="432" spans="1:27" ht="12.75" customHeight="1" thickBot="1" x14ac:dyDescent="0.3">
      <c r="E432" s="791" t="str">
        <f>"Totaal "&amp;D425</f>
        <v>Totaal 41100</v>
      </c>
      <c r="I432" s="812"/>
      <c r="J432" s="1935">
        <v>600668.99</v>
      </c>
      <c r="K432" s="1935">
        <f>SUM(K425:K430)</f>
        <v>807384.23</v>
      </c>
      <c r="L432" s="1935">
        <f>SUM(L425:L430)</f>
        <v>841293</v>
      </c>
      <c r="M432" s="1935">
        <f>SUM(M425:M430)</f>
        <v>872421</v>
      </c>
      <c r="N432" s="1935">
        <f>SUM(N425:N430)</f>
        <v>904700</v>
      </c>
      <c r="O432" s="1935">
        <f>SUM(O425:O430)</f>
        <v>938175</v>
      </c>
      <c r="Q432" s="795"/>
      <c r="R432" s="795"/>
      <c r="S432" s="795"/>
      <c r="U432" s="812"/>
      <c r="AA432" s="812"/>
    </row>
    <row r="433" spans="1:27" ht="12.75" customHeight="1" thickTop="1" x14ac:dyDescent="0.25">
      <c r="E433" s="791"/>
      <c r="I433" s="812"/>
      <c r="Q433" s="795"/>
      <c r="R433" s="795"/>
      <c r="S433" s="795"/>
      <c r="U433" s="812"/>
      <c r="AA433" s="812"/>
    </row>
    <row r="434" spans="1:27" ht="12.75" customHeight="1" x14ac:dyDescent="0.25">
      <c r="D434" s="793">
        <v>47300</v>
      </c>
      <c r="E434" s="791" t="s">
        <v>4092</v>
      </c>
      <c r="I434" s="812"/>
      <c r="J434" s="1006">
        <v>82880</v>
      </c>
      <c r="K434" s="1006">
        <v>82879</v>
      </c>
      <c r="L434" s="1007">
        <v>128546</v>
      </c>
      <c r="M434" s="1007">
        <v>128546</v>
      </c>
      <c r="N434" s="1007">
        <v>116046</v>
      </c>
      <c r="O434" s="2131">
        <v>116046</v>
      </c>
      <c r="P434" s="812"/>
      <c r="Q434" s="812"/>
      <c r="R434" s="795"/>
      <c r="S434" s="795"/>
      <c r="U434" s="812"/>
      <c r="AA434" s="812"/>
    </row>
    <row r="435" spans="1:27" ht="12.75" customHeight="1" thickBot="1" x14ac:dyDescent="0.3">
      <c r="E435" s="791" t="str">
        <f>"Totaal "&amp;D434</f>
        <v>Totaal 47300</v>
      </c>
      <c r="I435" s="812"/>
      <c r="J435" s="1937">
        <v>82880</v>
      </c>
      <c r="K435" s="1937">
        <f>SUM(K434:K434)</f>
        <v>82879</v>
      </c>
      <c r="L435" s="1937">
        <f t="shared" ref="L435:N435" si="146">SUM(L434:L434)</f>
        <v>128546</v>
      </c>
      <c r="M435" s="1937">
        <f t="shared" si="146"/>
        <v>128546</v>
      </c>
      <c r="N435" s="1937">
        <f t="shared" si="146"/>
        <v>116046</v>
      </c>
      <c r="O435" s="1937">
        <f t="shared" ref="O435" si="147">SUM(O434:O434)</f>
        <v>116046</v>
      </c>
      <c r="Q435" s="795"/>
      <c r="R435" s="795"/>
      <c r="S435" s="795"/>
      <c r="U435" s="812"/>
      <c r="AA435" s="812"/>
    </row>
    <row r="436" spans="1:27" ht="12.75" customHeight="1" thickTop="1" x14ac:dyDescent="0.25">
      <c r="E436" s="791"/>
      <c r="F436" s="791"/>
      <c r="Q436" s="795"/>
      <c r="R436" s="795"/>
      <c r="S436" s="795"/>
      <c r="U436" s="812"/>
      <c r="AA436" s="812"/>
    </row>
    <row r="437" spans="1:27" ht="12.75" customHeight="1" x14ac:dyDescent="0.25">
      <c r="A437" s="795"/>
      <c r="D437" s="834">
        <v>636005</v>
      </c>
      <c r="E437" s="911" t="s">
        <v>4060</v>
      </c>
      <c r="F437" s="813"/>
      <c r="I437" s="812"/>
      <c r="J437" s="812"/>
      <c r="K437" s="812"/>
      <c r="L437" s="812"/>
      <c r="M437" s="812"/>
      <c r="N437" s="812"/>
      <c r="O437" s="812"/>
      <c r="P437" s="812"/>
      <c r="Q437" s="795"/>
      <c r="R437" s="833"/>
      <c r="U437" s="812"/>
      <c r="AA437" s="812"/>
    </row>
    <row r="438" spans="1:27" ht="12.75" customHeight="1" x14ac:dyDescent="0.25">
      <c r="A438" s="795"/>
      <c r="D438" s="834"/>
      <c r="E438" s="800" t="s">
        <v>533</v>
      </c>
      <c r="F438" s="813"/>
      <c r="I438" s="812"/>
      <c r="J438" s="912"/>
      <c r="K438" s="912"/>
      <c r="L438" s="912"/>
      <c r="Q438" s="795"/>
      <c r="R438" s="833"/>
      <c r="U438" s="812"/>
      <c r="AA438" s="812"/>
    </row>
    <row r="439" spans="1:27" ht="12.75" customHeight="1" x14ac:dyDescent="0.25">
      <c r="A439" s="795"/>
      <c r="D439" s="793">
        <v>43806</v>
      </c>
      <c r="E439" s="926" t="s">
        <v>4093</v>
      </c>
      <c r="I439" s="812"/>
      <c r="J439" s="859">
        <v>4340</v>
      </c>
      <c r="K439" s="859">
        <f>ROUND(4340*S$2,0)</f>
        <v>4453</v>
      </c>
      <c r="L439" s="859">
        <f>ROUND(K439*T$2,0)</f>
        <v>4547</v>
      </c>
      <c r="M439" s="859">
        <f>ROUND(L439*U$2,0)</f>
        <v>4652</v>
      </c>
      <c r="N439" s="859">
        <f>ROUND(M439*V$2,0)</f>
        <v>4759</v>
      </c>
      <c r="O439" s="859">
        <f>ROUND(N439*W$2,0)</f>
        <v>4868</v>
      </c>
      <c r="Q439" s="795"/>
      <c r="R439" s="812"/>
      <c r="U439" s="812"/>
      <c r="AA439" s="812"/>
    </row>
    <row r="440" spans="1:27" ht="12.75" customHeight="1" thickBot="1" x14ac:dyDescent="0.3">
      <c r="A440" s="795"/>
      <c r="D440" s="793"/>
      <c r="E440" s="791" t="str">
        <f>"Totaal "&amp;D439</f>
        <v>Totaal 43806</v>
      </c>
      <c r="I440" s="812"/>
      <c r="J440" s="1935">
        <v>4340</v>
      </c>
      <c r="K440" s="1935">
        <f>SUM(K439:K439)</f>
        <v>4453</v>
      </c>
      <c r="L440" s="1935">
        <f>SUM(L439:L439)</f>
        <v>4547</v>
      </c>
      <c r="M440" s="1935">
        <f>SUM(M439:M439)</f>
        <v>4652</v>
      </c>
      <c r="N440" s="1935">
        <f>SUM(N439:N439)</f>
        <v>4759</v>
      </c>
      <c r="O440" s="1935">
        <f>SUM(O439:O439)</f>
        <v>4868</v>
      </c>
      <c r="Q440" s="921"/>
      <c r="U440" s="812"/>
      <c r="AA440" s="812"/>
    </row>
    <row r="441" spans="1:27" ht="12.75" customHeight="1" thickTop="1" x14ac:dyDescent="0.25">
      <c r="A441" s="795"/>
      <c r="D441" s="834"/>
      <c r="E441" s="911"/>
      <c r="F441" s="813"/>
      <c r="I441" s="812"/>
      <c r="J441" s="912"/>
      <c r="K441" s="912"/>
      <c r="L441" s="912"/>
      <c r="Q441" s="921"/>
      <c r="U441" s="812"/>
    </row>
    <row r="442" spans="1:27" ht="12.75" customHeight="1" x14ac:dyDescent="0.25">
      <c r="A442" s="795"/>
      <c r="D442" s="793">
        <v>44380</v>
      </c>
      <c r="E442" s="812" t="s">
        <v>4060</v>
      </c>
      <c r="I442" s="812"/>
      <c r="J442" s="859">
        <v>218843</v>
      </c>
      <c r="K442" s="859">
        <f>ROUND(218843*S$2,-1)</f>
        <v>224530</v>
      </c>
      <c r="L442" s="859">
        <f>ROUND(K442*T$2,-1)</f>
        <v>229250</v>
      </c>
      <c r="M442" s="859">
        <f>ROUND(L442*U$2,-1)</f>
        <v>234520</v>
      </c>
      <c r="N442" s="859">
        <f>ROUND(M442*V$2,-1)</f>
        <v>239910</v>
      </c>
      <c r="O442" s="859">
        <f>ROUND(N442*W$2,-1)</f>
        <v>245430</v>
      </c>
      <c r="U442" s="812"/>
    </row>
    <row r="443" spans="1:27" ht="12.75" customHeight="1" thickBot="1" x14ac:dyDescent="0.3">
      <c r="A443" s="795"/>
      <c r="D443" s="793"/>
      <c r="E443" s="791" t="str">
        <f>"Totaal "&amp;D442</f>
        <v>Totaal 44380</v>
      </c>
      <c r="I443" s="812"/>
      <c r="J443" s="1935">
        <v>218843</v>
      </c>
      <c r="K443" s="1935">
        <f>SUM(K442:K442)</f>
        <v>224530</v>
      </c>
      <c r="L443" s="1935">
        <f>SUM(L442:L442)</f>
        <v>229250</v>
      </c>
      <c r="M443" s="1935">
        <f>SUM(M442:M442)</f>
        <v>234520</v>
      </c>
      <c r="N443" s="1935">
        <f>SUM(N442:N442)</f>
        <v>239910</v>
      </c>
      <c r="O443" s="1935">
        <f>SUM(O442:O442)</f>
        <v>245430</v>
      </c>
      <c r="U443" s="812"/>
    </row>
    <row r="444" spans="1:27" ht="12.75" customHeight="1" thickTop="1" x14ac:dyDescent="0.25">
      <c r="I444" s="812"/>
    </row>
    <row r="445" spans="1:27" ht="12.75" customHeight="1" x14ac:dyDescent="0.25">
      <c r="A445" s="795"/>
      <c r="D445" s="834">
        <v>636006</v>
      </c>
      <c r="E445" s="911" t="s">
        <v>4061</v>
      </c>
      <c r="F445" s="813"/>
      <c r="I445" s="812"/>
      <c r="J445" s="1008">
        <v>2025</v>
      </c>
      <c r="K445" s="1008">
        <v>2026</v>
      </c>
      <c r="L445" s="1008">
        <v>2027</v>
      </c>
      <c r="M445" s="1008">
        <v>2028</v>
      </c>
      <c r="N445" s="1008">
        <v>2029</v>
      </c>
      <c r="O445" s="1008">
        <v>2030</v>
      </c>
    </row>
    <row r="446" spans="1:27" ht="12.75" customHeight="1" x14ac:dyDescent="0.25">
      <c r="A446" s="795"/>
      <c r="D446" s="834"/>
      <c r="E446" s="800" t="s">
        <v>533</v>
      </c>
      <c r="F446" s="813"/>
      <c r="I446" s="812"/>
      <c r="J446" s="1009"/>
      <c r="K446" s="1009"/>
      <c r="L446" s="1009"/>
    </row>
    <row r="447" spans="1:27" ht="12.75" customHeight="1" x14ac:dyDescent="0.25">
      <c r="A447" s="795"/>
      <c r="D447" s="793">
        <v>43812</v>
      </c>
      <c r="E447" s="796" t="s">
        <v>4094</v>
      </c>
      <c r="I447" s="812"/>
      <c r="J447" s="859">
        <v>5610</v>
      </c>
      <c r="K447" s="859">
        <f>ROUND(5610*S$2,-1)</f>
        <v>5760</v>
      </c>
      <c r="L447" s="859">
        <f>ROUND(K447*T$2,-1)</f>
        <v>5880</v>
      </c>
      <c r="M447" s="859">
        <f>ROUND(L447*U$2,-1)</f>
        <v>6020</v>
      </c>
      <c r="N447" s="859">
        <f>ROUND(M447*V$2,-1)</f>
        <v>6160</v>
      </c>
      <c r="O447" s="859">
        <f>ROUND(N447*W$2,-1)</f>
        <v>6300</v>
      </c>
    </row>
    <row r="448" spans="1:27" ht="12.75" customHeight="1" x14ac:dyDescent="0.25">
      <c r="A448" s="795"/>
      <c r="D448" s="793"/>
      <c r="E448" s="977" t="s">
        <v>4095</v>
      </c>
      <c r="I448" s="812"/>
      <c r="J448" s="812"/>
      <c r="K448" s="812"/>
      <c r="L448" s="812"/>
    </row>
    <row r="449" spans="1:21" ht="12.75" customHeight="1" x14ac:dyDescent="0.25">
      <c r="A449" s="795"/>
      <c r="D449" s="793"/>
      <c r="E449" s="796" t="s">
        <v>4096</v>
      </c>
      <c r="I449" s="812"/>
      <c r="J449" s="812"/>
      <c r="K449" s="812"/>
      <c r="L449" s="812"/>
    </row>
    <row r="450" spans="1:21" ht="12.75" customHeight="1" x14ac:dyDescent="0.25">
      <c r="A450" s="795"/>
      <c r="D450" s="793"/>
      <c r="E450" s="796" t="s">
        <v>4097</v>
      </c>
      <c r="I450" s="812"/>
      <c r="J450" s="812"/>
      <c r="K450" s="812"/>
      <c r="L450" s="812"/>
    </row>
    <row r="451" spans="1:21" ht="12.75" customHeight="1" x14ac:dyDescent="0.25">
      <c r="A451" s="795"/>
      <c r="D451" s="793"/>
      <c r="E451" s="796" t="s">
        <v>4098</v>
      </c>
      <c r="I451" s="812"/>
      <c r="J451" s="812"/>
      <c r="K451" s="812"/>
      <c r="L451" s="812"/>
    </row>
    <row r="452" spans="1:21" ht="12.75" customHeight="1" x14ac:dyDescent="0.25">
      <c r="A452" s="795"/>
      <c r="D452" s="793"/>
      <c r="E452" s="796" t="s">
        <v>4099</v>
      </c>
      <c r="I452" s="812"/>
      <c r="J452" s="812"/>
      <c r="K452" s="812"/>
      <c r="L452" s="812"/>
    </row>
    <row r="453" spans="1:21" ht="12.75" customHeight="1" x14ac:dyDescent="0.25">
      <c r="A453" s="795"/>
      <c r="D453" s="793"/>
      <c r="E453" s="796" t="s">
        <v>4100</v>
      </c>
      <c r="I453" s="812"/>
      <c r="J453" s="859"/>
      <c r="K453" s="859"/>
      <c r="L453" s="859"/>
    </row>
    <row r="454" spans="1:21" ht="12.75" customHeight="1" x14ac:dyDescent="0.25">
      <c r="A454" s="795"/>
      <c r="D454" s="793"/>
      <c r="E454" s="791" t="s">
        <v>4101</v>
      </c>
      <c r="I454" s="812"/>
      <c r="J454" s="859"/>
      <c r="K454" s="859"/>
      <c r="L454" s="859"/>
    </row>
    <row r="455" spans="1:21" ht="12.75" customHeight="1" x14ac:dyDescent="0.25">
      <c r="A455" s="795"/>
      <c r="D455" s="793"/>
      <c r="E455" s="796" t="s">
        <v>4102</v>
      </c>
      <c r="I455" s="812"/>
      <c r="J455" s="859">
        <v>1530</v>
      </c>
      <c r="K455" s="859">
        <f>ROUND(1530*S$2,-1)</f>
        <v>1570</v>
      </c>
      <c r="L455" s="859">
        <f>ROUND(K455*T$2,-1)</f>
        <v>1600</v>
      </c>
      <c r="M455" s="859">
        <f>ROUND(L455*U$2,-1)</f>
        <v>1640</v>
      </c>
      <c r="N455" s="859">
        <f>ROUND(M455*V$2,-1)</f>
        <v>1680</v>
      </c>
      <c r="O455" s="859">
        <f>ROUND(N455*W$2,-1)</f>
        <v>1720</v>
      </c>
    </row>
    <row r="456" spans="1:21" ht="12.75" customHeight="1" x14ac:dyDescent="0.25">
      <c r="A456" s="795"/>
      <c r="D456" s="793"/>
      <c r="E456" s="796"/>
      <c r="I456" s="812"/>
      <c r="J456" s="812"/>
      <c r="K456" s="812"/>
      <c r="L456" s="812"/>
    </row>
    <row r="457" spans="1:21" ht="12.75" customHeight="1" thickBot="1" x14ac:dyDescent="0.3">
      <c r="A457" s="795"/>
      <c r="D457" s="793"/>
      <c r="E457" s="791" t="str">
        <f>"Totaal "&amp;D447</f>
        <v>Totaal 43812</v>
      </c>
      <c r="I457" s="812"/>
      <c r="J457" s="1935">
        <v>7140</v>
      </c>
      <c r="K457" s="1935">
        <f>SUM(K447:K456)</f>
        <v>7330</v>
      </c>
      <c r="L457" s="1935">
        <f>SUM(L447:L456)</f>
        <v>7480</v>
      </c>
      <c r="M457" s="1935">
        <f>SUM(M447:M456)</f>
        <v>7660</v>
      </c>
      <c r="N457" s="1935">
        <f>SUM(N447:N456)</f>
        <v>7840</v>
      </c>
      <c r="O457" s="1935">
        <f>SUM(O447:O456)</f>
        <v>8020</v>
      </c>
    </row>
    <row r="458" spans="1:21" ht="12.75" customHeight="1" thickTop="1" x14ac:dyDescent="0.25">
      <c r="A458" s="795"/>
      <c r="D458" s="793"/>
      <c r="E458" s="791"/>
      <c r="I458" s="812"/>
      <c r="J458" s="812"/>
      <c r="K458" s="812"/>
      <c r="L458" s="812"/>
    </row>
    <row r="459" spans="1:21" ht="12.75" customHeight="1" x14ac:dyDescent="0.25">
      <c r="A459" s="795"/>
      <c r="D459" s="793">
        <v>44380</v>
      </c>
      <c r="E459" s="812" t="s">
        <v>4103</v>
      </c>
      <c r="I459" s="812"/>
      <c r="J459" s="859">
        <v>790530</v>
      </c>
      <c r="K459" s="859">
        <f>ROUND(790530*S$5,-1)</f>
        <v>826890</v>
      </c>
      <c r="L459" s="859">
        <f>ROUND(K459*T$5,-1)</f>
        <v>861620</v>
      </c>
      <c r="M459" s="859">
        <f>ROUND(L459*U$5,-1)</f>
        <v>897810</v>
      </c>
      <c r="N459" s="859">
        <f>ROUND(M459*V$5,-1)</f>
        <v>935520</v>
      </c>
      <c r="O459" s="859">
        <f>ROUND(N459*W$5,-1)</f>
        <v>974810</v>
      </c>
    </row>
    <row r="460" spans="1:21" ht="12.75" customHeight="1" x14ac:dyDescent="0.25">
      <c r="A460" s="795"/>
      <c r="D460" s="793"/>
      <c r="E460" s="791" t="str">
        <f>"Totaal "&amp;D459</f>
        <v>Totaal 44380</v>
      </c>
      <c r="I460" s="812"/>
      <c r="J460" s="1938">
        <v>790530</v>
      </c>
      <c r="K460" s="1938">
        <f>SUM(K459:K459)</f>
        <v>826890</v>
      </c>
      <c r="L460" s="1938">
        <f>SUM(L459:L459)</f>
        <v>861620</v>
      </c>
      <c r="M460" s="1938">
        <f>SUM(M459:M459)</f>
        <v>897810</v>
      </c>
      <c r="N460" s="1938">
        <f>SUM(N459:N459)</f>
        <v>935520</v>
      </c>
      <c r="O460" s="1938">
        <f>SUM(O459:O459)</f>
        <v>974810</v>
      </c>
      <c r="R460" s="812"/>
      <c r="S460" s="812"/>
      <c r="T460" s="812"/>
      <c r="U460" s="812"/>
    </row>
    <row r="461" spans="1:21" ht="12.75" customHeight="1" x14ac:dyDescent="0.25">
      <c r="A461" s="795"/>
      <c r="D461" s="793"/>
      <c r="E461" s="791"/>
      <c r="I461" s="812"/>
      <c r="J461" s="812"/>
      <c r="K461" s="812"/>
      <c r="L461" s="812"/>
    </row>
    <row r="462" spans="1:21" ht="12.75" customHeight="1" x14ac:dyDescent="0.25">
      <c r="A462" s="795"/>
      <c r="D462" s="834">
        <v>636019</v>
      </c>
      <c r="E462" s="832" t="s">
        <v>4104</v>
      </c>
      <c r="F462" s="813"/>
      <c r="I462" s="812"/>
      <c r="J462" s="812"/>
      <c r="K462" s="812"/>
      <c r="L462" s="812"/>
      <c r="M462" s="812"/>
      <c r="N462" s="812"/>
      <c r="O462" s="812"/>
    </row>
    <row r="463" spans="1:21" ht="12.75" customHeight="1" x14ac:dyDescent="0.25">
      <c r="A463" s="795"/>
      <c r="D463" s="793"/>
      <c r="E463" s="800" t="s">
        <v>533</v>
      </c>
      <c r="I463" s="812"/>
      <c r="J463" s="1009"/>
      <c r="K463" s="1009"/>
      <c r="L463" s="1009"/>
    </row>
    <row r="464" spans="1:21" ht="12.75" customHeight="1" x14ac:dyDescent="0.25">
      <c r="A464" s="795"/>
      <c r="D464" s="839">
        <v>44380</v>
      </c>
      <c r="E464" s="791" t="s">
        <v>4105</v>
      </c>
      <c r="F464" s="839"/>
      <c r="I464" s="812"/>
      <c r="J464" s="859">
        <v>16040</v>
      </c>
      <c r="K464" s="859">
        <f>ROUND(16040*S$2,-1)</f>
        <v>16460</v>
      </c>
      <c r="L464" s="859">
        <f>ROUND(K464*T$2,-1)</f>
        <v>16810</v>
      </c>
      <c r="M464" s="859">
        <f>ROUND(L464*U$2,-1)</f>
        <v>17200</v>
      </c>
      <c r="N464" s="859">
        <f>ROUND(M464*V$2,-1)</f>
        <v>17600</v>
      </c>
      <c r="O464" s="859">
        <f>ROUND(N464*W$2,-1)</f>
        <v>18000</v>
      </c>
    </row>
    <row r="465" spans="1:16" ht="12.75" customHeight="1" thickBot="1" x14ac:dyDescent="0.3">
      <c r="A465" s="795"/>
      <c r="D465" s="793"/>
      <c r="E465" s="812" t="str">
        <f>"Totaal "&amp;D464</f>
        <v>Totaal 44380</v>
      </c>
      <c r="I465" s="812"/>
      <c r="J465" s="1935">
        <v>16040</v>
      </c>
      <c r="K465" s="1935">
        <f>K464</f>
        <v>16460</v>
      </c>
      <c r="L465" s="1935">
        <f>L464</f>
        <v>16810</v>
      </c>
      <c r="M465" s="1935">
        <f>M464</f>
        <v>17200</v>
      </c>
      <c r="N465" s="1935">
        <f>N464</f>
        <v>17600</v>
      </c>
      <c r="O465" s="1935">
        <f>O464</f>
        <v>18000</v>
      </c>
    </row>
    <row r="466" spans="1:16" ht="12.75" customHeight="1" thickTop="1" x14ac:dyDescent="0.25">
      <c r="A466" s="795"/>
      <c r="D466" s="793"/>
      <c r="E466" s="791"/>
      <c r="I466" s="812"/>
    </row>
    <row r="467" spans="1:16" ht="12.75" customHeight="1" x14ac:dyDescent="0.25">
      <c r="A467" s="795"/>
      <c r="D467" s="834">
        <v>636009</v>
      </c>
      <c r="E467" s="835" t="s">
        <v>4065</v>
      </c>
      <c r="F467" s="813"/>
      <c r="I467" s="812"/>
      <c r="J467" s="812"/>
      <c r="K467" s="812"/>
      <c r="L467" s="812"/>
      <c r="M467" s="812"/>
      <c r="N467" s="812"/>
      <c r="O467" s="812"/>
      <c r="P467" s="812"/>
    </row>
    <row r="468" spans="1:16" ht="12.75" customHeight="1" x14ac:dyDescent="0.25">
      <c r="A468" s="795"/>
      <c r="D468" s="834"/>
      <c r="E468" s="800" t="s">
        <v>533</v>
      </c>
      <c r="F468" s="813"/>
      <c r="I468" s="812"/>
      <c r="J468" s="812"/>
      <c r="K468" s="812"/>
      <c r="L468" s="812"/>
      <c r="P468" s="1003"/>
    </row>
    <row r="469" spans="1:16" ht="12.75" customHeight="1" x14ac:dyDescent="0.25">
      <c r="A469" s="795"/>
      <c r="D469" s="793">
        <v>44380</v>
      </c>
      <c r="E469" s="791" t="s">
        <v>4106</v>
      </c>
      <c r="I469" s="812"/>
      <c r="J469" s="859">
        <v>29960</v>
      </c>
      <c r="K469" s="859">
        <f>ROUND(29960*S$5,-1)</f>
        <v>31340</v>
      </c>
      <c r="L469" s="859">
        <f>ROUND(K469*T$5,-1)</f>
        <v>32660</v>
      </c>
      <c r="M469" s="859">
        <f>ROUND(L469*U$5,-1)</f>
        <v>34030</v>
      </c>
      <c r="N469" s="859">
        <f>ROUND(M469*V$5,-1)</f>
        <v>35460</v>
      </c>
      <c r="O469" s="859">
        <f>ROUND(N469*W$5,-1)</f>
        <v>36950</v>
      </c>
      <c r="P469" s="1003"/>
    </row>
    <row r="470" spans="1:16" ht="12.75" customHeight="1" x14ac:dyDescent="0.25">
      <c r="A470" s="795"/>
      <c r="D470" s="793"/>
      <c r="E470" s="791" t="s">
        <v>4107</v>
      </c>
      <c r="I470" s="812"/>
      <c r="J470" s="859"/>
      <c r="K470" s="859"/>
      <c r="L470" s="859"/>
      <c r="M470" s="859"/>
      <c r="N470" s="859"/>
      <c r="O470" s="859"/>
      <c r="P470" s="1003"/>
    </row>
    <row r="471" spans="1:16" ht="12.75" customHeight="1" x14ac:dyDescent="0.25">
      <c r="A471" s="795"/>
      <c r="D471" s="793"/>
      <c r="E471" s="791" t="s">
        <v>4108</v>
      </c>
      <c r="I471" s="812"/>
      <c r="J471" s="859">
        <v>176800</v>
      </c>
      <c r="K471" s="859">
        <f>ROUND(176800*S$5,-2)</f>
        <v>184900</v>
      </c>
      <c r="L471" s="859">
        <f>ROUND(K471*T$5,-2)</f>
        <v>192700</v>
      </c>
      <c r="M471" s="859">
        <f>ROUND(L471*U$5,-2)</f>
        <v>200800</v>
      </c>
      <c r="N471" s="859">
        <f>ROUND(M471*V$5,-2)</f>
        <v>209200</v>
      </c>
      <c r="O471" s="859">
        <f>ROUND(N471*W$5,-2)</f>
        <v>218000</v>
      </c>
      <c r="P471" s="1003"/>
    </row>
    <row r="472" spans="1:16" ht="12.75" customHeight="1" x14ac:dyDescent="0.25">
      <c r="A472" s="795"/>
      <c r="D472" s="793"/>
      <c r="E472" s="791" t="s">
        <v>4109</v>
      </c>
      <c r="I472" s="812"/>
      <c r="J472" s="859">
        <v>32130</v>
      </c>
      <c r="K472" s="859">
        <f>ROUND(32130*S$5,-1)</f>
        <v>33610</v>
      </c>
      <c r="L472" s="859">
        <f>ROUND(K472*T$5,-1)</f>
        <v>35020</v>
      </c>
      <c r="M472" s="859">
        <f>ROUND(L472*U$5,-1)</f>
        <v>36490</v>
      </c>
      <c r="N472" s="859">
        <f>ROUND(M472*V$5,-1)</f>
        <v>38020</v>
      </c>
      <c r="O472" s="859">
        <f>ROUND(N472*W$5,-1)</f>
        <v>39620</v>
      </c>
      <c r="P472" s="1003"/>
    </row>
    <row r="473" spans="1:16" ht="12.75" customHeight="1" x14ac:dyDescent="0.25">
      <c r="A473" s="795"/>
      <c r="D473" s="793"/>
      <c r="E473" s="842" t="s">
        <v>4110</v>
      </c>
      <c r="I473" s="812"/>
      <c r="J473" s="859"/>
      <c r="K473" s="859">
        <v>-31000</v>
      </c>
      <c r="L473" s="859">
        <v>-32000</v>
      </c>
      <c r="M473" s="859">
        <v>-33000</v>
      </c>
      <c r="N473" s="859">
        <v>-34000</v>
      </c>
      <c r="O473" s="2132">
        <v>-35000</v>
      </c>
      <c r="P473" s="1003"/>
    </row>
    <row r="474" spans="1:16" ht="12.75" customHeight="1" thickBot="1" x14ac:dyDescent="0.3">
      <c r="A474" s="795"/>
      <c r="D474" s="831"/>
      <c r="E474" s="812" t="str">
        <f>"Totaal "&amp;D469</f>
        <v>Totaal 44380</v>
      </c>
      <c r="F474" s="831"/>
      <c r="I474" s="812"/>
      <c r="J474" s="1935">
        <v>238890</v>
      </c>
      <c r="K474" s="1935">
        <f>SUM(K469:K473)</f>
        <v>218850</v>
      </c>
      <c r="L474" s="1935">
        <f t="shared" ref="L474:N474" si="148">SUM(L469:L473)</f>
        <v>228380</v>
      </c>
      <c r="M474" s="1935">
        <f t="shared" si="148"/>
        <v>238320</v>
      </c>
      <c r="N474" s="1935">
        <f t="shared" si="148"/>
        <v>248680</v>
      </c>
      <c r="O474" s="1935">
        <f t="shared" ref="O474" si="149">SUM(O469:O473)</f>
        <v>259570</v>
      </c>
      <c r="P474" s="1003"/>
    </row>
    <row r="475" spans="1:16" ht="12.75" customHeight="1" thickTop="1" x14ac:dyDescent="0.25">
      <c r="A475" s="795"/>
      <c r="D475" s="831"/>
      <c r="E475" s="812"/>
      <c r="F475" s="831"/>
      <c r="I475" s="812"/>
      <c r="J475" s="812"/>
      <c r="K475" s="812"/>
      <c r="L475" s="812"/>
      <c r="P475" s="1003"/>
    </row>
    <row r="476" spans="1:16" ht="12.75" customHeight="1" x14ac:dyDescent="0.25">
      <c r="A476" s="795"/>
      <c r="D476" s="834">
        <v>636010</v>
      </c>
      <c r="E476" s="835" t="s">
        <v>4066</v>
      </c>
      <c r="F476" s="813"/>
      <c r="I476" s="812"/>
      <c r="J476" s="812"/>
      <c r="K476" s="812"/>
      <c r="L476" s="812"/>
      <c r="M476" s="812"/>
      <c r="N476" s="812"/>
      <c r="O476" s="812"/>
      <c r="P476" s="1003"/>
    </row>
    <row r="477" spans="1:16" ht="12.75" customHeight="1" x14ac:dyDescent="0.25">
      <c r="A477" s="795"/>
      <c r="D477" s="834"/>
      <c r="E477" s="800" t="s">
        <v>533</v>
      </c>
      <c r="F477" s="813"/>
      <c r="I477" s="812"/>
      <c r="J477" s="812"/>
      <c r="K477" s="812"/>
      <c r="L477" s="812"/>
      <c r="P477" s="1003"/>
    </row>
    <row r="478" spans="1:16" ht="12.75" customHeight="1" x14ac:dyDescent="0.25">
      <c r="A478" s="795"/>
      <c r="D478" s="831">
        <v>44380</v>
      </c>
      <c r="E478" s="812" t="s">
        <v>4066</v>
      </c>
      <c r="F478" s="831"/>
      <c r="I478" s="812"/>
      <c r="J478" s="859">
        <v>77400</v>
      </c>
      <c r="K478" s="859">
        <f>ROUND(77400*S$2,-1)</f>
        <v>79410</v>
      </c>
      <c r="L478" s="859">
        <f>ROUND(K478*T$2,-1)</f>
        <v>81080</v>
      </c>
      <c r="M478" s="859">
        <f>ROUND(L478*U$2,-1)</f>
        <v>82940</v>
      </c>
      <c r="N478" s="859">
        <f>ROUND(M478*V$2,-1)</f>
        <v>84850</v>
      </c>
      <c r="O478" s="859">
        <f>ROUND(N478*W$2,-1)</f>
        <v>86800</v>
      </c>
      <c r="P478" s="1003"/>
    </row>
    <row r="479" spans="1:16" ht="12.75" customHeight="1" thickBot="1" x14ac:dyDescent="0.3">
      <c r="A479" s="795"/>
      <c r="D479" s="831"/>
      <c r="E479" s="812" t="str">
        <f>"Totaal "&amp;D478</f>
        <v>Totaal 44380</v>
      </c>
      <c r="F479" s="831"/>
      <c r="I479" s="812"/>
      <c r="J479" s="1935">
        <v>77400</v>
      </c>
      <c r="K479" s="1935">
        <f>SUM(K478:K478)</f>
        <v>79410</v>
      </c>
      <c r="L479" s="1935">
        <f>SUM(L478:L478)</f>
        <v>81080</v>
      </c>
      <c r="M479" s="1935">
        <f>SUM(M478:M478)</f>
        <v>82940</v>
      </c>
      <c r="N479" s="1935">
        <f>SUM(N478:N478)</f>
        <v>84850</v>
      </c>
      <c r="O479" s="1935">
        <f>SUM(O478:O478)</f>
        <v>86800</v>
      </c>
      <c r="P479" s="1003"/>
    </row>
    <row r="480" spans="1:16" ht="12.75" customHeight="1" thickTop="1" x14ac:dyDescent="0.25">
      <c r="A480" s="795"/>
      <c r="D480" s="831"/>
      <c r="E480" s="856"/>
      <c r="F480" s="831"/>
      <c r="I480" s="812"/>
      <c r="J480" s="812"/>
      <c r="K480" s="812"/>
      <c r="L480" s="917"/>
      <c r="P480" s="1003"/>
    </row>
    <row r="481" spans="1:16" ht="12.75" customHeight="1" x14ac:dyDescent="0.25">
      <c r="A481" s="795"/>
      <c r="D481" s="834">
        <v>636023</v>
      </c>
      <c r="E481" s="911" t="s">
        <v>4067</v>
      </c>
      <c r="F481" s="813"/>
      <c r="I481" s="812"/>
      <c r="J481" s="812"/>
      <c r="K481" s="812"/>
      <c r="L481" s="812"/>
      <c r="M481" s="812"/>
      <c r="N481" s="812"/>
      <c r="O481" s="812"/>
      <c r="P481" s="812"/>
    </row>
    <row r="482" spans="1:16" ht="12.75" customHeight="1" x14ac:dyDescent="0.25">
      <c r="A482" s="795"/>
      <c r="D482" s="834"/>
      <c r="E482" s="800" t="s">
        <v>533</v>
      </c>
      <c r="F482" s="813"/>
      <c r="I482" s="812"/>
      <c r="J482" s="812"/>
      <c r="K482" s="812"/>
      <c r="L482" s="812"/>
    </row>
    <row r="483" spans="1:16" ht="12.75" customHeight="1" x14ac:dyDescent="0.25">
      <c r="A483" s="795"/>
      <c r="D483" s="793">
        <v>43812</v>
      </c>
      <c r="E483" s="812" t="s">
        <v>4067</v>
      </c>
      <c r="I483" s="812"/>
      <c r="J483" s="859">
        <v>2920</v>
      </c>
      <c r="K483" s="859">
        <f>ROUND(2920*S$2,-1)</f>
        <v>3000</v>
      </c>
      <c r="L483" s="859">
        <f t="shared" ref="L483:O484" si="150">ROUND(K483*T$2,-1)</f>
        <v>3060</v>
      </c>
      <c r="M483" s="859">
        <f t="shared" si="150"/>
        <v>3130</v>
      </c>
      <c r="N483" s="859">
        <f t="shared" si="150"/>
        <v>3200</v>
      </c>
      <c r="O483" s="859">
        <f t="shared" si="150"/>
        <v>3270</v>
      </c>
    </row>
    <row r="484" spans="1:16" ht="12.75" customHeight="1" x14ac:dyDescent="0.25">
      <c r="A484" s="795"/>
      <c r="D484" s="793"/>
      <c r="E484" s="812" t="s">
        <v>4111</v>
      </c>
      <c r="I484" s="812"/>
      <c r="J484" s="859">
        <v>13260</v>
      </c>
      <c r="K484" s="859">
        <f>ROUND(13260*S$2,-1)</f>
        <v>13600</v>
      </c>
      <c r="L484" s="859">
        <f t="shared" si="150"/>
        <v>13890</v>
      </c>
      <c r="M484" s="859">
        <f t="shared" si="150"/>
        <v>14210</v>
      </c>
      <c r="N484" s="859">
        <f t="shared" si="150"/>
        <v>14540</v>
      </c>
      <c r="O484" s="859">
        <f t="shared" si="150"/>
        <v>14870</v>
      </c>
    </row>
    <row r="485" spans="1:16" ht="12.75" customHeight="1" thickBot="1" x14ac:dyDescent="0.3">
      <c r="A485" s="795"/>
      <c r="D485" s="793"/>
      <c r="E485" s="812" t="str">
        <f>"Totaal "&amp;D483</f>
        <v>Totaal 43812</v>
      </c>
      <c r="I485" s="812"/>
      <c r="J485" s="1935">
        <v>16180</v>
      </c>
      <c r="K485" s="1935">
        <f>SUM(K483:K484)</f>
        <v>16600</v>
      </c>
      <c r="L485" s="1935">
        <f>SUM(L483:L484)</f>
        <v>16950</v>
      </c>
      <c r="M485" s="1935">
        <f>SUM(M483:M484)</f>
        <v>17340</v>
      </c>
      <c r="N485" s="1935">
        <f>SUM(N483:N484)</f>
        <v>17740</v>
      </c>
      <c r="O485" s="1935">
        <f>SUM(O483:O484)</f>
        <v>18140</v>
      </c>
    </row>
    <row r="486" spans="1:16" ht="12.75" customHeight="1" thickTop="1" x14ac:dyDescent="0.25">
      <c r="A486" s="795"/>
      <c r="D486" s="793"/>
      <c r="E486" s="812"/>
      <c r="I486" s="812"/>
      <c r="J486" s="812"/>
      <c r="K486" s="812"/>
      <c r="L486" s="812"/>
    </row>
    <row r="487" spans="1:16" ht="12.75" customHeight="1" x14ac:dyDescent="0.25">
      <c r="A487" s="795"/>
      <c r="D487" s="834">
        <v>636027</v>
      </c>
      <c r="E487" s="832" t="s">
        <v>4031</v>
      </c>
      <c r="F487" s="813"/>
      <c r="I487" s="812"/>
      <c r="J487" s="855">
        <v>2025</v>
      </c>
      <c r="K487" s="855">
        <v>2026</v>
      </c>
      <c r="L487" s="855">
        <v>2027</v>
      </c>
      <c r="M487" s="855">
        <v>2028</v>
      </c>
      <c r="N487" s="855">
        <v>2029</v>
      </c>
      <c r="O487" s="855">
        <v>2030</v>
      </c>
    </row>
    <row r="488" spans="1:16" ht="12.75" customHeight="1" x14ac:dyDescent="0.25">
      <c r="A488" s="795"/>
      <c r="D488" s="831"/>
      <c r="E488" s="800" t="s">
        <v>533</v>
      </c>
      <c r="F488" s="831"/>
      <c r="I488" s="812"/>
      <c r="J488" s="812"/>
      <c r="K488" s="812"/>
      <c r="L488" s="812"/>
    </row>
    <row r="489" spans="1:16" ht="12.75" customHeight="1" x14ac:dyDescent="0.25">
      <c r="A489" s="795"/>
      <c r="D489" s="793">
        <v>42100</v>
      </c>
      <c r="E489" s="791" t="s">
        <v>4068</v>
      </c>
      <c r="I489" s="812"/>
      <c r="J489" s="812">
        <v>4371</v>
      </c>
      <c r="K489" s="812">
        <f>ROUND(4371*S$2,0)</f>
        <v>4485</v>
      </c>
      <c r="L489" s="812">
        <f t="shared" ref="L489:O490" si="151">ROUND(K489*T$2,0)</f>
        <v>4579</v>
      </c>
      <c r="M489" s="812">
        <f t="shared" si="151"/>
        <v>4684</v>
      </c>
      <c r="N489" s="812">
        <f t="shared" si="151"/>
        <v>4792</v>
      </c>
      <c r="O489" s="812">
        <f t="shared" si="151"/>
        <v>4902</v>
      </c>
    </row>
    <row r="490" spans="1:16" ht="12.75" customHeight="1" x14ac:dyDescent="0.25">
      <c r="A490" s="795"/>
      <c r="D490" s="793">
        <v>43806</v>
      </c>
      <c r="E490" s="791" t="s">
        <v>546</v>
      </c>
      <c r="I490" s="812"/>
      <c r="J490" s="812">
        <v>2470</v>
      </c>
      <c r="K490" s="812">
        <f>ROUND(2470*S$2,0)</f>
        <v>2534</v>
      </c>
      <c r="L490" s="812">
        <f t="shared" si="151"/>
        <v>2587</v>
      </c>
      <c r="M490" s="812">
        <f t="shared" si="151"/>
        <v>2647</v>
      </c>
      <c r="N490" s="812">
        <f t="shared" si="151"/>
        <v>2708</v>
      </c>
      <c r="O490" s="812">
        <f t="shared" si="151"/>
        <v>2770</v>
      </c>
    </row>
    <row r="491" spans="1:16" ht="12.75" customHeight="1" x14ac:dyDescent="0.25">
      <c r="A491" s="795"/>
      <c r="D491" s="793">
        <v>43817</v>
      </c>
      <c r="E491" s="791" t="s">
        <v>535</v>
      </c>
      <c r="I491" s="812"/>
      <c r="J491" s="812">
        <v>9300</v>
      </c>
      <c r="K491" s="812">
        <f>ROUND(9300*S$2,-2)</f>
        <v>9500</v>
      </c>
      <c r="L491" s="812">
        <f>ROUND(K491*T$2,-2)</f>
        <v>9700</v>
      </c>
      <c r="M491" s="812">
        <f>ROUND(L491*U$2,-2)</f>
        <v>9900</v>
      </c>
      <c r="N491" s="812">
        <f>ROUND(M491*V$2,-2)</f>
        <v>10100</v>
      </c>
      <c r="O491" s="812">
        <f>ROUND(N491*W$2,-2)</f>
        <v>10300</v>
      </c>
    </row>
    <row r="492" spans="1:16" ht="12.75" customHeight="1" x14ac:dyDescent="0.25">
      <c r="A492" s="795"/>
      <c r="D492" s="795"/>
      <c r="E492" s="840"/>
      <c r="I492" s="812"/>
      <c r="J492" s="1010"/>
      <c r="K492" s="1010"/>
      <c r="L492" s="1010"/>
    </row>
    <row r="493" spans="1:16" ht="12.75" customHeight="1" x14ac:dyDescent="0.25">
      <c r="A493" s="795"/>
      <c r="D493" s="834">
        <v>636028</v>
      </c>
      <c r="E493" s="911" t="s">
        <v>4070</v>
      </c>
      <c r="F493" s="813"/>
      <c r="I493" s="812"/>
      <c r="J493" s="812"/>
      <c r="K493" s="812"/>
      <c r="L493" s="812"/>
      <c r="M493" s="812"/>
      <c r="N493" s="812"/>
      <c r="O493" s="812"/>
    </row>
    <row r="494" spans="1:16" ht="12.75" customHeight="1" x14ac:dyDescent="0.25">
      <c r="A494" s="795"/>
      <c r="D494" s="834"/>
      <c r="E494" s="800" t="s">
        <v>533</v>
      </c>
      <c r="F494" s="813"/>
      <c r="I494" s="812"/>
      <c r="J494" s="812"/>
      <c r="K494" s="812"/>
      <c r="L494" s="812"/>
    </row>
    <row r="495" spans="1:16" ht="12.75" customHeight="1" x14ac:dyDescent="0.25">
      <c r="A495" s="795"/>
      <c r="D495" s="793">
        <v>43812</v>
      </c>
      <c r="E495" s="812" t="s">
        <v>4112</v>
      </c>
      <c r="I495" s="812"/>
      <c r="J495" s="859">
        <v>68230</v>
      </c>
      <c r="K495" s="859">
        <f>ROUND(68230*S$2,-1)</f>
        <v>70000</v>
      </c>
      <c r="L495" s="859">
        <f>ROUND(K495*T$2,-1)</f>
        <v>71470</v>
      </c>
      <c r="M495" s="859">
        <f>ROUND(L495*U$2,-1)</f>
        <v>73110</v>
      </c>
      <c r="N495" s="859">
        <f>ROUND(M495*V$2,-1)</f>
        <v>74790</v>
      </c>
      <c r="O495" s="859">
        <f>ROUND(N495*W$2,-1)</f>
        <v>76510</v>
      </c>
    </row>
    <row r="496" spans="1:16" ht="12.75" customHeight="1" thickBot="1" x14ac:dyDescent="0.3">
      <c r="A496" s="795"/>
      <c r="D496" s="793"/>
      <c r="E496" s="812" t="str">
        <f>"Totaal "&amp;D495</f>
        <v>Totaal 43812</v>
      </c>
      <c r="I496" s="812"/>
      <c r="J496" s="1935">
        <v>68230</v>
      </c>
      <c r="K496" s="1935">
        <f>SUM(K495:K495)</f>
        <v>70000</v>
      </c>
      <c r="L496" s="1935">
        <f>SUM(L495:L495)</f>
        <v>71470</v>
      </c>
      <c r="M496" s="1935">
        <f>SUM(M495:M495)</f>
        <v>73110</v>
      </c>
      <c r="N496" s="1935">
        <f>SUM(N495:N495)</f>
        <v>74790</v>
      </c>
      <c r="O496" s="1935">
        <f>SUM(O495:O495)</f>
        <v>76510</v>
      </c>
    </row>
    <row r="497" spans="1:16" ht="12.75" customHeight="1" thickTop="1" x14ac:dyDescent="0.25">
      <c r="A497" s="795"/>
      <c r="D497" s="795"/>
      <c r="E497" s="840"/>
      <c r="I497" s="812"/>
      <c r="J497" s="1010"/>
      <c r="K497" s="1010"/>
      <c r="L497" s="1010"/>
    </row>
    <row r="498" spans="1:16" ht="12.75" customHeight="1" x14ac:dyDescent="0.25">
      <c r="A498" s="795"/>
      <c r="D498" s="834">
        <v>636033</v>
      </c>
      <c r="E498" s="832" t="s">
        <v>5364</v>
      </c>
      <c r="I498" s="812"/>
      <c r="J498" s="1010"/>
      <c r="K498" s="1010"/>
      <c r="L498" s="1010"/>
    </row>
    <row r="499" spans="1:16" ht="12.75" customHeight="1" x14ac:dyDescent="0.25">
      <c r="A499" s="795"/>
      <c r="D499" s="795"/>
      <c r="E499" s="2170" t="s">
        <v>5365</v>
      </c>
      <c r="F499" s="2169"/>
      <c r="G499" s="2158"/>
      <c r="H499" s="2158"/>
      <c r="I499" s="2159"/>
      <c r="J499" s="2271"/>
      <c r="K499" s="1010"/>
      <c r="L499" s="1010"/>
    </row>
    <row r="500" spans="1:16" ht="12.75" customHeight="1" x14ac:dyDescent="0.25">
      <c r="A500" s="795"/>
      <c r="D500" s="795"/>
      <c r="E500" s="840"/>
      <c r="I500" s="812"/>
      <c r="J500" s="1010"/>
      <c r="K500" s="1010"/>
      <c r="L500" s="1010"/>
    </row>
    <row r="501" spans="1:16" ht="12.75" customHeight="1" x14ac:dyDescent="0.25">
      <c r="A501" s="795"/>
      <c r="D501" s="834">
        <v>636036</v>
      </c>
      <c r="E501" s="987" t="s">
        <v>4071</v>
      </c>
      <c r="I501" s="812"/>
      <c r="J501" s="812"/>
      <c r="K501" s="812"/>
      <c r="L501" s="812"/>
      <c r="M501" s="812"/>
      <c r="N501" s="812"/>
      <c r="O501" s="812"/>
    </row>
    <row r="502" spans="1:16" ht="12.75" customHeight="1" x14ac:dyDescent="0.25">
      <c r="A502" s="795"/>
      <c r="D502" s="834"/>
      <c r="E502" s="800" t="s">
        <v>533</v>
      </c>
      <c r="I502" s="812"/>
      <c r="J502" s="860"/>
      <c r="K502" s="860"/>
      <c r="L502" s="860"/>
    </row>
    <row r="503" spans="1:16" ht="12.75" customHeight="1" x14ac:dyDescent="0.25">
      <c r="A503" s="795"/>
      <c r="D503" s="831">
        <v>44380</v>
      </c>
      <c r="E503" s="840" t="s">
        <v>4113</v>
      </c>
      <c r="I503" s="812"/>
      <c r="J503" s="1010">
        <v>70914</v>
      </c>
      <c r="K503" s="1010">
        <v>76172</v>
      </c>
      <c r="L503" s="1010">
        <v>76172</v>
      </c>
      <c r="M503" s="1010">
        <v>76172</v>
      </c>
      <c r="N503" s="1010">
        <v>76172</v>
      </c>
      <c r="O503" s="1010">
        <v>76172</v>
      </c>
    </row>
    <row r="504" spans="1:16" ht="12.75" customHeight="1" x14ac:dyDescent="0.25">
      <c r="A504" s="795"/>
      <c r="D504" s="793">
        <v>44380</v>
      </c>
      <c r="E504" s="840" t="s">
        <v>4114</v>
      </c>
      <c r="I504" s="812"/>
      <c r="J504" s="1010"/>
      <c r="K504" s="1010">
        <v>-50000</v>
      </c>
      <c r="L504" s="1010">
        <v>-50000</v>
      </c>
      <c r="M504" s="1010">
        <v>-50000</v>
      </c>
      <c r="N504" s="1010">
        <v>-50000</v>
      </c>
      <c r="O504" s="1010">
        <v>-50000</v>
      </c>
    </row>
    <row r="505" spans="1:16" ht="12.75" customHeight="1" thickBot="1" x14ac:dyDescent="0.3">
      <c r="A505" s="795"/>
      <c r="D505" s="795"/>
      <c r="E505" s="840"/>
      <c r="I505" s="812"/>
      <c r="J505" s="1936">
        <v>70914</v>
      </c>
      <c r="K505" s="1936">
        <f>+K503+K504</f>
        <v>26172</v>
      </c>
      <c r="L505" s="1936">
        <f>+L503+L504</f>
        <v>26172</v>
      </c>
      <c r="M505" s="1936">
        <f>+M503+M504</f>
        <v>26172</v>
      </c>
      <c r="N505" s="1936">
        <f>+N503+N504</f>
        <v>26172</v>
      </c>
      <c r="O505" s="1936">
        <f>+O503+O504</f>
        <v>26172</v>
      </c>
    </row>
    <row r="506" spans="1:16" ht="12.75" customHeight="1" thickTop="1" x14ac:dyDescent="0.25">
      <c r="A506" s="795"/>
      <c r="D506" s="795"/>
      <c r="E506" s="840"/>
      <c r="I506" s="812"/>
      <c r="J506" s="1010"/>
      <c r="K506" s="1010"/>
      <c r="L506" s="1010"/>
    </row>
    <row r="507" spans="1:16" ht="12.75" customHeight="1" x14ac:dyDescent="0.25">
      <c r="A507" s="795"/>
      <c r="D507" s="834">
        <v>636037</v>
      </c>
      <c r="E507" s="987" t="s">
        <v>4072</v>
      </c>
      <c r="I507" s="812"/>
      <c r="J507" s="812"/>
      <c r="K507" s="812"/>
      <c r="L507" s="812"/>
      <c r="M507" s="812"/>
      <c r="N507" s="812"/>
      <c r="O507" s="812"/>
      <c r="P507" s="812"/>
    </row>
    <row r="508" spans="1:16" ht="12.75" customHeight="1" x14ac:dyDescent="0.25">
      <c r="A508" s="795"/>
      <c r="D508" s="834"/>
      <c r="E508" s="800" t="s">
        <v>533</v>
      </c>
      <c r="I508" s="812"/>
      <c r="J508" s="860"/>
      <c r="K508" s="860"/>
      <c r="L508" s="860"/>
    </row>
    <row r="509" spans="1:16" ht="12.75" customHeight="1" x14ac:dyDescent="0.25">
      <c r="A509" s="795"/>
      <c r="D509" s="831">
        <v>44380</v>
      </c>
      <c r="E509" s="840" t="s">
        <v>4115</v>
      </c>
      <c r="I509" s="812"/>
      <c r="J509" s="1010">
        <v>53745</v>
      </c>
      <c r="K509" s="1010">
        <v>41972</v>
      </c>
      <c r="L509" s="1010">
        <v>41972</v>
      </c>
      <c r="M509" s="1010">
        <v>41972</v>
      </c>
      <c r="N509" s="1010">
        <v>41972</v>
      </c>
      <c r="O509" s="1010">
        <v>41972</v>
      </c>
    </row>
    <row r="510" spans="1:16" ht="12.75" customHeight="1" thickBot="1" x14ac:dyDescent="0.3">
      <c r="A510" s="795"/>
      <c r="D510" s="795"/>
      <c r="E510" s="840"/>
      <c r="I510" s="812"/>
      <c r="J510" s="1936">
        <v>53745</v>
      </c>
      <c r="K510" s="1936">
        <f t="shared" ref="K510:M510" si="152">SUM(K509)</f>
        <v>41972</v>
      </c>
      <c r="L510" s="1936">
        <f t="shared" si="152"/>
        <v>41972</v>
      </c>
      <c r="M510" s="1936">
        <f t="shared" si="152"/>
        <v>41972</v>
      </c>
      <c r="N510" s="1936">
        <f t="shared" ref="N510:O510" si="153">SUM(N509)</f>
        <v>41972</v>
      </c>
      <c r="O510" s="1936">
        <f t="shared" si="153"/>
        <v>41972</v>
      </c>
    </row>
    <row r="511" spans="1:16" ht="12.75" customHeight="1" thickTop="1" x14ac:dyDescent="0.25">
      <c r="A511" s="795"/>
      <c r="D511" s="795"/>
      <c r="E511" s="840"/>
      <c r="I511" s="812"/>
      <c r="J511" s="1010"/>
      <c r="K511" s="1010"/>
      <c r="L511" s="1010"/>
    </row>
    <row r="512" spans="1:16" ht="12.75" customHeight="1" x14ac:dyDescent="0.25">
      <c r="A512" s="795"/>
      <c r="D512" s="834">
        <v>636038</v>
      </c>
      <c r="E512" s="987" t="s">
        <v>4073</v>
      </c>
      <c r="I512" s="812"/>
      <c r="J512" s="855">
        <v>2025</v>
      </c>
      <c r="K512" s="855">
        <v>2026</v>
      </c>
      <c r="L512" s="855">
        <v>2027</v>
      </c>
      <c r="M512" s="855">
        <v>2028</v>
      </c>
      <c r="N512" s="855">
        <v>2029</v>
      </c>
      <c r="O512" s="855">
        <v>2030</v>
      </c>
    </row>
    <row r="513" spans="1:15" ht="12.75" customHeight="1" x14ac:dyDescent="0.25">
      <c r="A513" s="795"/>
      <c r="D513" s="834"/>
      <c r="E513" s="800" t="s">
        <v>533</v>
      </c>
      <c r="I513" s="812"/>
      <c r="J513" s="860"/>
      <c r="K513" s="860"/>
      <c r="L513" s="860"/>
    </row>
    <row r="514" spans="1:15" ht="12.75" customHeight="1" x14ac:dyDescent="0.25">
      <c r="A514" s="795"/>
      <c r="D514" s="831">
        <v>44380</v>
      </c>
      <c r="E514" s="840" t="s">
        <v>4116</v>
      </c>
      <c r="I514" s="812"/>
      <c r="J514" s="1010">
        <v>14929</v>
      </c>
      <c r="K514" s="1010">
        <v>13990</v>
      </c>
      <c r="L514" s="1010">
        <v>13990</v>
      </c>
      <c r="M514" s="1010">
        <v>13990</v>
      </c>
      <c r="N514" s="1010">
        <v>13990</v>
      </c>
      <c r="O514" s="1010">
        <v>13990</v>
      </c>
    </row>
    <row r="515" spans="1:15" ht="12.75" customHeight="1" thickBot="1" x14ac:dyDescent="0.3">
      <c r="A515" s="795"/>
      <c r="D515" s="795"/>
      <c r="E515" s="840"/>
      <c r="I515" s="812"/>
      <c r="J515" s="1936">
        <v>14929</v>
      </c>
      <c r="K515" s="1936">
        <f t="shared" ref="K515:M515" si="154">SUM(K514)</f>
        <v>13990</v>
      </c>
      <c r="L515" s="1936">
        <f t="shared" si="154"/>
        <v>13990</v>
      </c>
      <c r="M515" s="1936">
        <f t="shared" si="154"/>
        <v>13990</v>
      </c>
      <c r="N515" s="1936">
        <f t="shared" ref="N515:O515" si="155">SUM(N514)</f>
        <v>13990</v>
      </c>
      <c r="O515" s="1936">
        <f t="shared" si="155"/>
        <v>13990</v>
      </c>
    </row>
    <row r="516" spans="1:15" ht="12.75" customHeight="1" thickTop="1" x14ac:dyDescent="0.25">
      <c r="A516" s="795"/>
      <c r="D516" s="795"/>
      <c r="E516" s="840"/>
      <c r="I516" s="812"/>
      <c r="J516" s="1010"/>
      <c r="K516" s="1010"/>
      <c r="L516" s="1010"/>
    </row>
    <row r="517" spans="1:15" ht="12.75" customHeight="1" x14ac:dyDescent="0.25">
      <c r="A517" s="795"/>
      <c r="D517" s="834">
        <v>636039</v>
      </c>
      <c r="E517" s="987" t="s">
        <v>4074</v>
      </c>
      <c r="I517" s="812"/>
      <c r="J517" s="812"/>
      <c r="K517" s="812"/>
      <c r="L517" s="812"/>
      <c r="M517" s="812"/>
      <c r="N517" s="812"/>
      <c r="O517" s="812"/>
    </row>
    <row r="518" spans="1:15" ht="12.75" customHeight="1" x14ac:dyDescent="0.25">
      <c r="A518" s="795"/>
      <c r="D518" s="834"/>
      <c r="E518" s="800" t="s">
        <v>533</v>
      </c>
      <c r="I518" s="812"/>
      <c r="J518" s="860"/>
      <c r="K518" s="860"/>
      <c r="L518" s="860"/>
    </row>
    <row r="519" spans="1:15" ht="12.75" customHeight="1" x14ac:dyDescent="0.25">
      <c r="A519" s="795"/>
      <c r="D519" s="831">
        <v>44380</v>
      </c>
      <c r="E519" s="840" t="s">
        <v>4117</v>
      </c>
      <c r="I519" s="812"/>
      <c r="J519" s="1010">
        <v>11943</v>
      </c>
      <c r="K519" s="1010">
        <v>0</v>
      </c>
      <c r="L519" s="1010">
        <v>0</v>
      </c>
      <c r="M519" s="1010">
        <v>0</v>
      </c>
      <c r="N519" s="1010">
        <v>0</v>
      </c>
      <c r="O519" s="1010">
        <v>0</v>
      </c>
    </row>
    <row r="520" spans="1:15" ht="12.75" customHeight="1" thickBot="1" x14ac:dyDescent="0.3">
      <c r="A520" s="795"/>
      <c r="D520" s="795"/>
      <c r="E520" s="840"/>
      <c r="I520" s="812"/>
      <c r="J520" s="1936">
        <v>11943</v>
      </c>
      <c r="K520" s="1936">
        <f t="shared" ref="K520:M520" si="156">SUM(K519)</f>
        <v>0</v>
      </c>
      <c r="L520" s="1936">
        <f t="shared" si="156"/>
        <v>0</v>
      </c>
      <c r="M520" s="1936">
        <f t="shared" si="156"/>
        <v>0</v>
      </c>
      <c r="N520" s="1936">
        <f t="shared" ref="N520:O520" si="157">SUM(N519)</f>
        <v>0</v>
      </c>
      <c r="O520" s="1936">
        <f t="shared" si="157"/>
        <v>0</v>
      </c>
    </row>
    <row r="521" spans="1:15" ht="12.75" customHeight="1" thickTop="1" x14ac:dyDescent="0.25">
      <c r="A521" s="795"/>
      <c r="D521" s="795"/>
      <c r="E521" s="840"/>
      <c r="I521" s="812"/>
      <c r="J521" s="1010"/>
      <c r="K521" s="1010"/>
      <c r="L521" s="1010"/>
    </row>
    <row r="522" spans="1:15" ht="12.75" customHeight="1" x14ac:dyDescent="0.25">
      <c r="A522" s="795"/>
      <c r="D522" s="834">
        <v>636040</v>
      </c>
      <c r="E522" s="987" t="s">
        <v>4075</v>
      </c>
      <c r="I522" s="812"/>
      <c r="J522" s="812"/>
      <c r="K522" s="812"/>
      <c r="L522" s="812"/>
      <c r="M522" s="812"/>
      <c r="N522" s="812"/>
      <c r="O522" s="812"/>
    </row>
    <row r="523" spans="1:15" ht="12.75" customHeight="1" x14ac:dyDescent="0.25">
      <c r="A523" s="795"/>
      <c r="D523" s="834"/>
      <c r="E523" s="800" t="s">
        <v>533</v>
      </c>
      <c r="I523" s="812"/>
      <c r="J523" s="860"/>
      <c r="K523" s="860"/>
      <c r="L523" s="860"/>
    </row>
    <row r="524" spans="1:15" ht="12.75" customHeight="1" x14ac:dyDescent="0.25">
      <c r="A524" s="795"/>
      <c r="D524" s="831">
        <v>44380</v>
      </c>
      <c r="E524" s="840" t="s">
        <v>4118</v>
      </c>
      <c r="I524" s="812"/>
      <c r="J524" s="1010">
        <v>17169</v>
      </c>
      <c r="K524" s="1010">
        <v>20987</v>
      </c>
      <c r="L524" s="1010">
        <v>20987</v>
      </c>
      <c r="M524" s="1010">
        <v>20987</v>
      </c>
      <c r="N524" s="1010">
        <v>20987</v>
      </c>
      <c r="O524" s="1010">
        <v>20987</v>
      </c>
    </row>
    <row r="525" spans="1:15" ht="12.75" customHeight="1" thickBot="1" x14ac:dyDescent="0.3">
      <c r="A525" s="795"/>
      <c r="D525" s="795"/>
      <c r="E525" s="840"/>
      <c r="I525" s="812"/>
      <c r="J525" s="1936">
        <v>17169</v>
      </c>
      <c r="K525" s="1936">
        <f t="shared" ref="K525:M525" si="158">SUM(K524)</f>
        <v>20987</v>
      </c>
      <c r="L525" s="1936">
        <f t="shared" si="158"/>
        <v>20987</v>
      </c>
      <c r="M525" s="1936">
        <f t="shared" si="158"/>
        <v>20987</v>
      </c>
      <c r="N525" s="1936">
        <f t="shared" ref="N525:O525" si="159">SUM(N524)</f>
        <v>20987</v>
      </c>
      <c r="O525" s="1936">
        <f t="shared" si="159"/>
        <v>20987</v>
      </c>
    </row>
    <row r="526" spans="1:15" ht="12.75" customHeight="1" thickTop="1" x14ac:dyDescent="0.25">
      <c r="A526" s="795"/>
      <c r="D526" s="795"/>
      <c r="E526" s="840"/>
      <c r="I526" s="812"/>
      <c r="J526" s="1010"/>
      <c r="K526" s="1010"/>
      <c r="L526" s="1010"/>
    </row>
    <row r="527" spans="1:15" ht="12.75" customHeight="1" x14ac:dyDescent="0.25">
      <c r="A527" s="795"/>
      <c r="D527" s="834">
        <v>636042</v>
      </c>
      <c r="E527" s="987" t="s">
        <v>4032</v>
      </c>
      <c r="I527" s="812"/>
      <c r="J527" s="812"/>
      <c r="K527" s="812"/>
      <c r="L527" s="812"/>
      <c r="M527" s="812"/>
      <c r="N527" s="812"/>
      <c r="O527" s="812"/>
    </row>
    <row r="528" spans="1:15" ht="12.75" customHeight="1" x14ac:dyDescent="0.25">
      <c r="A528" s="795"/>
      <c r="D528" s="834"/>
      <c r="E528" s="800" t="s">
        <v>533</v>
      </c>
      <c r="I528" s="812"/>
      <c r="J528" s="860"/>
      <c r="K528" s="860"/>
      <c r="L528" s="860"/>
    </row>
    <row r="529" spans="1:15" ht="12.75" customHeight="1" x14ac:dyDescent="0.25">
      <c r="A529" s="795"/>
      <c r="D529" s="831">
        <v>43812</v>
      </c>
      <c r="E529" s="841" t="s">
        <v>4119</v>
      </c>
      <c r="I529" s="812"/>
      <c r="J529" s="1010">
        <v>0</v>
      </c>
      <c r="K529" s="812">
        <f>ROUND(27000*S$2,-1)</f>
        <v>27700</v>
      </c>
      <c r="L529" s="812">
        <f>ROUND(K529*T$2,-1)</f>
        <v>28280</v>
      </c>
      <c r="M529" s="812">
        <f>ROUND(L529*U$2,-1)</f>
        <v>28930</v>
      </c>
      <c r="N529" s="812">
        <f>ROUND(M529*V$2,-1)</f>
        <v>29600</v>
      </c>
      <c r="O529" s="812">
        <f>ROUND(N529*W$2,-1)</f>
        <v>30280</v>
      </c>
    </row>
    <row r="530" spans="1:15" ht="12.75" customHeight="1" thickBot="1" x14ac:dyDescent="0.3">
      <c r="A530" s="795"/>
      <c r="D530" s="795"/>
      <c r="E530" s="840"/>
      <c r="I530" s="812"/>
      <c r="J530" s="1936">
        <v>0</v>
      </c>
      <c r="K530" s="1936">
        <f t="shared" ref="K530:N530" si="160">SUM(K529)</f>
        <v>27700</v>
      </c>
      <c r="L530" s="1936">
        <f t="shared" si="160"/>
        <v>28280</v>
      </c>
      <c r="M530" s="1936">
        <f t="shared" si="160"/>
        <v>28930</v>
      </c>
      <c r="N530" s="1936">
        <f t="shared" si="160"/>
        <v>29600</v>
      </c>
      <c r="O530" s="1936">
        <f t="shared" ref="O530" si="161">SUM(O529)</f>
        <v>30280</v>
      </c>
    </row>
    <row r="531" spans="1:15" ht="12.75" customHeight="1" thickTop="1" x14ac:dyDescent="0.25">
      <c r="A531" s="795"/>
      <c r="D531" s="795"/>
      <c r="E531" s="840"/>
      <c r="I531" s="812"/>
      <c r="J531" s="1010"/>
      <c r="K531" s="1010"/>
      <c r="L531" s="1010"/>
    </row>
    <row r="532" spans="1:15" ht="12.75" customHeight="1" x14ac:dyDescent="0.25">
      <c r="A532" s="795"/>
      <c r="D532" s="834">
        <v>636043</v>
      </c>
      <c r="E532" s="987" t="s">
        <v>4033</v>
      </c>
      <c r="I532" s="812"/>
      <c r="J532" s="812"/>
      <c r="K532" s="812"/>
      <c r="L532" s="812"/>
      <c r="M532" s="812"/>
      <c r="N532" s="812"/>
      <c r="O532" s="812"/>
    </row>
    <row r="533" spans="1:15" ht="12.75" customHeight="1" x14ac:dyDescent="0.25">
      <c r="A533" s="795"/>
      <c r="D533" s="834"/>
      <c r="E533" s="800" t="s">
        <v>533</v>
      </c>
      <c r="I533" s="812"/>
      <c r="J533" s="860"/>
      <c r="K533" s="860"/>
      <c r="L533" s="860"/>
    </row>
    <row r="534" spans="1:15" ht="12.75" customHeight="1" x14ac:dyDescent="0.25">
      <c r="A534" s="795"/>
      <c r="D534" s="831">
        <v>43812</v>
      </c>
      <c r="E534" s="841" t="s">
        <v>4119</v>
      </c>
      <c r="I534" s="812"/>
      <c r="J534" s="1010">
        <v>0</v>
      </c>
      <c r="K534" s="812">
        <f>ROUND(10000*S$2,-1)</f>
        <v>10260</v>
      </c>
      <c r="L534" s="812">
        <f>ROUND(K534*T$2,-1)</f>
        <v>10480</v>
      </c>
      <c r="M534" s="812">
        <f t="shared" ref="M534" si="162">ROUND(L534*U$2,-1)</f>
        <v>10720</v>
      </c>
      <c r="N534" s="812">
        <f t="shared" ref="N534:O534" si="163">ROUND(M534*V$2,-1)</f>
        <v>10970</v>
      </c>
      <c r="O534" s="812">
        <f t="shared" si="163"/>
        <v>11220</v>
      </c>
    </row>
    <row r="535" spans="1:15" ht="12.75" customHeight="1" thickBot="1" x14ac:dyDescent="0.3">
      <c r="A535" s="795"/>
      <c r="D535" s="795"/>
      <c r="E535" s="840"/>
      <c r="I535" s="812"/>
      <c r="J535" s="1936">
        <v>0</v>
      </c>
      <c r="K535" s="1936">
        <f t="shared" ref="K535:N535" si="164">SUM(K534)</f>
        <v>10260</v>
      </c>
      <c r="L535" s="1936">
        <f t="shared" si="164"/>
        <v>10480</v>
      </c>
      <c r="M535" s="1936">
        <f t="shared" si="164"/>
        <v>10720</v>
      </c>
      <c r="N535" s="1936">
        <f t="shared" si="164"/>
        <v>10970</v>
      </c>
      <c r="O535" s="1936">
        <f t="shared" ref="O535" si="165">SUM(O534)</f>
        <v>11220</v>
      </c>
    </row>
    <row r="536" spans="1:15" ht="12.75" customHeight="1" thickTop="1" x14ac:dyDescent="0.25">
      <c r="A536" s="795"/>
      <c r="D536" s="795"/>
      <c r="E536" s="840"/>
      <c r="I536" s="812"/>
      <c r="J536" s="1010"/>
      <c r="K536" s="1010"/>
      <c r="L536" s="1010"/>
    </row>
    <row r="537" spans="1:15" ht="12.75" customHeight="1" x14ac:dyDescent="0.25">
      <c r="D537" s="929">
        <v>636012</v>
      </c>
      <c r="E537" s="832" t="s">
        <v>4120</v>
      </c>
      <c r="F537" s="930"/>
    </row>
    <row r="538" spans="1:15" ht="12.75" customHeight="1" x14ac:dyDescent="0.25">
      <c r="D538" s="929"/>
      <c r="E538" s="800" t="s">
        <v>554</v>
      </c>
      <c r="F538" s="930"/>
      <c r="J538" s="812"/>
      <c r="K538" s="812"/>
      <c r="L538" s="812"/>
    </row>
    <row r="539" spans="1:15" ht="12.75" customHeight="1" x14ac:dyDescent="0.25">
      <c r="D539" s="831">
        <v>83600</v>
      </c>
      <c r="E539" s="842" t="s">
        <v>4136</v>
      </c>
      <c r="F539" s="831"/>
      <c r="J539" s="859">
        <v>-22838</v>
      </c>
      <c r="K539" s="859">
        <v>-23591</v>
      </c>
      <c r="L539" s="859">
        <v>-24250.59</v>
      </c>
      <c r="M539" s="859">
        <f>ROUND(L539*U$2,-1)</f>
        <v>-24810</v>
      </c>
      <c r="N539" s="859">
        <f>ROUND(M539*V$2,-1)</f>
        <v>-25380</v>
      </c>
      <c r="O539" s="859">
        <f>ROUND(N539*W$2,-1)</f>
        <v>-25960</v>
      </c>
    </row>
    <row r="540" spans="1:15" ht="12.75" customHeight="1" thickBot="1" x14ac:dyDescent="0.3">
      <c r="D540" s="831"/>
      <c r="E540" s="791" t="str">
        <f>"Totaal "&amp;D539</f>
        <v>Totaal 83600</v>
      </c>
      <c r="F540" s="831"/>
      <c r="J540" s="1935">
        <v>-22838</v>
      </c>
      <c r="K540" s="1935">
        <f>SUM(K539)</f>
        <v>-23591</v>
      </c>
      <c r="L540" s="1935">
        <f>SUM(L539)</f>
        <v>-24250.59</v>
      </c>
      <c r="M540" s="1935">
        <f>SUM(M539)</f>
        <v>-24810</v>
      </c>
      <c r="N540" s="1935">
        <f>SUM(N539)</f>
        <v>-25380</v>
      </c>
      <c r="O540" s="1935">
        <f>SUM(O539)</f>
        <v>-25960</v>
      </c>
    </row>
    <row r="541" spans="1:15" ht="12.75" customHeight="1" thickTop="1" x14ac:dyDescent="0.25">
      <c r="D541" s="831"/>
      <c r="E541" s="791"/>
      <c r="F541" s="831"/>
      <c r="J541" s="812"/>
      <c r="K541" s="812"/>
      <c r="L541" s="812"/>
    </row>
    <row r="542" spans="1:15" ht="12.75" customHeight="1" x14ac:dyDescent="0.25">
      <c r="D542" s="929">
        <v>636013</v>
      </c>
      <c r="E542" s="832" t="s">
        <v>4122</v>
      </c>
      <c r="F542" s="930"/>
    </row>
    <row r="543" spans="1:15" ht="12.75" customHeight="1" x14ac:dyDescent="0.25">
      <c r="D543" s="929"/>
      <c r="E543" s="800" t="s">
        <v>554</v>
      </c>
      <c r="F543" s="930"/>
      <c r="J543" s="812"/>
      <c r="K543" s="812"/>
      <c r="L543" s="812"/>
    </row>
    <row r="544" spans="1:15" ht="12.75" customHeight="1" x14ac:dyDescent="0.25">
      <c r="D544" s="831">
        <v>83600</v>
      </c>
      <c r="E544" s="791" t="s">
        <v>4123</v>
      </c>
      <c r="F544" s="831"/>
      <c r="J544" s="859">
        <v>-44881</v>
      </c>
      <c r="K544" s="859">
        <v>-46361</v>
      </c>
      <c r="L544" s="859">
        <v>-47658.03</v>
      </c>
      <c r="M544" s="859">
        <f>ROUND(L544*U$2,-1)</f>
        <v>-48750</v>
      </c>
      <c r="N544" s="859">
        <f>ROUND(M544*V$2,-1)</f>
        <v>-49870</v>
      </c>
      <c r="O544" s="859">
        <f>ROUND(N544*W$2,-1)</f>
        <v>-51020</v>
      </c>
    </row>
    <row r="545" spans="4:16" ht="12.75" customHeight="1" thickBot="1" x14ac:dyDescent="0.3">
      <c r="D545" s="831"/>
      <c r="E545" s="791" t="str">
        <f>"Totaal "&amp;D544</f>
        <v>Totaal 83600</v>
      </c>
      <c r="F545" s="831"/>
      <c r="J545" s="1935">
        <v>-44881</v>
      </c>
      <c r="K545" s="1935">
        <f>SUM(K544)</f>
        <v>-46361</v>
      </c>
      <c r="L545" s="1935">
        <f>SUM(L544)</f>
        <v>-47658.03</v>
      </c>
      <c r="M545" s="1935">
        <f>SUM(M544)</f>
        <v>-48750</v>
      </c>
      <c r="N545" s="1935">
        <f>SUM(N544)</f>
        <v>-49870</v>
      </c>
      <c r="O545" s="1935">
        <f>SUM(O544)</f>
        <v>-51020</v>
      </c>
    </row>
    <row r="546" spans="4:16" ht="12.75" customHeight="1" thickTop="1" x14ac:dyDescent="0.25">
      <c r="D546" s="831"/>
      <c r="E546" s="791"/>
      <c r="F546" s="831"/>
      <c r="I546" s="812"/>
      <c r="J546" s="812"/>
      <c r="K546" s="812"/>
      <c r="L546" s="812"/>
    </row>
    <row r="547" spans="4:16" ht="12.75" customHeight="1" x14ac:dyDescent="0.25">
      <c r="D547" s="929">
        <v>636016</v>
      </c>
      <c r="E547" s="832" t="s">
        <v>4124</v>
      </c>
      <c r="F547" s="930"/>
      <c r="H547" s="932"/>
      <c r="I547" s="812"/>
      <c r="J547" s="812"/>
      <c r="K547" s="812"/>
      <c r="L547" s="812"/>
      <c r="M547" s="812"/>
      <c r="N547" s="812"/>
      <c r="O547" s="812"/>
      <c r="P547" s="812"/>
    </row>
    <row r="548" spans="4:16" ht="12.75" customHeight="1" x14ac:dyDescent="0.25">
      <c r="D548" s="929"/>
      <c r="E548" s="800" t="s">
        <v>554</v>
      </c>
      <c r="F548" s="930"/>
      <c r="H548" s="932"/>
      <c r="I548" s="812"/>
      <c r="J548" s="860"/>
      <c r="K548" s="860"/>
      <c r="L548" s="860"/>
    </row>
    <row r="549" spans="4:16" ht="12.75" customHeight="1" x14ac:dyDescent="0.25">
      <c r="D549" s="793">
        <v>83600</v>
      </c>
      <c r="E549" s="791" t="s">
        <v>4125</v>
      </c>
      <c r="H549" s="932"/>
      <c r="I549" s="812"/>
      <c r="J549" s="859">
        <v>-22393</v>
      </c>
      <c r="K549" s="859">
        <v>-23199</v>
      </c>
      <c r="L549" s="859">
        <v>-23847.86</v>
      </c>
      <c r="M549" s="859">
        <f>ROUND(L549*U$2,-1)</f>
        <v>-24400</v>
      </c>
      <c r="N549" s="859">
        <f>ROUND(M549*V$2,-1)</f>
        <v>-24960</v>
      </c>
      <c r="O549" s="859">
        <f>ROUND(N549*W$2,-1)</f>
        <v>-25530</v>
      </c>
    </row>
    <row r="550" spans="4:16" ht="12.75" customHeight="1" thickBot="1" x14ac:dyDescent="0.3">
      <c r="D550" s="831"/>
      <c r="E550" s="791" t="str">
        <f>"Totaal "&amp;D547</f>
        <v>Totaal 636016</v>
      </c>
      <c r="F550" s="831"/>
      <c r="I550" s="812"/>
      <c r="J550" s="1935">
        <v>-22393</v>
      </c>
      <c r="K550" s="1935">
        <f>SUM(K549)</f>
        <v>-23199</v>
      </c>
      <c r="L550" s="1935">
        <f>SUM(L549)</f>
        <v>-23847.86</v>
      </c>
      <c r="M550" s="1935">
        <f>SUM(M549)</f>
        <v>-24400</v>
      </c>
      <c r="N550" s="1935">
        <f>SUM(N549)</f>
        <v>-24960</v>
      </c>
      <c r="O550" s="1935">
        <f>SUM(O549)</f>
        <v>-25530</v>
      </c>
    </row>
    <row r="551" spans="4:16" ht="12.75" customHeight="1" thickTop="1" x14ac:dyDescent="0.25">
      <c r="D551" s="831"/>
      <c r="E551" s="831"/>
      <c r="F551" s="831"/>
      <c r="I551" s="812"/>
      <c r="J551" s="812"/>
      <c r="K551" s="812"/>
      <c r="L551" s="812"/>
    </row>
    <row r="552" spans="4:16" ht="12.75" customHeight="1" x14ac:dyDescent="0.25">
      <c r="D552" s="834">
        <v>636018</v>
      </c>
      <c r="E552" s="832" t="s">
        <v>4126</v>
      </c>
      <c r="F552" s="813"/>
      <c r="H552" s="812"/>
      <c r="I552" s="812"/>
      <c r="J552" s="812"/>
      <c r="K552" s="812"/>
      <c r="L552" s="812"/>
      <c r="M552" s="812"/>
      <c r="N552" s="812"/>
      <c r="O552" s="812"/>
    </row>
    <row r="553" spans="4:16" ht="12.75" customHeight="1" x14ac:dyDescent="0.25">
      <c r="D553" s="834"/>
      <c r="E553" s="800" t="s">
        <v>554</v>
      </c>
      <c r="F553" s="813"/>
      <c r="H553" s="812"/>
      <c r="I553" s="812"/>
      <c r="J553" s="860"/>
      <c r="K553" s="860"/>
      <c r="L553" s="860"/>
    </row>
    <row r="554" spans="4:16" ht="12.75" customHeight="1" x14ac:dyDescent="0.25">
      <c r="D554" s="793">
        <v>83600</v>
      </c>
      <c r="E554" s="791" t="s">
        <v>4121</v>
      </c>
      <c r="H554" s="812"/>
      <c r="I554" s="812"/>
      <c r="J554" s="859">
        <v>-80895</v>
      </c>
      <c r="K554" s="859">
        <v>-83564</v>
      </c>
      <c r="L554" s="859">
        <v>-85900.53</v>
      </c>
      <c r="M554" s="859">
        <f>ROUND(L554*U$2,-1)</f>
        <v>-87880</v>
      </c>
      <c r="N554" s="859">
        <f>ROUND(M554*V$2,-1)</f>
        <v>-89900</v>
      </c>
      <c r="O554" s="859">
        <f>ROUND(N554*W$2,-1)</f>
        <v>-91970</v>
      </c>
    </row>
    <row r="555" spans="4:16" ht="12.75" customHeight="1" thickBot="1" x14ac:dyDescent="0.3">
      <c r="D555" s="831"/>
      <c r="E555" s="791" t="str">
        <f>"Totaal "&amp;D552</f>
        <v>Totaal 636018</v>
      </c>
      <c r="F555" s="831"/>
      <c r="I555" s="812"/>
      <c r="J555" s="1935">
        <v>-80895</v>
      </c>
      <c r="K555" s="1935">
        <f>SUM(K554)</f>
        <v>-83564</v>
      </c>
      <c r="L555" s="1935">
        <f>SUM(L554)</f>
        <v>-85900.53</v>
      </c>
      <c r="M555" s="1935">
        <f>SUM(M554)</f>
        <v>-87880</v>
      </c>
      <c r="N555" s="1935">
        <f>SUM(N554)</f>
        <v>-89900</v>
      </c>
      <c r="O555" s="1935">
        <f>SUM(O554)</f>
        <v>-91970</v>
      </c>
    </row>
    <row r="556" spans="4:16" ht="12.75" customHeight="1" thickTop="1" x14ac:dyDescent="0.25">
      <c r="D556" s="831"/>
      <c r="E556" s="791"/>
      <c r="F556" s="831"/>
      <c r="I556" s="812"/>
      <c r="J556" s="812"/>
      <c r="K556" s="812"/>
      <c r="L556" s="812"/>
    </row>
    <row r="557" spans="4:16" ht="12.75" customHeight="1" x14ac:dyDescent="0.25">
      <c r="D557" s="834">
        <v>636019</v>
      </c>
      <c r="E557" s="832" t="s">
        <v>4127</v>
      </c>
      <c r="F557" s="813"/>
    </row>
    <row r="558" spans="4:16" ht="12.75" customHeight="1" x14ac:dyDescent="0.25">
      <c r="D558" s="834"/>
      <c r="E558" s="800" t="s">
        <v>554</v>
      </c>
      <c r="F558" s="813"/>
      <c r="I558" s="812"/>
      <c r="J558" s="812"/>
      <c r="K558" s="812"/>
      <c r="L558" s="812"/>
    </row>
    <row r="559" spans="4:16" ht="12.75" customHeight="1" x14ac:dyDescent="0.25">
      <c r="D559" s="793">
        <v>83600</v>
      </c>
      <c r="E559" s="791" t="s">
        <v>4121</v>
      </c>
      <c r="I559" s="812"/>
      <c r="J559" s="859">
        <v>-128131</v>
      </c>
      <c r="K559" s="859">
        <v>-132357</v>
      </c>
      <c r="L559" s="859">
        <v>-136058.95000000001</v>
      </c>
      <c r="M559" s="859">
        <f>ROUND(L559*U$2,-1)</f>
        <v>-139190</v>
      </c>
      <c r="N559" s="859">
        <f>ROUND(M559*V$2,-1)</f>
        <v>-142390</v>
      </c>
      <c r="O559" s="859">
        <f>ROUND(N559*W$2,-1)</f>
        <v>-145660</v>
      </c>
    </row>
    <row r="560" spans="4:16" ht="12.75" customHeight="1" thickBot="1" x14ac:dyDescent="0.3">
      <c r="D560" s="831"/>
      <c r="E560" s="791" t="s">
        <v>1078</v>
      </c>
      <c r="F560" s="831"/>
      <c r="I560" s="812"/>
      <c r="J560" s="1935">
        <v>-128131</v>
      </c>
      <c r="K560" s="1935">
        <f>SUM(K559)</f>
        <v>-132357</v>
      </c>
      <c r="L560" s="1935">
        <f>SUM(L559)</f>
        <v>-136058.95000000001</v>
      </c>
      <c r="M560" s="1935">
        <f>SUM(M559)</f>
        <v>-139190</v>
      </c>
      <c r="N560" s="1935">
        <f>SUM(N559)</f>
        <v>-142390</v>
      </c>
      <c r="O560" s="1935">
        <f>SUM(O559)</f>
        <v>-145660</v>
      </c>
    </row>
    <row r="561" spans="1:16" ht="12.75" customHeight="1" thickTop="1" x14ac:dyDescent="0.25">
      <c r="D561" s="831"/>
      <c r="E561" s="791"/>
      <c r="F561" s="831"/>
      <c r="I561" s="812"/>
      <c r="J561" s="812"/>
      <c r="K561" s="812"/>
      <c r="L561" s="812"/>
    </row>
    <row r="562" spans="1:16" ht="12.75" customHeight="1" x14ac:dyDescent="0.25">
      <c r="D562" s="929">
        <v>636015</v>
      </c>
      <c r="E562" s="832" t="s">
        <v>4128</v>
      </c>
      <c r="F562" s="930"/>
      <c r="I562" s="812"/>
      <c r="J562" s="812"/>
      <c r="K562" s="812"/>
      <c r="L562" s="812"/>
      <c r="M562" s="812"/>
      <c r="N562" s="812"/>
      <c r="O562" s="812"/>
      <c r="P562" s="812"/>
    </row>
    <row r="563" spans="1:16" ht="12.75" customHeight="1" x14ac:dyDescent="0.25">
      <c r="D563" s="929"/>
      <c r="E563" s="800" t="s">
        <v>554</v>
      </c>
      <c r="F563" s="930"/>
      <c r="I563" s="812"/>
      <c r="J563" s="812"/>
      <c r="K563" s="812"/>
      <c r="L563" s="812"/>
    </row>
    <row r="564" spans="1:16" ht="12.75" customHeight="1" x14ac:dyDescent="0.25">
      <c r="D564" s="793">
        <v>83600</v>
      </c>
      <c r="E564" s="791" t="s">
        <v>4123</v>
      </c>
      <c r="I564" s="812"/>
      <c r="J564" s="859">
        <v>-74988</v>
      </c>
      <c r="K564" s="859">
        <v>0</v>
      </c>
      <c r="L564" s="859">
        <f>ROUND(K564*T$2,-1)</f>
        <v>0</v>
      </c>
      <c r="M564" s="859">
        <f>ROUND(L564*U$2,-1)</f>
        <v>0</v>
      </c>
      <c r="N564" s="859">
        <f>ROUND(M564*V$2,-1)</f>
        <v>0</v>
      </c>
      <c r="O564" s="859">
        <f>ROUND(N564*W$2,-1)</f>
        <v>0</v>
      </c>
    </row>
    <row r="565" spans="1:16" ht="12.75" customHeight="1" thickBot="1" x14ac:dyDescent="0.3">
      <c r="D565" s="831"/>
      <c r="E565" s="791" t="s">
        <v>1078</v>
      </c>
      <c r="F565" s="831"/>
      <c r="I565" s="812"/>
      <c r="J565" s="1935">
        <v>-74988</v>
      </c>
      <c r="K565" s="1935">
        <f>SUM(K564:K564)</f>
        <v>0</v>
      </c>
      <c r="L565" s="1935">
        <f>SUM(L564:L564)</f>
        <v>0</v>
      </c>
      <c r="M565" s="1935">
        <f>SUM(M564:M564)</f>
        <v>0</v>
      </c>
      <c r="N565" s="1935">
        <f>SUM(N564:N564)</f>
        <v>0</v>
      </c>
      <c r="O565" s="1935">
        <f>SUM(O564:O564)</f>
        <v>0</v>
      </c>
    </row>
    <row r="566" spans="1:16" ht="12.75" customHeight="1" thickTop="1" x14ac:dyDescent="0.25">
      <c r="D566" s="791"/>
      <c r="E566" s="791"/>
      <c r="F566" s="791"/>
    </row>
    <row r="567" spans="1:16" ht="12.75" customHeight="1" x14ac:dyDescent="0.25">
      <c r="A567" s="795"/>
      <c r="D567" s="834">
        <v>636007</v>
      </c>
      <c r="E567" s="832" t="s">
        <v>4129</v>
      </c>
      <c r="F567" s="813"/>
      <c r="I567" s="812"/>
      <c r="J567" s="812"/>
      <c r="K567" s="812"/>
      <c r="L567" s="812"/>
      <c r="M567" s="812"/>
      <c r="N567" s="812"/>
      <c r="O567" s="812"/>
      <c r="P567" s="812"/>
    </row>
    <row r="568" spans="1:16" ht="12.75" customHeight="1" x14ac:dyDescent="0.25">
      <c r="A568" s="795"/>
      <c r="D568" s="834"/>
      <c r="E568" s="800" t="s">
        <v>554</v>
      </c>
      <c r="F568" s="813"/>
      <c r="I568" s="812"/>
      <c r="J568" s="812"/>
      <c r="K568" s="812"/>
      <c r="L568" s="812"/>
    </row>
    <row r="569" spans="1:16" ht="12.75" customHeight="1" x14ac:dyDescent="0.25">
      <c r="A569" s="795"/>
      <c r="D569" s="793">
        <v>83600</v>
      </c>
      <c r="E569" s="796" t="s">
        <v>4130</v>
      </c>
      <c r="I569" s="812"/>
      <c r="J569" s="859">
        <v>-11</v>
      </c>
      <c r="K569" s="859">
        <v>-11</v>
      </c>
      <c r="L569" s="859">
        <f>ROUND(K569*T$2,)</f>
        <v>-11</v>
      </c>
      <c r="M569" s="859">
        <f>ROUND(L569*U$2,)</f>
        <v>-11</v>
      </c>
      <c r="N569" s="859">
        <f>ROUND(M569*V$2,)</f>
        <v>-11</v>
      </c>
      <c r="O569" s="859">
        <f>ROUND(N569*W$2,)</f>
        <v>-11</v>
      </c>
    </row>
    <row r="570" spans="1:16" ht="12.75" customHeight="1" x14ac:dyDescent="0.25">
      <c r="A570" s="795"/>
      <c r="D570" s="793"/>
      <c r="E570" s="796" t="s">
        <v>4131</v>
      </c>
      <c r="I570" s="812"/>
      <c r="J570" s="859">
        <v>-615</v>
      </c>
      <c r="K570" s="859">
        <v>-637</v>
      </c>
      <c r="L570" s="859">
        <v>-654.91</v>
      </c>
      <c r="M570" s="859">
        <f>ROUND(L570*U$2,-1)</f>
        <v>-670</v>
      </c>
      <c r="N570" s="859">
        <f>ROUND(M570*V$2,-1)</f>
        <v>-690</v>
      </c>
      <c r="O570" s="859">
        <f>ROUND(N570*W$2,-1)</f>
        <v>-710</v>
      </c>
    </row>
    <row r="571" spans="1:16" ht="12.75" customHeight="1" x14ac:dyDescent="0.25">
      <c r="A571" s="795"/>
      <c r="D571" s="793"/>
      <c r="E571" s="796" t="s">
        <v>4132</v>
      </c>
      <c r="I571" s="812"/>
      <c r="J571" s="859">
        <v>-11</v>
      </c>
      <c r="K571" s="859">
        <v>-11</v>
      </c>
      <c r="L571" s="859">
        <f>ROUND(K571*T$2,)</f>
        <v>-11</v>
      </c>
      <c r="M571" s="859">
        <f>ROUND(L571*U$2,)</f>
        <v>-11</v>
      </c>
      <c r="N571" s="859">
        <f>ROUND(M571*V$2,)</f>
        <v>-11</v>
      </c>
      <c r="O571" s="859">
        <f>ROUND(N571*W$2,)</f>
        <v>-11</v>
      </c>
    </row>
    <row r="572" spans="1:16" ht="12.75" customHeight="1" x14ac:dyDescent="0.25">
      <c r="A572" s="795"/>
      <c r="D572" s="793"/>
      <c r="E572" s="858" t="s">
        <v>5432</v>
      </c>
      <c r="I572" s="812"/>
      <c r="J572" s="859">
        <v>-2653</v>
      </c>
      <c r="K572" s="859">
        <v>-2749</v>
      </c>
      <c r="L572" s="859">
        <v>-2825.76</v>
      </c>
      <c r="M572" s="859">
        <f>ROUND(L572*U$2,-1)</f>
        <v>-2890</v>
      </c>
      <c r="N572" s="859">
        <f>ROUND(M572*V$2,-1)</f>
        <v>-2960</v>
      </c>
      <c r="O572" s="859">
        <f>ROUND(N572*W$2,-1)</f>
        <v>-3030</v>
      </c>
    </row>
    <row r="573" spans="1:16" ht="12.75" customHeight="1" thickBot="1" x14ac:dyDescent="0.3">
      <c r="A573" s="795"/>
      <c r="D573" s="793"/>
      <c r="E573" s="791" t="s">
        <v>1078</v>
      </c>
      <c r="I573" s="812"/>
      <c r="J573" s="1935">
        <v>-3290</v>
      </c>
      <c r="K573" s="1935">
        <f>SUM(K568:K572)</f>
        <v>-3408</v>
      </c>
      <c r="L573" s="1935">
        <f>SUM(L568:L572)</f>
        <v>-3502.67</v>
      </c>
      <c r="M573" s="1935">
        <f>SUM(M568:M572)</f>
        <v>-3582</v>
      </c>
      <c r="N573" s="1935">
        <f>SUM(N568:N572)</f>
        <v>-3672</v>
      </c>
      <c r="O573" s="1935">
        <f>SUM(O568:O572)</f>
        <v>-3762</v>
      </c>
    </row>
    <row r="574" spans="1:16" ht="12.75" customHeight="1" thickTop="1" x14ac:dyDescent="0.25">
      <c r="A574" s="795"/>
      <c r="D574" s="793"/>
      <c r="E574" s="791"/>
      <c r="I574" s="812"/>
    </row>
    <row r="575" spans="1:16" ht="12.75" customHeight="1" x14ac:dyDescent="0.25">
      <c r="A575" s="795"/>
      <c r="D575" s="834">
        <v>636008</v>
      </c>
      <c r="E575" s="832" t="s">
        <v>4104</v>
      </c>
      <c r="F575" s="813"/>
      <c r="I575" s="812"/>
      <c r="J575" s="812"/>
      <c r="K575" s="812"/>
      <c r="L575" s="812"/>
      <c r="M575" s="812"/>
      <c r="N575" s="812"/>
      <c r="O575" s="812"/>
    </row>
    <row r="576" spans="1:16" ht="12.75" customHeight="1" x14ac:dyDescent="0.25">
      <c r="A576" s="795"/>
      <c r="D576" s="834"/>
      <c r="E576" s="800" t="s">
        <v>554</v>
      </c>
      <c r="F576" s="813"/>
      <c r="I576" s="812"/>
      <c r="J576" s="812"/>
      <c r="K576" s="812"/>
      <c r="L576" s="812"/>
    </row>
    <row r="577" spans="1:15" ht="12.75" customHeight="1" x14ac:dyDescent="0.25">
      <c r="A577" s="795"/>
      <c r="D577" s="793">
        <v>83600</v>
      </c>
      <c r="E577" s="796" t="s">
        <v>4133</v>
      </c>
      <c r="I577" s="812"/>
      <c r="J577" s="859">
        <v>-10548</v>
      </c>
      <c r="K577" s="859">
        <v>-10928</v>
      </c>
      <c r="L577" s="859">
        <v>-11233.12</v>
      </c>
      <c r="M577" s="859">
        <f>ROUND(L577*U$2,-1)</f>
        <v>-11490</v>
      </c>
      <c r="N577" s="859">
        <f>ROUND(M577*V$2,-1)</f>
        <v>-11750</v>
      </c>
      <c r="O577" s="859">
        <f>ROUND(N577*W$2,-1)</f>
        <v>-12020</v>
      </c>
    </row>
    <row r="578" spans="1:15" ht="12.75" customHeight="1" thickBot="1" x14ac:dyDescent="0.3">
      <c r="A578" s="795"/>
      <c r="D578" s="793"/>
      <c r="E578" s="791" t="str">
        <f>"Totaal "&amp;D577</f>
        <v>Totaal 83600</v>
      </c>
      <c r="I578" s="812"/>
      <c r="J578" s="1935">
        <v>-10548</v>
      </c>
      <c r="K578" s="1935">
        <f>SUM(K576:K577)</f>
        <v>-10928</v>
      </c>
      <c r="L578" s="1935">
        <f>SUM(L576:L577)</f>
        <v>-11233.12</v>
      </c>
      <c r="M578" s="1935">
        <f>SUM(M576:M577)</f>
        <v>-11490</v>
      </c>
      <c r="N578" s="1935">
        <f>SUM(N576:N577)</f>
        <v>-11750</v>
      </c>
      <c r="O578" s="1935">
        <f>SUM(O576:O577)</f>
        <v>-12020</v>
      </c>
    </row>
    <row r="579" spans="1:15" ht="12.75" customHeight="1" thickTop="1" x14ac:dyDescent="0.25">
      <c r="A579" s="795"/>
      <c r="D579" s="793"/>
      <c r="I579" s="812"/>
      <c r="J579" s="812"/>
      <c r="K579" s="812"/>
      <c r="L579" s="812"/>
    </row>
    <row r="580" spans="1:15" ht="12.75" customHeight="1" x14ac:dyDescent="0.25">
      <c r="D580" s="834">
        <v>636024</v>
      </c>
      <c r="E580" s="832" t="s">
        <v>4134</v>
      </c>
      <c r="F580" s="813"/>
    </row>
    <row r="581" spans="1:15" ht="12.75" customHeight="1" x14ac:dyDescent="0.25">
      <c r="D581" s="831"/>
      <c r="E581" s="800" t="s">
        <v>554</v>
      </c>
      <c r="F581" s="831"/>
      <c r="J581" s="812"/>
      <c r="K581" s="812"/>
      <c r="L581" s="812"/>
    </row>
    <row r="582" spans="1:15" ht="12.75" customHeight="1" x14ac:dyDescent="0.25">
      <c r="D582" s="793">
        <v>83600</v>
      </c>
      <c r="E582" s="791" t="s">
        <v>4121</v>
      </c>
      <c r="J582" s="859">
        <v>-58810</v>
      </c>
      <c r="K582" s="859">
        <v>-60750</v>
      </c>
      <c r="L582" s="859">
        <v>-62448.93</v>
      </c>
      <c r="M582" s="859">
        <f>ROUND(L582*U$2,-1)</f>
        <v>-63890</v>
      </c>
      <c r="N582" s="859">
        <f>ROUND(M582*V$2,-1)</f>
        <v>-65360</v>
      </c>
      <c r="O582" s="859">
        <f>ROUND(N582*W$2,-1)</f>
        <v>-66860</v>
      </c>
    </row>
    <row r="583" spans="1:15" ht="12.75" customHeight="1" thickBot="1" x14ac:dyDescent="0.3">
      <c r="D583" s="831"/>
      <c r="E583" s="791" t="str">
        <f>"Totaal "&amp;D582</f>
        <v>Totaal 83600</v>
      </c>
      <c r="F583" s="831"/>
      <c r="J583" s="1935">
        <v>-58810</v>
      </c>
      <c r="K583" s="1935">
        <f>SUM(K581:K582)</f>
        <v>-60750</v>
      </c>
      <c r="L583" s="1935">
        <f>SUM(L581:L582)</f>
        <v>-62448.93</v>
      </c>
      <c r="M583" s="1935">
        <f>SUM(M581:M582)</f>
        <v>-63890</v>
      </c>
      <c r="N583" s="1935">
        <f>SUM(N581:N582)</f>
        <v>-65360</v>
      </c>
      <c r="O583" s="1935">
        <f>SUM(O581:O582)</f>
        <v>-66860</v>
      </c>
    </row>
    <row r="584" spans="1:15" ht="12.75" customHeight="1" thickTop="1" x14ac:dyDescent="0.25">
      <c r="D584" s="831"/>
      <c r="E584" s="791"/>
      <c r="F584" s="831"/>
      <c r="J584" s="812"/>
      <c r="K584" s="812"/>
      <c r="L584" s="812"/>
    </row>
    <row r="585" spans="1:15" ht="12.75" customHeight="1" x14ac:dyDescent="0.25">
      <c r="D585" s="834">
        <v>636025</v>
      </c>
      <c r="E585" s="832" t="s">
        <v>4135</v>
      </c>
      <c r="F585" s="813"/>
    </row>
    <row r="586" spans="1:15" ht="12.75" customHeight="1" x14ac:dyDescent="0.25">
      <c r="D586" s="831"/>
      <c r="E586" s="800" t="s">
        <v>554</v>
      </c>
      <c r="F586" s="831"/>
      <c r="J586" s="812"/>
      <c r="K586" s="812"/>
      <c r="L586" s="812"/>
    </row>
    <row r="587" spans="1:15" ht="12.75" customHeight="1" x14ac:dyDescent="0.25">
      <c r="D587" s="793">
        <v>83600</v>
      </c>
      <c r="E587" s="791" t="s">
        <v>4136</v>
      </c>
      <c r="J587" s="859">
        <v>-88419</v>
      </c>
      <c r="K587" s="859">
        <v>-91335</v>
      </c>
      <c r="L587" s="859">
        <v>-93889.65</v>
      </c>
      <c r="M587" s="859">
        <f>ROUND(L587*U$2,-1)</f>
        <v>-96050</v>
      </c>
      <c r="N587" s="859">
        <f>ROUND(M587*V$2,-1)</f>
        <v>-98260</v>
      </c>
      <c r="O587" s="859">
        <f>ROUND(N587*W$2,-1)</f>
        <v>-100520</v>
      </c>
    </row>
    <row r="588" spans="1:15" ht="12.75" customHeight="1" thickBot="1" x14ac:dyDescent="0.3">
      <c r="D588" s="831"/>
      <c r="E588" s="791" t="str">
        <f>"Totaal "&amp;D587</f>
        <v>Totaal 83600</v>
      </c>
      <c r="F588" s="831"/>
      <c r="J588" s="1935">
        <v>-88419</v>
      </c>
      <c r="K588" s="1935">
        <f>SUM(K586:K587)</f>
        <v>-91335</v>
      </c>
      <c r="L588" s="1935">
        <f>SUM(L586:L587)</f>
        <v>-93889.65</v>
      </c>
      <c r="M588" s="1935">
        <f>SUM(M586:M587)</f>
        <v>-96050</v>
      </c>
      <c r="N588" s="1935">
        <f>SUM(N586:N587)</f>
        <v>-98260</v>
      </c>
      <c r="O588" s="1935">
        <f>SUM(O586:O587)</f>
        <v>-100520</v>
      </c>
    </row>
    <row r="589" spans="1:15" ht="12.75" customHeight="1" thickTop="1" x14ac:dyDescent="0.25">
      <c r="D589" s="831"/>
      <c r="E589" s="791"/>
      <c r="F589" s="831"/>
      <c r="J589" s="812"/>
      <c r="K589" s="812"/>
      <c r="L589" s="812"/>
    </row>
    <row r="590" spans="1:15" ht="12.75" customHeight="1" x14ac:dyDescent="0.25">
      <c r="D590" s="834">
        <v>636026</v>
      </c>
      <c r="E590" s="832" t="s">
        <v>4137</v>
      </c>
      <c r="F590" s="813"/>
    </row>
    <row r="591" spans="1:15" ht="12.75" customHeight="1" x14ac:dyDescent="0.25">
      <c r="D591" s="831"/>
      <c r="E591" s="800" t="s">
        <v>554</v>
      </c>
      <c r="F591" s="831"/>
      <c r="J591" s="812"/>
      <c r="K591" s="812"/>
      <c r="L591" s="812"/>
    </row>
    <row r="592" spans="1:15" ht="12.75" customHeight="1" x14ac:dyDescent="0.25">
      <c r="D592" s="793">
        <v>83600</v>
      </c>
      <c r="E592" s="791" t="s">
        <v>4136</v>
      </c>
      <c r="J592" s="859">
        <v>-42464</v>
      </c>
      <c r="K592" s="859">
        <f>-22587-22376</f>
        <v>-44963</v>
      </c>
      <c r="L592" s="859">
        <v>-46220</v>
      </c>
      <c r="M592" s="859">
        <f>ROUND(L592*U$2,-1)</f>
        <v>-47280</v>
      </c>
      <c r="N592" s="859">
        <f>ROUND(M592*V$2,-1)</f>
        <v>-48370</v>
      </c>
      <c r="O592" s="859">
        <f>ROUND(N592*W$2,-1)</f>
        <v>-49480</v>
      </c>
    </row>
    <row r="593" spans="1:27" ht="12.75" customHeight="1" thickBot="1" x14ac:dyDescent="0.3">
      <c r="D593" s="831"/>
      <c r="E593" s="791" t="str">
        <f>"Totaal "&amp;D592</f>
        <v>Totaal 83600</v>
      </c>
      <c r="F593" s="831"/>
      <c r="J593" s="1935">
        <v>-42464</v>
      </c>
      <c r="K593" s="1935">
        <f>SUM(K591:K592)</f>
        <v>-44963</v>
      </c>
      <c r="L593" s="1935">
        <f>SUM(L591:L592)</f>
        <v>-46220</v>
      </c>
      <c r="M593" s="1935">
        <f>SUM(M591:M592)</f>
        <v>-47280</v>
      </c>
      <c r="N593" s="1935">
        <f>SUM(N591:N592)</f>
        <v>-48370</v>
      </c>
      <c r="O593" s="1935">
        <f>SUM(O591:O592)</f>
        <v>-49480</v>
      </c>
    </row>
    <row r="594" spans="1:27" ht="12.75" customHeight="1" thickTop="1" x14ac:dyDescent="0.25">
      <c r="D594" s="831"/>
      <c r="E594" s="791"/>
      <c r="F594" s="831"/>
      <c r="J594" s="812"/>
      <c r="K594" s="812"/>
      <c r="L594" s="812"/>
      <c r="M594" s="812"/>
      <c r="N594" s="812"/>
      <c r="O594" s="812"/>
    </row>
    <row r="595" spans="1:27" ht="12.75" customHeight="1" x14ac:dyDescent="0.25">
      <c r="A595" s="1000"/>
      <c r="B595" s="842"/>
      <c r="C595" s="842"/>
      <c r="D595" s="834">
        <v>636044</v>
      </c>
      <c r="E595" s="832" t="s">
        <v>4078</v>
      </c>
      <c r="F595" s="930"/>
      <c r="G595" s="842"/>
      <c r="H595" s="842"/>
      <c r="I595" s="842"/>
      <c r="J595" s="842"/>
      <c r="K595" s="842"/>
      <c r="L595" s="842"/>
      <c r="M595" s="842"/>
      <c r="N595" s="842"/>
      <c r="O595" s="842"/>
      <c r="P595" s="842"/>
      <c r="Q595" s="842"/>
      <c r="R595" s="842"/>
      <c r="S595" s="842"/>
      <c r="T595" s="842"/>
      <c r="U595" s="842"/>
      <c r="V595" s="842"/>
      <c r="W595" s="842"/>
      <c r="X595" s="842"/>
      <c r="Y595" s="842"/>
      <c r="Z595" s="842"/>
      <c r="AA595" s="842"/>
    </row>
    <row r="596" spans="1:27" ht="12.75" customHeight="1" x14ac:dyDescent="0.25">
      <c r="A596" s="1000"/>
      <c r="B596" s="842"/>
      <c r="C596" s="842"/>
      <c r="D596" s="1011"/>
      <c r="E596" s="800" t="s">
        <v>554</v>
      </c>
      <c r="F596" s="1011"/>
      <c r="G596" s="1012" t="s">
        <v>4138</v>
      </c>
      <c r="H596" s="1012" t="s">
        <v>4139</v>
      </c>
      <c r="I596" s="842"/>
      <c r="J596" s="934"/>
      <c r="K596" s="934"/>
      <c r="L596" s="934"/>
      <c r="M596" s="842"/>
      <c r="N596" s="842"/>
      <c r="O596" s="842"/>
      <c r="P596" s="842"/>
      <c r="Q596" s="842"/>
      <c r="R596" s="842"/>
      <c r="S596" s="842"/>
      <c r="T596" s="842"/>
      <c r="U596" s="842"/>
      <c r="V596" s="842"/>
      <c r="W596" s="842"/>
      <c r="X596" s="842"/>
      <c r="Y596" s="842"/>
      <c r="Z596" s="842"/>
      <c r="AA596" s="842"/>
    </row>
    <row r="597" spans="1:27" ht="12.75" customHeight="1" x14ac:dyDescent="0.25">
      <c r="A597" s="1000"/>
      <c r="B597" s="842"/>
      <c r="C597" s="842"/>
      <c r="D597" s="1013">
        <v>83600</v>
      </c>
      <c r="E597" s="842" t="s">
        <v>4140</v>
      </c>
      <c r="F597" s="1011"/>
      <c r="G597" s="842">
        <v>261</v>
      </c>
      <c r="H597" s="842">
        <v>109.53</v>
      </c>
      <c r="I597" s="842"/>
      <c r="J597" s="986">
        <v>0</v>
      </c>
      <c r="K597" s="986">
        <f>-G597*H597</f>
        <v>-28587.33</v>
      </c>
      <c r="L597" s="986">
        <v>-27659.61</v>
      </c>
      <c r="M597" s="986">
        <f>ROUND(L597*U$2,-1)</f>
        <v>-28300</v>
      </c>
      <c r="N597" s="986">
        <f>ROUND(M597*V$2,-1)</f>
        <v>-28950</v>
      </c>
      <c r="O597" s="986">
        <f>ROUND(N597*W$2,-1)</f>
        <v>-29620</v>
      </c>
      <c r="P597" s="842"/>
      <c r="Q597" s="842"/>
      <c r="R597" s="842"/>
      <c r="S597" s="842"/>
      <c r="T597" s="842"/>
      <c r="U597" s="842"/>
      <c r="V597" s="842"/>
      <c r="W597" s="842"/>
      <c r="X597" s="842"/>
      <c r="Y597" s="842"/>
      <c r="Z597" s="842"/>
      <c r="AA597" s="842"/>
    </row>
    <row r="598" spans="1:27" ht="12.75" customHeight="1" thickBot="1" x14ac:dyDescent="0.3">
      <c r="A598" s="1000"/>
      <c r="B598" s="842"/>
      <c r="C598" s="842"/>
      <c r="D598" s="1011"/>
      <c r="E598" s="842" t="str">
        <f>"Totaal "&amp;D597</f>
        <v>Totaal 83600</v>
      </c>
      <c r="F598" s="1011"/>
      <c r="G598" s="842"/>
      <c r="H598" s="842"/>
      <c r="I598" s="842"/>
      <c r="J598" s="1939">
        <v>0</v>
      </c>
      <c r="K598" s="1939">
        <f>SUM(K596:K597)</f>
        <v>-28587.33</v>
      </c>
      <c r="L598" s="1939">
        <f>SUM(L596:L597)</f>
        <v>-27659.61</v>
      </c>
      <c r="M598" s="1939">
        <f>SUM(M596:M597)</f>
        <v>-28300</v>
      </c>
      <c r="N598" s="1939">
        <f>SUM(N596:N597)</f>
        <v>-28950</v>
      </c>
      <c r="O598" s="1939">
        <f>SUM(O596:O597)</f>
        <v>-29620</v>
      </c>
      <c r="P598" s="842"/>
      <c r="Q598" s="842"/>
      <c r="R598" s="842"/>
      <c r="S598" s="842"/>
      <c r="T598" s="842"/>
      <c r="U598" s="842"/>
      <c r="V598" s="842"/>
      <c r="W598" s="842"/>
      <c r="X598" s="842"/>
      <c r="Y598" s="842"/>
      <c r="Z598" s="842"/>
      <c r="AA598" s="842"/>
    </row>
    <row r="599" spans="1:27" ht="12.75" customHeight="1" thickTop="1" x14ac:dyDescent="0.25">
      <c r="A599" s="1000"/>
      <c r="B599" s="842"/>
      <c r="C599" s="842"/>
      <c r="D599" s="1011"/>
      <c r="E599" s="842"/>
      <c r="F599" s="1011"/>
      <c r="G599" s="842"/>
      <c r="H599" s="842"/>
      <c r="I599" s="842"/>
      <c r="J599" s="934"/>
      <c r="K599" s="934"/>
      <c r="L599" s="934"/>
      <c r="M599" s="842"/>
      <c r="N599" s="842"/>
      <c r="O599" s="842"/>
      <c r="P599" s="842"/>
      <c r="Q599" s="842"/>
      <c r="R599" s="842"/>
      <c r="S599" s="842"/>
      <c r="T599" s="842"/>
      <c r="U599" s="842"/>
      <c r="V599" s="842"/>
      <c r="W599" s="842"/>
      <c r="X599" s="842"/>
      <c r="Y599" s="842"/>
      <c r="Z599" s="842"/>
      <c r="AA599" s="842"/>
    </row>
    <row r="600" spans="1:27" ht="12.75" customHeight="1" x14ac:dyDescent="0.25">
      <c r="A600" s="1000"/>
      <c r="B600" s="842"/>
      <c r="C600" s="842"/>
      <c r="D600" s="834">
        <v>636045</v>
      </c>
      <c r="E600" s="832" t="s">
        <v>4079</v>
      </c>
      <c r="F600" s="930"/>
      <c r="G600" s="842"/>
      <c r="H600" s="842"/>
      <c r="I600" s="842"/>
      <c r="J600" s="842"/>
      <c r="K600" s="842"/>
      <c r="L600" s="842"/>
      <c r="M600" s="842"/>
      <c r="N600" s="842"/>
      <c r="O600" s="842"/>
      <c r="P600" s="842"/>
      <c r="Q600" s="842"/>
      <c r="R600" s="842"/>
      <c r="S600" s="842"/>
      <c r="T600" s="842"/>
      <c r="U600" s="842"/>
      <c r="V600" s="842"/>
      <c r="W600" s="842"/>
      <c r="X600" s="842"/>
      <c r="Y600" s="842"/>
      <c r="Z600" s="842"/>
      <c r="AA600" s="842"/>
    </row>
    <row r="601" spans="1:27" ht="12.75" customHeight="1" x14ac:dyDescent="0.25">
      <c r="A601" s="1000"/>
      <c r="B601" s="842"/>
      <c r="C601" s="842"/>
      <c r="D601" s="1011"/>
      <c r="E601" s="800" t="s">
        <v>554</v>
      </c>
      <c r="F601" s="1011"/>
      <c r="G601" s="1012" t="s">
        <v>4138</v>
      </c>
      <c r="H601" s="1012" t="s">
        <v>4139</v>
      </c>
      <c r="I601" s="842"/>
      <c r="J601" s="934"/>
      <c r="K601" s="934"/>
      <c r="L601" s="934"/>
      <c r="M601" s="842"/>
      <c r="N601" s="842"/>
      <c r="O601" s="842"/>
      <c r="P601" s="842"/>
      <c r="Q601" s="842"/>
      <c r="R601" s="842"/>
      <c r="S601" s="842"/>
      <c r="T601" s="842"/>
      <c r="U601" s="842"/>
      <c r="V601" s="842"/>
      <c r="W601" s="842"/>
      <c r="X601" s="842"/>
      <c r="Y601" s="842"/>
      <c r="Z601" s="842"/>
      <c r="AA601" s="842"/>
    </row>
    <row r="602" spans="1:27" ht="12.75" customHeight="1" x14ac:dyDescent="0.25">
      <c r="A602" s="1000"/>
      <c r="B602" s="842"/>
      <c r="C602" s="842"/>
      <c r="D602" s="1013">
        <v>83600</v>
      </c>
      <c r="E602" s="842" t="s">
        <v>4140</v>
      </c>
      <c r="F602" s="1011"/>
      <c r="G602" s="842">
        <v>318.39999999999998</v>
      </c>
      <c r="H602" s="842">
        <v>109.53</v>
      </c>
      <c r="I602" s="842"/>
      <c r="J602" s="986">
        <v>0</v>
      </c>
      <c r="K602" s="986">
        <f>-G602*H602</f>
        <v>-34874.351999999999</v>
      </c>
      <c r="L602" s="986">
        <v>-37567.53</v>
      </c>
      <c r="M602" s="986">
        <f>ROUND(L602*U$2,-1)</f>
        <v>-38430</v>
      </c>
      <c r="N602" s="986">
        <f>ROUND(M602*V$2,-1)</f>
        <v>-39310</v>
      </c>
      <c r="O602" s="986">
        <f>ROUND(N602*W$2,-1)</f>
        <v>-40210</v>
      </c>
      <c r="P602" s="842"/>
      <c r="Q602" s="842"/>
      <c r="R602" s="842"/>
      <c r="S602" s="842"/>
      <c r="T602" s="842"/>
      <c r="U602" s="842"/>
      <c r="V602" s="842"/>
      <c r="W602" s="842"/>
      <c r="X602" s="842"/>
      <c r="Y602" s="842"/>
      <c r="Z602" s="842"/>
      <c r="AA602" s="842"/>
    </row>
    <row r="603" spans="1:27" ht="12.75" customHeight="1" thickBot="1" x14ac:dyDescent="0.3">
      <c r="A603" s="1000"/>
      <c r="B603" s="842"/>
      <c r="C603" s="842"/>
      <c r="D603" s="1011"/>
      <c r="E603" s="842" t="str">
        <f>"Totaal "&amp;D602</f>
        <v>Totaal 83600</v>
      </c>
      <c r="F603" s="1011"/>
      <c r="G603" s="842"/>
      <c r="H603" s="842"/>
      <c r="I603" s="842"/>
      <c r="J603" s="1939">
        <v>0</v>
      </c>
      <c r="K603" s="1939">
        <f>SUM(K601:K602)</f>
        <v>-34874.351999999999</v>
      </c>
      <c r="L603" s="1939">
        <f>SUM(L601:L602)</f>
        <v>-37567.53</v>
      </c>
      <c r="M603" s="1939">
        <f>SUM(M601:M602)</f>
        <v>-38430</v>
      </c>
      <c r="N603" s="1939">
        <f>SUM(N601:N602)</f>
        <v>-39310</v>
      </c>
      <c r="O603" s="1939">
        <f>SUM(O601:O602)</f>
        <v>-40210</v>
      </c>
      <c r="P603" s="842"/>
      <c r="Q603" s="842"/>
      <c r="R603" s="842"/>
      <c r="S603" s="842"/>
      <c r="T603" s="842"/>
      <c r="U603" s="842"/>
      <c r="V603" s="842"/>
      <c r="W603" s="842"/>
      <c r="X603" s="842"/>
      <c r="Y603" s="842"/>
      <c r="Z603" s="842"/>
      <c r="AA603" s="842"/>
    </row>
    <row r="604" spans="1:27" ht="12.75" customHeight="1" thickTop="1" x14ac:dyDescent="0.25">
      <c r="A604" s="1000"/>
      <c r="B604" s="842"/>
      <c r="C604" s="842"/>
      <c r="D604" s="1011"/>
      <c r="E604" s="842"/>
      <c r="F604" s="1011"/>
      <c r="G604" s="842"/>
      <c r="H604" s="842"/>
      <c r="I604" s="842"/>
      <c r="J604" s="934"/>
      <c r="K604" s="934"/>
      <c r="L604" s="934"/>
      <c r="M604" s="842"/>
      <c r="N604" s="842"/>
      <c r="O604" s="842"/>
      <c r="P604" s="842"/>
      <c r="Q604" s="842"/>
      <c r="R604" s="842"/>
      <c r="S604" s="842"/>
      <c r="T604" s="842"/>
      <c r="U604" s="842"/>
      <c r="V604" s="842"/>
      <c r="W604" s="842"/>
      <c r="X604" s="842"/>
      <c r="Y604" s="842"/>
      <c r="Z604" s="842"/>
      <c r="AA604" s="842"/>
    </row>
    <row r="605" spans="1:27" ht="12.75" customHeight="1" x14ac:dyDescent="0.25">
      <c r="A605" s="1000"/>
      <c r="B605" s="842"/>
      <c r="C605" s="842"/>
      <c r="D605" s="834">
        <v>636046</v>
      </c>
      <c r="E605" s="832" t="s">
        <v>4080</v>
      </c>
      <c r="F605" s="930"/>
      <c r="G605" s="842"/>
      <c r="H605" s="842"/>
      <c r="I605" s="842"/>
      <c r="J605" s="842"/>
      <c r="K605" s="842"/>
      <c r="L605" s="842"/>
      <c r="M605" s="842"/>
      <c r="N605" s="842"/>
      <c r="O605" s="842"/>
      <c r="P605" s="842"/>
      <c r="Q605" s="842"/>
      <c r="R605" s="842"/>
      <c r="S605" s="842"/>
      <c r="T605" s="842"/>
      <c r="U605" s="842"/>
      <c r="V605" s="842"/>
      <c r="W605" s="842"/>
      <c r="X605" s="842"/>
      <c r="Y605" s="842"/>
      <c r="Z605" s="842"/>
      <c r="AA605" s="842"/>
    </row>
    <row r="606" spans="1:27" ht="12.75" customHeight="1" x14ac:dyDescent="0.25">
      <c r="A606" s="1000"/>
      <c r="B606" s="842"/>
      <c r="C606" s="842"/>
      <c r="D606" s="1011"/>
      <c r="E606" s="800" t="s">
        <v>554</v>
      </c>
      <c r="F606" s="1011"/>
      <c r="G606" s="1012" t="s">
        <v>4138</v>
      </c>
      <c r="H606" s="1012" t="s">
        <v>4139</v>
      </c>
      <c r="I606" s="842"/>
      <c r="J606" s="934"/>
      <c r="K606" s="934"/>
      <c r="L606" s="934"/>
      <c r="M606" s="842"/>
      <c r="N606" s="842"/>
      <c r="O606" s="842"/>
      <c r="P606" s="842"/>
      <c r="Q606" s="842"/>
      <c r="R606" s="842"/>
      <c r="S606" s="842"/>
      <c r="T606" s="842"/>
      <c r="U606" s="842"/>
      <c r="V606" s="842"/>
      <c r="W606" s="842"/>
      <c r="X606" s="842"/>
      <c r="Y606" s="842"/>
      <c r="Z606" s="842"/>
      <c r="AA606" s="842"/>
    </row>
    <row r="607" spans="1:27" ht="12.75" customHeight="1" x14ac:dyDescent="0.25">
      <c r="A607" s="1000"/>
      <c r="B607" s="842"/>
      <c r="C607" s="842"/>
      <c r="D607" s="1013">
        <v>83600</v>
      </c>
      <c r="E607" s="842" t="s">
        <v>4140</v>
      </c>
      <c r="F607" s="1011"/>
      <c r="G607" s="842">
        <v>169.2</v>
      </c>
      <c r="H607" s="842">
        <v>131.35</v>
      </c>
      <c r="I607" s="842"/>
      <c r="J607" s="986">
        <v>0</v>
      </c>
      <c r="K607" s="986">
        <f>-G607*H607</f>
        <v>-22224.42</v>
      </c>
      <c r="L607" s="986">
        <v>-24260.799999999999</v>
      </c>
      <c r="M607" s="986">
        <f>ROUND(L607*U$2,-1)</f>
        <v>-24820</v>
      </c>
      <c r="N607" s="986">
        <f>ROUND(M607*V$2,-1)</f>
        <v>-25390</v>
      </c>
      <c r="O607" s="986">
        <f>ROUND(N607*W$2,-1)</f>
        <v>-25970</v>
      </c>
      <c r="P607" s="842"/>
      <c r="Q607" s="842"/>
      <c r="R607" s="842"/>
      <c r="S607" s="842"/>
      <c r="T607" s="842"/>
      <c r="U607" s="842"/>
      <c r="V607" s="842"/>
      <c r="W607" s="842"/>
      <c r="X607" s="842"/>
      <c r="Y607" s="842"/>
      <c r="Z607" s="842"/>
      <c r="AA607" s="842"/>
    </row>
    <row r="608" spans="1:27" ht="12.75" customHeight="1" thickBot="1" x14ac:dyDescent="0.3">
      <c r="A608" s="1000"/>
      <c r="B608" s="842"/>
      <c r="C608" s="842"/>
      <c r="D608" s="1011"/>
      <c r="E608" s="842" t="str">
        <f>"Totaal "&amp;D607</f>
        <v>Totaal 83600</v>
      </c>
      <c r="F608" s="1011"/>
      <c r="G608" s="842"/>
      <c r="H608" s="842"/>
      <c r="I608" s="842"/>
      <c r="J608" s="1939">
        <v>0</v>
      </c>
      <c r="K608" s="1939">
        <f>SUM(K606:K607)</f>
        <v>-22224.42</v>
      </c>
      <c r="L608" s="1939">
        <f>SUM(L606:L607)</f>
        <v>-24260.799999999999</v>
      </c>
      <c r="M608" s="1939">
        <f>SUM(M606:M607)</f>
        <v>-24820</v>
      </c>
      <c r="N608" s="1939">
        <f>SUM(N606:N607)</f>
        <v>-25390</v>
      </c>
      <c r="O608" s="1939">
        <f>SUM(O606:O607)</f>
        <v>-25970</v>
      </c>
      <c r="P608" s="842"/>
      <c r="Q608" s="842"/>
      <c r="R608" s="842"/>
      <c r="S608" s="842"/>
      <c r="T608" s="842"/>
      <c r="U608" s="842"/>
      <c r="V608" s="842"/>
      <c r="W608" s="842"/>
      <c r="X608" s="842"/>
      <c r="Y608" s="842"/>
      <c r="Z608" s="842"/>
      <c r="AA608" s="842"/>
    </row>
    <row r="609" spans="1:16" ht="12.75" customHeight="1" thickTop="1" x14ac:dyDescent="0.25">
      <c r="D609" s="831"/>
      <c r="E609" s="791"/>
      <c r="F609" s="831"/>
      <c r="J609" s="812"/>
      <c r="K609" s="812"/>
      <c r="L609" s="812"/>
    </row>
    <row r="610" spans="1:16" ht="12.75" customHeight="1" x14ac:dyDescent="0.25">
      <c r="D610" s="834">
        <v>636027</v>
      </c>
      <c r="E610" s="832" t="s">
        <v>4031</v>
      </c>
      <c r="F610" s="813"/>
      <c r="I610" s="812"/>
      <c r="J610" s="812"/>
      <c r="K610" s="812"/>
      <c r="L610" s="812"/>
      <c r="M610" s="812"/>
      <c r="N610" s="812"/>
      <c r="O610" s="812"/>
      <c r="P610" s="812"/>
    </row>
    <row r="611" spans="1:16" ht="12.75" customHeight="1" x14ac:dyDescent="0.25">
      <c r="D611" s="831"/>
      <c r="E611" s="800" t="s">
        <v>554</v>
      </c>
      <c r="F611" s="831"/>
      <c r="I611" s="812"/>
      <c r="J611" s="812"/>
      <c r="K611" s="812"/>
      <c r="L611" s="812"/>
    </row>
    <row r="612" spans="1:16" ht="12.75" customHeight="1" x14ac:dyDescent="0.25">
      <c r="D612" s="793">
        <v>83600</v>
      </c>
      <c r="E612" s="791" t="s">
        <v>4081</v>
      </c>
      <c r="I612" s="812"/>
      <c r="J612" s="812">
        <v>-128512</v>
      </c>
      <c r="K612" s="812">
        <v>-128346</v>
      </c>
      <c r="L612" s="812">
        <v>-131935.5</v>
      </c>
      <c r="M612" s="812">
        <f>ROUND(L612*U$2,0)</f>
        <v>-134970</v>
      </c>
      <c r="N612" s="812">
        <f>ROUND(M612*V$2,0)</f>
        <v>-138074</v>
      </c>
      <c r="O612" s="812">
        <f>ROUND(N612*W$2,0)</f>
        <v>-141250</v>
      </c>
    </row>
    <row r="613" spans="1:16" ht="12.75" customHeight="1" thickBot="1" x14ac:dyDescent="0.3">
      <c r="D613" s="831"/>
      <c r="E613" s="791" t="s">
        <v>3812</v>
      </c>
      <c r="F613" s="831"/>
      <c r="I613" s="812"/>
      <c r="J613" s="1935">
        <v>-128512</v>
      </c>
      <c r="K613" s="1935">
        <f>SUM(K612:K612)</f>
        <v>-128346</v>
      </c>
      <c r="L613" s="1935">
        <f>SUM(L612:L612)</f>
        <v>-131935.5</v>
      </c>
      <c r="M613" s="1935">
        <f>SUM(M612:M612)</f>
        <v>-134970</v>
      </c>
      <c r="N613" s="1935">
        <f>SUM(N612:N612)</f>
        <v>-138074</v>
      </c>
      <c r="O613" s="1935">
        <f>SUM(O612:O612)</f>
        <v>-141250</v>
      </c>
    </row>
    <row r="614" spans="1:16" ht="12.75" customHeight="1" thickTop="1" x14ac:dyDescent="0.25">
      <c r="D614" s="793"/>
      <c r="G614" s="861"/>
      <c r="I614" s="812"/>
      <c r="J614" s="812"/>
      <c r="K614" s="812"/>
      <c r="L614" s="812"/>
    </row>
    <row r="615" spans="1:16" ht="12.75" customHeight="1" x14ac:dyDescent="0.25">
      <c r="A615" s="795"/>
      <c r="D615" s="834">
        <v>636036</v>
      </c>
      <c r="E615" s="987" t="s">
        <v>4071</v>
      </c>
      <c r="I615" s="812"/>
      <c r="J615" s="855">
        <v>2025</v>
      </c>
      <c r="K615" s="855">
        <v>2026</v>
      </c>
      <c r="L615" s="855">
        <v>2027</v>
      </c>
      <c r="M615" s="855">
        <v>2028</v>
      </c>
      <c r="N615" s="855">
        <v>2029</v>
      </c>
      <c r="O615" s="855">
        <v>2030</v>
      </c>
    </row>
    <row r="616" spans="1:16" ht="12.75" customHeight="1" x14ac:dyDescent="0.25">
      <c r="A616" s="795"/>
      <c r="D616" s="834"/>
      <c r="E616" s="800" t="s">
        <v>554</v>
      </c>
      <c r="I616" s="812"/>
      <c r="J616" s="860"/>
      <c r="K616" s="860"/>
      <c r="L616" s="860"/>
    </row>
    <row r="617" spans="1:16" ht="12.75" customHeight="1" x14ac:dyDescent="0.25">
      <c r="A617" s="795"/>
      <c r="D617" s="831">
        <v>84310</v>
      </c>
      <c r="E617" s="840" t="s">
        <v>4113</v>
      </c>
      <c r="I617" s="812"/>
      <c r="J617" s="1010">
        <v>-70914</v>
      </c>
      <c r="K617" s="1010">
        <f>-K503</f>
        <v>-76172</v>
      </c>
      <c r="L617" s="1010">
        <f>-L503</f>
        <v>-76172</v>
      </c>
      <c r="M617" s="1010">
        <f>-M503</f>
        <v>-76172</v>
      </c>
      <c r="N617" s="1010">
        <f>-N503</f>
        <v>-76172</v>
      </c>
      <c r="O617" s="1010">
        <f>-O503</f>
        <v>-76172</v>
      </c>
    </row>
    <row r="618" spans="1:16" ht="12.75" customHeight="1" x14ac:dyDescent="0.25">
      <c r="A618" s="795"/>
      <c r="D618" s="793"/>
      <c r="E618" s="840" t="s">
        <v>4141</v>
      </c>
      <c r="I618" s="812"/>
      <c r="J618" s="1010"/>
      <c r="K618" s="1010"/>
      <c r="L618" s="1010"/>
      <c r="M618" s="1010"/>
      <c r="N618" s="1010"/>
      <c r="O618" s="1010"/>
    </row>
    <row r="619" spans="1:16" ht="12.75" customHeight="1" thickBot="1" x14ac:dyDescent="0.3">
      <c r="A619" s="795"/>
      <c r="D619" s="795"/>
      <c r="E619" s="840"/>
      <c r="I619" s="812"/>
      <c r="J619" s="1936">
        <v>-70914</v>
      </c>
      <c r="K619" s="1936">
        <f>+K617+K618</f>
        <v>-76172</v>
      </c>
      <c r="L619" s="1936">
        <f>+L617+L618</f>
        <v>-76172</v>
      </c>
      <c r="M619" s="1936">
        <f>+M617+M618</f>
        <v>-76172</v>
      </c>
      <c r="N619" s="1936">
        <f>+N617+N618</f>
        <v>-76172</v>
      </c>
      <c r="O619" s="1936">
        <f>+O617+O618</f>
        <v>-76172</v>
      </c>
    </row>
    <row r="620" spans="1:16" ht="12.75" customHeight="1" thickTop="1" x14ac:dyDescent="0.25">
      <c r="A620" s="795"/>
      <c r="D620" s="795"/>
      <c r="E620" s="840"/>
      <c r="I620" s="812"/>
      <c r="J620" s="1010"/>
      <c r="K620" s="1010"/>
      <c r="L620" s="1010"/>
    </row>
    <row r="621" spans="1:16" ht="12.75" customHeight="1" x14ac:dyDescent="0.25">
      <c r="A621" s="795"/>
      <c r="D621" s="834">
        <v>636037</v>
      </c>
      <c r="E621" s="987" t="s">
        <v>4072</v>
      </c>
      <c r="I621" s="812"/>
      <c r="J621" s="812"/>
      <c r="K621" s="812"/>
      <c r="L621" s="812"/>
      <c r="M621" s="812"/>
      <c r="N621" s="812"/>
      <c r="O621" s="812"/>
    </row>
    <row r="622" spans="1:16" ht="12.75" customHeight="1" x14ac:dyDescent="0.25">
      <c r="A622" s="795"/>
      <c r="D622" s="834"/>
      <c r="E622" s="800" t="s">
        <v>554</v>
      </c>
      <c r="I622" s="812"/>
      <c r="J622" s="860"/>
      <c r="K622" s="860"/>
      <c r="L622" s="860"/>
    </row>
    <row r="623" spans="1:16" ht="12.75" customHeight="1" x14ac:dyDescent="0.25">
      <c r="A623" s="795"/>
      <c r="D623" s="831">
        <v>84310</v>
      </c>
      <c r="E623" s="840" t="s">
        <v>4115</v>
      </c>
      <c r="I623" s="812"/>
      <c r="J623" s="1010">
        <v>-53745</v>
      </c>
      <c r="K623" s="1010">
        <f>-K509</f>
        <v>-41972</v>
      </c>
      <c r="L623" s="1010">
        <f>-L509</f>
        <v>-41972</v>
      </c>
      <c r="M623" s="1010">
        <f>-M509</f>
        <v>-41972</v>
      </c>
      <c r="N623" s="1010">
        <f>-N509</f>
        <v>-41972</v>
      </c>
      <c r="O623" s="1010">
        <f>-O509</f>
        <v>-41972</v>
      </c>
    </row>
    <row r="624" spans="1:16" ht="12.75" customHeight="1" thickBot="1" x14ac:dyDescent="0.3">
      <c r="A624" s="795"/>
      <c r="D624" s="795"/>
      <c r="E624" s="840"/>
      <c r="I624" s="812"/>
      <c r="J624" s="1936">
        <v>-53745</v>
      </c>
      <c r="K624" s="1936">
        <f t="shared" ref="K624:M624" si="166">SUM(K623)</f>
        <v>-41972</v>
      </c>
      <c r="L624" s="1936">
        <f t="shared" si="166"/>
        <v>-41972</v>
      </c>
      <c r="M624" s="1936">
        <f t="shared" si="166"/>
        <v>-41972</v>
      </c>
      <c r="N624" s="1936">
        <f t="shared" ref="N624:O624" si="167">SUM(N623)</f>
        <v>-41972</v>
      </c>
      <c r="O624" s="1936">
        <f t="shared" si="167"/>
        <v>-41972</v>
      </c>
    </row>
    <row r="625" spans="1:17" ht="12.75" customHeight="1" thickTop="1" x14ac:dyDescent="0.25">
      <c r="A625" s="795"/>
      <c r="D625" s="795"/>
      <c r="E625" s="840"/>
      <c r="I625" s="812"/>
      <c r="J625" s="1010"/>
      <c r="K625" s="1010"/>
      <c r="L625" s="1010"/>
    </row>
    <row r="626" spans="1:17" ht="12.75" customHeight="1" x14ac:dyDescent="0.25">
      <c r="A626" s="795"/>
      <c r="D626" s="834">
        <v>636038</v>
      </c>
      <c r="E626" s="987" t="s">
        <v>4073</v>
      </c>
      <c r="I626" s="812"/>
      <c r="J626" s="812"/>
      <c r="K626" s="812"/>
      <c r="L626" s="812"/>
      <c r="M626" s="812"/>
      <c r="N626" s="812"/>
      <c r="O626" s="812"/>
      <c r="P626" s="812"/>
    </row>
    <row r="627" spans="1:17" ht="12.75" customHeight="1" x14ac:dyDescent="0.25">
      <c r="A627" s="795"/>
      <c r="D627" s="834"/>
      <c r="E627" s="800" t="s">
        <v>554</v>
      </c>
      <c r="I627" s="812"/>
      <c r="J627" s="860"/>
      <c r="K627" s="860"/>
      <c r="L627" s="860"/>
    </row>
    <row r="628" spans="1:17" ht="12.75" customHeight="1" x14ac:dyDescent="0.25">
      <c r="A628" s="795"/>
      <c r="D628" s="831">
        <v>84310</v>
      </c>
      <c r="E628" s="840" t="s">
        <v>4116</v>
      </c>
      <c r="I628" s="812"/>
      <c r="J628" s="1010">
        <v>-14929</v>
      </c>
      <c r="K628" s="1010">
        <f>-K514</f>
        <v>-13990</v>
      </c>
      <c r="L628" s="1010">
        <f>-L514</f>
        <v>-13990</v>
      </c>
      <c r="M628" s="1010">
        <f>-M514</f>
        <v>-13990</v>
      </c>
      <c r="N628" s="1010">
        <f>-N514</f>
        <v>-13990</v>
      </c>
      <c r="O628" s="1010">
        <f>-O514</f>
        <v>-13990</v>
      </c>
    </row>
    <row r="629" spans="1:17" ht="12.75" customHeight="1" thickBot="1" x14ac:dyDescent="0.3">
      <c r="A629" s="795"/>
      <c r="D629" s="795"/>
      <c r="E629" s="840"/>
      <c r="I629" s="812"/>
      <c r="J629" s="1936">
        <v>-14929</v>
      </c>
      <c r="K629" s="1936">
        <f t="shared" ref="K629:M629" si="168">SUM(K628)</f>
        <v>-13990</v>
      </c>
      <c r="L629" s="1936">
        <f t="shared" si="168"/>
        <v>-13990</v>
      </c>
      <c r="M629" s="1936">
        <f t="shared" si="168"/>
        <v>-13990</v>
      </c>
      <c r="N629" s="1936">
        <f t="shared" ref="N629:O629" si="169">SUM(N628)</f>
        <v>-13990</v>
      </c>
      <c r="O629" s="1936">
        <f t="shared" si="169"/>
        <v>-13990</v>
      </c>
    </row>
    <row r="630" spans="1:17" ht="12.75" customHeight="1" thickTop="1" x14ac:dyDescent="0.25">
      <c r="A630" s="795"/>
      <c r="D630" s="795"/>
      <c r="E630" s="840"/>
      <c r="I630" s="812"/>
      <c r="J630" s="1010"/>
      <c r="K630" s="1010"/>
      <c r="L630" s="1010"/>
    </row>
    <row r="631" spans="1:17" ht="12.75" customHeight="1" x14ac:dyDescent="0.25">
      <c r="A631" s="795"/>
      <c r="D631" s="834">
        <v>636039</v>
      </c>
      <c r="E631" s="987" t="s">
        <v>4074</v>
      </c>
      <c r="I631" s="812"/>
      <c r="J631" s="812"/>
      <c r="K631" s="812"/>
      <c r="L631" s="812"/>
      <c r="M631" s="812"/>
      <c r="N631" s="812"/>
      <c r="O631" s="812"/>
      <c r="P631" s="812"/>
      <c r="Q631" s="812"/>
    </row>
    <row r="632" spans="1:17" ht="12.75" customHeight="1" x14ac:dyDescent="0.25">
      <c r="A632" s="795"/>
      <c r="D632" s="834"/>
      <c r="E632" s="800" t="s">
        <v>554</v>
      </c>
      <c r="I632" s="812"/>
      <c r="J632" s="860"/>
      <c r="K632" s="860"/>
      <c r="L632" s="860"/>
    </row>
    <row r="633" spans="1:17" ht="12.75" customHeight="1" x14ac:dyDescent="0.25">
      <c r="A633" s="795"/>
      <c r="D633" s="831">
        <v>84310</v>
      </c>
      <c r="E633" s="840" t="s">
        <v>4117</v>
      </c>
      <c r="I633" s="812"/>
      <c r="J633" s="1010">
        <v>-11943</v>
      </c>
      <c r="K633" s="1010">
        <v>0</v>
      </c>
      <c r="L633" s="1010">
        <v>0</v>
      </c>
      <c r="M633" s="791">
        <v>0</v>
      </c>
      <c r="N633" s="791">
        <v>0</v>
      </c>
      <c r="O633" s="791">
        <v>0</v>
      </c>
    </row>
    <row r="634" spans="1:17" ht="12.75" customHeight="1" thickBot="1" x14ac:dyDescent="0.3">
      <c r="A634" s="795"/>
      <c r="D634" s="795"/>
      <c r="E634" s="840"/>
      <c r="I634" s="812"/>
      <c r="J634" s="1936">
        <v>-11943</v>
      </c>
      <c r="K634" s="1936">
        <f t="shared" ref="K634:M634" si="170">SUM(K633)</f>
        <v>0</v>
      </c>
      <c r="L634" s="1936">
        <f t="shared" si="170"/>
        <v>0</v>
      </c>
      <c r="M634" s="1936">
        <f t="shared" si="170"/>
        <v>0</v>
      </c>
      <c r="N634" s="1936">
        <f t="shared" ref="N634:O634" si="171">SUM(N633)</f>
        <v>0</v>
      </c>
      <c r="O634" s="1936">
        <f t="shared" si="171"/>
        <v>0</v>
      </c>
    </row>
    <row r="635" spans="1:17" ht="12.75" customHeight="1" thickTop="1" x14ac:dyDescent="0.25">
      <c r="A635" s="795"/>
      <c r="D635" s="795"/>
      <c r="E635" s="840"/>
      <c r="I635" s="812"/>
      <c r="J635" s="1010"/>
      <c r="K635" s="1010"/>
      <c r="L635" s="1010"/>
    </row>
    <row r="636" spans="1:17" ht="12.75" customHeight="1" x14ac:dyDescent="0.25">
      <c r="A636" s="795"/>
      <c r="D636" s="834">
        <v>636040</v>
      </c>
      <c r="E636" s="987" t="s">
        <v>4075</v>
      </c>
      <c r="I636" s="812"/>
      <c r="J636" s="812"/>
      <c r="K636" s="812"/>
      <c r="L636" s="812"/>
      <c r="M636" s="812"/>
      <c r="N636" s="812"/>
      <c r="O636" s="812"/>
      <c r="P636" s="812"/>
    </row>
    <row r="637" spans="1:17" ht="12.75" customHeight="1" x14ac:dyDescent="0.25">
      <c r="A637" s="795"/>
      <c r="D637" s="834"/>
      <c r="E637" s="800" t="s">
        <v>554</v>
      </c>
      <c r="I637" s="812"/>
      <c r="J637" s="860"/>
      <c r="K637" s="860"/>
      <c r="L637" s="860"/>
    </row>
    <row r="638" spans="1:17" ht="12.75" customHeight="1" x14ac:dyDescent="0.25">
      <c r="A638" s="795"/>
      <c r="D638" s="831">
        <v>84310</v>
      </c>
      <c r="E638" s="840" t="s">
        <v>4118</v>
      </c>
      <c r="I638" s="812"/>
      <c r="J638" s="1010">
        <v>-17169</v>
      </c>
      <c r="K638" s="1010">
        <f>-K524</f>
        <v>-20987</v>
      </c>
      <c r="L638" s="1010">
        <f>-L524</f>
        <v>-20987</v>
      </c>
      <c r="M638" s="1010">
        <f>-M524</f>
        <v>-20987</v>
      </c>
      <c r="N638" s="1010">
        <f>-N524</f>
        <v>-20987</v>
      </c>
      <c r="O638" s="1010">
        <f>-O524</f>
        <v>-20987</v>
      </c>
    </row>
    <row r="639" spans="1:17" ht="12.75" customHeight="1" thickBot="1" x14ac:dyDescent="0.3">
      <c r="A639" s="795"/>
      <c r="D639" s="795"/>
      <c r="E639" s="840"/>
      <c r="I639" s="812"/>
      <c r="J639" s="1936">
        <v>-17169</v>
      </c>
      <c r="K639" s="1936">
        <f t="shared" ref="K639:M639" si="172">SUM(K638)</f>
        <v>-20987</v>
      </c>
      <c r="L639" s="1936">
        <f t="shared" si="172"/>
        <v>-20987</v>
      </c>
      <c r="M639" s="1936">
        <f t="shared" si="172"/>
        <v>-20987</v>
      </c>
      <c r="N639" s="1936">
        <f t="shared" ref="N639:O639" si="173">SUM(N638)</f>
        <v>-20987</v>
      </c>
      <c r="O639" s="1936">
        <f t="shared" si="173"/>
        <v>-20987</v>
      </c>
    </row>
    <row r="640" spans="1:17" ht="12.75" customHeight="1" thickTop="1" x14ac:dyDescent="0.25">
      <c r="A640" s="795"/>
      <c r="D640" s="795"/>
      <c r="E640" s="840"/>
      <c r="I640" s="812"/>
      <c r="J640" s="1010"/>
      <c r="K640" s="1010"/>
      <c r="L640" s="1010"/>
    </row>
  </sheetData>
  <mergeCells count="3">
    <mergeCell ref="D91:D92"/>
    <mergeCell ref="F91:F92"/>
    <mergeCell ref="G91:H92"/>
  </mergeCells>
  <hyperlinks>
    <hyperlink ref="A1" location="Inhoudsopgave!A1" display="Inhoudsopgave" xr:uid="{F1F465AE-6A52-418C-BC62-7C3FF66D3C0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7" manualBreakCount="7">
    <brk id="164" min="3" max="14" man="1"/>
    <brk id="238" min="3" max="14" man="1"/>
    <brk id="326" min="3" max="14" man="1"/>
    <brk id="395" min="3" max="14" man="1"/>
    <brk id="444" min="3" max="14" man="1"/>
    <brk id="511" min="3" max="14" man="1"/>
    <brk id="594" min="3" max="14" man="1"/>
  </rowBreaks>
  <ignoredErrors>
    <ignoredError sqref="M570:N570 L491:M491 L571:N571" formula="1"/>
    <ignoredError sqref="K576:L576 K581:L581 K586:L586 K578:L579 K583:L584 K588:L588" formulaRange="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BB384-92A0-46BE-B935-CF628DD4CE69}">
  <sheetPr codeName="Blad54"/>
  <dimension ref="A1"/>
  <sheetViews>
    <sheetView workbookViewId="0"/>
  </sheetViews>
  <sheetFormatPr defaultRowHeight="14.4" x14ac:dyDescent="0.3"/>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C6242-A4DE-4D5A-8226-7CB936150461}">
  <dimension ref="A1:W135"/>
  <sheetViews>
    <sheetView showGridLines="0" view="pageBreakPreview" topLeftCell="D94" zoomScaleNormal="100" zoomScaleSheetLayoutView="100" workbookViewId="0">
      <selection activeCell="V127" sqref="V127"/>
    </sheetView>
  </sheetViews>
  <sheetFormatPr defaultColWidth="9.109375" defaultRowHeight="12.75" customHeight="1" x14ac:dyDescent="0.3"/>
  <cols>
    <col min="1" max="1" width="9.109375" style="862"/>
    <col min="2" max="3" width="9.109375" style="863"/>
    <col min="4" max="4" width="9.6640625" style="864" customWidth="1"/>
    <col min="5" max="6" width="9.6640625" style="865" customWidth="1"/>
    <col min="7" max="9" width="12.6640625" style="863" customWidth="1"/>
    <col min="10" max="11" width="11.6640625" style="863" customWidth="1"/>
    <col min="12" max="15" width="11.6640625" customWidth="1"/>
    <col min="16" max="16" width="12.664062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3">
      <c r="D5" s="864" t="s">
        <v>713</v>
      </c>
      <c r="H5" s="863" t="s">
        <v>4143</v>
      </c>
      <c r="P5" s="863" t="s">
        <v>3334</v>
      </c>
      <c r="S5" s="495">
        <v>1.046</v>
      </c>
      <c r="T5" s="495">
        <f>Indexering!J7</f>
        <v>1.042</v>
      </c>
      <c r="U5" s="495">
        <f>Indexering!K7</f>
        <v>1.042</v>
      </c>
      <c r="V5" s="495">
        <f>Indexering!L7</f>
        <v>1.042</v>
      </c>
      <c r="W5" s="495">
        <f>Indexering!M7</f>
        <v>1.042</v>
      </c>
    </row>
    <row r="6" spans="1:23" ht="12.75" customHeight="1" x14ac:dyDescent="0.3">
      <c r="D6" s="864" t="s">
        <v>66</v>
      </c>
      <c r="H6" s="869" t="s">
        <v>4144</v>
      </c>
    </row>
    <row r="9" spans="1:23" ht="12.75" customHeight="1" x14ac:dyDescent="0.3">
      <c r="E9" s="870" t="s">
        <v>4145</v>
      </c>
    </row>
    <row r="43" spans="4:15" ht="12.75" customHeight="1" x14ac:dyDescent="0.3">
      <c r="D43" s="870" t="s">
        <v>507</v>
      </c>
      <c r="E43" s="864"/>
      <c r="F43" s="864"/>
    </row>
    <row r="44" spans="4:15" ht="12.75" customHeight="1" x14ac:dyDescent="0.3">
      <c r="E44" s="864"/>
      <c r="F44" s="864"/>
    </row>
    <row r="45" spans="4:15" ht="12.75" customHeight="1" x14ac:dyDescent="0.25">
      <c r="D45" s="2310" t="s">
        <v>508</v>
      </c>
      <c r="E45" s="2311"/>
      <c r="F45" s="2311"/>
      <c r="G45" s="2312"/>
      <c r="H45" s="2312"/>
      <c r="I45" s="2313"/>
      <c r="J45" s="2313">
        <v>2025</v>
      </c>
      <c r="K45" s="2313">
        <v>2026</v>
      </c>
      <c r="L45" s="2313">
        <v>2027</v>
      </c>
      <c r="M45" s="2313">
        <v>2028</v>
      </c>
      <c r="N45" s="2313">
        <v>2029</v>
      </c>
      <c r="O45" s="2313">
        <v>2030</v>
      </c>
    </row>
    <row r="46" spans="4:15" ht="12.75" customHeight="1" x14ac:dyDescent="0.25">
      <c r="D46" s="2314" t="str">
        <f>G69</f>
        <v>Centra voor jeugd en gezin</v>
      </c>
      <c r="E46" s="872"/>
      <c r="F46" s="872"/>
      <c r="G46" s="873"/>
      <c r="H46" s="873"/>
      <c r="I46" s="874"/>
      <c r="J46" s="875">
        <v>0</v>
      </c>
      <c r="K46" s="875">
        <f t="shared" ref="K46:O46" si="0">K72</f>
        <v>0</v>
      </c>
      <c r="L46" s="875">
        <f t="shared" si="0"/>
        <v>0</v>
      </c>
      <c r="M46" s="875">
        <f t="shared" si="0"/>
        <v>0</v>
      </c>
      <c r="N46" s="875">
        <f t="shared" si="0"/>
        <v>0</v>
      </c>
      <c r="O46" s="875">
        <f t="shared" si="0"/>
        <v>0</v>
      </c>
    </row>
    <row r="47" spans="4:15" ht="12.75" customHeight="1" x14ac:dyDescent="0.25">
      <c r="D47" s="2314" t="str">
        <f>G74</f>
        <v>Bijdrage jeugd regionaal</v>
      </c>
      <c r="E47" s="872"/>
      <c r="F47" s="872"/>
      <c r="G47" s="873"/>
      <c r="H47" s="873"/>
      <c r="I47" s="874"/>
      <c r="J47" s="875">
        <v>262500</v>
      </c>
      <c r="K47" s="875">
        <f t="shared" ref="K47:O47" si="1">K77</f>
        <v>270000</v>
      </c>
      <c r="L47" s="875">
        <f t="shared" si="1"/>
        <v>277100</v>
      </c>
      <c r="M47" s="875">
        <f t="shared" si="1"/>
        <v>284500</v>
      </c>
      <c r="N47" s="875">
        <f t="shared" si="1"/>
        <v>292200</v>
      </c>
      <c r="O47" s="875">
        <f t="shared" si="1"/>
        <v>300300</v>
      </c>
    </row>
    <row r="48" spans="4:15" ht="12.75" customHeight="1" x14ac:dyDescent="0.25">
      <c r="D48" s="2314" t="str">
        <f>G79</f>
        <v>Preventief jeugdbeleid</v>
      </c>
      <c r="E48" s="872"/>
      <c r="F48" s="872"/>
      <c r="G48" s="873"/>
      <c r="H48" s="873"/>
      <c r="I48" s="874"/>
      <c r="J48" s="875">
        <v>591300</v>
      </c>
      <c r="K48" s="875">
        <f t="shared" ref="K48:O48" si="2">K82</f>
        <v>605700</v>
      </c>
      <c r="L48" s="875">
        <f t="shared" si="2"/>
        <v>631200</v>
      </c>
      <c r="M48" s="875">
        <f t="shared" si="2"/>
        <v>657700</v>
      </c>
      <c r="N48" s="875">
        <f t="shared" si="2"/>
        <v>685300</v>
      </c>
      <c r="O48" s="875">
        <f t="shared" si="2"/>
        <v>714100</v>
      </c>
    </row>
    <row r="49" spans="4:18" ht="12.75" customHeight="1" x14ac:dyDescent="0.25">
      <c r="D49" s="2314" t="str">
        <f>G84</f>
        <v>Subsidie preventief jeugdbeleid Lumens</v>
      </c>
      <c r="E49" s="872"/>
      <c r="F49" s="872"/>
      <c r="G49" s="873"/>
      <c r="H49" s="873"/>
      <c r="I49" s="874"/>
      <c r="J49" s="875">
        <v>1012790</v>
      </c>
      <c r="K49" s="875">
        <f t="shared" ref="K49:O49" si="3">K87</f>
        <v>1227380</v>
      </c>
      <c r="L49" s="875">
        <f t="shared" si="3"/>
        <v>1279870</v>
      </c>
      <c r="M49" s="875">
        <f t="shared" si="3"/>
        <v>1150230</v>
      </c>
      <c r="N49" s="875">
        <f t="shared" si="3"/>
        <v>1198540</v>
      </c>
      <c r="O49" s="875">
        <f t="shared" si="3"/>
        <v>1248880</v>
      </c>
    </row>
    <row r="50" spans="4:18" ht="12.75" customHeight="1" x14ac:dyDescent="0.25">
      <c r="D50" s="876" t="str">
        <f>G89</f>
        <v>Directe toerekening jeugd toegang/1e lijns</v>
      </c>
      <c r="E50" s="877"/>
      <c r="F50" s="878"/>
      <c r="I50" s="879"/>
      <c r="J50" s="2315">
        <v>0</v>
      </c>
      <c r="K50" s="2315">
        <f t="shared" ref="K50:O50" si="4">K92</f>
        <v>102000</v>
      </c>
      <c r="L50" s="2315">
        <f t="shared" si="4"/>
        <v>204142</v>
      </c>
      <c r="M50" s="2315">
        <f t="shared" si="4"/>
        <v>208837</v>
      </c>
      <c r="N50" s="2315">
        <f t="shared" si="4"/>
        <v>213640</v>
      </c>
      <c r="O50" s="2315">
        <f t="shared" si="4"/>
        <v>218554</v>
      </c>
    </row>
    <row r="51" spans="4:18" ht="12.75" customHeight="1" x14ac:dyDescent="0.25">
      <c r="D51" s="876"/>
      <c r="E51" s="877"/>
      <c r="F51" s="878"/>
      <c r="I51" s="879"/>
      <c r="J51" s="274"/>
      <c r="K51" s="274"/>
      <c r="L51" s="274"/>
      <c r="M51" s="274"/>
      <c r="N51" s="274"/>
      <c r="O51" s="274"/>
    </row>
    <row r="52" spans="4:18" ht="12.75" customHeight="1" x14ac:dyDescent="0.25">
      <c r="D52" s="876"/>
      <c r="E52" s="877"/>
      <c r="F52" s="878"/>
      <c r="I52" s="879"/>
      <c r="J52" s="275"/>
      <c r="K52" s="275"/>
      <c r="L52" s="275"/>
      <c r="M52" s="275"/>
      <c r="N52" s="275"/>
      <c r="O52" s="275"/>
    </row>
    <row r="53" spans="4:18" ht="12.75" customHeight="1" x14ac:dyDescent="0.25">
      <c r="D53" s="2316" t="s">
        <v>525</v>
      </c>
      <c r="E53" s="2317"/>
      <c r="F53" s="2318"/>
      <c r="G53" s="2319"/>
      <c r="H53" s="2319"/>
      <c r="I53" s="2320"/>
      <c r="J53" s="2321">
        <v>1866590</v>
      </c>
      <c r="K53" s="2321">
        <f>SUM(K46:K52)</f>
        <v>2205080</v>
      </c>
      <c r="L53" s="2321">
        <f>SUM(L46:L52)</f>
        <v>2392312</v>
      </c>
      <c r="M53" s="2321">
        <f>SUM(M46:M52)</f>
        <v>2301267</v>
      </c>
      <c r="N53" s="2321">
        <f>SUM(N46:N52)</f>
        <v>2389680</v>
      </c>
      <c r="O53" s="2321">
        <f>SUM(O46:O52)</f>
        <v>2481834</v>
      </c>
    </row>
    <row r="54" spans="4:18" ht="12.75" customHeight="1" x14ac:dyDescent="0.25">
      <c r="E54" s="877"/>
      <c r="F54" s="878"/>
      <c r="L54" s="863"/>
      <c r="M54" s="863"/>
      <c r="N54" s="863"/>
      <c r="O54" s="863"/>
      <c r="R54" s="885"/>
    </row>
    <row r="55" spans="4:18" ht="12.75" customHeight="1" x14ac:dyDescent="0.25">
      <c r="D55" s="2310" t="s">
        <v>526</v>
      </c>
      <c r="E55" s="2311"/>
      <c r="F55" s="2311"/>
      <c r="G55" s="2312"/>
      <c r="H55" s="2312"/>
      <c r="I55" s="2313"/>
      <c r="J55" s="2313">
        <v>2025</v>
      </c>
      <c r="K55" s="2313">
        <v>2026</v>
      </c>
      <c r="L55" s="2313">
        <v>2027</v>
      </c>
      <c r="M55" s="2313">
        <v>2028</v>
      </c>
      <c r="N55" s="2313">
        <v>2029</v>
      </c>
      <c r="O55" s="2313">
        <v>2030</v>
      </c>
    </row>
    <row r="56" spans="4:18" ht="12.75" customHeight="1" x14ac:dyDescent="0.25">
      <c r="D56" s="876"/>
      <c r="E56" s="877"/>
      <c r="F56" s="878"/>
      <c r="I56" s="879"/>
      <c r="J56" s="875"/>
      <c r="K56" s="875"/>
      <c r="L56" s="875"/>
      <c r="M56" s="875"/>
      <c r="N56" s="875"/>
      <c r="O56" s="875"/>
    </row>
    <row r="57" spans="4:18" ht="12.75" customHeight="1" x14ac:dyDescent="0.25">
      <c r="D57" s="876"/>
      <c r="E57" s="877"/>
      <c r="F57" s="878"/>
      <c r="I57" s="879"/>
      <c r="J57" s="880"/>
      <c r="K57" s="880"/>
      <c r="L57" s="880"/>
      <c r="M57" s="880"/>
      <c r="N57" s="880"/>
      <c r="O57" s="880"/>
    </row>
    <row r="58" spans="4:18" ht="12.75" customHeight="1" x14ac:dyDescent="0.25">
      <c r="D58" s="881"/>
      <c r="E58" s="882"/>
      <c r="F58" s="883"/>
      <c r="G58" s="884"/>
      <c r="H58" s="884"/>
      <c r="I58" s="879"/>
      <c r="J58" s="880"/>
      <c r="K58" s="880"/>
      <c r="L58" s="880"/>
      <c r="M58" s="880"/>
      <c r="N58" s="880"/>
      <c r="O58" s="880"/>
    </row>
    <row r="59" spans="4:18" ht="12.75" customHeight="1" x14ac:dyDescent="0.25">
      <c r="D59" s="2316" t="s">
        <v>328</v>
      </c>
      <c r="E59" s="2317"/>
      <c r="F59" s="2318"/>
      <c r="G59" s="2319"/>
      <c r="H59" s="2319"/>
      <c r="I59" s="2320"/>
      <c r="J59" s="2321">
        <v>0</v>
      </c>
      <c r="K59" s="2321">
        <f t="shared" ref="K59:O59" si="5">SUM(K56:K58)</f>
        <v>0</v>
      </c>
      <c r="L59" s="2321">
        <f t="shared" si="5"/>
        <v>0</v>
      </c>
      <c r="M59" s="2321">
        <f t="shared" si="5"/>
        <v>0</v>
      </c>
      <c r="N59" s="2321">
        <f t="shared" si="5"/>
        <v>0</v>
      </c>
      <c r="O59" s="2321">
        <f t="shared" si="5"/>
        <v>0</v>
      </c>
    </row>
    <row r="60" spans="4:18" ht="12.75" customHeight="1" x14ac:dyDescent="0.25">
      <c r="E60" s="877"/>
      <c r="F60" s="878"/>
      <c r="J60" s="885"/>
      <c r="K60" s="885"/>
      <c r="L60" s="885"/>
      <c r="M60" s="885"/>
      <c r="N60" s="885"/>
      <c r="O60" s="885"/>
    </row>
    <row r="61" spans="4:18" ht="12.75" customHeight="1" x14ac:dyDescent="0.3">
      <c r="D61" s="2322" t="s">
        <v>976</v>
      </c>
      <c r="E61" s="2323"/>
      <c r="F61" s="2323"/>
      <c r="G61" s="2319"/>
      <c r="H61" s="2319"/>
      <c r="I61" s="2319"/>
      <c r="J61" s="2324">
        <v>1866590</v>
      </c>
      <c r="K61" s="2324">
        <f>K53+K59</f>
        <v>2205080</v>
      </c>
      <c r="L61" s="2324">
        <f>L53+L59</f>
        <v>2392312</v>
      </c>
      <c r="M61" s="2324">
        <f>M53+M59</f>
        <v>2301267</v>
      </c>
      <c r="N61" s="2324">
        <f>N53+N59</f>
        <v>2389680</v>
      </c>
      <c r="O61" s="2324">
        <f>O53+O59</f>
        <v>2481834</v>
      </c>
    </row>
    <row r="62" spans="4:18" ht="12.75" customHeight="1" x14ac:dyDescent="0.3">
      <c r="E62" s="877"/>
      <c r="F62" s="878"/>
      <c r="J62" s="885"/>
      <c r="K62" s="885"/>
    </row>
    <row r="63" spans="4:18" ht="12.75" customHeight="1" x14ac:dyDescent="0.3">
      <c r="E63" s="864"/>
      <c r="F63" s="864"/>
      <c r="J63" s="885"/>
      <c r="K63" s="885"/>
    </row>
    <row r="64" spans="4:18" ht="12.75" customHeight="1" x14ac:dyDescent="0.3">
      <c r="D64" s="870" t="s">
        <v>528</v>
      </c>
      <c r="E64" s="886"/>
      <c r="F64" s="886"/>
      <c r="I64" s="885"/>
      <c r="J64" s="885"/>
      <c r="K64" s="885"/>
    </row>
    <row r="66" spans="1:15" ht="12.75" customHeight="1" x14ac:dyDescent="0.25">
      <c r="D66" s="2585" t="s">
        <v>531</v>
      </c>
      <c r="E66" s="2325" t="s">
        <v>530</v>
      </c>
      <c r="F66" s="2585"/>
      <c r="G66" s="2587" t="s">
        <v>206</v>
      </c>
      <c r="H66" s="2588"/>
      <c r="I66" s="2326"/>
      <c r="J66" s="2320"/>
      <c r="K66" s="2320"/>
      <c r="L66" s="2320"/>
      <c r="M66" s="2320"/>
      <c r="N66" s="2320"/>
      <c r="O66" s="2320"/>
    </row>
    <row r="67" spans="1:15" ht="12.75" customHeight="1" x14ac:dyDescent="0.25">
      <c r="D67" s="2586"/>
      <c r="E67" s="887" t="s">
        <v>532</v>
      </c>
      <c r="F67" s="2586"/>
      <c r="G67" s="2589"/>
      <c r="H67" s="2590"/>
      <c r="I67" s="276"/>
      <c r="J67" s="2327">
        <v>2025</v>
      </c>
      <c r="K67" s="2327">
        <v>2026</v>
      </c>
      <c r="L67" s="2327">
        <v>2027</v>
      </c>
      <c r="M67" s="2327">
        <v>2028</v>
      </c>
      <c r="N67" s="2327">
        <v>2029</v>
      </c>
      <c r="O67" s="2327">
        <v>2030</v>
      </c>
    </row>
    <row r="68" spans="1:15" ht="12.75" customHeight="1" x14ac:dyDescent="0.25">
      <c r="D68" s="2328"/>
      <c r="E68" s="888"/>
      <c r="F68" s="888"/>
      <c r="G68" s="2329"/>
      <c r="H68" s="889"/>
      <c r="I68" s="2326"/>
      <c r="J68" s="2328"/>
      <c r="K68" s="2328"/>
      <c r="L68" s="2328"/>
      <c r="M68" s="2328"/>
      <c r="N68" s="2328"/>
      <c r="O68" s="2328"/>
    </row>
    <row r="69" spans="1:15" ht="12.75" customHeight="1" x14ac:dyDescent="0.25">
      <c r="A69" s="896"/>
      <c r="D69" s="2330">
        <f>D100</f>
        <v>676001</v>
      </c>
      <c r="E69" s="2331"/>
      <c r="F69" s="2331"/>
      <c r="G69" s="2332" t="str">
        <f>E100</f>
        <v>Centra voor jeugd en gezin</v>
      </c>
      <c r="I69" s="880"/>
      <c r="J69" s="875"/>
      <c r="K69" s="875"/>
      <c r="L69" s="875"/>
      <c r="M69" s="875"/>
      <c r="N69" s="875"/>
      <c r="O69" s="875"/>
    </row>
    <row r="70" spans="1:15" ht="12.75" customHeight="1" x14ac:dyDescent="0.25">
      <c r="A70" s="896"/>
      <c r="D70" s="2331"/>
      <c r="E70" s="2331"/>
      <c r="F70" s="2331"/>
      <c r="G70" s="894" t="s">
        <v>533</v>
      </c>
      <c r="I70" s="880"/>
      <c r="J70" s="875"/>
      <c r="K70" s="875"/>
      <c r="L70" s="875"/>
      <c r="M70" s="875"/>
      <c r="N70" s="875"/>
      <c r="O70" s="875"/>
    </row>
    <row r="71" spans="1:15" ht="12.75" customHeight="1" x14ac:dyDescent="0.25">
      <c r="A71" s="862">
        <f>D69</f>
        <v>676001</v>
      </c>
      <c r="B71" s="863" t="str">
        <f>G69</f>
        <v>Centra voor jeugd en gezin</v>
      </c>
      <c r="D71" s="2331">
        <f>D102</f>
        <v>44380</v>
      </c>
      <c r="E71" s="2331"/>
      <c r="F71" s="2331"/>
      <c r="G71" s="895" t="s">
        <v>4055</v>
      </c>
      <c r="I71" s="880"/>
      <c r="J71" s="875">
        <v>0</v>
      </c>
      <c r="K71" s="875">
        <f t="shared" ref="K71:O71" si="6">K103</f>
        <v>0</v>
      </c>
      <c r="L71" s="875">
        <f t="shared" si="6"/>
        <v>0</v>
      </c>
      <c r="M71" s="875">
        <f t="shared" si="6"/>
        <v>0</v>
      </c>
      <c r="N71" s="875">
        <f t="shared" si="6"/>
        <v>0</v>
      </c>
      <c r="O71" s="875">
        <f t="shared" si="6"/>
        <v>0</v>
      </c>
    </row>
    <row r="72" spans="1:15" ht="12.75" customHeight="1" thickBot="1" x14ac:dyDescent="0.3">
      <c r="A72" s="896"/>
      <c r="D72" s="2331"/>
      <c r="E72" s="2331"/>
      <c r="F72" s="2331"/>
      <c r="G72" s="895" t="s">
        <v>536</v>
      </c>
      <c r="I72" s="880"/>
      <c r="J72" s="2333">
        <v>0</v>
      </c>
      <c r="K72" s="2333">
        <f t="shared" ref="K72:O72" si="7">SUM(K70:K71)</f>
        <v>0</v>
      </c>
      <c r="L72" s="2333">
        <f t="shared" si="7"/>
        <v>0</v>
      </c>
      <c r="M72" s="2333">
        <f t="shared" si="7"/>
        <v>0</v>
      </c>
      <c r="N72" s="2333">
        <f t="shared" si="7"/>
        <v>0</v>
      </c>
      <c r="O72" s="2333">
        <f t="shared" si="7"/>
        <v>0</v>
      </c>
    </row>
    <row r="73" spans="1:15" ht="12.75" customHeight="1" thickTop="1" x14ac:dyDescent="0.25">
      <c r="A73" s="896"/>
      <c r="D73" s="2331"/>
      <c r="E73" s="2331"/>
      <c r="F73" s="2331"/>
      <c r="G73" s="895"/>
      <c r="I73" s="880"/>
      <c r="J73" s="875"/>
      <c r="K73" s="875"/>
      <c r="L73" s="875"/>
      <c r="M73" s="875"/>
      <c r="N73" s="875"/>
      <c r="O73" s="875"/>
    </row>
    <row r="74" spans="1:15" ht="12.75" customHeight="1" x14ac:dyDescent="0.25">
      <c r="A74" s="896"/>
      <c r="D74" s="2330">
        <f>D105</f>
        <v>676002</v>
      </c>
      <c r="E74" s="2331"/>
      <c r="F74" s="2331"/>
      <c r="G74" s="2332" t="str">
        <f>E105</f>
        <v>Bijdrage jeugd regionaal</v>
      </c>
      <c r="I74" s="880"/>
      <c r="J74" s="875"/>
      <c r="K74" s="875"/>
      <c r="L74" s="875"/>
      <c r="M74" s="875"/>
      <c r="N74" s="875"/>
      <c r="O74" s="875"/>
    </row>
    <row r="75" spans="1:15" ht="12.75" customHeight="1" x14ac:dyDescent="0.25">
      <c r="A75" s="896"/>
      <c r="D75" s="2331"/>
      <c r="E75" s="2331"/>
      <c r="F75" s="2331"/>
      <c r="G75" s="894" t="s">
        <v>533</v>
      </c>
      <c r="I75" s="880"/>
      <c r="J75" s="875"/>
      <c r="K75" s="875"/>
      <c r="L75" s="875"/>
      <c r="M75" s="875"/>
      <c r="N75" s="875"/>
      <c r="O75" s="875"/>
    </row>
    <row r="76" spans="1:15" ht="12.75" customHeight="1" x14ac:dyDescent="0.25">
      <c r="A76" s="862">
        <f>D74</f>
        <v>676002</v>
      </c>
      <c r="B76" s="863" t="str">
        <f>G74</f>
        <v>Bijdrage jeugd regionaal</v>
      </c>
      <c r="D76" s="2331">
        <f>D107</f>
        <v>44380</v>
      </c>
      <c r="E76" s="2331"/>
      <c r="F76" s="2331"/>
      <c r="G76" s="895" t="s">
        <v>4055</v>
      </c>
      <c r="I76" s="880"/>
      <c r="J76" s="875">
        <v>262500</v>
      </c>
      <c r="K76" s="875">
        <f t="shared" ref="K76:O76" si="8">K110</f>
        <v>270000</v>
      </c>
      <c r="L76" s="875">
        <f t="shared" si="8"/>
        <v>277100</v>
      </c>
      <c r="M76" s="875">
        <f t="shared" si="8"/>
        <v>284500</v>
      </c>
      <c r="N76" s="875">
        <f t="shared" si="8"/>
        <v>292200</v>
      </c>
      <c r="O76" s="875">
        <f t="shared" si="8"/>
        <v>300300</v>
      </c>
    </row>
    <row r="77" spans="1:15" ht="12.75" customHeight="1" thickBot="1" x14ac:dyDescent="0.3">
      <c r="A77" s="896"/>
      <c r="D77" s="2331"/>
      <c r="E77" s="2331"/>
      <c r="F77" s="2331"/>
      <c r="G77" s="895" t="s">
        <v>536</v>
      </c>
      <c r="I77" s="880"/>
      <c r="J77" s="2333">
        <v>262500</v>
      </c>
      <c r="K77" s="2333">
        <f t="shared" ref="K77:O77" si="9">SUM(K75:K76)</f>
        <v>270000</v>
      </c>
      <c r="L77" s="2333">
        <f t="shared" si="9"/>
        <v>277100</v>
      </c>
      <c r="M77" s="2333">
        <f t="shared" si="9"/>
        <v>284500</v>
      </c>
      <c r="N77" s="2333">
        <f t="shared" si="9"/>
        <v>292200</v>
      </c>
      <c r="O77" s="2333">
        <f t="shared" si="9"/>
        <v>300300</v>
      </c>
    </row>
    <row r="78" spans="1:15" ht="12.75" customHeight="1" thickTop="1" x14ac:dyDescent="0.25">
      <c r="A78" s="896"/>
      <c r="D78" s="2331"/>
      <c r="E78" s="2331"/>
      <c r="F78" s="2331"/>
      <c r="G78" s="895"/>
      <c r="I78" s="880"/>
      <c r="J78" s="875"/>
      <c r="K78" s="875"/>
      <c r="L78" s="875"/>
      <c r="M78" s="875"/>
      <c r="N78" s="875"/>
      <c r="O78" s="875"/>
    </row>
    <row r="79" spans="1:15" ht="12.75" customHeight="1" x14ac:dyDescent="0.25">
      <c r="A79" s="896"/>
      <c r="D79" s="2330">
        <f>D112</f>
        <v>676003</v>
      </c>
      <c r="E79" s="2331"/>
      <c r="F79" s="2331"/>
      <c r="G79" s="2332" t="str">
        <f>E112</f>
        <v>Preventief jeugdbeleid</v>
      </c>
      <c r="I79" s="880"/>
      <c r="J79" s="875"/>
      <c r="K79" s="875"/>
      <c r="L79" s="875"/>
      <c r="M79" s="875"/>
      <c r="N79" s="875"/>
      <c r="O79" s="875"/>
    </row>
    <row r="80" spans="1:15" ht="12.75" customHeight="1" x14ac:dyDescent="0.25">
      <c r="A80" s="896"/>
      <c r="D80" s="2331"/>
      <c r="E80" s="2331"/>
      <c r="F80" s="2331"/>
      <c r="G80" s="894" t="s">
        <v>533</v>
      </c>
      <c r="I80" s="880"/>
      <c r="J80" s="875"/>
      <c r="K80" s="875"/>
      <c r="L80" s="875"/>
      <c r="M80" s="875"/>
      <c r="N80" s="875"/>
      <c r="O80" s="875"/>
    </row>
    <row r="81" spans="1:15" ht="12.75" customHeight="1" x14ac:dyDescent="0.25">
      <c r="A81" s="862">
        <f>D79</f>
        <v>676003</v>
      </c>
      <c r="B81" s="863" t="str">
        <f>G79</f>
        <v>Preventief jeugdbeleid</v>
      </c>
      <c r="D81" s="2331">
        <f>D114</f>
        <v>44380</v>
      </c>
      <c r="E81" s="2331"/>
      <c r="F81" s="2331"/>
      <c r="G81" s="895" t="s">
        <v>4055</v>
      </c>
      <c r="I81" s="880"/>
      <c r="J81" s="875">
        <v>591300</v>
      </c>
      <c r="K81" s="875">
        <f t="shared" ref="K81:O81" si="10">K120</f>
        <v>605700</v>
      </c>
      <c r="L81" s="875">
        <f t="shared" si="10"/>
        <v>631200</v>
      </c>
      <c r="M81" s="875">
        <f t="shared" si="10"/>
        <v>657700</v>
      </c>
      <c r="N81" s="875">
        <f t="shared" si="10"/>
        <v>685300</v>
      </c>
      <c r="O81" s="875">
        <f t="shared" si="10"/>
        <v>714100</v>
      </c>
    </row>
    <row r="82" spans="1:15" ht="12.75" customHeight="1" thickBot="1" x14ac:dyDescent="0.3">
      <c r="A82" s="896"/>
      <c r="D82" s="2331"/>
      <c r="E82" s="2331"/>
      <c r="F82" s="2331"/>
      <c r="G82" s="895" t="s">
        <v>536</v>
      </c>
      <c r="I82" s="880"/>
      <c r="J82" s="2333">
        <v>591300</v>
      </c>
      <c r="K82" s="2333">
        <f t="shared" ref="K82:O82" si="11">SUM(K80:K81)</f>
        <v>605700</v>
      </c>
      <c r="L82" s="2333">
        <f t="shared" si="11"/>
        <v>631200</v>
      </c>
      <c r="M82" s="2333">
        <f t="shared" si="11"/>
        <v>657700</v>
      </c>
      <c r="N82" s="2333">
        <f t="shared" si="11"/>
        <v>685300</v>
      </c>
      <c r="O82" s="2333">
        <f t="shared" si="11"/>
        <v>714100</v>
      </c>
    </row>
    <row r="83" spans="1:15" ht="12.75" customHeight="1" thickTop="1" x14ac:dyDescent="0.25">
      <c r="A83" s="896"/>
      <c r="D83" s="2331"/>
      <c r="E83" s="2331"/>
      <c r="F83" s="2331"/>
      <c r="G83" s="895"/>
      <c r="I83" s="880"/>
      <c r="J83" s="875"/>
      <c r="K83" s="875"/>
      <c r="L83" s="875"/>
      <c r="M83" s="875"/>
      <c r="N83" s="875"/>
      <c r="O83" s="875"/>
    </row>
    <row r="84" spans="1:15" ht="12.75" customHeight="1" x14ac:dyDescent="0.25">
      <c r="A84" s="896"/>
      <c r="D84" s="2330">
        <f>D122</f>
        <v>676004</v>
      </c>
      <c r="E84" s="2331"/>
      <c r="F84" s="2331"/>
      <c r="G84" s="2332" t="str">
        <f>E122</f>
        <v>Subsidie preventief jeugdbeleid Lumens</v>
      </c>
      <c r="I84" s="880"/>
      <c r="J84" s="875"/>
      <c r="K84" s="875"/>
      <c r="L84" s="875"/>
      <c r="M84" s="875"/>
      <c r="N84" s="875"/>
      <c r="O84" s="875"/>
    </row>
    <row r="85" spans="1:15" ht="12.75" customHeight="1" x14ac:dyDescent="0.25">
      <c r="A85" s="896"/>
      <c r="D85" s="2331"/>
      <c r="E85" s="2331"/>
      <c r="F85" s="2331"/>
      <c r="G85" s="894" t="s">
        <v>533</v>
      </c>
      <c r="I85" s="880"/>
      <c r="J85" s="875"/>
      <c r="K85" s="875"/>
      <c r="L85" s="875"/>
      <c r="M85" s="875"/>
      <c r="N85" s="875"/>
      <c r="O85" s="875"/>
    </row>
    <row r="86" spans="1:15" ht="12.75" customHeight="1" x14ac:dyDescent="0.25">
      <c r="A86" s="862">
        <f>D84</f>
        <v>676004</v>
      </c>
      <c r="B86" s="863" t="str">
        <f>G84</f>
        <v>Subsidie preventief jeugdbeleid Lumens</v>
      </c>
      <c r="D86" s="2331">
        <f>D124</f>
        <v>44380</v>
      </c>
      <c r="E86" s="2331"/>
      <c r="F86" s="2331"/>
      <c r="G86" s="895" t="s">
        <v>4055</v>
      </c>
      <c r="I86" s="880"/>
      <c r="J86" s="875">
        <v>1012790</v>
      </c>
      <c r="K86" s="875">
        <f t="shared" ref="K86:O86" si="12">K126</f>
        <v>1227380</v>
      </c>
      <c r="L86" s="875">
        <f t="shared" si="12"/>
        <v>1279870</v>
      </c>
      <c r="M86" s="875">
        <f t="shared" si="12"/>
        <v>1150230</v>
      </c>
      <c r="N86" s="875">
        <f t="shared" si="12"/>
        <v>1198540</v>
      </c>
      <c r="O86" s="875">
        <f t="shared" si="12"/>
        <v>1248880</v>
      </c>
    </row>
    <row r="87" spans="1:15" ht="12.75" customHeight="1" thickBot="1" x14ac:dyDescent="0.3">
      <c r="A87" s="896"/>
      <c r="D87" s="2331"/>
      <c r="E87" s="2331"/>
      <c r="F87" s="2331"/>
      <c r="G87" s="895" t="s">
        <v>536</v>
      </c>
      <c r="I87" s="880"/>
      <c r="J87" s="2333">
        <v>1012790</v>
      </c>
      <c r="K87" s="2333">
        <f t="shared" ref="K87:O87" si="13">SUM(K85:K86)</f>
        <v>1227380</v>
      </c>
      <c r="L87" s="2333">
        <f t="shared" si="13"/>
        <v>1279870</v>
      </c>
      <c r="M87" s="2333">
        <f t="shared" si="13"/>
        <v>1150230</v>
      </c>
      <c r="N87" s="2333">
        <f t="shared" si="13"/>
        <v>1198540</v>
      </c>
      <c r="O87" s="2333">
        <f t="shared" si="13"/>
        <v>1248880</v>
      </c>
    </row>
    <row r="88" spans="1:15" ht="12.75" customHeight="1" thickTop="1" x14ac:dyDescent="0.25">
      <c r="A88" s="896"/>
      <c r="D88" s="2331"/>
      <c r="E88" s="2331"/>
      <c r="F88" s="2331"/>
      <c r="G88" s="895"/>
      <c r="I88" s="880"/>
      <c r="J88" s="875"/>
      <c r="K88" s="875"/>
      <c r="L88" s="875"/>
      <c r="M88" s="875"/>
      <c r="N88" s="875"/>
      <c r="O88" s="875"/>
    </row>
    <row r="89" spans="1:15" ht="12.75" customHeight="1" x14ac:dyDescent="0.25">
      <c r="A89" s="2334"/>
      <c r="D89" s="890">
        <f>D128</f>
        <v>676901</v>
      </c>
      <c r="E89" s="891"/>
      <c r="F89" s="891"/>
      <c r="G89" s="892" t="str">
        <f>E128</f>
        <v>Directe toerekening jeugd toegang/1e lijns</v>
      </c>
      <c r="I89" s="880"/>
      <c r="J89" s="875"/>
      <c r="K89" s="875"/>
      <c r="L89" s="875"/>
      <c r="M89" s="875"/>
      <c r="N89" s="875"/>
      <c r="O89" s="875"/>
    </row>
    <row r="90" spans="1:15" ht="12.75" customHeight="1" x14ac:dyDescent="0.25">
      <c r="D90" s="2330"/>
      <c r="E90" s="2335"/>
      <c r="F90" s="2335"/>
      <c r="G90" s="894" t="s">
        <v>533</v>
      </c>
      <c r="I90" s="880"/>
      <c r="J90" s="875"/>
      <c r="K90" s="875"/>
      <c r="L90" s="875"/>
      <c r="M90" s="875"/>
      <c r="N90" s="875"/>
      <c r="O90" s="875"/>
    </row>
    <row r="91" spans="1:15" ht="12.75" customHeight="1" x14ac:dyDescent="0.25">
      <c r="A91" s="862">
        <f>D89</f>
        <v>676901</v>
      </c>
      <c r="B91" s="863" t="str">
        <f>G89</f>
        <v>Directe toerekening jeugd toegang/1e lijns</v>
      </c>
      <c r="D91" s="2331">
        <f>D130</f>
        <v>41100</v>
      </c>
      <c r="E91" s="2331"/>
      <c r="F91" s="893"/>
      <c r="G91" s="895" t="s">
        <v>700</v>
      </c>
      <c r="I91" s="880"/>
      <c r="J91" s="875">
        <v>0</v>
      </c>
      <c r="K91" s="875">
        <f t="shared" ref="K91:O91" si="14">K132</f>
        <v>102000</v>
      </c>
      <c r="L91" s="875">
        <f t="shared" si="14"/>
        <v>204142</v>
      </c>
      <c r="M91" s="875">
        <f t="shared" si="14"/>
        <v>208837</v>
      </c>
      <c r="N91" s="875">
        <f t="shared" si="14"/>
        <v>213640</v>
      </c>
      <c r="O91" s="875">
        <f t="shared" si="14"/>
        <v>218554</v>
      </c>
    </row>
    <row r="92" spans="1:15" ht="12.75" customHeight="1" thickBot="1" x14ac:dyDescent="0.3">
      <c r="A92" s="2336"/>
      <c r="D92" s="893"/>
      <c r="E92" s="893"/>
      <c r="F92" s="893"/>
      <c r="G92" s="895" t="s">
        <v>536</v>
      </c>
      <c r="I92" s="880"/>
      <c r="J92" s="2333">
        <v>0</v>
      </c>
      <c r="K92" s="2333">
        <f>SUM(K91:K91)</f>
        <v>102000</v>
      </c>
      <c r="L92" s="2333">
        <f>SUM(L91:L91)</f>
        <v>204142</v>
      </c>
      <c r="M92" s="2333">
        <f>SUM(M91:M91)</f>
        <v>208837</v>
      </c>
      <c r="N92" s="2333">
        <f>SUM(N91:N91)</f>
        <v>213640</v>
      </c>
      <c r="O92" s="2333">
        <f>SUM(O91:O91)</f>
        <v>218554</v>
      </c>
    </row>
    <row r="93" spans="1:15" ht="12.75" customHeight="1" thickTop="1" x14ac:dyDescent="0.25">
      <c r="D93" s="2331"/>
      <c r="E93" s="2331"/>
      <c r="F93" s="2331"/>
      <c r="G93" s="895"/>
      <c r="I93" s="880"/>
      <c r="J93" s="875"/>
      <c r="K93" s="875"/>
      <c r="L93" s="875"/>
      <c r="M93" s="875"/>
      <c r="N93" s="875"/>
      <c r="O93" s="875"/>
    </row>
    <row r="94" spans="1:15" ht="12.75" customHeight="1" x14ac:dyDescent="0.25">
      <c r="D94" s="893"/>
      <c r="E94" s="893"/>
      <c r="F94" s="893"/>
      <c r="G94" s="895"/>
      <c r="I94" s="880"/>
      <c r="J94" s="875"/>
      <c r="K94" s="875"/>
      <c r="L94" s="875"/>
      <c r="M94" s="875"/>
      <c r="N94" s="875"/>
      <c r="O94" s="875"/>
    </row>
    <row r="95" spans="1:15" ht="12.75" customHeight="1" x14ac:dyDescent="0.25">
      <c r="D95" s="2337"/>
      <c r="E95" s="2337"/>
      <c r="F95" s="2337"/>
      <c r="G95" s="899"/>
      <c r="H95" s="884"/>
      <c r="I95" s="900"/>
      <c r="J95" s="901"/>
      <c r="K95" s="901"/>
      <c r="L95" s="901"/>
      <c r="M95" s="901"/>
      <c r="N95" s="901"/>
      <c r="O95" s="901"/>
    </row>
    <row r="96" spans="1:15" ht="12.75" customHeight="1" x14ac:dyDescent="0.25">
      <c r="D96" s="865"/>
      <c r="I96" s="885"/>
      <c r="J96" s="885"/>
      <c r="K96" s="885"/>
      <c r="L96" s="885"/>
      <c r="M96" s="885"/>
      <c r="N96" s="885"/>
      <c r="O96" s="885"/>
    </row>
    <row r="97" spans="1:16" ht="12.75" customHeight="1" x14ac:dyDescent="0.3">
      <c r="D97" s="865"/>
      <c r="I97" s="885"/>
      <c r="J97" s="885"/>
      <c r="K97" s="885"/>
    </row>
    <row r="98" spans="1:16" ht="12.75" customHeight="1" x14ac:dyDescent="0.3">
      <c r="D98" s="902" t="s">
        <v>561</v>
      </c>
      <c r="E98" s="903"/>
      <c r="F98" s="903"/>
      <c r="H98" s="885"/>
    </row>
    <row r="99" spans="1:16" ht="12.75" customHeight="1" x14ac:dyDescent="0.3">
      <c r="D99" s="903"/>
      <c r="E99" s="903"/>
      <c r="F99" s="903"/>
      <c r="G99" s="868"/>
      <c r="H99" s="885"/>
    </row>
    <row r="100" spans="1:16" ht="12.75" customHeight="1" x14ac:dyDescent="0.25">
      <c r="A100" s="904"/>
      <c r="D100" s="905">
        <v>676001</v>
      </c>
      <c r="E100" s="2338" t="s">
        <v>4146</v>
      </c>
      <c r="I100" s="885"/>
      <c r="J100" s="908">
        <v>2025</v>
      </c>
      <c r="K100" s="908">
        <v>2026</v>
      </c>
      <c r="L100" s="908">
        <v>2027</v>
      </c>
      <c r="M100" s="908">
        <v>2028</v>
      </c>
      <c r="N100" s="908">
        <v>2029</v>
      </c>
      <c r="O100" s="908">
        <v>2030</v>
      </c>
    </row>
    <row r="101" spans="1:16" ht="12.75" customHeight="1" x14ac:dyDescent="0.25">
      <c r="A101" s="904"/>
      <c r="D101" s="905"/>
      <c r="E101" s="2339" t="s">
        <v>533</v>
      </c>
      <c r="I101" s="885"/>
      <c r="J101" s="885"/>
      <c r="K101" s="885"/>
      <c r="L101" s="885"/>
      <c r="M101" s="885"/>
      <c r="N101" s="885"/>
      <c r="O101" s="885"/>
    </row>
    <row r="102" spans="1:16" ht="12.75" customHeight="1" x14ac:dyDescent="0.25">
      <c r="A102" s="904"/>
      <c r="D102" s="865">
        <v>44380</v>
      </c>
      <c r="E102" s="2340" t="s">
        <v>4147</v>
      </c>
      <c r="I102" s="885"/>
      <c r="J102" s="885">
        <v>0</v>
      </c>
      <c r="K102" s="885">
        <f>ROUND(J102*S$3,)</f>
        <v>0</v>
      </c>
      <c r="L102" s="885">
        <f>ROUND(K102*T$3,)</f>
        <v>0</v>
      </c>
      <c r="M102" s="885">
        <f>ROUND(L102*U$3,)</f>
        <v>0</v>
      </c>
      <c r="N102" s="885">
        <f>ROUND(M102*V$3,)</f>
        <v>0</v>
      </c>
      <c r="O102" s="885">
        <f>ROUND(N102*W$3,)</f>
        <v>0</v>
      </c>
    </row>
    <row r="103" spans="1:16" ht="12.75" customHeight="1" thickBot="1" x14ac:dyDescent="0.3">
      <c r="A103" s="904"/>
      <c r="D103" s="865"/>
      <c r="E103" s="2341" t="str">
        <f>"Totaal "&amp;D102</f>
        <v>Totaal 44380</v>
      </c>
      <c r="I103" s="885"/>
      <c r="J103" s="2342">
        <v>0</v>
      </c>
      <c r="K103" s="2342">
        <f t="shared" ref="K103:O103" si="15">SUM(K101:K102)</f>
        <v>0</v>
      </c>
      <c r="L103" s="2342">
        <f t="shared" si="15"/>
        <v>0</v>
      </c>
      <c r="M103" s="2342">
        <f t="shared" si="15"/>
        <v>0</v>
      </c>
      <c r="N103" s="2342">
        <f t="shared" si="15"/>
        <v>0</v>
      </c>
      <c r="O103" s="2342">
        <f t="shared" si="15"/>
        <v>0</v>
      </c>
    </row>
    <row r="104" spans="1:16" ht="12.75" customHeight="1" thickTop="1" x14ac:dyDescent="0.25">
      <c r="A104" s="904"/>
      <c r="D104" s="865"/>
      <c r="E104" s="2340"/>
      <c r="I104" s="885"/>
      <c r="J104" s="885"/>
      <c r="K104" s="885"/>
      <c r="L104" s="885"/>
      <c r="M104" s="885"/>
      <c r="N104" s="885"/>
      <c r="O104" s="885"/>
    </row>
    <row r="105" spans="1:16" ht="12.75" customHeight="1" x14ac:dyDescent="0.25">
      <c r="A105" s="904"/>
      <c r="D105" s="905">
        <v>676002</v>
      </c>
      <c r="E105" s="2338" t="s">
        <v>4148</v>
      </c>
      <c r="I105" s="885"/>
      <c r="J105" s="885"/>
      <c r="K105" s="885"/>
      <c r="L105" s="885"/>
      <c r="M105" s="885"/>
      <c r="N105" s="885"/>
      <c r="O105" s="885"/>
    </row>
    <row r="106" spans="1:16" ht="12.75" customHeight="1" x14ac:dyDescent="0.25">
      <c r="A106" s="904"/>
      <c r="D106" s="905"/>
      <c r="E106" s="2339" t="s">
        <v>533</v>
      </c>
      <c r="I106" s="885"/>
      <c r="J106" s="885"/>
      <c r="K106" s="885"/>
      <c r="L106" s="885"/>
      <c r="M106" s="885"/>
      <c r="N106" s="885"/>
      <c r="O106" s="885"/>
    </row>
    <row r="107" spans="1:16" ht="12.75" customHeight="1" x14ac:dyDescent="0.25">
      <c r="A107" s="904"/>
      <c r="D107" s="865">
        <v>44380</v>
      </c>
      <c r="E107" s="2340" t="s">
        <v>4149</v>
      </c>
      <c r="I107" s="885"/>
      <c r="J107" s="885">
        <v>162500</v>
      </c>
      <c r="K107" s="885">
        <f>ROUND(162500*S$5,-2)</f>
        <v>170000</v>
      </c>
      <c r="L107" s="885">
        <f>ROUND(K107*T$5,-2)</f>
        <v>177100</v>
      </c>
      <c r="M107" s="885">
        <f t="shared" ref="M107:O107" si="16">ROUND(L107*U$5,-2)</f>
        <v>184500</v>
      </c>
      <c r="N107" s="885">
        <f t="shared" si="16"/>
        <v>192200</v>
      </c>
      <c r="O107" s="2343">
        <f t="shared" si="16"/>
        <v>200300</v>
      </c>
      <c r="P107" s="863" t="s">
        <v>5288</v>
      </c>
    </row>
    <row r="108" spans="1:16" ht="12.75" customHeight="1" x14ac:dyDescent="0.25">
      <c r="A108" s="904"/>
      <c r="D108" s="865"/>
      <c r="E108" s="2340" t="s">
        <v>4150</v>
      </c>
      <c r="I108" s="885"/>
      <c r="J108" s="885"/>
      <c r="K108" s="885"/>
      <c r="L108" s="885"/>
      <c r="M108" s="885"/>
      <c r="N108" s="885"/>
      <c r="O108" s="885"/>
    </row>
    <row r="109" spans="1:16" ht="12.75" customHeight="1" x14ac:dyDescent="0.25">
      <c r="A109" s="904"/>
      <c r="D109" s="865"/>
      <c r="E109" s="2340" t="s">
        <v>4151</v>
      </c>
      <c r="I109" s="885"/>
      <c r="J109" s="885">
        <v>100000</v>
      </c>
      <c r="K109" s="885">
        <v>100000</v>
      </c>
      <c r="L109" s="885">
        <v>100000</v>
      </c>
      <c r="M109" s="885">
        <v>100000</v>
      </c>
      <c r="N109" s="885">
        <v>100000</v>
      </c>
      <c r="O109" s="885">
        <v>100000</v>
      </c>
    </row>
    <row r="110" spans="1:16" ht="12.75" customHeight="1" thickBot="1" x14ac:dyDescent="0.3">
      <c r="A110" s="904"/>
      <c r="D110" s="865"/>
      <c r="E110" s="2341" t="str">
        <f>"Totaal "&amp;D107</f>
        <v>Totaal 44380</v>
      </c>
      <c r="I110" s="885"/>
      <c r="J110" s="2342">
        <v>262500</v>
      </c>
      <c r="K110" s="2342">
        <f>SUM(K107:K109)</f>
        <v>270000</v>
      </c>
      <c r="L110" s="2342">
        <f>SUM(L107:L109)</f>
        <v>277100</v>
      </c>
      <c r="M110" s="2342">
        <f>SUM(M107:M109)</f>
        <v>284500</v>
      </c>
      <c r="N110" s="2342">
        <f>SUM(N107:N109)</f>
        <v>292200</v>
      </c>
      <c r="O110" s="2342">
        <f>SUM(O107:O109)</f>
        <v>300300</v>
      </c>
    </row>
    <row r="111" spans="1:16" ht="12.75" customHeight="1" thickTop="1" x14ac:dyDescent="0.25">
      <c r="A111" s="904"/>
      <c r="D111" s="865"/>
      <c r="E111" s="2340"/>
      <c r="I111" s="885"/>
      <c r="J111" s="885"/>
      <c r="K111" s="885"/>
      <c r="L111" s="885"/>
      <c r="M111" s="885"/>
      <c r="N111" s="885"/>
      <c r="O111" s="885"/>
    </row>
    <row r="112" spans="1:16" ht="12.75" customHeight="1" x14ac:dyDescent="0.25">
      <c r="A112" s="904"/>
      <c r="D112" s="905">
        <v>676003</v>
      </c>
      <c r="E112" s="2338" t="s">
        <v>4152</v>
      </c>
      <c r="I112" s="885"/>
      <c r="J112" s="885"/>
      <c r="K112" s="885"/>
      <c r="L112" s="885"/>
      <c r="M112" s="885"/>
      <c r="N112" s="885"/>
      <c r="O112" s="885"/>
    </row>
    <row r="113" spans="1:16" ht="12.75" customHeight="1" x14ac:dyDescent="0.25">
      <c r="A113" s="904"/>
      <c r="D113" s="905"/>
      <c r="E113" s="2339" t="s">
        <v>533</v>
      </c>
      <c r="I113" s="885"/>
      <c r="J113" s="885"/>
      <c r="K113" s="885"/>
      <c r="L113" s="885"/>
      <c r="M113" s="885"/>
      <c r="N113" s="885"/>
      <c r="O113" s="885"/>
    </row>
    <row r="114" spans="1:16" ht="12.75" customHeight="1" x14ac:dyDescent="0.25">
      <c r="A114" s="904"/>
      <c r="D114" s="865">
        <v>44380</v>
      </c>
      <c r="E114" s="2340" t="s">
        <v>4153</v>
      </c>
      <c r="I114" s="885"/>
      <c r="J114" s="885">
        <v>204300</v>
      </c>
      <c r="K114" s="885">
        <f>ROUND(204300*S$5,-2)</f>
        <v>213700</v>
      </c>
      <c r="L114" s="885">
        <f>ROUND(K114*T$5,-2)</f>
        <v>222700</v>
      </c>
      <c r="M114" s="885">
        <f t="shared" ref="M114:O114" si="17">ROUND(L114*U$5,-2)</f>
        <v>232100</v>
      </c>
      <c r="N114" s="885">
        <f t="shared" si="17"/>
        <v>241800</v>
      </c>
      <c r="O114" s="2343">
        <f t="shared" si="17"/>
        <v>252000</v>
      </c>
      <c r="P114" s="863" t="s">
        <v>5288</v>
      </c>
    </row>
    <row r="115" spans="1:16" ht="12.75" customHeight="1" x14ac:dyDescent="0.25">
      <c r="A115" s="904"/>
      <c r="D115" s="865"/>
      <c r="E115" s="2340" t="s">
        <v>4150</v>
      </c>
      <c r="I115" s="885"/>
      <c r="J115" s="885"/>
      <c r="K115" s="885"/>
      <c r="L115" s="885"/>
      <c r="M115" s="885"/>
      <c r="N115" s="885"/>
      <c r="O115" s="885"/>
    </row>
    <row r="116" spans="1:16" ht="12.75" customHeight="1" x14ac:dyDescent="0.25">
      <c r="A116" s="904"/>
      <c r="D116" s="865"/>
      <c r="E116" s="2340" t="s">
        <v>4151</v>
      </c>
      <c r="I116" s="885"/>
      <c r="J116" s="885">
        <v>120000</v>
      </c>
      <c r="K116" s="885">
        <v>123000</v>
      </c>
      <c r="L116" s="885">
        <f>ROUND(K116*T$5,-2)</f>
        <v>128200</v>
      </c>
      <c r="M116" s="885">
        <f t="shared" ref="M116:O119" si="18">ROUND(L116*U$5,-2)</f>
        <v>133600</v>
      </c>
      <c r="N116" s="885">
        <f t="shared" si="18"/>
        <v>139200</v>
      </c>
      <c r="O116" s="885">
        <f t="shared" si="18"/>
        <v>145000</v>
      </c>
      <c r="P116" s="863" t="s">
        <v>5288</v>
      </c>
    </row>
    <row r="117" spans="1:16" ht="12.75" customHeight="1" x14ac:dyDescent="0.25">
      <c r="A117" s="904"/>
      <c r="D117" s="865"/>
      <c r="E117" s="2340" t="s">
        <v>4154</v>
      </c>
      <c r="I117" s="885"/>
      <c r="J117" s="885">
        <v>187000</v>
      </c>
      <c r="K117" s="885">
        <v>151000</v>
      </c>
      <c r="L117" s="885">
        <f>ROUND(K117*T$5,-2)</f>
        <v>157300</v>
      </c>
      <c r="M117" s="885">
        <f t="shared" si="18"/>
        <v>163900</v>
      </c>
      <c r="N117" s="885">
        <f t="shared" si="18"/>
        <v>170800</v>
      </c>
      <c r="O117" s="885">
        <f t="shared" si="18"/>
        <v>178000</v>
      </c>
      <c r="P117" s="863" t="s">
        <v>5288</v>
      </c>
    </row>
    <row r="118" spans="1:16" ht="12.75" customHeight="1" x14ac:dyDescent="0.25">
      <c r="A118" s="904"/>
      <c r="D118" s="865"/>
      <c r="E118" s="2340" t="s">
        <v>4155</v>
      </c>
      <c r="I118" s="885"/>
      <c r="J118" s="885">
        <v>80000</v>
      </c>
      <c r="K118" s="885">
        <v>83000</v>
      </c>
      <c r="L118" s="885">
        <f>ROUND(K118*T$5,-2)</f>
        <v>86500</v>
      </c>
      <c r="M118" s="885">
        <f t="shared" si="18"/>
        <v>90100</v>
      </c>
      <c r="N118" s="885">
        <f t="shared" si="18"/>
        <v>93900</v>
      </c>
      <c r="O118" s="885">
        <f t="shared" si="18"/>
        <v>97800</v>
      </c>
      <c r="P118" s="863" t="s">
        <v>5288</v>
      </c>
    </row>
    <row r="119" spans="1:16" ht="12.75" customHeight="1" x14ac:dyDescent="0.25">
      <c r="A119" s="904"/>
      <c r="D119" s="865"/>
      <c r="E119" s="2340" t="s">
        <v>4156</v>
      </c>
      <c r="I119" s="885"/>
      <c r="J119" s="885"/>
      <c r="K119" s="885">
        <v>35000</v>
      </c>
      <c r="L119" s="885">
        <f>ROUND(K119*T$5,-2)</f>
        <v>36500</v>
      </c>
      <c r="M119" s="885">
        <f t="shared" si="18"/>
        <v>38000</v>
      </c>
      <c r="N119" s="885">
        <f t="shared" si="18"/>
        <v>39600</v>
      </c>
      <c r="O119" s="885">
        <f t="shared" si="18"/>
        <v>41300</v>
      </c>
      <c r="P119" s="863" t="s">
        <v>5288</v>
      </c>
    </row>
    <row r="120" spans="1:16" ht="12.75" customHeight="1" thickBot="1" x14ac:dyDescent="0.3">
      <c r="A120" s="904"/>
      <c r="D120" s="865"/>
      <c r="E120" s="2341" t="str">
        <f>"Totaal "&amp;D114</f>
        <v>Totaal 44380</v>
      </c>
      <c r="I120" s="885"/>
      <c r="J120" s="2342">
        <v>591300</v>
      </c>
      <c r="K120" s="2342">
        <f>SUM(K113:K119)</f>
        <v>605700</v>
      </c>
      <c r="L120" s="2342">
        <f>SUM(L113:L119)</f>
        <v>631200</v>
      </c>
      <c r="M120" s="2342">
        <f>SUM(M113:M119)</f>
        <v>657700</v>
      </c>
      <c r="N120" s="2342">
        <f>SUM(N113:N119)</f>
        <v>685300</v>
      </c>
      <c r="O120" s="2342">
        <f>SUM(O113:O119)</f>
        <v>714100</v>
      </c>
    </row>
    <row r="121" spans="1:16" ht="12.75" customHeight="1" thickTop="1" x14ac:dyDescent="0.25">
      <c r="A121" s="904"/>
      <c r="D121" s="865"/>
      <c r="E121" s="2340"/>
      <c r="I121" s="885"/>
      <c r="J121" s="885"/>
      <c r="K121" s="885"/>
      <c r="L121" s="885"/>
      <c r="M121" s="885"/>
      <c r="N121" s="885"/>
      <c r="O121" s="885"/>
    </row>
    <row r="122" spans="1:16" ht="12.75" customHeight="1" x14ac:dyDescent="0.25">
      <c r="A122" s="904"/>
      <c r="D122" s="905">
        <v>676004</v>
      </c>
      <c r="E122" s="2338" t="s">
        <v>4157</v>
      </c>
      <c r="I122" s="885"/>
      <c r="J122" s="885"/>
      <c r="K122" s="885"/>
      <c r="L122" s="885"/>
      <c r="M122" s="885"/>
      <c r="N122" s="885"/>
      <c r="O122" s="885"/>
    </row>
    <row r="123" spans="1:16" ht="12.75" customHeight="1" x14ac:dyDescent="0.25">
      <c r="A123" s="904"/>
      <c r="D123" s="905"/>
      <c r="E123" s="2339" t="s">
        <v>533</v>
      </c>
      <c r="I123" s="885"/>
      <c r="J123" s="885"/>
      <c r="K123" s="885"/>
      <c r="L123" s="885"/>
      <c r="M123" s="885"/>
      <c r="N123" s="885"/>
      <c r="O123" s="885"/>
    </row>
    <row r="124" spans="1:16" ht="12.75" customHeight="1" x14ac:dyDescent="0.25">
      <c r="A124" s="904"/>
      <c r="D124" s="865">
        <v>44380</v>
      </c>
      <c r="E124" s="2340" t="s">
        <v>4153</v>
      </c>
      <c r="I124" s="885"/>
      <c r="J124" s="885">
        <v>1012790</v>
      </c>
      <c r="K124" s="885">
        <f>ROUND(1012790*S$5,-1)</f>
        <v>1059380</v>
      </c>
      <c r="L124" s="885">
        <f>ROUND(K124*T$5,-1)</f>
        <v>1103870</v>
      </c>
      <c r="M124" s="885">
        <f t="shared" ref="M124:O124" si="19">ROUND(L124*U$5,-1)</f>
        <v>1150230</v>
      </c>
      <c r="N124" s="885">
        <f t="shared" si="19"/>
        <v>1198540</v>
      </c>
      <c r="O124" s="885">
        <f t="shared" si="19"/>
        <v>1248880</v>
      </c>
      <c r="P124" s="863" t="s">
        <v>5288</v>
      </c>
    </row>
    <row r="125" spans="1:16" ht="12.75" customHeight="1" x14ac:dyDescent="0.25">
      <c r="A125" s="904"/>
      <c r="D125" s="865"/>
      <c r="E125" s="2340" t="s">
        <v>4158</v>
      </c>
      <c r="I125" s="885"/>
      <c r="J125" s="885">
        <v>0</v>
      </c>
      <c r="K125" s="885">
        <v>168000</v>
      </c>
      <c r="L125" s="885">
        <v>176000</v>
      </c>
      <c r="M125" s="885">
        <v>0</v>
      </c>
      <c r="N125" s="885">
        <v>0</v>
      </c>
      <c r="O125" s="885">
        <v>0</v>
      </c>
    </row>
    <row r="126" spans="1:16" ht="12.75" customHeight="1" thickBot="1" x14ac:dyDescent="0.3">
      <c r="A126" s="904"/>
      <c r="D126" s="865"/>
      <c r="E126" s="2341" t="str">
        <f>"Totaal "&amp;D124</f>
        <v>Totaal 44380</v>
      </c>
      <c r="I126" s="885"/>
      <c r="J126" s="2342">
        <v>1012790</v>
      </c>
      <c r="K126" s="2342">
        <f>SUM(K124:K125)</f>
        <v>1227380</v>
      </c>
      <c r="L126" s="2342">
        <f t="shared" ref="L126:O126" si="20">SUM(L124:L125)</f>
        <v>1279870</v>
      </c>
      <c r="M126" s="2342">
        <f t="shared" si="20"/>
        <v>1150230</v>
      </c>
      <c r="N126" s="2342">
        <f t="shared" si="20"/>
        <v>1198540</v>
      </c>
      <c r="O126" s="2342">
        <f t="shared" si="20"/>
        <v>1248880</v>
      </c>
    </row>
    <row r="127" spans="1:16" ht="12.75" customHeight="1" thickTop="1" x14ac:dyDescent="0.25">
      <c r="A127" s="904"/>
      <c r="D127" s="865"/>
      <c r="E127" s="2340"/>
      <c r="I127" s="885"/>
      <c r="J127" s="885"/>
      <c r="K127" s="885"/>
      <c r="L127" s="863"/>
      <c r="M127" s="863"/>
      <c r="N127" s="863"/>
      <c r="O127" s="863"/>
    </row>
    <row r="128" spans="1:16" ht="12.75" customHeight="1" x14ac:dyDescent="0.25">
      <c r="A128" s="904"/>
      <c r="D128" s="905">
        <v>676901</v>
      </c>
      <c r="E128" s="868" t="s">
        <v>4159</v>
      </c>
      <c r="F128" s="886"/>
      <c r="I128" s="885"/>
      <c r="J128" s="885"/>
      <c r="K128" s="885"/>
      <c r="L128" s="885"/>
      <c r="M128" s="885"/>
      <c r="N128" s="885"/>
      <c r="O128" s="885"/>
    </row>
    <row r="129" spans="1:16" ht="12.75" customHeight="1" x14ac:dyDescent="0.25">
      <c r="A129" s="904"/>
      <c r="E129" s="2339" t="s">
        <v>533</v>
      </c>
      <c r="I129" s="885"/>
      <c r="J129" s="885"/>
      <c r="K129" s="885"/>
      <c r="L129" s="885"/>
      <c r="M129" s="885"/>
      <c r="N129" s="885"/>
      <c r="O129" s="885"/>
    </row>
    <row r="130" spans="1:16" ht="12.75" customHeight="1" x14ac:dyDescent="0.25">
      <c r="A130" s="904"/>
      <c r="D130" s="865">
        <v>41100</v>
      </c>
      <c r="E130" s="869" t="s">
        <v>4160</v>
      </c>
      <c r="I130" s="885"/>
      <c r="J130" s="885">
        <v>0</v>
      </c>
      <c r="K130" s="885">
        <v>102000</v>
      </c>
      <c r="L130" s="885">
        <f>ROUND(K130*T$2,0)</f>
        <v>104142</v>
      </c>
      <c r="M130" s="885">
        <f>ROUND(L130*U$2,0)</f>
        <v>106537</v>
      </c>
      <c r="N130" s="885">
        <f>ROUND(M130*V$2,0)</f>
        <v>108987</v>
      </c>
      <c r="O130" s="2343">
        <f>ROUND(N130*W$2,0)</f>
        <v>111494</v>
      </c>
      <c r="P130" s="863" t="s">
        <v>5289</v>
      </c>
    </row>
    <row r="131" spans="1:16" ht="12.75" customHeight="1" x14ac:dyDescent="0.25">
      <c r="A131" s="904"/>
      <c r="D131" s="865"/>
      <c r="E131" s="869" t="s">
        <v>4161</v>
      </c>
      <c r="I131" s="885"/>
      <c r="J131" s="885">
        <v>0</v>
      </c>
      <c r="K131" s="885">
        <v>0</v>
      </c>
      <c r="L131" s="885">
        <v>100000</v>
      </c>
      <c r="M131" s="885">
        <f>ROUND(L131*U$2,0)</f>
        <v>102300</v>
      </c>
      <c r="N131" s="885">
        <f>ROUND(M131*V$2,0)</f>
        <v>104653</v>
      </c>
      <c r="O131" s="2343">
        <f>ROUND(N131*W$2,0)</f>
        <v>107060</v>
      </c>
      <c r="P131" s="863" t="s">
        <v>5289</v>
      </c>
    </row>
    <row r="132" spans="1:16" ht="12.75" customHeight="1" thickBot="1" x14ac:dyDescent="0.3">
      <c r="A132" s="904"/>
      <c r="D132" s="865"/>
      <c r="E132" s="869" t="str">
        <f>"Totaal "&amp;D130</f>
        <v>Totaal 41100</v>
      </c>
      <c r="I132" s="885"/>
      <c r="J132" s="2342">
        <f t="shared" ref="J132:O132" si="21">SUM(J130:J131)</f>
        <v>0</v>
      </c>
      <c r="K132" s="2342">
        <f t="shared" si="21"/>
        <v>102000</v>
      </c>
      <c r="L132" s="2342">
        <f t="shared" si="21"/>
        <v>204142</v>
      </c>
      <c r="M132" s="2342">
        <f t="shared" si="21"/>
        <v>208837</v>
      </c>
      <c r="N132" s="2342">
        <f t="shared" si="21"/>
        <v>213640</v>
      </c>
      <c r="O132" s="2342">
        <f t="shared" si="21"/>
        <v>218554</v>
      </c>
    </row>
    <row r="133" spans="1:16" ht="12.75" customHeight="1" thickTop="1" x14ac:dyDescent="0.3">
      <c r="D133" s="865"/>
      <c r="I133" s="885"/>
      <c r="J133" s="885"/>
      <c r="K133" s="885"/>
    </row>
    <row r="134" spans="1:16" ht="12.75" customHeight="1" x14ac:dyDescent="0.3">
      <c r="D134" s="865"/>
      <c r="G134" s="2591"/>
      <c r="H134" s="2591"/>
      <c r="I134" s="2591"/>
      <c r="J134" s="2344"/>
      <c r="K134" s="2344"/>
    </row>
    <row r="135" spans="1:16" ht="12.75" customHeight="1" x14ac:dyDescent="0.3">
      <c r="D135" s="865"/>
      <c r="G135" s="2591"/>
      <c r="H135" s="2591"/>
      <c r="I135" s="2591"/>
      <c r="J135" s="2344"/>
      <c r="K135" s="2344"/>
    </row>
  </sheetData>
  <mergeCells count="4">
    <mergeCell ref="D66:D67"/>
    <mergeCell ref="F66:F67"/>
    <mergeCell ref="G66:H67"/>
    <mergeCell ref="G134:I135"/>
  </mergeCells>
  <hyperlinks>
    <hyperlink ref="A1" location="Inhoudsopgave!A1" display="Inhoudsopgave" xr:uid="{03F16725-6304-4185-A48E-D2D6FA775C8A}"/>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3" min="3" max="14" man="1"/>
    <brk id="97" min="3" max="14"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F552-4775-42DC-9EF8-BA23B6EBD671}">
  <dimension ref="A1:X148"/>
  <sheetViews>
    <sheetView showGridLines="0" view="pageBreakPreview" topLeftCell="C109" zoomScaleNormal="100" zoomScaleSheetLayoutView="100" workbookViewId="0">
      <selection activeCell="M141" sqref="M141"/>
    </sheetView>
  </sheetViews>
  <sheetFormatPr defaultColWidth="9.109375" defaultRowHeight="12.75" customHeight="1" x14ac:dyDescent="0.3"/>
  <cols>
    <col min="1" max="1" width="9.109375" style="862"/>
    <col min="2" max="3" width="9.109375" style="863"/>
    <col min="4" max="4" width="9.6640625" style="864" customWidth="1"/>
    <col min="5" max="6" width="9.6640625" style="865" customWidth="1"/>
    <col min="7" max="9" width="12.6640625" style="863" customWidth="1"/>
    <col min="10" max="11" width="11.6640625" style="863" customWidth="1"/>
    <col min="12" max="15" width="11.6640625" customWidth="1"/>
    <col min="16" max="16" width="13.44140625" style="863" customWidth="1"/>
    <col min="17" max="16384" width="9.109375" style="863"/>
  </cols>
  <sheetData>
    <row r="1" spans="1:24" ht="12.75" customHeight="1" x14ac:dyDescent="0.3">
      <c r="A1" s="157" t="s">
        <v>0</v>
      </c>
      <c r="P1" s="866"/>
      <c r="Q1" s="794">
        <v>2024</v>
      </c>
      <c r="R1" s="794">
        <v>2025</v>
      </c>
      <c r="S1" s="794">
        <v>2026</v>
      </c>
      <c r="T1" s="794">
        <v>2027</v>
      </c>
      <c r="U1" s="794">
        <v>2028</v>
      </c>
      <c r="V1" s="794">
        <v>2029</v>
      </c>
      <c r="W1" s="794">
        <v>2030</v>
      </c>
    </row>
    <row r="2" spans="1:24"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4"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4"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4" ht="12.75" customHeight="1" x14ac:dyDescent="0.3">
      <c r="D5" s="864" t="s">
        <v>713</v>
      </c>
      <c r="H5" s="863" t="s">
        <v>4143</v>
      </c>
      <c r="P5" s="863" t="s">
        <v>3334</v>
      </c>
      <c r="S5" s="495">
        <v>1.046</v>
      </c>
      <c r="T5" s="2345">
        <f>Indexering!J7</f>
        <v>1.042</v>
      </c>
      <c r="U5" s="2345">
        <f>Indexering!K7</f>
        <v>1.042</v>
      </c>
      <c r="V5" s="2345">
        <f>Indexering!L7</f>
        <v>1.042</v>
      </c>
      <c r="W5" s="2345">
        <f>Indexering!M7</f>
        <v>1.042</v>
      </c>
      <c r="X5" s="2345"/>
    </row>
    <row r="6" spans="1:24" ht="12.75" customHeight="1" x14ac:dyDescent="0.3">
      <c r="D6" s="864" t="s">
        <v>66</v>
      </c>
      <c r="H6" s="869" t="s">
        <v>4162</v>
      </c>
    </row>
    <row r="9" spans="1:24" ht="12.75" customHeight="1" x14ac:dyDescent="0.3">
      <c r="E9" s="870" t="s">
        <v>4163</v>
      </c>
    </row>
    <row r="48" spans="4:6" ht="12.75" customHeight="1" x14ac:dyDescent="0.3">
      <c r="D48" s="870" t="s">
        <v>507</v>
      </c>
      <c r="E48" s="864"/>
      <c r="F48" s="864"/>
    </row>
    <row r="49" spans="4:18" ht="12.75" customHeight="1" x14ac:dyDescent="0.3">
      <c r="E49" s="864"/>
      <c r="F49" s="864"/>
    </row>
    <row r="50" spans="4:18" ht="12.75" customHeight="1" x14ac:dyDescent="0.25">
      <c r="D50" s="2310" t="s">
        <v>508</v>
      </c>
      <c r="E50" s="2311"/>
      <c r="F50" s="2311"/>
      <c r="G50" s="2312"/>
      <c r="H50" s="2312"/>
      <c r="I50" s="2313"/>
      <c r="J50" s="2313">
        <v>2025</v>
      </c>
      <c r="K50" s="2313">
        <v>2026</v>
      </c>
      <c r="L50" s="2313">
        <v>2027</v>
      </c>
      <c r="M50" s="2313">
        <v>2028</v>
      </c>
      <c r="N50" s="2313">
        <v>2029</v>
      </c>
      <c r="O50" s="2313">
        <v>2030</v>
      </c>
    </row>
    <row r="51" spans="4:18" ht="12.75" customHeight="1" x14ac:dyDescent="0.25">
      <c r="D51" s="871" t="str">
        <f>G72</f>
        <v>Exploitatie Bestwijzer</v>
      </c>
      <c r="E51" s="872"/>
      <c r="F51" s="872"/>
      <c r="G51" s="873"/>
      <c r="H51" s="873"/>
      <c r="I51" s="874"/>
      <c r="J51" s="875">
        <v>170398</v>
      </c>
      <c r="K51" s="875">
        <f t="shared" ref="K51:O51" si="0">K80</f>
        <v>175343.30035</v>
      </c>
      <c r="L51" s="875">
        <f t="shared" si="0"/>
        <v>179661.51536750002</v>
      </c>
      <c r="M51" s="875">
        <f t="shared" si="0"/>
        <v>184421.94113587501</v>
      </c>
      <c r="N51" s="875">
        <f t="shared" si="0"/>
        <v>189332.33819266874</v>
      </c>
      <c r="O51" s="875">
        <f t="shared" si="0"/>
        <v>167533</v>
      </c>
    </row>
    <row r="52" spans="4:18" ht="12.75" customHeight="1" x14ac:dyDescent="0.25">
      <c r="D52" s="2314" t="str">
        <f>G82</f>
        <v>Integrale toegang</v>
      </c>
      <c r="E52" s="872"/>
      <c r="F52" s="872"/>
      <c r="G52" s="873"/>
      <c r="H52" s="873"/>
      <c r="I52" s="874"/>
      <c r="J52" s="875">
        <v>904100</v>
      </c>
      <c r="K52" s="875">
        <f t="shared" ref="K52:O52" si="1">K85</f>
        <v>364600</v>
      </c>
      <c r="L52" s="875">
        <f t="shared" si="1"/>
        <v>379948</v>
      </c>
      <c r="M52" s="875">
        <f t="shared" si="1"/>
        <v>403151</v>
      </c>
      <c r="N52" s="875">
        <f t="shared" si="1"/>
        <v>427666</v>
      </c>
      <c r="O52" s="875">
        <f t="shared" si="1"/>
        <v>453485</v>
      </c>
    </row>
    <row r="53" spans="4:18" ht="12.75" customHeight="1" x14ac:dyDescent="0.25">
      <c r="D53" s="871" t="str">
        <f>G87</f>
        <v>Directe toerekening integraal toegang/1e lijns</v>
      </c>
      <c r="E53" s="872"/>
      <c r="F53" s="872"/>
      <c r="G53" s="873"/>
      <c r="H53" s="873"/>
      <c r="I53" s="874"/>
      <c r="J53" s="875">
        <v>132800</v>
      </c>
      <c r="K53" s="875">
        <f t="shared" ref="K53:O53" si="2">K91</f>
        <v>127776</v>
      </c>
      <c r="L53" s="875">
        <f t="shared" si="2"/>
        <v>145564</v>
      </c>
      <c r="M53" s="875">
        <f t="shared" si="2"/>
        <v>124398</v>
      </c>
      <c r="N53" s="875">
        <f t="shared" si="2"/>
        <v>125335</v>
      </c>
      <c r="O53" s="875">
        <f t="shared" si="2"/>
        <v>115868</v>
      </c>
    </row>
    <row r="54" spans="4:18" ht="12.75" customHeight="1" x14ac:dyDescent="0.25">
      <c r="D54" s="876"/>
      <c r="E54" s="877"/>
      <c r="F54" s="878"/>
      <c r="I54" s="879"/>
      <c r="J54" s="274"/>
      <c r="K54" s="274"/>
      <c r="L54" s="274"/>
      <c r="M54" s="274"/>
      <c r="N54" s="274"/>
      <c r="O54" s="274"/>
    </row>
    <row r="55" spans="4:18" ht="12.75" customHeight="1" x14ac:dyDescent="0.25">
      <c r="D55" s="876"/>
      <c r="E55" s="877"/>
      <c r="F55" s="878"/>
      <c r="I55" s="879"/>
      <c r="J55" s="275"/>
      <c r="K55" s="275"/>
      <c r="L55" s="275"/>
      <c r="M55" s="275"/>
      <c r="N55" s="275"/>
      <c r="O55" s="275"/>
    </row>
    <row r="56" spans="4:18" ht="12.75" customHeight="1" x14ac:dyDescent="0.25">
      <c r="D56" s="2316" t="s">
        <v>525</v>
      </c>
      <c r="E56" s="2317"/>
      <c r="F56" s="2318"/>
      <c r="G56" s="2319"/>
      <c r="H56" s="2319"/>
      <c r="I56" s="2320"/>
      <c r="J56" s="2321">
        <v>1207298</v>
      </c>
      <c r="K56" s="2321">
        <f>SUM(K51:K55)</f>
        <v>667719.30035000003</v>
      </c>
      <c r="L56" s="2321">
        <f>SUM(L51:L55)</f>
        <v>705173.51536750002</v>
      </c>
      <c r="M56" s="2321">
        <f>SUM(M51:M55)</f>
        <v>711970.94113587495</v>
      </c>
      <c r="N56" s="2321">
        <f>SUM(N51:N55)</f>
        <v>742333.33819266874</v>
      </c>
      <c r="O56" s="2321">
        <f>SUM(O51:O55)</f>
        <v>736886</v>
      </c>
    </row>
    <row r="57" spans="4:18" ht="12.75" customHeight="1" x14ac:dyDescent="0.25">
      <c r="E57" s="877"/>
      <c r="F57" s="878"/>
      <c r="L57" s="863"/>
      <c r="M57" s="863"/>
      <c r="N57" s="863"/>
      <c r="O57" s="863"/>
      <c r="R57" s="885"/>
    </row>
    <row r="58" spans="4:18" ht="12.75" customHeight="1" x14ac:dyDescent="0.25">
      <c r="D58" s="2310" t="s">
        <v>526</v>
      </c>
      <c r="E58" s="2311"/>
      <c r="F58" s="2311"/>
      <c r="G58" s="2312"/>
      <c r="H58" s="2312"/>
      <c r="I58" s="2313"/>
      <c r="J58" s="2313">
        <v>2025</v>
      </c>
      <c r="K58" s="2313">
        <v>2026</v>
      </c>
      <c r="L58" s="2313">
        <v>2027</v>
      </c>
      <c r="M58" s="2313">
        <v>2028</v>
      </c>
      <c r="N58" s="2313">
        <v>2029</v>
      </c>
      <c r="O58" s="2313">
        <v>2030</v>
      </c>
    </row>
    <row r="59" spans="4:18" ht="12.75" customHeight="1" x14ac:dyDescent="0.25">
      <c r="D59" s="876" t="str">
        <f>G93</f>
        <v>Nazarethstraat 173 (Bestwijzer)</v>
      </c>
      <c r="E59" s="877"/>
      <c r="F59" s="878"/>
      <c r="I59" s="879"/>
      <c r="J59" s="875">
        <v>-170444</v>
      </c>
      <c r="K59" s="875">
        <f t="shared" ref="K59:O59" si="3">K96</f>
        <v>-117736</v>
      </c>
      <c r="L59" s="875">
        <f t="shared" si="3"/>
        <v>-118451.02</v>
      </c>
      <c r="M59" s="875">
        <f t="shared" si="3"/>
        <v>-121176</v>
      </c>
      <c r="N59" s="875">
        <f t="shared" si="3"/>
        <v>-123963</v>
      </c>
      <c r="O59" s="875">
        <f t="shared" si="3"/>
        <v>-126814</v>
      </c>
    </row>
    <row r="60" spans="4:18" ht="12.75" customHeight="1" x14ac:dyDescent="0.25">
      <c r="D60" s="876"/>
      <c r="E60" s="877"/>
      <c r="F60" s="878"/>
      <c r="I60" s="879"/>
      <c r="J60" s="880"/>
      <c r="K60" s="880"/>
      <c r="L60" s="880"/>
      <c r="M60" s="880"/>
      <c r="N60" s="880"/>
      <c r="O60" s="880"/>
    </row>
    <row r="61" spans="4:18" ht="12.75" customHeight="1" x14ac:dyDescent="0.25">
      <c r="D61" s="881"/>
      <c r="E61" s="882"/>
      <c r="F61" s="883"/>
      <c r="G61" s="884"/>
      <c r="H61" s="884"/>
      <c r="I61" s="879"/>
      <c r="J61" s="880"/>
      <c r="K61" s="880"/>
      <c r="L61" s="880"/>
      <c r="M61" s="880"/>
      <c r="N61" s="880"/>
      <c r="O61" s="880"/>
    </row>
    <row r="62" spans="4:18" ht="12.75" customHeight="1" x14ac:dyDescent="0.25">
      <c r="D62" s="2316" t="s">
        <v>328</v>
      </c>
      <c r="E62" s="2317"/>
      <c r="F62" s="2318"/>
      <c r="G62" s="2319"/>
      <c r="H62" s="2319"/>
      <c r="I62" s="2320"/>
      <c r="J62" s="2321">
        <v>-170444</v>
      </c>
      <c r="K62" s="2321">
        <f>SUM(K59:K61)</f>
        <v>-117736</v>
      </c>
      <c r="L62" s="2321">
        <f>SUM(L59:L61)</f>
        <v>-118451.02</v>
      </c>
      <c r="M62" s="2321">
        <f>SUM(M59:M61)</f>
        <v>-121176</v>
      </c>
      <c r="N62" s="2321">
        <f>SUM(N59:N61)</f>
        <v>-123963</v>
      </c>
      <c r="O62" s="2321">
        <f>SUM(O59:O61)</f>
        <v>-126814</v>
      </c>
    </row>
    <row r="63" spans="4:18" ht="12.75" customHeight="1" x14ac:dyDescent="0.25">
      <c r="E63" s="877"/>
      <c r="F63" s="878"/>
      <c r="J63" s="885"/>
      <c r="K63" s="885"/>
      <c r="L63" s="885"/>
      <c r="M63" s="885"/>
      <c r="N63" s="885"/>
      <c r="O63" s="885"/>
    </row>
    <row r="64" spans="4:18" ht="12.75" customHeight="1" x14ac:dyDescent="0.3">
      <c r="D64" s="2322" t="s">
        <v>976</v>
      </c>
      <c r="E64" s="2323"/>
      <c r="F64" s="2323"/>
      <c r="G64" s="2319"/>
      <c r="H64" s="2319"/>
      <c r="I64" s="2319"/>
      <c r="J64" s="2324">
        <v>1036854</v>
      </c>
      <c r="K64" s="2324">
        <f>K56+K62</f>
        <v>549983.30035000003</v>
      </c>
      <c r="L64" s="2324">
        <f>L56+L62</f>
        <v>586722.4953675</v>
      </c>
      <c r="M64" s="2324">
        <f>M56+M62</f>
        <v>590794.94113587495</v>
      </c>
      <c r="N64" s="2324">
        <f>N56+N62</f>
        <v>618370.33819266874</v>
      </c>
      <c r="O64" s="2324">
        <f>O56+O62</f>
        <v>610072</v>
      </c>
    </row>
    <row r="65" spans="1:15" ht="12.75" customHeight="1" x14ac:dyDescent="0.3">
      <c r="E65" s="877"/>
      <c r="F65" s="878"/>
      <c r="J65" s="885"/>
      <c r="K65" s="885"/>
    </row>
    <row r="66" spans="1:15" ht="12.75" customHeight="1" x14ac:dyDescent="0.3">
      <c r="E66" s="864"/>
      <c r="F66" s="864"/>
      <c r="J66" s="885"/>
      <c r="K66" s="885"/>
    </row>
    <row r="67" spans="1:15" ht="12.75" customHeight="1" x14ac:dyDescent="0.3">
      <c r="D67" s="870" t="s">
        <v>528</v>
      </c>
      <c r="E67" s="886"/>
      <c r="F67" s="886"/>
      <c r="I67" s="885"/>
      <c r="J67" s="885"/>
      <c r="K67" s="885"/>
    </row>
    <row r="69" spans="1:15" ht="12.75" customHeight="1" x14ac:dyDescent="0.25">
      <c r="D69" s="2585" t="s">
        <v>531</v>
      </c>
      <c r="E69" s="2325" t="s">
        <v>530</v>
      </c>
      <c r="F69" s="2585"/>
      <c r="G69" s="2587" t="s">
        <v>206</v>
      </c>
      <c r="H69" s="2588"/>
      <c r="I69" s="2326"/>
      <c r="J69" s="2320"/>
      <c r="K69" s="2320"/>
      <c r="L69" s="2320"/>
      <c r="M69" s="2320"/>
      <c r="N69" s="2320"/>
      <c r="O69" s="2320"/>
    </row>
    <row r="70" spans="1:15" ht="12.75" customHeight="1" x14ac:dyDescent="0.25">
      <c r="D70" s="2586"/>
      <c r="E70" s="887" t="s">
        <v>532</v>
      </c>
      <c r="F70" s="2586"/>
      <c r="G70" s="2589"/>
      <c r="H70" s="2590"/>
      <c r="I70" s="276"/>
      <c r="J70" s="2327">
        <v>2025</v>
      </c>
      <c r="K70" s="2327">
        <v>2026</v>
      </c>
      <c r="L70" s="2327">
        <v>2027</v>
      </c>
      <c r="M70" s="2327">
        <v>2028</v>
      </c>
      <c r="N70" s="2327">
        <v>2029</v>
      </c>
      <c r="O70" s="2327">
        <v>2030</v>
      </c>
    </row>
    <row r="71" spans="1:15" ht="12.75" customHeight="1" x14ac:dyDescent="0.25">
      <c r="D71" s="2328"/>
      <c r="E71" s="888"/>
      <c r="F71" s="888"/>
      <c r="G71" s="2329"/>
      <c r="H71" s="889"/>
      <c r="I71" s="2326"/>
      <c r="J71" s="2328"/>
      <c r="K71" s="2328"/>
      <c r="L71" s="2328"/>
      <c r="M71" s="2328"/>
      <c r="N71" s="2328"/>
      <c r="O71" s="2328"/>
    </row>
    <row r="72" spans="1:15" ht="12.75" customHeight="1" x14ac:dyDescent="0.25">
      <c r="A72" s="2336"/>
      <c r="D72" s="890">
        <f>D104</f>
        <v>677001</v>
      </c>
      <c r="E72" s="891"/>
      <c r="F72" s="891"/>
      <c r="G72" s="892" t="str">
        <f>E104</f>
        <v>Exploitatie Bestwijzer</v>
      </c>
      <c r="I72" s="879"/>
      <c r="J72" s="2346"/>
      <c r="K72" s="2346"/>
      <c r="L72" s="2346"/>
      <c r="M72" s="2346"/>
      <c r="N72" s="2346"/>
      <c r="O72" s="2346"/>
    </row>
    <row r="73" spans="1:15" ht="12.75" customHeight="1" x14ac:dyDescent="0.25">
      <c r="A73" s="2336"/>
      <c r="D73" s="2347"/>
      <c r="E73" s="893"/>
      <c r="F73" s="893"/>
      <c r="G73" s="894" t="s">
        <v>533</v>
      </c>
      <c r="I73" s="879"/>
      <c r="J73" s="2346"/>
      <c r="K73" s="2346"/>
      <c r="L73" s="2346"/>
      <c r="M73" s="2346"/>
      <c r="N73" s="2346"/>
      <c r="O73" s="2346"/>
    </row>
    <row r="74" spans="1:15" ht="12.75" customHeight="1" x14ac:dyDescent="0.25">
      <c r="A74" s="2336">
        <f>D72</f>
        <v>677001</v>
      </c>
      <c r="B74" s="863" t="str">
        <f>G72</f>
        <v>Exploitatie Bestwijzer</v>
      </c>
      <c r="D74" s="893">
        <v>42100</v>
      </c>
      <c r="E74" s="893"/>
      <c r="F74" s="893"/>
      <c r="G74" s="2592" t="s">
        <v>4164</v>
      </c>
      <c r="H74" s="2593"/>
      <c r="I74" s="2594"/>
      <c r="J74" s="875">
        <v>4153</v>
      </c>
      <c r="K74" s="875">
        <f t="shared" ref="K74:O76" si="4">ROUND(J74*S$2,0)</f>
        <v>4261</v>
      </c>
      <c r="L74" s="875">
        <f t="shared" si="4"/>
        <v>4350</v>
      </c>
      <c r="M74" s="875">
        <f t="shared" si="4"/>
        <v>4450</v>
      </c>
      <c r="N74" s="875">
        <f t="shared" si="4"/>
        <v>4552</v>
      </c>
      <c r="O74" s="875">
        <f t="shared" si="4"/>
        <v>4657</v>
      </c>
    </row>
    <row r="75" spans="1:15" ht="12.75" customHeight="1" x14ac:dyDescent="0.25">
      <c r="A75" s="862">
        <f>D72</f>
        <v>677001</v>
      </c>
      <c r="B75" s="863" t="str">
        <f>G72</f>
        <v>Exploitatie Bestwijzer</v>
      </c>
      <c r="D75" s="893">
        <v>43802</v>
      </c>
      <c r="E75" s="893"/>
      <c r="F75" s="893"/>
      <c r="G75" s="895" t="s">
        <v>991</v>
      </c>
      <c r="I75" s="880"/>
      <c r="J75" s="875">
        <v>17639</v>
      </c>
      <c r="K75" s="875">
        <f t="shared" si="4"/>
        <v>18098</v>
      </c>
      <c r="L75" s="875">
        <f t="shared" si="4"/>
        <v>18478</v>
      </c>
      <c r="M75" s="875">
        <f t="shared" si="4"/>
        <v>18903</v>
      </c>
      <c r="N75" s="875">
        <f t="shared" si="4"/>
        <v>19338</v>
      </c>
      <c r="O75" s="875">
        <f t="shared" si="4"/>
        <v>19783</v>
      </c>
    </row>
    <row r="76" spans="1:15" ht="12.75" customHeight="1" x14ac:dyDescent="0.25">
      <c r="A76" s="862">
        <f>D72</f>
        <v>677001</v>
      </c>
      <c r="B76" s="863" t="str">
        <f>G72</f>
        <v>Exploitatie Bestwijzer</v>
      </c>
      <c r="D76" s="893">
        <v>43806</v>
      </c>
      <c r="E76" s="893"/>
      <c r="F76" s="893"/>
      <c r="G76" s="895" t="s">
        <v>4165</v>
      </c>
      <c r="I76" s="880"/>
      <c r="J76" s="875">
        <v>253</v>
      </c>
      <c r="K76" s="875">
        <f t="shared" si="4"/>
        <v>260</v>
      </c>
      <c r="L76" s="875">
        <f t="shared" si="4"/>
        <v>265</v>
      </c>
      <c r="M76" s="875">
        <f t="shared" si="4"/>
        <v>271</v>
      </c>
      <c r="N76" s="875">
        <f t="shared" si="4"/>
        <v>277</v>
      </c>
      <c r="O76" s="875">
        <f t="shared" si="4"/>
        <v>283</v>
      </c>
    </row>
    <row r="77" spans="1:15" ht="12.75" customHeight="1" x14ac:dyDescent="0.25">
      <c r="A77" s="862">
        <f>D72</f>
        <v>677001</v>
      </c>
      <c r="B77" s="863" t="str">
        <f>G72</f>
        <v>Exploitatie Bestwijzer</v>
      </c>
      <c r="D77" s="893">
        <f>D106</f>
        <v>43812</v>
      </c>
      <c r="E77" s="893"/>
      <c r="F77" s="893"/>
      <c r="G77" s="2349" t="s">
        <v>535</v>
      </c>
      <c r="I77" s="880"/>
      <c r="J77" s="875">
        <v>117720</v>
      </c>
      <c r="K77" s="875">
        <f>K117</f>
        <v>120790</v>
      </c>
      <c r="L77" s="875">
        <f>L117</f>
        <v>123320</v>
      </c>
      <c r="M77" s="875">
        <f>M117</f>
        <v>126160</v>
      </c>
      <c r="N77" s="875">
        <f>N117</f>
        <v>129070</v>
      </c>
      <c r="O77" s="875">
        <f>O117</f>
        <v>132040</v>
      </c>
    </row>
    <row r="78" spans="1:15" ht="12.75" customHeight="1" x14ac:dyDescent="0.25">
      <c r="A78" s="862">
        <f>+D72</f>
        <v>677001</v>
      </c>
      <c r="B78" s="863" t="str">
        <f>G72</f>
        <v>Exploitatie Bestwijzer</v>
      </c>
      <c r="D78" s="893">
        <f>D120</f>
        <v>43817</v>
      </c>
      <c r="E78" s="893"/>
      <c r="F78" s="893"/>
      <c r="G78" s="2349" t="s">
        <v>1835</v>
      </c>
      <c r="I78" s="880"/>
      <c r="J78" s="875">
        <v>9600</v>
      </c>
      <c r="K78" s="875">
        <f>+K121</f>
        <v>9850</v>
      </c>
      <c r="L78" s="875">
        <f>+L121</f>
        <v>10060</v>
      </c>
      <c r="M78" s="875">
        <f>+M121</f>
        <v>10290</v>
      </c>
      <c r="N78" s="875">
        <f>+N121</f>
        <v>10530</v>
      </c>
      <c r="O78" s="875">
        <f>+O121</f>
        <v>10770</v>
      </c>
    </row>
    <row r="79" spans="1:15" ht="12.75" customHeight="1" x14ac:dyDescent="0.25">
      <c r="A79" s="896">
        <f>D72</f>
        <v>677001</v>
      </c>
      <c r="B79" s="904" t="str">
        <f>G72</f>
        <v>Exploitatie Bestwijzer</v>
      </c>
      <c r="D79" s="893">
        <v>47201</v>
      </c>
      <c r="E79" s="893"/>
      <c r="F79" s="893"/>
      <c r="G79" s="895" t="s">
        <v>4166</v>
      </c>
      <c r="I79" s="880"/>
      <c r="J79" s="875">
        <v>21033</v>
      </c>
      <c r="K79" s="875">
        <v>22084.300350000001</v>
      </c>
      <c r="L79" s="875">
        <v>23188.515367500004</v>
      </c>
      <c r="M79" s="875">
        <v>24347.941135875004</v>
      </c>
      <c r="N79" s="875">
        <v>25565.338192668754</v>
      </c>
      <c r="O79" s="2350">
        <v>0</v>
      </c>
    </row>
    <row r="80" spans="1:15" ht="12.75" customHeight="1" thickBot="1" x14ac:dyDescent="0.3">
      <c r="D80" s="2331"/>
      <c r="E80" s="2331"/>
      <c r="F80" s="2331"/>
      <c r="G80" s="895" t="s">
        <v>536</v>
      </c>
      <c r="I80" s="880"/>
      <c r="J80" s="897">
        <v>170398</v>
      </c>
      <c r="K80" s="897">
        <f>SUM(K74:K79)</f>
        <v>175343.30035</v>
      </c>
      <c r="L80" s="897">
        <f>SUM(L74:L79)</f>
        <v>179661.51536750002</v>
      </c>
      <c r="M80" s="897">
        <f>SUM(M74:M79)</f>
        <v>184421.94113587501</v>
      </c>
      <c r="N80" s="897">
        <f>SUM(N74:N79)</f>
        <v>189332.33819266874</v>
      </c>
      <c r="O80" s="897">
        <f>SUM(O74:O79)</f>
        <v>167533</v>
      </c>
    </row>
    <row r="81" spans="1:15" ht="12.75" customHeight="1" thickTop="1" x14ac:dyDescent="0.25">
      <c r="D81" s="2331"/>
      <c r="E81" s="2331"/>
      <c r="F81" s="2331"/>
      <c r="G81" s="895"/>
      <c r="I81" s="880"/>
      <c r="J81" s="880"/>
      <c r="K81" s="880"/>
      <c r="L81" s="880"/>
      <c r="M81" s="880"/>
      <c r="N81" s="880"/>
      <c r="O81" s="880"/>
    </row>
    <row r="82" spans="1:15" ht="12.75" customHeight="1" x14ac:dyDescent="0.25">
      <c r="D82" s="890">
        <f>D123</f>
        <v>677002</v>
      </c>
      <c r="E82" s="891"/>
      <c r="F82" s="891"/>
      <c r="G82" s="2332" t="str">
        <f>E123</f>
        <v>Integrale toegang</v>
      </c>
      <c r="I82" s="880"/>
      <c r="J82" s="875"/>
      <c r="K82" s="875"/>
      <c r="L82" s="875"/>
      <c r="M82" s="875"/>
      <c r="N82" s="875"/>
      <c r="O82" s="875"/>
    </row>
    <row r="83" spans="1:15" ht="12.75" customHeight="1" x14ac:dyDescent="0.25">
      <c r="D83" s="890"/>
      <c r="E83" s="891"/>
      <c r="F83" s="891"/>
      <c r="G83" s="894" t="s">
        <v>533</v>
      </c>
      <c r="I83" s="880"/>
      <c r="J83" s="875"/>
      <c r="K83" s="875"/>
      <c r="L83" s="875"/>
      <c r="M83" s="875"/>
      <c r="N83" s="875"/>
      <c r="O83" s="875"/>
    </row>
    <row r="84" spans="1:15" ht="12.75" customHeight="1" x14ac:dyDescent="0.25">
      <c r="A84" s="862">
        <f>D82</f>
        <v>677002</v>
      </c>
      <c r="B84" s="863" t="str">
        <f>G82</f>
        <v>Integrale toegang</v>
      </c>
      <c r="D84" s="893">
        <f>D125</f>
        <v>44380</v>
      </c>
      <c r="E84" s="893"/>
      <c r="F84" s="893"/>
      <c r="G84" s="895" t="s">
        <v>4055</v>
      </c>
      <c r="I84" s="880"/>
      <c r="J84" s="880">
        <v>904100</v>
      </c>
      <c r="K84" s="880">
        <f t="shared" ref="K84:O84" si="5">K129</f>
        <v>364600</v>
      </c>
      <c r="L84" s="880">
        <f t="shared" si="5"/>
        <v>379948</v>
      </c>
      <c r="M84" s="880">
        <f t="shared" si="5"/>
        <v>403151</v>
      </c>
      <c r="N84" s="880">
        <f t="shared" si="5"/>
        <v>427666</v>
      </c>
      <c r="O84" s="880">
        <f t="shared" si="5"/>
        <v>453485</v>
      </c>
    </row>
    <row r="85" spans="1:15" ht="12.75" customHeight="1" thickBot="1" x14ac:dyDescent="0.3">
      <c r="A85" s="896"/>
      <c r="D85" s="2331"/>
      <c r="E85" s="2331"/>
      <c r="F85" s="2331"/>
      <c r="G85" s="895" t="s">
        <v>536</v>
      </c>
      <c r="I85" s="880"/>
      <c r="J85" s="2333">
        <v>904100</v>
      </c>
      <c r="K85" s="2333">
        <f t="shared" ref="K85:O85" si="6">SUM(K83:K84)</f>
        <v>364600</v>
      </c>
      <c r="L85" s="2333">
        <f t="shared" si="6"/>
        <v>379948</v>
      </c>
      <c r="M85" s="2333">
        <f t="shared" si="6"/>
        <v>403151</v>
      </c>
      <c r="N85" s="2333">
        <f t="shared" si="6"/>
        <v>427666</v>
      </c>
      <c r="O85" s="2333">
        <f t="shared" si="6"/>
        <v>453485</v>
      </c>
    </row>
    <row r="86" spans="1:15" ht="12.75" customHeight="1" thickTop="1" x14ac:dyDescent="0.25">
      <c r="A86" s="896"/>
      <c r="D86" s="2331"/>
      <c r="E86" s="2331"/>
      <c r="F86" s="2331"/>
      <c r="G86" s="895"/>
      <c r="I86" s="880"/>
      <c r="J86" s="875"/>
      <c r="K86" s="875"/>
      <c r="L86" s="875"/>
      <c r="M86" s="875"/>
      <c r="N86" s="875"/>
      <c r="O86" s="875"/>
    </row>
    <row r="87" spans="1:15" ht="12.75" customHeight="1" x14ac:dyDescent="0.25">
      <c r="A87" s="2334"/>
      <c r="D87" s="890">
        <f>D133</f>
        <v>677901</v>
      </c>
      <c r="E87" s="891"/>
      <c r="F87" s="891"/>
      <c r="G87" s="892" t="str">
        <f>E133</f>
        <v>Directe toerekening integraal toegang/1e lijns</v>
      </c>
      <c r="I87" s="880"/>
      <c r="J87" s="875"/>
      <c r="K87" s="875"/>
      <c r="L87" s="875"/>
      <c r="M87" s="875"/>
      <c r="N87" s="875"/>
      <c r="O87" s="875"/>
    </row>
    <row r="88" spans="1:15" ht="12.75" customHeight="1" x14ac:dyDescent="0.25">
      <c r="D88" s="2330"/>
      <c r="E88" s="2335"/>
      <c r="F88" s="2335"/>
      <c r="G88" s="894" t="s">
        <v>533</v>
      </c>
      <c r="I88" s="880"/>
      <c r="J88" s="875"/>
      <c r="K88" s="875"/>
      <c r="L88" s="875"/>
      <c r="M88" s="875"/>
      <c r="N88" s="875"/>
      <c r="O88" s="875"/>
    </row>
    <row r="89" spans="1:15" ht="12.75" customHeight="1" x14ac:dyDescent="0.25">
      <c r="A89" s="862">
        <f>D87</f>
        <v>677901</v>
      </c>
      <c r="B89" s="863" t="str">
        <f>G87</f>
        <v>Directe toerekening integraal toegang/1e lijns</v>
      </c>
      <c r="D89" s="2331">
        <f>D135</f>
        <v>41100</v>
      </c>
      <c r="E89" s="2331"/>
      <c r="F89" s="893"/>
      <c r="G89" s="895" t="s">
        <v>700</v>
      </c>
      <c r="I89" s="880"/>
      <c r="J89" s="875">
        <v>104738</v>
      </c>
      <c r="K89" s="875">
        <f t="shared" ref="K89:O89" si="7">K137</f>
        <v>99714</v>
      </c>
      <c r="L89" s="875">
        <f t="shared" si="7"/>
        <v>103902</v>
      </c>
      <c r="M89" s="875">
        <f t="shared" si="7"/>
        <v>107747</v>
      </c>
      <c r="N89" s="875">
        <f t="shared" si="7"/>
        <v>111734</v>
      </c>
      <c r="O89" s="875">
        <f t="shared" si="7"/>
        <v>115868</v>
      </c>
    </row>
    <row r="90" spans="1:15" ht="12.75" customHeight="1" x14ac:dyDescent="0.25">
      <c r="A90" s="862">
        <f>D87</f>
        <v>677901</v>
      </c>
      <c r="B90" s="863" t="str">
        <f>G87</f>
        <v>Directe toerekening integraal toegang/1e lijns</v>
      </c>
      <c r="D90" s="2331">
        <v>47300</v>
      </c>
      <c r="E90" s="2331"/>
      <c r="F90" s="2331"/>
      <c r="G90" s="895" t="s">
        <v>1033</v>
      </c>
      <c r="I90" s="880"/>
      <c r="J90" s="880">
        <v>28062</v>
      </c>
      <c r="K90" s="880">
        <f>28062</f>
        <v>28062</v>
      </c>
      <c r="L90" s="880">
        <v>41662</v>
      </c>
      <c r="M90" s="880">
        <v>16651</v>
      </c>
      <c r="N90" s="880">
        <v>13601</v>
      </c>
      <c r="O90" s="2351">
        <v>0</v>
      </c>
    </row>
    <row r="91" spans="1:15" ht="12.75" customHeight="1" thickBot="1" x14ac:dyDescent="0.3">
      <c r="A91" s="2336"/>
      <c r="D91" s="893"/>
      <c r="E91" s="893"/>
      <c r="F91" s="893"/>
      <c r="G91" s="895" t="s">
        <v>536</v>
      </c>
      <c r="I91" s="880"/>
      <c r="J91" s="2333">
        <v>132800</v>
      </c>
      <c r="K91" s="2333">
        <f t="shared" ref="K91:O91" si="8">SUM(K89:K90)</f>
        <v>127776</v>
      </c>
      <c r="L91" s="2333">
        <f t="shared" si="8"/>
        <v>145564</v>
      </c>
      <c r="M91" s="2333">
        <f t="shared" si="8"/>
        <v>124398</v>
      </c>
      <c r="N91" s="2333">
        <f t="shared" si="8"/>
        <v>125335</v>
      </c>
      <c r="O91" s="2333">
        <f t="shared" si="8"/>
        <v>115868</v>
      </c>
    </row>
    <row r="92" spans="1:15" ht="12.75" customHeight="1" thickTop="1" x14ac:dyDescent="0.25">
      <c r="A92" s="2334"/>
      <c r="D92" s="893"/>
      <c r="E92" s="893"/>
      <c r="F92" s="893"/>
      <c r="G92" s="895"/>
      <c r="I92" s="880"/>
      <c r="J92" s="875"/>
      <c r="K92" s="875"/>
      <c r="L92" s="875"/>
      <c r="M92" s="875"/>
      <c r="N92" s="875"/>
      <c r="O92" s="875"/>
    </row>
    <row r="93" spans="1:15" ht="12.75" customHeight="1" x14ac:dyDescent="0.25">
      <c r="A93" s="2334"/>
      <c r="D93" s="891">
        <f>D139</f>
        <v>677001</v>
      </c>
      <c r="E93" s="893"/>
      <c r="F93" s="893"/>
      <c r="G93" s="2332" t="str">
        <f>E139</f>
        <v>Nazarethstraat 173 (Bestwijzer)</v>
      </c>
      <c r="I93" s="880"/>
      <c r="J93" s="875"/>
      <c r="K93" s="875"/>
      <c r="L93" s="875"/>
      <c r="M93" s="875"/>
      <c r="N93" s="875"/>
      <c r="O93" s="875"/>
    </row>
    <row r="94" spans="1:15" ht="12.75" customHeight="1" x14ac:dyDescent="0.25">
      <c r="A94" s="2334"/>
      <c r="D94" s="893"/>
      <c r="E94" s="893"/>
      <c r="F94" s="893"/>
      <c r="G94" s="894" t="s">
        <v>554</v>
      </c>
      <c r="I94" s="880"/>
      <c r="J94" s="875"/>
      <c r="K94" s="875"/>
      <c r="L94" s="875"/>
      <c r="M94" s="875"/>
      <c r="N94" s="875"/>
      <c r="O94" s="875"/>
    </row>
    <row r="95" spans="1:15" ht="12.75" customHeight="1" x14ac:dyDescent="0.25">
      <c r="A95" s="862">
        <f>D93</f>
        <v>677001</v>
      </c>
      <c r="B95" s="863" t="str">
        <f>G93</f>
        <v>Nazarethstraat 173 (Bestwijzer)</v>
      </c>
      <c r="D95" s="893">
        <f>D141</f>
        <v>83600</v>
      </c>
      <c r="E95" s="893"/>
      <c r="F95" s="893"/>
      <c r="G95" s="895" t="s">
        <v>1010</v>
      </c>
      <c r="I95" s="880"/>
      <c r="J95" s="875">
        <v>-170444</v>
      </c>
      <c r="K95" s="875">
        <f>K143</f>
        <v>-117736</v>
      </c>
      <c r="L95" s="875">
        <f t="shared" ref="L95:O95" si="9">L143</f>
        <v>-118451.02</v>
      </c>
      <c r="M95" s="875">
        <f t="shared" si="9"/>
        <v>-121176</v>
      </c>
      <c r="N95" s="875">
        <f t="shared" si="9"/>
        <v>-123963</v>
      </c>
      <c r="O95" s="875">
        <f t="shared" si="9"/>
        <v>-126814</v>
      </c>
    </row>
    <row r="96" spans="1:15" ht="12.75" customHeight="1" thickBot="1" x14ac:dyDescent="0.3">
      <c r="A96" s="2334"/>
      <c r="D96" s="893"/>
      <c r="E96" s="893"/>
      <c r="F96" s="893"/>
      <c r="G96" s="895"/>
      <c r="I96" s="880"/>
      <c r="J96" s="2333">
        <v>-170444</v>
      </c>
      <c r="K96" s="2333">
        <f t="shared" ref="K96:O96" si="10">SUM(K95)</f>
        <v>-117736</v>
      </c>
      <c r="L96" s="2333">
        <f t="shared" si="10"/>
        <v>-118451.02</v>
      </c>
      <c r="M96" s="2333">
        <f t="shared" si="10"/>
        <v>-121176</v>
      </c>
      <c r="N96" s="2333">
        <f t="shared" si="10"/>
        <v>-123963</v>
      </c>
      <c r="O96" s="2333">
        <f t="shared" si="10"/>
        <v>-126814</v>
      </c>
    </row>
    <row r="97" spans="1:16" ht="12.75" customHeight="1" thickTop="1" x14ac:dyDescent="0.25">
      <c r="A97" s="2334"/>
      <c r="D97" s="893"/>
      <c r="E97" s="893"/>
      <c r="F97" s="893"/>
      <c r="G97" s="895"/>
      <c r="I97" s="880"/>
      <c r="J97" s="875"/>
      <c r="K97" s="875"/>
      <c r="L97" s="875"/>
      <c r="M97" s="875"/>
      <c r="N97" s="875"/>
      <c r="O97" s="875"/>
    </row>
    <row r="98" spans="1:16" ht="12.75" customHeight="1" x14ac:dyDescent="0.25">
      <c r="D98" s="893"/>
      <c r="E98" s="893"/>
      <c r="F98" s="893"/>
      <c r="G98" s="895"/>
      <c r="I98" s="880"/>
      <c r="J98" s="875"/>
      <c r="K98" s="875"/>
      <c r="L98" s="875"/>
      <c r="M98" s="875"/>
      <c r="N98" s="875"/>
      <c r="O98" s="875"/>
    </row>
    <row r="99" spans="1:16" ht="12.75" customHeight="1" x14ac:dyDescent="0.25">
      <c r="D99" s="2337"/>
      <c r="E99" s="2337"/>
      <c r="F99" s="2337"/>
      <c r="G99" s="899"/>
      <c r="H99" s="884"/>
      <c r="I99" s="900"/>
      <c r="J99" s="901"/>
      <c r="K99" s="901"/>
      <c r="L99" s="901"/>
      <c r="M99" s="901"/>
      <c r="N99" s="901"/>
      <c r="O99" s="901"/>
    </row>
    <row r="100" spans="1:16" ht="12.75" customHeight="1" x14ac:dyDescent="0.25">
      <c r="D100" s="865"/>
      <c r="I100" s="885"/>
      <c r="J100" s="885"/>
      <c r="K100" s="885"/>
      <c r="L100" s="885"/>
      <c r="M100" s="885"/>
      <c r="N100" s="885"/>
      <c r="O100" s="885"/>
    </row>
    <row r="101" spans="1:16" ht="12.75" customHeight="1" x14ac:dyDescent="0.3">
      <c r="D101" s="865"/>
      <c r="I101" s="885"/>
      <c r="J101" s="885"/>
      <c r="K101" s="885"/>
    </row>
    <row r="102" spans="1:16" ht="12.75" customHeight="1" x14ac:dyDescent="0.3">
      <c r="D102" s="902" t="s">
        <v>561</v>
      </c>
      <c r="E102" s="903"/>
      <c r="F102" s="903"/>
      <c r="H102" s="885"/>
    </row>
    <row r="103" spans="1:16" ht="12.75" customHeight="1" x14ac:dyDescent="0.3">
      <c r="D103" s="903"/>
      <c r="E103" s="903"/>
      <c r="F103" s="903"/>
      <c r="G103" s="868"/>
      <c r="H103" s="885"/>
    </row>
    <row r="104" spans="1:16" ht="12.75" customHeight="1" x14ac:dyDescent="0.25">
      <c r="D104" s="905">
        <v>677001</v>
      </c>
      <c r="E104" s="868" t="s">
        <v>4167</v>
      </c>
      <c r="F104" s="886"/>
      <c r="I104" s="885"/>
      <c r="J104" s="908">
        <v>2025</v>
      </c>
      <c r="K104" s="908">
        <v>2026</v>
      </c>
      <c r="L104" s="908">
        <v>2027</v>
      </c>
      <c r="M104" s="908">
        <v>2028</v>
      </c>
      <c r="N104" s="908">
        <v>2029</v>
      </c>
      <c r="O104" s="908">
        <v>2030</v>
      </c>
      <c r="P104" s="885"/>
    </row>
    <row r="105" spans="1:16" ht="12.75" customHeight="1" x14ac:dyDescent="0.25">
      <c r="D105" s="2352"/>
      <c r="E105" s="873" t="s">
        <v>533</v>
      </c>
      <c r="F105" s="2353"/>
      <c r="I105" s="885"/>
      <c r="L105" s="863"/>
      <c r="M105" s="863"/>
      <c r="N105" s="863"/>
      <c r="O105" s="863"/>
    </row>
    <row r="106" spans="1:16" ht="12.75" customHeight="1" x14ac:dyDescent="0.25">
      <c r="D106" s="865">
        <v>43812</v>
      </c>
      <c r="E106" s="2354" t="s">
        <v>4168</v>
      </c>
      <c r="I106" s="885"/>
      <c r="J106" s="885"/>
      <c r="K106" s="885"/>
      <c r="L106" s="885"/>
      <c r="M106" s="885"/>
      <c r="N106" s="885"/>
      <c r="O106" s="885"/>
    </row>
    <row r="107" spans="1:16" ht="12.75" customHeight="1" x14ac:dyDescent="0.25">
      <c r="D107" s="865"/>
      <c r="E107" s="863" t="s">
        <v>4169</v>
      </c>
      <c r="I107" s="885"/>
      <c r="J107" s="885">
        <v>23240</v>
      </c>
      <c r="K107" s="885">
        <f>ROUND(23240*S$2,-1)</f>
        <v>23840</v>
      </c>
      <c r="L107" s="885">
        <f t="shared" ref="L107:O116" si="11">ROUND(K107*T$2,-1)</f>
        <v>24340</v>
      </c>
      <c r="M107" s="885">
        <f t="shared" si="11"/>
        <v>24900</v>
      </c>
      <c r="N107" s="885">
        <f t="shared" si="11"/>
        <v>25470</v>
      </c>
      <c r="O107" s="885">
        <f t="shared" si="11"/>
        <v>26060</v>
      </c>
    </row>
    <row r="108" spans="1:16" ht="12.75" customHeight="1" x14ac:dyDescent="0.25">
      <c r="D108" s="865"/>
      <c r="E108" s="863" t="s">
        <v>4170</v>
      </c>
      <c r="I108" s="885"/>
      <c r="J108" s="885">
        <v>12510</v>
      </c>
      <c r="K108" s="885">
        <f>ROUND(12510*S$2,-1)</f>
        <v>12840</v>
      </c>
      <c r="L108" s="885">
        <f t="shared" si="11"/>
        <v>13110</v>
      </c>
      <c r="M108" s="885">
        <f t="shared" si="11"/>
        <v>13410</v>
      </c>
      <c r="N108" s="885">
        <f t="shared" si="11"/>
        <v>13720</v>
      </c>
      <c r="O108" s="885">
        <f t="shared" si="11"/>
        <v>14040</v>
      </c>
    </row>
    <row r="109" spans="1:16" ht="12.75" customHeight="1" x14ac:dyDescent="0.25">
      <c r="D109" s="865"/>
      <c r="E109" s="863" t="s">
        <v>4171</v>
      </c>
      <c r="I109" s="885"/>
      <c r="J109" s="885">
        <v>3330</v>
      </c>
      <c r="K109" s="885">
        <f>ROUND(3330*S$2,-1)</f>
        <v>3420</v>
      </c>
      <c r="L109" s="885">
        <f t="shared" si="11"/>
        <v>3490</v>
      </c>
      <c r="M109" s="885">
        <f t="shared" si="11"/>
        <v>3570</v>
      </c>
      <c r="N109" s="885">
        <f t="shared" si="11"/>
        <v>3650</v>
      </c>
      <c r="O109" s="885">
        <f t="shared" si="11"/>
        <v>3730</v>
      </c>
    </row>
    <row r="110" spans="1:16" ht="12.75" customHeight="1" x14ac:dyDescent="0.25">
      <c r="D110" s="865"/>
      <c r="E110" s="863" t="s">
        <v>4172</v>
      </c>
      <c r="I110" s="885"/>
      <c r="J110" s="885">
        <v>3350</v>
      </c>
      <c r="K110" s="885">
        <f>ROUND(3350*S$2,-1)</f>
        <v>3440</v>
      </c>
      <c r="L110" s="885">
        <f t="shared" si="11"/>
        <v>3510</v>
      </c>
      <c r="M110" s="885">
        <f t="shared" si="11"/>
        <v>3590</v>
      </c>
      <c r="N110" s="885">
        <f t="shared" si="11"/>
        <v>3670</v>
      </c>
      <c r="O110" s="885">
        <f t="shared" si="11"/>
        <v>3750</v>
      </c>
    </row>
    <row r="111" spans="1:16" ht="12.75" customHeight="1" x14ac:dyDescent="0.25">
      <c r="D111" s="865"/>
      <c r="E111" s="863" t="s">
        <v>4173</v>
      </c>
      <c r="I111" s="885"/>
      <c r="J111" s="885">
        <v>15730</v>
      </c>
      <c r="K111" s="885">
        <f>ROUND(15730*S$2,-1)</f>
        <v>16140</v>
      </c>
      <c r="L111" s="885">
        <f t="shared" si="11"/>
        <v>16480</v>
      </c>
      <c r="M111" s="885">
        <f t="shared" si="11"/>
        <v>16860</v>
      </c>
      <c r="N111" s="885">
        <f t="shared" si="11"/>
        <v>17250</v>
      </c>
      <c r="O111" s="885">
        <f t="shared" si="11"/>
        <v>17650</v>
      </c>
    </row>
    <row r="112" spans="1:16" ht="12.75" customHeight="1" x14ac:dyDescent="0.25">
      <c r="D112" s="865"/>
      <c r="E112" s="2355" t="s">
        <v>4174</v>
      </c>
      <c r="I112" s="885"/>
      <c r="J112" s="885">
        <v>13200</v>
      </c>
      <c r="K112" s="885">
        <f>ROUND(13200*S$2,-1)</f>
        <v>13540</v>
      </c>
      <c r="L112" s="885">
        <f t="shared" si="11"/>
        <v>13820</v>
      </c>
      <c r="M112" s="885">
        <f t="shared" si="11"/>
        <v>14140</v>
      </c>
      <c r="N112" s="885">
        <f t="shared" si="11"/>
        <v>14470</v>
      </c>
      <c r="O112" s="885">
        <f t="shared" si="11"/>
        <v>14800</v>
      </c>
    </row>
    <row r="113" spans="1:18" ht="12.75" customHeight="1" x14ac:dyDescent="0.25">
      <c r="D113" s="865"/>
      <c r="E113" s="863" t="s">
        <v>4175</v>
      </c>
      <c r="I113" s="885"/>
      <c r="J113" s="885">
        <v>5490</v>
      </c>
      <c r="K113" s="885">
        <f>ROUND(5490*S$2,-1)</f>
        <v>5630</v>
      </c>
      <c r="L113" s="885">
        <f t="shared" si="11"/>
        <v>5750</v>
      </c>
      <c r="M113" s="885">
        <f t="shared" si="11"/>
        <v>5880</v>
      </c>
      <c r="N113" s="885">
        <f t="shared" si="11"/>
        <v>6020</v>
      </c>
      <c r="O113" s="885">
        <f t="shared" si="11"/>
        <v>6160</v>
      </c>
    </row>
    <row r="114" spans="1:18" ht="12.75" customHeight="1" x14ac:dyDescent="0.25">
      <c r="D114" s="865"/>
      <c r="E114" s="2356" t="s">
        <v>4176</v>
      </c>
      <c r="I114" s="885"/>
      <c r="J114" s="885">
        <v>31140</v>
      </c>
      <c r="K114" s="885">
        <f>ROUND(31140*S$2,-1)</f>
        <v>31950</v>
      </c>
      <c r="L114" s="885">
        <f t="shared" si="11"/>
        <v>32620</v>
      </c>
      <c r="M114" s="885">
        <f t="shared" si="11"/>
        <v>33370</v>
      </c>
      <c r="N114" s="885">
        <f t="shared" si="11"/>
        <v>34140</v>
      </c>
      <c r="O114" s="885">
        <f t="shared" si="11"/>
        <v>34930</v>
      </c>
    </row>
    <row r="115" spans="1:18" ht="12.75" customHeight="1" x14ac:dyDescent="0.25">
      <c r="D115" s="865"/>
      <c r="E115" s="863" t="s">
        <v>4177</v>
      </c>
      <c r="I115" s="885"/>
      <c r="J115" s="885">
        <v>4100</v>
      </c>
      <c r="K115" s="885">
        <f>ROUND(4100*S$2,-1)</f>
        <v>4210</v>
      </c>
      <c r="L115" s="885">
        <f t="shared" si="11"/>
        <v>4300</v>
      </c>
      <c r="M115" s="885">
        <f t="shared" si="11"/>
        <v>4400</v>
      </c>
      <c r="N115" s="885">
        <f t="shared" si="11"/>
        <v>4500</v>
      </c>
      <c r="O115" s="885">
        <f t="shared" si="11"/>
        <v>4600</v>
      </c>
    </row>
    <row r="116" spans="1:18" ht="12.75" customHeight="1" x14ac:dyDescent="0.25">
      <c r="D116" s="865"/>
      <c r="E116" s="869" t="s">
        <v>4178</v>
      </c>
      <c r="I116" s="885"/>
      <c r="J116" s="885">
        <v>5630</v>
      </c>
      <c r="K116" s="885">
        <f>ROUND(5630*S$2,-1)</f>
        <v>5780</v>
      </c>
      <c r="L116" s="885">
        <f t="shared" si="11"/>
        <v>5900</v>
      </c>
      <c r="M116" s="885">
        <f t="shared" si="11"/>
        <v>6040</v>
      </c>
      <c r="N116" s="885">
        <f t="shared" si="11"/>
        <v>6180</v>
      </c>
      <c r="O116" s="885">
        <f t="shared" si="11"/>
        <v>6320</v>
      </c>
    </row>
    <row r="117" spans="1:18" ht="12.75" customHeight="1" thickBot="1" x14ac:dyDescent="0.3">
      <c r="D117" s="865"/>
      <c r="E117" s="869" t="str">
        <f>"Totaal "&amp;D106</f>
        <v>Totaal 43812</v>
      </c>
      <c r="I117" s="885"/>
      <c r="J117" s="2342">
        <v>117720</v>
      </c>
      <c r="K117" s="2342">
        <f>SUM(K107:K116)</f>
        <v>120790</v>
      </c>
      <c r="L117" s="2342">
        <f>SUM(L107:L116)</f>
        <v>123320</v>
      </c>
      <c r="M117" s="2342">
        <f>SUM(M107:M116)</f>
        <v>126160</v>
      </c>
      <c r="N117" s="2342">
        <f>SUM(N107:N116)</f>
        <v>129070</v>
      </c>
      <c r="O117" s="2342">
        <f>SUM(O107:O116)</f>
        <v>132040</v>
      </c>
    </row>
    <row r="118" spans="1:18" ht="12.75" customHeight="1" thickTop="1" x14ac:dyDescent="0.3">
      <c r="D118" s="865"/>
      <c r="E118" s="869"/>
      <c r="I118" s="885"/>
      <c r="J118" s="885"/>
      <c r="K118" s="885"/>
    </row>
    <row r="119" spans="1:18" ht="12.75" customHeight="1" x14ac:dyDescent="0.3">
      <c r="D119" s="865"/>
      <c r="E119" s="869" t="s">
        <v>1835</v>
      </c>
      <c r="I119" s="885"/>
      <c r="J119" s="885"/>
      <c r="K119" s="885"/>
    </row>
    <row r="120" spans="1:18" ht="12.75" customHeight="1" x14ac:dyDescent="0.25">
      <c r="D120" s="865">
        <v>43817</v>
      </c>
      <c r="E120" s="869" t="s">
        <v>4179</v>
      </c>
      <c r="I120" s="885"/>
      <c r="J120" s="885">
        <v>9600</v>
      </c>
      <c r="K120" s="885">
        <f>ROUND(9600*S$2,-1)</f>
        <v>9850</v>
      </c>
      <c r="L120" s="885">
        <f>ROUND(K120*T$2,-1)</f>
        <v>10060</v>
      </c>
      <c r="M120" s="885">
        <f>ROUND(L120*U$2,-1)</f>
        <v>10290</v>
      </c>
      <c r="N120" s="885">
        <f>ROUND(M120*V$2,-1)</f>
        <v>10530</v>
      </c>
      <c r="O120" s="885">
        <f>ROUND(N120*W$2,-1)</f>
        <v>10770</v>
      </c>
    </row>
    <row r="121" spans="1:18" ht="12.75" customHeight="1" thickBot="1" x14ac:dyDescent="0.3">
      <c r="D121" s="865"/>
      <c r="E121" s="869"/>
      <c r="I121" s="885"/>
      <c r="J121" s="2342">
        <v>9600</v>
      </c>
      <c r="K121" s="2342">
        <f>+K120</f>
        <v>9850</v>
      </c>
      <c r="L121" s="2342">
        <f>+L120</f>
        <v>10060</v>
      </c>
      <c r="M121" s="2342">
        <f>+M120</f>
        <v>10290</v>
      </c>
      <c r="N121" s="2342">
        <f>+N120</f>
        <v>10530</v>
      </c>
      <c r="O121" s="2342">
        <f>+O120</f>
        <v>10770</v>
      </c>
    </row>
    <row r="122" spans="1:18" ht="12.75" customHeight="1" thickTop="1" x14ac:dyDescent="0.25">
      <c r="D122" s="865"/>
      <c r="E122" s="869"/>
      <c r="I122" s="885"/>
      <c r="J122" s="885"/>
      <c r="K122" s="885"/>
      <c r="L122" s="885"/>
      <c r="M122" s="885"/>
      <c r="N122" s="885"/>
      <c r="O122" s="885"/>
    </row>
    <row r="123" spans="1:18" ht="12.75" customHeight="1" x14ac:dyDescent="0.25">
      <c r="A123" s="904"/>
      <c r="D123" s="905">
        <v>677002</v>
      </c>
      <c r="E123" s="2338" t="s">
        <v>4180</v>
      </c>
      <c r="F123" s="886"/>
      <c r="I123" s="885"/>
      <c r="J123" s="885"/>
      <c r="K123" s="885"/>
      <c r="L123" s="885"/>
      <c r="M123" s="885"/>
      <c r="N123" s="885"/>
      <c r="O123" s="885"/>
      <c r="P123" s="885"/>
      <c r="R123" s="863">
        <f>1689100-68218</f>
        <v>1620882</v>
      </c>
    </row>
    <row r="124" spans="1:18" ht="12.75" customHeight="1" x14ac:dyDescent="0.25">
      <c r="A124" s="904"/>
      <c r="D124" s="905"/>
      <c r="E124" s="2339" t="s">
        <v>533</v>
      </c>
      <c r="F124" s="886"/>
      <c r="I124" s="885"/>
      <c r="J124" s="2357"/>
      <c r="K124" s="2357"/>
      <c r="L124" s="2357"/>
      <c r="M124" s="2357"/>
      <c r="N124" s="2357"/>
      <c r="O124" s="2357"/>
    </row>
    <row r="125" spans="1:18" ht="12.75" customHeight="1" x14ac:dyDescent="0.25">
      <c r="A125" s="904"/>
      <c r="D125" s="865">
        <v>44380</v>
      </c>
      <c r="E125" s="2340" t="s">
        <v>4181</v>
      </c>
      <c r="I125" s="885"/>
      <c r="J125" s="885">
        <f>1539100+150000</f>
        <v>1689100</v>
      </c>
      <c r="K125" s="885">
        <f>ROUND(1620882*S$5,-2)</f>
        <v>1695400</v>
      </c>
      <c r="L125" s="885">
        <f>ROUND(K125*T$5,-2)</f>
        <v>1766600</v>
      </c>
      <c r="M125" s="885">
        <f t="shared" ref="M125:O126" si="12">ROUND(L125*U$5,-2)</f>
        <v>1840800</v>
      </c>
      <c r="N125" s="885">
        <f t="shared" si="12"/>
        <v>1918100</v>
      </c>
      <c r="O125" s="885">
        <f t="shared" si="12"/>
        <v>1998700</v>
      </c>
    </row>
    <row r="126" spans="1:18" ht="12.75" customHeight="1" x14ac:dyDescent="0.25">
      <c r="A126" s="904"/>
      <c r="D126" s="865"/>
      <c r="E126" s="2340" t="s">
        <v>4182</v>
      </c>
      <c r="I126" s="885"/>
      <c r="J126" s="885"/>
      <c r="K126" s="885">
        <f>ROUND(68218*S$5,-2)</f>
        <v>71400</v>
      </c>
      <c r="L126" s="885">
        <f>ROUND(K126*T$5,-2)</f>
        <v>74400</v>
      </c>
      <c r="M126" s="885">
        <f t="shared" si="12"/>
        <v>77500</v>
      </c>
      <c r="N126" s="885">
        <f t="shared" si="12"/>
        <v>80800</v>
      </c>
      <c r="O126" s="885">
        <f t="shared" si="12"/>
        <v>84200</v>
      </c>
    </row>
    <row r="127" spans="1:18" ht="12.75" customHeight="1" x14ac:dyDescent="0.25">
      <c r="A127" s="904"/>
      <c r="D127" s="865"/>
      <c r="E127" s="2340" t="s">
        <v>4183</v>
      </c>
      <c r="I127" s="885"/>
      <c r="J127" s="885">
        <v>-785000</v>
      </c>
      <c r="K127" s="885">
        <v>-1270000</v>
      </c>
      <c r="L127" s="885">
        <f>ROUND(K127*T$3,-2)</f>
        <v>-1323300</v>
      </c>
      <c r="M127" s="885">
        <f>ROUND(L127*U$3,-2)</f>
        <v>-1372300</v>
      </c>
      <c r="N127" s="885">
        <f>ROUND(M127*V$3,-2)</f>
        <v>-1423100</v>
      </c>
      <c r="O127" s="885">
        <f>ROUND(N127*W$3,-2)</f>
        <v>-1475800</v>
      </c>
    </row>
    <row r="128" spans="1:18" ht="12.75" customHeight="1" x14ac:dyDescent="0.25">
      <c r="A128" s="904"/>
      <c r="D128" s="865"/>
      <c r="E128" s="2340" t="s">
        <v>4184</v>
      </c>
      <c r="I128" s="885"/>
      <c r="J128" s="885"/>
      <c r="K128" s="2358">
        <v>-132200</v>
      </c>
      <c r="L128" s="2358">
        <f>ROUND(K128*T$3,0)</f>
        <v>-137752</v>
      </c>
      <c r="M128" s="2358">
        <f>ROUND(L128*U$3,0)</f>
        <v>-142849</v>
      </c>
      <c r="N128" s="2358">
        <f>ROUND(M128*V$3,0)</f>
        <v>-148134</v>
      </c>
      <c r="O128" s="2358">
        <f>ROUND(N128*W$3,0)</f>
        <v>-153615</v>
      </c>
    </row>
    <row r="129" spans="1:17" ht="12.75" customHeight="1" thickBot="1" x14ac:dyDescent="0.3">
      <c r="A129" s="904"/>
      <c r="D129" s="865"/>
      <c r="E129" s="2341" t="str">
        <f>"Totaal "&amp;D125</f>
        <v>Totaal 44380</v>
      </c>
      <c r="I129" s="885"/>
      <c r="J129" s="2342">
        <v>904100</v>
      </c>
      <c r="K129" s="2342">
        <f>SUM(K125:K128)</f>
        <v>364600</v>
      </c>
      <c r="L129" s="2342">
        <f>SUM(L125:L128)</f>
        <v>379948</v>
      </c>
      <c r="M129" s="2342">
        <f>SUM(M125:M128)</f>
        <v>403151</v>
      </c>
      <c r="N129" s="2342">
        <f>SUM(N125:N128)</f>
        <v>427666</v>
      </c>
      <c r="O129" s="2342">
        <f>SUM(O125:O128)</f>
        <v>453485</v>
      </c>
    </row>
    <row r="130" spans="1:17" ht="12.75" customHeight="1" thickTop="1" x14ac:dyDescent="0.25">
      <c r="A130" s="904"/>
      <c r="D130" s="865"/>
      <c r="E130" s="2341"/>
      <c r="I130" s="885"/>
      <c r="J130" s="885"/>
      <c r="K130" s="885"/>
      <c r="L130" s="885"/>
      <c r="M130" s="885"/>
      <c r="N130" s="885"/>
      <c r="O130" s="885"/>
    </row>
    <row r="131" spans="1:17" ht="12.75" customHeight="1" x14ac:dyDescent="0.25">
      <c r="A131" s="904"/>
      <c r="D131" s="865"/>
      <c r="E131" s="2341"/>
      <c r="I131" s="885"/>
      <c r="J131" s="885"/>
      <c r="K131" s="885"/>
      <c r="L131" s="885"/>
      <c r="M131" s="885"/>
      <c r="N131" s="885"/>
      <c r="O131" s="885"/>
    </row>
    <row r="132" spans="1:17" ht="12.75" customHeight="1" x14ac:dyDescent="0.25">
      <c r="A132" s="904"/>
      <c r="D132" s="865"/>
      <c r="E132" s="2340"/>
      <c r="I132" s="885"/>
      <c r="J132" s="885"/>
      <c r="K132" s="885"/>
      <c r="L132" s="863"/>
      <c r="M132" s="863"/>
      <c r="N132" s="863"/>
      <c r="O132" s="863"/>
    </row>
    <row r="133" spans="1:17" ht="12.75" customHeight="1" x14ac:dyDescent="0.25">
      <c r="A133" s="904"/>
      <c r="D133" s="905">
        <v>677901</v>
      </c>
      <c r="E133" s="868" t="s">
        <v>4185</v>
      </c>
      <c r="I133" s="885"/>
      <c r="J133" s="885"/>
      <c r="K133" s="885"/>
      <c r="L133" s="885"/>
      <c r="M133" s="885"/>
      <c r="N133" s="885"/>
      <c r="O133" s="885"/>
      <c r="P133" s="885"/>
      <c r="Q133" s="885"/>
    </row>
    <row r="134" spans="1:17" ht="12.75" customHeight="1" x14ac:dyDescent="0.25">
      <c r="A134" s="904"/>
      <c r="D134" s="905"/>
      <c r="E134" s="2339" t="s">
        <v>533</v>
      </c>
      <c r="I134" s="885"/>
      <c r="J134" s="885"/>
      <c r="K134" s="885"/>
      <c r="L134" s="885"/>
      <c r="M134" s="885"/>
      <c r="N134" s="885"/>
      <c r="O134" s="885"/>
    </row>
    <row r="135" spans="1:17" ht="12.75" customHeight="1" x14ac:dyDescent="0.25">
      <c r="A135" s="904"/>
      <c r="D135" s="865">
        <v>41100</v>
      </c>
      <c r="E135" s="2340" t="s">
        <v>4186</v>
      </c>
      <c r="I135" s="885"/>
      <c r="J135" s="885">
        <v>69200</v>
      </c>
      <c r="K135" s="885">
        <v>72824</v>
      </c>
      <c r="L135" s="885">
        <f t="shared" ref="L135:O136" si="13">ROUND(K135*T$3,)</f>
        <v>75883</v>
      </c>
      <c r="M135" s="885">
        <f t="shared" si="13"/>
        <v>78691</v>
      </c>
      <c r="N135" s="885">
        <f t="shared" si="13"/>
        <v>81603</v>
      </c>
      <c r="O135" s="885">
        <f t="shared" si="13"/>
        <v>84622</v>
      </c>
    </row>
    <row r="136" spans="1:17" ht="12.75" customHeight="1" x14ac:dyDescent="0.25">
      <c r="A136" s="904"/>
      <c r="D136" s="865"/>
      <c r="E136" s="2340" t="s">
        <v>4187</v>
      </c>
      <c r="I136" s="885"/>
      <c r="J136" s="885">
        <v>35538</v>
      </c>
      <c r="K136" s="885">
        <v>26890</v>
      </c>
      <c r="L136" s="885">
        <f t="shared" si="13"/>
        <v>28019</v>
      </c>
      <c r="M136" s="885">
        <f t="shared" si="13"/>
        <v>29056</v>
      </c>
      <c r="N136" s="885">
        <f t="shared" si="13"/>
        <v>30131</v>
      </c>
      <c r="O136" s="885">
        <f t="shared" si="13"/>
        <v>31246</v>
      </c>
    </row>
    <row r="137" spans="1:17" ht="12.75" customHeight="1" thickBot="1" x14ac:dyDescent="0.3">
      <c r="A137" s="904"/>
      <c r="D137" s="865"/>
      <c r="E137" s="2341" t="str">
        <f>"Totaal "&amp;D135</f>
        <v>Totaal 41100</v>
      </c>
      <c r="I137" s="885"/>
      <c r="J137" s="2342">
        <v>104738</v>
      </c>
      <c r="K137" s="2342">
        <f t="shared" ref="K137:O137" si="14">SUM(K135:K136)</f>
        <v>99714</v>
      </c>
      <c r="L137" s="2342">
        <f t="shared" si="14"/>
        <v>103902</v>
      </c>
      <c r="M137" s="2342">
        <f t="shared" si="14"/>
        <v>107747</v>
      </c>
      <c r="N137" s="2342">
        <f t="shared" si="14"/>
        <v>111734</v>
      </c>
      <c r="O137" s="2342">
        <f t="shared" si="14"/>
        <v>115868</v>
      </c>
    </row>
    <row r="138" spans="1:17" ht="12.75" customHeight="1" thickTop="1" x14ac:dyDescent="0.25">
      <c r="A138" s="904"/>
      <c r="D138" s="865"/>
      <c r="E138" s="2341"/>
      <c r="I138" s="885"/>
      <c r="J138" s="885"/>
      <c r="K138" s="885"/>
      <c r="L138" s="885"/>
      <c r="M138" s="885"/>
      <c r="N138" s="885"/>
      <c r="O138" s="885"/>
    </row>
    <row r="139" spans="1:17" ht="12.75" customHeight="1" x14ac:dyDescent="0.25">
      <c r="A139" s="904"/>
      <c r="D139" s="886">
        <v>677001</v>
      </c>
      <c r="E139" s="2359" t="s">
        <v>4188</v>
      </c>
      <c r="I139" s="885"/>
      <c r="J139" s="885"/>
      <c r="K139" s="885"/>
      <c r="L139" s="885"/>
      <c r="M139" s="885"/>
      <c r="N139" s="885"/>
      <c r="O139" s="885"/>
      <c r="P139" s="885"/>
    </row>
    <row r="140" spans="1:17" ht="12.75" customHeight="1" x14ac:dyDescent="0.25">
      <c r="A140" s="904"/>
      <c r="D140" s="865"/>
      <c r="E140" s="2360" t="s">
        <v>554</v>
      </c>
      <c r="I140" s="885"/>
      <c r="J140" s="885"/>
      <c r="K140" s="885"/>
      <c r="L140" s="885"/>
      <c r="M140" s="885"/>
      <c r="N140" s="885"/>
      <c r="O140" s="885"/>
    </row>
    <row r="141" spans="1:17" ht="12.75" customHeight="1" x14ac:dyDescent="0.25">
      <c r="A141" s="904"/>
      <c r="D141" s="865">
        <v>83600</v>
      </c>
      <c r="E141" s="869" t="s">
        <v>4189</v>
      </c>
      <c r="I141" s="885"/>
      <c r="J141" s="885">
        <v>-135870</v>
      </c>
      <c r="K141" s="885">
        <v>-116315</v>
      </c>
      <c r="L141" s="885">
        <v>-116990</v>
      </c>
      <c r="M141" s="885">
        <f t="shared" ref="M141:O142" si="15">ROUND(L141*U$2,0)</f>
        <v>-119681</v>
      </c>
      <c r="N141" s="885">
        <f t="shared" si="15"/>
        <v>-122434</v>
      </c>
      <c r="O141" s="885">
        <f t="shared" si="15"/>
        <v>-125250</v>
      </c>
    </row>
    <row r="142" spans="1:17" ht="12.75" customHeight="1" x14ac:dyDescent="0.25">
      <c r="A142" s="904"/>
      <c r="D142" s="865"/>
      <c r="E142" s="869" t="s">
        <v>4190</v>
      </c>
      <c r="I142" s="885"/>
      <c r="J142" s="885">
        <v>-34574</v>
      </c>
      <c r="K142" s="885">
        <v>-1421</v>
      </c>
      <c r="L142" s="2385">
        <v>-1461.02</v>
      </c>
      <c r="M142" s="885">
        <f t="shared" si="15"/>
        <v>-1495</v>
      </c>
      <c r="N142" s="885">
        <f t="shared" si="15"/>
        <v>-1529</v>
      </c>
      <c r="O142" s="885">
        <f t="shared" si="15"/>
        <v>-1564</v>
      </c>
    </row>
    <row r="143" spans="1:17" ht="12.75" customHeight="1" thickBot="1" x14ac:dyDescent="0.3">
      <c r="A143" s="904"/>
      <c r="D143" s="865"/>
      <c r="E143" s="2341"/>
      <c r="I143" s="885"/>
      <c r="J143" s="2342">
        <v>-170444</v>
      </c>
      <c r="K143" s="2342">
        <f t="shared" ref="K143:O143" si="16">SUM(K140:K142)</f>
        <v>-117736</v>
      </c>
      <c r="L143" s="2342">
        <f t="shared" si="16"/>
        <v>-118451.02</v>
      </c>
      <c r="M143" s="2342">
        <f t="shared" si="16"/>
        <v>-121176</v>
      </c>
      <c r="N143" s="2342">
        <f t="shared" si="16"/>
        <v>-123963</v>
      </c>
      <c r="O143" s="2342">
        <f t="shared" si="16"/>
        <v>-126814</v>
      </c>
    </row>
    <row r="144" spans="1:17" ht="12.75" customHeight="1" thickTop="1" x14ac:dyDescent="0.25">
      <c r="A144" s="904"/>
      <c r="D144" s="865"/>
      <c r="E144" s="2341"/>
      <c r="I144" s="885"/>
      <c r="J144" s="885"/>
      <c r="K144" s="885"/>
      <c r="L144" s="885"/>
      <c r="M144" s="885"/>
      <c r="N144" s="885"/>
      <c r="O144" s="885"/>
    </row>
    <row r="145" spans="1:15" ht="12.75" customHeight="1" x14ac:dyDescent="0.25">
      <c r="A145" s="904"/>
      <c r="D145" s="865"/>
      <c r="E145" s="2341"/>
      <c r="I145" s="885"/>
      <c r="J145" s="885"/>
      <c r="K145" s="885"/>
      <c r="L145" s="885"/>
      <c r="M145" s="885"/>
      <c r="N145" s="885"/>
      <c r="O145" s="885"/>
    </row>
    <row r="146" spans="1:15" ht="12.75" customHeight="1" x14ac:dyDescent="0.3">
      <c r="D146" s="865"/>
      <c r="I146" s="885"/>
      <c r="J146" s="885"/>
      <c r="K146" s="885"/>
    </row>
    <row r="147" spans="1:15" ht="12.75" customHeight="1" x14ac:dyDescent="0.3">
      <c r="D147" s="865"/>
      <c r="G147" s="2591"/>
      <c r="H147" s="2591"/>
      <c r="I147" s="2591"/>
      <c r="J147" s="2344"/>
      <c r="K147" s="2344"/>
    </row>
    <row r="148" spans="1:15" ht="12.75" customHeight="1" x14ac:dyDescent="0.3">
      <c r="D148" s="865"/>
      <c r="G148" s="2591"/>
      <c r="H148" s="2591"/>
      <c r="I148" s="2591"/>
      <c r="J148" s="2344"/>
      <c r="K148" s="2344"/>
    </row>
  </sheetData>
  <mergeCells count="5">
    <mergeCell ref="D69:D70"/>
    <mergeCell ref="F69:F70"/>
    <mergeCell ref="G69:H70"/>
    <mergeCell ref="G74:I74"/>
    <mergeCell ref="G147:I148"/>
  </mergeCells>
  <hyperlinks>
    <hyperlink ref="A1" location="Inhoudsopgave!A1" display="Inhoudsopgave" xr:uid="{2F47A7A4-92F9-4C8D-8080-2B40F208B287}"/>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6" min="3" max="14" man="1"/>
    <brk id="101" min="3" max="14"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CFA7-1E1D-4401-A6BD-3F085CCE2B5D}">
  <sheetPr codeName="Blad37"/>
  <dimension ref="A1:X553"/>
  <sheetViews>
    <sheetView showGridLines="0" topLeftCell="A58" zoomScaleNormal="100" zoomScaleSheetLayoutView="50" workbookViewId="0">
      <selection activeCell="I272" sqref="I272"/>
    </sheetView>
  </sheetViews>
  <sheetFormatPr defaultColWidth="9.109375" defaultRowHeight="12.75" customHeight="1" x14ac:dyDescent="0.25"/>
  <cols>
    <col min="1" max="1" width="9.109375" style="795"/>
    <col min="2" max="3" width="9.109375" style="791"/>
    <col min="4" max="4" width="9.6640625" style="792" customWidth="1"/>
    <col min="5" max="6" width="9.6640625" style="793" customWidth="1"/>
    <col min="7" max="9" width="12.6640625" style="791" customWidth="1"/>
    <col min="10" max="15" width="11.6640625" style="791" customWidth="1"/>
    <col min="16" max="23" width="10.6640625" style="791" customWidth="1"/>
    <col min="24" max="16384" width="9.109375" style="791"/>
  </cols>
  <sheetData>
    <row r="1" spans="1:23" ht="12.75" customHeight="1" x14ac:dyDescent="0.3">
      <c r="A1" s="157" t="s">
        <v>0</v>
      </c>
      <c r="L1" s="515"/>
      <c r="M1" s="515"/>
      <c r="N1" s="515"/>
      <c r="O1" s="515"/>
      <c r="P1" s="794"/>
      <c r="Q1" s="794">
        <v>2024</v>
      </c>
      <c r="R1" s="794">
        <v>2025</v>
      </c>
      <c r="S1" s="794">
        <v>2026</v>
      </c>
      <c r="T1" s="794">
        <v>2027</v>
      </c>
      <c r="U1" s="794">
        <v>2028</v>
      </c>
      <c r="V1" s="794">
        <v>2029</v>
      </c>
      <c r="W1" s="794">
        <v>2030</v>
      </c>
    </row>
    <row r="2" spans="1:23" ht="12.75" customHeight="1" x14ac:dyDescent="0.3">
      <c r="D2" s="792" t="s">
        <v>504</v>
      </c>
      <c r="H2" s="791" t="s">
        <v>4191</v>
      </c>
      <c r="L2" s="949" t="s">
        <v>969</v>
      </c>
      <c r="M2" s="949"/>
      <c r="N2" s="949"/>
      <c r="O2" s="949"/>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L3" s="949" t="s">
        <v>970</v>
      </c>
      <c r="M3" s="949"/>
      <c r="N3" s="949"/>
      <c r="O3" s="949"/>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792" t="s">
        <v>66</v>
      </c>
      <c r="H6" s="791" t="s">
        <v>37</v>
      </c>
    </row>
    <row r="29" spans="4:15" ht="12.75" customHeight="1" x14ac:dyDescent="0.25">
      <c r="D29" s="797" t="s">
        <v>507</v>
      </c>
      <c r="E29" s="792"/>
      <c r="F29" s="792"/>
    </row>
    <row r="30" spans="4:15" ht="12.75" customHeight="1" x14ac:dyDescent="0.25">
      <c r="E30" s="792"/>
      <c r="F30" s="792"/>
    </row>
    <row r="31" spans="4:15" ht="12.75" customHeight="1" x14ac:dyDescent="0.25">
      <c r="D31" s="1913" t="s">
        <v>508</v>
      </c>
      <c r="E31" s="1914"/>
      <c r="F31" s="1914"/>
      <c r="G31" s="1915"/>
      <c r="H31" s="1915"/>
      <c r="I31" s="1916"/>
      <c r="J31" s="1916">
        <v>2025</v>
      </c>
      <c r="K31" s="1916">
        <v>2026</v>
      </c>
      <c r="L31" s="1916">
        <v>2027</v>
      </c>
      <c r="M31" s="1916">
        <v>2028</v>
      </c>
      <c r="N31" s="1916">
        <v>2029</v>
      </c>
      <c r="O31" s="1916">
        <v>2030</v>
      </c>
    </row>
    <row r="32" spans="4:15" ht="12.75" customHeight="1" x14ac:dyDescent="0.25">
      <c r="D32" s="803" t="str">
        <f>G84</f>
        <v>Participatiewet uitkeringen</v>
      </c>
      <c r="E32" s="804"/>
      <c r="F32" s="805"/>
      <c r="I32" s="806"/>
      <c r="J32" s="802">
        <v>6130000</v>
      </c>
      <c r="K32" s="802">
        <f t="shared" ref="K32:M32" si="0">K87</f>
        <v>6412013</v>
      </c>
      <c r="L32" s="802">
        <f t="shared" si="0"/>
        <v>5900000</v>
      </c>
      <c r="M32" s="802">
        <f t="shared" si="0"/>
        <v>5900000</v>
      </c>
      <c r="N32" s="802">
        <f t="shared" ref="N32:O32" si="1">N87</f>
        <v>5900000</v>
      </c>
      <c r="O32" s="802">
        <f t="shared" si="1"/>
        <v>5900000</v>
      </c>
    </row>
    <row r="33" spans="4:16" ht="12.75" customHeight="1" x14ac:dyDescent="0.25">
      <c r="D33" s="803" t="str">
        <f>G89</f>
        <v>Uitvoering participatiewet compensabel</v>
      </c>
      <c r="E33" s="804"/>
      <c r="F33" s="805"/>
      <c r="H33" s="791" t="s">
        <v>923</v>
      </c>
      <c r="I33" s="806"/>
      <c r="J33" s="802">
        <v>105360</v>
      </c>
      <c r="K33" s="802">
        <f t="shared" ref="K33:M33" si="2">K92</f>
        <v>96000</v>
      </c>
      <c r="L33" s="802">
        <f t="shared" si="2"/>
        <v>100630</v>
      </c>
      <c r="M33" s="802">
        <f t="shared" si="2"/>
        <v>100280</v>
      </c>
      <c r="N33" s="802">
        <f t="shared" ref="N33:O33" si="3">N92</f>
        <v>105350</v>
      </c>
      <c r="O33" s="802">
        <f t="shared" si="3"/>
        <v>104920</v>
      </c>
      <c r="P33" s="832"/>
    </row>
    <row r="34" spans="4:16" ht="12.75" customHeight="1" x14ac:dyDescent="0.25">
      <c r="D34" s="803" t="str">
        <f>G94</f>
        <v>Uitvoering participatiewet niet compensabel</v>
      </c>
      <c r="E34" s="804"/>
      <c r="F34" s="805"/>
      <c r="I34" s="806"/>
      <c r="J34" s="63">
        <v>19100</v>
      </c>
      <c r="K34" s="63">
        <f t="shared" ref="K34:M34" si="4">K97</f>
        <v>19600</v>
      </c>
      <c r="L34" s="63">
        <f t="shared" si="4"/>
        <v>20000</v>
      </c>
      <c r="M34" s="63">
        <f t="shared" si="4"/>
        <v>20500</v>
      </c>
      <c r="N34" s="63">
        <f t="shared" ref="N34:O34" si="5">N97</f>
        <v>21000</v>
      </c>
      <c r="O34" s="63">
        <f t="shared" si="5"/>
        <v>21500</v>
      </c>
      <c r="P34" s="832"/>
    </row>
    <row r="35" spans="4:16" ht="12.75" customHeight="1" x14ac:dyDescent="0.25">
      <c r="D35" s="803" t="str">
        <f>G99</f>
        <v>Participatiewet toeslag beschermde woonvormen</v>
      </c>
      <c r="E35" s="804"/>
      <c r="F35" s="805"/>
      <c r="I35" s="806"/>
      <c r="J35" s="63">
        <v>39000</v>
      </c>
      <c r="K35" s="63">
        <f t="shared" ref="K35:M35" si="6">K102</f>
        <v>33000</v>
      </c>
      <c r="L35" s="63">
        <f t="shared" si="6"/>
        <v>33000</v>
      </c>
      <c r="M35" s="63">
        <f t="shared" si="6"/>
        <v>33000</v>
      </c>
      <c r="N35" s="63">
        <f t="shared" ref="N35:O35" si="7">N102</f>
        <v>33000</v>
      </c>
      <c r="O35" s="63">
        <f t="shared" si="7"/>
        <v>33000</v>
      </c>
      <c r="P35" s="832"/>
    </row>
    <row r="36" spans="4:16" ht="12.75" customHeight="1" x14ac:dyDescent="0.25">
      <c r="D36" s="803" t="str">
        <f>G104</f>
        <v>Directe toerekening inkomensvoorzieningen</v>
      </c>
      <c r="E36" s="804"/>
      <c r="F36" s="805"/>
      <c r="I36" s="806"/>
      <c r="J36" s="802">
        <v>1392086.85</v>
      </c>
      <c r="K36" s="802">
        <f t="shared" ref="K36:M36" si="8">K107</f>
        <v>1791856.9300000002</v>
      </c>
      <c r="L36" s="802">
        <f t="shared" si="8"/>
        <v>1755517</v>
      </c>
      <c r="M36" s="802">
        <f t="shared" si="8"/>
        <v>1820471</v>
      </c>
      <c r="N36" s="802">
        <f t="shared" ref="N36:O36" si="9">N107</f>
        <v>1887829</v>
      </c>
      <c r="O36" s="802">
        <f t="shared" si="9"/>
        <v>1957678</v>
      </c>
    </row>
    <row r="37" spans="4:16" ht="12.75" customHeight="1" x14ac:dyDescent="0.25">
      <c r="D37" s="803" t="str">
        <f>G109</f>
        <v>Uitkeringen aan ondernemers (bbz)</v>
      </c>
      <c r="E37" s="804"/>
      <c r="F37" s="805"/>
      <c r="I37" s="806"/>
      <c r="J37" s="63">
        <v>40000</v>
      </c>
      <c r="K37" s="63">
        <f t="shared" ref="K37:M37" si="10">K112</f>
        <v>40000</v>
      </c>
      <c r="L37" s="63">
        <f t="shared" si="10"/>
        <v>40000</v>
      </c>
      <c r="M37" s="63">
        <f t="shared" si="10"/>
        <v>40000</v>
      </c>
      <c r="N37" s="63">
        <f t="shared" ref="N37:O37" si="11">N112</f>
        <v>40000</v>
      </c>
      <c r="O37" s="63">
        <f t="shared" si="11"/>
        <v>40000</v>
      </c>
    </row>
    <row r="38" spans="4:16" ht="12.75" customHeight="1" x14ac:dyDescent="0.25">
      <c r="D38" s="803" t="str">
        <f>G114</f>
        <v>Inkomensvoorzieningen ondernemers (bbz)</v>
      </c>
      <c r="E38" s="804"/>
      <c r="F38" s="805"/>
      <c r="I38" s="806"/>
      <c r="J38" s="63">
        <v>25000</v>
      </c>
      <c r="K38" s="63">
        <f t="shared" ref="K38:M38" si="12">K117</f>
        <v>25000</v>
      </c>
      <c r="L38" s="63">
        <f t="shared" si="12"/>
        <v>25000</v>
      </c>
      <c r="M38" s="63">
        <f t="shared" si="12"/>
        <v>25000</v>
      </c>
      <c r="N38" s="63">
        <f t="shared" ref="N38:O38" si="13">N117</f>
        <v>25000</v>
      </c>
      <c r="O38" s="63">
        <f t="shared" si="13"/>
        <v>25000</v>
      </c>
    </row>
    <row r="39" spans="4:16" ht="12.75" customHeight="1" x14ac:dyDescent="0.25">
      <c r="D39" s="803" t="str">
        <f>G119</f>
        <v xml:space="preserve">Kapitaalverstrekking Bbz </v>
      </c>
      <c r="E39" s="804"/>
      <c r="F39" s="805"/>
      <c r="I39" s="806"/>
      <c r="J39" s="63">
        <v>38500</v>
      </c>
      <c r="K39" s="63">
        <f t="shared" ref="K39:M39" si="14">K122</f>
        <v>38500</v>
      </c>
      <c r="L39" s="63">
        <f t="shared" si="14"/>
        <v>38500</v>
      </c>
      <c r="M39" s="63">
        <f t="shared" si="14"/>
        <v>38500</v>
      </c>
      <c r="N39" s="63">
        <f t="shared" ref="N39:O39" si="15">N122</f>
        <v>38500</v>
      </c>
      <c r="O39" s="63">
        <f t="shared" si="15"/>
        <v>38500</v>
      </c>
    </row>
    <row r="40" spans="4:16" ht="12.75" customHeight="1" x14ac:dyDescent="0.25">
      <c r="D40" s="803" t="str">
        <f>G124</f>
        <v>Bbz advieskosten uitgaven / afdrachten rijk</v>
      </c>
      <c r="J40" s="63">
        <v>11500</v>
      </c>
      <c r="K40" s="63">
        <f t="shared" ref="K40:M40" si="16">K127</f>
        <v>11800</v>
      </c>
      <c r="L40" s="63">
        <f t="shared" si="16"/>
        <v>12000</v>
      </c>
      <c r="M40" s="63">
        <f t="shared" si="16"/>
        <v>12300</v>
      </c>
      <c r="N40" s="63">
        <f t="shared" ref="N40:O40" si="17">N127</f>
        <v>12600</v>
      </c>
      <c r="O40" s="63">
        <f t="shared" si="17"/>
        <v>12900</v>
      </c>
    </row>
    <row r="41" spans="4:16" ht="12.75" customHeight="1" x14ac:dyDescent="0.25">
      <c r="D41" s="803" t="str">
        <f>G129</f>
        <v>Uitvoering BBZ</v>
      </c>
      <c r="E41" s="804"/>
      <c r="F41" s="805"/>
      <c r="I41" s="806"/>
      <c r="J41" s="63">
        <v>8300</v>
      </c>
      <c r="K41" s="63">
        <f t="shared" ref="K41:M41" si="18">K132</f>
        <v>8500</v>
      </c>
      <c r="L41" s="63">
        <f t="shared" si="18"/>
        <v>8700</v>
      </c>
      <c r="M41" s="63">
        <f t="shared" si="18"/>
        <v>8900</v>
      </c>
      <c r="N41" s="63">
        <f t="shared" ref="N41:O41" si="19">N132</f>
        <v>9100</v>
      </c>
      <c r="O41" s="63">
        <f t="shared" si="19"/>
        <v>9300</v>
      </c>
    </row>
    <row r="42" spans="4:16" ht="12.75" customHeight="1" x14ac:dyDescent="0.25">
      <c r="D42" s="803" t="str">
        <f>G134</f>
        <v>Bbz uitkering en kapitaalverstr starters</v>
      </c>
      <c r="E42" s="804"/>
      <c r="F42" s="805"/>
      <c r="I42" s="806"/>
      <c r="J42" s="63">
        <v>9000</v>
      </c>
      <c r="K42" s="63">
        <f t="shared" ref="K42:M42" si="20">K137</f>
        <v>9000</v>
      </c>
      <c r="L42" s="63">
        <f t="shared" si="20"/>
        <v>9000</v>
      </c>
      <c r="M42" s="63">
        <f t="shared" si="20"/>
        <v>9000</v>
      </c>
      <c r="N42" s="63">
        <f t="shared" ref="N42:O42" si="21">N137</f>
        <v>9000</v>
      </c>
      <c r="O42" s="63">
        <f t="shared" si="21"/>
        <v>9000</v>
      </c>
    </row>
    <row r="43" spans="4:16" ht="12.75" customHeight="1" x14ac:dyDescent="0.25">
      <c r="D43" s="803" t="str">
        <f>G139</f>
        <v>Loonkostensubsidie participatiewet</v>
      </c>
      <c r="E43" s="804"/>
      <c r="F43" s="805"/>
      <c r="I43" s="806"/>
      <c r="J43" s="63">
        <v>749000</v>
      </c>
      <c r="K43" s="63">
        <f t="shared" ref="K43:M43" si="22">K142</f>
        <v>920000</v>
      </c>
      <c r="L43" s="63">
        <f t="shared" si="22"/>
        <v>920000</v>
      </c>
      <c r="M43" s="63">
        <f t="shared" si="22"/>
        <v>920000</v>
      </c>
      <c r="N43" s="63">
        <f t="shared" ref="N43:O43" si="23">N142</f>
        <v>920000</v>
      </c>
      <c r="O43" s="63">
        <f t="shared" si="23"/>
        <v>920000</v>
      </c>
    </row>
    <row r="44" spans="4:16" ht="12.75" customHeight="1" x14ac:dyDescent="0.25">
      <c r="D44" s="803" t="str">
        <f>G144</f>
        <v>Inkomensvoorzieningen Ioaw</v>
      </c>
      <c r="E44" s="804"/>
      <c r="F44" s="805"/>
      <c r="I44" s="806"/>
      <c r="J44" s="63">
        <v>315000</v>
      </c>
      <c r="K44" s="63">
        <f t="shared" ref="K44:M44" si="24">K147</f>
        <v>235000</v>
      </c>
      <c r="L44" s="63">
        <f t="shared" si="24"/>
        <v>235000</v>
      </c>
      <c r="M44" s="63">
        <f t="shared" si="24"/>
        <v>235000</v>
      </c>
      <c r="N44" s="63">
        <f t="shared" ref="N44:O44" si="25">N147</f>
        <v>235000</v>
      </c>
      <c r="O44" s="63">
        <f t="shared" si="25"/>
        <v>235000</v>
      </c>
    </row>
    <row r="45" spans="4:16" ht="12.75" customHeight="1" x14ac:dyDescent="0.25">
      <c r="D45" s="803" t="str">
        <f>G149</f>
        <v>Inkomensvoorzieningen Ioaz</v>
      </c>
      <c r="E45" s="804"/>
      <c r="F45" s="805"/>
      <c r="I45" s="806"/>
      <c r="J45" s="63">
        <v>40000</v>
      </c>
      <c r="K45" s="63">
        <f t="shared" ref="K45:M45" si="26">K152</f>
        <v>33000</v>
      </c>
      <c r="L45" s="63">
        <f t="shared" si="26"/>
        <v>33000</v>
      </c>
      <c r="M45" s="63">
        <f t="shared" si="26"/>
        <v>33000</v>
      </c>
      <c r="N45" s="63">
        <f t="shared" ref="N45:O45" si="27">N152</f>
        <v>33000</v>
      </c>
      <c r="O45" s="63">
        <f t="shared" si="27"/>
        <v>33000</v>
      </c>
    </row>
    <row r="46" spans="4:16" ht="12.75" customHeight="1" x14ac:dyDescent="0.25">
      <c r="D46" s="803" t="str">
        <f>G154</f>
        <v>Advieskosten Ioaz</v>
      </c>
      <c r="E46" s="804"/>
      <c r="F46" s="805"/>
      <c r="I46" s="806"/>
      <c r="J46" s="63">
        <v>6100</v>
      </c>
      <c r="K46" s="63">
        <f>K157</f>
        <v>6300</v>
      </c>
      <c r="L46" s="63">
        <f>L157</f>
        <v>6400</v>
      </c>
      <c r="M46" s="63">
        <f>M157</f>
        <v>6500</v>
      </c>
      <c r="N46" s="63">
        <f>N157</f>
        <v>6600</v>
      </c>
      <c r="O46" s="63">
        <f>O157</f>
        <v>6800</v>
      </c>
    </row>
    <row r="47" spans="4:16" ht="12.75" customHeight="1" x14ac:dyDescent="0.25">
      <c r="D47" s="803" t="str">
        <f>G159</f>
        <v>Bijzondere bijstand onbelast</v>
      </c>
      <c r="E47" s="804"/>
      <c r="F47" s="805"/>
      <c r="I47" s="806"/>
      <c r="J47" s="63">
        <v>669000</v>
      </c>
      <c r="K47" s="63">
        <f t="shared" ref="K47:M47" si="28">K162</f>
        <v>796000</v>
      </c>
      <c r="L47" s="63">
        <f t="shared" si="28"/>
        <v>812000</v>
      </c>
      <c r="M47" s="63">
        <f t="shared" si="28"/>
        <v>830000</v>
      </c>
      <c r="N47" s="63">
        <f t="shared" ref="N47:O47" si="29">N162</f>
        <v>849000</v>
      </c>
      <c r="O47" s="63">
        <f t="shared" si="29"/>
        <v>749000</v>
      </c>
    </row>
    <row r="48" spans="4:16" ht="12.75" customHeight="1" x14ac:dyDescent="0.25">
      <c r="D48" s="803" t="str">
        <f>G164</f>
        <v>Bijzondere bijstand belast</v>
      </c>
      <c r="E48" s="804"/>
      <c r="F48" s="805"/>
      <c r="I48" s="806"/>
      <c r="J48" s="63">
        <v>102800</v>
      </c>
      <c r="K48" s="63">
        <f t="shared" ref="K48:M48" si="30">K167</f>
        <v>21500</v>
      </c>
      <c r="L48" s="63">
        <f t="shared" si="30"/>
        <v>21700</v>
      </c>
      <c r="M48" s="63">
        <f t="shared" si="30"/>
        <v>22200</v>
      </c>
      <c r="N48" s="63">
        <f t="shared" ref="N48:O48" si="31">N167</f>
        <v>22700</v>
      </c>
      <c r="O48" s="63">
        <f t="shared" si="31"/>
        <v>23300</v>
      </c>
    </row>
    <row r="49" spans="4:15" ht="12.75" customHeight="1" x14ac:dyDescent="0.25">
      <c r="D49" s="803" t="str">
        <f>G169</f>
        <v>Sociaal fonds</v>
      </c>
      <c r="E49" s="804"/>
      <c r="F49" s="805"/>
      <c r="I49" s="806"/>
      <c r="J49" s="63">
        <v>30000</v>
      </c>
      <c r="K49" s="63">
        <f t="shared" ref="K49:M49" si="32">K172</f>
        <v>30000</v>
      </c>
      <c r="L49" s="63">
        <f t="shared" si="32"/>
        <v>30000</v>
      </c>
      <c r="M49" s="63">
        <f t="shared" si="32"/>
        <v>30000</v>
      </c>
      <c r="N49" s="63">
        <f t="shared" ref="N49:O49" si="33">N172</f>
        <v>30000</v>
      </c>
      <c r="O49" s="63">
        <f t="shared" si="33"/>
        <v>30000</v>
      </c>
    </row>
    <row r="50" spans="4:15" ht="12.75" customHeight="1" x14ac:dyDescent="0.25">
      <c r="D50" s="803" t="str">
        <f>G174</f>
        <v>Kwijtschelding gemeentelijke belastingen</v>
      </c>
      <c r="E50" s="804"/>
      <c r="F50" s="805"/>
      <c r="I50" s="806"/>
      <c r="J50" s="63">
        <v>233400</v>
      </c>
      <c r="K50" s="63">
        <f t="shared" ref="K50:M50" si="34">K177</f>
        <v>239500</v>
      </c>
      <c r="L50" s="63">
        <f t="shared" si="34"/>
        <v>244500</v>
      </c>
      <c r="M50" s="63">
        <f t="shared" si="34"/>
        <v>250100</v>
      </c>
      <c r="N50" s="63">
        <f t="shared" ref="N50:O50" si="35">N177</f>
        <v>255900</v>
      </c>
      <c r="O50" s="63">
        <f t="shared" si="35"/>
        <v>261800</v>
      </c>
    </row>
    <row r="51" spans="4:15" ht="12.75" customHeight="1" x14ac:dyDescent="0.25">
      <c r="D51" s="803" t="str">
        <f>G179</f>
        <v>Voedselbank</v>
      </c>
      <c r="E51" s="804"/>
      <c r="F51" s="805"/>
      <c r="I51" s="806"/>
      <c r="J51" s="63">
        <v>9800</v>
      </c>
      <c r="K51" s="63">
        <f t="shared" ref="K51:M51" si="36">K182</f>
        <v>104664</v>
      </c>
      <c r="L51" s="63">
        <f t="shared" si="36"/>
        <v>10700</v>
      </c>
      <c r="M51" s="63">
        <f t="shared" si="36"/>
        <v>10900</v>
      </c>
      <c r="N51" s="63">
        <f t="shared" ref="N51:O51" si="37">N182</f>
        <v>11200</v>
      </c>
      <c r="O51" s="63">
        <f t="shared" si="37"/>
        <v>11500</v>
      </c>
    </row>
    <row r="52" spans="4:15" ht="12.75" customHeight="1" x14ac:dyDescent="0.25">
      <c r="D52" s="803" t="str">
        <f>G184</f>
        <v>Gemeentelijke kredietbank</v>
      </c>
      <c r="E52" s="804"/>
      <c r="F52" s="805"/>
      <c r="I52" s="806"/>
      <c r="J52" s="63">
        <v>11800</v>
      </c>
      <c r="K52" s="63">
        <f t="shared" ref="K52:M52" si="38">K187</f>
        <v>12100</v>
      </c>
      <c r="L52" s="63">
        <f t="shared" si="38"/>
        <v>12400</v>
      </c>
      <c r="M52" s="63">
        <f t="shared" si="38"/>
        <v>12700</v>
      </c>
      <c r="N52" s="63">
        <f t="shared" ref="N52:O52" si="39">N187</f>
        <v>13000</v>
      </c>
      <c r="O52" s="63">
        <f t="shared" si="39"/>
        <v>13300</v>
      </c>
    </row>
    <row r="53" spans="4:15" ht="12.75" customHeight="1" x14ac:dyDescent="0.25">
      <c r="D53" s="803" t="str">
        <f>G189</f>
        <v>Ondersteuning minima / minimabeleid</v>
      </c>
      <c r="E53" s="804"/>
      <c r="F53" s="805"/>
      <c r="I53" s="806"/>
      <c r="J53" s="63">
        <v>302837</v>
      </c>
      <c r="K53" s="63">
        <f t="shared" ref="K53:M53" si="40">K192</f>
        <v>309400</v>
      </c>
      <c r="L53" s="63">
        <f t="shared" si="40"/>
        <v>314800</v>
      </c>
      <c r="M53" s="63">
        <f t="shared" si="40"/>
        <v>320900</v>
      </c>
      <c r="N53" s="63">
        <f t="shared" ref="N53:O53" si="41">N192</f>
        <v>327100</v>
      </c>
      <c r="O53" s="63">
        <f t="shared" si="41"/>
        <v>333500</v>
      </c>
    </row>
    <row r="54" spans="4:15" ht="12.75" customHeight="1" x14ac:dyDescent="0.25">
      <c r="D54" s="803" t="str">
        <f>G194</f>
        <v>Compensatie eigen bijdrage ziektekosten</v>
      </c>
      <c r="E54" s="804"/>
      <c r="F54" s="805"/>
      <c r="I54" s="806"/>
      <c r="J54" s="63">
        <v>30000</v>
      </c>
      <c r="K54" s="63">
        <f t="shared" ref="K54:M54" si="42">K197</f>
        <v>30000</v>
      </c>
      <c r="L54" s="63">
        <f t="shared" si="42"/>
        <v>30000</v>
      </c>
      <c r="M54" s="63">
        <f t="shared" si="42"/>
        <v>30000</v>
      </c>
      <c r="N54" s="63">
        <f t="shared" ref="N54:O54" si="43">N197</f>
        <v>30000</v>
      </c>
      <c r="O54" s="63">
        <f t="shared" si="43"/>
        <v>30000</v>
      </c>
    </row>
    <row r="55" spans="4:15" ht="12.75" customHeight="1" x14ac:dyDescent="0.25">
      <c r="D55" s="991" t="s">
        <v>4197</v>
      </c>
      <c r="E55" s="804"/>
      <c r="F55" s="805"/>
      <c r="I55" s="806"/>
      <c r="J55" s="64">
        <f>J202</f>
        <v>0</v>
      </c>
      <c r="K55" s="64">
        <f t="shared" ref="K55:O55" si="44">K202</f>
        <v>110000</v>
      </c>
      <c r="L55" s="64">
        <f t="shared" si="44"/>
        <v>114600</v>
      </c>
      <c r="M55" s="64">
        <f t="shared" si="44"/>
        <v>0</v>
      </c>
      <c r="N55" s="64">
        <f t="shared" si="44"/>
        <v>0</v>
      </c>
      <c r="O55" s="64">
        <f t="shared" si="44"/>
        <v>0</v>
      </c>
    </row>
    <row r="56" spans="4:15" ht="12.75" customHeight="1" x14ac:dyDescent="0.25">
      <c r="D56" s="803"/>
      <c r="E56" s="804"/>
      <c r="F56" s="805"/>
      <c r="I56" s="806"/>
      <c r="J56" s="64"/>
      <c r="K56" s="64"/>
      <c r="L56" s="64"/>
      <c r="M56" s="64"/>
      <c r="N56" s="64"/>
      <c r="O56" s="64"/>
    </row>
    <row r="57" spans="4:15" ht="12.75" customHeight="1" x14ac:dyDescent="0.25">
      <c r="D57" s="803"/>
      <c r="E57" s="804"/>
      <c r="F57" s="805"/>
      <c r="I57" s="806"/>
      <c r="J57" s="65"/>
      <c r="K57" s="65"/>
      <c r="L57" s="65"/>
      <c r="M57" s="65"/>
      <c r="N57" s="65"/>
      <c r="O57" s="65"/>
    </row>
    <row r="58" spans="4:15" ht="12.75" customHeight="1" x14ac:dyDescent="0.25">
      <c r="D58" s="1917" t="s">
        <v>525</v>
      </c>
      <c r="E58" s="1918"/>
      <c r="F58" s="1919"/>
      <c r="G58" s="1920"/>
      <c r="H58" s="1920"/>
      <c r="I58" s="1921"/>
      <c r="J58" s="1922">
        <v>10317583.85</v>
      </c>
      <c r="K58" s="1922">
        <f>SUM(K32:K57)</f>
        <v>11332733.93</v>
      </c>
      <c r="L58" s="1922">
        <f>SUM(L32:L57)</f>
        <v>10727447</v>
      </c>
      <c r="M58" s="1922">
        <f>SUM(M32:M57)</f>
        <v>10709251</v>
      </c>
      <c r="N58" s="1922">
        <f>SUM(N32:N57)</f>
        <v>10814879</v>
      </c>
      <c r="O58" s="1922">
        <f>SUM(O32:O57)</f>
        <v>10798998</v>
      </c>
    </row>
    <row r="59" spans="4:15" ht="12.75" customHeight="1" x14ac:dyDescent="0.25">
      <c r="E59" s="804"/>
      <c r="F59" s="805"/>
    </row>
    <row r="60" spans="4:15" ht="12.75" customHeight="1" x14ac:dyDescent="0.25">
      <c r="D60" s="1913" t="s">
        <v>526</v>
      </c>
      <c r="E60" s="1914"/>
      <c r="F60" s="1914"/>
      <c r="G60" s="1915"/>
      <c r="H60" s="1915"/>
      <c r="I60" s="1916"/>
      <c r="J60" s="1916">
        <v>2025</v>
      </c>
      <c r="K60" s="1916">
        <v>2026</v>
      </c>
      <c r="L60" s="1916">
        <v>2027</v>
      </c>
      <c r="M60" s="1916">
        <v>2028</v>
      </c>
      <c r="N60" s="1916">
        <v>2029</v>
      </c>
      <c r="O60" s="1916">
        <v>2030</v>
      </c>
    </row>
    <row r="61" spans="4:15" ht="12.75" customHeight="1" x14ac:dyDescent="0.25">
      <c r="D61" s="1942" t="str">
        <f>G205</f>
        <v>Inkomensvoorzieningen (BUIG)</v>
      </c>
      <c r="E61" s="844"/>
      <c r="F61" s="845"/>
      <c r="G61" s="817"/>
      <c r="H61" s="817"/>
      <c r="I61" s="806"/>
      <c r="J61" s="802">
        <v>-7420000</v>
      </c>
      <c r="K61" s="802">
        <f t="shared" ref="K61:M61" si="45">K208</f>
        <v>-7780033</v>
      </c>
      <c r="L61" s="802">
        <f t="shared" si="45"/>
        <v>-7268000</v>
      </c>
      <c r="M61" s="802">
        <f t="shared" si="45"/>
        <v>-7268000</v>
      </c>
      <c r="N61" s="802">
        <f t="shared" ref="N61:O61" si="46">N208</f>
        <v>-7268000</v>
      </c>
      <c r="O61" s="802">
        <f t="shared" si="46"/>
        <v>-7268000</v>
      </c>
    </row>
    <row r="62" spans="4:15" ht="12.75" customHeight="1" x14ac:dyDescent="0.25">
      <c r="D62" s="803" t="str">
        <f>G210</f>
        <v>Verhaal onderhoudsbijdrage participatiewet</v>
      </c>
      <c r="E62" s="804"/>
      <c r="F62" s="805"/>
      <c r="I62" s="806"/>
      <c r="J62" s="802">
        <v>-3500</v>
      </c>
      <c r="K62" s="802">
        <f t="shared" ref="K62:M62" si="47">K213</f>
        <v>-3500</v>
      </c>
      <c r="L62" s="802">
        <f t="shared" si="47"/>
        <v>-3500</v>
      </c>
      <c r="M62" s="802">
        <f t="shared" si="47"/>
        <v>-3500</v>
      </c>
      <c r="N62" s="802">
        <f t="shared" ref="N62:O62" si="48">N213</f>
        <v>-3500</v>
      </c>
      <c r="O62" s="802">
        <f t="shared" si="48"/>
        <v>-3500</v>
      </c>
    </row>
    <row r="63" spans="4:15" ht="12.75" customHeight="1" x14ac:dyDescent="0.25">
      <c r="D63" s="803" t="str">
        <f>G215</f>
        <v>Terugvordering uitkeringen participatiewet</v>
      </c>
      <c r="E63" s="804"/>
      <c r="F63" s="805"/>
      <c r="I63" s="806"/>
      <c r="J63" s="802">
        <v>-60000</v>
      </c>
      <c r="K63" s="802">
        <f t="shared" ref="K63:M63" si="49">K218</f>
        <v>-60000</v>
      </c>
      <c r="L63" s="802">
        <f t="shared" si="49"/>
        <v>-60000</v>
      </c>
      <c r="M63" s="802">
        <f t="shared" si="49"/>
        <v>-60000</v>
      </c>
      <c r="N63" s="802">
        <f t="shared" ref="N63:O63" si="50">N218</f>
        <v>-60000</v>
      </c>
      <c r="O63" s="802">
        <f t="shared" si="50"/>
        <v>-60000</v>
      </c>
    </row>
    <row r="64" spans="4:15" ht="12.75" customHeight="1" x14ac:dyDescent="0.25">
      <c r="D64" s="803" t="str">
        <f>G220</f>
        <v>Boetes participatiewet</v>
      </c>
      <c r="E64" s="804"/>
      <c r="F64" s="805"/>
      <c r="I64" s="806"/>
      <c r="J64" s="802">
        <v>-500</v>
      </c>
      <c r="K64" s="802">
        <f t="shared" ref="K64:M64" si="51">K223</f>
        <v>-500</v>
      </c>
      <c r="L64" s="802">
        <f t="shared" si="51"/>
        <v>-500</v>
      </c>
      <c r="M64" s="802">
        <f t="shared" si="51"/>
        <v>-500</v>
      </c>
      <c r="N64" s="802">
        <f t="shared" ref="N64:O64" si="52">N223</f>
        <v>-500</v>
      </c>
      <c r="O64" s="802">
        <f t="shared" si="52"/>
        <v>-500</v>
      </c>
    </row>
    <row r="65" spans="4:15" ht="12.75" customHeight="1" x14ac:dyDescent="0.25">
      <c r="D65" s="803" t="str">
        <f>G225</f>
        <v>Uitkeringen aan ondernemers (bbz)</v>
      </c>
      <c r="E65" s="804"/>
      <c r="F65" s="805"/>
      <c r="I65" s="806"/>
      <c r="J65" s="802">
        <v>-30000</v>
      </c>
      <c r="K65" s="802">
        <f t="shared" ref="K65:M65" si="53">K228</f>
        <v>-30000</v>
      </c>
      <c r="L65" s="802">
        <f t="shared" si="53"/>
        <v>-30000</v>
      </c>
      <c r="M65" s="802">
        <f t="shared" si="53"/>
        <v>-30000</v>
      </c>
      <c r="N65" s="802">
        <f t="shared" ref="N65:O65" si="54">N228</f>
        <v>-30000</v>
      </c>
      <c r="O65" s="802">
        <f t="shared" si="54"/>
        <v>-30000</v>
      </c>
    </row>
    <row r="66" spans="4:15" ht="12.75" customHeight="1" x14ac:dyDescent="0.25">
      <c r="D66" s="803" t="str">
        <f>G230</f>
        <v>Inkomensvoorzieningen ondernemers (bbz)</v>
      </c>
      <c r="E66" s="804"/>
      <c r="F66" s="805"/>
      <c r="I66" s="806"/>
      <c r="J66" s="802">
        <v>-18750</v>
      </c>
      <c r="K66" s="802">
        <f t="shared" ref="K66:M66" si="55">K233</f>
        <v>-18750</v>
      </c>
      <c r="L66" s="802">
        <f t="shared" si="55"/>
        <v>-18750</v>
      </c>
      <c r="M66" s="802">
        <f t="shared" si="55"/>
        <v>-18750</v>
      </c>
      <c r="N66" s="802">
        <f t="shared" ref="N66:O66" si="56">N233</f>
        <v>-18750</v>
      </c>
      <c r="O66" s="802">
        <f t="shared" si="56"/>
        <v>-18750</v>
      </c>
    </row>
    <row r="67" spans="4:15" ht="12.75" customHeight="1" x14ac:dyDescent="0.25">
      <c r="D67" s="803" t="str">
        <f>G235</f>
        <v>kapitaalverstrekking BBZ</v>
      </c>
      <c r="E67" s="804"/>
      <c r="F67" s="805"/>
      <c r="I67" s="806"/>
      <c r="J67" s="802">
        <v>-38500</v>
      </c>
      <c r="K67" s="802">
        <f t="shared" ref="K67:M67" si="57">K238</f>
        <v>-38500</v>
      </c>
      <c r="L67" s="802">
        <f t="shared" si="57"/>
        <v>-38500</v>
      </c>
      <c r="M67" s="802">
        <f t="shared" si="57"/>
        <v>-38500</v>
      </c>
      <c r="N67" s="802">
        <f t="shared" ref="N67:O67" si="58">N238</f>
        <v>-38500</v>
      </c>
      <c r="O67" s="802">
        <f t="shared" si="58"/>
        <v>-38500</v>
      </c>
    </row>
    <row r="68" spans="4:15" ht="12.75" customHeight="1" x14ac:dyDescent="0.25">
      <c r="D68" s="803" t="str">
        <f>G240</f>
        <v>Rente kapitaalverstrekking Bbz</v>
      </c>
      <c r="E68" s="804"/>
      <c r="F68" s="805"/>
      <c r="I68" s="806"/>
      <c r="J68" s="802">
        <v>-5000</v>
      </c>
      <c r="K68" s="802">
        <f t="shared" ref="K68:M68" si="59">K243</f>
        <v>-5000</v>
      </c>
      <c r="L68" s="802">
        <f t="shared" si="59"/>
        <v>-5000</v>
      </c>
      <c r="M68" s="802">
        <f t="shared" si="59"/>
        <v>-5000</v>
      </c>
      <c r="N68" s="802">
        <f t="shared" ref="N68:O68" si="60">N243</f>
        <v>-5000</v>
      </c>
      <c r="O68" s="802">
        <f t="shared" si="60"/>
        <v>-5000</v>
      </c>
    </row>
    <row r="69" spans="4:15" ht="12.75" customHeight="1" x14ac:dyDescent="0.25">
      <c r="D69" s="803" t="str">
        <f>G245</f>
        <v>Bijzondere bijstand onbelast</v>
      </c>
      <c r="E69" s="804"/>
      <c r="F69" s="805"/>
      <c r="I69" s="806"/>
      <c r="J69" s="802">
        <v>-5000</v>
      </c>
      <c r="K69" s="802">
        <f>K248</f>
        <v>-5000</v>
      </c>
      <c r="L69" s="802">
        <f>L248</f>
        <v>-5000</v>
      </c>
      <c r="M69" s="802">
        <f>M248</f>
        <v>-5000</v>
      </c>
      <c r="N69" s="802">
        <f>N248</f>
        <v>-5000</v>
      </c>
      <c r="O69" s="802">
        <f>O248</f>
        <v>-5000</v>
      </c>
    </row>
    <row r="70" spans="4:15" ht="12.75" customHeight="1" x14ac:dyDescent="0.25">
      <c r="D70" s="803" t="str">
        <f>G250</f>
        <v>Directe toerekening inkomensvoorzieningen</v>
      </c>
      <c r="E70" s="804"/>
      <c r="F70" s="805"/>
      <c r="I70" s="806"/>
      <c r="J70" s="807">
        <f t="shared" ref="J70:O70" si="61">J253</f>
        <v>0</v>
      </c>
      <c r="K70" s="807">
        <f t="shared" si="61"/>
        <v>-42000</v>
      </c>
      <c r="L70" s="807">
        <f t="shared" si="61"/>
        <v>-43764</v>
      </c>
      <c r="M70" s="807">
        <f t="shared" si="61"/>
        <v>-45383</v>
      </c>
      <c r="N70" s="807">
        <f t="shared" si="61"/>
        <v>-47063</v>
      </c>
      <c r="O70" s="807">
        <f t="shared" si="61"/>
        <v>-48804</v>
      </c>
    </row>
    <row r="71" spans="4:15" ht="12.75" customHeight="1" x14ac:dyDescent="0.25">
      <c r="D71" s="803"/>
      <c r="E71" s="804"/>
      <c r="F71" s="805"/>
      <c r="I71" s="806"/>
      <c r="J71" s="807"/>
      <c r="K71" s="807"/>
      <c r="L71" s="807"/>
      <c r="M71" s="807"/>
      <c r="N71" s="807"/>
      <c r="O71" s="807"/>
    </row>
    <row r="72" spans="4:15" ht="12.75" customHeight="1" x14ac:dyDescent="0.25">
      <c r="D72" s="808"/>
      <c r="E72" s="809"/>
      <c r="F72" s="810"/>
      <c r="G72" s="811"/>
      <c r="H72" s="811"/>
      <c r="I72" s="806"/>
      <c r="J72" s="807"/>
      <c r="K72" s="807"/>
      <c r="L72" s="807"/>
      <c r="M72" s="807"/>
      <c r="N72" s="807"/>
      <c r="O72" s="807"/>
    </row>
    <row r="73" spans="4:15" ht="12.75" customHeight="1" x14ac:dyDescent="0.25">
      <c r="D73" s="1917" t="s">
        <v>328</v>
      </c>
      <c r="E73" s="1918"/>
      <c r="F73" s="1919"/>
      <c r="G73" s="1920"/>
      <c r="H73" s="1920"/>
      <c r="I73" s="1921"/>
      <c r="J73" s="1922">
        <v>-7581250</v>
      </c>
      <c r="K73" s="1922">
        <f>SUM(K61:K72)</f>
        <v>-7983283</v>
      </c>
      <c r="L73" s="1922">
        <f>SUM(L61:L72)</f>
        <v>-7473014</v>
      </c>
      <c r="M73" s="1922">
        <f>SUM(M61:M72)</f>
        <v>-7474633</v>
      </c>
      <c r="N73" s="1922">
        <f>SUM(N61:N72)</f>
        <v>-7476313</v>
      </c>
      <c r="O73" s="1922">
        <f>SUM(O61:O72)</f>
        <v>-7478054</v>
      </c>
    </row>
    <row r="74" spans="4:15" ht="12.75" customHeight="1" x14ac:dyDescent="0.25">
      <c r="E74" s="804"/>
      <c r="F74" s="805"/>
      <c r="J74" s="812"/>
      <c r="K74" s="812"/>
      <c r="L74" s="812"/>
      <c r="M74" s="812"/>
      <c r="N74" s="812"/>
      <c r="O74" s="812"/>
    </row>
    <row r="75" spans="4:15" ht="12.75" customHeight="1" x14ac:dyDescent="0.25">
      <c r="D75" s="1917" t="s">
        <v>976</v>
      </c>
      <c r="E75" s="1923"/>
      <c r="F75" s="1923"/>
      <c r="G75" s="1920"/>
      <c r="H75" s="1920"/>
      <c r="I75" s="1920"/>
      <c r="J75" s="1924">
        <v>2736333.8499999996</v>
      </c>
      <c r="K75" s="1924">
        <f>K58+K73</f>
        <v>3349450.9299999997</v>
      </c>
      <c r="L75" s="1924">
        <f>L58+L73</f>
        <v>3254433</v>
      </c>
      <c r="M75" s="1924">
        <f>M58+M73</f>
        <v>3234618</v>
      </c>
      <c r="N75" s="1924">
        <f>N58+N73</f>
        <v>3338566</v>
      </c>
      <c r="O75" s="1924">
        <f>O58+O73</f>
        <v>3320944</v>
      </c>
    </row>
    <row r="76" spans="4:15" ht="12.75" customHeight="1" x14ac:dyDescent="0.25">
      <c r="E76" s="804"/>
      <c r="F76" s="805"/>
      <c r="J76" s="812"/>
      <c r="K76" s="812"/>
    </row>
    <row r="77" spans="4:15" ht="12.75" customHeight="1" x14ac:dyDescent="0.25">
      <c r="E77" s="804"/>
      <c r="F77" s="805"/>
      <c r="J77" s="812"/>
      <c r="K77" s="812"/>
    </row>
    <row r="78" spans="4:15" ht="12.75" customHeight="1" x14ac:dyDescent="0.25">
      <c r="E78" s="792"/>
      <c r="F78" s="792"/>
      <c r="J78" s="812"/>
      <c r="K78" s="812"/>
    </row>
    <row r="79" spans="4:15" ht="12.75" customHeight="1" x14ac:dyDescent="0.25">
      <c r="D79" s="797" t="s">
        <v>528</v>
      </c>
      <c r="E79" s="813"/>
      <c r="F79" s="813"/>
    </row>
    <row r="81" spans="1:15" ht="12.75" customHeight="1" x14ac:dyDescent="0.25">
      <c r="D81" s="2495" t="s">
        <v>531</v>
      </c>
      <c r="E81" s="1925" t="s">
        <v>530</v>
      </c>
      <c r="F81" s="2495" t="s">
        <v>531</v>
      </c>
      <c r="G81" s="2497" t="s">
        <v>206</v>
      </c>
      <c r="H81" s="2599"/>
      <c r="I81" s="1927"/>
      <c r="J81" s="1928"/>
      <c r="K81" s="1928"/>
      <c r="L81" s="1928"/>
      <c r="M81" s="1928"/>
      <c r="N81" s="1928"/>
      <c r="O81" s="1928"/>
    </row>
    <row r="82" spans="1:15" ht="12.75" customHeight="1" x14ac:dyDescent="0.25">
      <c r="D82" s="2598"/>
      <c r="E82" s="815" t="s">
        <v>532</v>
      </c>
      <c r="F82" s="2598"/>
      <c r="G82" s="2600"/>
      <c r="H82" s="2601"/>
      <c r="I82" s="935"/>
      <c r="J82" s="1929">
        <v>2025</v>
      </c>
      <c r="K82" s="1929">
        <v>2026</v>
      </c>
      <c r="L82" s="1929">
        <v>2027</v>
      </c>
      <c r="M82" s="1929">
        <v>2028</v>
      </c>
      <c r="N82" s="1929">
        <v>2029</v>
      </c>
      <c r="O82" s="1929">
        <v>2030</v>
      </c>
    </row>
    <row r="83" spans="1:15" ht="12.75" customHeight="1" x14ac:dyDescent="0.25">
      <c r="D83" s="1943"/>
      <c r="E83" s="950"/>
      <c r="F83" s="950"/>
      <c r="G83" s="1926"/>
      <c r="H83" s="814"/>
      <c r="I83" s="1928"/>
      <c r="J83" s="850"/>
      <c r="K83" s="850"/>
      <c r="L83" s="850"/>
      <c r="M83" s="850"/>
      <c r="N83" s="850"/>
      <c r="O83" s="850"/>
    </row>
    <row r="84" spans="1:15" ht="12.75" customHeight="1" x14ac:dyDescent="0.25">
      <c r="D84" s="936">
        <v>638002</v>
      </c>
      <c r="E84" s="819"/>
      <c r="F84" s="819"/>
      <c r="G84" s="820" t="s">
        <v>4192</v>
      </c>
      <c r="I84" s="806"/>
      <c r="J84" s="850"/>
      <c r="K84" s="850"/>
      <c r="L84" s="850"/>
      <c r="M84" s="850"/>
      <c r="N84" s="850"/>
      <c r="O84" s="850"/>
    </row>
    <row r="85" spans="1:15" ht="12.75" customHeight="1" x14ac:dyDescent="0.25">
      <c r="D85" s="936"/>
      <c r="E85" s="819"/>
      <c r="F85" s="819"/>
      <c r="G85" s="822" t="s">
        <v>533</v>
      </c>
      <c r="I85" s="806"/>
      <c r="J85" s="850"/>
      <c r="K85" s="850"/>
      <c r="L85" s="850"/>
      <c r="M85" s="850"/>
      <c r="N85" s="850"/>
      <c r="O85" s="850"/>
    </row>
    <row r="86" spans="1:15" ht="12.75" customHeight="1" x14ac:dyDescent="0.25">
      <c r="A86" s="795">
        <f>D84</f>
        <v>638002</v>
      </c>
      <c r="B86" s="791" t="str">
        <f>G84</f>
        <v>Participatiewet uitkeringen</v>
      </c>
      <c r="D86" s="938">
        <v>44110</v>
      </c>
      <c r="E86" s="821"/>
      <c r="F86" s="821"/>
      <c r="G86" s="823" t="s">
        <v>4193</v>
      </c>
      <c r="I86" s="807"/>
      <c r="J86" s="807">
        <v>6130000</v>
      </c>
      <c r="K86" s="807">
        <f t="shared" ref="K86:M86" si="62">K265</f>
        <v>6412013</v>
      </c>
      <c r="L86" s="807">
        <f t="shared" si="62"/>
        <v>5900000</v>
      </c>
      <c r="M86" s="807">
        <f t="shared" si="62"/>
        <v>5900000</v>
      </c>
      <c r="N86" s="807">
        <f t="shared" ref="N86:O86" si="63">N265</f>
        <v>5900000</v>
      </c>
      <c r="O86" s="807">
        <f t="shared" si="63"/>
        <v>5900000</v>
      </c>
    </row>
    <row r="87" spans="1:15" ht="12.75" customHeight="1" thickBot="1" x14ac:dyDescent="0.3">
      <c r="D87" s="937"/>
      <c r="E87" s="851"/>
      <c r="F87" s="851"/>
      <c r="G87" s="823" t="s">
        <v>536</v>
      </c>
      <c r="I87" s="807"/>
      <c r="J87" s="852">
        <v>6130000</v>
      </c>
      <c r="K87" s="852">
        <f t="shared" ref="K87:M87" si="64">SUM(K85:K86)</f>
        <v>6412013</v>
      </c>
      <c r="L87" s="852">
        <f t="shared" si="64"/>
        <v>5900000</v>
      </c>
      <c r="M87" s="852">
        <f t="shared" si="64"/>
        <v>5900000</v>
      </c>
      <c r="N87" s="852">
        <f t="shared" ref="N87:O87" si="65">SUM(N85:N86)</f>
        <v>5900000</v>
      </c>
      <c r="O87" s="852">
        <f t="shared" si="65"/>
        <v>5900000</v>
      </c>
    </row>
    <row r="88" spans="1:15" ht="12.75" customHeight="1" thickTop="1" x14ac:dyDescent="0.25">
      <c r="D88" s="937"/>
      <c r="E88" s="851"/>
      <c r="F88" s="851"/>
      <c r="G88" s="823"/>
      <c r="I88" s="807"/>
      <c r="J88" s="802"/>
      <c r="K88" s="802"/>
      <c r="L88" s="802"/>
      <c r="M88" s="802"/>
      <c r="N88" s="802"/>
      <c r="O88" s="802"/>
    </row>
    <row r="89" spans="1:15" ht="12.75" customHeight="1" x14ac:dyDescent="0.25">
      <c r="D89" s="939">
        <v>638004</v>
      </c>
      <c r="E89" s="819"/>
      <c r="F89" s="914"/>
      <c r="G89" s="820" t="s">
        <v>4194</v>
      </c>
      <c r="H89" s="832"/>
      <c r="I89" s="807"/>
      <c r="J89" s="802"/>
      <c r="K89" s="802"/>
      <c r="L89" s="802"/>
      <c r="M89" s="802"/>
      <c r="N89" s="802"/>
      <c r="O89" s="802"/>
    </row>
    <row r="90" spans="1:15" ht="12.75" customHeight="1" x14ac:dyDescent="0.25">
      <c r="D90" s="937"/>
      <c r="E90" s="851"/>
      <c r="F90" s="851"/>
      <c r="G90" s="822" t="s">
        <v>533</v>
      </c>
      <c r="I90" s="807"/>
      <c r="J90" s="802"/>
      <c r="K90" s="802"/>
      <c r="L90" s="802"/>
      <c r="M90" s="802"/>
      <c r="N90" s="802"/>
      <c r="O90" s="802"/>
    </row>
    <row r="91" spans="1:15" ht="12.75" customHeight="1" x14ac:dyDescent="0.25">
      <c r="A91" s="795">
        <f>D89</f>
        <v>638004</v>
      </c>
      <c r="B91" s="791" t="str">
        <f>G89</f>
        <v>Uitvoering participatiewet compensabel</v>
      </c>
      <c r="D91" s="937">
        <v>43812</v>
      </c>
      <c r="E91" s="851"/>
      <c r="F91" s="851"/>
      <c r="G91" s="823" t="s">
        <v>535</v>
      </c>
      <c r="I91" s="807"/>
      <c r="J91" s="807">
        <v>105360</v>
      </c>
      <c r="K91" s="807">
        <f t="shared" ref="K91:M91" si="66">K276</f>
        <v>96000</v>
      </c>
      <c r="L91" s="807">
        <f t="shared" si="66"/>
        <v>100630</v>
      </c>
      <c r="M91" s="807">
        <f t="shared" si="66"/>
        <v>100280</v>
      </c>
      <c r="N91" s="807">
        <f t="shared" ref="N91:O91" si="67">N276</f>
        <v>105350</v>
      </c>
      <c r="O91" s="807">
        <f t="shared" si="67"/>
        <v>104920</v>
      </c>
    </row>
    <row r="92" spans="1:15" ht="12.75" customHeight="1" thickBot="1" x14ac:dyDescent="0.3">
      <c r="D92" s="937"/>
      <c r="E92" s="851"/>
      <c r="F92" s="851"/>
      <c r="G92" s="823" t="s">
        <v>536</v>
      </c>
      <c r="I92" s="807"/>
      <c r="J92" s="852">
        <v>105360</v>
      </c>
      <c r="K92" s="852">
        <f t="shared" ref="K92:M92" si="68">SUM(K90:K91)</f>
        <v>96000</v>
      </c>
      <c r="L92" s="852">
        <f t="shared" si="68"/>
        <v>100630</v>
      </c>
      <c r="M92" s="852">
        <f t="shared" si="68"/>
        <v>100280</v>
      </c>
      <c r="N92" s="852">
        <f t="shared" ref="N92:O92" si="69">SUM(N90:N91)</f>
        <v>105350</v>
      </c>
      <c r="O92" s="852">
        <f t="shared" si="69"/>
        <v>104920</v>
      </c>
    </row>
    <row r="93" spans="1:15" ht="12.75" customHeight="1" thickTop="1" x14ac:dyDescent="0.25">
      <c r="D93" s="937"/>
      <c r="E93" s="851"/>
      <c r="F93" s="851"/>
      <c r="G93" s="823"/>
      <c r="I93" s="807"/>
      <c r="J93" s="802"/>
      <c r="K93" s="802"/>
      <c r="L93" s="802"/>
      <c r="M93" s="802"/>
      <c r="N93" s="802"/>
      <c r="O93" s="802"/>
    </row>
    <row r="94" spans="1:15" ht="12.75" customHeight="1" x14ac:dyDescent="0.25">
      <c r="D94" s="936">
        <v>638005</v>
      </c>
      <c r="E94" s="819"/>
      <c r="F94" s="819"/>
      <c r="G94" s="820" t="s">
        <v>4195</v>
      </c>
      <c r="I94" s="806"/>
      <c r="J94" s="850"/>
      <c r="K94" s="850"/>
      <c r="L94" s="850"/>
      <c r="M94" s="850"/>
      <c r="N94" s="850"/>
      <c r="O94" s="850"/>
    </row>
    <row r="95" spans="1:15" ht="12.75" customHeight="1" x14ac:dyDescent="0.25">
      <c r="D95" s="936"/>
      <c r="E95" s="819"/>
      <c r="F95" s="819"/>
      <c r="G95" s="823" t="s">
        <v>533</v>
      </c>
      <c r="I95" s="806"/>
      <c r="J95" s="850"/>
      <c r="K95" s="850"/>
      <c r="L95" s="850"/>
      <c r="M95" s="850"/>
      <c r="N95" s="850"/>
      <c r="O95" s="850"/>
    </row>
    <row r="96" spans="1:15" ht="12.75" customHeight="1" x14ac:dyDescent="0.25">
      <c r="A96" s="795">
        <f>D94</f>
        <v>638005</v>
      </c>
      <c r="B96" s="791" t="str">
        <f>G94</f>
        <v>Uitvoering participatiewet niet compensabel</v>
      </c>
      <c r="D96" s="938">
        <v>43812</v>
      </c>
      <c r="E96" s="821"/>
      <c r="F96" s="851"/>
      <c r="G96" s="823" t="s">
        <v>535</v>
      </c>
      <c r="I96" s="807"/>
      <c r="J96" s="807">
        <v>19100</v>
      </c>
      <c r="K96" s="807">
        <f t="shared" ref="K96:M96" si="70">K281</f>
        <v>19600</v>
      </c>
      <c r="L96" s="807">
        <f t="shared" si="70"/>
        <v>20000</v>
      </c>
      <c r="M96" s="807">
        <f t="shared" si="70"/>
        <v>20500</v>
      </c>
      <c r="N96" s="807">
        <f t="shared" ref="N96:O96" si="71">N281</f>
        <v>21000</v>
      </c>
      <c r="O96" s="807">
        <f t="shared" si="71"/>
        <v>21500</v>
      </c>
    </row>
    <row r="97" spans="1:15" ht="12.75" customHeight="1" thickBot="1" x14ac:dyDescent="0.3">
      <c r="D97" s="937"/>
      <c r="E97" s="851"/>
      <c r="F97" s="851"/>
      <c r="G97" s="823" t="s">
        <v>536</v>
      </c>
      <c r="I97" s="807"/>
      <c r="J97" s="852">
        <v>19100</v>
      </c>
      <c r="K97" s="852">
        <f t="shared" ref="K97:M97" si="72">SUM(K95:K96)</f>
        <v>19600</v>
      </c>
      <c r="L97" s="852">
        <f t="shared" si="72"/>
        <v>20000</v>
      </c>
      <c r="M97" s="852">
        <f t="shared" si="72"/>
        <v>20500</v>
      </c>
      <c r="N97" s="852">
        <f t="shared" ref="N97:O97" si="73">SUM(N95:N96)</f>
        <v>21000</v>
      </c>
      <c r="O97" s="852">
        <f t="shared" si="73"/>
        <v>21500</v>
      </c>
    </row>
    <row r="98" spans="1:15" ht="12.75" customHeight="1" thickTop="1" x14ac:dyDescent="0.25">
      <c r="D98" s="937"/>
      <c r="E98" s="851"/>
      <c r="F98" s="851"/>
      <c r="G98" s="823"/>
      <c r="I98" s="807"/>
      <c r="J98" s="802"/>
      <c r="K98" s="802"/>
      <c r="L98" s="802"/>
      <c r="M98" s="802"/>
      <c r="N98" s="802"/>
      <c r="O98" s="802"/>
    </row>
    <row r="99" spans="1:15" ht="12.75" customHeight="1" x14ac:dyDescent="0.25">
      <c r="D99" s="936">
        <v>638003</v>
      </c>
      <c r="E99" s="819"/>
      <c r="F99" s="819"/>
      <c r="G99" s="820" t="s">
        <v>4196</v>
      </c>
      <c r="I99" s="807"/>
      <c r="J99" s="802"/>
      <c r="K99" s="802"/>
      <c r="L99" s="802"/>
      <c r="M99" s="802"/>
      <c r="N99" s="802"/>
      <c r="O99" s="802"/>
    </row>
    <row r="100" spans="1:15" ht="12.75" customHeight="1" x14ac:dyDescent="0.25">
      <c r="D100" s="936"/>
      <c r="E100" s="819"/>
      <c r="F100" s="819"/>
      <c r="G100" s="822" t="s">
        <v>533</v>
      </c>
      <c r="I100" s="806"/>
      <c r="J100" s="850"/>
      <c r="K100" s="850"/>
      <c r="L100" s="850"/>
      <c r="M100" s="850"/>
      <c r="N100" s="850"/>
      <c r="O100" s="850"/>
    </row>
    <row r="101" spans="1:15" ht="12.75" customHeight="1" x14ac:dyDescent="0.25">
      <c r="A101" s="795">
        <f>D99</f>
        <v>638003</v>
      </c>
      <c r="B101" s="791" t="str">
        <f>G99</f>
        <v>Participatiewet toeslag beschermde woonvormen</v>
      </c>
      <c r="D101" s="938">
        <v>44110</v>
      </c>
      <c r="E101" s="821"/>
      <c r="F101" s="821"/>
      <c r="G101" s="823" t="s">
        <v>4193</v>
      </c>
      <c r="I101" s="807"/>
      <c r="J101" s="807">
        <v>39000</v>
      </c>
      <c r="K101" s="807">
        <f t="shared" ref="K101:M101" si="74">K296</f>
        <v>33000</v>
      </c>
      <c r="L101" s="807">
        <f t="shared" si="74"/>
        <v>33000</v>
      </c>
      <c r="M101" s="807">
        <f t="shared" si="74"/>
        <v>33000</v>
      </c>
      <c r="N101" s="807">
        <f t="shared" ref="N101:O101" si="75">N296</f>
        <v>33000</v>
      </c>
      <c r="O101" s="807">
        <f t="shared" si="75"/>
        <v>33000</v>
      </c>
    </row>
    <row r="102" spans="1:15" ht="12.75" customHeight="1" thickBot="1" x14ac:dyDescent="0.3">
      <c r="D102" s="937"/>
      <c r="E102" s="851"/>
      <c r="F102" s="851"/>
      <c r="G102" s="823" t="s">
        <v>536</v>
      </c>
      <c r="I102" s="807"/>
      <c r="J102" s="852">
        <v>39000</v>
      </c>
      <c r="K102" s="852">
        <f t="shared" ref="K102:M102" si="76">SUM(K100:K101)</f>
        <v>33000</v>
      </c>
      <c r="L102" s="852">
        <f t="shared" si="76"/>
        <v>33000</v>
      </c>
      <c r="M102" s="852">
        <f t="shared" si="76"/>
        <v>33000</v>
      </c>
      <c r="N102" s="852">
        <f t="shared" ref="N102:O102" si="77">SUM(N100:N101)</f>
        <v>33000</v>
      </c>
      <c r="O102" s="852">
        <f t="shared" si="77"/>
        <v>33000</v>
      </c>
    </row>
    <row r="103" spans="1:15" ht="12.75" customHeight="1" thickTop="1" x14ac:dyDescent="0.25">
      <c r="D103" s="937"/>
      <c r="E103" s="851"/>
      <c r="F103" s="851"/>
      <c r="G103" s="823"/>
      <c r="I103" s="807"/>
      <c r="J103" s="853"/>
      <c r="K103" s="853"/>
      <c r="L103" s="853"/>
      <c r="M103" s="853"/>
      <c r="N103" s="853"/>
      <c r="O103" s="853"/>
    </row>
    <row r="104" spans="1:15" ht="12.75" customHeight="1" x14ac:dyDescent="0.25">
      <c r="D104" s="936">
        <v>638901</v>
      </c>
      <c r="E104" s="819"/>
      <c r="F104" s="819"/>
      <c r="G104" s="820" t="s">
        <v>4197</v>
      </c>
      <c r="I104" s="807"/>
      <c r="J104" s="802"/>
      <c r="K104" s="802"/>
      <c r="L104" s="802"/>
      <c r="M104" s="802"/>
      <c r="N104" s="802"/>
      <c r="O104" s="802"/>
    </row>
    <row r="105" spans="1:15" ht="12.75" customHeight="1" x14ac:dyDescent="0.25">
      <c r="D105" s="936"/>
      <c r="E105" s="819"/>
      <c r="F105" s="819"/>
      <c r="G105" s="822" t="s">
        <v>533</v>
      </c>
      <c r="I105" s="806"/>
      <c r="J105" s="850"/>
      <c r="K105" s="850"/>
      <c r="L105" s="850"/>
      <c r="M105" s="850"/>
      <c r="N105" s="850"/>
      <c r="O105" s="850"/>
    </row>
    <row r="106" spans="1:15" ht="12.75" customHeight="1" x14ac:dyDescent="0.25">
      <c r="A106" s="795">
        <f>D104</f>
        <v>638901</v>
      </c>
      <c r="B106" s="791" t="str">
        <f>G104</f>
        <v>Directe toerekening inkomensvoorzieningen</v>
      </c>
      <c r="D106" s="938">
        <v>41100</v>
      </c>
      <c r="E106" s="821"/>
      <c r="F106" s="821"/>
      <c r="G106" s="823" t="s">
        <v>700</v>
      </c>
      <c r="I106" s="807"/>
      <c r="J106" s="807">
        <v>1392086.85</v>
      </c>
      <c r="K106" s="807">
        <f t="shared" ref="K106:M106" si="78">K324</f>
        <v>1791856.9300000002</v>
      </c>
      <c r="L106" s="807">
        <f t="shared" si="78"/>
        <v>1755517</v>
      </c>
      <c r="M106" s="807">
        <f t="shared" si="78"/>
        <v>1820471</v>
      </c>
      <c r="N106" s="807">
        <f t="shared" ref="N106:O106" si="79">N324</f>
        <v>1887829</v>
      </c>
      <c r="O106" s="807">
        <f t="shared" si="79"/>
        <v>1957678</v>
      </c>
    </row>
    <row r="107" spans="1:15" ht="12.75" customHeight="1" thickBot="1" x14ac:dyDescent="0.3">
      <c r="D107" s="937"/>
      <c r="E107" s="851"/>
      <c r="F107" s="851"/>
      <c r="G107" s="823" t="s">
        <v>536</v>
      </c>
      <c r="I107" s="807"/>
      <c r="J107" s="852">
        <v>1392086.85</v>
      </c>
      <c r="K107" s="852">
        <f t="shared" ref="K107:M107" si="80">SUM(K105:K106)</f>
        <v>1791856.9300000002</v>
      </c>
      <c r="L107" s="852">
        <f t="shared" si="80"/>
        <v>1755517</v>
      </c>
      <c r="M107" s="852">
        <f t="shared" si="80"/>
        <v>1820471</v>
      </c>
      <c r="N107" s="852">
        <f t="shared" ref="N107:O107" si="81">SUM(N105:N106)</f>
        <v>1887829</v>
      </c>
      <c r="O107" s="852">
        <f t="shared" si="81"/>
        <v>1957678</v>
      </c>
    </row>
    <row r="108" spans="1:15" ht="12.75" customHeight="1" thickTop="1" x14ac:dyDescent="0.25">
      <c r="D108" s="937"/>
      <c r="E108" s="851"/>
      <c r="F108" s="851"/>
      <c r="G108" s="823"/>
      <c r="I108" s="807"/>
      <c r="J108" s="802"/>
      <c r="K108" s="802"/>
      <c r="L108" s="802"/>
      <c r="M108" s="802"/>
      <c r="N108" s="802"/>
      <c r="O108" s="802"/>
    </row>
    <row r="109" spans="1:15" ht="12.75" customHeight="1" x14ac:dyDescent="0.25">
      <c r="D109" s="939">
        <v>638011</v>
      </c>
      <c r="E109" s="819"/>
      <c r="F109" s="914"/>
      <c r="G109" s="820" t="s">
        <v>4198</v>
      </c>
      <c r="I109" s="806"/>
      <c r="J109" s="850"/>
      <c r="K109" s="850"/>
      <c r="L109" s="850"/>
      <c r="M109" s="850"/>
      <c r="N109" s="850"/>
      <c r="O109" s="850"/>
    </row>
    <row r="110" spans="1:15" ht="12.75" customHeight="1" x14ac:dyDescent="0.25">
      <c r="D110" s="936"/>
      <c r="E110" s="819"/>
      <c r="F110" s="819"/>
      <c r="G110" s="822" t="s">
        <v>533</v>
      </c>
      <c r="I110" s="806"/>
      <c r="J110" s="850"/>
      <c r="K110" s="850"/>
      <c r="L110" s="850"/>
      <c r="M110" s="850"/>
      <c r="N110" s="850"/>
      <c r="O110" s="850"/>
    </row>
    <row r="111" spans="1:15" ht="12.75" customHeight="1" x14ac:dyDescent="0.25">
      <c r="A111" s="795">
        <f>D109</f>
        <v>638011</v>
      </c>
      <c r="B111" s="791" t="str">
        <f>G109</f>
        <v>Uitkeringen aan ondernemers (bbz)</v>
      </c>
      <c r="D111" s="938">
        <v>44110</v>
      </c>
      <c r="E111" s="821"/>
      <c r="F111" s="821"/>
      <c r="G111" s="823" t="s">
        <v>4193</v>
      </c>
      <c r="I111" s="807"/>
      <c r="J111" s="829">
        <v>40000</v>
      </c>
      <c r="K111" s="829">
        <f t="shared" ref="K111:M111" si="82">K330</f>
        <v>40000</v>
      </c>
      <c r="L111" s="829">
        <f t="shared" si="82"/>
        <v>40000</v>
      </c>
      <c r="M111" s="829">
        <f t="shared" si="82"/>
        <v>40000</v>
      </c>
      <c r="N111" s="829">
        <f t="shared" ref="N111:O111" si="83">N330</f>
        <v>40000</v>
      </c>
      <c r="O111" s="829">
        <f t="shared" si="83"/>
        <v>40000</v>
      </c>
    </row>
    <row r="112" spans="1:15" ht="12.75" customHeight="1" thickBot="1" x14ac:dyDescent="0.3">
      <c r="D112" s="937"/>
      <c r="E112" s="851"/>
      <c r="F112" s="851"/>
      <c r="G112" s="823" t="s">
        <v>536</v>
      </c>
      <c r="I112" s="807"/>
      <c r="J112" s="852">
        <v>40000</v>
      </c>
      <c r="K112" s="852">
        <f t="shared" ref="K112:M112" si="84">SUM(K110:K111)</f>
        <v>40000</v>
      </c>
      <c r="L112" s="852">
        <f t="shared" si="84"/>
        <v>40000</v>
      </c>
      <c r="M112" s="852">
        <f t="shared" si="84"/>
        <v>40000</v>
      </c>
      <c r="N112" s="852">
        <f t="shared" ref="N112:O112" si="85">SUM(N110:N111)</f>
        <v>40000</v>
      </c>
      <c r="O112" s="852">
        <f t="shared" si="85"/>
        <v>40000</v>
      </c>
    </row>
    <row r="113" spans="1:15" ht="12.75" customHeight="1" thickTop="1" x14ac:dyDescent="0.25">
      <c r="D113" s="937"/>
      <c r="E113" s="851"/>
      <c r="F113" s="851"/>
      <c r="G113" s="823"/>
      <c r="I113" s="807"/>
      <c r="J113" s="802"/>
      <c r="K113" s="802"/>
      <c r="L113" s="802"/>
      <c r="M113" s="802"/>
      <c r="N113" s="802"/>
      <c r="O113" s="802"/>
    </row>
    <row r="114" spans="1:15" ht="12.75" customHeight="1" x14ac:dyDescent="0.25">
      <c r="D114" s="939">
        <v>638012</v>
      </c>
      <c r="E114" s="819"/>
      <c r="F114" s="914"/>
      <c r="G114" s="820" t="s">
        <v>4199</v>
      </c>
      <c r="I114" s="807"/>
      <c r="J114" s="802"/>
      <c r="K114" s="802"/>
      <c r="L114" s="802"/>
      <c r="M114" s="802"/>
      <c r="N114" s="802"/>
      <c r="O114" s="802"/>
    </row>
    <row r="115" spans="1:15" ht="12.75" customHeight="1" x14ac:dyDescent="0.25">
      <c r="D115" s="937"/>
      <c r="E115" s="851"/>
      <c r="F115" s="851"/>
      <c r="G115" s="822" t="s">
        <v>533</v>
      </c>
      <c r="I115" s="807"/>
      <c r="J115" s="802"/>
      <c r="K115" s="802"/>
      <c r="L115" s="802"/>
      <c r="M115" s="802"/>
      <c r="N115" s="802"/>
      <c r="O115" s="802"/>
    </row>
    <row r="116" spans="1:15" ht="12.75" customHeight="1" x14ac:dyDescent="0.25">
      <c r="A116" s="795">
        <f>D114</f>
        <v>638012</v>
      </c>
      <c r="B116" s="791" t="str">
        <f>G114</f>
        <v>Inkomensvoorzieningen ondernemers (bbz)</v>
      </c>
      <c r="D116" s="938">
        <v>44110</v>
      </c>
      <c r="E116" s="821"/>
      <c r="F116" s="821"/>
      <c r="G116" s="823" t="s">
        <v>4193</v>
      </c>
      <c r="I116" s="807"/>
      <c r="J116" s="802">
        <v>25000</v>
      </c>
      <c r="K116" s="802">
        <f t="shared" ref="K116:M116" si="86">K335</f>
        <v>25000</v>
      </c>
      <c r="L116" s="802">
        <f t="shared" si="86"/>
        <v>25000</v>
      </c>
      <c r="M116" s="802">
        <f t="shared" si="86"/>
        <v>25000</v>
      </c>
      <c r="N116" s="802">
        <f t="shared" ref="N116:O116" si="87">N335</f>
        <v>25000</v>
      </c>
      <c r="O116" s="802">
        <f t="shared" si="87"/>
        <v>25000</v>
      </c>
    </row>
    <row r="117" spans="1:15" ht="12.75" customHeight="1" thickBot="1" x14ac:dyDescent="0.3">
      <c r="D117" s="937"/>
      <c r="E117" s="851"/>
      <c r="F117" s="851"/>
      <c r="G117" s="823" t="s">
        <v>536</v>
      </c>
      <c r="I117" s="807"/>
      <c r="J117" s="852">
        <v>25000</v>
      </c>
      <c r="K117" s="852">
        <f t="shared" ref="K117:M117" si="88">SUM(K115:K116)</f>
        <v>25000</v>
      </c>
      <c r="L117" s="852">
        <f t="shared" si="88"/>
        <v>25000</v>
      </c>
      <c r="M117" s="852">
        <f t="shared" si="88"/>
        <v>25000</v>
      </c>
      <c r="N117" s="852">
        <f t="shared" ref="N117:O117" si="89">SUM(N115:N116)</f>
        <v>25000</v>
      </c>
      <c r="O117" s="852">
        <f t="shared" si="89"/>
        <v>25000</v>
      </c>
    </row>
    <row r="118" spans="1:15" ht="12.75" customHeight="1" thickTop="1" x14ac:dyDescent="0.25">
      <c r="D118" s="937"/>
      <c r="E118" s="851"/>
      <c r="F118" s="851"/>
      <c r="G118" s="823"/>
      <c r="I118" s="807"/>
      <c r="J118" s="802"/>
      <c r="K118" s="802"/>
      <c r="L118" s="802"/>
      <c r="M118" s="802"/>
      <c r="N118" s="802"/>
      <c r="O118" s="802"/>
    </row>
    <row r="119" spans="1:15" ht="12.75" customHeight="1" x14ac:dyDescent="0.25">
      <c r="D119" s="939">
        <v>638013</v>
      </c>
      <c r="E119" s="819"/>
      <c r="F119" s="914"/>
      <c r="G119" s="820" t="s">
        <v>4200</v>
      </c>
      <c r="I119" s="807"/>
      <c r="J119" s="802"/>
      <c r="K119" s="802"/>
      <c r="L119" s="802"/>
      <c r="M119" s="802"/>
      <c r="N119" s="802"/>
      <c r="O119" s="802"/>
    </row>
    <row r="120" spans="1:15" ht="12.75" customHeight="1" x14ac:dyDescent="0.25">
      <c r="D120" s="937"/>
      <c r="E120" s="851"/>
      <c r="F120" s="851"/>
      <c r="G120" s="822" t="s">
        <v>533</v>
      </c>
      <c r="I120" s="807"/>
      <c r="J120" s="802"/>
      <c r="K120" s="802"/>
      <c r="L120" s="802"/>
      <c r="M120" s="802"/>
      <c r="N120" s="802"/>
      <c r="O120" s="802"/>
    </row>
    <row r="121" spans="1:15" ht="12.75" customHeight="1" x14ac:dyDescent="0.25">
      <c r="A121" s="795">
        <f>D119</f>
        <v>638013</v>
      </c>
      <c r="B121" s="791" t="str">
        <f>G119</f>
        <v xml:space="preserve">Kapitaalverstrekking Bbz </v>
      </c>
      <c r="D121" s="938">
        <v>44310</v>
      </c>
      <c r="E121" s="821"/>
      <c r="F121" s="821"/>
      <c r="G121" s="823" t="s">
        <v>721</v>
      </c>
      <c r="I121" s="807"/>
      <c r="J121" s="802">
        <v>38500</v>
      </c>
      <c r="K121" s="802">
        <f t="shared" ref="K121:M121" si="90">K340</f>
        <v>38500</v>
      </c>
      <c r="L121" s="802">
        <f t="shared" si="90"/>
        <v>38500</v>
      </c>
      <c r="M121" s="802">
        <f t="shared" si="90"/>
        <v>38500</v>
      </c>
      <c r="N121" s="802">
        <f t="shared" ref="N121:O121" si="91">N340</f>
        <v>38500</v>
      </c>
      <c r="O121" s="802">
        <f t="shared" si="91"/>
        <v>38500</v>
      </c>
    </row>
    <row r="122" spans="1:15" ht="12.75" customHeight="1" thickBot="1" x14ac:dyDescent="0.3">
      <c r="D122" s="937"/>
      <c r="E122" s="851"/>
      <c r="F122" s="851"/>
      <c r="G122" s="823" t="s">
        <v>536</v>
      </c>
      <c r="I122" s="807"/>
      <c r="J122" s="852">
        <v>38500</v>
      </c>
      <c r="K122" s="852">
        <f t="shared" ref="K122:M122" si="92">SUM(K120:K121)</f>
        <v>38500</v>
      </c>
      <c r="L122" s="852">
        <f t="shared" si="92"/>
        <v>38500</v>
      </c>
      <c r="M122" s="852">
        <f t="shared" si="92"/>
        <v>38500</v>
      </c>
      <c r="N122" s="852">
        <f t="shared" ref="N122:O122" si="93">SUM(N120:N121)</f>
        <v>38500</v>
      </c>
      <c r="O122" s="852">
        <f t="shared" si="93"/>
        <v>38500</v>
      </c>
    </row>
    <row r="123" spans="1:15" ht="12.75" customHeight="1" thickTop="1" x14ac:dyDescent="0.25">
      <c r="D123" s="937"/>
      <c r="E123" s="851"/>
      <c r="F123" s="851"/>
      <c r="G123" s="823"/>
      <c r="I123" s="807"/>
      <c r="J123" s="802"/>
      <c r="K123" s="802"/>
      <c r="L123" s="802"/>
      <c r="M123" s="802"/>
      <c r="N123" s="802"/>
      <c r="O123" s="802"/>
    </row>
    <row r="124" spans="1:15" ht="12.75" customHeight="1" x14ac:dyDescent="0.25">
      <c r="D124" s="939">
        <v>638015</v>
      </c>
      <c r="E124" s="819"/>
      <c r="F124" s="914"/>
      <c r="G124" s="820" t="s">
        <v>4201</v>
      </c>
      <c r="I124" s="807"/>
      <c r="J124" s="802"/>
      <c r="K124" s="802"/>
      <c r="L124" s="802"/>
      <c r="M124" s="802"/>
      <c r="N124" s="802"/>
      <c r="O124" s="802"/>
    </row>
    <row r="125" spans="1:15" ht="12.75" customHeight="1" x14ac:dyDescent="0.25">
      <c r="D125" s="937"/>
      <c r="E125" s="851"/>
      <c r="F125" s="851"/>
      <c r="G125" s="822" t="s">
        <v>533</v>
      </c>
      <c r="I125" s="807"/>
      <c r="J125" s="802"/>
      <c r="K125" s="802"/>
      <c r="L125" s="802"/>
      <c r="M125" s="802"/>
      <c r="N125" s="802"/>
      <c r="O125" s="802"/>
    </row>
    <row r="126" spans="1:15" ht="12.75" customHeight="1" x14ac:dyDescent="0.25">
      <c r="A126" s="795">
        <f>D124</f>
        <v>638015</v>
      </c>
      <c r="B126" s="791" t="str">
        <f>G124</f>
        <v>Bbz advieskosten uitgaven / afdrachten rijk</v>
      </c>
      <c r="D126" s="938">
        <v>43812</v>
      </c>
      <c r="E126" s="821"/>
      <c r="F126" s="821"/>
      <c r="G126" s="823" t="s">
        <v>535</v>
      </c>
      <c r="I126" s="807"/>
      <c r="J126" s="802">
        <v>11500</v>
      </c>
      <c r="K126" s="802">
        <f t="shared" ref="K126:M126" si="94">K345</f>
        <v>11800</v>
      </c>
      <c r="L126" s="802">
        <f t="shared" si="94"/>
        <v>12000</v>
      </c>
      <c r="M126" s="802">
        <f t="shared" si="94"/>
        <v>12300</v>
      </c>
      <c r="N126" s="802">
        <f t="shared" ref="N126:O126" si="95">N345</f>
        <v>12600</v>
      </c>
      <c r="O126" s="802">
        <f t="shared" si="95"/>
        <v>12900</v>
      </c>
    </row>
    <row r="127" spans="1:15" ht="12.75" customHeight="1" thickBot="1" x14ac:dyDescent="0.3">
      <c r="D127" s="937"/>
      <c r="E127" s="851"/>
      <c r="F127" s="851"/>
      <c r="G127" s="823" t="s">
        <v>536</v>
      </c>
      <c r="I127" s="807"/>
      <c r="J127" s="852">
        <v>11500</v>
      </c>
      <c r="K127" s="852">
        <f t="shared" ref="K127:M127" si="96">SUM(K126:K126)</f>
        <v>11800</v>
      </c>
      <c r="L127" s="852">
        <f t="shared" si="96"/>
        <v>12000</v>
      </c>
      <c r="M127" s="852">
        <f t="shared" si="96"/>
        <v>12300</v>
      </c>
      <c r="N127" s="852">
        <f t="shared" ref="N127:O127" si="97">SUM(N126:N126)</f>
        <v>12600</v>
      </c>
      <c r="O127" s="852">
        <f t="shared" si="97"/>
        <v>12900</v>
      </c>
    </row>
    <row r="128" spans="1:15" ht="12.75" customHeight="1" thickTop="1" x14ac:dyDescent="0.25">
      <c r="D128" s="937"/>
      <c r="E128" s="851"/>
      <c r="F128" s="851"/>
      <c r="G128" s="823"/>
      <c r="I128" s="807"/>
      <c r="J128" s="802"/>
      <c r="K128" s="802"/>
      <c r="L128" s="802"/>
      <c r="M128" s="802"/>
      <c r="N128" s="802"/>
      <c r="O128" s="802"/>
    </row>
    <row r="129" spans="1:15" ht="12.75" customHeight="1" x14ac:dyDescent="0.25">
      <c r="D129" s="939">
        <v>638016</v>
      </c>
      <c r="E129" s="819"/>
      <c r="F129" s="914"/>
      <c r="G129" s="820" t="s">
        <v>4202</v>
      </c>
      <c r="I129" s="806"/>
      <c r="J129" s="850"/>
      <c r="K129" s="850"/>
      <c r="L129" s="850"/>
      <c r="M129" s="850"/>
      <c r="N129" s="850"/>
      <c r="O129" s="850"/>
    </row>
    <row r="130" spans="1:15" ht="12.75" customHeight="1" x14ac:dyDescent="0.25">
      <c r="D130" s="936"/>
      <c r="E130" s="819"/>
      <c r="F130" s="819"/>
      <c r="G130" s="822" t="s">
        <v>533</v>
      </c>
      <c r="I130" s="806"/>
      <c r="J130" s="850"/>
      <c r="K130" s="850"/>
      <c r="L130" s="850"/>
      <c r="M130" s="850"/>
      <c r="N130" s="850"/>
      <c r="O130" s="850"/>
    </row>
    <row r="131" spans="1:15" ht="12.75" customHeight="1" x14ac:dyDescent="0.25">
      <c r="A131" s="795">
        <f>D129</f>
        <v>638016</v>
      </c>
      <c r="B131" s="791" t="str">
        <f>G129</f>
        <v>Uitvoering BBZ</v>
      </c>
      <c r="D131" s="938">
        <v>43812</v>
      </c>
      <c r="E131" s="821"/>
      <c r="F131" s="821"/>
      <c r="G131" s="823" t="s">
        <v>535</v>
      </c>
      <c r="I131" s="807"/>
      <c r="J131" s="807">
        <v>8300</v>
      </c>
      <c r="K131" s="807">
        <f t="shared" ref="K131:M131" si="98">K350</f>
        <v>8500</v>
      </c>
      <c r="L131" s="807">
        <f t="shared" si="98"/>
        <v>8700</v>
      </c>
      <c r="M131" s="807">
        <f t="shared" si="98"/>
        <v>8900</v>
      </c>
      <c r="N131" s="807">
        <f t="shared" ref="N131:O131" si="99">N350</f>
        <v>9100</v>
      </c>
      <c r="O131" s="807">
        <f t="shared" si="99"/>
        <v>9300</v>
      </c>
    </row>
    <row r="132" spans="1:15" ht="12.75" customHeight="1" thickBot="1" x14ac:dyDescent="0.3">
      <c r="D132" s="937"/>
      <c r="E132" s="851"/>
      <c r="F132" s="851"/>
      <c r="G132" s="823" t="s">
        <v>536</v>
      </c>
      <c r="I132" s="807"/>
      <c r="J132" s="852">
        <v>8300</v>
      </c>
      <c r="K132" s="852">
        <f t="shared" ref="K132:M132" si="100">SUM(K130:K131)</f>
        <v>8500</v>
      </c>
      <c r="L132" s="852">
        <f t="shared" si="100"/>
        <v>8700</v>
      </c>
      <c r="M132" s="852">
        <f t="shared" si="100"/>
        <v>8900</v>
      </c>
      <c r="N132" s="852">
        <f t="shared" ref="N132:O132" si="101">SUM(N130:N131)</f>
        <v>9100</v>
      </c>
      <c r="O132" s="852">
        <f t="shared" si="101"/>
        <v>9300</v>
      </c>
    </row>
    <row r="133" spans="1:15" ht="12.75" customHeight="1" thickTop="1" x14ac:dyDescent="0.25">
      <c r="D133" s="937"/>
      <c r="E133" s="851"/>
      <c r="F133" s="851"/>
      <c r="G133" s="823"/>
      <c r="I133" s="807"/>
      <c r="J133" s="802"/>
      <c r="K133" s="802"/>
      <c r="L133" s="802"/>
      <c r="M133" s="802"/>
      <c r="N133" s="802"/>
      <c r="O133" s="802"/>
    </row>
    <row r="134" spans="1:15" ht="12.75" customHeight="1" x14ac:dyDescent="0.25">
      <c r="D134" s="939">
        <v>638017</v>
      </c>
      <c r="E134" s="819"/>
      <c r="F134" s="914"/>
      <c r="G134" s="820" t="s">
        <v>4203</v>
      </c>
      <c r="I134" s="806"/>
      <c r="J134" s="850"/>
      <c r="K134" s="850"/>
      <c r="L134" s="850"/>
      <c r="M134" s="850"/>
      <c r="N134" s="850"/>
      <c r="O134" s="850"/>
    </row>
    <row r="135" spans="1:15" ht="12.75" customHeight="1" x14ac:dyDescent="0.25">
      <c r="D135" s="936"/>
      <c r="E135" s="819"/>
      <c r="F135" s="819"/>
      <c r="G135" s="822" t="s">
        <v>533</v>
      </c>
      <c r="I135" s="806"/>
      <c r="J135" s="850"/>
      <c r="K135" s="850"/>
      <c r="L135" s="850"/>
      <c r="M135" s="850"/>
      <c r="N135" s="850"/>
      <c r="O135" s="850"/>
    </row>
    <row r="136" spans="1:15" ht="12.75" customHeight="1" x14ac:dyDescent="0.25">
      <c r="A136" s="795">
        <f>D134</f>
        <v>638017</v>
      </c>
      <c r="B136" s="791" t="str">
        <f>G134</f>
        <v>Bbz uitkering en kapitaalverstr starters</v>
      </c>
      <c r="D136" s="938">
        <v>44110</v>
      </c>
      <c r="E136" s="821"/>
      <c r="F136" s="821"/>
      <c r="G136" s="823" t="s">
        <v>4193</v>
      </c>
      <c r="I136" s="807"/>
      <c r="J136" s="807">
        <v>9000</v>
      </c>
      <c r="K136" s="807">
        <f t="shared" ref="K136:M136" si="102">K355</f>
        <v>9000</v>
      </c>
      <c r="L136" s="807">
        <f t="shared" si="102"/>
        <v>9000</v>
      </c>
      <c r="M136" s="807">
        <f t="shared" si="102"/>
        <v>9000</v>
      </c>
      <c r="N136" s="807">
        <f t="shared" ref="N136:O136" si="103">N355</f>
        <v>9000</v>
      </c>
      <c r="O136" s="807">
        <f t="shared" si="103"/>
        <v>9000</v>
      </c>
    </row>
    <row r="137" spans="1:15" ht="12.75" customHeight="1" thickBot="1" x14ac:dyDescent="0.3">
      <c r="D137" s="937"/>
      <c r="E137" s="851"/>
      <c r="F137" s="851"/>
      <c r="G137" s="823" t="s">
        <v>536</v>
      </c>
      <c r="I137" s="807"/>
      <c r="J137" s="852">
        <v>9000</v>
      </c>
      <c r="K137" s="852">
        <f t="shared" ref="K137:M137" si="104">SUM(K135:K136)</f>
        <v>9000</v>
      </c>
      <c r="L137" s="852">
        <f t="shared" si="104"/>
        <v>9000</v>
      </c>
      <c r="M137" s="852">
        <f t="shared" si="104"/>
        <v>9000</v>
      </c>
      <c r="N137" s="852">
        <f t="shared" ref="N137:O137" si="105">SUM(N135:N136)</f>
        <v>9000</v>
      </c>
      <c r="O137" s="852">
        <f t="shared" si="105"/>
        <v>9000</v>
      </c>
    </row>
    <row r="138" spans="1:15" ht="12.75" customHeight="1" thickTop="1" x14ac:dyDescent="0.25">
      <c r="D138" s="937"/>
      <c r="E138" s="851"/>
      <c r="F138" s="851"/>
      <c r="G138" s="823"/>
      <c r="I138" s="807"/>
      <c r="J138" s="853"/>
      <c r="K138" s="853"/>
      <c r="L138" s="853"/>
      <c r="M138" s="853"/>
      <c r="N138" s="853"/>
      <c r="O138" s="853"/>
    </row>
    <row r="139" spans="1:15" ht="12.75" customHeight="1" x14ac:dyDescent="0.25">
      <c r="D139" s="939">
        <v>638009</v>
      </c>
      <c r="E139" s="819"/>
      <c r="F139" s="914"/>
      <c r="G139" s="820" t="s">
        <v>4204</v>
      </c>
      <c r="I139" s="806"/>
      <c r="J139" s="850"/>
      <c r="K139" s="850"/>
      <c r="L139" s="850"/>
      <c r="M139" s="850"/>
      <c r="N139" s="850"/>
      <c r="O139" s="850"/>
    </row>
    <row r="140" spans="1:15" ht="12.75" customHeight="1" x14ac:dyDescent="0.25">
      <c r="D140" s="936"/>
      <c r="E140" s="819"/>
      <c r="F140" s="819"/>
      <c r="G140" s="822" t="s">
        <v>533</v>
      </c>
      <c r="I140" s="806"/>
      <c r="J140" s="850"/>
      <c r="K140" s="850"/>
      <c r="L140" s="850"/>
      <c r="M140" s="850"/>
      <c r="N140" s="850"/>
      <c r="O140" s="850"/>
    </row>
    <row r="141" spans="1:15" ht="12.75" customHeight="1" x14ac:dyDescent="0.25">
      <c r="A141" s="795">
        <f>D139</f>
        <v>638009</v>
      </c>
      <c r="B141" s="791" t="str">
        <f>G139</f>
        <v>Loonkostensubsidie participatiewet</v>
      </c>
      <c r="D141" s="938">
        <v>44110</v>
      </c>
      <c r="E141" s="821"/>
      <c r="F141" s="821"/>
      <c r="G141" s="823" t="s">
        <v>4193</v>
      </c>
      <c r="I141" s="807"/>
      <c r="J141" s="807">
        <v>749000</v>
      </c>
      <c r="K141" s="807">
        <f t="shared" ref="K141:M141" si="106">K306</f>
        <v>920000</v>
      </c>
      <c r="L141" s="807">
        <f t="shared" si="106"/>
        <v>920000</v>
      </c>
      <c r="M141" s="807">
        <f t="shared" si="106"/>
        <v>920000</v>
      </c>
      <c r="N141" s="807">
        <f t="shared" ref="N141:O141" si="107">N306</f>
        <v>920000</v>
      </c>
      <c r="O141" s="807">
        <f t="shared" si="107"/>
        <v>920000</v>
      </c>
    </row>
    <row r="142" spans="1:15" ht="12.75" customHeight="1" thickBot="1" x14ac:dyDescent="0.3">
      <c r="D142" s="937"/>
      <c r="E142" s="851"/>
      <c r="F142" s="851"/>
      <c r="G142" s="823" t="s">
        <v>536</v>
      </c>
      <c r="I142" s="807"/>
      <c r="J142" s="852">
        <v>749000</v>
      </c>
      <c r="K142" s="852">
        <f t="shared" ref="K142:M142" si="108">SUM(K140:K141)</f>
        <v>920000</v>
      </c>
      <c r="L142" s="852">
        <f t="shared" si="108"/>
        <v>920000</v>
      </c>
      <c r="M142" s="852">
        <f t="shared" si="108"/>
        <v>920000</v>
      </c>
      <c r="N142" s="852">
        <f t="shared" ref="N142:O142" si="109">SUM(N140:N141)</f>
        <v>920000</v>
      </c>
      <c r="O142" s="852">
        <f t="shared" si="109"/>
        <v>920000</v>
      </c>
    </row>
    <row r="143" spans="1:15" ht="12.75" customHeight="1" thickTop="1" x14ac:dyDescent="0.25">
      <c r="D143" s="937"/>
      <c r="E143" s="851"/>
      <c r="F143" s="851"/>
      <c r="G143" s="823"/>
      <c r="I143" s="807"/>
      <c r="J143" s="853"/>
      <c r="K143" s="853"/>
      <c r="L143" s="853"/>
      <c r="M143" s="853"/>
      <c r="N143" s="853"/>
      <c r="O143" s="853"/>
    </row>
    <row r="144" spans="1:15" ht="12.75" customHeight="1" x14ac:dyDescent="0.25">
      <c r="D144" s="939">
        <v>638020</v>
      </c>
      <c r="E144" s="819"/>
      <c r="F144" s="914"/>
      <c r="G144" s="820" t="s">
        <v>4205</v>
      </c>
      <c r="I144" s="806"/>
      <c r="J144" s="850"/>
      <c r="K144" s="850"/>
      <c r="L144" s="850"/>
      <c r="M144" s="850"/>
      <c r="N144" s="850"/>
      <c r="O144" s="850"/>
    </row>
    <row r="145" spans="1:20" ht="12.75" customHeight="1" x14ac:dyDescent="0.25">
      <c r="D145" s="936"/>
      <c r="E145" s="819"/>
      <c r="F145" s="819"/>
      <c r="G145" s="822" t="s">
        <v>533</v>
      </c>
      <c r="I145" s="806"/>
      <c r="J145" s="850"/>
      <c r="K145" s="850"/>
      <c r="L145" s="850"/>
      <c r="M145" s="850"/>
      <c r="N145" s="850"/>
      <c r="O145" s="850"/>
    </row>
    <row r="146" spans="1:20" ht="12.75" customHeight="1" x14ac:dyDescent="0.25">
      <c r="A146" s="795">
        <f>D144</f>
        <v>638020</v>
      </c>
      <c r="B146" s="791" t="str">
        <f>G144</f>
        <v>Inkomensvoorzieningen Ioaw</v>
      </c>
      <c r="D146" s="938">
        <v>44110</v>
      </c>
      <c r="E146" s="821"/>
      <c r="F146" s="821"/>
      <c r="G146" s="823" t="s">
        <v>4193</v>
      </c>
      <c r="I146" s="807"/>
      <c r="J146" s="807">
        <v>315000</v>
      </c>
      <c r="K146" s="807">
        <f t="shared" ref="K146:M146" si="110">K361</f>
        <v>235000</v>
      </c>
      <c r="L146" s="807">
        <f t="shared" si="110"/>
        <v>235000</v>
      </c>
      <c r="M146" s="807">
        <f t="shared" si="110"/>
        <v>235000</v>
      </c>
      <c r="N146" s="807">
        <f t="shared" ref="N146:O146" si="111">N361</f>
        <v>235000</v>
      </c>
      <c r="O146" s="807">
        <f t="shared" si="111"/>
        <v>235000</v>
      </c>
    </row>
    <row r="147" spans="1:20" ht="12.75" customHeight="1" thickBot="1" x14ac:dyDescent="0.3">
      <c r="D147" s="937"/>
      <c r="E147" s="851"/>
      <c r="F147" s="851"/>
      <c r="G147" s="823" t="s">
        <v>536</v>
      </c>
      <c r="I147" s="807"/>
      <c r="J147" s="852">
        <v>315000</v>
      </c>
      <c r="K147" s="852">
        <f t="shared" ref="K147:M147" si="112">SUM(K145:K146)</f>
        <v>235000</v>
      </c>
      <c r="L147" s="852">
        <f t="shared" si="112"/>
        <v>235000</v>
      </c>
      <c r="M147" s="852">
        <f t="shared" si="112"/>
        <v>235000</v>
      </c>
      <c r="N147" s="852">
        <f t="shared" ref="N147:O147" si="113">SUM(N145:N146)</f>
        <v>235000</v>
      </c>
      <c r="O147" s="852">
        <f t="shared" si="113"/>
        <v>235000</v>
      </c>
    </row>
    <row r="148" spans="1:20" ht="12.75" customHeight="1" thickTop="1" x14ac:dyDescent="0.25">
      <c r="D148" s="937"/>
      <c r="E148" s="851"/>
      <c r="F148" s="851"/>
      <c r="G148" s="823"/>
      <c r="I148" s="807"/>
      <c r="J148" s="853"/>
      <c r="K148" s="853"/>
      <c r="L148" s="853"/>
      <c r="M148" s="853"/>
      <c r="N148" s="853"/>
      <c r="O148" s="853"/>
    </row>
    <row r="149" spans="1:20" ht="12.75" customHeight="1" x14ac:dyDescent="0.25">
      <c r="D149" s="936">
        <v>638021</v>
      </c>
      <c r="E149" s="819"/>
      <c r="F149" s="819"/>
      <c r="G149" s="820" t="s">
        <v>4206</v>
      </c>
      <c r="I149" s="807"/>
      <c r="J149" s="802"/>
      <c r="K149" s="802"/>
      <c r="L149" s="802"/>
      <c r="M149" s="802"/>
      <c r="N149" s="802"/>
      <c r="O149" s="802"/>
    </row>
    <row r="150" spans="1:20" ht="12.75" customHeight="1" x14ac:dyDescent="0.25">
      <c r="D150" s="937"/>
      <c r="E150" s="851"/>
      <c r="F150" s="851"/>
      <c r="G150" s="823" t="s">
        <v>533</v>
      </c>
      <c r="I150" s="807"/>
      <c r="J150" s="802"/>
      <c r="K150" s="802"/>
      <c r="L150" s="802"/>
      <c r="M150" s="802"/>
      <c r="N150" s="802"/>
      <c r="O150" s="802"/>
    </row>
    <row r="151" spans="1:20" ht="12.75" customHeight="1" x14ac:dyDescent="0.25">
      <c r="A151" s="795">
        <f>D149</f>
        <v>638021</v>
      </c>
      <c r="B151" s="791" t="str">
        <f>G149</f>
        <v>Inkomensvoorzieningen Ioaz</v>
      </c>
      <c r="D151" s="938">
        <v>44110</v>
      </c>
      <c r="E151" s="821"/>
      <c r="F151" s="821"/>
      <c r="G151" s="823" t="s">
        <v>4193</v>
      </c>
      <c r="I151" s="807"/>
      <c r="J151" s="807">
        <v>40000</v>
      </c>
      <c r="K151" s="807">
        <f t="shared" ref="K151:M151" si="114">K367</f>
        <v>33000</v>
      </c>
      <c r="L151" s="807">
        <f t="shared" si="114"/>
        <v>33000</v>
      </c>
      <c r="M151" s="807">
        <f t="shared" si="114"/>
        <v>33000</v>
      </c>
      <c r="N151" s="807">
        <f t="shared" ref="N151:O151" si="115">N367</f>
        <v>33000</v>
      </c>
      <c r="O151" s="807">
        <f t="shared" si="115"/>
        <v>33000</v>
      </c>
    </row>
    <row r="152" spans="1:20" ht="12.75" customHeight="1" thickBot="1" x14ac:dyDescent="0.3">
      <c r="D152" s="937"/>
      <c r="E152" s="851"/>
      <c r="F152" s="851"/>
      <c r="G152" s="823" t="s">
        <v>536</v>
      </c>
      <c r="I152" s="807"/>
      <c r="J152" s="852">
        <v>40000</v>
      </c>
      <c r="K152" s="852">
        <f t="shared" ref="K152:M152" si="116">SUM(K150:K151)</f>
        <v>33000</v>
      </c>
      <c r="L152" s="852">
        <f t="shared" si="116"/>
        <v>33000</v>
      </c>
      <c r="M152" s="852">
        <f t="shared" si="116"/>
        <v>33000</v>
      </c>
      <c r="N152" s="852">
        <f t="shared" ref="N152:O152" si="117">SUM(N150:N151)</f>
        <v>33000</v>
      </c>
      <c r="O152" s="852">
        <f t="shared" si="117"/>
        <v>33000</v>
      </c>
    </row>
    <row r="153" spans="1:20" ht="12.75" customHeight="1" thickTop="1" x14ac:dyDescent="0.25">
      <c r="D153" s="851"/>
      <c r="E153" s="851"/>
      <c r="F153" s="851"/>
      <c r="G153" s="823"/>
      <c r="I153" s="807"/>
      <c r="J153" s="802"/>
      <c r="K153" s="802"/>
      <c r="L153" s="802"/>
      <c r="M153" s="802"/>
      <c r="N153" s="802"/>
      <c r="O153" s="802"/>
    </row>
    <row r="154" spans="1:20" ht="12.75" customHeight="1" x14ac:dyDescent="0.25">
      <c r="D154" s="936">
        <v>638022</v>
      </c>
      <c r="E154" s="819"/>
      <c r="F154" s="819"/>
      <c r="G154" s="820" t="s">
        <v>4207</v>
      </c>
      <c r="I154" s="807"/>
      <c r="J154" s="802"/>
      <c r="K154" s="802"/>
      <c r="L154" s="802"/>
      <c r="M154" s="802"/>
      <c r="N154" s="802"/>
      <c r="O154" s="802"/>
    </row>
    <row r="155" spans="1:20" ht="12.75" customHeight="1" x14ac:dyDescent="0.25">
      <c r="D155" s="937"/>
      <c r="E155" s="851"/>
      <c r="F155" s="851"/>
      <c r="G155" s="822" t="s">
        <v>533</v>
      </c>
      <c r="I155" s="807"/>
      <c r="J155" s="802"/>
      <c r="K155" s="802"/>
      <c r="L155" s="802"/>
      <c r="M155" s="802"/>
      <c r="N155" s="802"/>
      <c r="O155" s="802"/>
    </row>
    <row r="156" spans="1:20" ht="12.75" customHeight="1" x14ac:dyDescent="0.25">
      <c r="A156" s="795">
        <f>D154</f>
        <v>638022</v>
      </c>
      <c r="B156" s="791" t="str">
        <f>G154</f>
        <v>Advieskosten Ioaz</v>
      </c>
      <c r="D156" s="938">
        <v>43812</v>
      </c>
      <c r="E156" s="821"/>
      <c r="F156" s="821"/>
      <c r="G156" s="823" t="s">
        <v>535</v>
      </c>
      <c r="I156" s="807"/>
      <c r="J156" s="829">
        <v>6100</v>
      </c>
      <c r="K156" s="829">
        <f t="shared" ref="K156:M156" si="118">K373</f>
        <v>6300</v>
      </c>
      <c r="L156" s="829">
        <f t="shared" si="118"/>
        <v>6400</v>
      </c>
      <c r="M156" s="829">
        <f t="shared" si="118"/>
        <v>6500</v>
      </c>
      <c r="N156" s="829">
        <f t="shared" ref="N156:O156" si="119">N373</f>
        <v>6600</v>
      </c>
      <c r="O156" s="829">
        <f t="shared" si="119"/>
        <v>6800</v>
      </c>
      <c r="P156" s="812"/>
      <c r="Q156" s="812"/>
      <c r="R156" s="812"/>
      <c r="S156" s="812"/>
      <c r="T156" s="812"/>
    </row>
    <row r="157" spans="1:20" ht="12.75" customHeight="1" thickBot="1" x14ac:dyDescent="0.3">
      <c r="D157" s="937"/>
      <c r="E157" s="851"/>
      <c r="F157" s="851"/>
      <c r="G157" s="823" t="s">
        <v>536</v>
      </c>
      <c r="I157" s="807"/>
      <c r="J157" s="852">
        <v>6100</v>
      </c>
      <c r="K157" s="852">
        <f t="shared" ref="K157:M157" si="120">SUM(K155:K156)</f>
        <v>6300</v>
      </c>
      <c r="L157" s="852">
        <f t="shared" si="120"/>
        <v>6400</v>
      </c>
      <c r="M157" s="852">
        <f t="shared" si="120"/>
        <v>6500</v>
      </c>
      <c r="N157" s="852">
        <f t="shared" ref="N157:O157" si="121">SUM(N155:N156)</f>
        <v>6600</v>
      </c>
      <c r="O157" s="852">
        <f t="shared" si="121"/>
        <v>6800</v>
      </c>
      <c r="P157" s="812"/>
      <c r="Q157" s="812"/>
      <c r="R157" s="812"/>
      <c r="S157" s="812"/>
      <c r="T157" s="812"/>
    </row>
    <row r="158" spans="1:20" ht="12.75" customHeight="1" thickTop="1" x14ac:dyDescent="0.25">
      <c r="D158" s="937"/>
      <c r="E158" s="851"/>
      <c r="F158" s="851"/>
      <c r="G158" s="823"/>
      <c r="I158" s="807"/>
      <c r="J158" s="802"/>
      <c r="K158" s="802"/>
      <c r="L158" s="802"/>
      <c r="M158" s="802"/>
      <c r="N158" s="802"/>
      <c r="O158" s="802"/>
    </row>
    <row r="159" spans="1:20" ht="12.75" customHeight="1" x14ac:dyDescent="0.25">
      <c r="D159" s="818">
        <v>638023</v>
      </c>
      <c r="E159" s="819"/>
      <c r="F159" s="819"/>
      <c r="G159" s="820" t="s">
        <v>4208</v>
      </c>
      <c r="I159" s="806"/>
      <c r="J159" s="1928"/>
      <c r="K159" s="1928"/>
      <c r="L159" s="1928"/>
      <c r="M159" s="1928"/>
      <c r="N159" s="1928"/>
      <c r="O159" s="1928"/>
    </row>
    <row r="160" spans="1:20" ht="12.75" customHeight="1" x14ac:dyDescent="0.25">
      <c r="D160" s="936"/>
      <c r="E160" s="819"/>
      <c r="F160" s="819"/>
      <c r="G160" s="822" t="s">
        <v>533</v>
      </c>
      <c r="I160" s="806"/>
      <c r="J160" s="806"/>
      <c r="K160" s="806"/>
      <c r="L160" s="806"/>
      <c r="M160" s="806"/>
      <c r="N160" s="806"/>
      <c r="O160" s="806"/>
    </row>
    <row r="161" spans="1:20" ht="12.75" customHeight="1" x14ac:dyDescent="0.25">
      <c r="A161" s="795">
        <f>D159</f>
        <v>638023</v>
      </c>
      <c r="B161" s="791" t="str">
        <f>G159</f>
        <v>Bijzondere bijstand onbelast</v>
      </c>
      <c r="D161" s="938">
        <v>43410</v>
      </c>
      <c r="E161" s="821"/>
      <c r="F161" s="821"/>
      <c r="G161" s="823" t="s">
        <v>3341</v>
      </c>
      <c r="I161" s="807"/>
      <c r="J161" s="807">
        <v>669000</v>
      </c>
      <c r="K161" s="807">
        <f t="shared" ref="K161:M161" si="122">K380</f>
        <v>796000</v>
      </c>
      <c r="L161" s="807">
        <f t="shared" si="122"/>
        <v>812000</v>
      </c>
      <c r="M161" s="807">
        <f t="shared" si="122"/>
        <v>830000</v>
      </c>
      <c r="N161" s="807">
        <f t="shared" ref="N161:O161" si="123">N380</f>
        <v>849000</v>
      </c>
      <c r="O161" s="807">
        <f t="shared" si="123"/>
        <v>749000</v>
      </c>
    </row>
    <row r="162" spans="1:20" ht="12.75" customHeight="1" thickBot="1" x14ac:dyDescent="0.3">
      <c r="D162" s="938"/>
      <c r="E162" s="821"/>
      <c r="F162" s="821"/>
      <c r="G162" s="823" t="s">
        <v>536</v>
      </c>
      <c r="I162" s="807"/>
      <c r="J162" s="825">
        <v>669000</v>
      </c>
      <c r="K162" s="825">
        <f t="shared" ref="K162:M162" si="124">SUM(K161:K161)</f>
        <v>796000</v>
      </c>
      <c r="L162" s="825">
        <f t="shared" si="124"/>
        <v>812000</v>
      </c>
      <c r="M162" s="825">
        <f t="shared" si="124"/>
        <v>830000</v>
      </c>
      <c r="N162" s="825">
        <f t="shared" ref="N162:O162" si="125">SUM(N161:N161)</f>
        <v>849000</v>
      </c>
      <c r="O162" s="825">
        <f t="shared" si="125"/>
        <v>749000</v>
      </c>
    </row>
    <row r="163" spans="1:20" ht="12.75" customHeight="1" thickTop="1" x14ac:dyDescent="0.25">
      <c r="D163" s="938"/>
      <c r="E163" s="821"/>
      <c r="F163" s="821"/>
      <c r="G163" s="823"/>
      <c r="I163" s="807"/>
      <c r="J163" s="807"/>
      <c r="K163" s="807"/>
      <c r="L163" s="807"/>
      <c r="M163" s="807"/>
      <c r="N163" s="807"/>
      <c r="O163" s="807"/>
    </row>
    <row r="164" spans="1:20" ht="12.75" customHeight="1" x14ac:dyDescent="0.25">
      <c r="D164" s="936">
        <v>638024</v>
      </c>
      <c r="E164" s="819"/>
      <c r="F164" s="819"/>
      <c r="G164" s="820" t="s">
        <v>4209</v>
      </c>
      <c r="I164" s="807"/>
      <c r="J164" s="807"/>
      <c r="K164" s="807"/>
      <c r="L164" s="807"/>
      <c r="M164" s="807"/>
      <c r="N164" s="807"/>
      <c r="O164" s="807"/>
      <c r="Q164" s="812"/>
      <c r="R164" s="812"/>
      <c r="S164" s="812"/>
      <c r="T164" s="812"/>
    </row>
    <row r="165" spans="1:20" ht="12.75" customHeight="1" x14ac:dyDescent="0.25">
      <c r="D165" s="937"/>
      <c r="E165" s="851"/>
      <c r="F165" s="851"/>
      <c r="G165" s="822" t="s">
        <v>533</v>
      </c>
      <c r="I165" s="807"/>
      <c r="J165" s="807"/>
      <c r="K165" s="807"/>
      <c r="L165" s="807"/>
      <c r="M165" s="807"/>
      <c r="N165" s="807"/>
      <c r="O165" s="807"/>
      <c r="Q165" s="812"/>
      <c r="R165" s="812"/>
      <c r="S165" s="812"/>
      <c r="T165" s="812"/>
    </row>
    <row r="166" spans="1:20" ht="12.75" customHeight="1" x14ac:dyDescent="0.25">
      <c r="A166" s="795">
        <f>D164</f>
        <v>638024</v>
      </c>
      <c r="B166" s="791" t="str">
        <f>G164</f>
        <v>Bijzondere bijstand belast</v>
      </c>
      <c r="D166" s="938">
        <v>43410</v>
      </c>
      <c r="E166" s="821"/>
      <c r="F166" s="821"/>
      <c r="G166" s="823" t="s">
        <v>3341</v>
      </c>
      <c r="I166" s="807"/>
      <c r="J166" s="807">
        <v>102800</v>
      </c>
      <c r="K166" s="807">
        <f t="shared" ref="K166:M166" si="126">K392</f>
        <v>21500</v>
      </c>
      <c r="L166" s="807">
        <f t="shared" si="126"/>
        <v>21700</v>
      </c>
      <c r="M166" s="807">
        <f t="shared" si="126"/>
        <v>22200</v>
      </c>
      <c r="N166" s="807">
        <f t="shared" ref="N166:O166" si="127">N392</f>
        <v>22700</v>
      </c>
      <c r="O166" s="807">
        <f t="shared" si="127"/>
        <v>23300</v>
      </c>
      <c r="Q166" s="812"/>
      <c r="R166" s="812"/>
      <c r="S166" s="812"/>
      <c r="T166" s="812"/>
    </row>
    <row r="167" spans="1:20" ht="12.75" customHeight="1" thickBot="1" x14ac:dyDescent="0.3">
      <c r="D167" s="937"/>
      <c r="E167" s="851"/>
      <c r="F167" s="851"/>
      <c r="G167" s="823" t="s">
        <v>536</v>
      </c>
      <c r="I167" s="807"/>
      <c r="J167" s="852">
        <v>102800</v>
      </c>
      <c r="K167" s="852">
        <f t="shared" ref="K167:M167" si="128">SUM(K165:K166)</f>
        <v>21500</v>
      </c>
      <c r="L167" s="852">
        <f t="shared" si="128"/>
        <v>21700</v>
      </c>
      <c r="M167" s="852">
        <f t="shared" si="128"/>
        <v>22200</v>
      </c>
      <c r="N167" s="852">
        <f t="shared" ref="N167:O167" si="129">SUM(N165:N166)</f>
        <v>22700</v>
      </c>
      <c r="O167" s="852">
        <f t="shared" si="129"/>
        <v>23300</v>
      </c>
      <c r="Q167" s="812"/>
      <c r="R167" s="812"/>
      <c r="S167" s="812"/>
      <c r="T167" s="812"/>
    </row>
    <row r="168" spans="1:20" ht="12.75" customHeight="1" thickTop="1" x14ac:dyDescent="0.25">
      <c r="D168" s="937"/>
      <c r="E168" s="851"/>
      <c r="F168" s="851"/>
      <c r="G168" s="823"/>
      <c r="I168" s="807"/>
      <c r="J168" s="802"/>
      <c r="K168" s="802"/>
      <c r="L168" s="802"/>
      <c r="M168" s="802"/>
      <c r="N168" s="802"/>
      <c r="O168" s="802"/>
    </row>
    <row r="169" spans="1:20" ht="12.75" customHeight="1" x14ac:dyDescent="0.25">
      <c r="D169" s="936">
        <v>638025</v>
      </c>
      <c r="E169" s="819"/>
      <c r="F169" s="819"/>
      <c r="G169" s="820" t="s">
        <v>4210</v>
      </c>
      <c r="I169" s="807"/>
      <c r="J169" s="802"/>
      <c r="K169" s="802"/>
      <c r="L169" s="802"/>
      <c r="M169" s="802"/>
      <c r="N169" s="802"/>
      <c r="O169" s="802"/>
    </row>
    <row r="170" spans="1:20" ht="12.75" customHeight="1" x14ac:dyDescent="0.25">
      <c r="D170" s="937"/>
      <c r="E170" s="851"/>
      <c r="F170" s="851"/>
      <c r="G170" s="822" t="s">
        <v>533</v>
      </c>
      <c r="I170" s="807"/>
      <c r="J170" s="802"/>
      <c r="K170" s="802"/>
      <c r="L170" s="802"/>
      <c r="M170" s="802"/>
      <c r="N170" s="802"/>
      <c r="O170" s="802"/>
    </row>
    <row r="171" spans="1:20" ht="12.75" customHeight="1" x14ac:dyDescent="0.25">
      <c r="A171" s="795">
        <f>D169</f>
        <v>638025</v>
      </c>
      <c r="B171" s="791" t="str">
        <f>G169</f>
        <v>Sociaal fonds</v>
      </c>
      <c r="D171" s="938">
        <v>43410</v>
      </c>
      <c r="E171" s="821"/>
      <c r="F171" s="821"/>
      <c r="G171" s="823" t="s">
        <v>3341</v>
      </c>
      <c r="I171" s="807"/>
      <c r="J171" s="807">
        <v>30000</v>
      </c>
      <c r="K171" s="807">
        <f t="shared" ref="K171:M171" si="130">K403</f>
        <v>30000</v>
      </c>
      <c r="L171" s="807">
        <f t="shared" si="130"/>
        <v>30000</v>
      </c>
      <c r="M171" s="807">
        <f t="shared" si="130"/>
        <v>30000</v>
      </c>
      <c r="N171" s="807">
        <f t="shared" ref="N171:O171" si="131">N403</f>
        <v>30000</v>
      </c>
      <c r="O171" s="807">
        <f t="shared" si="131"/>
        <v>30000</v>
      </c>
    </row>
    <row r="172" spans="1:20" ht="12.75" customHeight="1" thickBot="1" x14ac:dyDescent="0.3">
      <c r="D172" s="937"/>
      <c r="E172" s="851"/>
      <c r="F172" s="851"/>
      <c r="G172" s="823" t="s">
        <v>536</v>
      </c>
      <c r="I172" s="807"/>
      <c r="J172" s="825">
        <v>30000</v>
      </c>
      <c r="K172" s="825">
        <f t="shared" ref="K172:M172" si="132">SUM(K171)</f>
        <v>30000</v>
      </c>
      <c r="L172" s="825">
        <f t="shared" si="132"/>
        <v>30000</v>
      </c>
      <c r="M172" s="825">
        <f t="shared" si="132"/>
        <v>30000</v>
      </c>
      <c r="N172" s="825">
        <f t="shared" ref="N172:O172" si="133">SUM(N171)</f>
        <v>30000</v>
      </c>
      <c r="O172" s="825">
        <f t="shared" si="133"/>
        <v>30000</v>
      </c>
    </row>
    <row r="173" spans="1:20" ht="12.75" customHeight="1" thickTop="1" x14ac:dyDescent="0.25">
      <c r="D173" s="937"/>
      <c r="E173" s="851"/>
      <c r="F173" s="851"/>
      <c r="G173" s="823"/>
      <c r="I173" s="807"/>
      <c r="J173" s="807"/>
      <c r="K173" s="807"/>
      <c r="L173" s="807"/>
      <c r="M173" s="807"/>
      <c r="N173" s="807"/>
      <c r="O173" s="807"/>
    </row>
    <row r="174" spans="1:20" ht="12.75" customHeight="1" x14ac:dyDescent="0.25">
      <c r="D174" s="936">
        <v>638026</v>
      </c>
      <c r="E174" s="819"/>
      <c r="F174" s="819"/>
      <c r="G174" s="820" t="s">
        <v>4211</v>
      </c>
      <c r="I174" s="807"/>
      <c r="J174" s="807"/>
      <c r="K174" s="807"/>
      <c r="L174" s="807"/>
      <c r="M174" s="807"/>
      <c r="N174" s="807"/>
      <c r="O174" s="807"/>
    </row>
    <row r="175" spans="1:20" ht="12.75" customHeight="1" x14ac:dyDescent="0.25">
      <c r="D175" s="939"/>
      <c r="E175" s="914"/>
      <c r="F175" s="914"/>
      <c r="G175" s="822" t="s">
        <v>533</v>
      </c>
      <c r="I175" s="807"/>
      <c r="J175" s="807"/>
      <c r="K175" s="807"/>
      <c r="L175" s="807"/>
      <c r="M175" s="807"/>
      <c r="N175" s="807"/>
      <c r="O175" s="807"/>
    </row>
    <row r="176" spans="1:20" ht="12.75" customHeight="1" x14ac:dyDescent="0.25">
      <c r="A176" s="795">
        <f>D174</f>
        <v>638026</v>
      </c>
      <c r="B176" s="791" t="str">
        <f>G174</f>
        <v>Kwijtschelding gemeentelijke belastingen</v>
      </c>
      <c r="D176" s="938">
        <v>44680</v>
      </c>
      <c r="E176" s="821"/>
      <c r="F176" s="821"/>
      <c r="G176" s="823" t="s">
        <v>4212</v>
      </c>
      <c r="I176" s="807"/>
      <c r="J176" s="807">
        <v>233400</v>
      </c>
      <c r="K176" s="807">
        <f t="shared" ref="K176:M176" si="134">K412</f>
        <v>239500</v>
      </c>
      <c r="L176" s="807">
        <f t="shared" si="134"/>
        <v>244500</v>
      </c>
      <c r="M176" s="807">
        <f t="shared" si="134"/>
        <v>250100</v>
      </c>
      <c r="N176" s="807">
        <f t="shared" ref="N176:O176" si="135">N412</f>
        <v>255900</v>
      </c>
      <c r="O176" s="807">
        <f t="shared" si="135"/>
        <v>261800</v>
      </c>
    </row>
    <row r="177" spans="1:20" ht="12.75" customHeight="1" thickBot="1" x14ac:dyDescent="0.3">
      <c r="D177" s="937"/>
      <c r="E177" s="851"/>
      <c r="F177" s="851"/>
      <c r="G177" s="823" t="s">
        <v>536</v>
      </c>
      <c r="I177" s="807"/>
      <c r="J177" s="825">
        <v>233400</v>
      </c>
      <c r="K177" s="825">
        <f t="shared" ref="K177:M177" si="136">SUM(K176:K176)</f>
        <v>239500</v>
      </c>
      <c r="L177" s="825">
        <f t="shared" si="136"/>
        <v>244500</v>
      </c>
      <c r="M177" s="825">
        <f t="shared" si="136"/>
        <v>250100</v>
      </c>
      <c r="N177" s="825">
        <f t="shared" ref="N177:O177" si="137">SUM(N176:N176)</f>
        <v>255900</v>
      </c>
      <c r="O177" s="825">
        <f t="shared" si="137"/>
        <v>261800</v>
      </c>
      <c r="Q177" s="800"/>
      <c r="R177" s="800"/>
      <c r="S177" s="800"/>
      <c r="T177" s="800"/>
    </row>
    <row r="178" spans="1:20" ht="12.75" customHeight="1" thickTop="1" x14ac:dyDescent="0.25">
      <c r="D178" s="831"/>
      <c r="E178" s="851"/>
      <c r="F178" s="851"/>
      <c r="G178" s="823"/>
      <c r="I178" s="807"/>
      <c r="J178" s="951"/>
      <c r="K178" s="951"/>
      <c r="L178" s="951"/>
      <c r="M178" s="951"/>
      <c r="N178" s="951"/>
      <c r="O178" s="951"/>
      <c r="Q178" s="812"/>
      <c r="R178" s="812"/>
      <c r="S178" s="812"/>
      <c r="T178" s="812"/>
    </row>
    <row r="179" spans="1:20" ht="12.75" customHeight="1" x14ac:dyDescent="0.25">
      <c r="D179" s="936">
        <v>638028</v>
      </c>
      <c r="E179" s="819"/>
      <c r="F179" s="819"/>
      <c r="G179" s="820" t="s">
        <v>4213</v>
      </c>
      <c r="I179" s="807"/>
      <c r="J179" s="807"/>
      <c r="K179" s="807"/>
      <c r="L179" s="807"/>
      <c r="M179" s="807"/>
      <c r="N179" s="807"/>
      <c r="O179" s="807"/>
    </row>
    <row r="180" spans="1:20" ht="12.75" customHeight="1" x14ac:dyDescent="0.25">
      <c r="D180" s="939"/>
      <c r="E180" s="914"/>
      <c r="F180" s="914"/>
      <c r="G180" s="822" t="s">
        <v>533</v>
      </c>
      <c r="I180" s="807"/>
      <c r="J180" s="807"/>
      <c r="K180" s="807"/>
      <c r="L180" s="807"/>
      <c r="M180" s="807"/>
      <c r="N180" s="807"/>
      <c r="O180" s="807"/>
    </row>
    <row r="181" spans="1:20" ht="12.75" customHeight="1" x14ac:dyDescent="0.25">
      <c r="A181" s="795">
        <f>D179</f>
        <v>638028</v>
      </c>
      <c r="B181" s="791" t="str">
        <f>G179</f>
        <v>Voedselbank</v>
      </c>
      <c r="D181" s="938">
        <v>44380</v>
      </c>
      <c r="E181" s="821"/>
      <c r="F181" s="821"/>
      <c r="G181" s="823" t="s">
        <v>4055</v>
      </c>
      <c r="I181" s="807"/>
      <c r="J181" s="829">
        <v>9800</v>
      </c>
      <c r="K181" s="829">
        <f>K439</f>
        <v>104664</v>
      </c>
      <c r="L181" s="829">
        <f t="shared" ref="L181:O181" si="138">L439</f>
        <v>10700</v>
      </c>
      <c r="M181" s="829">
        <f t="shared" si="138"/>
        <v>10900</v>
      </c>
      <c r="N181" s="829">
        <f t="shared" si="138"/>
        <v>11200</v>
      </c>
      <c r="O181" s="829">
        <f t="shared" si="138"/>
        <v>11500</v>
      </c>
    </row>
    <row r="182" spans="1:20" ht="12.75" customHeight="1" thickBot="1" x14ac:dyDescent="0.3">
      <c r="D182" s="937"/>
      <c r="E182" s="851"/>
      <c r="F182" s="851"/>
      <c r="G182" s="823" t="s">
        <v>536</v>
      </c>
      <c r="I182" s="807"/>
      <c r="J182" s="825">
        <v>9800</v>
      </c>
      <c r="K182" s="825">
        <f t="shared" ref="K182:M182" si="139">SUM(K181:K181)</f>
        <v>104664</v>
      </c>
      <c r="L182" s="825">
        <f t="shared" si="139"/>
        <v>10700</v>
      </c>
      <c r="M182" s="825">
        <f t="shared" si="139"/>
        <v>10900</v>
      </c>
      <c r="N182" s="825">
        <f t="shared" ref="N182:O182" si="140">SUM(N181:N181)</f>
        <v>11200</v>
      </c>
      <c r="O182" s="825">
        <f t="shared" si="140"/>
        <v>11500</v>
      </c>
    </row>
    <row r="183" spans="1:20" ht="12.75" customHeight="1" thickTop="1" x14ac:dyDescent="0.25">
      <c r="D183" s="831"/>
      <c r="E183" s="851"/>
      <c r="F183" s="851"/>
      <c r="G183" s="823"/>
      <c r="I183" s="807"/>
      <c r="J183" s="922"/>
      <c r="K183" s="922"/>
      <c r="L183" s="922"/>
      <c r="M183" s="922"/>
      <c r="N183" s="922"/>
      <c r="O183" s="922"/>
      <c r="Q183" s="812"/>
      <c r="R183" s="812"/>
      <c r="S183" s="812"/>
      <c r="T183" s="812"/>
    </row>
    <row r="184" spans="1:20" ht="12.75" customHeight="1" x14ac:dyDescent="0.25">
      <c r="D184" s="936">
        <v>638029</v>
      </c>
      <c r="E184" s="819"/>
      <c r="F184" s="819"/>
      <c r="G184" s="820" t="s">
        <v>4214</v>
      </c>
      <c r="I184" s="807"/>
      <c r="J184" s="802"/>
      <c r="K184" s="802"/>
      <c r="L184" s="802"/>
      <c r="M184" s="802"/>
      <c r="N184" s="802"/>
      <c r="O184" s="802"/>
    </row>
    <row r="185" spans="1:20" ht="12.75" customHeight="1" x14ac:dyDescent="0.25">
      <c r="D185" s="937"/>
      <c r="E185" s="851"/>
      <c r="F185" s="851"/>
      <c r="G185" s="822" t="s">
        <v>533</v>
      </c>
      <c r="I185" s="807"/>
      <c r="J185" s="802"/>
      <c r="K185" s="802"/>
      <c r="L185" s="802"/>
      <c r="M185" s="802"/>
      <c r="N185" s="802"/>
      <c r="O185" s="802"/>
    </row>
    <row r="186" spans="1:20" ht="12.75" customHeight="1" x14ac:dyDescent="0.25">
      <c r="A186" s="795">
        <f>D184</f>
        <v>638029</v>
      </c>
      <c r="B186" s="791" t="str">
        <f>G184</f>
        <v>Gemeentelijke kredietbank</v>
      </c>
      <c r="D186" s="938">
        <v>44360</v>
      </c>
      <c r="E186" s="821"/>
      <c r="F186" s="821"/>
      <c r="G186" s="823" t="s">
        <v>558</v>
      </c>
      <c r="I186" s="807"/>
      <c r="J186" s="807">
        <v>11800</v>
      </c>
      <c r="K186" s="807">
        <f t="shared" ref="K186:M186" si="141">K421</f>
        <v>12100</v>
      </c>
      <c r="L186" s="807">
        <f t="shared" si="141"/>
        <v>12400</v>
      </c>
      <c r="M186" s="807">
        <f t="shared" si="141"/>
        <v>12700</v>
      </c>
      <c r="N186" s="807">
        <f t="shared" ref="N186:O186" si="142">N421</f>
        <v>13000</v>
      </c>
      <c r="O186" s="807">
        <f t="shared" si="142"/>
        <v>13300</v>
      </c>
    </row>
    <row r="187" spans="1:20" ht="12.75" customHeight="1" thickBot="1" x14ac:dyDescent="0.3">
      <c r="D187" s="937"/>
      <c r="E187" s="851"/>
      <c r="F187" s="851"/>
      <c r="G187" s="823" t="s">
        <v>536</v>
      </c>
      <c r="I187" s="807"/>
      <c r="J187" s="825">
        <v>11800</v>
      </c>
      <c r="K187" s="825">
        <f t="shared" ref="K187:M187" si="143">SUM(K186)</f>
        <v>12100</v>
      </c>
      <c r="L187" s="825">
        <f t="shared" si="143"/>
        <v>12400</v>
      </c>
      <c r="M187" s="825">
        <f t="shared" si="143"/>
        <v>12700</v>
      </c>
      <c r="N187" s="825">
        <f t="shared" ref="N187:O187" si="144">SUM(N186)</f>
        <v>13000</v>
      </c>
      <c r="O187" s="825">
        <f t="shared" si="144"/>
        <v>13300</v>
      </c>
    </row>
    <row r="188" spans="1:20" ht="12.75" customHeight="1" thickTop="1" x14ac:dyDescent="0.25">
      <c r="D188" s="831"/>
      <c r="E188" s="851"/>
      <c r="F188" s="851"/>
      <c r="G188" s="823"/>
      <c r="I188" s="807"/>
      <c r="J188" s="853"/>
      <c r="K188" s="853"/>
      <c r="L188" s="853"/>
      <c r="M188" s="853"/>
      <c r="N188" s="853"/>
      <c r="O188" s="853"/>
    </row>
    <row r="189" spans="1:20" ht="12.75" customHeight="1" x14ac:dyDescent="0.25">
      <c r="D189" s="936">
        <v>638027</v>
      </c>
      <c r="E189" s="819"/>
      <c r="F189" s="819"/>
      <c r="G189" s="820" t="s">
        <v>4215</v>
      </c>
      <c r="I189" s="807"/>
      <c r="J189" s="807"/>
      <c r="K189" s="807"/>
      <c r="L189" s="807"/>
      <c r="M189" s="807"/>
      <c r="N189" s="807"/>
      <c r="O189" s="807"/>
    </row>
    <row r="190" spans="1:20" ht="12.75" customHeight="1" x14ac:dyDescent="0.25">
      <c r="D190" s="937"/>
      <c r="E190" s="851"/>
      <c r="F190" s="851"/>
      <c r="G190" s="822" t="s">
        <v>533</v>
      </c>
      <c r="I190" s="807"/>
      <c r="J190" s="807"/>
      <c r="K190" s="807"/>
      <c r="L190" s="807"/>
      <c r="M190" s="807"/>
      <c r="N190" s="807"/>
      <c r="O190" s="807"/>
    </row>
    <row r="191" spans="1:20" ht="12.75" customHeight="1" x14ac:dyDescent="0.25">
      <c r="A191" s="795">
        <f>D189</f>
        <v>638027</v>
      </c>
      <c r="B191" s="791" t="str">
        <f>G189</f>
        <v>Ondersteuning minima / minimabeleid</v>
      </c>
      <c r="D191" s="938">
        <v>43812</v>
      </c>
      <c r="E191" s="821"/>
      <c r="F191" s="821"/>
      <c r="G191" s="823" t="s">
        <v>535</v>
      </c>
      <c r="I191" s="807"/>
      <c r="J191" s="807">
        <v>302837</v>
      </c>
      <c r="K191" s="807">
        <f t="shared" ref="K191:M191" si="145">K428</f>
        <v>309400</v>
      </c>
      <c r="L191" s="807">
        <f t="shared" si="145"/>
        <v>314800</v>
      </c>
      <c r="M191" s="807">
        <f t="shared" si="145"/>
        <v>320900</v>
      </c>
      <c r="N191" s="807">
        <f t="shared" ref="N191:O191" si="146">N428</f>
        <v>327100</v>
      </c>
      <c r="O191" s="807">
        <f t="shared" si="146"/>
        <v>333500</v>
      </c>
    </row>
    <row r="192" spans="1:20" ht="12.75" customHeight="1" thickBot="1" x14ac:dyDescent="0.3">
      <c r="D192" s="937"/>
      <c r="E192" s="851"/>
      <c r="F192" s="851"/>
      <c r="G192" s="823" t="s">
        <v>536</v>
      </c>
      <c r="I192" s="807"/>
      <c r="J192" s="825">
        <v>302837</v>
      </c>
      <c r="K192" s="825">
        <f t="shared" ref="K192:M192" si="147">SUM(K190:K191)</f>
        <v>309400</v>
      </c>
      <c r="L192" s="825">
        <f t="shared" si="147"/>
        <v>314800</v>
      </c>
      <c r="M192" s="825">
        <f t="shared" si="147"/>
        <v>320900</v>
      </c>
      <c r="N192" s="825">
        <f t="shared" ref="N192:O192" si="148">SUM(N190:N191)</f>
        <v>327100</v>
      </c>
      <c r="O192" s="825">
        <f t="shared" si="148"/>
        <v>333500</v>
      </c>
    </row>
    <row r="193" spans="1:15" ht="12.75" customHeight="1" thickTop="1" x14ac:dyDescent="0.25">
      <c r="D193" s="937"/>
      <c r="E193" s="851"/>
      <c r="F193" s="851"/>
      <c r="G193" s="823"/>
      <c r="I193" s="807"/>
      <c r="J193" s="807"/>
      <c r="K193" s="807"/>
      <c r="L193" s="807"/>
      <c r="M193" s="807"/>
      <c r="N193" s="807"/>
      <c r="O193" s="807"/>
    </row>
    <row r="194" spans="1:15" ht="12.75" customHeight="1" x14ac:dyDescent="0.25">
      <c r="D194" s="939">
        <v>638030</v>
      </c>
      <c r="E194" s="914"/>
      <c r="F194" s="914"/>
      <c r="G194" s="952" t="s">
        <v>4216</v>
      </c>
      <c r="I194" s="807"/>
      <c r="J194" s="807"/>
      <c r="K194" s="807"/>
      <c r="L194" s="807"/>
      <c r="M194" s="807"/>
      <c r="N194" s="807"/>
      <c r="O194" s="807"/>
    </row>
    <row r="195" spans="1:15" ht="12.75" customHeight="1" x14ac:dyDescent="0.25">
      <c r="D195" s="937"/>
      <c r="E195" s="851"/>
      <c r="F195" s="851"/>
      <c r="G195" s="822" t="s">
        <v>533</v>
      </c>
      <c r="I195" s="807"/>
      <c r="J195" s="807"/>
      <c r="K195" s="807"/>
      <c r="L195" s="807"/>
      <c r="M195" s="807"/>
      <c r="N195" s="807"/>
      <c r="O195" s="807"/>
    </row>
    <row r="196" spans="1:15" ht="12.75" customHeight="1" x14ac:dyDescent="0.25">
      <c r="A196" s="795">
        <f>D194</f>
        <v>638030</v>
      </c>
      <c r="B196" s="791" t="str">
        <f>G194</f>
        <v>Compensatie eigen bijdrage ziektekosten</v>
      </c>
      <c r="D196" s="937">
        <v>43410</v>
      </c>
      <c r="E196" s="851"/>
      <c r="F196" s="851"/>
      <c r="G196" s="823" t="s">
        <v>3341</v>
      </c>
      <c r="I196" s="807"/>
      <c r="J196" s="807">
        <v>30000</v>
      </c>
      <c r="K196" s="807">
        <f t="shared" ref="K196:M196" si="149">K446</f>
        <v>30000</v>
      </c>
      <c r="L196" s="807">
        <f t="shared" si="149"/>
        <v>30000</v>
      </c>
      <c r="M196" s="807">
        <f t="shared" si="149"/>
        <v>30000</v>
      </c>
      <c r="N196" s="807">
        <f t="shared" ref="N196:O196" si="150">N446</f>
        <v>30000</v>
      </c>
      <c r="O196" s="807">
        <f t="shared" si="150"/>
        <v>30000</v>
      </c>
    </row>
    <row r="197" spans="1:15" ht="12.75" customHeight="1" thickBot="1" x14ac:dyDescent="0.3">
      <c r="D197" s="937"/>
      <c r="E197" s="851"/>
      <c r="F197" s="851"/>
      <c r="G197" s="823" t="s">
        <v>536</v>
      </c>
      <c r="I197" s="807"/>
      <c r="J197" s="825">
        <v>30000</v>
      </c>
      <c r="K197" s="825">
        <f t="shared" ref="K197:M197" si="151">SUM(K195:K196)</f>
        <v>30000</v>
      </c>
      <c r="L197" s="825">
        <f t="shared" si="151"/>
        <v>30000</v>
      </c>
      <c r="M197" s="825">
        <f t="shared" si="151"/>
        <v>30000</v>
      </c>
      <c r="N197" s="825">
        <f t="shared" ref="N197:O197" si="152">SUM(N195:N196)</f>
        <v>30000</v>
      </c>
      <c r="O197" s="825">
        <f t="shared" si="152"/>
        <v>30000</v>
      </c>
    </row>
    <row r="198" spans="1:15" ht="12.75" customHeight="1" thickTop="1" x14ac:dyDescent="0.25">
      <c r="D198" s="937"/>
      <c r="E198" s="851"/>
      <c r="F198" s="851"/>
      <c r="G198" s="823"/>
      <c r="I198" s="807"/>
      <c r="J198" s="807"/>
      <c r="K198" s="807"/>
      <c r="L198" s="807"/>
      <c r="M198" s="807"/>
      <c r="N198" s="807"/>
      <c r="O198" s="807"/>
    </row>
    <row r="199" spans="1:15" ht="12.75" customHeight="1" x14ac:dyDescent="0.25">
      <c r="D199" s="2223">
        <v>638901</v>
      </c>
      <c r="E199" s="851"/>
      <c r="F199" s="851"/>
      <c r="G199" s="820" t="s">
        <v>5339</v>
      </c>
      <c r="I199" s="807"/>
      <c r="J199" s="807"/>
      <c r="K199" s="807"/>
      <c r="L199" s="807"/>
      <c r="M199" s="807"/>
      <c r="N199" s="807"/>
      <c r="O199" s="807"/>
    </row>
    <row r="200" spans="1:15" ht="12.75" customHeight="1" x14ac:dyDescent="0.25">
      <c r="D200" s="937"/>
      <c r="E200" s="851"/>
      <c r="F200" s="851"/>
      <c r="G200" s="822" t="s">
        <v>533</v>
      </c>
      <c r="I200" s="807"/>
      <c r="J200" s="807"/>
      <c r="K200" s="807"/>
      <c r="L200" s="807"/>
      <c r="M200" s="807"/>
      <c r="N200" s="807"/>
      <c r="O200" s="807"/>
    </row>
    <row r="201" spans="1:15" ht="12.75" customHeight="1" x14ac:dyDescent="0.25">
      <c r="A201" s="795">
        <f>D199</f>
        <v>638901</v>
      </c>
      <c r="B201" s="791" t="str">
        <f>G199</f>
        <v>Directe toerekening inkomensvoorzienignen</v>
      </c>
      <c r="D201" s="937">
        <v>41100</v>
      </c>
      <c r="E201" s="851"/>
      <c r="F201" s="851"/>
      <c r="G201" s="1002" t="s">
        <v>700</v>
      </c>
      <c r="I201" s="807"/>
      <c r="J201" s="807">
        <f>J453</f>
        <v>0</v>
      </c>
      <c r="K201" s="807">
        <f t="shared" ref="K201:O201" si="153">K453</f>
        <v>110000</v>
      </c>
      <c r="L201" s="807">
        <f t="shared" si="153"/>
        <v>114600</v>
      </c>
      <c r="M201" s="807">
        <f t="shared" si="153"/>
        <v>0</v>
      </c>
      <c r="N201" s="807">
        <f t="shared" si="153"/>
        <v>0</v>
      </c>
      <c r="O201" s="807">
        <f t="shared" si="153"/>
        <v>0</v>
      </c>
    </row>
    <row r="202" spans="1:15" ht="12.75" customHeight="1" thickBot="1" x14ac:dyDescent="0.3">
      <c r="D202" s="937"/>
      <c r="E202" s="851"/>
      <c r="F202" s="851"/>
      <c r="G202" s="823"/>
      <c r="I202" s="807"/>
      <c r="J202" s="852">
        <f>SUM(J201)</f>
        <v>0</v>
      </c>
      <c r="K202" s="852">
        <f t="shared" ref="K202:O202" si="154">SUM(K201)</f>
        <v>110000</v>
      </c>
      <c r="L202" s="852">
        <f t="shared" si="154"/>
        <v>114600</v>
      </c>
      <c r="M202" s="852">
        <f t="shared" si="154"/>
        <v>0</v>
      </c>
      <c r="N202" s="852">
        <f t="shared" si="154"/>
        <v>0</v>
      </c>
      <c r="O202" s="852">
        <f t="shared" si="154"/>
        <v>0</v>
      </c>
    </row>
    <row r="203" spans="1:15" ht="12.75" customHeight="1" thickTop="1" x14ac:dyDescent="0.25">
      <c r="D203" s="937"/>
      <c r="E203" s="851"/>
      <c r="F203" s="851"/>
      <c r="G203" s="823"/>
      <c r="I203" s="807"/>
      <c r="J203" s="807"/>
      <c r="K203" s="807"/>
      <c r="L203" s="807"/>
      <c r="M203" s="807"/>
      <c r="N203" s="807"/>
      <c r="O203" s="807"/>
    </row>
    <row r="204" spans="1:15" ht="12.75" customHeight="1" x14ac:dyDescent="0.25">
      <c r="D204" s="937"/>
      <c r="E204" s="851"/>
      <c r="F204" s="851"/>
      <c r="G204" s="823"/>
      <c r="I204" s="807"/>
      <c r="J204" s="807"/>
      <c r="K204" s="807"/>
      <c r="L204" s="807"/>
      <c r="M204" s="807"/>
      <c r="N204" s="807"/>
      <c r="O204" s="807"/>
    </row>
    <row r="205" spans="1:15" ht="12.75" customHeight="1" x14ac:dyDescent="0.25">
      <c r="D205" s="936">
        <v>638001</v>
      </c>
      <c r="E205" s="819"/>
      <c r="F205" s="819"/>
      <c r="G205" s="820" t="s">
        <v>4217</v>
      </c>
      <c r="I205" s="807"/>
      <c r="J205" s="802"/>
      <c r="K205" s="802"/>
      <c r="L205" s="802"/>
      <c r="M205" s="802"/>
      <c r="N205" s="802"/>
      <c r="O205" s="802"/>
    </row>
    <row r="206" spans="1:15" ht="12.75" customHeight="1" x14ac:dyDescent="0.25">
      <c r="D206" s="937"/>
      <c r="E206" s="851"/>
      <c r="F206" s="851"/>
      <c r="G206" s="822" t="s">
        <v>554</v>
      </c>
      <c r="I206" s="807"/>
      <c r="J206" s="802"/>
      <c r="K206" s="802"/>
      <c r="L206" s="802"/>
      <c r="M206" s="802"/>
      <c r="N206" s="802"/>
      <c r="O206" s="802"/>
    </row>
    <row r="207" spans="1:15" ht="12.75" customHeight="1" x14ac:dyDescent="0.25">
      <c r="A207" s="795">
        <f>D205</f>
        <v>638001</v>
      </c>
      <c r="B207" s="791" t="str">
        <f>G205</f>
        <v>Inkomensvoorzieningen (BUIG)</v>
      </c>
      <c r="D207" s="938">
        <v>84310</v>
      </c>
      <c r="E207" s="821"/>
      <c r="F207" s="821"/>
      <c r="G207" s="823" t="s">
        <v>4218</v>
      </c>
      <c r="I207" s="953"/>
      <c r="J207" s="954">
        <v>-7420000</v>
      </c>
      <c r="K207" s="954">
        <f t="shared" ref="K207:M207" si="155">K467</f>
        <v>-7780033</v>
      </c>
      <c r="L207" s="954">
        <f t="shared" si="155"/>
        <v>-7268000</v>
      </c>
      <c r="M207" s="954">
        <f t="shared" si="155"/>
        <v>-7268000</v>
      </c>
      <c r="N207" s="954">
        <f t="shared" ref="N207:O207" si="156">N467</f>
        <v>-7268000</v>
      </c>
      <c r="O207" s="954">
        <f t="shared" si="156"/>
        <v>-7268000</v>
      </c>
    </row>
    <row r="208" spans="1:15" ht="12.75" customHeight="1" thickBot="1" x14ac:dyDescent="0.3">
      <c r="D208" s="937"/>
      <c r="E208" s="851"/>
      <c r="F208" s="851"/>
      <c r="G208" s="823" t="s">
        <v>536</v>
      </c>
      <c r="I208" s="807"/>
      <c r="J208" s="852">
        <v>-7420000</v>
      </c>
      <c r="K208" s="852">
        <f t="shared" ref="K208:M208" si="157">SUM(K206:K207)</f>
        <v>-7780033</v>
      </c>
      <c r="L208" s="852">
        <f t="shared" si="157"/>
        <v>-7268000</v>
      </c>
      <c r="M208" s="852">
        <f t="shared" si="157"/>
        <v>-7268000</v>
      </c>
      <c r="N208" s="852">
        <f t="shared" ref="N208:O208" si="158">SUM(N206:N207)</f>
        <v>-7268000</v>
      </c>
      <c r="O208" s="852">
        <f t="shared" si="158"/>
        <v>-7268000</v>
      </c>
    </row>
    <row r="209" spans="1:15" ht="12.75" customHeight="1" thickTop="1" x14ac:dyDescent="0.25">
      <c r="D209" s="831"/>
      <c r="E209" s="851"/>
      <c r="F209" s="851"/>
      <c r="G209" s="823"/>
      <c r="I209" s="807"/>
      <c r="J209" s="802"/>
      <c r="K209" s="802"/>
      <c r="L209" s="802"/>
      <c r="M209" s="802"/>
      <c r="N209" s="802"/>
      <c r="O209" s="802"/>
    </row>
    <row r="210" spans="1:15" ht="12.75" customHeight="1" x14ac:dyDescent="0.25">
      <c r="D210" s="936">
        <v>638006</v>
      </c>
      <c r="E210" s="819"/>
      <c r="F210" s="819"/>
      <c r="G210" s="820" t="s">
        <v>4219</v>
      </c>
      <c r="I210" s="807"/>
      <c r="J210" s="802"/>
      <c r="K210" s="802"/>
      <c r="L210" s="802"/>
      <c r="M210" s="802"/>
      <c r="N210" s="802"/>
      <c r="O210" s="802"/>
    </row>
    <row r="211" spans="1:15" ht="12.75" customHeight="1" x14ac:dyDescent="0.25">
      <c r="D211" s="937"/>
      <c r="E211" s="851"/>
      <c r="F211" s="851"/>
      <c r="G211" s="822" t="s">
        <v>554</v>
      </c>
      <c r="I211" s="807"/>
      <c r="J211" s="802"/>
      <c r="K211" s="802"/>
      <c r="L211" s="802"/>
      <c r="M211" s="802"/>
      <c r="N211" s="802"/>
      <c r="O211" s="802"/>
    </row>
    <row r="212" spans="1:15" ht="12.75" customHeight="1" x14ac:dyDescent="0.25">
      <c r="A212" s="795">
        <f>D210</f>
        <v>638006</v>
      </c>
      <c r="B212" s="791" t="str">
        <f>G210</f>
        <v>Verhaal onderhoudsbijdrage participatiewet</v>
      </c>
      <c r="D212" s="938">
        <v>84120</v>
      </c>
      <c r="E212" s="821"/>
      <c r="F212" s="821"/>
      <c r="G212" s="823" t="s">
        <v>4220</v>
      </c>
      <c r="I212" s="807"/>
      <c r="J212" s="829">
        <v>-3500</v>
      </c>
      <c r="K212" s="829">
        <f t="shared" ref="K212:M212" si="159">K477</f>
        <v>-3500</v>
      </c>
      <c r="L212" s="829">
        <f t="shared" si="159"/>
        <v>-3500</v>
      </c>
      <c r="M212" s="829">
        <f t="shared" si="159"/>
        <v>-3500</v>
      </c>
      <c r="N212" s="829">
        <f t="shared" ref="N212:O212" si="160">N477</f>
        <v>-3500</v>
      </c>
      <c r="O212" s="829">
        <f t="shared" si="160"/>
        <v>-3500</v>
      </c>
    </row>
    <row r="213" spans="1:15" ht="12.75" customHeight="1" thickBot="1" x14ac:dyDescent="0.3">
      <c r="D213" s="937"/>
      <c r="E213" s="851"/>
      <c r="F213" s="851"/>
      <c r="G213" s="823" t="s">
        <v>536</v>
      </c>
      <c r="I213" s="807"/>
      <c r="J213" s="852">
        <v>-3500</v>
      </c>
      <c r="K213" s="852">
        <f t="shared" ref="K213:M213" si="161">SUM(K211:K212)</f>
        <v>-3500</v>
      </c>
      <c r="L213" s="852">
        <f t="shared" si="161"/>
        <v>-3500</v>
      </c>
      <c r="M213" s="852">
        <f t="shared" si="161"/>
        <v>-3500</v>
      </c>
      <c r="N213" s="852">
        <f t="shared" ref="N213:O213" si="162">SUM(N211:N212)</f>
        <v>-3500</v>
      </c>
      <c r="O213" s="852">
        <f t="shared" si="162"/>
        <v>-3500</v>
      </c>
    </row>
    <row r="214" spans="1:15" ht="12.75" customHeight="1" thickTop="1" x14ac:dyDescent="0.25">
      <c r="D214" s="955"/>
      <c r="E214" s="950"/>
      <c r="F214" s="950"/>
      <c r="G214" s="848"/>
      <c r="H214" s="849"/>
      <c r="I214" s="956"/>
      <c r="J214" s="816"/>
      <c r="K214" s="816"/>
      <c r="L214" s="816"/>
      <c r="M214" s="816"/>
      <c r="N214" s="816"/>
      <c r="O214" s="816"/>
    </row>
    <row r="215" spans="1:15" ht="12.75" customHeight="1" x14ac:dyDescent="0.25">
      <c r="D215" s="936">
        <v>638007</v>
      </c>
      <c r="E215" s="819"/>
      <c r="F215" s="819"/>
      <c r="G215" s="820" t="s">
        <v>4221</v>
      </c>
      <c r="I215" s="807"/>
      <c r="J215" s="802"/>
      <c r="K215" s="802"/>
      <c r="L215" s="802"/>
      <c r="M215" s="802"/>
      <c r="N215" s="802"/>
      <c r="O215" s="802"/>
    </row>
    <row r="216" spans="1:15" ht="12.75" customHeight="1" x14ac:dyDescent="0.25">
      <c r="D216" s="937"/>
      <c r="E216" s="851"/>
      <c r="F216" s="851"/>
      <c r="G216" s="822" t="s">
        <v>554</v>
      </c>
      <c r="I216" s="807"/>
      <c r="J216" s="802"/>
      <c r="K216" s="802"/>
      <c r="L216" s="802"/>
      <c r="M216" s="802"/>
      <c r="N216" s="802"/>
      <c r="O216" s="802"/>
    </row>
    <row r="217" spans="1:15" ht="12.75" customHeight="1" x14ac:dyDescent="0.25">
      <c r="A217" s="795">
        <f>D215</f>
        <v>638007</v>
      </c>
      <c r="B217" s="791" t="str">
        <f>G215</f>
        <v>Terugvordering uitkeringen participatiewet</v>
      </c>
      <c r="D217" s="938">
        <v>84120</v>
      </c>
      <c r="E217" s="821"/>
      <c r="F217" s="821"/>
      <c r="G217" s="823" t="s">
        <v>4220</v>
      </c>
      <c r="I217" s="807"/>
      <c r="J217" s="829">
        <v>-60000</v>
      </c>
      <c r="K217" s="829">
        <f t="shared" ref="K217:M217" si="163">K486</f>
        <v>-60000</v>
      </c>
      <c r="L217" s="829">
        <f t="shared" si="163"/>
        <v>-60000</v>
      </c>
      <c r="M217" s="829">
        <f t="shared" si="163"/>
        <v>-60000</v>
      </c>
      <c r="N217" s="829">
        <f t="shared" ref="N217:O217" si="164">N486</f>
        <v>-60000</v>
      </c>
      <c r="O217" s="829">
        <f t="shared" si="164"/>
        <v>-60000</v>
      </c>
    </row>
    <row r="218" spans="1:15" ht="12.75" customHeight="1" thickBot="1" x14ac:dyDescent="0.3">
      <c r="D218" s="937"/>
      <c r="E218" s="851"/>
      <c r="F218" s="851"/>
      <c r="G218" s="823" t="s">
        <v>536</v>
      </c>
      <c r="I218" s="807"/>
      <c r="J218" s="852">
        <v>-60000</v>
      </c>
      <c r="K218" s="852">
        <f t="shared" ref="K218:M218" si="165">SUM(K216:K217)</f>
        <v>-60000</v>
      </c>
      <c r="L218" s="852">
        <f t="shared" si="165"/>
        <v>-60000</v>
      </c>
      <c r="M218" s="852">
        <f t="shared" si="165"/>
        <v>-60000</v>
      </c>
      <c r="N218" s="852">
        <f t="shared" ref="N218:O218" si="166">SUM(N216:N217)</f>
        <v>-60000</v>
      </c>
      <c r="O218" s="852">
        <f t="shared" si="166"/>
        <v>-60000</v>
      </c>
    </row>
    <row r="219" spans="1:15" ht="12.75" customHeight="1" thickTop="1" x14ac:dyDescent="0.25">
      <c r="D219" s="937"/>
      <c r="E219" s="851"/>
      <c r="F219" s="851"/>
      <c r="G219" s="823"/>
      <c r="I219" s="807"/>
      <c r="J219" s="802"/>
      <c r="K219" s="802"/>
      <c r="L219" s="802"/>
      <c r="M219" s="802"/>
      <c r="N219" s="802"/>
      <c r="O219" s="802"/>
    </row>
    <row r="220" spans="1:15" ht="12.75" customHeight="1" x14ac:dyDescent="0.25">
      <c r="D220" s="936">
        <v>638008</v>
      </c>
      <c r="E220" s="819"/>
      <c r="F220" s="819"/>
      <c r="G220" s="820" t="s">
        <v>4222</v>
      </c>
      <c r="I220" s="807"/>
      <c r="J220" s="802"/>
      <c r="K220" s="802"/>
      <c r="L220" s="802"/>
      <c r="M220" s="802"/>
      <c r="N220" s="802"/>
      <c r="O220" s="802"/>
    </row>
    <row r="221" spans="1:15" ht="12.75" customHeight="1" x14ac:dyDescent="0.25">
      <c r="D221" s="937"/>
      <c r="E221" s="851"/>
      <c r="F221" s="851"/>
      <c r="G221" s="822" t="s">
        <v>554</v>
      </c>
      <c r="I221" s="807"/>
      <c r="J221" s="802"/>
      <c r="K221" s="802"/>
      <c r="L221" s="802"/>
      <c r="M221" s="802"/>
      <c r="N221" s="802"/>
      <c r="O221" s="802"/>
    </row>
    <row r="222" spans="1:15" ht="12.75" customHeight="1" x14ac:dyDescent="0.25">
      <c r="A222" s="795">
        <f>D220</f>
        <v>638008</v>
      </c>
      <c r="B222" s="791" t="str">
        <f>G220</f>
        <v>Boetes participatiewet</v>
      </c>
      <c r="D222" s="938">
        <v>84120</v>
      </c>
      <c r="E222" s="821"/>
      <c r="F222" s="821"/>
      <c r="G222" s="823" t="s">
        <v>4220</v>
      </c>
      <c r="I222" s="953"/>
      <c r="J222" s="954">
        <v>-500</v>
      </c>
      <c r="K222" s="954">
        <f t="shared" ref="K222:M222" si="167">K495</f>
        <v>-500</v>
      </c>
      <c r="L222" s="954">
        <f t="shared" si="167"/>
        <v>-500</v>
      </c>
      <c r="M222" s="954">
        <f t="shared" si="167"/>
        <v>-500</v>
      </c>
      <c r="N222" s="954">
        <f t="shared" ref="N222:O222" si="168">N495</f>
        <v>-500</v>
      </c>
      <c r="O222" s="954">
        <f t="shared" si="168"/>
        <v>-500</v>
      </c>
    </row>
    <row r="223" spans="1:15" ht="12.75" customHeight="1" thickBot="1" x14ac:dyDescent="0.3">
      <c r="D223" s="937"/>
      <c r="E223" s="851"/>
      <c r="F223" s="851"/>
      <c r="G223" s="823" t="s">
        <v>536</v>
      </c>
      <c r="I223" s="807"/>
      <c r="J223" s="852">
        <v>-500</v>
      </c>
      <c r="K223" s="852">
        <f t="shared" ref="K223:M223" si="169">SUM(K221:K222)</f>
        <v>-500</v>
      </c>
      <c r="L223" s="852">
        <f t="shared" si="169"/>
        <v>-500</v>
      </c>
      <c r="M223" s="852">
        <f t="shared" si="169"/>
        <v>-500</v>
      </c>
      <c r="N223" s="852">
        <f t="shared" ref="N223:O223" si="170">SUM(N221:N222)</f>
        <v>-500</v>
      </c>
      <c r="O223" s="852">
        <f t="shared" si="170"/>
        <v>-500</v>
      </c>
    </row>
    <row r="224" spans="1:15" ht="12.75" customHeight="1" thickTop="1" x14ac:dyDescent="0.25">
      <c r="D224" s="937"/>
      <c r="E224" s="851"/>
      <c r="F224" s="851"/>
      <c r="G224" s="823"/>
      <c r="I224" s="807"/>
      <c r="J224" s="802"/>
      <c r="K224" s="802"/>
      <c r="L224" s="802"/>
      <c r="M224" s="802"/>
      <c r="N224" s="802"/>
      <c r="O224" s="802"/>
    </row>
    <row r="225" spans="1:15" ht="12.75" customHeight="1" x14ac:dyDescent="0.25">
      <c r="D225" s="939">
        <v>638011</v>
      </c>
      <c r="E225" s="819"/>
      <c r="F225" s="914"/>
      <c r="G225" s="820" t="s">
        <v>4198</v>
      </c>
      <c r="I225" s="807"/>
      <c r="J225" s="802"/>
      <c r="K225" s="802"/>
      <c r="L225" s="802"/>
      <c r="M225" s="802"/>
      <c r="N225" s="802"/>
      <c r="O225" s="802"/>
    </row>
    <row r="226" spans="1:15" ht="12.75" customHeight="1" x14ac:dyDescent="0.25">
      <c r="D226" s="937"/>
      <c r="E226" s="851"/>
      <c r="F226" s="851"/>
      <c r="G226" s="822" t="s">
        <v>554</v>
      </c>
      <c r="I226" s="807"/>
      <c r="J226" s="802"/>
      <c r="K226" s="802"/>
      <c r="L226" s="802"/>
      <c r="M226" s="802"/>
      <c r="N226" s="802"/>
      <c r="O226" s="802"/>
    </row>
    <row r="227" spans="1:15" ht="12.75" customHeight="1" x14ac:dyDescent="0.25">
      <c r="A227" s="795">
        <f>D225</f>
        <v>638011</v>
      </c>
      <c r="B227" s="791" t="str">
        <f>G225</f>
        <v>Uitkeringen aan ondernemers (bbz)</v>
      </c>
      <c r="D227" s="938">
        <v>84310</v>
      </c>
      <c r="E227" s="821"/>
      <c r="F227" s="821"/>
      <c r="G227" s="823" t="s">
        <v>2134</v>
      </c>
      <c r="I227" s="807"/>
      <c r="J227" s="802">
        <v>-30000</v>
      </c>
      <c r="K227" s="802">
        <f t="shared" ref="K227:M227" si="171">K506</f>
        <v>-30000</v>
      </c>
      <c r="L227" s="802">
        <f t="shared" si="171"/>
        <v>-30000</v>
      </c>
      <c r="M227" s="802">
        <f t="shared" si="171"/>
        <v>-30000</v>
      </c>
      <c r="N227" s="802">
        <f t="shared" ref="N227:O227" si="172">N506</f>
        <v>-30000</v>
      </c>
      <c r="O227" s="802">
        <f t="shared" si="172"/>
        <v>-30000</v>
      </c>
    </row>
    <row r="228" spans="1:15" ht="12.75" customHeight="1" thickBot="1" x14ac:dyDescent="0.3">
      <c r="D228" s="937"/>
      <c r="E228" s="851"/>
      <c r="F228" s="851"/>
      <c r="G228" s="823" t="s">
        <v>536</v>
      </c>
      <c r="I228" s="807"/>
      <c r="J228" s="852">
        <v>-30000</v>
      </c>
      <c r="K228" s="852">
        <f t="shared" ref="K228:M228" si="173">SUM(K226:K227)</f>
        <v>-30000</v>
      </c>
      <c r="L228" s="852">
        <f t="shared" si="173"/>
        <v>-30000</v>
      </c>
      <c r="M228" s="852">
        <f t="shared" si="173"/>
        <v>-30000</v>
      </c>
      <c r="N228" s="852">
        <f t="shared" ref="N228:O228" si="174">SUM(N226:N227)</f>
        <v>-30000</v>
      </c>
      <c r="O228" s="852">
        <f t="shared" si="174"/>
        <v>-30000</v>
      </c>
    </row>
    <row r="229" spans="1:15" ht="12.75" customHeight="1" thickTop="1" x14ac:dyDescent="0.25">
      <c r="D229" s="937"/>
      <c r="E229" s="851"/>
      <c r="F229" s="851"/>
      <c r="G229" s="823"/>
      <c r="I229" s="807"/>
      <c r="J229" s="802"/>
      <c r="K229" s="802"/>
      <c r="L229" s="802"/>
      <c r="M229" s="802"/>
      <c r="N229" s="802"/>
      <c r="O229" s="802"/>
    </row>
    <row r="230" spans="1:15" ht="12.75" customHeight="1" x14ac:dyDescent="0.25">
      <c r="D230" s="939">
        <v>638012</v>
      </c>
      <c r="E230" s="819"/>
      <c r="F230" s="914"/>
      <c r="G230" s="820" t="s">
        <v>4199</v>
      </c>
      <c r="I230" s="807"/>
      <c r="J230" s="802"/>
      <c r="K230" s="802"/>
      <c r="L230" s="802"/>
      <c r="M230" s="802"/>
      <c r="N230" s="802"/>
      <c r="O230" s="802"/>
    </row>
    <row r="231" spans="1:15" ht="12.75" customHeight="1" x14ac:dyDescent="0.25">
      <c r="D231" s="937"/>
      <c r="E231" s="851"/>
      <c r="F231" s="851"/>
      <c r="G231" s="822" t="s">
        <v>554</v>
      </c>
      <c r="I231" s="807"/>
      <c r="J231" s="802"/>
      <c r="K231" s="802"/>
      <c r="L231" s="802"/>
      <c r="M231" s="802"/>
      <c r="N231" s="802"/>
      <c r="O231" s="802"/>
    </row>
    <row r="232" spans="1:15" ht="12.75" customHeight="1" x14ac:dyDescent="0.25">
      <c r="A232" s="795">
        <f>D230</f>
        <v>638012</v>
      </c>
      <c r="B232" s="791" t="str">
        <f>G230</f>
        <v>Inkomensvoorzieningen ondernemers (bbz)</v>
      </c>
      <c r="D232" s="938">
        <v>84310</v>
      </c>
      <c r="E232" s="821"/>
      <c r="F232" s="821"/>
      <c r="G232" s="823" t="s">
        <v>2134</v>
      </c>
      <c r="I232" s="807"/>
      <c r="J232" s="807">
        <v>-18750</v>
      </c>
      <c r="K232" s="807">
        <f t="shared" ref="K232:M232" si="175">K517</f>
        <v>-18750</v>
      </c>
      <c r="L232" s="807">
        <f t="shared" si="175"/>
        <v>-18750</v>
      </c>
      <c r="M232" s="807">
        <f t="shared" si="175"/>
        <v>-18750</v>
      </c>
      <c r="N232" s="807">
        <f t="shared" ref="N232:O232" si="176">N517</f>
        <v>-18750</v>
      </c>
      <c r="O232" s="807">
        <f t="shared" si="176"/>
        <v>-18750</v>
      </c>
    </row>
    <row r="233" spans="1:15" ht="12.75" customHeight="1" thickBot="1" x14ac:dyDescent="0.3">
      <c r="D233" s="937"/>
      <c r="E233" s="851"/>
      <c r="F233" s="851"/>
      <c r="G233" s="823" t="s">
        <v>536</v>
      </c>
      <c r="I233" s="807"/>
      <c r="J233" s="852">
        <v>-18750</v>
      </c>
      <c r="K233" s="852">
        <f t="shared" ref="K233:M233" si="177">SUM(K231:K232)</f>
        <v>-18750</v>
      </c>
      <c r="L233" s="852">
        <f t="shared" si="177"/>
        <v>-18750</v>
      </c>
      <c r="M233" s="852">
        <f t="shared" si="177"/>
        <v>-18750</v>
      </c>
      <c r="N233" s="852">
        <f t="shared" ref="N233:O233" si="178">SUM(N231:N232)</f>
        <v>-18750</v>
      </c>
      <c r="O233" s="852">
        <f t="shared" si="178"/>
        <v>-18750</v>
      </c>
    </row>
    <row r="234" spans="1:15" ht="12.75" customHeight="1" thickTop="1" x14ac:dyDescent="0.25">
      <c r="D234" s="937"/>
      <c r="E234" s="851"/>
      <c r="F234" s="851"/>
      <c r="G234" s="823"/>
      <c r="I234" s="807"/>
      <c r="J234" s="802"/>
      <c r="K234" s="802"/>
      <c r="L234" s="802"/>
      <c r="M234" s="802"/>
      <c r="N234" s="802"/>
      <c r="O234" s="802"/>
    </row>
    <row r="235" spans="1:15" ht="12.75" customHeight="1" x14ac:dyDescent="0.25">
      <c r="D235" s="939">
        <v>638013</v>
      </c>
      <c r="E235" s="819"/>
      <c r="F235" s="914"/>
      <c r="G235" s="820" t="s">
        <v>4223</v>
      </c>
      <c r="I235" s="807"/>
      <c r="J235" s="802"/>
      <c r="K235" s="802"/>
      <c r="L235" s="802"/>
      <c r="M235" s="802"/>
      <c r="N235" s="802"/>
      <c r="O235" s="802"/>
    </row>
    <row r="236" spans="1:15" ht="12.75" customHeight="1" x14ac:dyDescent="0.25">
      <c r="D236" s="937"/>
      <c r="E236" s="851"/>
      <c r="F236" s="851"/>
      <c r="G236" s="822" t="s">
        <v>554</v>
      </c>
      <c r="I236" s="807"/>
      <c r="J236" s="802"/>
      <c r="K236" s="802"/>
      <c r="L236" s="802"/>
      <c r="M236" s="802"/>
      <c r="N236" s="802"/>
      <c r="O236" s="802"/>
    </row>
    <row r="237" spans="1:15" ht="12.75" customHeight="1" x14ac:dyDescent="0.25">
      <c r="A237" s="795">
        <f>D235</f>
        <v>638013</v>
      </c>
      <c r="B237" s="791" t="str">
        <f>G235</f>
        <v>kapitaalverstrekking BBZ</v>
      </c>
      <c r="D237" s="938">
        <v>84380</v>
      </c>
      <c r="E237" s="821"/>
      <c r="F237" s="821"/>
      <c r="G237" s="823" t="s">
        <v>4224</v>
      </c>
      <c r="I237" s="807"/>
      <c r="J237" s="829">
        <v>-38500</v>
      </c>
      <c r="K237" s="829">
        <f t="shared" ref="K237:M237" si="179">K525</f>
        <v>-38500</v>
      </c>
      <c r="L237" s="829">
        <f t="shared" si="179"/>
        <v>-38500</v>
      </c>
      <c r="M237" s="829">
        <f t="shared" si="179"/>
        <v>-38500</v>
      </c>
      <c r="N237" s="829">
        <f t="shared" ref="N237:O237" si="180">N525</f>
        <v>-38500</v>
      </c>
      <c r="O237" s="829">
        <f t="shared" si="180"/>
        <v>-38500</v>
      </c>
    </row>
    <row r="238" spans="1:15" ht="12.75" customHeight="1" thickBot="1" x14ac:dyDescent="0.3">
      <c r="D238" s="937"/>
      <c r="E238" s="851"/>
      <c r="F238" s="851"/>
      <c r="G238" s="823" t="s">
        <v>536</v>
      </c>
      <c r="I238" s="807"/>
      <c r="J238" s="852">
        <v>-38500</v>
      </c>
      <c r="K238" s="852">
        <f t="shared" ref="K238:M238" si="181">SUM(K236:K237)</f>
        <v>-38500</v>
      </c>
      <c r="L238" s="852">
        <f t="shared" si="181"/>
        <v>-38500</v>
      </c>
      <c r="M238" s="852">
        <f t="shared" si="181"/>
        <v>-38500</v>
      </c>
      <c r="N238" s="852">
        <f t="shared" ref="N238:O238" si="182">SUM(N236:N237)</f>
        <v>-38500</v>
      </c>
      <c r="O238" s="852">
        <f t="shared" si="182"/>
        <v>-38500</v>
      </c>
    </row>
    <row r="239" spans="1:15" ht="12.75" customHeight="1" thickTop="1" x14ac:dyDescent="0.25">
      <c r="D239" s="937"/>
      <c r="E239" s="851"/>
      <c r="F239" s="851"/>
      <c r="G239" s="823"/>
      <c r="I239" s="807"/>
      <c r="J239" s="802"/>
      <c r="K239" s="802"/>
      <c r="L239" s="802"/>
      <c r="M239" s="802"/>
      <c r="N239" s="802"/>
      <c r="O239" s="802"/>
    </row>
    <row r="240" spans="1:15" ht="12.75" customHeight="1" x14ac:dyDescent="0.25">
      <c r="D240" s="939">
        <v>638014</v>
      </c>
      <c r="E240" s="819"/>
      <c r="F240" s="914"/>
      <c r="G240" s="820" t="s">
        <v>4225</v>
      </c>
      <c r="I240" s="807"/>
      <c r="J240" s="802"/>
      <c r="K240" s="802"/>
      <c r="L240" s="802"/>
      <c r="M240" s="802"/>
      <c r="N240" s="802"/>
      <c r="O240" s="802"/>
    </row>
    <row r="241" spans="1:15" ht="12.75" customHeight="1" x14ac:dyDescent="0.25">
      <c r="D241" s="937"/>
      <c r="E241" s="851"/>
      <c r="F241" s="851"/>
      <c r="G241" s="822" t="s">
        <v>554</v>
      </c>
      <c r="I241" s="807"/>
      <c r="J241" s="802"/>
      <c r="K241" s="802"/>
      <c r="L241" s="802"/>
      <c r="M241" s="802"/>
      <c r="N241" s="802"/>
      <c r="O241" s="802"/>
    </row>
    <row r="242" spans="1:15" ht="12.75" customHeight="1" x14ac:dyDescent="0.25">
      <c r="A242" s="795">
        <f>D240</f>
        <v>638014</v>
      </c>
      <c r="B242" s="791" t="str">
        <f>G240</f>
        <v>Rente kapitaalverstrekking Bbz</v>
      </c>
      <c r="D242" s="938">
        <v>84380</v>
      </c>
      <c r="E242" s="821"/>
      <c r="F242" s="821"/>
      <c r="G242" s="823" t="s">
        <v>4224</v>
      </c>
      <c r="I242" s="807"/>
      <c r="J242" s="829">
        <v>-5000</v>
      </c>
      <c r="K242" s="829">
        <f t="shared" ref="K242:M242" si="183">K530</f>
        <v>-5000</v>
      </c>
      <c r="L242" s="829">
        <f t="shared" si="183"/>
        <v>-5000</v>
      </c>
      <c r="M242" s="829">
        <f t="shared" si="183"/>
        <v>-5000</v>
      </c>
      <c r="N242" s="829">
        <f t="shared" ref="N242:O242" si="184">N530</f>
        <v>-5000</v>
      </c>
      <c r="O242" s="829">
        <f t="shared" si="184"/>
        <v>-5000</v>
      </c>
    </row>
    <row r="243" spans="1:15" ht="12.75" customHeight="1" thickBot="1" x14ac:dyDescent="0.3">
      <c r="D243" s="937"/>
      <c r="E243" s="851"/>
      <c r="F243" s="851"/>
      <c r="G243" s="823" t="s">
        <v>536</v>
      </c>
      <c r="I243" s="807"/>
      <c r="J243" s="852">
        <v>-5000</v>
      </c>
      <c r="K243" s="852">
        <f t="shared" ref="K243:M243" si="185">SUM(K241:K242)</f>
        <v>-5000</v>
      </c>
      <c r="L243" s="852">
        <f t="shared" si="185"/>
        <v>-5000</v>
      </c>
      <c r="M243" s="852">
        <f t="shared" si="185"/>
        <v>-5000</v>
      </c>
      <c r="N243" s="852">
        <f t="shared" ref="N243:O243" si="186">SUM(N241:N242)</f>
        <v>-5000</v>
      </c>
      <c r="O243" s="852">
        <f t="shared" si="186"/>
        <v>-5000</v>
      </c>
    </row>
    <row r="244" spans="1:15" ht="12.75" customHeight="1" thickTop="1" x14ac:dyDescent="0.25">
      <c r="D244" s="937"/>
      <c r="E244" s="851"/>
      <c r="F244" s="851"/>
      <c r="G244" s="823"/>
      <c r="I244" s="807"/>
      <c r="J244" s="802"/>
      <c r="K244" s="802"/>
      <c r="L244" s="802"/>
      <c r="M244" s="802"/>
      <c r="N244" s="802"/>
      <c r="O244" s="802"/>
    </row>
    <row r="245" spans="1:15" ht="12.75" customHeight="1" x14ac:dyDescent="0.25">
      <c r="D245" s="936">
        <v>638023</v>
      </c>
      <c r="E245" s="819"/>
      <c r="F245" s="819"/>
      <c r="G245" s="820" t="s">
        <v>4208</v>
      </c>
      <c r="I245" s="807"/>
      <c r="J245" s="807"/>
      <c r="K245" s="807"/>
      <c r="L245" s="807"/>
      <c r="M245" s="807"/>
      <c r="N245" s="807"/>
      <c r="O245" s="807"/>
    </row>
    <row r="246" spans="1:15" ht="12.75" customHeight="1" x14ac:dyDescent="0.25">
      <c r="D246" s="937"/>
      <c r="E246" s="851"/>
      <c r="F246" s="851"/>
      <c r="G246" s="822" t="s">
        <v>554</v>
      </c>
      <c r="I246" s="807"/>
      <c r="J246" s="807"/>
      <c r="K246" s="807"/>
      <c r="L246" s="807"/>
      <c r="M246" s="807"/>
      <c r="N246" s="807"/>
      <c r="O246" s="807"/>
    </row>
    <row r="247" spans="1:15" ht="12.75" customHeight="1" x14ac:dyDescent="0.25">
      <c r="A247" s="795">
        <f>D245</f>
        <v>638023</v>
      </c>
      <c r="B247" s="791" t="str">
        <f>G245</f>
        <v>Bijzondere bijstand onbelast</v>
      </c>
      <c r="D247" s="938">
        <v>83420</v>
      </c>
      <c r="E247" s="821"/>
      <c r="F247" s="821"/>
      <c r="G247" s="823" t="s">
        <v>4226</v>
      </c>
      <c r="I247" s="807"/>
      <c r="J247" s="807">
        <v>-5000</v>
      </c>
      <c r="K247" s="807">
        <f>K535</f>
        <v>-5000</v>
      </c>
      <c r="L247" s="807">
        <f>L535</f>
        <v>-5000</v>
      </c>
      <c r="M247" s="807">
        <f>M535</f>
        <v>-5000</v>
      </c>
      <c r="N247" s="807">
        <f>N535</f>
        <v>-5000</v>
      </c>
      <c r="O247" s="807">
        <f>O535</f>
        <v>-5000</v>
      </c>
    </row>
    <row r="248" spans="1:15" ht="12.75" customHeight="1" thickBot="1" x14ac:dyDescent="0.3">
      <c r="D248" s="937"/>
      <c r="E248" s="851"/>
      <c r="F248" s="851"/>
      <c r="G248" s="823" t="s">
        <v>536</v>
      </c>
      <c r="I248" s="812"/>
      <c r="J248" s="852">
        <v>-5000</v>
      </c>
      <c r="K248" s="825">
        <f t="shared" ref="K248:M248" si="187">SUM(K246:K247)</f>
        <v>-5000</v>
      </c>
      <c r="L248" s="825">
        <f t="shared" si="187"/>
        <v>-5000</v>
      </c>
      <c r="M248" s="825">
        <f t="shared" si="187"/>
        <v>-5000</v>
      </c>
      <c r="N248" s="825">
        <f t="shared" ref="N248:O248" si="188">SUM(N246:N247)</f>
        <v>-5000</v>
      </c>
      <c r="O248" s="825">
        <f t="shared" si="188"/>
        <v>-5000</v>
      </c>
    </row>
    <row r="249" spans="1:15" ht="12.75" customHeight="1" thickTop="1" x14ac:dyDescent="0.25">
      <c r="D249" s="937"/>
      <c r="E249" s="851"/>
      <c r="F249" s="851"/>
      <c r="G249" s="823"/>
      <c r="I249" s="807"/>
      <c r="J249" s="807"/>
      <c r="K249" s="807"/>
      <c r="L249" s="807"/>
      <c r="M249" s="807"/>
      <c r="N249" s="807"/>
      <c r="O249" s="807"/>
    </row>
    <row r="250" spans="1:15" ht="12.75" customHeight="1" x14ac:dyDescent="0.25">
      <c r="D250" s="936">
        <v>638901</v>
      </c>
      <c r="E250" s="914"/>
      <c r="F250" s="914"/>
      <c r="G250" s="820" t="s">
        <v>4197</v>
      </c>
      <c r="I250" s="807"/>
      <c r="J250" s="807"/>
      <c r="K250" s="807"/>
      <c r="L250" s="807"/>
      <c r="M250" s="807"/>
      <c r="N250" s="807"/>
      <c r="O250" s="807"/>
    </row>
    <row r="251" spans="1:15" ht="12.75" customHeight="1" x14ac:dyDescent="0.25">
      <c r="D251" s="937"/>
      <c r="E251" s="851"/>
      <c r="F251" s="851"/>
      <c r="G251" s="822" t="s">
        <v>554</v>
      </c>
      <c r="I251" s="807"/>
      <c r="J251" s="807"/>
      <c r="K251" s="807"/>
      <c r="L251" s="807"/>
      <c r="M251" s="807"/>
      <c r="N251" s="807"/>
      <c r="O251" s="807"/>
    </row>
    <row r="252" spans="1:15" ht="12.75" customHeight="1" x14ac:dyDescent="0.25">
      <c r="A252" s="795">
        <v>638901</v>
      </c>
      <c r="B252" s="791" t="s">
        <v>4197</v>
      </c>
      <c r="D252" s="957">
        <v>84320</v>
      </c>
      <c r="E252" s="958"/>
      <c r="F252" s="958"/>
      <c r="G252" s="823" t="s">
        <v>3346</v>
      </c>
      <c r="I252" s="807"/>
      <c r="J252" s="807">
        <v>0</v>
      </c>
      <c r="K252" s="807">
        <f>K543</f>
        <v>-42000</v>
      </c>
      <c r="L252" s="807">
        <f>L543</f>
        <v>-43764</v>
      </c>
      <c r="M252" s="807">
        <f>M543</f>
        <v>-45383</v>
      </c>
      <c r="N252" s="807">
        <f>N543</f>
        <v>-47063</v>
      </c>
      <c r="O252" s="807">
        <f>O543</f>
        <v>-48804</v>
      </c>
    </row>
    <row r="253" spans="1:15" ht="12.75" customHeight="1" thickBot="1" x14ac:dyDescent="0.3">
      <c r="D253" s="959"/>
      <c r="E253" s="960"/>
      <c r="F253" s="960"/>
      <c r="G253" s="961" t="s">
        <v>536</v>
      </c>
      <c r="H253" s="962"/>
      <c r="I253" s="963"/>
      <c r="J253" s="964">
        <v>0</v>
      </c>
      <c r="K253" s="965">
        <f>SUM(K251:K252)</f>
        <v>-42000</v>
      </c>
      <c r="L253" s="965">
        <f>SUM(L251:L252)</f>
        <v>-43764</v>
      </c>
      <c r="M253" s="965">
        <f>SUM(M251:M252)</f>
        <v>-45383</v>
      </c>
      <c r="N253" s="965">
        <f>SUM(N251:N252)</f>
        <v>-47063</v>
      </c>
      <c r="O253" s="965">
        <f>SUM(O251:O252)</f>
        <v>-48804</v>
      </c>
    </row>
    <row r="254" spans="1:15" ht="12.75" customHeight="1" thickTop="1" x14ac:dyDescent="0.25">
      <c r="D254" s="831"/>
      <c r="E254" s="831"/>
      <c r="F254" s="831"/>
      <c r="I254" s="812"/>
      <c r="J254" s="812"/>
      <c r="K254" s="812"/>
      <c r="L254" s="812"/>
      <c r="M254" s="812"/>
      <c r="N254" s="812"/>
      <c r="O254" s="812"/>
    </row>
    <row r="255" spans="1:15" ht="12.75" customHeight="1" x14ac:dyDescent="0.25">
      <c r="D255" s="831"/>
      <c r="E255" s="831"/>
      <c r="F255" s="831"/>
      <c r="I255" s="812"/>
      <c r="J255" s="812"/>
      <c r="K255" s="812"/>
      <c r="L255" s="812"/>
      <c r="M255" s="812"/>
      <c r="N255" s="812"/>
      <c r="O255" s="812"/>
    </row>
    <row r="256" spans="1:15" ht="12.75" customHeight="1" x14ac:dyDescent="0.25">
      <c r="D256" s="831"/>
      <c r="E256" s="831"/>
      <c r="F256" s="831"/>
      <c r="I256" s="812"/>
      <c r="J256" s="812"/>
      <c r="K256" s="812"/>
      <c r="L256" s="812"/>
      <c r="M256" s="812"/>
      <c r="N256" s="812"/>
      <c r="O256" s="812"/>
    </row>
    <row r="257" spans="4:16" ht="12.75" customHeight="1" x14ac:dyDescent="0.25">
      <c r="D257" s="830" t="s">
        <v>561</v>
      </c>
      <c r="E257" s="831"/>
      <c r="F257" s="831"/>
      <c r="G257" s="832"/>
      <c r="I257" s="812"/>
      <c r="J257" s="812"/>
      <c r="K257" s="812"/>
    </row>
    <row r="258" spans="4:16" ht="12.75" customHeight="1" x14ac:dyDescent="0.25">
      <c r="D258" s="831"/>
      <c r="E258" s="831"/>
      <c r="F258" s="831"/>
      <c r="I258" s="812"/>
      <c r="J258" s="812"/>
      <c r="K258" s="812"/>
    </row>
    <row r="259" spans="4:16" ht="12.75" customHeight="1" x14ac:dyDescent="0.25">
      <c r="D259" s="936">
        <v>638002</v>
      </c>
      <c r="E259" s="832" t="s">
        <v>4192</v>
      </c>
      <c r="F259" s="813"/>
      <c r="I259" s="812"/>
      <c r="J259" s="966">
        <v>2025</v>
      </c>
      <c r="K259" s="966">
        <v>2026</v>
      </c>
      <c r="L259" s="966">
        <v>2027</v>
      </c>
      <c r="M259" s="966">
        <v>2028</v>
      </c>
      <c r="N259" s="966">
        <v>2029</v>
      </c>
      <c r="O259" s="966">
        <v>2030</v>
      </c>
    </row>
    <row r="260" spans="4:16" ht="12.75" customHeight="1" x14ac:dyDescent="0.25">
      <c r="D260" s="834"/>
      <c r="E260" s="800" t="s">
        <v>533</v>
      </c>
      <c r="F260" s="813"/>
      <c r="I260" s="812"/>
      <c r="J260" s="967"/>
      <c r="K260" s="967"/>
      <c r="L260" s="967"/>
      <c r="M260" s="967"/>
      <c r="N260" s="967"/>
      <c r="O260" s="967"/>
    </row>
    <row r="261" spans="4:16" ht="12.75" customHeight="1" x14ac:dyDescent="0.25">
      <c r="D261" s="793">
        <v>44110</v>
      </c>
      <c r="E261" s="796" t="s">
        <v>4227</v>
      </c>
      <c r="I261" s="812"/>
      <c r="J261" s="812">
        <v>5460000</v>
      </c>
      <c r="K261" s="812">
        <v>5460000</v>
      </c>
      <c r="L261" s="812">
        <f t="shared" ref="L261:O261" si="189">K261</f>
        <v>5460000</v>
      </c>
      <c r="M261" s="812">
        <f t="shared" si="189"/>
        <v>5460000</v>
      </c>
      <c r="N261" s="812">
        <f t="shared" si="189"/>
        <v>5460000</v>
      </c>
      <c r="O261" s="812">
        <f t="shared" si="189"/>
        <v>5460000</v>
      </c>
    </row>
    <row r="262" spans="4:16" ht="12.75" customHeight="1" x14ac:dyDescent="0.25">
      <c r="D262" s="793"/>
      <c r="E262" s="925" t="s">
        <v>4228</v>
      </c>
      <c r="F262" s="923"/>
      <c r="G262" s="812"/>
      <c r="H262" s="812"/>
      <c r="J262" s="812">
        <v>670000</v>
      </c>
      <c r="K262" s="812">
        <v>670000</v>
      </c>
      <c r="L262" s="812">
        <v>670000</v>
      </c>
      <c r="M262" s="812">
        <v>670000</v>
      </c>
      <c r="N262" s="812">
        <v>670000</v>
      </c>
      <c r="O262" s="812">
        <v>670000</v>
      </c>
    </row>
    <row r="263" spans="4:16" ht="12.75" customHeight="1" x14ac:dyDescent="0.25">
      <c r="D263" s="793"/>
      <c r="E263" s="925" t="s">
        <v>4158</v>
      </c>
      <c r="F263" s="923"/>
      <c r="G263" s="812"/>
      <c r="H263" s="812"/>
      <c r="J263" s="812"/>
      <c r="K263" s="812">
        <v>-230000</v>
      </c>
      <c r="L263" s="812">
        <v>-230000</v>
      </c>
      <c r="M263" s="812">
        <v>-230000</v>
      </c>
      <c r="N263" s="812">
        <v>-230000</v>
      </c>
      <c r="O263" s="812">
        <v>-230000</v>
      </c>
    </row>
    <row r="264" spans="4:16" ht="12.75" customHeight="1" x14ac:dyDescent="0.25">
      <c r="D264" s="793"/>
      <c r="E264" s="2215" t="s">
        <v>5335</v>
      </c>
      <c r="F264" s="2216"/>
      <c r="G264" s="2217"/>
      <c r="H264" s="2217"/>
      <c r="I264" s="2218"/>
      <c r="J264" s="2217"/>
      <c r="K264" s="2217">
        <v>512013</v>
      </c>
      <c r="L264" s="2217"/>
      <c r="M264" s="2217"/>
      <c r="N264" s="2217"/>
      <c r="O264" s="2217"/>
    </row>
    <row r="265" spans="4:16" ht="12.75" customHeight="1" thickBot="1" x14ac:dyDescent="0.3">
      <c r="D265" s="831"/>
      <c r="E265" s="791" t="str">
        <f>"Totaal "&amp;D261</f>
        <v>Totaal 44110</v>
      </c>
      <c r="F265" s="831"/>
      <c r="I265" s="812"/>
      <c r="J265" s="1935">
        <v>6130000</v>
      </c>
      <c r="K265" s="1935">
        <f>SUM(K261:K264)</f>
        <v>6412013</v>
      </c>
      <c r="L265" s="1935">
        <f t="shared" ref="L265:N265" si="190">SUM(L261:L263)</f>
        <v>5900000</v>
      </c>
      <c r="M265" s="1935">
        <f t="shared" si="190"/>
        <v>5900000</v>
      </c>
      <c r="N265" s="1935">
        <f t="shared" si="190"/>
        <v>5900000</v>
      </c>
      <c r="O265" s="1935">
        <f t="shared" ref="O265" si="191">SUM(O261:O263)</f>
        <v>5900000</v>
      </c>
    </row>
    <row r="266" spans="4:16" ht="12.75" customHeight="1" thickTop="1" x14ac:dyDescent="0.25">
      <c r="D266" s="831"/>
      <c r="E266" s="791"/>
      <c r="F266" s="831"/>
      <c r="I266" s="812"/>
      <c r="J266" s="812"/>
      <c r="K266" s="812"/>
      <c r="L266" s="812"/>
      <c r="M266" s="812"/>
      <c r="N266" s="812"/>
      <c r="O266" s="812"/>
    </row>
    <row r="267" spans="4:16" ht="12.75" customHeight="1" x14ac:dyDescent="0.25">
      <c r="D267" s="831"/>
      <c r="E267" s="2597" t="s">
        <v>4229</v>
      </c>
      <c r="F267" s="2597"/>
      <c r="G267" s="2597"/>
      <c r="H267" s="2597"/>
      <c r="I267" s="2597"/>
      <c r="J267" s="812"/>
      <c r="K267" s="812"/>
      <c r="L267" s="812"/>
      <c r="M267" s="812"/>
      <c r="N267" s="812"/>
      <c r="O267" s="812"/>
    </row>
    <row r="268" spans="4:16" ht="12.75" customHeight="1" x14ac:dyDescent="0.25">
      <c r="D268" s="831"/>
      <c r="E268" s="2597"/>
      <c r="F268" s="2597"/>
      <c r="G268" s="2597"/>
      <c r="H268" s="2597"/>
      <c r="I268" s="2597"/>
      <c r="J268" s="812"/>
      <c r="K268" s="812"/>
      <c r="L268" s="812"/>
      <c r="M268" s="812"/>
      <c r="N268" s="812"/>
      <c r="O268" s="812"/>
    </row>
    <row r="269" spans="4:16" ht="12.75" customHeight="1" x14ac:dyDescent="0.25">
      <c r="D269" s="831"/>
      <c r="E269" s="918"/>
      <c r="F269" s="918"/>
      <c r="G269" s="918"/>
      <c r="H269" s="918"/>
      <c r="I269" s="918"/>
      <c r="J269" s="812"/>
      <c r="K269" s="812"/>
      <c r="L269" s="812"/>
      <c r="M269" s="812"/>
      <c r="N269" s="812"/>
      <c r="O269" s="812"/>
    </row>
    <row r="270" spans="4:16" ht="12.75" customHeight="1" x14ac:dyDescent="0.25">
      <c r="D270" s="930">
        <v>638004</v>
      </c>
      <c r="E270" s="832" t="s">
        <v>4194</v>
      </c>
      <c r="F270" s="930"/>
      <c r="H270" s="832"/>
      <c r="I270" s="812"/>
      <c r="J270" s="812"/>
      <c r="K270" s="812"/>
      <c r="L270" s="812"/>
      <c r="M270" s="812"/>
      <c r="N270" s="812"/>
      <c r="O270" s="812"/>
      <c r="P270" s="812"/>
    </row>
    <row r="271" spans="4:16" ht="12.75" customHeight="1" x14ac:dyDescent="0.25">
      <c r="D271" s="831"/>
      <c r="E271" s="800" t="s">
        <v>533</v>
      </c>
      <c r="F271" s="831"/>
      <c r="I271" s="812"/>
      <c r="J271" s="812"/>
      <c r="K271" s="812"/>
      <c r="L271" s="812"/>
      <c r="M271" s="812"/>
      <c r="N271" s="812"/>
      <c r="O271" s="812"/>
    </row>
    <row r="272" spans="4:16" ht="12.75" customHeight="1" x14ac:dyDescent="0.25">
      <c r="D272" s="831">
        <v>43812</v>
      </c>
      <c r="E272" s="791" t="s">
        <v>4230</v>
      </c>
      <c r="F272" s="831"/>
      <c r="I272" s="812"/>
      <c r="J272" s="812">
        <v>82900</v>
      </c>
      <c r="K272" s="812">
        <f>ROUND(82900*S$2,-2)</f>
        <v>85100</v>
      </c>
      <c r="L272" s="812">
        <f>ROUND(K272*T$2,-2)</f>
        <v>86900</v>
      </c>
      <c r="M272" s="812">
        <f>ROUND(L272*U$2,-2)</f>
        <v>88900</v>
      </c>
      <c r="N272" s="812">
        <f>ROUND(M272*V$2,-2)</f>
        <v>90900</v>
      </c>
      <c r="O272" s="812">
        <f>ROUND(N272*W$2,-2)</f>
        <v>93000</v>
      </c>
    </row>
    <row r="273" spans="4:16" ht="12.75" customHeight="1" x14ac:dyDescent="0.25">
      <c r="D273" s="831"/>
      <c r="E273" s="968" t="s">
        <v>4231</v>
      </c>
      <c r="F273" s="831"/>
      <c r="I273" s="812"/>
      <c r="J273" s="812">
        <v>11800</v>
      </c>
      <c r="K273" s="812">
        <f>ROUND(0*S$2,-2)</f>
        <v>0</v>
      </c>
      <c r="L273" s="812">
        <f>ROUND(J273*$Q$2*$R$2,-2)-10000</f>
        <v>2600</v>
      </c>
      <c r="M273" s="812">
        <f>ROUND(K273*$Q$2*$R$2,-2)</f>
        <v>0</v>
      </c>
      <c r="N273" s="812">
        <f>ROUND(L273*$Q$2*$R$2,-2)</f>
        <v>2800</v>
      </c>
      <c r="O273" s="812">
        <f>ROUND(M273*$Q$2*$R$2,-2)</f>
        <v>0</v>
      </c>
    </row>
    <row r="274" spans="4:16" ht="12.75" customHeight="1" x14ac:dyDescent="0.25">
      <c r="D274" s="831"/>
      <c r="E274" s="968" t="s">
        <v>4232</v>
      </c>
      <c r="F274" s="831"/>
      <c r="I274" s="812"/>
      <c r="J274" s="812">
        <v>4720</v>
      </c>
      <c r="K274" s="812">
        <f>ROUND(4720*S$2,-2)</f>
        <v>4800</v>
      </c>
      <c r="L274" s="812">
        <f t="shared" ref="L274:O275" si="192">ROUND(K274*T$2,-1)</f>
        <v>4900</v>
      </c>
      <c r="M274" s="812">
        <f t="shared" si="192"/>
        <v>5010</v>
      </c>
      <c r="N274" s="812">
        <f t="shared" si="192"/>
        <v>5130</v>
      </c>
      <c r="O274" s="812">
        <f t="shared" si="192"/>
        <v>5250</v>
      </c>
    </row>
    <row r="275" spans="4:16" ht="12.75" customHeight="1" x14ac:dyDescent="0.25">
      <c r="D275" s="831"/>
      <c r="E275" s="968" t="s">
        <v>4233</v>
      </c>
      <c r="F275" s="831"/>
      <c r="I275" s="812"/>
      <c r="J275" s="812">
        <v>5940</v>
      </c>
      <c r="K275" s="812">
        <f>ROUND(5940*S$2,-2)</f>
        <v>6100</v>
      </c>
      <c r="L275" s="812">
        <f t="shared" si="192"/>
        <v>6230</v>
      </c>
      <c r="M275" s="812">
        <f t="shared" si="192"/>
        <v>6370</v>
      </c>
      <c r="N275" s="812">
        <f t="shared" si="192"/>
        <v>6520</v>
      </c>
      <c r="O275" s="812">
        <f t="shared" si="192"/>
        <v>6670</v>
      </c>
    </row>
    <row r="276" spans="4:16" ht="12.75" customHeight="1" thickBot="1" x14ac:dyDescent="0.3">
      <c r="D276" s="831"/>
      <c r="E276" s="791" t="str">
        <f>"Totaal "&amp;D272</f>
        <v>Totaal 43812</v>
      </c>
      <c r="F276" s="831"/>
      <c r="I276" s="812"/>
      <c r="J276" s="1935">
        <v>105360</v>
      </c>
      <c r="K276" s="1935">
        <f t="shared" ref="K276:M276" si="193">SUM(K272:K275)</f>
        <v>96000</v>
      </c>
      <c r="L276" s="1935">
        <f t="shared" si="193"/>
        <v>100630</v>
      </c>
      <c r="M276" s="1935">
        <f t="shared" si="193"/>
        <v>100280</v>
      </c>
      <c r="N276" s="1935">
        <f t="shared" ref="N276:O276" si="194">SUM(N272:N275)</f>
        <v>105350</v>
      </c>
      <c r="O276" s="1935">
        <f t="shared" si="194"/>
        <v>104920</v>
      </c>
    </row>
    <row r="277" spans="4:16" ht="12.75" customHeight="1" thickTop="1" x14ac:dyDescent="0.25">
      <c r="D277" s="831"/>
      <c r="E277" s="791"/>
      <c r="F277" s="831"/>
      <c r="I277" s="812"/>
      <c r="J277" s="812"/>
      <c r="K277" s="812"/>
      <c r="L277" s="812"/>
      <c r="M277" s="812"/>
      <c r="N277" s="812"/>
      <c r="O277" s="812"/>
    </row>
    <row r="278" spans="4:16" ht="12.75" customHeight="1" x14ac:dyDescent="0.25">
      <c r="D278" s="834">
        <v>638005</v>
      </c>
      <c r="E278" s="832" t="s">
        <v>4195</v>
      </c>
      <c r="F278" s="813"/>
      <c r="I278" s="812"/>
      <c r="J278" s="812"/>
      <c r="K278" s="812"/>
      <c r="L278" s="812"/>
      <c r="M278" s="812"/>
      <c r="N278" s="812"/>
      <c r="O278" s="812"/>
      <c r="P278" s="812"/>
    </row>
    <row r="279" spans="4:16" ht="12.75" customHeight="1" x14ac:dyDescent="0.25">
      <c r="D279" s="834"/>
      <c r="E279" s="800" t="s">
        <v>533</v>
      </c>
      <c r="F279" s="813"/>
      <c r="I279" s="812"/>
      <c r="J279" s="931"/>
      <c r="K279" s="931"/>
      <c r="L279" s="931"/>
      <c r="M279" s="931"/>
      <c r="N279" s="931"/>
      <c r="O279" s="931"/>
    </row>
    <row r="280" spans="4:16" ht="12.75" customHeight="1" x14ac:dyDescent="0.25">
      <c r="D280" s="793">
        <v>43812</v>
      </c>
      <c r="E280" s="796" t="s">
        <v>4234</v>
      </c>
      <c r="I280" s="812"/>
      <c r="J280" s="812">
        <v>19100</v>
      </c>
      <c r="K280" s="812">
        <f>ROUND(19100*S$2,-2)</f>
        <v>19600</v>
      </c>
      <c r="L280" s="812">
        <f>ROUND(K280*T$2,-2)</f>
        <v>20000</v>
      </c>
      <c r="M280" s="812">
        <f>ROUND(L280*U$2,-2)</f>
        <v>20500</v>
      </c>
      <c r="N280" s="812">
        <f>ROUND(M280*V$2,-2)</f>
        <v>21000</v>
      </c>
      <c r="O280" s="812">
        <f>ROUND(N280*W$2,-2)</f>
        <v>21500</v>
      </c>
    </row>
    <row r="281" spans="4:16" ht="12.75" customHeight="1" thickBot="1" x14ac:dyDescent="0.3">
      <c r="E281" s="791" t="str">
        <f>"Totaal "&amp;D280</f>
        <v>Totaal 43812</v>
      </c>
      <c r="I281" s="812"/>
      <c r="J281" s="1935">
        <v>19100</v>
      </c>
      <c r="K281" s="1935">
        <f>SUM(K280:K280)</f>
        <v>19600</v>
      </c>
      <c r="L281" s="1935">
        <f>SUM(L280:L280)</f>
        <v>20000</v>
      </c>
      <c r="M281" s="1935">
        <f>SUM(M280:M280)</f>
        <v>20500</v>
      </c>
      <c r="N281" s="1935">
        <f>SUM(N280:N280)</f>
        <v>21000</v>
      </c>
      <c r="O281" s="1935">
        <f>SUM(O280:O280)</f>
        <v>21500</v>
      </c>
    </row>
    <row r="282" spans="4:16" ht="12.75" customHeight="1" thickTop="1" x14ac:dyDescent="0.25">
      <c r="D282" s="834"/>
      <c r="E282" s="791"/>
      <c r="F282" s="813"/>
      <c r="I282" s="812"/>
      <c r="J282" s="812"/>
      <c r="K282" s="812"/>
      <c r="L282" s="812"/>
      <c r="M282" s="812"/>
      <c r="N282" s="812"/>
      <c r="O282" s="812"/>
    </row>
    <row r="283" spans="4:16" ht="12.75" customHeight="1" x14ac:dyDescent="0.25">
      <c r="D283" s="834"/>
      <c r="E283" s="791" t="s">
        <v>4235</v>
      </c>
      <c r="F283" s="813"/>
      <c r="I283" s="812"/>
      <c r="J283" s="812"/>
      <c r="K283" s="812"/>
      <c r="L283" s="812"/>
      <c r="M283" s="812"/>
      <c r="N283" s="812"/>
      <c r="O283" s="812"/>
    </row>
    <row r="284" spans="4:16" ht="12.75" customHeight="1" x14ac:dyDescent="0.25">
      <c r="D284" s="834"/>
      <c r="E284" s="791" t="s">
        <v>4236</v>
      </c>
      <c r="F284" s="813"/>
      <c r="I284" s="812"/>
      <c r="J284" s="812"/>
      <c r="K284" s="812"/>
      <c r="L284" s="812"/>
      <c r="M284" s="812"/>
      <c r="N284" s="812"/>
      <c r="O284" s="812"/>
    </row>
    <row r="285" spans="4:16" ht="12.75" customHeight="1" x14ac:dyDescent="0.25">
      <c r="D285" s="834"/>
      <c r="E285" s="796" t="s">
        <v>4237</v>
      </c>
      <c r="F285" s="813"/>
      <c r="I285" s="812"/>
      <c r="J285" s="812"/>
      <c r="K285" s="812"/>
      <c r="L285" s="812"/>
      <c r="M285" s="812"/>
      <c r="N285" s="812"/>
      <c r="O285" s="812"/>
    </row>
    <row r="286" spans="4:16" ht="12.75" customHeight="1" x14ac:dyDescent="0.25">
      <c r="D286" s="834"/>
      <c r="E286" s="969" t="s">
        <v>4238</v>
      </c>
      <c r="F286" s="813"/>
      <c r="I286" s="812"/>
      <c r="J286" s="812"/>
      <c r="K286" s="812"/>
      <c r="L286" s="812"/>
      <c r="M286" s="812"/>
      <c r="N286" s="812"/>
      <c r="O286" s="812"/>
    </row>
    <row r="287" spans="4:16" ht="12.75" customHeight="1" x14ac:dyDescent="0.25">
      <c r="D287" s="834"/>
      <c r="E287" s="968" t="s">
        <v>4239</v>
      </c>
      <c r="F287" s="813"/>
      <c r="I287" s="812"/>
      <c r="J287" s="812"/>
      <c r="K287" s="812"/>
      <c r="L287" s="812"/>
      <c r="M287" s="812"/>
      <c r="N287" s="812"/>
      <c r="O287" s="812"/>
    </row>
    <row r="288" spans="4:16" ht="12.75" customHeight="1" x14ac:dyDescent="0.25">
      <c r="D288" s="834"/>
      <c r="E288" s="970" t="s">
        <v>4240</v>
      </c>
      <c r="F288" s="813"/>
      <c r="I288" s="812"/>
      <c r="J288" s="812"/>
      <c r="K288" s="812"/>
      <c r="L288" s="812"/>
      <c r="M288" s="812"/>
      <c r="N288" s="812"/>
      <c r="O288" s="812"/>
    </row>
    <row r="289" spans="4:20" ht="12.75" customHeight="1" x14ac:dyDescent="0.25">
      <c r="D289" s="834"/>
      <c r="E289" s="968" t="s">
        <v>4241</v>
      </c>
      <c r="F289" s="813"/>
      <c r="I289" s="812"/>
      <c r="J289" s="812"/>
      <c r="K289" s="812"/>
      <c r="L289" s="812"/>
      <c r="M289" s="812"/>
      <c r="N289" s="812"/>
      <c r="O289" s="812"/>
    </row>
    <row r="290" spans="4:20" ht="12.75" customHeight="1" x14ac:dyDescent="0.25">
      <c r="D290" s="834"/>
      <c r="E290" s="968" t="s">
        <v>4242</v>
      </c>
      <c r="F290" s="813"/>
      <c r="I290" s="812"/>
      <c r="J290" s="812"/>
      <c r="K290" s="812"/>
      <c r="L290" s="812"/>
      <c r="M290" s="812"/>
      <c r="N290" s="812"/>
      <c r="O290" s="812"/>
    </row>
    <row r="291" spans="4:20" ht="12.75" customHeight="1" x14ac:dyDescent="0.25">
      <c r="D291" s="834"/>
      <c r="E291" s="791"/>
      <c r="F291" s="813"/>
      <c r="I291" s="812"/>
      <c r="J291" s="812"/>
      <c r="K291" s="812"/>
      <c r="L291" s="812"/>
      <c r="M291" s="812"/>
      <c r="N291" s="812"/>
      <c r="O291" s="812"/>
    </row>
    <row r="292" spans="4:20" ht="12.75" customHeight="1" x14ac:dyDescent="0.25">
      <c r="D292" s="834">
        <v>638003</v>
      </c>
      <c r="E292" s="832" t="s">
        <v>4196</v>
      </c>
      <c r="F292" s="813"/>
      <c r="I292" s="812"/>
      <c r="J292" s="966">
        <v>2025</v>
      </c>
      <c r="K292" s="966">
        <v>2026</v>
      </c>
      <c r="L292" s="966">
        <v>2027</v>
      </c>
      <c r="M292" s="966">
        <v>2028</v>
      </c>
      <c r="N292" s="966">
        <v>2029</v>
      </c>
      <c r="O292" s="966">
        <v>2030</v>
      </c>
      <c r="Q292" s="812"/>
      <c r="R292" s="812"/>
      <c r="S292" s="812"/>
      <c r="T292" s="812"/>
    </row>
    <row r="293" spans="4:20" ht="12.75" customHeight="1" x14ac:dyDescent="0.25">
      <c r="D293" s="834"/>
      <c r="E293" s="800" t="s">
        <v>533</v>
      </c>
      <c r="F293" s="813"/>
      <c r="I293" s="812"/>
      <c r="J293" s="971"/>
      <c r="K293" s="971"/>
      <c r="L293" s="971"/>
      <c r="M293" s="971"/>
      <c r="N293" s="971"/>
      <c r="O293" s="971"/>
      <c r="Q293" s="812"/>
      <c r="R293" s="812"/>
      <c r="S293" s="812"/>
      <c r="T293" s="812"/>
    </row>
    <row r="294" spans="4:20" ht="12.75" customHeight="1" x14ac:dyDescent="0.3">
      <c r="D294" s="793">
        <v>44110</v>
      </c>
      <c r="E294" s="858" t="s">
        <v>4243</v>
      </c>
      <c r="I294" s="972"/>
      <c r="J294" s="812">
        <v>39000</v>
      </c>
      <c r="K294" s="812">
        <v>39000</v>
      </c>
      <c r="L294" s="812">
        <f t="shared" ref="L294:O294" si="195">K294</f>
        <v>39000</v>
      </c>
      <c r="M294" s="812">
        <f t="shared" si="195"/>
        <v>39000</v>
      </c>
      <c r="N294" s="812">
        <f t="shared" si="195"/>
        <v>39000</v>
      </c>
      <c r="O294" s="812">
        <f t="shared" si="195"/>
        <v>39000</v>
      </c>
      <c r="Q294" s="812"/>
      <c r="R294" s="812"/>
      <c r="S294" s="812"/>
      <c r="T294" s="812"/>
    </row>
    <row r="295" spans="4:20" ht="12.75" customHeight="1" x14ac:dyDescent="0.25">
      <c r="D295" s="793"/>
      <c r="E295" s="925" t="s">
        <v>4158</v>
      </c>
      <c r="I295" s="972"/>
      <c r="J295" s="812"/>
      <c r="K295" s="812">
        <v>-6000</v>
      </c>
      <c r="L295" s="812">
        <v>-6000</v>
      </c>
      <c r="M295" s="812">
        <v>-6000</v>
      </c>
      <c r="N295" s="812">
        <v>-6000</v>
      </c>
      <c r="O295" s="812">
        <v>-6000</v>
      </c>
      <c r="Q295" s="812"/>
      <c r="R295" s="812"/>
      <c r="S295" s="812"/>
      <c r="T295" s="812"/>
    </row>
    <row r="296" spans="4:20" ht="12.75" customHeight="1" thickBot="1" x14ac:dyDescent="0.3">
      <c r="E296" s="791" t="str">
        <f>"Totaal "&amp;D294</f>
        <v>Totaal 44110</v>
      </c>
      <c r="I296" s="812"/>
      <c r="J296" s="1935">
        <v>39000</v>
      </c>
      <c r="K296" s="1935">
        <f>SUM(K294:K295)</f>
        <v>33000</v>
      </c>
      <c r="L296" s="1935">
        <f t="shared" ref="L296:N296" si="196">SUM(L294:L295)</f>
        <v>33000</v>
      </c>
      <c r="M296" s="1935">
        <f t="shared" si="196"/>
        <v>33000</v>
      </c>
      <c r="N296" s="1935">
        <f t="shared" si="196"/>
        <v>33000</v>
      </c>
      <c r="O296" s="1935">
        <f t="shared" ref="O296" si="197">SUM(O294:O295)</f>
        <v>33000</v>
      </c>
    </row>
    <row r="297" spans="4:20" ht="12.75" customHeight="1" thickTop="1" x14ac:dyDescent="0.25">
      <c r="E297" s="791"/>
      <c r="I297" s="812"/>
      <c r="J297" s="812"/>
      <c r="K297" s="812"/>
      <c r="L297" s="812"/>
      <c r="M297" s="812"/>
      <c r="N297" s="812"/>
      <c r="O297" s="812"/>
    </row>
    <row r="298" spans="4:20" ht="12.75" customHeight="1" x14ac:dyDescent="0.25">
      <c r="E298" s="791" t="s">
        <v>4244</v>
      </c>
      <c r="I298" s="812"/>
      <c r="J298" s="812"/>
      <c r="K298" s="812"/>
      <c r="L298" s="812"/>
      <c r="M298" s="812"/>
      <c r="N298" s="812"/>
      <c r="O298" s="812"/>
    </row>
    <row r="299" spans="4:20" ht="12.75" customHeight="1" x14ac:dyDescent="0.25">
      <c r="I299" s="812"/>
      <c r="J299" s="812"/>
      <c r="K299" s="812"/>
      <c r="L299" s="812"/>
      <c r="M299" s="812"/>
      <c r="N299" s="812"/>
      <c r="O299" s="812"/>
    </row>
    <row r="300" spans="4:20" ht="12.75" customHeight="1" x14ac:dyDescent="0.25">
      <c r="D300" s="834">
        <v>638009</v>
      </c>
      <c r="E300" s="832" t="s">
        <v>4204</v>
      </c>
      <c r="F300" s="813"/>
      <c r="I300" s="812"/>
      <c r="J300" s="966">
        <v>2025</v>
      </c>
      <c r="K300" s="966">
        <v>2026</v>
      </c>
      <c r="L300" s="966">
        <v>2027</v>
      </c>
      <c r="M300" s="966">
        <v>2028</v>
      </c>
      <c r="N300" s="966">
        <v>2029</v>
      </c>
      <c r="O300" s="966">
        <v>2030</v>
      </c>
    </row>
    <row r="301" spans="4:20" ht="12.75" customHeight="1" x14ac:dyDescent="0.25">
      <c r="D301" s="834"/>
      <c r="E301" s="800" t="s">
        <v>533</v>
      </c>
      <c r="F301" s="813"/>
      <c r="I301" s="812"/>
      <c r="J301" s="812"/>
      <c r="K301" s="812"/>
      <c r="L301" s="812"/>
      <c r="M301" s="812"/>
      <c r="N301" s="812"/>
      <c r="O301" s="812"/>
    </row>
    <row r="302" spans="4:20" ht="12.75" customHeight="1" x14ac:dyDescent="0.25">
      <c r="D302" s="793">
        <v>44110</v>
      </c>
      <c r="E302" s="796" t="s">
        <v>4245</v>
      </c>
      <c r="I302" s="812"/>
      <c r="J302" s="812"/>
      <c r="K302" s="812"/>
      <c r="L302" s="812"/>
      <c r="M302" s="812"/>
      <c r="N302" s="812"/>
      <c r="O302" s="812"/>
    </row>
    <row r="303" spans="4:20" ht="12.75" customHeight="1" x14ac:dyDescent="0.25">
      <c r="E303" s="791" t="s">
        <v>4246</v>
      </c>
      <c r="I303" s="812"/>
      <c r="J303" s="812">
        <v>683000</v>
      </c>
      <c r="K303" s="812">
        <v>683000</v>
      </c>
      <c r="L303" s="812">
        <f t="shared" ref="L303:O303" si="198">K303</f>
        <v>683000</v>
      </c>
      <c r="M303" s="812">
        <f t="shared" si="198"/>
        <v>683000</v>
      </c>
      <c r="N303" s="812">
        <f t="shared" si="198"/>
        <v>683000</v>
      </c>
      <c r="O303" s="812">
        <f t="shared" si="198"/>
        <v>683000</v>
      </c>
    </row>
    <row r="304" spans="4:20" ht="12.75" customHeight="1" x14ac:dyDescent="0.25">
      <c r="D304" s="793"/>
      <c r="E304" s="925" t="s">
        <v>4228</v>
      </c>
      <c r="F304" s="923"/>
      <c r="G304" s="812"/>
      <c r="H304" s="812"/>
      <c r="J304" s="812">
        <v>66000</v>
      </c>
      <c r="K304" s="812">
        <v>66000</v>
      </c>
      <c r="L304" s="812">
        <v>66000</v>
      </c>
      <c r="M304" s="812">
        <v>66000</v>
      </c>
      <c r="N304" s="812">
        <v>66000</v>
      </c>
      <c r="O304" s="812">
        <v>66000</v>
      </c>
    </row>
    <row r="305" spans="4:16" ht="12.75" customHeight="1" x14ac:dyDescent="0.25">
      <c r="D305" s="793"/>
      <c r="E305" s="925" t="s">
        <v>4158</v>
      </c>
      <c r="F305" s="923"/>
      <c r="G305" s="812"/>
      <c r="H305" s="812"/>
      <c r="J305" s="812"/>
      <c r="K305" s="812">
        <v>171000</v>
      </c>
      <c r="L305" s="812">
        <v>171000</v>
      </c>
      <c r="M305" s="812">
        <v>171000</v>
      </c>
      <c r="N305" s="812">
        <v>171000</v>
      </c>
      <c r="O305" s="812">
        <v>171000</v>
      </c>
    </row>
    <row r="306" spans="4:16" ht="12.75" customHeight="1" thickBot="1" x14ac:dyDescent="0.3">
      <c r="E306" s="791" t="str">
        <f>"Totaal "&amp;D302</f>
        <v>Totaal 44110</v>
      </c>
      <c r="I306" s="812"/>
      <c r="J306" s="1935">
        <v>749000</v>
      </c>
      <c r="K306" s="1935">
        <f>SUM(K303:K305)</f>
        <v>920000</v>
      </c>
      <c r="L306" s="1935">
        <f>SUM(L303:L305)</f>
        <v>920000</v>
      </c>
      <c r="M306" s="1935">
        <f t="shared" ref="M306:N306" si="199">SUM(M303:M305)</f>
        <v>920000</v>
      </c>
      <c r="N306" s="1935">
        <f t="shared" si="199"/>
        <v>920000</v>
      </c>
      <c r="O306" s="1935">
        <f t="shared" ref="O306" si="200">SUM(O303:O305)</f>
        <v>920000</v>
      </c>
    </row>
    <row r="307" spans="4:16" ht="12.75" customHeight="1" thickTop="1" x14ac:dyDescent="0.25">
      <c r="E307" s="791"/>
      <c r="I307" s="812"/>
      <c r="J307" s="812"/>
      <c r="K307" s="812"/>
      <c r="L307" s="812"/>
      <c r="M307" s="812"/>
      <c r="N307" s="812"/>
      <c r="O307" s="812"/>
    </row>
    <row r="308" spans="4:16" ht="12.75" customHeight="1" x14ac:dyDescent="0.25">
      <c r="D308" s="834">
        <v>638901</v>
      </c>
      <c r="E308" s="832" t="s">
        <v>4197</v>
      </c>
      <c r="F308" s="813"/>
      <c r="I308" s="812"/>
      <c r="J308" s="966">
        <v>2025</v>
      </c>
      <c r="K308" s="966">
        <v>2026</v>
      </c>
      <c r="L308" s="966">
        <v>2027</v>
      </c>
      <c r="M308" s="966">
        <v>2028</v>
      </c>
      <c r="N308" s="966">
        <v>2029</v>
      </c>
      <c r="O308" s="966">
        <v>2030</v>
      </c>
    </row>
    <row r="309" spans="4:16" ht="12.75" customHeight="1" x14ac:dyDescent="0.25">
      <c r="E309" s="800" t="s">
        <v>533</v>
      </c>
      <c r="I309" s="812"/>
      <c r="J309" s="812"/>
      <c r="K309" s="812"/>
      <c r="L309" s="812"/>
      <c r="M309" s="812"/>
      <c r="N309" s="812"/>
      <c r="O309" s="812"/>
    </row>
    <row r="310" spans="4:16" ht="12.75" customHeight="1" x14ac:dyDescent="0.25">
      <c r="D310" s="793">
        <v>41100</v>
      </c>
      <c r="E310" s="791" t="s">
        <v>700</v>
      </c>
      <c r="I310" s="812"/>
      <c r="J310" s="812"/>
      <c r="K310" s="812"/>
      <c r="L310" s="812"/>
      <c r="M310" s="812"/>
      <c r="N310" s="812"/>
      <c r="O310" s="812"/>
    </row>
    <row r="311" spans="4:16" ht="12.75" customHeight="1" x14ac:dyDescent="0.25">
      <c r="E311" s="796" t="s">
        <v>930</v>
      </c>
      <c r="I311" s="812"/>
      <c r="J311" s="812">
        <v>55462.09</v>
      </c>
      <c r="K311" s="812">
        <v>79651.86</v>
      </c>
      <c r="L311" s="812">
        <f t="shared" ref="L311:O314" si="201">ROUND(K311*T$3,0)</f>
        <v>82997</v>
      </c>
      <c r="M311" s="812">
        <f t="shared" si="201"/>
        <v>86068</v>
      </c>
      <c r="N311" s="812">
        <f t="shared" si="201"/>
        <v>89253</v>
      </c>
      <c r="O311" s="812">
        <f t="shared" si="201"/>
        <v>92555</v>
      </c>
    </row>
    <row r="312" spans="4:16" ht="12.75" customHeight="1" x14ac:dyDescent="0.25">
      <c r="E312" s="796" t="s">
        <v>3261</v>
      </c>
      <c r="I312" s="812"/>
      <c r="J312" s="812">
        <v>190511.26</v>
      </c>
      <c r="K312" s="812">
        <v>92505.95</v>
      </c>
      <c r="L312" s="812">
        <f t="shared" si="201"/>
        <v>96391</v>
      </c>
      <c r="M312" s="812">
        <f t="shared" si="201"/>
        <v>99957</v>
      </c>
      <c r="N312" s="812">
        <f t="shared" si="201"/>
        <v>103655</v>
      </c>
      <c r="O312" s="812">
        <f t="shared" si="201"/>
        <v>107490</v>
      </c>
    </row>
    <row r="313" spans="4:16" ht="12.75" customHeight="1" x14ac:dyDescent="0.25">
      <c r="E313" s="796" t="s">
        <v>4247</v>
      </c>
      <c r="I313" s="812"/>
      <c r="J313" s="812">
        <v>970107.5</v>
      </c>
      <c r="K313" s="812">
        <v>1160773.1200000001</v>
      </c>
      <c r="L313" s="812">
        <f t="shared" si="201"/>
        <v>1209526</v>
      </c>
      <c r="M313" s="812">
        <f t="shared" si="201"/>
        <v>1254278</v>
      </c>
      <c r="N313" s="812">
        <f t="shared" si="201"/>
        <v>1300686</v>
      </c>
      <c r="O313" s="812">
        <f t="shared" si="201"/>
        <v>1348811</v>
      </c>
    </row>
    <row r="314" spans="4:16" ht="12.75" customHeight="1" x14ac:dyDescent="0.25">
      <c r="E314" s="796" t="s">
        <v>4248</v>
      </c>
      <c r="I314" s="812"/>
      <c r="J314" s="812">
        <v>41006</v>
      </c>
      <c r="K314" s="812">
        <f>ROUND(41006*S$3,0)</f>
        <v>41826</v>
      </c>
      <c r="L314" s="812">
        <f t="shared" si="201"/>
        <v>43583</v>
      </c>
      <c r="M314" s="812">
        <f t="shared" si="201"/>
        <v>45196</v>
      </c>
      <c r="N314" s="812">
        <f t="shared" si="201"/>
        <v>46868</v>
      </c>
      <c r="O314" s="812">
        <f t="shared" si="201"/>
        <v>48602</v>
      </c>
      <c r="P314" s="842" t="s">
        <v>4249</v>
      </c>
    </row>
    <row r="315" spans="4:16" ht="12.75" customHeight="1" x14ac:dyDescent="0.25">
      <c r="E315" s="796" t="s">
        <v>4250</v>
      </c>
      <c r="I315" s="812"/>
      <c r="J315" s="812">
        <v>105000</v>
      </c>
      <c r="K315" s="812">
        <f>ROUND(105000*S3,-2)</f>
        <v>107100</v>
      </c>
      <c r="L315" s="812">
        <v>0</v>
      </c>
      <c r="M315" s="812">
        <v>0</v>
      </c>
      <c r="N315" s="812">
        <v>0</v>
      </c>
      <c r="O315" s="812">
        <v>0</v>
      </c>
      <c r="P315" s="842" t="s">
        <v>4251</v>
      </c>
    </row>
    <row r="316" spans="4:16" ht="12.75" customHeight="1" x14ac:dyDescent="0.25">
      <c r="E316" s="796" t="s">
        <v>4252</v>
      </c>
      <c r="I316" s="812"/>
      <c r="J316" s="812">
        <v>30000</v>
      </c>
      <c r="K316" s="812">
        <f>ROUND(30000*S2,-2)</f>
        <v>30800</v>
      </c>
      <c r="L316" s="812">
        <f>ROUND(K316*T2,-2)</f>
        <v>31400</v>
      </c>
      <c r="M316" s="812">
        <f>ROUND(L316*U2,-2)</f>
        <v>32100</v>
      </c>
      <c r="N316" s="812">
        <f>ROUND(M316*V2,-2)</f>
        <v>32800</v>
      </c>
      <c r="O316" s="812">
        <f>ROUND(N316*W2,-2)</f>
        <v>33600</v>
      </c>
      <c r="P316" s="842" t="s">
        <v>4253</v>
      </c>
    </row>
    <row r="317" spans="4:16" ht="12.75" customHeight="1" x14ac:dyDescent="0.25">
      <c r="E317" s="858" t="s">
        <v>4254</v>
      </c>
      <c r="I317" s="812"/>
      <c r="J317" s="812"/>
      <c r="K317" s="812">
        <f>-K316</f>
        <v>-30800</v>
      </c>
      <c r="L317" s="812">
        <f t="shared" ref="L317:N317" si="202">-L316</f>
        <v>-31400</v>
      </c>
      <c r="M317" s="812">
        <f t="shared" si="202"/>
        <v>-32100</v>
      </c>
      <c r="N317" s="812">
        <f t="shared" si="202"/>
        <v>-32800</v>
      </c>
      <c r="O317" s="812">
        <f t="shared" ref="O317" si="203">-O316</f>
        <v>-33600</v>
      </c>
      <c r="P317" s="842"/>
    </row>
    <row r="318" spans="4:16" ht="12.75" customHeight="1" x14ac:dyDescent="0.25">
      <c r="E318" s="973" t="s">
        <v>4255</v>
      </c>
      <c r="I318" s="812"/>
      <c r="J318" s="812"/>
      <c r="K318" s="812"/>
      <c r="L318" s="812"/>
      <c r="M318" s="812"/>
      <c r="N318" s="812"/>
      <c r="O318" s="812"/>
      <c r="P318" s="842"/>
    </row>
    <row r="319" spans="4:16" ht="12.75" customHeight="1" x14ac:dyDescent="0.25">
      <c r="E319" s="858" t="s">
        <v>4256</v>
      </c>
      <c r="I319" s="812"/>
      <c r="J319" s="812"/>
      <c r="K319" s="812">
        <v>124000</v>
      </c>
      <c r="L319" s="934">
        <f t="shared" ref="L319:O323" si="204">ROUND(K319*T$3,0)</f>
        <v>129208</v>
      </c>
      <c r="M319" s="934">
        <f t="shared" si="204"/>
        <v>133989</v>
      </c>
      <c r="N319" s="934">
        <f t="shared" si="204"/>
        <v>138947</v>
      </c>
      <c r="O319" s="934">
        <f t="shared" si="204"/>
        <v>144088</v>
      </c>
      <c r="P319" s="842"/>
    </row>
    <row r="320" spans="4:16" ht="12.75" customHeight="1" x14ac:dyDescent="0.25">
      <c r="E320" s="858" t="s">
        <v>4257</v>
      </c>
      <c r="I320" s="812"/>
      <c r="J320" s="812"/>
      <c r="K320" s="812">
        <v>20000</v>
      </c>
      <c r="L320" s="934">
        <f t="shared" si="204"/>
        <v>20840</v>
      </c>
      <c r="M320" s="934">
        <f t="shared" si="204"/>
        <v>21611</v>
      </c>
      <c r="N320" s="934">
        <f t="shared" si="204"/>
        <v>22411</v>
      </c>
      <c r="O320" s="934">
        <f t="shared" si="204"/>
        <v>23240</v>
      </c>
      <c r="P320" s="842"/>
    </row>
    <row r="321" spans="4:16" ht="12.75" customHeight="1" x14ac:dyDescent="0.25">
      <c r="E321" s="858" t="s">
        <v>4258</v>
      </c>
      <c r="I321" s="812"/>
      <c r="J321" s="812"/>
      <c r="K321" s="812">
        <v>84000</v>
      </c>
      <c r="L321" s="934">
        <f t="shared" si="204"/>
        <v>87528</v>
      </c>
      <c r="M321" s="934">
        <f t="shared" si="204"/>
        <v>90767</v>
      </c>
      <c r="N321" s="934">
        <f t="shared" si="204"/>
        <v>94125</v>
      </c>
      <c r="O321" s="934">
        <f t="shared" si="204"/>
        <v>97608</v>
      </c>
      <c r="P321" s="842"/>
    </row>
    <row r="322" spans="4:16" ht="12.75" customHeight="1" x14ac:dyDescent="0.25">
      <c r="E322" s="858" t="s">
        <v>4259</v>
      </c>
      <c r="I322" s="812"/>
      <c r="J322" s="812"/>
      <c r="K322" s="812">
        <v>22000</v>
      </c>
      <c r="L322" s="934">
        <f t="shared" si="204"/>
        <v>22924</v>
      </c>
      <c r="M322" s="934">
        <f t="shared" si="204"/>
        <v>23772</v>
      </c>
      <c r="N322" s="934">
        <f t="shared" si="204"/>
        <v>24652</v>
      </c>
      <c r="O322" s="934">
        <f t="shared" si="204"/>
        <v>25564</v>
      </c>
      <c r="P322" s="842"/>
    </row>
    <row r="323" spans="4:16" ht="12.75" customHeight="1" x14ac:dyDescent="0.25">
      <c r="E323" s="858" t="s">
        <v>4260</v>
      </c>
      <c r="I323" s="812"/>
      <c r="J323" s="812"/>
      <c r="K323" s="812">
        <v>60000</v>
      </c>
      <c r="L323" s="934">
        <f t="shared" si="204"/>
        <v>62520</v>
      </c>
      <c r="M323" s="934">
        <f t="shared" si="204"/>
        <v>64833</v>
      </c>
      <c r="N323" s="934">
        <f t="shared" si="204"/>
        <v>67232</v>
      </c>
      <c r="O323" s="934">
        <f t="shared" si="204"/>
        <v>69720</v>
      </c>
      <c r="P323" s="842"/>
    </row>
    <row r="324" spans="4:16" ht="12.75" customHeight="1" thickBot="1" x14ac:dyDescent="0.3">
      <c r="E324" s="796" t="str">
        <f>"Totaal "&amp;D310</f>
        <v>Totaal 41100</v>
      </c>
      <c r="I324" s="812"/>
      <c r="J324" s="1935">
        <v>1392086.85</v>
      </c>
      <c r="K324" s="1935">
        <f>SUM(K311:K323)</f>
        <v>1791856.9300000002</v>
      </c>
      <c r="L324" s="1935">
        <f>SUM(L311:L323)</f>
        <v>1755517</v>
      </c>
      <c r="M324" s="1935">
        <f>SUM(M311:M323)</f>
        <v>1820471</v>
      </c>
      <c r="N324" s="1935">
        <f>SUM(N311:N323)</f>
        <v>1887829</v>
      </c>
      <c r="O324" s="1935">
        <f>SUM(O311:O323)</f>
        <v>1957678</v>
      </c>
    </row>
    <row r="325" spans="4:16" ht="12.75" customHeight="1" thickTop="1" x14ac:dyDescent="0.25">
      <c r="E325" s="791"/>
      <c r="I325" s="812"/>
      <c r="J325" s="812"/>
      <c r="K325" s="812"/>
      <c r="L325" s="812"/>
      <c r="M325" s="812"/>
      <c r="N325" s="812"/>
      <c r="O325" s="812"/>
    </row>
    <row r="326" spans="4:16" ht="12.75" customHeight="1" x14ac:dyDescent="0.25">
      <c r="D326" s="929">
        <v>638011</v>
      </c>
      <c r="E326" s="832" t="s">
        <v>4198</v>
      </c>
      <c r="F326" s="930"/>
      <c r="I326" s="812"/>
      <c r="J326" s="966">
        <v>2025</v>
      </c>
      <c r="K326" s="966">
        <v>2026</v>
      </c>
      <c r="L326" s="966">
        <v>2027</v>
      </c>
      <c r="M326" s="966">
        <v>2028</v>
      </c>
      <c r="N326" s="966">
        <v>2029</v>
      </c>
      <c r="O326" s="966">
        <v>2030</v>
      </c>
    </row>
    <row r="327" spans="4:16" ht="12.75" customHeight="1" x14ac:dyDescent="0.25">
      <c r="D327" s="929"/>
      <c r="E327" s="800" t="s">
        <v>533</v>
      </c>
      <c r="F327" s="930"/>
      <c r="I327" s="812"/>
      <c r="J327" s="812"/>
      <c r="K327" s="812"/>
      <c r="L327" s="812"/>
      <c r="M327" s="812"/>
      <c r="N327" s="812"/>
      <c r="O327" s="812"/>
    </row>
    <row r="328" spans="4:16" ht="12.75" customHeight="1" x14ac:dyDescent="0.25">
      <c r="D328" s="793">
        <v>44110</v>
      </c>
      <c r="E328" s="791" t="s">
        <v>4261</v>
      </c>
      <c r="I328" s="812"/>
      <c r="J328" s="812"/>
      <c r="K328" s="812"/>
      <c r="L328" s="812"/>
      <c r="M328" s="812"/>
      <c r="N328" s="812"/>
      <c r="O328" s="812"/>
    </row>
    <row r="329" spans="4:16" ht="12.75" customHeight="1" x14ac:dyDescent="0.25">
      <c r="E329" s="791" t="s">
        <v>4262</v>
      </c>
      <c r="I329" s="812"/>
      <c r="J329" s="812">
        <v>40000</v>
      </c>
      <c r="K329" s="812">
        <v>40000</v>
      </c>
      <c r="L329" s="812">
        <f t="shared" ref="L329:O329" si="205">K329</f>
        <v>40000</v>
      </c>
      <c r="M329" s="812">
        <f t="shared" si="205"/>
        <v>40000</v>
      </c>
      <c r="N329" s="812">
        <f t="shared" si="205"/>
        <v>40000</v>
      </c>
      <c r="O329" s="812">
        <f t="shared" si="205"/>
        <v>40000</v>
      </c>
    </row>
    <row r="330" spans="4:16" ht="12.75" customHeight="1" thickBot="1" x14ac:dyDescent="0.3">
      <c r="E330" s="791" t="str">
        <f>"Totaal "&amp;D328</f>
        <v>Totaal 44110</v>
      </c>
      <c r="I330" s="812"/>
      <c r="J330" s="1935">
        <v>40000</v>
      </c>
      <c r="K330" s="1935">
        <f t="shared" ref="K330" si="206">SUM(K328:K329)</f>
        <v>40000</v>
      </c>
      <c r="L330" s="1935">
        <f t="shared" ref="L330:M330" si="207">SUM(L328:L329)</f>
        <v>40000</v>
      </c>
      <c r="M330" s="1935">
        <f t="shared" si="207"/>
        <v>40000</v>
      </c>
      <c r="N330" s="1935">
        <f t="shared" ref="N330:O330" si="208">SUM(N328:N329)</f>
        <v>40000</v>
      </c>
      <c r="O330" s="1935">
        <f t="shared" si="208"/>
        <v>40000</v>
      </c>
    </row>
    <row r="331" spans="4:16" ht="12.75" customHeight="1" thickTop="1" x14ac:dyDescent="0.25">
      <c r="E331" s="791"/>
      <c r="I331" s="812"/>
    </row>
    <row r="332" spans="4:16" ht="12.75" customHeight="1" x14ac:dyDescent="0.25">
      <c r="D332" s="929">
        <v>638012</v>
      </c>
      <c r="E332" s="832" t="s">
        <v>4199</v>
      </c>
      <c r="F332" s="930"/>
      <c r="I332" s="812"/>
      <c r="J332" s="966">
        <v>2025</v>
      </c>
      <c r="K332" s="966">
        <v>2026</v>
      </c>
      <c r="L332" s="966">
        <v>2027</v>
      </c>
      <c r="M332" s="966">
        <v>2028</v>
      </c>
      <c r="N332" s="966">
        <v>2029</v>
      </c>
      <c r="O332" s="966">
        <v>2030</v>
      </c>
    </row>
    <row r="333" spans="4:16" ht="12.75" customHeight="1" x14ac:dyDescent="0.25">
      <c r="D333" s="929"/>
      <c r="E333" s="800" t="s">
        <v>533</v>
      </c>
      <c r="F333" s="930"/>
      <c r="I333" s="812"/>
      <c r="J333" s="812"/>
      <c r="K333" s="812"/>
      <c r="L333" s="812"/>
      <c r="M333" s="812"/>
      <c r="N333" s="812"/>
      <c r="O333" s="812"/>
    </row>
    <row r="334" spans="4:16" ht="12.75" customHeight="1" x14ac:dyDescent="0.25">
      <c r="D334" s="793">
        <v>44110</v>
      </c>
      <c r="E334" s="791" t="s">
        <v>4263</v>
      </c>
      <c r="I334" s="812"/>
      <c r="J334" s="812">
        <v>25000</v>
      </c>
      <c r="K334" s="812">
        <v>25000</v>
      </c>
      <c r="L334" s="812">
        <f t="shared" ref="L334:O334" si="209">K334</f>
        <v>25000</v>
      </c>
      <c r="M334" s="812">
        <f t="shared" si="209"/>
        <v>25000</v>
      </c>
      <c r="N334" s="812">
        <f t="shared" si="209"/>
        <v>25000</v>
      </c>
      <c r="O334" s="812">
        <f t="shared" si="209"/>
        <v>25000</v>
      </c>
    </row>
    <row r="335" spans="4:16" ht="12.75" customHeight="1" thickBot="1" x14ac:dyDescent="0.3">
      <c r="D335" s="793"/>
      <c r="E335" s="791" t="str">
        <f>"Totaal "&amp;D334</f>
        <v>Totaal 44110</v>
      </c>
      <c r="I335" s="812"/>
      <c r="J335" s="1935">
        <v>25000</v>
      </c>
      <c r="K335" s="1935">
        <f>SUM(K333:K334)</f>
        <v>25000</v>
      </c>
      <c r="L335" s="1935">
        <f>SUM(L333:L334)</f>
        <v>25000</v>
      </c>
      <c r="M335" s="1935">
        <f>SUM(M333:M334)</f>
        <v>25000</v>
      </c>
      <c r="N335" s="1935">
        <f>SUM(N333:N334)</f>
        <v>25000</v>
      </c>
      <c r="O335" s="1935">
        <f>SUM(O333:O334)</f>
        <v>25000</v>
      </c>
    </row>
    <row r="336" spans="4:16" ht="12.75" customHeight="1" thickTop="1" x14ac:dyDescent="0.25">
      <c r="D336" s="793"/>
      <c r="E336" s="791"/>
      <c r="I336" s="812"/>
      <c r="J336" s="812"/>
      <c r="K336" s="812"/>
      <c r="L336" s="812"/>
      <c r="M336" s="812"/>
      <c r="N336" s="812"/>
      <c r="O336" s="812"/>
    </row>
    <row r="337" spans="1:15" ht="12.75" customHeight="1" x14ac:dyDescent="0.25">
      <c r="D337" s="929">
        <v>638013</v>
      </c>
      <c r="E337" s="832" t="s">
        <v>4200</v>
      </c>
      <c r="F337" s="930"/>
      <c r="I337" s="812"/>
      <c r="J337" s="966">
        <v>2025</v>
      </c>
      <c r="K337" s="966">
        <v>2026</v>
      </c>
      <c r="L337" s="966">
        <v>2027</v>
      </c>
      <c r="M337" s="966">
        <v>2028</v>
      </c>
      <c r="N337" s="966">
        <v>2029</v>
      </c>
      <c r="O337" s="966">
        <v>2030</v>
      </c>
    </row>
    <row r="338" spans="1:15" ht="12.75" customHeight="1" x14ac:dyDescent="0.25">
      <c r="D338" s="929"/>
      <c r="E338" s="800" t="s">
        <v>533</v>
      </c>
      <c r="F338" s="930"/>
      <c r="I338" s="812"/>
      <c r="J338" s="800"/>
      <c r="K338" s="800"/>
      <c r="L338" s="800"/>
      <c r="M338" s="800"/>
      <c r="N338" s="800"/>
      <c r="O338" s="800"/>
    </row>
    <row r="339" spans="1:15" ht="12.75" customHeight="1" x14ac:dyDescent="0.25">
      <c r="D339" s="793">
        <v>44310</v>
      </c>
      <c r="E339" s="791" t="s">
        <v>4264</v>
      </c>
      <c r="I339" s="812"/>
      <c r="J339" s="812">
        <v>38500</v>
      </c>
      <c r="K339" s="812">
        <v>38500</v>
      </c>
      <c r="L339" s="812">
        <f t="shared" ref="L339:O339" si="210">K339</f>
        <v>38500</v>
      </c>
      <c r="M339" s="812">
        <f t="shared" si="210"/>
        <v>38500</v>
      </c>
      <c r="N339" s="812">
        <f t="shared" si="210"/>
        <v>38500</v>
      </c>
      <c r="O339" s="812">
        <f t="shared" si="210"/>
        <v>38500</v>
      </c>
    </row>
    <row r="340" spans="1:15" ht="12.75" customHeight="1" thickBot="1" x14ac:dyDescent="0.3">
      <c r="D340" s="831"/>
      <c r="E340" s="791" t="str">
        <f>"Totaal "&amp;D339</f>
        <v>Totaal 44310</v>
      </c>
      <c r="F340" s="831"/>
      <c r="I340" s="812"/>
      <c r="J340" s="1935">
        <v>38500</v>
      </c>
      <c r="K340" s="1935">
        <f t="shared" ref="K340" si="211">SUM(K338:K339)</f>
        <v>38500</v>
      </c>
      <c r="L340" s="1935">
        <f t="shared" ref="L340:M340" si="212">SUM(L338:L339)</f>
        <v>38500</v>
      </c>
      <c r="M340" s="1935">
        <f t="shared" si="212"/>
        <v>38500</v>
      </c>
      <c r="N340" s="1935">
        <f t="shared" ref="N340:O340" si="213">SUM(N338:N339)</f>
        <v>38500</v>
      </c>
      <c r="O340" s="1935">
        <f t="shared" si="213"/>
        <v>38500</v>
      </c>
    </row>
    <row r="341" spans="1:15" ht="12.75" customHeight="1" thickTop="1" x14ac:dyDescent="0.25">
      <c r="D341" s="831"/>
      <c r="E341" s="831"/>
      <c r="F341" s="831"/>
      <c r="I341" s="812"/>
      <c r="J341" s="812"/>
      <c r="K341" s="812"/>
      <c r="L341" s="812"/>
      <c r="M341" s="812"/>
      <c r="N341" s="812"/>
      <c r="O341" s="812"/>
    </row>
    <row r="342" spans="1:15" ht="12.75" customHeight="1" x14ac:dyDescent="0.25">
      <c r="D342" s="929">
        <v>638015</v>
      </c>
      <c r="E342" s="832" t="s">
        <v>4265</v>
      </c>
      <c r="F342" s="930"/>
      <c r="I342" s="812"/>
      <c r="J342" s="966">
        <v>2025</v>
      </c>
      <c r="K342" s="966">
        <v>2026</v>
      </c>
      <c r="L342" s="966">
        <v>2027</v>
      </c>
      <c r="M342" s="966">
        <v>2028</v>
      </c>
      <c r="N342" s="966">
        <v>2029</v>
      </c>
      <c r="O342" s="966">
        <v>2030</v>
      </c>
    </row>
    <row r="343" spans="1:15" ht="12.75" customHeight="1" x14ac:dyDescent="0.25">
      <c r="D343" s="929"/>
      <c r="E343" s="800" t="s">
        <v>533</v>
      </c>
      <c r="F343" s="930"/>
      <c r="I343" s="812"/>
      <c r="J343" s="812"/>
      <c r="K343" s="812"/>
      <c r="L343" s="812"/>
      <c r="M343" s="812"/>
      <c r="N343" s="812"/>
      <c r="O343" s="812"/>
    </row>
    <row r="344" spans="1:15" ht="12.75" customHeight="1" x14ac:dyDescent="0.25">
      <c r="D344" s="793">
        <v>43812</v>
      </c>
      <c r="E344" s="791" t="s">
        <v>4266</v>
      </c>
      <c r="I344" s="812"/>
      <c r="J344" s="812">
        <v>11500</v>
      </c>
      <c r="K344" s="812">
        <f>ROUND(11500*S$2,-2)</f>
        <v>11800</v>
      </c>
      <c r="L344" s="812">
        <f>ROUND(K344*T$2,-2)</f>
        <v>12000</v>
      </c>
      <c r="M344" s="812">
        <f>ROUND(L344*U$2,-2)</f>
        <v>12300</v>
      </c>
      <c r="N344" s="812">
        <f>ROUND(M344*V$2,-2)</f>
        <v>12600</v>
      </c>
      <c r="O344" s="812">
        <f>ROUND(N344*W$2,-2)</f>
        <v>12900</v>
      </c>
    </row>
    <row r="345" spans="1:15" ht="12.75" customHeight="1" thickBot="1" x14ac:dyDescent="0.3">
      <c r="D345" s="791"/>
      <c r="E345" s="791" t="str">
        <f>"Totaal "&amp;D344</f>
        <v>Totaal 43812</v>
      </c>
      <c r="F345" s="857"/>
      <c r="I345" s="812"/>
      <c r="J345" s="1935">
        <v>11500</v>
      </c>
      <c r="K345" s="1935">
        <f>SUM(K343:K344)</f>
        <v>11800</v>
      </c>
      <c r="L345" s="1935">
        <f>SUM(L343:L344)</f>
        <v>12000</v>
      </c>
      <c r="M345" s="1935">
        <f>SUM(M343:M344)</f>
        <v>12300</v>
      </c>
      <c r="N345" s="1935">
        <f>SUM(N343:N344)</f>
        <v>12600</v>
      </c>
      <c r="O345" s="1935">
        <f>SUM(O343:O344)</f>
        <v>12900</v>
      </c>
    </row>
    <row r="346" spans="1:15" ht="12.75" customHeight="1" thickTop="1" x14ac:dyDescent="0.25">
      <c r="D346" s="791"/>
      <c r="E346" s="974"/>
      <c r="F346" s="857"/>
      <c r="I346" s="812"/>
      <c r="J346" s="812"/>
      <c r="K346" s="812"/>
      <c r="L346" s="812"/>
      <c r="M346" s="812"/>
      <c r="N346" s="812"/>
      <c r="O346" s="812"/>
    </row>
    <row r="347" spans="1:15" ht="12.75" customHeight="1" x14ac:dyDescent="0.25">
      <c r="D347" s="834">
        <v>638016</v>
      </c>
      <c r="E347" s="832" t="s">
        <v>4267</v>
      </c>
      <c r="F347" s="813"/>
      <c r="I347" s="812"/>
      <c r="J347" s="966">
        <v>2025</v>
      </c>
      <c r="K347" s="966">
        <v>2026</v>
      </c>
      <c r="L347" s="966">
        <v>2027</v>
      </c>
      <c r="M347" s="966">
        <v>2028</v>
      </c>
      <c r="N347" s="966">
        <v>2029</v>
      </c>
      <c r="O347" s="966">
        <v>2030</v>
      </c>
    </row>
    <row r="348" spans="1:15" ht="12.75" customHeight="1" x14ac:dyDescent="0.25">
      <c r="A348" s="833"/>
      <c r="B348" s="793"/>
      <c r="E348" s="800" t="s">
        <v>533</v>
      </c>
      <c r="I348" s="812"/>
      <c r="J348" s="812"/>
      <c r="K348" s="812"/>
      <c r="L348" s="812"/>
      <c r="M348" s="812"/>
      <c r="N348" s="812"/>
      <c r="O348" s="812"/>
    </row>
    <row r="349" spans="1:15" ht="12.75" customHeight="1" x14ac:dyDescent="0.25">
      <c r="A349" s="833"/>
      <c r="B349" s="793"/>
      <c r="D349" s="793">
        <v>43812</v>
      </c>
      <c r="E349" s="796" t="s">
        <v>4268</v>
      </c>
      <c r="I349" s="812"/>
      <c r="J349" s="812">
        <v>8300</v>
      </c>
      <c r="K349" s="812">
        <f>ROUND(8300*S$2,-2)</f>
        <v>8500</v>
      </c>
      <c r="L349" s="812">
        <f>ROUND(K349*T$2,-2)</f>
        <v>8700</v>
      </c>
      <c r="M349" s="812">
        <f>ROUND(L349*U$2,-2)</f>
        <v>8900</v>
      </c>
      <c r="N349" s="812">
        <f>ROUND(M349*V$2,-2)</f>
        <v>9100</v>
      </c>
      <c r="O349" s="812">
        <f>ROUND(N349*W$2,-2)</f>
        <v>9300</v>
      </c>
    </row>
    <row r="350" spans="1:15" ht="12.75" customHeight="1" thickBot="1" x14ac:dyDescent="0.3">
      <c r="A350" s="833"/>
      <c r="B350" s="793"/>
      <c r="D350" s="793"/>
      <c r="E350" s="796" t="str">
        <f>"Totaal "&amp;D349</f>
        <v>Totaal 43812</v>
      </c>
      <c r="I350" s="812"/>
      <c r="J350" s="1935">
        <v>8300</v>
      </c>
      <c r="K350" s="1935">
        <f t="shared" ref="K350" si="214">SUM(K348:K349)</f>
        <v>8500</v>
      </c>
      <c r="L350" s="1935">
        <f t="shared" ref="L350:M350" si="215">SUM(L348:L349)</f>
        <v>8700</v>
      </c>
      <c r="M350" s="1935">
        <f t="shared" si="215"/>
        <v>8900</v>
      </c>
      <c r="N350" s="1935">
        <f t="shared" ref="N350:O350" si="216">SUM(N348:N349)</f>
        <v>9100</v>
      </c>
      <c r="O350" s="1935">
        <f t="shared" si="216"/>
        <v>9300</v>
      </c>
    </row>
    <row r="351" spans="1:15" ht="12.75" customHeight="1" thickTop="1" x14ac:dyDescent="0.25">
      <c r="A351" s="833"/>
      <c r="B351" s="793"/>
      <c r="D351" s="793"/>
      <c r="E351" s="796"/>
      <c r="I351" s="812"/>
      <c r="J351" s="812"/>
      <c r="K351" s="812"/>
      <c r="L351" s="812"/>
      <c r="M351" s="812"/>
      <c r="N351" s="812"/>
      <c r="O351" s="812"/>
    </row>
    <row r="352" spans="1:15" ht="12.75" customHeight="1" x14ac:dyDescent="0.25">
      <c r="A352" s="833"/>
      <c r="B352" s="793"/>
      <c r="D352" s="834">
        <v>638017</v>
      </c>
      <c r="E352" s="832" t="s">
        <v>4269</v>
      </c>
      <c r="F352" s="813"/>
      <c r="I352" s="812"/>
      <c r="J352" s="966">
        <v>2025</v>
      </c>
      <c r="K352" s="966">
        <v>2026</v>
      </c>
      <c r="L352" s="966">
        <v>2027</v>
      </c>
      <c r="M352" s="966">
        <v>2028</v>
      </c>
      <c r="N352" s="966">
        <v>2029</v>
      </c>
      <c r="O352" s="966">
        <v>2030</v>
      </c>
    </row>
    <row r="353" spans="1:15" ht="12.75" customHeight="1" x14ac:dyDescent="0.25">
      <c r="A353" s="833"/>
      <c r="B353" s="793"/>
      <c r="E353" s="800" t="s">
        <v>533</v>
      </c>
      <c r="I353" s="812"/>
    </row>
    <row r="354" spans="1:15" ht="12.75" customHeight="1" x14ac:dyDescent="0.25">
      <c r="A354" s="833"/>
      <c r="B354" s="793"/>
      <c r="D354" s="793">
        <v>44110</v>
      </c>
      <c r="E354" s="791" t="s">
        <v>4270</v>
      </c>
      <c r="I354" s="812"/>
      <c r="J354" s="812">
        <v>9000</v>
      </c>
      <c r="K354" s="812">
        <v>9000</v>
      </c>
      <c r="L354" s="812">
        <f t="shared" ref="L354:O354" si="217">K354</f>
        <v>9000</v>
      </c>
      <c r="M354" s="812">
        <f t="shared" si="217"/>
        <v>9000</v>
      </c>
      <c r="N354" s="812">
        <f t="shared" si="217"/>
        <v>9000</v>
      </c>
      <c r="O354" s="812">
        <f t="shared" si="217"/>
        <v>9000</v>
      </c>
    </row>
    <row r="355" spans="1:15" ht="12.75" customHeight="1" thickBot="1" x14ac:dyDescent="0.3">
      <c r="A355" s="833"/>
      <c r="B355" s="793"/>
      <c r="D355" s="793"/>
      <c r="E355" s="791" t="str">
        <f>"Totaal "&amp;D354</f>
        <v>Totaal 44110</v>
      </c>
      <c r="I355" s="812"/>
      <c r="J355" s="1935">
        <v>9000</v>
      </c>
      <c r="K355" s="1935">
        <f>SUM(K353:K354)</f>
        <v>9000</v>
      </c>
      <c r="L355" s="1935">
        <f>SUM(L353:L354)</f>
        <v>9000</v>
      </c>
      <c r="M355" s="1935">
        <f>SUM(M353:M354)</f>
        <v>9000</v>
      </c>
      <c r="N355" s="1935">
        <f>SUM(N353:N354)</f>
        <v>9000</v>
      </c>
      <c r="O355" s="1935">
        <f>SUM(O353:O354)</f>
        <v>9000</v>
      </c>
    </row>
    <row r="356" spans="1:15" ht="12.75" customHeight="1" thickTop="1" x14ac:dyDescent="0.25">
      <c r="A356" s="833"/>
      <c r="B356" s="793"/>
      <c r="D356" s="793"/>
      <c r="E356" s="791"/>
      <c r="I356" s="812"/>
      <c r="J356" s="812"/>
      <c r="K356" s="812"/>
      <c r="L356" s="812"/>
      <c r="M356" s="812"/>
      <c r="N356" s="812"/>
      <c r="O356" s="812"/>
    </row>
    <row r="357" spans="1:15" ht="12.75" customHeight="1" x14ac:dyDescent="0.25">
      <c r="D357" s="834">
        <v>638020</v>
      </c>
      <c r="E357" s="832" t="s">
        <v>4271</v>
      </c>
      <c r="F357" s="813"/>
      <c r="I357" s="812"/>
      <c r="J357" s="966">
        <v>2025</v>
      </c>
      <c r="K357" s="966">
        <v>2026</v>
      </c>
      <c r="L357" s="966">
        <v>2027</v>
      </c>
      <c r="M357" s="966">
        <v>2028</v>
      </c>
      <c r="N357" s="966">
        <v>2029</v>
      </c>
      <c r="O357" s="966">
        <v>2030</v>
      </c>
    </row>
    <row r="358" spans="1:15" ht="12.75" customHeight="1" x14ac:dyDescent="0.25">
      <c r="D358" s="834"/>
      <c r="E358" s="800" t="s">
        <v>533</v>
      </c>
      <c r="F358" s="813"/>
      <c r="I358" s="812"/>
      <c r="J358" s="812"/>
      <c r="K358" s="812"/>
      <c r="L358" s="812"/>
      <c r="M358" s="812"/>
      <c r="N358" s="812"/>
      <c r="O358" s="812"/>
    </row>
    <row r="359" spans="1:15" ht="12.75" customHeight="1" x14ac:dyDescent="0.25">
      <c r="D359" s="793">
        <v>44110</v>
      </c>
      <c r="E359" s="858" t="s">
        <v>4272</v>
      </c>
      <c r="H359" s="972"/>
      <c r="J359" s="812">
        <v>315000</v>
      </c>
      <c r="K359" s="812">
        <v>315000</v>
      </c>
      <c r="L359" s="812">
        <f t="shared" ref="L359:O359" si="218">K359</f>
        <v>315000</v>
      </c>
      <c r="M359" s="812">
        <f t="shared" si="218"/>
        <v>315000</v>
      </c>
      <c r="N359" s="812">
        <f t="shared" si="218"/>
        <v>315000</v>
      </c>
      <c r="O359" s="812">
        <f t="shared" si="218"/>
        <v>315000</v>
      </c>
    </row>
    <row r="360" spans="1:15" ht="12.75" customHeight="1" x14ac:dyDescent="0.25">
      <c r="D360" s="793"/>
      <c r="E360" s="925" t="s">
        <v>4158</v>
      </c>
      <c r="H360" s="972"/>
      <c r="J360" s="812"/>
      <c r="K360" s="812">
        <v>-80000</v>
      </c>
      <c r="L360" s="812">
        <v>-80000</v>
      </c>
      <c r="M360" s="812">
        <v>-80000</v>
      </c>
      <c r="N360" s="812">
        <v>-80000</v>
      </c>
      <c r="O360" s="812">
        <v>-80000</v>
      </c>
    </row>
    <row r="361" spans="1:15" ht="12.75" customHeight="1" thickBot="1" x14ac:dyDescent="0.3">
      <c r="D361" s="831"/>
      <c r="E361" s="791" t="str">
        <f>"Totaal "&amp;D359</f>
        <v>Totaal 44110</v>
      </c>
      <c r="F361" s="831"/>
      <c r="H361" s="812"/>
      <c r="J361" s="1935">
        <v>315000</v>
      </c>
      <c r="K361" s="1935">
        <f>SUM(K359:K360)</f>
        <v>235000</v>
      </c>
      <c r="L361" s="1935">
        <f t="shared" ref="L361:N361" si="219">SUM(L359:L360)</f>
        <v>235000</v>
      </c>
      <c r="M361" s="1935">
        <f t="shared" si="219"/>
        <v>235000</v>
      </c>
      <c r="N361" s="1935">
        <f t="shared" si="219"/>
        <v>235000</v>
      </c>
      <c r="O361" s="1935">
        <f t="shared" ref="O361" si="220">SUM(O359:O360)</f>
        <v>235000</v>
      </c>
    </row>
    <row r="362" spans="1:15" ht="12.75" customHeight="1" thickTop="1" x14ac:dyDescent="0.25">
      <c r="D362" s="831"/>
      <c r="E362" s="791"/>
      <c r="F362" s="831"/>
      <c r="H362" s="812"/>
      <c r="J362" s="971"/>
      <c r="K362" s="971"/>
      <c r="L362" s="971"/>
      <c r="M362" s="971"/>
      <c r="N362" s="971"/>
      <c r="O362" s="971"/>
    </row>
    <row r="363" spans="1:15" ht="12.75" customHeight="1" x14ac:dyDescent="0.25">
      <c r="D363" s="834">
        <v>638021</v>
      </c>
      <c r="E363" s="832" t="s">
        <v>4273</v>
      </c>
      <c r="F363" s="813"/>
      <c r="H363" s="812"/>
      <c r="J363" s="966">
        <v>2025</v>
      </c>
      <c r="K363" s="966">
        <v>2026</v>
      </c>
      <c r="L363" s="966">
        <v>2027</v>
      </c>
      <c r="M363" s="966">
        <v>2028</v>
      </c>
      <c r="N363" s="966">
        <v>2029</v>
      </c>
      <c r="O363" s="966">
        <v>2030</v>
      </c>
    </row>
    <row r="364" spans="1:15" ht="12.75" customHeight="1" x14ac:dyDescent="0.25">
      <c r="D364" s="834"/>
      <c r="E364" s="800" t="s">
        <v>533</v>
      </c>
      <c r="F364" s="813"/>
      <c r="H364" s="812"/>
      <c r="J364" s="812"/>
      <c r="K364" s="812"/>
      <c r="L364" s="812"/>
      <c r="M364" s="812"/>
      <c r="N364" s="812"/>
      <c r="O364" s="812"/>
    </row>
    <row r="365" spans="1:15" ht="12.75" customHeight="1" x14ac:dyDescent="0.25">
      <c r="D365" s="793">
        <v>44110</v>
      </c>
      <c r="E365" s="858" t="s">
        <v>4272</v>
      </c>
      <c r="H365" s="972"/>
      <c r="J365" s="812">
        <v>40000</v>
      </c>
      <c r="K365" s="812">
        <v>40000</v>
      </c>
      <c r="L365" s="812">
        <f t="shared" ref="L365:O365" si="221">K365</f>
        <v>40000</v>
      </c>
      <c r="M365" s="812">
        <f t="shared" si="221"/>
        <v>40000</v>
      </c>
      <c r="N365" s="812">
        <f t="shared" si="221"/>
        <v>40000</v>
      </c>
      <c r="O365" s="812">
        <f t="shared" si="221"/>
        <v>40000</v>
      </c>
    </row>
    <row r="366" spans="1:15" ht="12.75" customHeight="1" x14ac:dyDescent="0.25">
      <c r="D366" s="793"/>
      <c r="E366" s="925" t="s">
        <v>4158</v>
      </c>
      <c r="H366" s="972"/>
      <c r="J366" s="812"/>
      <c r="K366" s="812">
        <v>-7000</v>
      </c>
      <c r="L366" s="812">
        <v>-7000</v>
      </c>
      <c r="M366" s="812">
        <v>-7000</v>
      </c>
      <c r="N366" s="812">
        <v>-7000</v>
      </c>
      <c r="O366" s="812">
        <v>-7000</v>
      </c>
    </row>
    <row r="367" spans="1:15" ht="12.75" customHeight="1" thickBot="1" x14ac:dyDescent="0.3">
      <c r="D367" s="831"/>
      <c r="E367" s="791" t="str">
        <f>"Totaal "&amp;D365</f>
        <v>Totaal 44110</v>
      </c>
      <c r="F367" s="831"/>
      <c r="I367" s="812"/>
      <c r="J367" s="1935">
        <v>40000</v>
      </c>
      <c r="K367" s="1935">
        <f>SUM(K364:K366)</f>
        <v>33000</v>
      </c>
      <c r="L367" s="1935">
        <f t="shared" ref="L367:N367" si="222">SUM(L364:L366)</f>
        <v>33000</v>
      </c>
      <c r="M367" s="1935">
        <f t="shared" si="222"/>
        <v>33000</v>
      </c>
      <c r="N367" s="1935">
        <f t="shared" si="222"/>
        <v>33000</v>
      </c>
      <c r="O367" s="1935">
        <f t="shared" ref="O367" si="223">SUM(O364:O366)</f>
        <v>33000</v>
      </c>
    </row>
    <row r="368" spans="1:15" ht="12.75" customHeight="1" thickTop="1" x14ac:dyDescent="0.25">
      <c r="D368" s="831"/>
      <c r="E368" s="791"/>
      <c r="F368" s="831"/>
      <c r="I368" s="812"/>
      <c r="J368" s="971"/>
      <c r="K368" s="971"/>
      <c r="L368" s="971"/>
      <c r="M368" s="971"/>
      <c r="N368" s="971"/>
      <c r="O368" s="971"/>
    </row>
    <row r="369" spans="4:24" ht="12.75" customHeight="1" x14ac:dyDescent="0.25">
      <c r="D369" s="929">
        <v>638022</v>
      </c>
      <c r="E369" s="832" t="s">
        <v>4207</v>
      </c>
      <c r="F369" s="930"/>
      <c r="I369" s="812"/>
      <c r="J369" s="966">
        <v>2025</v>
      </c>
      <c r="K369" s="966">
        <v>2026</v>
      </c>
      <c r="L369" s="966">
        <v>2027</v>
      </c>
      <c r="M369" s="966">
        <v>2028</v>
      </c>
      <c r="N369" s="966">
        <v>2029</v>
      </c>
      <c r="O369" s="966">
        <v>2030</v>
      </c>
    </row>
    <row r="370" spans="4:24" ht="12.75" customHeight="1" x14ac:dyDescent="0.25">
      <c r="D370" s="929"/>
      <c r="E370" s="800" t="s">
        <v>3057</v>
      </c>
      <c r="F370" s="930"/>
      <c r="I370" s="812"/>
      <c r="J370" s="971"/>
      <c r="K370" s="971"/>
      <c r="L370" s="971"/>
      <c r="M370" s="971"/>
      <c r="N370" s="971"/>
      <c r="O370" s="971"/>
    </row>
    <row r="371" spans="4:24" ht="12.75" customHeight="1" x14ac:dyDescent="0.25">
      <c r="D371" s="929"/>
      <c r="E371" s="800" t="s">
        <v>533</v>
      </c>
      <c r="F371" s="930"/>
      <c r="I371" s="812"/>
      <c r="J371" s="971"/>
      <c r="K371" s="971"/>
      <c r="L371" s="971"/>
      <c r="M371" s="971"/>
      <c r="N371" s="971"/>
      <c r="O371" s="971"/>
    </row>
    <row r="372" spans="4:24" ht="12.75" customHeight="1" x14ac:dyDescent="0.25">
      <c r="D372" s="793">
        <v>43812</v>
      </c>
      <c r="E372" s="791" t="s">
        <v>4274</v>
      </c>
      <c r="I372" s="812"/>
      <c r="J372" s="812">
        <v>6100</v>
      </c>
      <c r="K372" s="812">
        <f>ROUND(6100*S$2,-2)</f>
        <v>6300</v>
      </c>
      <c r="L372" s="812">
        <f>ROUND(K372*T$2,-2)</f>
        <v>6400</v>
      </c>
      <c r="M372" s="812">
        <f>ROUND(L372*U$2,-2)</f>
        <v>6500</v>
      </c>
      <c r="N372" s="812">
        <f>ROUND(M372*V$2,-2)</f>
        <v>6600</v>
      </c>
      <c r="O372" s="812">
        <f>ROUND(N372*W$2,-2)</f>
        <v>6800</v>
      </c>
    </row>
    <row r="373" spans="4:24" ht="12.75" customHeight="1" thickBot="1" x14ac:dyDescent="0.3">
      <c r="D373" s="793"/>
      <c r="E373" s="791" t="str">
        <f>"Totaal "&amp;D372</f>
        <v>Totaal 43812</v>
      </c>
      <c r="I373" s="812"/>
      <c r="J373" s="1935">
        <v>6100</v>
      </c>
      <c r="K373" s="1935">
        <f t="shared" ref="K373" si="224">SUM(K371:K372)</f>
        <v>6300</v>
      </c>
      <c r="L373" s="1935">
        <f t="shared" ref="L373:M373" si="225">SUM(L371:L372)</f>
        <v>6400</v>
      </c>
      <c r="M373" s="1935">
        <f t="shared" si="225"/>
        <v>6500</v>
      </c>
      <c r="N373" s="1935">
        <f t="shared" ref="N373:O373" si="226">SUM(N371:N372)</f>
        <v>6600</v>
      </c>
      <c r="O373" s="1935">
        <f t="shared" si="226"/>
        <v>6800</v>
      </c>
    </row>
    <row r="374" spans="4:24" ht="12.75" customHeight="1" thickTop="1" x14ac:dyDescent="0.25">
      <c r="D374" s="793"/>
      <c r="I374" s="812"/>
      <c r="J374" s="812"/>
      <c r="K374" s="812"/>
      <c r="L374" s="812"/>
      <c r="M374" s="812"/>
      <c r="N374" s="812"/>
      <c r="O374" s="812"/>
    </row>
    <row r="375" spans="4:24" ht="12.75" customHeight="1" x14ac:dyDescent="0.25">
      <c r="D375" s="834">
        <v>638023</v>
      </c>
      <c r="E375" s="832" t="s">
        <v>4275</v>
      </c>
      <c r="F375" s="813"/>
      <c r="I375" s="812"/>
      <c r="J375" s="975">
        <v>2025</v>
      </c>
      <c r="K375" s="975">
        <v>2026</v>
      </c>
      <c r="L375" s="975">
        <v>2027</v>
      </c>
      <c r="M375" s="966">
        <v>2028</v>
      </c>
      <c r="N375" s="966">
        <v>2029</v>
      </c>
      <c r="O375" s="966">
        <v>2030</v>
      </c>
      <c r="R375" s="800"/>
      <c r="S375" s="800"/>
      <c r="T375" s="800"/>
      <c r="U375" s="800"/>
      <c r="V375" s="800"/>
      <c r="W375" s="800"/>
      <c r="X375" s="800"/>
    </row>
    <row r="376" spans="4:24" ht="12.75" customHeight="1" x14ac:dyDescent="0.25">
      <c r="D376" s="834"/>
      <c r="E376" s="800" t="s">
        <v>533</v>
      </c>
      <c r="F376" s="813"/>
      <c r="I376" s="812"/>
      <c r="J376" s="812"/>
      <c r="K376" s="812"/>
      <c r="L376" s="812"/>
      <c r="M376" s="812"/>
      <c r="N376" s="812"/>
      <c r="O376" s="812"/>
      <c r="R376" s="800"/>
      <c r="S376" s="800"/>
      <c r="T376" s="800"/>
      <c r="U376" s="800"/>
      <c r="V376" s="800"/>
      <c r="W376" s="800"/>
      <c r="X376" s="800"/>
    </row>
    <row r="377" spans="4:24" ht="12.75" customHeight="1" x14ac:dyDescent="0.25">
      <c r="D377" s="793">
        <v>43410</v>
      </c>
      <c r="E377" s="800" t="s">
        <v>4084</v>
      </c>
      <c r="I377" s="812"/>
      <c r="P377" s="832"/>
      <c r="R377" s="812"/>
      <c r="S377" s="812"/>
      <c r="T377" s="812"/>
      <c r="U377" s="812"/>
      <c r="V377" s="812"/>
      <c r="W377" s="812"/>
      <c r="X377" s="812"/>
    </row>
    <row r="378" spans="4:24" ht="12.75" customHeight="1" x14ac:dyDescent="0.25">
      <c r="E378" s="926" t="s">
        <v>4276</v>
      </c>
      <c r="H378" s="928"/>
      <c r="I378" s="812"/>
      <c r="J378" s="812">
        <v>669000</v>
      </c>
      <c r="K378" s="812">
        <f>ROUND(669000*S$2,-3)</f>
        <v>686000</v>
      </c>
      <c r="L378" s="812">
        <f>ROUND(K378*T$2,-3)</f>
        <v>700000</v>
      </c>
      <c r="M378" s="812">
        <f>ROUND(L378*U$2,-3)</f>
        <v>716000</v>
      </c>
      <c r="N378" s="812">
        <f>ROUND(M378*V$2,-3)</f>
        <v>732000</v>
      </c>
      <c r="O378" s="812">
        <f>ROUND(N378*W$2,-3)</f>
        <v>749000</v>
      </c>
      <c r="P378" s="800"/>
    </row>
    <row r="379" spans="4:24" ht="12.75" customHeight="1" x14ac:dyDescent="0.25">
      <c r="E379" s="925" t="s">
        <v>4158</v>
      </c>
      <c r="H379" s="928"/>
      <c r="I379" s="812"/>
      <c r="J379" s="812"/>
      <c r="K379" s="812">
        <v>110000</v>
      </c>
      <c r="L379" s="812">
        <v>112000</v>
      </c>
      <c r="M379" s="812">
        <v>114000</v>
      </c>
      <c r="N379" s="812">
        <v>117000</v>
      </c>
      <c r="O379" s="2133">
        <v>0</v>
      </c>
      <c r="P379" s="800"/>
    </row>
    <row r="380" spans="4:24" ht="12.75" customHeight="1" thickBot="1" x14ac:dyDescent="0.3">
      <c r="E380" s="791" t="str">
        <f>"Totaal "&amp;D377</f>
        <v>Totaal 43410</v>
      </c>
      <c r="H380" s="928"/>
      <c r="I380" s="812"/>
      <c r="J380" s="1944">
        <v>669000</v>
      </c>
      <c r="K380" s="1944">
        <f>SUM(K378:K379)</f>
        <v>796000</v>
      </c>
      <c r="L380" s="1944">
        <f t="shared" ref="L380:N380" si="227">SUM(L378:L379)</f>
        <v>812000</v>
      </c>
      <c r="M380" s="1944">
        <f t="shared" si="227"/>
        <v>830000</v>
      </c>
      <c r="N380" s="1944">
        <f t="shared" si="227"/>
        <v>849000</v>
      </c>
      <c r="O380" s="1944">
        <f t="shared" ref="O380" si="228">SUM(O378:O379)</f>
        <v>749000</v>
      </c>
    </row>
    <row r="381" spans="4:24" ht="12.75" customHeight="1" thickTop="1" x14ac:dyDescent="0.25">
      <c r="G381" s="923"/>
      <c r="H381" s="928"/>
      <c r="I381" s="924"/>
      <c r="J381" s="924"/>
      <c r="K381" s="924"/>
      <c r="L381" s="924"/>
      <c r="M381" s="924"/>
      <c r="N381" s="924"/>
      <c r="O381" s="924"/>
    </row>
    <row r="382" spans="4:24" ht="12.75" customHeight="1" x14ac:dyDescent="0.25">
      <c r="E382" s="2597" t="s">
        <v>4277</v>
      </c>
      <c r="F382" s="2597"/>
      <c r="G382" s="2597"/>
      <c r="H382" s="2597"/>
      <c r="I382" s="2597"/>
      <c r="J382" s="2597"/>
      <c r="K382" s="2597"/>
      <c r="L382" s="932"/>
      <c r="M382" s="932"/>
      <c r="N382" s="932"/>
      <c r="O382" s="932"/>
    </row>
    <row r="383" spans="4:24" ht="12.75" customHeight="1" x14ac:dyDescent="0.25">
      <c r="E383" s="2597"/>
      <c r="F383" s="2597"/>
      <c r="G383" s="2597"/>
      <c r="H383" s="2597"/>
      <c r="I383" s="2597"/>
      <c r="J383" s="2597"/>
      <c r="K383" s="2597"/>
      <c r="L383" s="932"/>
      <c r="M383" s="932"/>
      <c r="N383" s="932"/>
      <c r="O383" s="932"/>
    </row>
    <row r="384" spans="4:24" ht="12.75" customHeight="1" x14ac:dyDescent="0.25">
      <c r="E384" s="2597"/>
      <c r="F384" s="2597"/>
      <c r="G384" s="2597"/>
      <c r="H384" s="2597"/>
      <c r="I384" s="2597"/>
      <c r="J384" s="2597"/>
      <c r="K384" s="2597"/>
      <c r="L384" s="932"/>
      <c r="M384" s="932"/>
      <c r="N384" s="932"/>
      <c r="O384" s="932"/>
    </row>
    <row r="385" spans="4:15" ht="12.75" customHeight="1" x14ac:dyDescent="0.25">
      <c r="E385" s="2597"/>
      <c r="F385" s="2597"/>
      <c r="G385" s="2597"/>
      <c r="H385" s="2597"/>
      <c r="I385" s="2597"/>
      <c r="J385" s="2597"/>
      <c r="K385" s="2597"/>
      <c r="L385" s="932"/>
      <c r="M385" s="932"/>
      <c r="N385" s="932"/>
      <c r="O385" s="932"/>
    </row>
    <row r="386" spans="4:15" ht="12.75" customHeight="1" x14ac:dyDescent="0.25">
      <c r="G386" s="923"/>
      <c r="H386" s="928"/>
      <c r="I386" s="924"/>
      <c r="J386" s="924"/>
      <c r="K386" s="924"/>
      <c r="L386" s="924"/>
      <c r="M386" s="924"/>
      <c r="N386" s="924"/>
      <c r="O386" s="924"/>
    </row>
    <row r="387" spans="4:15" ht="12.75" customHeight="1" x14ac:dyDescent="0.25">
      <c r="D387" s="834">
        <v>638024</v>
      </c>
      <c r="E387" s="832" t="s">
        <v>4209</v>
      </c>
      <c r="F387" s="813"/>
      <c r="H387" s="928"/>
      <c r="I387" s="924"/>
      <c r="J387" s="975">
        <v>2025</v>
      </c>
      <c r="K387" s="975">
        <v>2026</v>
      </c>
      <c r="L387" s="975">
        <v>2027</v>
      </c>
      <c r="M387" s="966">
        <v>2028</v>
      </c>
      <c r="N387" s="966">
        <v>2029</v>
      </c>
      <c r="O387" s="966">
        <v>2030</v>
      </c>
    </row>
    <row r="388" spans="4:15" ht="12.75" customHeight="1" x14ac:dyDescent="0.25">
      <c r="D388" s="834"/>
      <c r="E388" s="800" t="s">
        <v>533</v>
      </c>
      <c r="F388" s="813"/>
      <c r="H388" s="928"/>
      <c r="I388" s="924"/>
    </row>
    <row r="389" spans="4:15" ht="12.75" customHeight="1" x14ac:dyDescent="0.25">
      <c r="D389" s="791"/>
      <c r="E389" s="800" t="s">
        <v>4084</v>
      </c>
      <c r="F389" s="857"/>
      <c r="H389" s="928"/>
      <c r="I389" s="924"/>
    </row>
    <row r="390" spans="4:15" ht="12.75" customHeight="1" x14ac:dyDescent="0.25">
      <c r="D390" s="793">
        <v>43410</v>
      </c>
      <c r="E390" s="791" t="s">
        <v>4209</v>
      </c>
      <c r="H390" s="923"/>
      <c r="I390" s="924"/>
      <c r="J390" s="812">
        <v>102800</v>
      </c>
      <c r="K390" s="812">
        <f>ROUND(102800*S$2,-2)</f>
        <v>105500</v>
      </c>
      <c r="L390" s="812">
        <f>ROUND(K390*T$2,-2)</f>
        <v>107700</v>
      </c>
      <c r="M390" s="812">
        <f>ROUND(L390*U$2,-2)</f>
        <v>110200</v>
      </c>
      <c r="N390" s="812">
        <f>ROUND(M390*V$2,-2)</f>
        <v>112700</v>
      </c>
      <c r="O390" s="812">
        <f>ROUND(N390*W$2,-2)</f>
        <v>115300</v>
      </c>
    </row>
    <row r="391" spans="4:15" ht="12.75" customHeight="1" x14ac:dyDescent="0.25">
      <c r="D391" s="793"/>
      <c r="E391" s="925" t="s">
        <v>4158</v>
      </c>
      <c r="H391" s="923"/>
      <c r="I391" s="924"/>
      <c r="J391" s="812"/>
      <c r="K391" s="812">
        <v>-84000</v>
      </c>
      <c r="L391" s="812">
        <v>-86000</v>
      </c>
      <c r="M391" s="812">
        <v>-88000</v>
      </c>
      <c r="N391" s="812">
        <v>-90000</v>
      </c>
      <c r="O391" s="934">
        <v>-92000</v>
      </c>
    </row>
    <row r="392" spans="4:15" ht="12.75" customHeight="1" thickBot="1" x14ac:dyDescent="0.3">
      <c r="D392" s="793"/>
      <c r="E392" s="791" t="str">
        <f>"Totaal "&amp;D390</f>
        <v>Totaal 43410</v>
      </c>
      <c r="H392" s="923"/>
      <c r="I392" s="924"/>
      <c r="J392" s="1935">
        <v>102800</v>
      </c>
      <c r="K392" s="1935">
        <f>SUM(K389:K391)</f>
        <v>21500</v>
      </c>
      <c r="L392" s="1935">
        <f t="shared" ref="L392:N392" si="229">SUM(L389:L391)</f>
        <v>21700</v>
      </c>
      <c r="M392" s="1935">
        <f t="shared" si="229"/>
        <v>22200</v>
      </c>
      <c r="N392" s="1935">
        <f t="shared" si="229"/>
        <v>22700</v>
      </c>
      <c r="O392" s="1935">
        <f t="shared" ref="O392" si="230">SUM(O389:O391)</f>
        <v>23300</v>
      </c>
    </row>
    <row r="393" spans="4:15" ht="12.75" customHeight="1" thickTop="1" x14ac:dyDescent="0.25">
      <c r="D393" s="793"/>
      <c r="G393" s="923"/>
      <c r="H393" s="923"/>
      <c r="I393" s="812"/>
      <c r="J393" s="812"/>
      <c r="K393" s="812"/>
      <c r="L393" s="812"/>
      <c r="M393" s="812"/>
      <c r="N393" s="812"/>
      <c r="O393" s="812"/>
    </row>
    <row r="394" spans="4:15" ht="12.75" customHeight="1" x14ac:dyDescent="0.25">
      <c r="D394" s="793"/>
      <c r="E394" s="2604" t="s">
        <v>4278</v>
      </c>
      <c r="F394" s="2604"/>
      <c r="G394" s="2604"/>
      <c r="H394" s="2604"/>
      <c r="I394" s="2604"/>
      <c r="J394" s="2604"/>
      <c r="K394" s="2604"/>
      <c r="L394" s="2604"/>
      <c r="M394" s="2604"/>
      <c r="N394" s="932"/>
      <c r="O394" s="932"/>
    </row>
    <row r="395" spans="4:15" ht="12.75" customHeight="1" x14ac:dyDescent="0.25">
      <c r="D395" s="793"/>
      <c r="E395" s="2604"/>
      <c r="F395" s="2604"/>
      <c r="G395" s="2604"/>
      <c r="H395" s="2604"/>
      <c r="I395" s="2604"/>
      <c r="J395" s="2604"/>
      <c r="K395" s="2604"/>
      <c r="L395" s="2604"/>
      <c r="M395" s="2604"/>
      <c r="N395" s="932"/>
      <c r="O395" s="932"/>
    </row>
    <row r="396" spans="4:15" ht="12.75" customHeight="1" x14ac:dyDescent="0.25">
      <c r="E396" s="2604"/>
      <c r="F396" s="2604"/>
      <c r="G396" s="2604"/>
      <c r="H396" s="2604"/>
      <c r="I396" s="2604"/>
      <c r="J396" s="2604"/>
      <c r="K396" s="2604"/>
      <c r="L396" s="2604"/>
      <c r="M396" s="2604"/>
      <c r="N396" s="932"/>
      <c r="O396" s="932"/>
    </row>
    <row r="397" spans="4:15" ht="12.75" customHeight="1" x14ac:dyDescent="0.25">
      <c r="E397" s="2604"/>
      <c r="F397" s="2604"/>
      <c r="G397" s="2604"/>
      <c r="H397" s="2604"/>
      <c r="I397" s="2604"/>
      <c r="J397" s="2604"/>
      <c r="K397" s="2604"/>
      <c r="L397" s="2604"/>
      <c r="M397" s="2604"/>
      <c r="N397" s="932"/>
      <c r="O397" s="932"/>
    </row>
    <row r="398" spans="4:15" ht="12.75" customHeight="1" x14ac:dyDescent="0.25">
      <c r="E398" s="918"/>
      <c r="F398" s="918"/>
      <c r="G398" s="918"/>
      <c r="H398" s="918"/>
      <c r="I398" s="918"/>
      <c r="J398" s="918"/>
      <c r="K398" s="918"/>
      <c r="L398" s="918"/>
      <c r="M398" s="932"/>
      <c r="N398" s="932"/>
      <c r="O398" s="932"/>
    </row>
    <row r="399" spans="4:15" ht="12.75" customHeight="1" x14ac:dyDescent="0.25">
      <c r="D399" s="834">
        <v>638025</v>
      </c>
      <c r="E399" s="832" t="s">
        <v>4210</v>
      </c>
      <c r="F399" s="813"/>
      <c r="I399" s="932"/>
      <c r="J399" s="975">
        <v>2025</v>
      </c>
      <c r="K399" s="975">
        <v>2026</v>
      </c>
      <c r="L399" s="975">
        <v>2027</v>
      </c>
      <c r="M399" s="966">
        <v>2028</v>
      </c>
      <c r="N399" s="966">
        <v>2029</v>
      </c>
      <c r="O399" s="966">
        <v>2030</v>
      </c>
    </row>
    <row r="400" spans="4:15" ht="12.75" customHeight="1" x14ac:dyDescent="0.25">
      <c r="D400" s="834"/>
      <c r="E400" s="800" t="s">
        <v>533</v>
      </c>
      <c r="F400" s="813"/>
      <c r="I400" s="932"/>
    </row>
    <row r="401" spans="4:19" ht="12.75" customHeight="1" x14ac:dyDescent="0.25">
      <c r="D401" s="791"/>
      <c r="E401" s="800" t="s">
        <v>4084</v>
      </c>
      <c r="F401" s="857"/>
      <c r="I401" s="932"/>
    </row>
    <row r="402" spans="4:19" ht="12.75" customHeight="1" x14ac:dyDescent="0.25">
      <c r="D402" s="793">
        <v>43410</v>
      </c>
      <c r="E402" s="791" t="s">
        <v>4210</v>
      </c>
      <c r="I402" s="932"/>
      <c r="J402" s="812">
        <v>30000</v>
      </c>
      <c r="K402" s="812">
        <v>30000</v>
      </c>
      <c r="L402" s="812">
        <f t="shared" ref="L402:O402" si="231">K402</f>
        <v>30000</v>
      </c>
      <c r="M402" s="812">
        <f t="shared" si="231"/>
        <v>30000</v>
      </c>
      <c r="N402" s="812">
        <f t="shared" si="231"/>
        <v>30000</v>
      </c>
      <c r="O402" s="812">
        <f t="shared" si="231"/>
        <v>30000</v>
      </c>
    </row>
    <row r="403" spans="4:19" ht="12.75" customHeight="1" thickBot="1" x14ac:dyDescent="0.3">
      <c r="D403" s="793"/>
      <c r="E403" s="791" t="str">
        <f>"Totaal "&amp;D402</f>
        <v>Totaal 43410</v>
      </c>
      <c r="I403" s="932"/>
      <c r="J403" s="1935">
        <v>30000</v>
      </c>
      <c r="K403" s="1935">
        <f>SUM(K401:K402)</f>
        <v>30000</v>
      </c>
      <c r="L403" s="1935">
        <f>SUM(L401:L402)</f>
        <v>30000</v>
      </c>
      <c r="M403" s="1935">
        <f>SUM(M401:M402)</f>
        <v>30000</v>
      </c>
      <c r="N403" s="1935">
        <f>SUM(N401:N402)</f>
        <v>30000</v>
      </c>
      <c r="O403" s="1935">
        <f>SUM(O401:O402)</f>
        <v>30000</v>
      </c>
    </row>
    <row r="404" spans="4:19" ht="12.75" customHeight="1" thickTop="1" x14ac:dyDescent="0.25">
      <c r="D404" s="793"/>
      <c r="I404" s="932"/>
      <c r="J404" s="812"/>
      <c r="K404" s="812"/>
      <c r="L404" s="812"/>
      <c r="M404" s="812"/>
      <c r="N404" s="812"/>
      <c r="O404" s="812"/>
    </row>
    <row r="405" spans="4:19" ht="12.75" customHeight="1" x14ac:dyDescent="0.25">
      <c r="E405" s="2603" t="s">
        <v>4279</v>
      </c>
      <c r="F405" s="2603"/>
      <c r="G405" s="2603"/>
      <c r="H405" s="2603"/>
      <c r="I405" s="2603"/>
      <c r="J405" s="2603"/>
      <c r="K405" s="2603"/>
      <c r="L405" s="932"/>
      <c r="M405" s="932"/>
      <c r="N405" s="932"/>
      <c r="O405" s="932"/>
    </row>
    <row r="406" spans="4:19" ht="12.75" customHeight="1" x14ac:dyDescent="0.25">
      <c r="E406" s="2603"/>
      <c r="F406" s="2603"/>
      <c r="G406" s="2603"/>
      <c r="H406" s="2603"/>
      <c r="I406" s="2603"/>
      <c r="J406" s="2603"/>
      <c r="K406" s="2603"/>
      <c r="L406" s="932"/>
      <c r="M406" s="932"/>
      <c r="N406" s="932"/>
      <c r="O406" s="932"/>
    </row>
    <row r="407" spans="4:19" ht="12.75" customHeight="1" x14ac:dyDescent="0.25">
      <c r="G407" s="932"/>
      <c r="H407" s="932"/>
      <c r="I407" s="928"/>
      <c r="J407" s="928"/>
      <c r="K407" s="928"/>
      <c r="L407" s="928"/>
      <c r="M407" s="928"/>
      <c r="N407" s="928"/>
      <c r="O407" s="928"/>
    </row>
    <row r="408" spans="4:19" ht="12.75" customHeight="1" x14ac:dyDescent="0.25">
      <c r="D408" s="834">
        <v>638026</v>
      </c>
      <c r="E408" s="832" t="s">
        <v>4211</v>
      </c>
      <c r="F408" s="813"/>
      <c r="I408" s="928"/>
      <c r="J408" s="975">
        <v>2025</v>
      </c>
      <c r="K408" s="975">
        <v>2026</v>
      </c>
      <c r="L408" s="975">
        <v>2027</v>
      </c>
      <c r="M408" s="966">
        <v>2028</v>
      </c>
      <c r="N408" s="966">
        <v>2029</v>
      </c>
      <c r="O408" s="966">
        <v>2030</v>
      </c>
    </row>
    <row r="409" spans="4:19" ht="12.75" customHeight="1" x14ac:dyDescent="0.25">
      <c r="D409" s="834"/>
      <c r="E409" s="800" t="s">
        <v>533</v>
      </c>
      <c r="F409" s="813"/>
      <c r="I409" s="928"/>
    </row>
    <row r="410" spans="4:19" ht="12.75" customHeight="1" x14ac:dyDescent="0.25">
      <c r="D410" s="793"/>
      <c r="E410" s="800" t="s">
        <v>4084</v>
      </c>
      <c r="I410" s="928"/>
    </row>
    <row r="411" spans="4:19" ht="12.75" customHeight="1" x14ac:dyDescent="0.25">
      <c r="D411" s="793">
        <v>44620</v>
      </c>
      <c r="E411" s="796" t="s">
        <v>4280</v>
      </c>
      <c r="I411" s="928"/>
      <c r="J411" s="812">
        <v>233400</v>
      </c>
      <c r="K411" s="812">
        <f>ROUND(233400*S$2,-2)</f>
        <v>239500</v>
      </c>
      <c r="L411" s="812">
        <f>ROUND(K411*T$2,-2)</f>
        <v>244500</v>
      </c>
      <c r="M411" s="812">
        <f>ROUND(L411*U$2,-2)</f>
        <v>250100</v>
      </c>
      <c r="N411" s="812">
        <f>ROUND(M411*V$2,-2)</f>
        <v>255900</v>
      </c>
      <c r="O411" s="812">
        <f>ROUND(N411*W$2,-2)</f>
        <v>261800</v>
      </c>
      <c r="Q411" s="812"/>
      <c r="R411" s="812"/>
      <c r="S411" s="812"/>
    </row>
    <row r="412" spans="4:19" ht="12.75" customHeight="1" thickBot="1" x14ac:dyDescent="0.3">
      <c r="E412" s="923" t="str">
        <f>"Totaal "&amp;D411</f>
        <v>Totaal 44620</v>
      </c>
      <c r="I412" s="928"/>
      <c r="J412" s="1935">
        <v>233400</v>
      </c>
      <c r="K412" s="1935">
        <f>SUM(K410:K411)</f>
        <v>239500</v>
      </c>
      <c r="L412" s="1935">
        <f>SUM(L410:L411)</f>
        <v>244500</v>
      </c>
      <c r="M412" s="1935">
        <f>SUM(M410:M411)</f>
        <v>250100</v>
      </c>
      <c r="N412" s="1935">
        <f>SUM(N410:N411)</f>
        <v>255900</v>
      </c>
      <c r="O412" s="1935">
        <f>SUM(O410:O411)</f>
        <v>261800</v>
      </c>
    </row>
    <row r="413" spans="4:19" ht="12.75" customHeight="1" thickTop="1" x14ac:dyDescent="0.25">
      <c r="E413" s="791"/>
      <c r="I413" s="928"/>
      <c r="J413" s="812"/>
      <c r="K413" s="812"/>
      <c r="L413" s="812"/>
      <c r="M413" s="812"/>
      <c r="N413" s="812"/>
      <c r="O413" s="812"/>
    </row>
    <row r="414" spans="4:19" ht="12.75" customHeight="1" x14ac:dyDescent="0.25">
      <c r="E414" s="2597" t="s">
        <v>4281</v>
      </c>
      <c r="F414" s="2597"/>
      <c r="G414" s="2597"/>
      <c r="H414" s="2597"/>
      <c r="I414" s="2597"/>
      <c r="J414" s="2597"/>
      <c r="K414" s="2597"/>
      <c r="L414" s="932"/>
      <c r="M414" s="932"/>
      <c r="N414" s="932"/>
      <c r="O414" s="932"/>
    </row>
    <row r="415" spans="4:19" ht="12.75" customHeight="1" x14ac:dyDescent="0.25">
      <c r="E415" s="2597"/>
      <c r="F415" s="2597"/>
      <c r="G415" s="2597"/>
      <c r="H415" s="2597"/>
      <c r="I415" s="2597"/>
      <c r="J415" s="2597"/>
      <c r="K415" s="2597"/>
      <c r="L415" s="932"/>
      <c r="M415" s="932"/>
      <c r="N415" s="932"/>
      <c r="O415" s="932"/>
    </row>
    <row r="416" spans="4:19" ht="12.75" customHeight="1" x14ac:dyDescent="0.25">
      <c r="E416" s="918"/>
      <c r="F416" s="918"/>
      <c r="G416" s="918"/>
      <c r="H416" s="918"/>
      <c r="I416" s="918"/>
      <c r="J416" s="932"/>
      <c r="K416" s="932"/>
      <c r="L416" s="932"/>
      <c r="M416" s="932"/>
      <c r="N416" s="932"/>
      <c r="O416" s="932"/>
    </row>
    <row r="417" spans="4:21" ht="12.75" customHeight="1" x14ac:dyDescent="0.25">
      <c r="D417" s="834">
        <v>638029</v>
      </c>
      <c r="E417" s="832" t="s">
        <v>4214</v>
      </c>
      <c r="F417" s="813"/>
      <c r="I417" s="812"/>
      <c r="J417" s="966">
        <v>2025</v>
      </c>
      <c r="K417" s="966">
        <v>2026</v>
      </c>
      <c r="L417" s="966">
        <v>2027</v>
      </c>
      <c r="M417" s="966">
        <v>2028</v>
      </c>
      <c r="N417" s="966">
        <v>2029</v>
      </c>
      <c r="O417" s="966">
        <v>2030</v>
      </c>
    </row>
    <row r="418" spans="4:21" ht="12.75" customHeight="1" x14ac:dyDescent="0.25">
      <c r="E418" s="800" t="s">
        <v>533</v>
      </c>
      <c r="I418" s="812"/>
    </row>
    <row r="419" spans="4:21" ht="12.75" customHeight="1" x14ac:dyDescent="0.25">
      <c r="D419" s="839">
        <v>44360</v>
      </c>
      <c r="E419" s="2595" t="s">
        <v>4282</v>
      </c>
      <c r="F419" s="2595"/>
      <c r="G419" s="2595"/>
      <c r="H419" s="2595"/>
      <c r="I419" s="2595"/>
      <c r="J419" s="812">
        <v>11800</v>
      </c>
      <c r="K419" s="812">
        <f>ROUND(11800*S$2,-2)</f>
        <v>12100</v>
      </c>
      <c r="L419" s="812">
        <f>ROUND(K419*T$2,-2)</f>
        <v>12400</v>
      </c>
      <c r="M419" s="812">
        <f>ROUND(L419*U$2,-2)</f>
        <v>12700</v>
      </c>
      <c r="N419" s="812">
        <f>ROUND(M419*V$2,-2)</f>
        <v>13000</v>
      </c>
      <c r="O419" s="812">
        <f>ROUND(N419*W$2,-2)</f>
        <v>13300</v>
      </c>
      <c r="P419" s="2596"/>
      <c r="Q419" s="2596"/>
      <c r="R419" s="2596"/>
      <c r="S419" s="2596"/>
      <c r="T419" s="2596"/>
      <c r="U419" s="2596"/>
    </row>
    <row r="420" spans="4:21" ht="12.75" customHeight="1" x14ac:dyDescent="0.25">
      <c r="D420" s="839"/>
      <c r="E420" s="2595"/>
      <c r="F420" s="2595"/>
      <c r="G420" s="2595"/>
      <c r="H420" s="2595"/>
      <c r="I420" s="2595"/>
      <c r="J420" s="812"/>
      <c r="K420" s="812"/>
      <c r="L420" s="812"/>
      <c r="M420" s="812"/>
      <c r="N420" s="812"/>
      <c r="O420" s="812"/>
      <c r="P420" s="2596"/>
      <c r="Q420" s="2596"/>
      <c r="R420" s="2596"/>
      <c r="S420" s="2596"/>
      <c r="T420" s="2596"/>
      <c r="U420" s="2596"/>
    </row>
    <row r="421" spans="4:21" ht="12.75" customHeight="1" thickBot="1" x14ac:dyDescent="0.3">
      <c r="D421" s="793"/>
      <c r="E421" s="923" t="str">
        <f>"Totaal "&amp;D419</f>
        <v>Totaal 44360</v>
      </c>
      <c r="H421" s="918"/>
      <c r="I421" s="812"/>
      <c r="J421" s="1935">
        <v>11800</v>
      </c>
      <c r="K421" s="1935">
        <f t="shared" ref="K421" si="232">SUM(K418:K419)</f>
        <v>12100</v>
      </c>
      <c r="L421" s="1935">
        <f t="shared" ref="L421:M421" si="233">SUM(L418:L419)</f>
        <v>12400</v>
      </c>
      <c r="M421" s="1935">
        <f t="shared" si="233"/>
        <v>12700</v>
      </c>
      <c r="N421" s="1935">
        <f t="shared" ref="N421:O421" si="234">SUM(N418:N419)</f>
        <v>13000</v>
      </c>
      <c r="O421" s="1935">
        <f t="shared" si="234"/>
        <v>13300</v>
      </c>
      <c r="P421" s="2596"/>
      <c r="Q421" s="2596"/>
      <c r="R421" s="2596"/>
      <c r="S421" s="2596"/>
      <c r="T421" s="2596"/>
      <c r="U421" s="2596"/>
    </row>
    <row r="422" spans="4:21" ht="12.75" customHeight="1" thickTop="1" x14ac:dyDescent="0.25">
      <c r="D422" s="793"/>
      <c r="G422" s="918"/>
      <c r="H422" s="918"/>
      <c r="I422" s="812"/>
      <c r="J422" s="812"/>
      <c r="K422" s="812"/>
      <c r="L422" s="812"/>
      <c r="M422" s="812"/>
      <c r="N422" s="812"/>
      <c r="O422" s="812"/>
      <c r="P422" s="2596"/>
      <c r="Q422" s="2596"/>
      <c r="R422" s="2596"/>
      <c r="S422" s="2596"/>
      <c r="T422" s="2596"/>
      <c r="U422" s="2596"/>
    </row>
    <row r="423" spans="4:21" ht="12.75" customHeight="1" x14ac:dyDescent="0.25">
      <c r="D423" s="834">
        <v>638027</v>
      </c>
      <c r="E423" s="832" t="s">
        <v>4283</v>
      </c>
      <c r="F423" s="813"/>
      <c r="I423" s="812"/>
      <c r="J423" s="966">
        <v>2025</v>
      </c>
      <c r="K423" s="966">
        <v>2026</v>
      </c>
      <c r="L423" s="966">
        <v>2027</v>
      </c>
      <c r="M423" s="966">
        <v>2028</v>
      </c>
      <c r="N423" s="966">
        <v>2029</v>
      </c>
      <c r="O423" s="966">
        <v>2030</v>
      </c>
    </row>
    <row r="424" spans="4:21" ht="12.75" customHeight="1" x14ac:dyDescent="0.25">
      <c r="D424" s="834"/>
      <c r="E424" s="832"/>
      <c r="F424" s="813"/>
      <c r="I424" s="812"/>
      <c r="J424" s="976"/>
      <c r="K424" s="976"/>
      <c r="L424" s="976"/>
      <c r="M424" s="976"/>
      <c r="N424" s="976"/>
      <c r="O424" s="976"/>
    </row>
    <row r="425" spans="4:21" ht="12.75" customHeight="1" x14ac:dyDescent="0.25">
      <c r="D425" s="793"/>
      <c r="E425" s="977" t="s">
        <v>533</v>
      </c>
      <c r="I425" s="812"/>
      <c r="J425" s="812"/>
      <c r="K425" s="812"/>
      <c r="L425" s="812"/>
      <c r="M425" s="812"/>
      <c r="N425" s="812"/>
      <c r="O425" s="812"/>
    </row>
    <row r="426" spans="4:21" ht="12.75" customHeight="1" x14ac:dyDescent="0.25">
      <c r="D426" s="793">
        <v>43812</v>
      </c>
      <c r="E426" s="858" t="s">
        <v>4284</v>
      </c>
      <c r="I426" s="812"/>
      <c r="J426" s="812">
        <v>252837</v>
      </c>
      <c r="K426" s="812">
        <f>ROUND(252837*S$2,-2)</f>
        <v>259400</v>
      </c>
      <c r="L426" s="812">
        <f t="shared" ref="L426" si="235">ROUND(K426*T$2,-2)</f>
        <v>264800</v>
      </c>
      <c r="M426" s="812">
        <f t="shared" ref="M426" si="236">ROUND(L426*U$2,-2)</f>
        <v>270900</v>
      </c>
      <c r="N426" s="812">
        <f t="shared" ref="N426:O426" si="237">ROUND(M426*V$2,-2)</f>
        <v>277100</v>
      </c>
      <c r="O426" s="812">
        <f t="shared" si="237"/>
        <v>283500</v>
      </c>
    </row>
    <row r="427" spans="4:21" ht="12.75" customHeight="1" x14ac:dyDescent="0.25">
      <c r="D427" s="793"/>
      <c r="E427" s="925" t="s">
        <v>4228</v>
      </c>
      <c r="F427" s="923"/>
      <c r="G427" s="812"/>
      <c r="H427" s="812"/>
      <c r="J427" s="812">
        <v>50000</v>
      </c>
      <c r="K427" s="812">
        <v>50000</v>
      </c>
      <c r="L427" s="812">
        <v>50000</v>
      </c>
      <c r="M427" s="812">
        <v>50000</v>
      </c>
      <c r="N427" s="812">
        <v>50000</v>
      </c>
      <c r="O427" s="812">
        <v>50000</v>
      </c>
    </row>
    <row r="428" spans="4:21" ht="12.75" customHeight="1" thickBot="1" x14ac:dyDescent="0.3">
      <c r="E428" s="923" t="str">
        <f>"Totaal "&amp;D426</f>
        <v>Totaal 43812</v>
      </c>
      <c r="I428" s="812"/>
      <c r="J428" s="1935">
        <v>302837</v>
      </c>
      <c r="K428" s="1935">
        <f>SUM(K426:K427)</f>
        <v>309400</v>
      </c>
      <c r="L428" s="1935">
        <f t="shared" ref="L428:N428" si="238">SUM(L426:L427)</f>
        <v>314800</v>
      </c>
      <c r="M428" s="1935">
        <f t="shared" si="238"/>
        <v>320900</v>
      </c>
      <c r="N428" s="1935">
        <f t="shared" si="238"/>
        <v>327100</v>
      </c>
      <c r="O428" s="1935">
        <f t="shared" ref="O428" si="239">SUM(O426:O427)</f>
        <v>333500</v>
      </c>
    </row>
    <row r="429" spans="4:21" ht="12.75" customHeight="1" thickTop="1" x14ac:dyDescent="0.25">
      <c r="E429" s="796"/>
      <c r="I429" s="812"/>
      <c r="J429" s="812"/>
      <c r="K429" s="812"/>
      <c r="L429" s="812"/>
      <c r="M429" s="812"/>
      <c r="N429" s="812"/>
      <c r="O429" s="812"/>
    </row>
    <row r="430" spans="4:21" ht="12.75" customHeight="1" x14ac:dyDescent="0.25">
      <c r="E430" s="796" t="s">
        <v>4285</v>
      </c>
      <c r="I430" s="812"/>
      <c r="J430" s="812"/>
      <c r="K430" s="812"/>
      <c r="L430" s="812"/>
      <c r="M430" s="812"/>
      <c r="N430" s="812"/>
      <c r="O430" s="812"/>
    </row>
    <row r="431" spans="4:21" ht="12.75" customHeight="1" x14ac:dyDescent="0.25">
      <c r="E431" s="796" t="s">
        <v>4286</v>
      </c>
      <c r="I431" s="812"/>
      <c r="J431" s="812">
        <v>125000</v>
      </c>
      <c r="K431" s="812">
        <v>125000</v>
      </c>
      <c r="L431" s="812">
        <v>125000</v>
      </c>
      <c r="M431" s="812">
        <v>125000</v>
      </c>
      <c r="N431" s="812">
        <v>125000</v>
      </c>
      <c r="O431" s="812">
        <v>125000</v>
      </c>
    </row>
    <row r="432" spans="4:21" ht="12.75" customHeight="1" x14ac:dyDescent="0.25">
      <c r="E432" s="796" t="s">
        <v>4287</v>
      </c>
      <c r="I432" s="812"/>
      <c r="J432" s="812">
        <v>177837</v>
      </c>
      <c r="K432" s="812">
        <v>184400</v>
      </c>
      <c r="L432" s="812">
        <v>190100</v>
      </c>
      <c r="M432" s="812">
        <v>195900</v>
      </c>
      <c r="N432" s="812">
        <v>201900</v>
      </c>
      <c r="O432" s="2133">
        <v>0</v>
      </c>
    </row>
    <row r="433" spans="4:15" ht="12.75" customHeight="1" thickBot="1" x14ac:dyDescent="0.3">
      <c r="E433" s="796"/>
      <c r="I433" s="812"/>
      <c r="J433" s="1935">
        <f>SUM(J431:J432)</f>
        <v>302837</v>
      </c>
      <c r="K433" s="1935">
        <f>SUM(K431:K432)</f>
        <v>309400</v>
      </c>
      <c r="L433" s="1935">
        <f t="shared" ref="L433:N433" si="240">SUM(L431:L432)</f>
        <v>315100</v>
      </c>
      <c r="M433" s="1935">
        <f t="shared" si="240"/>
        <v>320900</v>
      </c>
      <c r="N433" s="1935">
        <f t="shared" si="240"/>
        <v>326900</v>
      </c>
      <c r="O433" s="1935">
        <f t="shared" ref="O433" si="241">SUM(O431:O432)</f>
        <v>125000</v>
      </c>
    </row>
    <row r="434" spans="4:15" ht="12.75" customHeight="1" thickTop="1" x14ac:dyDescent="0.25">
      <c r="E434" s="796"/>
      <c r="I434" s="812"/>
      <c r="J434" s="812"/>
      <c r="K434" s="812"/>
      <c r="L434" s="812"/>
      <c r="M434" s="812"/>
      <c r="N434" s="812"/>
      <c r="O434" s="812"/>
    </row>
    <row r="435" spans="4:15" ht="12.75" customHeight="1" x14ac:dyDescent="0.25">
      <c r="E435" s="796"/>
      <c r="I435" s="812"/>
      <c r="J435" s="812"/>
      <c r="K435" s="812"/>
      <c r="L435" s="812"/>
      <c r="M435" s="812"/>
      <c r="N435" s="812"/>
      <c r="O435" s="812"/>
    </row>
    <row r="436" spans="4:15" ht="12.75" customHeight="1" x14ac:dyDescent="0.25">
      <c r="D436" s="797">
        <v>638028</v>
      </c>
      <c r="E436" s="2219" t="s">
        <v>4213</v>
      </c>
      <c r="I436" s="812"/>
      <c r="J436" s="812"/>
      <c r="K436" s="812"/>
      <c r="L436" s="812"/>
      <c r="M436" s="812"/>
      <c r="N436" s="812"/>
      <c r="O436" s="812"/>
    </row>
    <row r="437" spans="4:15" ht="12.75" customHeight="1" x14ac:dyDescent="0.25">
      <c r="D437" s="792">
        <v>44380</v>
      </c>
      <c r="E437" s="858" t="s">
        <v>5337</v>
      </c>
      <c r="I437" s="812"/>
      <c r="J437" s="812">
        <v>9800</v>
      </c>
      <c r="K437" s="812">
        <v>10500</v>
      </c>
      <c r="L437" s="812">
        <f t="shared" ref="L437" si="242">ROUND(K437*T$2,-2)</f>
        <v>10700</v>
      </c>
      <c r="M437" s="812">
        <f t="shared" ref="M437" si="243">ROUND(L437*U$2,-2)</f>
        <v>10900</v>
      </c>
      <c r="N437" s="812">
        <f t="shared" ref="N437" si="244">ROUND(M437*V$2,-2)</f>
        <v>11200</v>
      </c>
      <c r="O437" s="812">
        <f t="shared" ref="O437" si="245">ROUND(N437*W$2,-2)</f>
        <v>11500</v>
      </c>
    </row>
    <row r="438" spans="4:15" ht="12.75" customHeight="1" x14ac:dyDescent="0.25">
      <c r="E438" s="2221" t="s">
        <v>5338</v>
      </c>
      <c r="F438" s="2222"/>
      <c r="G438" s="2218"/>
      <c r="H438" s="2218"/>
      <c r="I438" s="2217"/>
      <c r="J438" s="2217"/>
      <c r="K438" s="2217">
        <v>94164</v>
      </c>
      <c r="L438" s="2217"/>
      <c r="M438" s="2217"/>
      <c r="N438" s="2217"/>
      <c r="O438" s="2217"/>
    </row>
    <row r="439" spans="4:15" ht="12.75" customHeight="1" thickBot="1" x14ac:dyDescent="0.3">
      <c r="E439" s="796"/>
      <c r="I439" s="812"/>
      <c r="J439" s="2220">
        <f>SUM(J437:J438)</f>
        <v>9800</v>
      </c>
      <c r="K439" s="2220">
        <f t="shared" ref="K439:O439" si="246">SUM(K437:K438)</f>
        <v>104664</v>
      </c>
      <c r="L439" s="2220">
        <f t="shared" si="246"/>
        <v>10700</v>
      </c>
      <c r="M439" s="2220">
        <f t="shared" si="246"/>
        <v>10900</v>
      </c>
      <c r="N439" s="2220">
        <f t="shared" si="246"/>
        <v>11200</v>
      </c>
      <c r="O439" s="2220">
        <f t="shared" si="246"/>
        <v>11500</v>
      </c>
    </row>
    <row r="440" spans="4:15" ht="12.75" customHeight="1" thickTop="1" x14ac:dyDescent="0.25">
      <c r="E440" s="796"/>
      <c r="I440" s="812"/>
      <c r="J440" s="812"/>
      <c r="K440" s="812"/>
      <c r="L440" s="812"/>
      <c r="M440" s="812"/>
      <c r="N440" s="812"/>
      <c r="O440" s="812"/>
    </row>
    <row r="441" spans="4:15" ht="12.75" customHeight="1" x14ac:dyDescent="0.25">
      <c r="E441" s="796"/>
      <c r="I441" s="812"/>
      <c r="J441" s="812"/>
      <c r="K441" s="812"/>
      <c r="L441" s="812"/>
      <c r="M441" s="812"/>
      <c r="N441" s="812"/>
      <c r="O441" s="812"/>
    </row>
    <row r="442" spans="4:15" ht="12.75" customHeight="1" x14ac:dyDescent="0.25">
      <c r="E442" s="796"/>
      <c r="I442" s="812"/>
      <c r="J442" s="812"/>
      <c r="K442" s="812"/>
      <c r="L442" s="812"/>
      <c r="M442" s="812"/>
      <c r="N442" s="812"/>
      <c r="O442" s="812"/>
    </row>
    <row r="443" spans="4:15" ht="12.75" customHeight="1" x14ac:dyDescent="0.25">
      <c r="D443" s="834">
        <v>638030</v>
      </c>
      <c r="E443" s="978" t="s">
        <v>4216</v>
      </c>
      <c r="F443" s="813"/>
      <c r="H443" s="979"/>
      <c r="I443" s="812"/>
      <c r="J443" s="966">
        <v>2025</v>
      </c>
      <c r="K443" s="966">
        <v>2026</v>
      </c>
      <c r="L443" s="966">
        <v>2027</v>
      </c>
      <c r="M443" s="966">
        <v>2028</v>
      </c>
      <c r="N443" s="966">
        <v>2029</v>
      </c>
      <c r="O443" s="966">
        <v>2030</v>
      </c>
    </row>
    <row r="444" spans="4:15" ht="12.75" customHeight="1" x14ac:dyDescent="0.25">
      <c r="D444" s="813"/>
      <c r="E444" s="980" t="s">
        <v>533</v>
      </c>
      <c r="F444" s="813"/>
      <c r="H444" s="979"/>
      <c r="I444" s="812"/>
    </row>
    <row r="445" spans="4:15" ht="12.75" customHeight="1" x14ac:dyDescent="0.25">
      <c r="D445" s="793">
        <v>43410</v>
      </c>
      <c r="E445" s="981" t="s">
        <v>4288</v>
      </c>
      <c r="H445" s="979"/>
      <c r="I445" s="812"/>
      <c r="J445" s="812">
        <v>30000</v>
      </c>
      <c r="K445" s="812">
        <v>30000</v>
      </c>
      <c r="L445" s="812">
        <f t="shared" ref="L445:O445" si="247">K445</f>
        <v>30000</v>
      </c>
      <c r="M445" s="812">
        <f t="shared" si="247"/>
        <v>30000</v>
      </c>
      <c r="N445" s="812">
        <f t="shared" si="247"/>
        <v>30000</v>
      </c>
      <c r="O445" s="812">
        <f t="shared" si="247"/>
        <v>30000</v>
      </c>
    </row>
    <row r="446" spans="4:15" ht="12.75" customHeight="1" thickBot="1" x14ac:dyDescent="0.3">
      <c r="D446" s="793"/>
      <c r="E446" s="981" t="str">
        <f>"Totaal "&amp;D445</f>
        <v>Totaal 43410</v>
      </c>
      <c r="H446" s="979"/>
      <c r="I446" s="812"/>
      <c r="J446" s="1935">
        <v>30000</v>
      </c>
      <c r="K446" s="1935">
        <f>SUM(K444:K445)</f>
        <v>30000</v>
      </c>
      <c r="L446" s="1935">
        <f>SUM(L444:L445)</f>
        <v>30000</v>
      </c>
      <c r="M446" s="1935">
        <f>SUM(M444:M445)</f>
        <v>30000</v>
      </c>
      <c r="N446" s="1935">
        <f>SUM(N444:N445)</f>
        <v>30000</v>
      </c>
      <c r="O446" s="1935">
        <f>SUM(O444:O445)</f>
        <v>30000</v>
      </c>
    </row>
    <row r="447" spans="4:15" ht="12.75" customHeight="1" thickTop="1" x14ac:dyDescent="0.25">
      <c r="D447" s="793"/>
      <c r="G447" s="981"/>
      <c r="H447" s="979"/>
      <c r="I447" s="812"/>
      <c r="J447" s="812"/>
      <c r="K447" s="812"/>
      <c r="L447" s="812"/>
      <c r="M447" s="812"/>
      <c r="N447" s="812"/>
      <c r="O447" s="812"/>
    </row>
    <row r="448" spans="4:15" ht="12.75" customHeight="1" x14ac:dyDescent="0.25">
      <c r="D448" s="793"/>
      <c r="G448" s="981"/>
      <c r="H448" s="979"/>
      <c r="I448" s="812"/>
      <c r="J448" s="812"/>
      <c r="K448" s="812"/>
      <c r="L448" s="812"/>
      <c r="M448" s="812"/>
      <c r="N448" s="812"/>
      <c r="O448" s="812"/>
    </row>
    <row r="449" spans="4:15" ht="12.75" customHeight="1" x14ac:dyDescent="0.25">
      <c r="D449" s="793"/>
      <c r="G449" s="981"/>
      <c r="H449" s="979"/>
      <c r="I449" s="812"/>
      <c r="J449" s="812"/>
      <c r="K449" s="812"/>
      <c r="L449" s="812"/>
      <c r="M449" s="812"/>
      <c r="N449" s="812"/>
      <c r="O449" s="812"/>
    </row>
    <row r="450" spans="4:15" ht="12.75" customHeight="1" x14ac:dyDescent="0.25">
      <c r="D450" s="813">
        <v>638901</v>
      </c>
      <c r="E450" s="797" t="s">
        <v>4197</v>
      </c>
      <c r="G450" s="981"/>
      <c r="H450" s="979"/>
      <c r="I450" s="812"/>
      <c r="J450" s="812"/>
      <c r="K450" s="812"/>
      <c r="L450" s="812"/>
      <c r="M450" s="812"/>
      <c r="N450" s="812"/>
      <c r="O450" s="812"/>
    </row>
    <row r="451" spans="4:15" ht="12.75" customHeight="1" x14ac:dyDescent="0.25">
      <c r="D451" s="793"/>
      <c r="E451" s="980" t="s">
        <v>533</v>
      </c>
      <c r="G451" s="981"/>
      <c r="H451" s="979"/>
      <c r="I451" s="812"/>
      <c r="J451" s="812"/>
      <c r="K451" s="812"/>
      <c r="L451" s="812"/>
      <c r="M451" s="812"/>
      <c r="N451" s="812"/>
      <c r="O451" s="812"/>
    </row>
    <row r="452" spans="4:15" ht="12.75" customHeight="1" x14ac:dyDescent="0.25">
      <c r="D452" s="2222">
        <v>41100</v>
      </c>
      <c r="E452" s="2224" t="s">
        <v>5340</v>
      </c>
      <c r="F452" s="2222"/>
      <c r="G452" s="2225"/>
      <c r="H452" s="2226"/>
      <c r="I452" s="2217"/>
      <c r="J452" s="2217"/>
      <c r="K452" s="2217">
        <v>110000</v>
      </c>
      <c r="L452" s="2217">
        <f>ROUND(K452*T$3,-2)</f>
        <v>114600</v>
      </c>
      <c r="M452" s="2217"/>
      <c r="N452" s="2217"/>
      <c r="O452" s="2217"/>
    </row>
    <row r="453" spans="4:15" ht="12.75" customHeight="1" thickBot="1" x14ac:dyDescent="0.3">
      <c r="D453" s="793"/>
      <c r="E453" s="1013" t="s">
        <v>1182</v>
      </c>
      <c r="G453" s="981"/>
      <c r="H453" s="979"/>
      <c r="I453" s="812"/>
      <c r="J453" s="2220">
        <f>SUM(J449:J452)</f>
        <v>0</v>
      </c>
      <c r="K453" s="2220">
        <f t="shared" ref="K453:O453" si="248">SUM(K449:K452)</f>
        <v>110000</v>
      </c>
      <c r="L453" s="2220">
        <f t="shared" si="248"/>
        <v>114600</v>
      </c>
      <c r="M453" s="2220">
        <f t="shared" si="248"/>
        <v>0</v>
      </c>
      <c r="N453" s="2220">
        <f t="shared" si="248"/>
        <v>0</v>
      </c>
      <c r="O453" s="2220">
        <f t="shared" si="248"/>
        <v>0</v>
      </c>
    </row>
    <row r="454" spans="4:15" ht="12.75" customHeight="1" thickTop="1" x14ac:dyDescent="0.25">
      <c r="D454" s="793"/>
      <c r="G454" s="981"/>
      <c r="H454" s="979"/>
      <c r="I454" s="812"/>
      <c r="J454" s="812"/>
      <c r="K454" s="812"/>
      <c r="L454" s="812"/>
      <c r="M454" s="812"/>
      <c r="N454" s="812"/>
      <c r="O454" s="812"/>
    </row>
    <row r="455" spans="4:15" ht="12.75" customHeight="1" x14ac:dyDescent="0.25">
      <c r="D455" s="793"/>
      <c r="G455" s="981"/>
      <c r="H455" s="979"/>
      <c r="I455" s="812"/>
      <c r="J455" s="812"/>
      <c r="K455" s="812"/>
      <c r="L455" s="812"/>
      <c r="M455" s="812"/>
      <c r="N455" s="812"/>
      <c r="O455" s="812"/>
    </row>
    <row r="456" spans="4:15" ht="12.75" customHeight="1" x14ac:dyDescent="0.25">
      <c r="D456" s="793"/>
      <c r="G456" s="981"/>
      <c r="H456" s="979"/>
      <c r="I456" s="812"/>
      <c r="J456" s="812"/>
      <c r="K456" s="812"/>
      <c r="L456" s="812"/>
      <c r="M456" s="812"/>
      <c r="N456" s="812"/>
      <c r="O456" s="812"/>
    </row>
    <row r="457" spans="4:15" ht="12.75" customHeight="1" x14ac:dyDescent="0.25">
      <c r="D457" s="793"/>
      <c r="G457" s="981"/>
      <c r="H457" s="979"/>
      <c r="I457" s="812"/>
      <c r="J457" s="812"/>
      <c r="K457" s="812"/>
      <c r="L457" s="812"/>
      <c r="M457" s="812"/>
      <c r="N457" s="812"/>
      <c r="O457" s="812"/>
    </row>
    <row r="458" spans="4:15" ht="12.75" customHeight="1" x14ac:dyDescent="0.25">
      <c r="D458" s="793"/>
      <c r="G458" s="981"/>
      <c r="H458" s="979"/>
      <c r="I458" s="812"/>
      <c r="J458" s="812"/>
      <c r="K458" s="812"/>
      <c r="L458" s="812"/>
      <c r="M458" s="812"/>
      <c r="N458" s="812"/>
      <c r="O458" s="812"/>
    </row>
    <row r="459" spans="4:15" ht="12.75" customHeight="1" x14ac:dyDescent="0.25">
      <c r="D459" s="793"/>
      <c r="G459" s="981"/>
      <c r="H459" s="979"/>
      <c r="I459" s="812"/>
      <c r="J459" s="812"/>
      <c r="K459" s="812"/>
      <c r="L459" s="812"/>
      <c r="M459" s="812"/>
      <c r="N459" s="812"/>
      <c r="O459" s="812"/>
    </row>
    <row r="460" spans="4:15" ht="12.75" customHeight="1" x14ac:dyDescent="0.25">
      <c r="D460" s="834">
        <v>638001</v>
      </c>
      <c r="E460" s="832" t="s">
        <v>4289</v>
      </c>
      <c r="F460" s="791"/>
      <c r="G460" s="812"/>
      <c r="H460" s="812"/>
      <c r="J460" s="966">
        <v>2025</v>
      </c>
      <c r="K460" s="966">
        <v>2026</v>
      </c>
      <c r="L460" s="966">
        <v>2027</v>
      </c>
      <c r="M460" s="966">
        <v>2028</v>
      </c>
      <c r="N460" s="966">
        <v>2029</v>
      </c>
      <c r="O460" s="966">
        <v>2030</v>
      </c>
    </row>
    <row r="461" spans="4:15" ht="12.75" customHeight="1" x14ac:dyDescent="0.25">
      <c r="D461" s="834"/>
      <c r="E461" s="791"/>
      <c r="F461" s="791"/>
      <c r="G461" s="812"/>
      <c r="H461" s="928"/>
      <c r="J461" s="928"/>
      <c r="K461" s="928"/>
      <c r="L461" s="928"/>
      <c r="M461" s="928"/>
      <c r="N461" s="928"/>
      <c r="O461" s="928"/>
    </row>
    <row r="462" spans="4:15" ht="12.75" customHeight="1" x14ac:dyDescent="0.25">
      <c r="D462" s="834"/>
      <c r="E462" s="800" t="s">
        <v>554</v>
      </c>
      <c r="F462" s="791"/>
      <c r="G462" s="812"/>
      <c r="H462" s="928"/>
      <c r="J462" s="928"/>
      <c r="K462" s="928"/>
      <c r="L462" s="928"/>
      <c r="M462" s="928"/>
      <c r="N462" s="928"/>
      <c r="O462" s="928"/>
    </row>
    <row r="463" spans="4:15" ht="12.75" customHeight="1" x14ac:dyDescent="0.25">
      <c r="D463" s="793">
        <v>84310</v>
      </c>
      <c r="E463" s="923" t="s">
        <v>4290</v>
      </c>
      <c r="F463" s="923"/>
      <c r="G463" s="812"/>
      <c r="H463" s="812"/>
      <c r="J463" s="812">
        <v>-6534000</v>
      </c>
      <c r="K463" s="812">
        <v>-6534000</v>
      </c>
      <c r="L463" s="812">
        <f t="shared" ref="L463:O463" si="249">K463</f>
        <v>-6534000</v>
      </c>
      <c r="M463" s="812">
        <f t="shared" si="249"/>
        <v>-6534000</v>
      </c>
      <c r="N463" s="812">
        <f t="shared" si="249"/>
        <v>-6534000</v>
      </c>
      <c r="O463" s="812">
        <f t="shared" si="249"/>
        <v>-6534000</v>
      </c>
    </row>
    <row r="464" spans="4:15" ht="12.75" customHeight="1" x14ac:dyDescent="0.25">
      <c r="D464" s="793"/>
      <c r="E464" s="925" t="s">
        <v>4228</v>
      </c>
      <c r="F464" s="923"/>
      <c r="G464" s="812"/>
      <c r="H464" s="812"/>
      <c r="J464" s="812">
        <v>-886000</v>
      </c>
      <c r="K464" s="812">
        <v>-886000</v>
      </c>
      <c r="L464" s="812">
        <v>-886000</v>
      </c>
      <c r="M464" s="812">
        <v>-886000</v>
      </c>
      <c r="N464" s="812">
        <v>-886000</v>
      </c>
      <c r="O464" s="812">
        <v>-886000</v>
      </c>
    </row>
    <row r="465" spans="4:15" ht="12.75" customHeight="1" x14ac:dyDescent="0.25">
      <c r="D465" s="793"/>
      <c r="E465" s="925" t="s">
        <v>4158</v>
      </c>
      <c r="F465" s="923"/>
      <c r="G465" s="812"/>
      <c r="H465" s="812"/>
      <c r="J465" s="812"/>
      <c r="K465" s="812">
        <v>152000</v>
      </c>
      <c r="L465" s="812">
        <v>152000</v>
      </c>
      <c r="M465" s="812">
        <v>152000</v>
      </c>
      <c r="N465" s="812">
        <v>152000</v>
      </c>
      <c r="O465" s="812">
        <v>152000</v>
      </c>
    </row>
    <row r="466" spans="4:15" ht="12.75" customHeight="1" x14ac:dyDescent="0.25">
      <c r="D466" s="793"/>
      <c r="E466" s="2215" t="s">
        <v>5336</v>
      </c>
      <c r="F466" s="2216"/>
      <c r="G466" s="2217"/>
      <c r="H466" s="2217"/>
      <c r="I466" s="2218"/>
      <c r="J466" s="2217"/>
      <c r="K466" s="2217">
        <v>-512033</v>
      </c>
      <c r="L466" s="2217"/>
      <c r="M466" s="2217"/>
      <c r="N466" s="2217"/>
      <c r="O466" s="2217"/>
    </row>
    <row r="467" spans="4:15" ht="12.75" customHeight="1" thickBot="1" x14ac:dyDescent="0.3">
      <c r="E467" s="981" t="str">
        <f>"Totaal "&amp;D463</f>
        <v>Totaal 84310</v>
      </c>
      <c r="F467" s="923"/>
      <c r="G467" s="812"/>
      <c r="H467" s="931"/>
      <c r="J467" s="1945">
        <v>-7420000</v>
      </c>
      <c r="K467" s="1945">
        <f>SUM(K463:K466)</f>
        <v>-7780033</v>
      </c>
      <c r="L467" s="1945">
        <f t="shared" ref="L467:N467" si="250">SUM(L463:L465)</f>
        <v>-7268000</v>
      </c>
      <c r="M467" s="1945">
        <f t="shared" si="250"/>
        <v>-7268000</v>
      </c>
      <c r="N467" s="1945">
        <f t="shared" si="250"/>
        <v>-7268000</v>
      </c>
      <c r="O467" s="1945">
        <f t="shared" ref="O467" si="251">SUM(O463:O465)</f>
        <v>-7268000</v>
      </c>
    </row>
    <row r="468" spans="4:15" ht="12.75" customHeight="1" thickTop="1" x14ac:dyDescent="0.25">
      <c r="E468" s="923"/>
      <c r="F468" s="923"/>
      <c r="G468" s="931"/>
      <c r="H468" s="931"/>
      <c r="J468" s="931"/>
      <c r="K468" s="931"/>
      <c r="L468" s="931"/>
      <c r="M468" s="931"/>
      <c r="N468" s="931"/>
      <c r="O468" s="931"/>
    </row>
    <row r="469" spans="4:15" ht="12.75" customHeight="1" x14ac:dyDescent="0.25">
      <c r="E469" s="923" t="s">
        <v>4291</v>
      </c>
      <c r="F469" s="923"/>
      <c r="G469" s="931"/>
      <c r="H469" s="931"/>
      <c r="J469" s="931"/>
      <c r="K469" s="931"/>
      <c r="L469" s="931"/>
      <c r="M469" s="931"/>
      <c r="N469" s="931"/>
      <c r="O469" s="931"/>
    </row>
    <row r="470" spans="4:15" ht="12.75" customHeight="1" x14ac:dyDescent="0.25">
      <c r="E470" s="923" t="s">
        <v>4292</v>
      </c>
      <c r="F470" s="923"/>
      <c r="G470" s="931"/>
      <c r="H470" s="931"/>
      <c r="J470" s="931"/>
      <c r="K470" s="931"/>
      <c r="L470" s="931"/>
      <c r="M470" s="931"/>
      <c r="N470" s="931"/>
      <c r="O470" s="931"/>
    </row>
    <row r="471" spans="4:15" ht="12.75" customHeight="1" x14ac:dyDescent="0.25">
      <c r="E471" s="923" t="s">
        <v>4293</v>
      </c>
      <c r="F471" s="923"/>
      <c r="G471" s="931"/>
      <c r="H471" s="931"/>
      <c r="J471" s="931"/>
      <c r="K471" s="931"/>
      <c r="L471" s="931"/>
      <c r="M471" s="931"/>
      <c r="N471" s="931"/>
      <c r="O471" s="931"/>
    </row>
    <row r="472" spans="4:15" ht="12.75" customHeight="1" x14ac:dyDescent="0.25">
      <c r="E472" s="923" t="s">
        <v>4294</v>
      </c>
      <c r="F472" s="923"/>
      <c r="G472" s="931"/>
      <c r="H472" s="931"/>
      <c r="J472" s="931"/>
      <c r="K472" s="931"/>
      <c r="L472" s="931"/>
      <c r="M472" s="931"/>
      <c r="N472" s="931"/>
      <c r="O472" s="931"/>
    </row>
    <row r="473" spans="4:15" ht="12.75" customHeight="1" x14ac:dyDescent="0.25">
      <c r="E473" s="923"/>
      <c r="F473" s="923"/>
      <c r="G473" s="931"/>
      <c r="H473" s="931"/>
      <c r="J473" s="931"/>
      <c r="K473" s="931"/>
      <c r="L473" s="931"/>
      <c r="M473" s="931"/>
      <c r="N473" s="931"/>
      <c r="O473" s="931"/>
    </row>
    <row r="474" spans="4:15" ht="12.75" customHeight="1" x14ac:dyDescent="0.25">
      <c r="D474" s="834">
        <v>638006</v>
      </c>
      <c r="E474" s="832" t="s">
        <v>4219</v>
      </c>
      <c r="F474" s="791"/>
      <c r="I474" s="924"/>
      <c r="J474" s="966">
        <v>2025</v>
      </c>
      <c r="K474" s="966">
        <v>2026</v>
      </c>
      <c r="L474" s="966">
        <v>2027</v>
      </c>
      <c r="M474" s="966">
        <v>2028</v>
      </c>
      <c r="N474" s="966">
        <v>2029</v>
      </c>
      <c r="O474" s="966">
        <v>2030</v>
      </c>
    </row>
    <row r="475" spans="4:15" ht="12.75" customHeight="1" x14ac:dyDescent="0.25">
      <c r="D475" s="834"/>
      <c r="E475" s="800" t="s">
        <v>554</v>
      </c>
      <c r="F475" s="791"/>
      <c r="I475" s="924"/>
      <c r="J475" s="928"/>
      <c r="K475" s="928"/>
      <c r="L475" s="928"/>
      <c r="M475" s="928"/>
      <c r="N475" s="928"/>
      <c r="O475" s="928"/>
    </row>
    <row r="476" spans="4:15" ht="12.75" customHeight="1" x14ac:dyDescent="0.25">
      <c r="D476" s="793">
        <v>84120</v>
      </c>
      <c r="E476" s="923" t="s">
        <v>4295</v>
      </c>
      <c r="F476" s="928"/>
      <c r="I476" s="924"/>
      <c r="J476" s="812">
        <v>-3500</v>
      </c>
      <c r="K476" s="812">
        <v>-3500</v>
      </c>
      <c r="L476" s="812">
        <f>K476</f>
        <v>-3500</v>
      </c>
      <c r="M476" s="812">
        <f>L476</f>
        <v>-3500</v>
      </c>
      <c r="N476" s="812">
        <f>M476</f>
        <v>-3500</v>
      </c>
      <c r="O476" s="812">
        <f>N476</f>
        <v>-3500</v>
      </c>
    </row>
    <row r="477" spans="4:15" ht="12.75" customHeight="1" thickBot="1" x14ac:dyDescent="0.3">
      <c r="D477" s="793"/>
      <c r="E477" s="923" t="str">
        <f>"Totaal "&amp;D476</f>
        <v>Totaal 84120</v>
      </c>
      <c r="F477" s="928"/>
      <c r="I477" s="924"/>
      <c r="J477" s="1944">
        <v>-3500</v>
      </c>
      <c r="K477" s="1944">
        <f>SUM(K476:K476)</f>
        <v>-3500</v>
      </c>
      <c r="L477" s="1944">
        <f>SUM(L476:L476)</f>
        <v>-3500</v>
      </c>
      <c r="M477" s="1944">
        <f>SUM(M476:M476)</f>
        <v>-3500</v>
      </c>
      <c r="N477" s="1944">
        <f>SUM(N476:N476)</f>
        <v>-3500</v>
      </c>
      <c r="O477" s="1944">
        <f>SUM(O476:O476)</f>
        <v>-3500</v>
      </c>
    </row>
    <row r="478" spans="4:15" ht="12.75" customHeight="1" thickTop="1" x14ac:dyDescent="0.25">
      <c r="D478" s="793"/>
      <c r="E478" s="923"/>
      <c r="F478" s="928"/>
      <c r="I478" s="924"/>
      <c r="J478" s="924"/>
      <c r="K478" s="924"/>
      <c r="L478" s="924"/>
      <c r="M478" s="924"/>
      <c r="N478" s="924"/>
      <c r="O478" s="924"/>
    </row>
    <row r="479" spans="4:15" ht="12.75" customHeight="1" x14ac:dyDescent="0.25">
      <c r="D479" s="793"/>
      <c r="E479" s="2597" t="s">
        <v>4296</v>
      </c>
      <c r="F479" s="2597"/>
      <c r="G479" s="2597"/>
      <c r="H479" s="2597"/>
      <c r="I479" s="2597"/>
      <c r="J479" s="924"/>
      <c r="K479" s="924"/>
      <c r="L479" s="924"/>
      <c r="M479" s="924"/>
      <c r="N479" s="924"/>
      <c r="O479" s="924"/>
    </row>
    <row r="480" spans="4:15" ht="12.75" customHeight="1" x14ac:dyDescent="0.25">
      <c r="D480" s="793"/>
      <c r="E480" s="2597"/>
      <c r="F480" s="2597"/>
      <c r="G480" s="2597"/>
      <c r="H480" s="2597"/>
      <c r="I480" s="2597"/>
      <c r="J480" s="924"/>
      <c r="K480" s="924"/>
      <c r="L480" s="924"/>
      <c r="M480" s="924"/>
      <c r="N480" s="924"/>
      <c r="O480" s="924"/>
    </row>
    <row r="481" spans="4:15" ht="12.75" customHeight="1" x14ac:dyDescent="0.25">
      <c r="D481" s="793"/>
      <c r="E481" s="2597"/>
      <c r="F481" s="2597"/>
      <c r="G481" s="2597"/>
      <c r="H481" s="2597"/>
      <c r="I481" s="2597"/>
      <c r="J481" s="924"/>
      <c r="K481" s="924"/>
      <c r="L481" s="924"/>
      <c r="M481" s="924"/>
      <c r="N481" s="924"/>
      <c r="O481" s="924"/>
    </row>
    <row r="482" spans="4:15" ht="12.75" customHeight="1" x14ac:dyDescent="0.25">
      <c r="D482" s="793"/>
      <c r="E482" s="923"/>
      <c r="F482" s="928"/>
      <c r="I482" s="924"/>
      <c r="J482" s="924"/>
      <c r="K482" s="924"/>
      <c r="L482" s="924"/>
      <c r="M482" s="924"/>
      <c r="N482" s="924"/>
      <c r="O482" s="924"/>
    </row>
    <row r="483" spans="4:15" ht="12.75" customHeight="1" x14ac:dyDescent="0.25">
      <c r="D483" s="834">
        <v>638007</v>
      </c>
      <c r="E483" s="832" t="s">
        <v>4221</v>
      </c>
      <c r="F483" s="791"/>
      <c r="I483" s="924"/>
      <c r="J483" s="966">
        <v>2025</v>
      </c>
      <c r="K483" s="966">
        <v>2026</v>
      </c>
      <c r="L483" s="966">
        <v>2027</v>
      </c>
      <c r="M483" s="966">
        <v>2028</v>
      </c>
      <c r="N483" s="966">
        <v>2029</v>
      </c>
      <c r="O483" s="966">
        <v>2030</v>
      </c>
    </row>
    <row r="484" spans="4:15" ht="12.75" customHeight="1" x14ac:dyDescent="0.25">
      <c r="D484" s="834"/>
      <c r="E484" s="800" t="s">
        <v>554</v>
      </c>
      <c r="F484" s="791"/>
      <c r="I484" s="924"/>
      <c r="J484" s="928"/>
      <c r="K484" s="928"/>
      <c r="L484" s="928"/>
      <c r="M484" s="928"/>
      <c r="N484" s="928"/>
      <c r="O484" s="928"/>
    </row>
    <row r="485" spans="4:15" ht="12.75" customHeight="1" x14ac:dyDescent="0.25">
      <c r="D485" s="793">
        <v>84120</v>
      </c>
      <c r="E485" s="791" t="s">
        <v>4297</v>
      </c>
      <c r="F485" s="791"/>
      <c r="I485" s="924"/>
      <c r="J485" s="924">
        <v>-60000</v>
      </c>
      <c r="K485" s="924">
        <v>-60000</v>
      </c>
      <c r="L485" s="924">
        <f>K485</f>
        <v>-60000</v>
      </c>
      <c r="M485" s="924">
        <f>L485</f>
        <v>-60000</v>
      </c>
      <c r="N485" s="924">
        <f>M485</f>
        <v>-60000</v>
      </c>
      <c r="O485" s="924">
        <f>N485</f>
        <v>-60000</v>
      </c>
    </row>
    <row r="486" spans="4:15" ht="12.75" customHeight="1" thickBot="1" x14ac:dyDescent="0.3">
      <c r="D486" s="793"/>
      <c r="E486" s="791" t="str">
        <f>"Totaal "&amp;D485</f>
        <v>Totaal 84120</v>
      </c>
      <c r="F486" s="791"/>
      <c r="I486" s="924"/>
      <c r="J486" s="1935">
        <v>-60000</v>
      </c>
      <c r="K486" s="1935">
        <f>SUM(K485:K485)</f>
        <v>-60000</v>
      </c>
      <c r="L486" s="1935">
        <f>SUM(L485:L485)</f>
        <v>-60000</v>
      </c>
      <c r="M486" s="1935">
        <f>SUM(M485:M485)</f>
        <v>-60000</v>
      </c>
      <c r="N486" s="1935">
        <f>SUM(N485:N485)</f>
        <v>-60000</v>
      </c>
      <c r="O486" s="1935">
        <f>SUM(O485:O485)</f>
        <v>-60000</v>
      </c>
    </row>
    <row r="487" spans="4:15" ht="12.75" customHeight="1" thickTop="1" x14ac:dyDescent="0.25">
      <c r="D487" s="793"/>
      <c r="I487" s="924"/>
      <c r="J487" s="812"/>
      <c r="K487" s="812"/>
      <c r="L487" s="812"/>
      <c r="M487" s="812"/>
      <c r="N487" s="812"/>
      <c r="O487" s="812"/>
    </row>
    <row r="488" spans="4:15" ht="12.75" customHeight="1" x14ac:dyDescent="0.25">
      <c r="D488" s="793"/>
      <c r="E488" s="2602" t="s">
        <v>4298</v>
      </c>
      <c r="F488" s="2602"/>
      <c r="G488" s="2602"/>
      <c r="H488" s="2602"/>
      <c r="I488" s="2602"/>
      <c r="J488" s="2602"/>
      <c r="K488" s="812"/>
      <c r="L488" s="812"/>
      <c r="M488" s="812"/>
      <c r="N488" s="812"/>
      <c r="O488" s="812"/>
    </row>
    <row r="489" spans="4:15" ht="12.75" customHeight="1" x14ac:dyDescent="0.25">
      <c r="D489" s="793"/>
      <c r="E489" s="2602"/>
      <c r="F489" s="2602"/>
      <c r="G489" s="2602"/>
      <c r="H489" s="2602"/>
      <c r="I489" s="2602"/>
      <c r="J489" s="2602"/>
      <c r="K489" s="812"/>
      <c r="L489" s="812"/>
      <c r="M489" s="812"/>
      <c r="N489" s="812"/>
      <c r="O489" s="812"/>
    </row>
    <row r="490" spans="4:15" ht="12.75" customHeight="1" x14ac:dyDescent="0.25">
      <c r="D490" s="793"/>
      <c r="E490" s="2602"/>
      <c r="F490" s="2602"/>
      <c r="G490" s="2602"/>
      <c r="H490" s="2602"/>
      <c r="I490" s="2602"/>
      <c r="J490" s="2602"/>
      <c r="K490" s="812"/>
      <c r="L490" s="812"/>
      <c r="M490" s="812"/>
      <c r="N490" s="812"/>
      <c r="O490" s="812"/>
    </row>
    <row r="491" spans="4:15" ht="12.75" customHeight="1" x14ac:dyDescent="0.25">
      <c r="D491" s="793"/>
      <c r="G491" s="982"/>
      <c r="H491" s="982"/>
      <c r="I491" s="924"/>
      <c r="J491" s="812"/>
      <c r="K491" s="812"/>
      <c r="L491" s="812"/>
      <c r="M491" s="812"/>
      <c r="N491" s="812"/>
      <c r="O491" s="812"/>
    </row>
    <row r="492" spans="4:15" ht="12.75" customHeight="1" x14ac:dyDescent="0.25">
      <c r="D492" s="834">
        <v>638008</v>
      </c>
      <c r="E492" s="832" t="s">
        <v>4222</v>
      </c>
      <c r="F492" s="813"/>
      <c r="I492" s="924"/>
      <c r="J492" s="966">
        <v>2025</v>
      </c>
      <c r="K492" s="966">
        <v>2026</v>
      </c>
      <c r="L492" s="966">
        <v>2027</v>
      </c>
      <c r="M492" s="966">
        <v>2028</v>
      </c>
      <c r="N492" s="966">
        <v>2029</v>
      </c>
      <c r="O492" s="966">
        <v>2030</v>
      </c>
    </row>
    <row r="493" spans="4:15" ht="12.75" customHeight="1" x14ac:dyDescent="0.25">
      <c r="D493" s="834"/>
      <c r="E493" s="800" t="s">
        <v>554</v>
      </c>
      <c r="F493" s="813"/>
      <c r="I493" s="924"/>
      <c r="J493" s="967"/>
      <c r="K493" s="967"/>
      <c r="L493" s="967"/>
      <c r="M493" s="967"/>
      <c r="N493" s="967"/>
      <c r="O493" s="967"/>
    </row>
    <row r="494" spans="4:15" ht="12.75" customHeight="1" x14ac:dyDescent="0.25">
      <c r="D494" s="793">
        <v>84120</v>
      </c>
      <c r="E494" s="923" t="s">
        <v>4299</v>
      </c>
      <c r="H494" s="928"/>
      <c r="I494" s="924"/>
      <c r="J494" s="924">
        <v>-500</v>
      </c>
      <c r="K494" s="924">
        <v>-500</v>
      </c>
      <c r="L494" s="924">
        <f>K494</f>
        <v>-500</v>
      </c>
      <c r="M494" s="924">
        <f>L494</f>
        <v>-500</v>
      </c>
      <c r="N494" s="924">
        <f>M494</f>
        <v>-500</v>
      </c>
      <c r="O494" s="924">
        <f>N494</f>
        <v>-500</v>
      </c>
    </row>
    <row r="495" spans="4:15" ht="12.75" customHeight="1" thickBot="1" x14ac:dyDescent="0.3">
      <c r="D495" s="793"/>
      <c r="E495" s="923" t="str">
        <f>"Totaal "&amp;D494</f>
        <v>Totaal 84120</v>
      </c>
      <c r="H495" s="928"/>
      <c r="I495" s="924"/>
      <c r="J495" s="1944">
        <v>-500</v>
      </c>
      <c r="K495" s="1944">
        <f>SUM(K494:K494)</f>
        <v>-500</v>
      </c>
      <c r="L495" s="1944">
        <f>SUM(L494:L494)</f>
        <v>-500</v>
      </c>
      <c r="M495" s="1944">
        <f>SUM(M494:M494)</f>
        <v>-500</v>
      </c>
      <c r="N495" s="1944">
        <f>SUM(N494:N494)</f>
        <v>-500</v>
      </c>
      <c r="O495" s="1944">
        <f>SUM(O494:O494)</f>
        <v>-500</v>
      </c>
    </row>
    <row r="496" spans="4:15" ht="12.75" customHeight="1" thickTop="1" x14ac:dyDescent="0.25">
      <c r="D496" s="793"/>
      <c r="G496" s="923"/>
      <c r="H496" s="928"/>
      <c r="I496" s="924"/>
      <c r="J496" s="924"/>
      <c r="K496" s="924"/>
      <c r="L496" s="924"/>
      <c r="M496" s="924"/>
      <c r="N496" s="924"/>
      <c r="O496" s="924"/>
    </row>
    <row r="497" spans="4:15" ht="12.75" customHeight="1" x14ac:dyDescent="0.25">
      <c r="D497" s="793"/>
      <c r="E497" s="2605" t="s">
        <v>4300</v>
      </c>
      <c r="F497" s="2605"/>
      <c r="G497" s="2605"/>
      <c r="H497" s="2605"/>
      <c r="I497" s="2605"/>
      <c r="J497" s="2605"/>
      <c r="K497" s="924"/>
      <c r="L497" s="924"/>
      <c r="M497" s="924"/>
      <c r="N497" s="924"/>
      <c r="O497" s="924"/>
    </row>
    <row r="498" spans="4:15" ht="12.75" customHeight="1" x14ac:dyDescent="0.25">
      <c r="D498" s="793"/>
      <c r="E498" s="2605"/>
      <c r="F498" s="2605"/>
      <c r="G498" s="2605"/>
      <c r="H498" s="2605"/>
      <c r="I498" s="2605"/>
      <c r="J498" s="2605"/>
      <c r="K498" s="924"/>
      <c r="L498" s="924"/>
      <c r="M498" s="924"/>
      <c r="N498" s="924"/>
      <c r="O498" s="924"/>
    </row>
    <row r="499" spans="4:15" ht="12.75" customHeight="1" x14ac:dyDescent="0.25">
      <c r="D499" s="793"/>
      <c r="E499" s="2605"/>
      <c r="F499" s="2605"/>
      <c r="G499" s="2605"/>
      <c r="H499" s="2605"/>
      <c r="I499" s="2605"/>
      <c r="J499" s="2605"/>
      <c r="K499" s="924"/>
      <c r="L499" s="924"/>
      <c r="M499" s="924"/>
      <c r="N499" s="924"/>
      <c r="O499" s="924"/>
    </row>
    <row r="500" spans="4:15" ht="12.75" customHeight="1" x14ac:dyDescent="0.25">
      <c r="D500" s="793"/>
      <c r="G500" s="927"/>
      <c r="H500" s="927"/>
      <c r="I500" s="859"/>
      <c r="J500" s="924"/>
      <c r="K500" s="924"/>
      <c r="L500" s="924"/>
      <c r="M500" s="924"/>
      <c r="N500" s="924"/>
      <c r="O500" s="924"/>
    </row>
    <row r="501" spans="4:15" ht="12.75" customHeight="1" x14ac:dyDescent="0.25">
      <c r="D501" s="929">
        <v>638011</v>
      </c>
      <c r="E501" s="832" t="s">
        <v>4198</v>
      </c>
      <c r="F501" s="930"/>
      <c r="I501" s="924"/>
      <c r="J501" s="966">
        <v>2025</v>
      </c>
      <c r="K501" s="966">
        <v>2026</v>
      </c>
      <c r="L501" s="966">
        <v>2027</v>
      </c>
      <c r="M501" s="966">
        <v>2028</v>
      </c>
      <c r="N501" s="966">
        <v>2029</v>
      </c>
      <c r="O501" s="966">
        <v>2030</v>
      </c>
    </row>
    <row r="502" spans="4:15" ht="12.75" customHeight="1" x14ac:dyDescent="0.25">
      <c r="D502" s="929"/>
      <c r="E502" s="800" t="s">
        <v>554</v>
      </c>
      <c r="F502" s="930"/>
      <c r="I502" s="924"/>
      <c r="J502" s="812"/>
      <c r="K502" s="812"/>
      <c r="L502" s="812"/>
      <c r="M502" s="812"/>
      <c r="N502" s="812"/>
      <c r="O502" s="812"/>
    </row>
    <row r="503" spans="4:15" ht="12.75" customHeight="1" x14ac:dyDescent="0.25">
      <c r="D503" s="793">
        <v>84310</v>
      </c>
      <c r="E503" s="800" t="s">
        <v>4301</v>
      </c>
      <c r="I503" s="924"/>
    </row>
    <row r="504" spans="4:15" ht="12.75" customHeight="1" x14ac:dyDescent="0.25">
      <c r="D504" s="793"/>
      <c r="E504" s="791" t="s">
        <v>4302</v>
      </c>
      <c r="I504" s="924"/>
    </row>
    <row r="505" spans="4:15" ht="12.75" customHeight="1" x14ac:dyDescent="0.25">
      <c r="D505" s="831"/>
      <c r="E505" s="791" t="s">
        <v>4303</v>
      </c>
      <c r="F505" s="831"/>
      <c r="I505" s="924"/>
      <c r="J505" s="812">
        <v>-30000</v>
      </c>
      <c r="K505" s="812">
        <v>-30000</v>
      </c>
      <c r="L505" s="812">
        <f>K505</f>
        <v>-30000</v>
      </c>
      <c r="M505" s="812">
        <f>L505</f>
        <v>-30000</v>
      </c>
      <c r="N505" s="812">
        <f>M505</f>
        <v>-30000</v>
      </c>
      <c r="O505" s="812">
        <f>N505</f>
        <v>-30000</v>
      </c>
    </row>
    <row r="506" spans="4:15" ht="12.75" customHeight="1" thickBot="1" x14ac:dyDescent="0.3">
      <c r="D506" s="929"/>
      <c r="E506" s="791" t="str">
        <f>"Totaal "&amp;D503</f>
        <v>Totaal 84310</v>
      </c>
      <c r="F506" s="930"/>
      <c r="I506" s="924"/>
      <c r="J506" s="1935">
        <v>-30000</v>
      </c>
      <c r="K506" s="1935">
        <f>SUM(K503:K505)</f>
        <v>-30000</v>
      </c>
      <c r="L506" s="1935">
        <f>SUM(L503:L505)</f>
        <v>-30000</v>
      </c>
      <c r="M506" s="1935">
        <f>SUM(M503:M505)</f>
        <v>-30000</v>
      </c>
      <c r="N506" s="1935">
        <f>SUM(N503:N505)</f>
        <v>-30000</v>
      </c>
      <c r="O506" s="1935">
        <f>SUM(O503:O505)</f>
        <v>-30000</v>
      </c>
    </row>
    <row r="507" spans="4:15" ht="12.75" customHeight="1" thickTop="1" x14ac:dyDescent="0.25">
      <c r="D507" s="929"/>
      <c r="E507" s="930"/>
      <c r="F507" s="930"/>
      <c r="I507" s="924"/>
      <c r="J507" s="812"/>
      <c r="K507" s="812"/>
      <c r="L507" s="812"/>
      <c r="M507" s="812"/>
      <c r="N507" s="812"/>
      <c r="O507" s="812"/>
    </row>
    <row r="508" spans="4:15" ht="12.75" customHeight="1" x14ac:dyDescent="0.25">
      <c r="D508" s="929"/>
      <c r="E508" s="2595" t="s">
        <v>4304</v>
      </c>
      <c r="F508" s="2595"/>
      <c r="G508" s="2595"/>
      <c r="H508" s="2595"/>
      <c r="I508" s="2595"/>
      <c r="J508" s="2595"/>
      <c r="K508" s="812"/>
      <c r="L508" s="812"/>
      <c r="M508" s="812"/>
      <c r="N508" s="812"/>
      <c r="O508" s="812"/>
    </row>
    <row r="509" spans="4:15" ht="12.75" customHeight="1" x14ac:dyDescent="0.25">
      <c r="D509" s="929"/>
      <c r="E509" s="2595"/>
      <c r="F509" s="2595"/>
      <c r="G509" s="2595"/>
      <c r="H509" s="2595"/>
      <c r="I509" s="2595"/>
      <c r="J509" s="2595"/>
      <c r="K509" s="812"/>
      <c r="L509" s="812"/>
      <c r="M509" s="812"/>
      <c r="N509" s="812"/>
      <c r="O509" s="812"/>
    </row>
    <row r="510" spans="4:15" ht="12.75" customHeight="1" x14ac:dyDescent="0.25">
      <c r="D510" s="929"/>
      <c r="E510" s="2595"/>
      <c r="F510" s="2595"/>
      <c r="G510" s="2595"/>
      <c r="H510" s="2595"/>
      <c r="I510" s="2595"/>
      <c r="J510" s="2595"/>
      <c r="K510" s="812"/>
      <c r="L510" s="812"/>
      <c r="M510" s="812"/>
      <c r="N510" s="812"/>
      <c r="O510" s="812"/>
    </row>
    <row r="511" spans="4:15" ht="12.75" customHeight="1" x14ac:dyDescent="0.25">
      <c r="D511" s="929"/>
      <c r="E511" s="930"/>
      <c r="F511" s="930"/>
      <c r="I511" s="924"/>
      <c r="J511" s="812"/>
      <c r="K511" s="812"/>
      <c r="L511" s="812"/>
      <c r="M511" s="812"/>
      <c r="N511" s="812"/>
      <c r="O511" s="812"/>
    </row>
    <row r="512" spans="4:15" ht="12.75" customHeight="1" x14ac:dyDescent="0.25">
      <c r="D512" s="929">
        <v>638012</v>
      </c>
      <c r="E512" s="832" t="s">
        <v>4199</v>
      </c>
      <c r="F512" s="930"/>
      <c r="I512" s="924"/>
      <c r="J512" s="966">
        <v>2025</v>
      </c>
      <c r="K512" s="966">
        <v>2026</v>
      </c>
      <c r="L512" s="966">
        <v>2027</v>
      </c>
      <c r="M512" s="966">
        <v>2028</v>
      </c>
      <c r="N512" s="966">
        <v>2029</v>
      </c>
      <c r="O512" s="966">
        <v>2030</v>
      </c>
    </row>
    <row r="513" spans="4:15" ht="12.75" customHeight="1" x14ac:dyDescent="0.25">
      <c r="D513" s="929"/>
      <c r="E513" s="800" t="s">
        <v>554</v>
      </c>
      <c r="F513" s="930"/>
      <c r="I513" s="924"/>
      <c r="J513" s="812"/>
      <c r="K513" s="812"/>
      <c r="L513" s="812"/>
      <c r="M513" s="812"/>
      <c r="N513" s="812"/>
      <c r="O513" s="812"/>
    </row>
    <row r="514" spans="4:15" ht="12.75" customHeight="1" x14ac:dyDescent="0.25">
      <c r="D514" s="793">
        <v>84310</v>
      </c>
      <c r="E514" s="791" t="s">
        <v>4305</v>
      </c>
      <c r="I514" s="924"/>
    </row>
    <row r="515" spans="4:15" ht="12.75" customHeight="1" x14ac:dyDescent="0.25">
      <c r="D515" s="793"/>
      <c r="E515" s="791" t="s">
        <v>4302</v>
      </c>
      <c r="I515" s="924"/>
    </row>
    <row r="516" spans="4:15" ht="12.75" customHeight="1" x14ac:dyDescent="0.25">
      <c r="D516" s="831"/>
      <c r="E516" s="791" t="s">
        <v>4306</v>
      </c>
      <c r="F516" s="831"/>
      <c r="I516" s="924"/>
      <c r="J516" s="812">
        <v>-18750</v>
      </c>
      <c r="K516" s="812">
        <v>-18750</v>
      </c>
      <c r="L516" s="812">
        <f>K516</f>
        <v>-18750</v>
      </c>
      <c r="M516" s="812">
        <f>L516</f>
        <v>-18750</v>
      </c>
      <c r="N516" s="812">
        <f>M516</f>
        <v>-18750</v>
      </c>
      <c r="O516" s="812">
        <f>N516</f>
        <v>-18750</v>
      </c>
    </row>
    <row r="517" spans="4:15" ht="12.75" customHeight="1" thickBot="1" x14ac:dyDescent="0.3">
      <c r="D517" s="831"/>
      <c r="E517" s="791" t="str">
        <f>"Totaal "&amp;D514</f>
        <v>Totaal 84310</v>
      </c>
      <c r="F517" s="831"/>
      <c r="I517" s="924"/>
      <c r="J517" s="1935">
        <v>-18750</v>
      </c>
      <c r="K517" s="1935">
        <f>SUM(K515:K516)</f>
        <v>-18750</v>
      </c>
      <c r="L517" s="1935">
        <f>SUM(L515:L516)</f>
        <v>-18750</v>
      </c>
      <c r="M517" s="1935">
        <f>SUM(M515:M516)</f>
        <v>-18750</v>
      </c>
      <c r="N517" s="1935">
        <f>SUM(N515:N516)</f>
        <v>-18750</v>
      </c>
      <c r="O517" s="1935">
        <f>SUM(O515:O516)</f>
        <v>-18750</v>
      </c>
    </row>
    <row r="518" spans="4:15" ht="12.75" customHeight="1" thickTop="1" x14ac:dyDescent="0.25">
      <c r="D518" s="831"/>
      <c r="E518" s="791"/>
      <c r="F518" s="831"/>
      <c r="I518" s="924"/>
      <c r="J518" s="812"/>
      <c r="K518" s="812"/>
      <c r="L518" s="812"/>
      <c r="M518" s="812"/>
      <c r="N518" s="812"/>
      <c r="O518" s="812"/>
    </row>
    <row r="519" spans="4:15" ht="12.75" customHeight="1" x14ac:dyDescent="0.25">
      <c r="D519" s="929">
        <f>+D337</f>
        <v>638013</v>
      </c>
      <c r="E519" s="929" t="str">
        <f>+E337</f>
        <v xml:space="preserve">Kapitaalverstrekking Bbz </v>
      </c>
      <c r="F519" s="930"/>
      <c r="I519" s="924"/>
      <c r="J519" s="966">
        <v>2025</v>
      </c>
      <c r="K519" s="966">
        <v>2026</v>
      </c>
      <c r="L519" s="966">
        <v>2027</v>
      </c>
      <c r="M519" s="966">
        <v>2028</v>
      </c>
      <c r="N519" s="966">
        <v>2028</v>
      </c>
      <c r="O519" s="966">
        <v>2028</v>
      </c>
    </row>
    <row r="520" spans="4:15" ht="12.75" customHeight="1" x14ac:dyDescent="0.25">
      <c r="D520" s="831"/>
      <c r="E520" s="800" t="s">
        <v>554</v>
      </c>
      <c r="F520" s="831"/>
      <c r="I520" s="924"/>
      <c r="J520" s="812"/>
      <c r="K520" s="812"/>
      <c r="L520" s="812"/>
      <c r="M520" s="812"/>
      <c r="N520" s="812"/>
      <c r="O520" s="812"/>
    </row>
    <row r="521" spans="4:15" ht="12.75" customHeight="1" x14ac:dyDescent="0.25">
      <c r="D521" s="831">
        <v>84380</v>
      </c>
      <c r="E521" s="796" t="s">
        <v>4307</v>
      </c>
      <c r="F521" s="831"/>
      <c r="I521" s="924"/>
      <c r="J521" s="812">
        <v>-38500</v>
      </c>
      <c r="K521" s="812">
        <v>-38500</v>
      </c>
      <c r="L521" s="812">
        <f>K521</f>
        <v>-38500</v>
      </c>
      <c r="M521" s="812">
        <f>L521</f>
        <v>-38500</v>
      </c>
      <c r="N521" s="812">
        <f>M521</f>
        <v>-38500</v>
      </c>
      <c r="O521" s="812">
        <f>N521</f>
        <v>-38500</v>
      </c>
    </row>
    <row r="522" spans="4:15" ht="12.75" customHeight="1" x14ac:dyDescent="0.25">
      <c r="D522" s="831"/>
      <c r="E522" s="791" t="s">
        <v>4308</v>
      </c>
      <c r="F522" s="831"/>
      <c r="I522" s="924"/>
      <c r="J522" s="812"/>
      <c r="K522" s="812"/>
      <c r="L522" s="812"/>
      <c r="M522" s="812"/>
      <c r="N522" s="812"/>
      <c r="O522" s="812"/>
    </row>
    <row r="523" spans="4:15" ht="12.75" customHeight="1" x14ac:dyDescent="0.25">
      <c r="D523" s="831"/>
      <c r="E523" s="791" t="s">
        <v>4309</v>
      </c>
      <c r="F523" s="831"/>
      <c r="I523" s="924"/>
      <c r="J523" s="812"/>
      <c r="K523" s="812"/>
      <c r="L523" s="812"/>
      <c r="M523" s="812"/>
      <c r="N523" s="812"/>
      <c r="O523" s="812"/>
    </row>
    <row r="524" spans="4:15" ht="12.75" customHeight="1" x14ac:dyDescent="0.25">
      <c r="D524" s="831"/>
      <c r="E524" s="791" t="s">
        <v>4310</v>
      </c>
      <c r="F524" s="831"/>
      <c r="I524" s="924"/>
      <c r="J524" s="812"/>
      <c r="K524" s="812"/>
      <c r="L524" s="812"/>
      <c r="M524" s="812"/>
      <c r="N524" s="812"/>
      <c r="O524" s="812"/>
    </row>
    <row r="525" spans="4:15" ht="12.75" customHeight="1" thickBot="1" x14ac:dyDescent="0.3">
      <c r="D525" s="831"/>
      <c r="E525" s="791" t="str">
        <f>"Totaal "&amp;D521</f>
        <v>Totaal 84380</v>
      </c>
      <c r="F525" s="831"/>
      <c r="I525" s="924"/>
      <c r="J525" s="1935">
        <v>-38500</v>
      </c>
      <c r="K525" s="1935">
        <f>SUM(K520:K524)</f>
        <v>-38500</v>
      </c>
      <c r="L525" s="1935">
        <f>SUM(L520:L524)</f>
        <v>-38500</v>
      </c>
      <c r="M525" s="1935">
        <f>SUM(M520:M524)</f>
        <v>-38500</v>
      </c>
      <c r="N525" s="1935">
        <f>SUM(N520:N524)</f>
        <v>-38500</v>
      </c>
      <c r="O525" s="1935">
        <f>SUM(O520:O524)</f>
        <v>-38500</v>
      </c>
    </row>
    <row r="526" spans="4:15" ht="12.75" customHeight="1" thickTop="1" x14ac:dyDescent="0.25">
      <c r="D526" s="831"/>
      <c r="E526" s="791"/>
      <c r="F526" s="831"/>
      <c r="I526" s="924"/>
      <c r="J526" s="812"/>
      <c r="K526" s="812"/>
      <c r="L526" s="812"/>
      <c r="M526" s="812"/>
      <c r="N526" s="812"/>
      <c r="O526" s="812"/>
    </row>
    <row r="527" spans="4:15" ht="12.75" customHeight="1" x14ac:dyDescent="0.25">
      <c r="D527" s="929">
        <v>638014</v>
      </c>
      <c r="E527" s="832" t="s">
        <v>4225</v>
      </c>
      <c r="F527" s="930"/>
      <c r="I527" s="924"/>
      <c r="J527" s="924"/>
      <c r="K527" s="924"/>
      <c r="L527" s="924"/>
      <c r="M527" s="924"/>
      <c r="N527" s="924"/>
      <c r="O527" s="924"/>
    </row>
    <row r="528" spans="4:15" ht="12.75" customHeight="1" x14ac:dyDescent="0.25">
      <c r="D528" s="929"/>
      <c r="E528" s="800" t="s">
        <v>554</v>
      </c>
      <c r="F528" s="930"/>
      <c r="I528" s="924"/>
      <c r="J528" s="812"/>
      <c r="K528" s="812"/>
      <c r="L528" s="812"/>
      <c r="M528" s="812"/>
      <c r="N528" s="812"/>
      <c r="O528" s="812"/>
    </row>
    <row r="529" spans="4:16" ht="12.75" customHeight="1" x14ac:dyDescent="0.25">
      <c r="D529" s="831">
        <v>84380</v>
      </c>
      <c r="E529" s="791" t="s">
        <v>4311</v>
      </c>
      <c r="F529" s="831"/>
      <c r="I529" s="924"/>
      <c r="J529" s="812">
        <v>-5000</v>
      </c>
      <c r="K529" s="812">
        <v>-5000</v>
      </c>
      <c r="L529" s="812">
        <f>K529</f>
        <v>-5000</v>
      </c>
      <c r="M529" s="812">
        <f>L529</f>
        <v>-5000</v>
      </c>
      <c r="N529" s="812">
        <f>M529</f>
        <v>-5000</v>
      </c>
      <c r="O529" s="812">
        <f>N529</f>
        <v>-5000</v>
      </c>
    </row>
    <row r="530" spans="4:16" ht="12.75" customHeight="1" thickBot="1" x14ac:dyDescent="0.3">
      <c r="D530" s="831"/>
      <c r="E530" s="791" t="str">
        <f>"Totaal "&amp;D529</f>
        <v>Totaal 84380</v>
      </c>
      <c r="F530" s="831"/>
      <c r="I530" s="924"/>
      <c r="J530" s="1935">
        <v>-5000</v>
      </c>
      <c r="K530" s="1935">
        <f t="shared" ref="K530" si="252">SUM(K528:K529)</f>
        <v>-5000</v>
      </c>
      <c r="L530" s="1935">
        <f t="shared" ref="L530:M530" si="253">SUM(L528:L529)</f>
        <v>-5000</v>
      </c>
      <c r="M530" s="1935">
        <f t="shared" si="253"/>
        <v>-5000</v>
      </c>
      <c r="N530" s="1935">
        <f t="shared" ref="N530:O530" si="254">SUM(N528:N529)</f>
        <v>-5000</v>
      </c>
      <c r="O530" s="1935">
        <f t="shared" si="254"/>
        <v>-5000</v>
      </c>
    </row>
    <row r="531" spans="4:16" ht="12.75" customHeight="1" thickTop="1" x14ac:dyDescent="0.25">
      <c r="D531" s="831"/>
      <c r="E531" s="831"/>
      <c r="F531" s="831"/>
      <c r="I531" s="924"/>
      <c r="J531" s="812"/>
      <c r="K531" s="812"/>
      <c r="L531" s="812"/>
      <c r="M531" s="812"/>
      <c r="N531" s="812"/>
      <c r="O531" s="812"/>
    </row>
    <row r="532" spans="4:16" ht="12.75" customHeight="1" x14ac:dyDescent="0.25">
      <c r="D532" s="834">
        <v>638023</v>
      </c>
      <c r="E532" s="832" t="s">
        <v>4208</v>
      </c>
      <c r="F532" s="813"/>
      <c r="I532" s="812"/>
      <c r="J532" s="812"/>
      <c r="K532" s="812"/>
      <c r="L532" s="812"/>
      <c r="M532" s="812"/>
      <c r="N532" s="812"/>
      <c r="O532" s="812"/>
    </row>
    <row r="533" spans="4:16" ht="12.75" customHeight="1" x14ac:dyDescent="0.25">
      <c r="D533" s="813"/>
      <c r="E533" s="980" t="s">
        <v>554</v>
      </c>
      <c r="F533" s="813"/>
      <c r="I533" s="812"/>
    </row>
    <row r="534" spans="4:16" ht="12.75" customHeight="1" x14ac:dyDescent="0.25">
      <c r="D534" s="793">
        <v>83420</v>
      </c>
      <c r="E534" s="791" t="s">
        <v>4312</v>
      </c>
      <c r="I534" s="812"/>
      <c r="J534" s="812">
        <v>-5000</v>
      </c>
      <c r="K534" s="812">
        <v>-5000</v>
      </c>
      <c r="L534" s="812">
        <f>K534</f>
        <v>-5000</v>
      </c>
      <c r="M534" s="812">
        <f>L534</f>
        <v>-5000</v>
      </c>
      <c r="N534" s="812">
        <f>M534</f>
        <v>-5000</v>
      </c>
      <c r="O534" s="812">
        <f>N534</f>
        <v>-5000</v>
      </c>
    </row>
    <row r="535" spans="4:16" ht="12.75" customHeight="1" thickBot="1" x14ac:dyDescent="0.3">
      <c r="D535" s="793"/>
      <c r="E535" s="791" t="str">
        <f>"Totaal "&amp;D534</f>
        <v>Totaal 83420</v>
      </c>
      <c r="I535" s="812"/>
      <c r="J535" s="1935">
        <v>-5000</v>
      </c>
      <c r="K535" s="1935">
        <f t="shared" ref="K535" si="255">SUM(K533:K534)</f>
        <v>-5000</v>
      </c>
      <c r="L535" s="1935">
        <f t="shared" ref="L535:M535" si="256">SUM(L533:L534)</f>
        <v>-5000</v>
      </c>
      <c r="M535" s="1935">
        <f t="shared" si="256"/>
        <v>-5000</v>
      </c>
      <c r="N535" s="1935">
        <f t="shared" ref="N535:O535" si="257">SUM(N533:N534)</f>
        <v>-5000</v>
      </c>
      <c r="O535" s="1935">
        <f t="shared" si="257"/>
        <v>-5000</v>
      </c>
    </row>
    <row r="536" spans="4:16" ht="12.75" customHeight="1" thickTop="1" x14ac:dyDescent="0.25">
      <c r="D536" s="793"/>
      <c r="E536" s="791"/>
    </row>
    <row r="537" spans="4:16" ht="12.75" customHeight="1" x14ac:dyDescent="0.25">
      <c r="D537" s="834">
        <v>638901</v>
      </c>
      <c r="E537" s="832" t="s">
        <v>4197</v>
      </c>
      <c r="F537" s="930"/>
      <c r="G537" s="832"/>
      <c r="I537" s="812"/>
      <c r="J537" s="812"/>
      <c r="K537" s="812"/>
    </row>
    <row r="538" spans="4:16" ht="12.75" customHeight="1" x14ac:dyDescent="0.25">
      <c r="D538" s="831"/>
      <c r="E538" s="983" t="s">
        <v>554</v>
      </c>
      <c r="F538" s="831"/>
      <c r="I538" s="971"/>
      <c r="J538" s="856"/>
      <c r="K538" s="966">
        <v>2026</v>
      </c>
      <c r="L538" s="966">
        <v>2027</v>
      </c>
      <c r="M538" s="966">
        <v>2028</v>
      </c>
      <c r="N538" s="966">
        <v>2029</v>
      </c>
      <c r="O538" s="966">
        <v>2030</v>
      </c>
      <c r="P538" s="812"/>
    </row>
    <row r="539" spans="4:16" ht="12.75" customHeight="1" x14ac:dyDescent="0.25">
      <c r="D539" s="831"/>
      <c r="E539" s="831"/>
      <c r="F539" s="831"/>
      <c r="I539" s="812"/>
      <c r="J539" s="812"/>
      <c r="K539" s="812"/>
      <c r="L539" s="812"/>
      <c r="M539" s="812"/>
      <c r="N539" s="812"/>
      <c r="O539" s="812"/>
      <c r="P539" s="812"/>
    </row>
    <row r="540" spans="4:16" ht="12.75" customHeight="1" x14ac:dyDescent="0.25">
      <c r="E540" s="984" t="s">
        <v>4313</v>
      </c>
      <c r="J540" s="812"/>
      <c r="K540" s="812"/>
      <c r="L540" s="812"/>
      <c r="M540" s="812"/>
      <c r="N540" s="812"/>
      <c r="O540" s="812"/>
      <c r="P540" s="812"/>
    </row>
    <row r="541" spans="4:16" ht="12.75" customHeight="1" x14ac:dyDescent="0.25">
      <c r="E541" s="792" t="s">
        <v>4314</v>
      </c>
      <c r="J541" s="812"/>
      <c r="K541" s="812">
        <v>-20000</v>
      </c>
      <c r="L541" s="934">
        <f t="shared" ref="L541:O542" si="258">ROUND(K541*T$3,0)</f>
        <v>-20840</v>
      </c>
      <c r="M541" s="934">
        <f t="shared" si="258"/>
        <v>-21611</v>
      </c>
      <c r="N541" s="934">
        <f t="shared" si="258"/>
        <v>-22411</v>
      </c>
      <c r="O541" s="934">
        <f t="shared" si="258"/>
        <v>-23240</v>
      </c>
      <c r="P541" s="812"/>
    </row>
    <row r="542" spans="4:16" ht="12.75" customHeight="1" x14ac:dyDescent="0.25">
      <c r="E542" s="985" t="s">
        <v>4315</v>
      </c>
      <c r="J542" s="812"/>
      <c r="K542" s="812">
        <v>-22000</v>
      </c>
      <c r="L542" s="934">
        <f t="shared" si="258"/>
        <v>-22924</v>
      </c>
      <c r="M542" s="934">
        <f t="shared" si="258"/>
        <v>-23772</v>
      </c>
      <c r="N542" s="934">
        <f t="shared" si="258"/>
        <v>-24652</v>
      </c>
      <c r="O542" s="934">
        <f t="shared" si="258"/>
        <v>-25564</v>
      </c>
      <c r="P542" s="812"/>
    </row>
    <row r="543" spans="4:16" ht="12.75" customHeight="1" thickBot="1" x14ac:dyDescent="0.3">
      <c r="E543" s="792" t="s">
        <v>536</v>
      </c>
      <c r="J543" s="1935">
        <v>0</v>
      </c>
      <c r="K543" s="1935">
        <f>SUM(K541:K542)</f>
        <v>-42000</v>
      </c>
      <c r="L543" s="1935">
        <f>SUM(L541:L542)</f>
        <v>-43764</v>
      </c>
      <c r="M543" s="1935">
        <f>SUM(M541:M542)</f>
        <v>-45383</v>
      </c>
      <c r="N543" s="1935">
        <f>SUM(N541:N542)</f>
        <v>-47063</v>
      </c>
      <c r="O543" s="1935">
        <f>SUM(O541:O542)</f>
        <v>-48804</v>
      </c>
      <c r="P543" s="812"/>
    </row>
    <row r="544" spans="4:16" ht="12.75" customHeight="1" thickTop="1" x14ac:dyDescent="0.25">
      <c r="E544" s="792"/>
      <c r="J544" s="812"/>
      <c r="K544" s="812"/>
      <c r="L544" s="812"/>
      <c r="M544" s="812"/>
      <c r="N544" s="812"/>
      <c r="O544" s="812"/>
      <c r="P544" s="812"/>
    </row>
    <row r="545" spans="10:16" ht="12.75" customHeight="1" x14ac:dyDescent="0.25">
      <c r="J545" s="812"/>
      <c r="K545" s="812"/>
      <c r="L545" s="812"/>
      <c r="M545" s="812"/>
      <c r="N545" s="812"/>
      <c r="O545" s="812"/>
      <c r="P545" s="812"/>
    </row>
    <row r="546" spans="10:16" ht="12.75" customHeight="1" x14ac:dyDescent="0.25">
      <c r="J546" s="812"/>
      <c r="K546" s="812"/>
      <c r="L546" s="812"/>
      <c r="M546" s="812"/>
      <c r="N546" s="812"/>
      <c r="O546" s="812"/>
      <c r="P546" s="812"/>
    </row>
    <row r="547" spans="10:16" ht="12.75" customHeight="1" x14ac:dyDescent="0.25">
      <c r="J547" s="812"/>
      <c r="K547" s="812"/>
      <c r="L547" s="812"/>
      <c r="M547" s="812"/>
      <c r="N547" s="812"/>
      <c r="O547" s="812"/>
      <c r="P547" s="812"/>
    </row>
    <row r="548" spans="10:16" ht="12.75" customHeight="1" x14ac:dyDescent="0.25">
      <c r="J548" s="812"/>
      <c r="K548" s="812"/>
      <c r="L548" s="812"/>
      <c r="M548" s="812"/>
      <c r="N548" s="812"/>
      <c r="O548" s="812"/>
      <c r="P548" s="812"/>
    </row>
    <row r="549" spans="10:16" ht="12.75" customHeight="1" x14ac:dyDescent="0.25">
      <c r="J549" s="812"/>
      <c r="K549" s="812"/>
      <c r="L549" s="812"/>
      <c r="M549" s="812"/>
      <c r="N549" s="812"/>
      <c r="O549" s="812"/>
      <c r="P549" s="812"/>
    </row>
    <row r="550" spans="10:16" ht="12.75" customHeight="1" x14ac:dyDescent="0.25">
      <c r="J550" s="812"/>
      <c r="K550" s="812"/>
      <c r="L550" s="812"/>
      <c r="M550" s="812"/>
      <c r="N550" s="812"/>
      <c r="O550" s="812"/>
      <c r="P550" s="812"/>
    </row>
    <row r="551" spans="10:16" ht="12.75" customHeight="1" x14ac:dyDescent="0.25">
      <c r="J551" s="812"/>
      <c r="K551" s="812"/>
      <c r="L551" s="812"/>
      <c r="M551" s="812"/>
      <c r="N551" s="812"/>
      <c r="O551" s="812"/>
      <c r="P551" s="812"/>
    </row>
    <row r="552" spans="10:16" ht="12.75" customHeight="1" x14ac:dyDescent="0.25">
      <c r="J552" s="812"/>
      <c r="K552" s="812"/>
      <c r="L552" s="812"/>
      <c r="M552" s="812"/>
      <c r="N552" s="812"/>
      <c r="O552" s="812"/>
      <c r="P552" s="812"/>
    </row>
    <row r="553" spans="10:16" ht="12.75" customHeight="1" x14ac:dyDescent="0.25">
      <c r="J553" s="812"/>
      <c r="K553" s="812"/>
      <c r="L553" s="812"/>
      <c r="M553" s="812"/>
      <c r="N553" s="812"/>
      <c r="O553" s="812"/>
      <c r="P553" s="812"/>
    </row>
  </sheetData>
  <mergeCells count="14">
    <mergeCell ref="E508:J510"/>
    <mergeCell ref="P419:U422"/>
    <mergeCell ref="E479:I481"/>
    <mergeCell ref="D81:D82"/>
    <mergeCell ref="F81:F82"/>
    <mergeCell ref="G81:H82"/>
    <mergeCell ref="E267:I268"/>
    <mergeCell ref="E382:K385"/>
    <mergeCell ref="E488:J490"/>
    <mergeCell ref="E405:K406"/>
    <mergeCell ref="E414:K415"/>
    <mergeCell ref="E419:I420"/>
    <mergeCell ref="E394:M397"/>
    <mergeCell ref="E497:J499"/>
  </mergeCells>
  <hyperlinks>
    <hyperlink ref="A1" location="Inhoudsopgave!A1" display="Inhoudsopgave" xr:uid="{AF20F903-A570-487D-A52A-F9555160C520}"/>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78" min="3" max="14" man="1"/>
    <brk id="163" min="3" max="14" man="1"/>
    <brk id="255" min="3" max="14" man="1"/>
    <brk id="336" min="3" max="14" man="1"/>
    <brk id="416" min="3" max="14" man="1"/>
    <brk id="511" min="3" max="14" man="1"/>
  </rowBreaks>
  <ignoredErrors>
    <ignoredError sqref="K446 K525 K355 K335 K340 K367:N367" formulaRange="1"/>
  </ignoredError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3FE7-02F4-44FA-A2DD-B8A0B16C46BF}">
  <dimension ref="A1:W70"/>
  <sheetViews>
    <sheetView showGridLines="0" view="pageBreakPreview" topLeftCell="A25" zoomScaleNormal="100" zoomScaleSheetLayoutView="100" workbookViewId="0">
      <selection activeCell="Q38" sqref="Q38"/>
    </sheetView>
  </sheetViews>
  <sheetFormatPr defaultColWidth="9.109375" defaultRowHeight="12.75" customHeight="1" x14ac:dyDescent="0.25"/>
  <cols>
    <col min="1" max="1" width="9.109375" style="862"/>
    <col min="2" max="3" width="15.109375" style="863" customWidth="1"/>
    <col min="4" max="4" width="9.6640625" style="864" customWidth="1"/>
    <col min="5" max="6" width="9.6640625" style="865" customWidth="1"/>
    <col min="7" max="9" width="12.6640625" style="863" customWidth="1"/>
    <col min="10" max="10" width="11.6640625" style="863" hidden="1" customWidth="1"/>
    <col min="11" max="15" width="11.6640625" style="863" customWidth="1"/>
    <col min="16" max="17" width="10.6640625" style="863" customWidth="1"/>
    <col min="18" max="18" width="9.109375" style="863" customWidth="1"/>
    <col min="19"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4316</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D5" s="2361" t="s">
        <v>4317</v>
      </c>
    </row>
    <row r="6" spans="1:23" ht="12.75" customHeight="1" x14ac:dyDescent="0.25">
      <c r="D6" s="2362"/>
    </row>
    <row r="7" spans="1:23" ht="12.75" customHeight="1" x14ac:dyDescent="0.25">
      <c r="D7" s="2363" t="s">
        <v>4318</v>
      </c>
    </row>
    <row r="8" spans="1:23" ht="12.75" customHeight="1" x14ac:dyDescent="0.25">
      <c r="D8" s="2364"/>
    </row>
    <row r="9" spans="1:23" ht="12.75" customHeight="1" x14ac:dyDescent="0.25">
      <c r="D9" s="2363" t="s">
        <v>4319</v>
      </c>
    </row>
    <row r="10" spans="1:23" ht="12.75" customHeight="1" x14ac:dyDescent="0.25">
      <c r="D10" s="2363" t="s">
        <v>4320</v>
      </c>
    </row>
    <row r="11" spans="1:23" ht="12.75" customHeight="1" x14ac:dyDescent="0.25">
      <c r="D11" s="2363" t="s">
        <v>4321</v>
      </c>
    </row>
    <row r="12" spans="1:23" ht="12.75" customHeight="1" x14ac:dyDescent="0.25">
      <c r="D12" s="2362"/>
    </row>
    <row r="13" spans="1:23" ht="12.75" customHeight="1" x14ac:dyDescent="0.25">
      <c r="D13" s="2363" t="s">
        <v>4028</v>
      </c>
    </row>
    <row r="14" spans="1:23" ht="12.75" customHeight="1" x14ac:dyDescent="0.25">
      <c r="D14" s="2364"/>
    </row>
    <row r="15" spans="1:23" ht="12.75" customHeight="1" x14ac:dyDescent="0.25">
      <c r="D15" s="2363" t="s">
        <v>4322</v>
      </c>
    </row>
    <row r="16" spans="1:23" ht="12.75" customHeight="1" x14ac:dyDescent="0.25">
      <c r="D16" s="2363" t="s">
        <v>4323</v>
      </c>
    </row>
    <row r="18" spans="4:20" ht="12.75" customHeight="1" x14ac:dyDescent="0.25">
      <c r="D18" s="870" t="s">
        <v>507</v>
      </c>
      <c r="E18" s="864"/>
      <c r="F18" s="864"/>
    </row>
    <row r="19" spans="4:20" ht="12.75" customHeight="1" x14ac:dyDescent="0.25">
      <c r="E19" s="864"/>
      <c r="F19" s="864"/>
    </row>
    <row r="20" spans="4:20" ht="12.75" customHeight="1" x14ac:dyDescent="0.25">
      <c r="D20" s="2310" t="s">
        <v>508</v>
      </c>
      <c r="E20" s="2311"/>
      <c r="F20" s="2311"/>
      <c r="G20" s="2312"/>
      <c r="H20" s="2312"/>
      <c r="I20" s="2313"/>
      <c r="J20" s="2313">
        <v>2025</v>
      </c>
      <c r="K20" s="2313">
        <v>2026</v>
      </c>
      <c r="L20" s="2313">
        <v>2027</v>
      </c>
      <c r="M20" s="2313">
        <v>2028</v>
      </c>
      <c r="N20" s="2313">
        <v>2029</v>
      </c>
      <c r="O20" s="2313">
        <v>2030</v>
      </c>
    </row>
    <row r="21" spans="4:20" ht="12.75" customHeight="1" x14ac:dyDescent="0.25">
      <c r="D21" s="876" t="str">
        <f>G39</f>
        <v>Uitv wet sociale werkvoorziening oud</v>
      </c>
      <c r="E21" s="877"/>
      <c r="F21" s="878"/>
      <c r="I21" s="879"/>
      <c r="J21" s="875">
        <v>3360235</v>
      </c>
      <c r="K21" s="875">
        <f t="shared" ref="K21:O21" si="0">K43</f>
        <v>3560789</v>
      </c>
      <c r="L21" s="875">
        <f t="shared" si="0"/>
        <v>3396507</v>
      </c>
      <c r="M21" s="875">
        <f t="shared" si="0"/>
        <v>3241456</v>
      </c>
      <c r="N21" s="875">
        <f t="shared" si="0"/>
        <v>3241743</v>
      </c>
      <c r="O21" s="875">
        <f t="shared" si="0"/>
        <v>3241139</v>
      </c>
    </row>
    <row r="22" spans="4:20" ht="12.75" customHeight="1" x14ac:dyDescent="0.25">
      <c r="D22" s="876"/>
      <c r="E22" s="877"/>
      <c r="F22" s="878"/>
      <c r="I22" s="879"/>
      <c r="J22" s="274"/>
      <c r="K22" s="274"/>
      <c r="L22" s="274"/>
      <c r="M22" s="274"/>
      <c r="N22" s="274"/>
      <c r="O22" s="274"/>
    </row>
    <row r="23" spans="4:20" ht="12.75" customHeight="1" x14ac:dyDescent="0.25">
      <c r="D23" s="876"/>
      <c r="E23" s="877"/>
      <c r="F23" s="878"/>
      <c r="I23" s="879"/>
      <c r="J23" s="275"/>
      <c r="K23" s="275"/>
      <c r="L23" s="275"/>
      <c r="M23" s="275"/>
      <c r="N23" s="275"/>
      <c r="O23" s="275"/>
    </row>
    <row r="24" spans="4:20" ht="12.75" customHeight="1" x14ac:dyDescent="0.25">
      <c r="D24" s="2316" t="s">
        <v>525</v>
      </c>
      <c r="E24" s="2317"/>
      <c r="F24" s="2318"/>
      <c r="G24" s="2319"/>
      <c r="H24" s="2319"/>
      <c r="I24" s="2320"/>
      <c r="J24" s="2321">
        <v>3360235</v>
      </c>
      <c r="K24" s="2321">
        <f>SUM(K21:K23)</f>
        <v>3560789</v>
      </c>
      <c r="L24" s="2321">
        <f>SUM(L21:L23)</f>
        <v>3396507</v>
      </c>
      <c r="M24" s="2321">
        <f>SUM(M21:M23)</f>
        <v>3241456</v>
      </c>
      <c r="N24" s="2321">
        <f>SUM(N21:N23)</f>
        <v>3241743</v>
      </c>
      <c r="O24" s="2321">
        <f>SUM(O21:O23)</f>
        <v>3241139</v>
      </c>
    </row>
    <row r="25" spans="4:20" ht="12.75" customHeight="1" x14ac:dyDescent="0.25">
      <c r="E25" s="877"/>
      <c r="F25" s="878"/>
    </row>
    <row r="26" spans="4:20" ht="12.75" customHeight="1" x14ac:dyDescent="0.25">
      <c r="D26" s="2310" t="s">
        <v>526</v>
      </c>
      <c r="E26" s="2311"/>
      <c r="F26" s="2311"/>
      <c r="G26" s="2312"/>
      <c r="H26" s="2312"/>
      <c r="I26" s="2313"/>
      <c r="J26" s="2313">
        <v>2025</v>
      </c>
      <c r="K26" s="2313">
        <v>2026</v>
      </c>
      <c r="L26" s="2313">
        <v>2027</v>
      </c>
      <c r="M26" s="2313">
        <v>2028</v>
      </c>
      <c r="N26" s="2313">
        <v>2029</v>
      </c>
      <c r="O26" s="2313">
        <v>2030</v>
      </c>
    </row>
    <row r="27" spans="4:20" ht="12.75" customHeight="1" x14ac:dyDescent="0.25">
      <c r="D27" s="876"/>
      <c r="E27" s="877"/>
      <c r="F27" s="878"/>
      <c r="I27" s="879"/>
      <c r="J27" s="875"/>
      <c r="K27" s="875"/>
      <c r="L27" s="875"/>
      <c r="M27" s="875"/>
      <c r="N27" s="875"/>
      <c r="O27" s="875"/>
    </row>
    <row r="28" spans="4:20" ht="12.75" customHeight="1" x14ac:dyDescent="0.25">
      <c r="D28" s="881"/>
      <c r="E28" s="882"/>
      <c r="F28" s="883"/>
      <c r="G28" s="884"/>
      <c r="H28" s="884"/>
      <c r="I28" s="879"/>
      <c r="J28" s="880"/>
      <c r="K28" s="880"/>
      <c r="L28" s="880"/>
      <c r="M28" s="880"/>
      <c r="N28" s="880"/>
      <c r="O28" s="880"/>
      <c r="T28" s="863">
        <f>57000+57000+269216+10000</f>
        <v>393216</v>
      </c>
    </row>
    <row r="29" spans="4:20" ht="12.75" customHeight="1" x14ac:dyDescent="0.25">
      <c r="D29" s="2316" t="s">
        <v>328</v>
      </c>
      <c r="E29" s="2317"/>
      <c r="F29" s="2318"/>
      <c r="G29" s="2319"/>
      <c r="H29" s="2319"/>
      <c r="I29" s="2320"/>
      <c r="J29" s="2321">
        <v>0</v>
      </c>
      <c r="K29" s="2321">
        <f>SUM(K27:K28)</f>
        <v>0</v>
      </c>
      <c r="L29" s="2321">
        <f>SUM(L27:L28)</f>
        <v>0</v>
      </c>
      <c r="M29" s="2321">
        <f>SUM(M27:M28)</f>
        <v>0</v>
      </c>
      <c r="N29" s="2321">
        <f>SUM(N27:N28)</f>
        <v>0</v>
      </c>
      <c r="O29" s="2321">
        <f>SUM(O27:O28)</f>
        <v>0</v>
      </c>
    </row>
    <row r="30" spans="4:20" ht="12.75" customHeight="1" x14ac:dyDescent="0.25">
      <c r="E30" s="877"/>
      <c r="F30" s="878"/>
      <c r="J30" s="885"/>
      <c r="K30" s="885"/>
      <c r="L30" s="885"/>
      <c r="M30" s="885"/>
      <c r="N30" s="885"/>
      <c r="O30" s="885"/>
    </row>
    <row r="31" spans="4:20" ht="12.75" customHeight="1" x14ac:dyDescent="0.25">
      <c r="D31" s="2316" t="s">
        <v>976</v>
      </c>
      <c r="E31" s="2323"/>
      <c r="F31" s="2323"/>
      <c r="G31" s="2319"/>
      <c r="H31" s="2319"/>
      <c r="I31" s="2319"/>
      <c r="J31" s="2324">
        <v>3360235</v>
      </c>
      <c r="K31" s="2324">
        <f>K24+K29</f>
        <v>3560789</v>
      </c>
      <c r="L31" s="2324">
        <f>L24+L29</f>
        <v>3396507</v>
      </c>
      <c r="M31" s="2324">
        <f>M24+M29</f>
        <v>3241456</v>
      </c>
      <c r="N31" s="2324">
        <f>N24+N29</f>
        <v>3241743</v>
      </c>
      <c r="O31" s="2324">
        <f>O24+O29</f>
        <v>3241139</v>
      </c>
    </row>
    <row r="32" spans="4:20" ht="12.75" customHeight="1" x14ac:dyDescent="0.25">
      <c r="E32" s="877"/>
      <c r="F32" s="878"/>
      <c r="J32" s="885"/>
      <c r="K32" s="885"/>
    </row>
    <row r="33" spans="1:15" ht="12.75" customHeight="1" x14ac:dyDescent="0.25">
      <c r="E33" s="864"/>
      <c r="F33" s="864"/>
      <c r="J33" s="885"/>
      <c r="K33" s="885"/>
    </row>
    <row r="34" spans="1:15" ht="12.75" customHeight="1" x14ac:dyDescent="0.25">
      <c r="D34" s="870" t="s">
        <v>528</v>
      </c>
      <c r="E34" s="886"/>
      <c r="F34" s="886"/>
      <c r="I34" s="885"/>
    </row>
    <row r="36" spans="1:15" ht="12.75" customHeight="1" x14ac:dyDescent="0.25">
      <c r="D36" s="2585" t="s">
        <v>531</v>
      </c>
      <c r="E36" s="2325" t="s">
        <v>530</v>
      </c>
      <c r="F36" s="2585" t="s">
        <v>531</v>
      </c>
      <c r="G36" s="2587" t="s">
        <v>206</v>
      </c>
      <c r="H36" s="2588"/>
      <c r="I36" s="2365"/>
      <c r="J36" s="2326"/>
      <c r="K36" s="2326"/>
      <c r="L36" s="2326"/>
      <c r="M36" s="2326"/>
      <c r="N36" s="2326"/>
      <c r="O36" s="2326"/>
    </row>
    <row r="37" spans="1:15" ht="12.75" customHeight="1" x14ac:dyDescent="0.25">
      <c r="D37" s="2586"/>
      <c r="E37" s="887" t="s">
        <v>532</v>
      </c>
      <c r="F37" s="2586"/>
      <c r="G37" s="2589"/>
      <c r="H37" s="2590"/>
      <c r="I37" s="2366"/>
      <c r="J37" s="2367">
        <v>2025</v>
      </c>
      <c r="K37" s="2367">
        <v>2026</v>
      </c>
      <c r="L37" s="2367">
        <v>2027</v>
      </c>
      <c r="M37" s="2367">
        <v>2028</v>
      </c>
      <c r="N37" s="2367">
        <v>2029</v>
      </c>
      <c r="O37" s="2367">
        <v>2030</v>
      </c>
    </row>
    <row r="38" spans="1:15" ht="12.75" customHeight="1" x14ac:dyDescent="0.25">
      <c r="D38" s="2368"/>
      <c r="E38" s="2369"/>
      <c r="F38" s="2369"/>
      <c r="G38" s="2329"/>
      <c r="H38" s="889"/>
      <c r="I38" s="2326"/>
      <c r="J38" s="2370"/>
      <c r="K38" s="2370"/>
      <c r="L38" s="2370"/>
      <c r="M38" s="2370"/>
      <c r="N38" s="2370"/>
      <c r="O38" s="2370"/>
    </row>
    <row r="39" spans="1:15" ht="12.75" customHeight="1" x14ac:dyDescent="0.25">
      <c r="A39" s="904"/>
      <c r="D39" s="2371">
        <f>D50</f>
        <v>639001</v>
      </c>
      <c r="E39" s="891"/>
      <c r="F39" s="891"/>
      <c r="G39" s="2372" t="str">
        <f>E50</f>
        <v>Uitv wet sociale werkvoorziening oud</v>
      </c>
      <c r="I39" s="879"/>
      <c r="J39" s="2346"/>
      <c r="K39" s="2346"/>
      <c r="L39" s="2346"/>
      <c r="M39" s="2346"/>
      <c r="N39" s="2346"/>
      <c r="O39" s="2346"/>
    </row>
    <row r="40" spans="1:15" ht="12.75" customHeight="1" x14ac:dyDescent="0.25">
      <c r="D40" s="2371"/>
      <c r="E40" s="891"/>
      <c r="F40" s="891"/>
      <c r="G40" s="894" t="s">
        <v>533</v>
      </c>
      <c r="I40" s="879"/>
      <c r="J40" s="2346"/>
      <c r="K40" s="2346"/>
      <c r="L40" s="2346"/>
      <c r="M40" s="2346"/>
      <c r="N40" s="2346"/>
      <c r="O40" s="2346"/>
    </row>
    <row r="41" spans="1:15" ht="12.75" customHeight="1" x14ac:dyDescent="0.25">
      <c r="A41" s="862">
        <f>D39</f>
        <v>639001</v>
      </c>
      <c r="B41" s="863" t="str">
        <f>G39</f>
        <v>Uitv wet sociale werkvoorziening oud</v>
      </c>
      <c r="D41" s="2373">
        <v>44110</v>
      </c>
      <c r="E41" s="893"/>
      <c r="F41" s="893"/>
      <c r="G41" s="895" t="s">
        <v>4193</v>
      </c>
      <c r="I41" s="880"/>
      <c r="J41" s="880">
        <v>21220</v>
      </c>
      <c r="K41" s="880">
        <f>K56</f>
        <v>49534</v>
      </c>
      <c r="L41" s="880">
        <f>L56</f>
        <v>52157</v>
      </c>
      <c r="M41" s="880">
        <f>M56</f>
        <v>54838</v>
      </c>
      <c r="N41" s="880">
        <f>N56</f>
        <v>57533</v>
      </c>
      <c r="O41" s="880">
        <f>O56</f>
        <v>58043</v>
      </c>
    </row>
    <row r="42" spans="1:15" ht="12.75" customHeight="1" x14ac:dyDescent="0.25">
      <c r="A42" s="862">
        <f>D39</f>
        <v>639001</v>
      </c>
      <c r="B42" s="863" t="str">
        <f>G39</f>
        <v>Uitv wet sociale werkvoorziening oud</v>
      </c>
      <c r="D42" s="2373">
        <v>44330</v>
      </c>
      <c r="E42" s="893"/>
      <c r="F42" s="893"/>
      <c r="G42" s="895" t="s">
        <v>2635</v>
      </c>
      <c r="I42" s="880"/>
      <c r="J42" s="880">
        <v>3339015</v>
      </c>
      <c r="K42" s="880">
        <f>K63</f>
        <v>3511255</v>
      </c>
      <c r="L42" s="880">
        <f>L63</f>
        <v>3344350</v>
      </c>
      <c r="M42" s="880">
        <f>M63</f>
        <v>3186618</v>
      </c>
      <c r="N42" s="880">
        <f>N63</f>
        <v>3184210</v>
      </c>
      <c r="O42" s="880">
        <f>O63</f>
        <v>3183096</v>
      </c>
    </row>
    <row r="43" spans="1:15" ht="12.75" customHeight="1" thickBot="1" x14ac:dyDescent="0.3">
      <c r="D43" s="2374"/>
      <c r="E43" s="2331"/>
      <c r="F43" s="2331"/>
      <c r="G43" s="895" t="s">
        <v>536</v>
      </c>
      <c r="I43" s="880"/>
      <c r="J43" s="2333">
        <v>3360235</v>
      </c>
      <c r="K43" s="2333">
        <f t="shared" ref="K43:O43" si="1">SUM(K41:K42)</f>
        <v>3560789</v>
      </c>
      <c r="L43" s="2333">
        <f t="shared" si="1"/>
        <v>3396507</v>
      </c>
      <c r="M43" s="2333">
        <f t="shared" si="1"/>
        <v>3241456</v>
      </c>
      <c r="N43" s="2333">
        <f t="shared" si="1"/>
        <v>3241743</v>
      </c>
      <c r="O43" s="2333">
        <f t="shared" si="1"/>
        <v>3241139</v>
      </c>
    </row>
    <row r="44" spans="1:15" ht="12.75" customHeight="1" thickTop="1" x14ac:dyDescent="0.25">
      <c r="D44" s="2374"/>
      <c r="E44" s="2331"/>
      <c r="F44" s="2331"/>
      <c r="G44" s="895"/>
      <c r="I44" s="880"/>
      <c r="J44" s="875"/>
      <c r="K44" s="875"/>
      <c r="L44" s="875"/>
      <c r="M44" s="875"/>
      <c r="N44" s="875"/>
      <c r="O44" s="875"/>
    </row>
    <row r="45" spans="1:15" ht="12.75" customHeight="1" x14ac:dyDescent="0.25">
      <c r="D45" s="2375"/>
      <c r="E45" s="2337"/>
      <c r="F45" s="2337"/>
      <c r="G45" s="899"/>
      <c r="H45" s="884"/>
      <c r="I45" s="900"/>
      <c r="J45" s="901"/>
      <c r="K45" s="901"/>
      <c r="L45" s="901"/>
      <c r="M45" s="901"/>
      <c r="N45" s="901"/>
      <c r="O45" s="901"/>
    </row>
    <row r="46" spans="1:15" ht="12.75" customHeight="1" x14ac:dyDescent="0.25">
      <c r="D46" s="903"/>
      <c r="E46" s="903"/>
      <c r="F46" s="903"/>
      <c r="I46" s="885"/>
      <c r="J46" s="885"/>
      <c r="K46" s="885"/>
    </row>
    <row r="47" spans="1:15" ht="12.75" customHeight="1" x14ac:dyDescent="0.25">
      <c r="D47" s="902" t="s">
        <v>561</v>
      </c>
      <c r="E47" s="903"/>
      <c r="F47" s="903"/>
      <c r="G47" s="868"/>
      <c r="I47" s="885"/>
      <c r="J47" s="885"/>
      <c r="K47" s="885"/>
    </row>
    <row r="48" spans="1:15" ht="12.75" customHeight="1" x14ac:dyDescent="0.25">
      <c r="D48" s="903"/>
      <c r="E48" s="903"/>
      <c r="F48" s="903"/>
      <c r="I48" s="885"/>
      <c r="J48" s="885"/>
      <c r="K48" s="885"/>
    </row>
    <row r="49" spans="1:17" ht="12.75" customHeight="1" x14ac:dyDescent="0.25">
      <c r="D49" s="903"/>
      <c r="E49" s="903"/>
      <c r="F49" s="903"/>
      <c r="I49" s="885"/>
      <c r="J49" s="885"/>
      <c r="K49" s="885"/>
    </row>
    <row r="50" spans="1:17" ht="12.75" customHeight="1" x14ac:dyDescent="0.25">
      <c r="D50" s="905">
        <v>639001</v>
      </c>
      <c r="E50" s="2372" t="s">
        <v>4324</v>
      </c>
      <c r="F50" s="886"/>
      <c r="I50" s="885"/>
      <c r="J50" s="2376">
        <v>2025</v>
      </c>
      <c r="K50" s="2376">
        <v>2026</v>
      </c>
      <c r="L50" s="2376">
        <v>2027</v>
      </c>
      <c r="M50" s="2376">
        <v>2028</v>
      </c>
      <c r="N50" s="2376">
        <v>2029</v>
      </c>
      <c r="O50" s="2376">
        <v>2030</v>
      </c>
    </row>
    <row r="51" spans="1:17" ht="12.75" customHeight="1" x14ac:dyDescent="0.25">
      <c r="D51" s="905"/>
      <c r="E51" s="2377" t="s">
        <v>533</v>
      </c>
      <c r="F51" s="886"/>
      <c r="I51" s="885"/>
      <c r="J51" s="2378"/>
      <c r="K51" s="2378"/>
      <c r="L51" s="2378"/>
      <c r="M51" s="2378"/>
      <c r="N51" s="2378"/>
      <c r="O51" s="2378"/>
    </row>
    <row r="52" spans="1:17" ht="12.75" customHeight="1" x14ac:dyDescent="0.25">
      <c r="D52" s="865">
        <v>44110</v>
      </c>
      <c r="E52" s="863" t="s">
        <v>4325</v>
      </c>
      <c r="F52" s="903"/>
      <c r="I52" s="885"/>
    </row>
    <row r="53" spans="1:17" ht="12.75" customHeight="1" x14ac:dyDescent="0.25">
      <c r="D53" s="903"/>
      <c r="E53" s="863" t="s">
        <v>4326</v>
      </c>
      <c r="F53" s="903"/>
      <c r="I53" s="885"/>
    </row>
    <row r="54" spans="1:17" ht="12.75" customHeight="1" x14ac:dyDescent="0.25">
      <c r="D54" s="903"/>
      <c r="E54" s="863" t="s">
        <v>4327</v>
      </c>
      <c r="F54" s="903"/>
      <c r="I54" s="885"/>
      <c r="J54" s="885">
        <v>21220</v>
      </c>
      <c r="K54" s="885">
        <v>20755</v>
      </c>
      <c r="L54" s="885">
        <f>ROUND(K54*T$2,-1)</f>
        <v>21190</v>
      </c>
      <c r="M54" s="885">
        <f>ROUND(L54*U$2,-1)</f>
        <v>21680</v>
      </c>
      <c r="N54" s="885">
        <f>ROUND(M54*V$2,-1)</f>
        <v>22180</v>
      </c>
      <c r="O54" s="885">
        <f>ROUND(N54*W$2,-1)</f>
        <v>22690</v>
      </c>
      <c r="P54" s="863" t="s">
        <v>4328</v>
      </c>
    </row>
    <row r="55" spans="1:17" ht="12.75" customHeight="1" x14ac:dyDescent="0.25">
      <c r="D55" s="903"/>
      <c r="E55" s="885" t="s">
        <v>4329</v>
      </c>
      <c r="F55" s="903"/>
      <c r="I55" s="885"/>
      <c r="J55" s="885"/>
      <c r="K55" s="885">
        <v>28779</v>
      </c>
      <c r="L55" s="885">
        <v>30967</v>
      </c>
      <c r="M55" s="885">
        <v>33158</v>
      </c>
      <c r="N55" s="885">
        <v>35353</v>
      </c>
      <c r="O55" s="2379">
        <f>N55</f>
        <v>35353</v>
      </c>
    </row>
    <row r="56" spans="1:17" ht="12.75" customHeight="1" thickBot="1" x14ac:dyDescent="0.3">
      <c r="D56" s="903"/>
      <c r="E56" s="863" t="str">
        <f>"Totaal "&amp;D52</f>
        <v>Totaal 44110</v>
      </c>
      <c r="F56" s="903"/>
      <c r="I56" s="885"/>
      <c r="J56" s="2342">
        <v>21220</v>
      </c>
      <c r="K56" s="2342">
        <f>SUM(K54:K55)</f>
        <v>49534</v>
      </c>
      <c r="L56" s="2342">
        <f>SUM(L54:L55)</f>
        <v>52157</v>
      </c>
      <c r="M56" s="2342">
        <f>SUM(M54:M55)</f>
        <v>54838</v>
      </c>
      <c r="N56" s="2342">
        <f>SUM(N54:N55)</f>
        <v>57533</v>
      </c>
      <c r="O56" s="2342">
        <f>SUM(O54:O55)</f>
        <v>58043</v>
      </c>
    </row>
    <row r="57" spans="1:17" ht="12.75" customHeight="1" thickTop="1" x14ac:dyDescent="0.25">
      <c r="D57" s="903"/>
    </row>
    <row r="58" spans="1:17" ht="12.75" customHeight="1" x14ac:dyDescent="0.25">
      <c r="D58" s="903"/>
      <c r="E58" s="863"/>
      <c r="F58" s="903"/>
      <c r="I58" s="885"/>
      <c r="J58" s="885"/>
      <c r="K58" s="885"/>
      <c r="L58" s="885"/>
      <c r="M58" s="885"/>
      <c r="N58" s="885"/>
      <c r="O58" s="885"/>
    </row>
    <row r="59" spans="1:17" ht="12.75" customHeight="1" x14ac:dyDescent="0.25">
      <c r="D59" s="910">
        <v>44330</v>
      </c>
      <c r="E59" s="2380" t="s">
        <v>4330</v>
      </c>
      <c r="F59" s="910"/>
      <c r="H59" s="2380"/>
      <c r="I59" s="885"/>
      <c r="J59" s="885">
        <v>3314455</v>
      </c>
      <c r="K59" s="885">
        <v>3229796</v>
      </c>
      <c r="L59" s="885">
        <v>3073094</v>
      </c>
      <c r="M59" s="885">
        <v>2928511</v>
      </c>
      <c r="N59" s="885">
        <v>2928511</v>
      </c>
      <c r="O59" s="885">
        <v>2928511</v>
      </c>
      <c r="Q59" s="885"/>
    </row>
    <row r="60" spans="1:17" ht="12.75" customHeight="1" x14ac:dyDescent="0.25">
      <c r="D60" s="910"/>
      <c r="E60" s="2380" t="s">
        <v>4331</v>
      </c>
      <c r="F60" s="910"/>
      <c r="H60" s="2380"/>
      <c r="I60" s="885"/>
      <c r="J60" s="885">
        <v>24560</v>
      </c>
      <c r="K60" s="885">
        <v>23902</v>
      </c>
      <c r="L60" s="885">
        <v>22705</v>
      </c>
      <c r="M60" s="885">
        <v>21593</v>
      </c>
      <c r="N60" s="885">
        <v>19436</v>
      </c>
      <c r="O60" s="2379">
        <f>N60</f>
        <v>19436</v>
      </c>
    </row>
    <row r="61" spans="1:17" ht="12.75" customHeight="1" x14ac:dyDescent="0.25">
      <c r="D61" s="910"/>
      <c r="E61" s="2380" t="s">
        <v>4332</v>
      </c>
      <c r="F61" s="910"/>
      <c r="H61" s="2380"/>
      <c r="I61" s="885"/>
      <c r="J61" s="885"/>
      <c r="K61" s="885">
        <v>256651</v>
      </c>
      <c r="L61" s="885">
        <v>247576</v>
      </c>
      <c r="M61" s="885">
        <v>235470</v>
      </c>
      <c r="N61" s="885">
        <v>235149</v>
      </c>
      <c r="O61" s="2379">
        <f>N61</f>
        <v>235149</v>
      </c>
    </row>
    <row r="62" spans="1:17" s="2382" customFormat="1" ht="12.75" customHeight="1" x14ac:dyDescent="0.25">
      <c r="A62" s="2381"/>
      <c r="D62" s="2383"/>
      <c r="E62" s="2384" t="s">
        <v>5309</v>
      </c>
      <c r="F62" s="2383"/>
      <c r="H62" s="2384"/>
      <c r="I62" s="2385"/>
      <c r="J62" s="2385"/>
      <c r="K62" s="2385">
        <v>906</v>
      </c>
      <c r="L62" s="2385">
        <v>975</v>
      </c>
      <c r="M62" s="2385">
        <v>1044</v>
      </c>
      <c r="N62" s="2385">
        <v>1114</v>
      </c>
      <c r="O62" s="2385">
        <v>1114</v>
      </c>
    </row>
    <row r="63" spans="1:17" ht="12.75" customHeight="1" thickBot="1" x14ac:dyDescent="0.3">
      <c r="D63" s="865"/>
      <c r="E63" s="863" t="str">
        <f>"Totaal "&amp;D59</f>
        <v>Totaal 44330</v>
      </c>
      <c r="H63" s="2386"/>
      <c r="I63" s="885"/>
      <c r="J63" s="2342">
        <v>3339015</v>
      </c>
      <c r="K63" s="2342">
        <f>SUM(K59:K62)</f>
        <v>3511255</v>
      </c>
      <c r="L63" s="2342">
        <f>SUM(L59:L62)</f>
        <v>3344350</v>
      </c>
      <c r="M63" s="2342">
        <f>SUM(M59:M62)</f>
        <v>3186618</v>
      </c>
      <c r="N63" s="2342">
        <f>SUM(N59:N62)</f>
        <v>3184210</v>
      </c>
      <c r="O63" s="2342">
        <f t="shared" ref="O63" si="2">SUM(O59:O61)</f>
        <v>3183096</v>
      </c>
    </row>
    <row r="64" spans="1:17" ht="12.75" customHeight="1" thickTop="1" x14ac:dyDescent="0.25">
      <c r="D64" s="903"/>
      <c r="E64" s="873"/>
      <c r="F64" s="903"/>
      <c r="I64" s="885"/>
      <c r="J64" s="885"/>
      <c r="K64" s="885"/>
      <c r="L64" s="885"/>
      <c r="M64" s="885"/>
      <c r="N64" s="885"/>
      <c r="O64" s="885"/>
    </row>
    <row r="65" spans="4:12" ht="12.75" customHeight="1" x14ac:dyDescent="0.25">
      <c r="D65" s="903"/>
      <c r="E65" s="2606" t="s">
        <v>4333</v>
      </c>
      <c r="F65" s="2606"/>
      <c r="G65" s="2606"/>
      <c r="H65" s="2606"/>
      <c r="I65" s="2606"/>
      <c r="J65" s="2606"/>
      <c r="K65" s="2606"/>
      <c r="L65" s="2606"/>
    </row>
    <row r="66" spans="4:12" ht="12.75" customHeight="1" x14ac:dyDescent="0.25">
      <c r="D66" s="903"/>
      <c r="E66" s="2606"/>
      <c r="F66" s="2606"/>
      <c r="G66" s="2606"/>
      <c r="H66" s="2606"/>
      <c r="I66" s="2606"/>
      <c r="J66" s="2606"/>
      <c r="K66" s="2606"/>
      <c r="L66" s="2606"/>
    </row>
    <row r="67" spans="4:12" ht="12.75" customHeight="1" x14ac:dyDescent="0.25">
      <c r="D67" s="903"/>
      <c r="E67" s="2606"/>
      <c r="F67" s="2606"/>
      <c r="G67" s="2606"/>
      <c r="H67" s="2606"/>
      <c r="I67" s="2606"/>
      <c r="J67" s="2606"/>
      <c r="K67" s="2606"/>
      <c r="L67" s="2606"/>
    </row>
    <row r="68" spans="4:12" ht="12.75" customHeight="1" x14ac:dyDescent="0.25">
      <c r="D68" s="903"/>
      <c r="E68" s="2606"/>
      <c r="F68" s="2606"/>
      <c r="G68" s="2606"/>
      <c r="H68" s="2606"/>
      <c r="I68" s="2606"/>
      <c r="J68" s="2606"/>
      <c r="K68" s="2606"/>
      <c r="L68" s="2606"/>
    </row>
    <row r="69" spans="4:12" ht="12.75" customHeight="1" x14ac:dyDescent="0.25">
      <c r="D69" s="903"/>
      <c r="E69" s="2387"/>
      <c r="F69" s="2387"/>
      <c r="G69" s="2387"/>
      <c r="H69" s="2387"/>
      <c r="I69" s="2387"/>
    </row>
    <row r="70" spans="4:12" ht="12.75" customHeight="1" x14ac:dyDescent="0.25">
      <c r="D70" s="903"/>
      <c r="E70" s="903"/>
      <c r="F70" s="903"/>
    </row>
  </sheetData>
  <mergeCells count="4">
    <mergeCell ref="D36:D37"/>
    <mergeCell ref="F36:F37"/>
    <mergeCell ref="G36:H37"/>
    <mergeCell ref="E65:L68"/>
  </mergeCells>
  <hyperlinks>
    <hyperlink ref="A1" location="Inhoudsopgave!A1" display="Inhoudsopgave" xr:uid="{F35F02F7-E429-4B7E-932D-0FB855A3FFC7}"/>
  </hyperlinks>
  <pageMargins left="0.59055118110236227" right="0.39370078740157483" top="0.39370078740157483" bottom="0.39370078740157483" header="0.51181102362204722" footer="0.51181102362204722"/>
  <pageSetup paperSize="9" scale="70"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6DBF-31CF-4318-8903-51F3BDEC43C5}">
  <sheetPr codeName="Blad39"/>
  <dimension ref="A1:AA416"/>
  <sheetViews>
    <sheetView showGridLines="0" topLeftCell="A41" zoomScaleNormal="100" zoomScaleSheetLayoutView="50" workbookViewId="0">
      <selection activeCell="O130" sqref="O130"/>
    </sheetView>
  </sheetViews>
  <sheetFormatPr defaultColWidth="9.109375" defaultRowHeight="12.75" customHeight="1" x14ac:dyDescent="0.25"/>
  <cols>
    <col min="1" max="1" width="9.109375" style="795"/>
    <col min="2" max="3" width="15.109375" style="791" customWidth="1"/>
    <col min="4" max="4" width="9.6640625" style="792" customWidth="1"/>
    <col min="5" max="6" width="9.6640625" style="793" customWidth="1"/>
    <col min="7" max="9" width="12.6640625" style="791" customWidth="1"/>
    <col min="10" max="15" width="11.6640625" style="791" customWidth="1"/>
    <col min="16" max="16" width="14.44140625" style="791" customWidth="1"/>
    <col min="17" max="18" width="10.6640625" style="791" customWidth="1"/>
    <col min="19" max="19" width="9.109375" style="791" customWidth="1"/>
    <col min="20" max="16384" width="9.109375" style="791"/>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792" t="s">
        <v>504</v>
      </c>
      <c r="H2" s="791" t="s">
        <v>4142</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792" t="s">
        <v>66</v>
      </c>
      <c r="H6" s="796" t="s">
        <v>39</v>
      </c>
    </row>
    <row r="34" spans="4:20" ht="12.75" customHeight="1" x14ac:dyDescent="0.25">
      <c r="D34" s="797" t="s">
        <v>507</v>
      </c>
      <c r="E34" s="792"/>
      <c r="F34" s="792"/>
    </row>
    <row r="35" spans="4:20" ht="12.75" customHeight="1" x14ac:dyDescent="0.25">
      <c r="E35" s="792"/>
      <c r="F35" s="792"/>
    </row>
    <row r="36" spans="4:20" ht="12.75" customHeight="1" x14ac:dyDescent="0.25">
      <c r="D36" s="1913" t="s">
        <v>508</v>
      </c>
      <c r="E36" s="1914"/>
      <c r="F36" s="1914"/>
      <c r="G36" s="1915"/>
      <c r="H36" s="1915"/>
      <c r="I36" s="1916"/>
      <c r="J36" s="1916">
        <v>2025</v>
      </c>
      <c r="K36" s="1916">
        <v>2026</v>
      </c>
      <c r="L36" s="1916">
        <v>2027</v>
      </c>
      <c r="M36" s="1916">
        <v>2028</v>
      </c>
      <c r="N36" s="1916">
        <v>2029</v>
      </c>
      <c r="O36" s="1916">
        <v>2030</v>
      </c>
    </row>
    <row r="37" spans="4:20" ht="12.75" customHeight="1" x14ac:dyDescent="0.25">
      <c r="D37" s="803" t="str">
        <f>G62</f>
        <v>Scholing en activering compensabel</v>
      </c>
      <c r="E37" s="804"/>
      <c r="F37" s="805"/>
      <c r="I37" s="806"/>
      <c r="J37" s="63">
        <v>695129</v>
      </c>
      <c r="K37" s="63">
        <f t="shared" ref="K37:M37" si="0">K65</f>
        <v>850123</v>
      </c>
      <c r="L37" s="63">
        <f t="shared" si="0"/>
        <v>902956</v>
      </c>
      <c r="M37" s="63">
        <f t="shared" si="0"/>
        <v>882703</v>
      </c>
      <c r="N37" s="63">
        <f t="shared" ref="N37:O37" si="1">N65</f>
        <v>928488</v>
      </c>
      <c r="O37" s="63">
        <f t="shared" si="1"/>
        <v>932168</v>
      </c>
    </row>
    <row r="38" spans="4:20" ht="12.75" customHeight="1" x14ac:dyDescent="0.25">
      <c r="D38" s="803" t="str">
        <f>G67</f>
        <v>Opleiding en begeleiding zelfstandigen</v>
      </c>
      <c r="E38" s="804"/>
      <c r="F38" s="805"/>
      <c r="I38" s="806"/>
      <c r="J38" s="802">
        <v>3500</v>
      </c>
      <c r="K38" s="802">
        <f t="shared" ref="K38:M38" si="2">K70</f>
        <v>3590</v>
      </c>
      <c r="L38" s="802">
        <f t="shared" si="2"/>
        <v>3670</v>
      </c>
      <c r="M38" s="802">
        <f t="shared" si="2"/>
        <v>3750</v>
      </c>
      <c r="N38" s="802">
        <f t="shared" ref="N38:O38" si="3">N70</f>
        <v>3840</v>
      </c>
      <c r="O38" s="802">
        <f t="shared" si="3"/>
        <v>3930</v>
      </c>
      <c r="P38" s="832"/>
    </row>
    <row r="39" spans="4:20" ht="12.75" customHeight="1" x14ac:dyDescent="0.25">
      <c r="D39" s="803" t="str">
        <f>G72</f>
        <v>Uitvoeringsbudget laaggeletterdheid</v>
      </c>
      <c r="E39" s="804"/>
      <c r="F39" s="805"/>
      <c r="I39" s="806"/>
      <c r="J39" s="802">
        <v>0</v>
      </c>
      <c r="K39" s="802">
        <f>K75</f>
        <v>30800</v>
      </c>
      <c r="L39" s="802">
        <f t="shared" ref="L39:N39" si="4">L75</f>
        <v>31400</v>
      </c>
      <c r="M39" s="802">
        <f t="shared" si="4"/>
        <v>32100</v>
      </c>
      <c r="N39" s="802">
        <f t="shared" si="4"/>
        <v>32800</v>
      </c>
      <c r="O39" s="802">
        <f t="shared" ref="O39" si="5">O75</f>
        <v>33600</v>
      </c>
      <c r="P39" s="832"/>
    </row>
    <row r="40" spans="4:20" ht="12.75" customHeight="1" x14ac:dyDescent="0.25">
      <c r="D40" s="803" t="str">
        <f>G77</f>
        <v>Directe toerekening arbeidsparticipatie</v>
      </c>
      <c r="E40" s="804"/>
      <c r="F40" s="805"/>
      <c r="I40" s="806"/>
      <c r="J40" s="63">
        <v>1164542</v>
      </c>
      <c r="K40" s="63">
        <f t="shared" ref="K40:M40" si="6">K81</f>
        <v>1332652.98</v>
      </c>
      <c r="L40" s="63">
        <f t="shared" si="6"/>
        <v>1294844</v>
      </c>
      <c r="M40" s="63">
        <f t="shared" si="6"/>
        <v>1342753</v>
      </c>
      <c r="N40" s="63">
        <f t="shared" ref="N40:O40" si="7">N81</f>
        <v>1392435</v>
      </c>
      <c r="O40" s="63">
        <f t="shared" si="7"/>
        <v>1443955</v>
      </c>
    </row>
    <row r="41" spans="4:20" ht="12.75" customHeight="1" x14ac:dyDescent="0.25">
      <c r="D41" s="803" t="s">
        <v>4334</v>
      </c>
      <c r="E41" s="804"/>
      <c r="F41" s="805"/>
      <c r="I41" s="806"/>
      <c r="J41" s="63">
        <v>33652</v>
      </c>
      <c r="K41" s="63">
        <f>K86</f>
        <v>516517</v>
      </c>
      <c r="L41" s="63">
        <f>L86</f>
        <v>33050</v>
      </c>
      <c r="M41" s="63">
        <f>M86</f>
        <v>33810</v>
      </c>
      <c r="N41" s="63">
        <f>N86</f>
        <v>34590</v>
      </c>
      <c r="O41" s="63">
        <f>O86</f>
        <v>35390</v>
      </c>
      <c r="P41" s="812"/>
      <c r="Q41" s="812"/>
      <c r="R41" s="812"/>
      <c r="S41" s="812"/>
      <c r="T41" s="812"/>
    </row>
    <row r="42" spans="4:20" ht="12.75" customHeight="1" x14ac:dyDescent="0.25">
      <c r="D42" s="803"/>
      <c r="E42" s="804"/>
      <c r="F42" s="805"/>
      <c r="I42" s="806"/>
      <c r="J42" s="64"/>
      <c r="K42" s="64"/>
      <c r="L42" s="64"/>
      <c r="M42" s="64"/>
      <c r="N42" s="64"/>
      <c r="O42" s="64"/>
    </row>
    <row r="43" spans="4:20" ht="12.75" customHeight="1" x14ac:dyDescent="0.25">
      <c r="D43" s="803"/>
      <c r="E43" s="804"/>
      <c r="F43" s="805"/>
      <c r="I43" s="806"/>
      <c r="J43" s="64"/>
      <c r="K43" s="64"/>
      <c r="L43" s="64"/>
      <c r="M43" s="64"/>
      <c r="N43" s="64"/>
      <c r="O43" s="64"/>
    </row>
    <row r="44" spans="4:20" ht="12.75" customHeight="1" x14ac:dyDescent="0.25">
      <c r="D44" s="803"/>
      <c r="E44" s="804"/>
      <c r="F44" s="805"/>
      <c r="I44" s="806"/>
      <c r="J44" s="65"/>
      <c r="K44" s="65"/>
      <c r="L44" s="65"/>
      <c r="M44" s="65"/>
      <c r="N44" s="65"/>
      <c r="O44" s="65"/>
    </row>
    <row r="45" spans="4:20" ht="12.75" customHeight="1" x14ac:dyDescent="0.25">
      <c r="D45" s="1917" t="s">
        <v>525</v>
      </c>
      <c r="E45" s="1918"/>
      <c r="F45" s="1919"/>
      <c r="G45" s="1920"/>
      <c r="H45" s="1920"/>
      <c r="I45" s="1921"/>
      <c r="J45" s="1922">
        <v>1896823</v>
      </c>
      <c r="K45" s="1922">
        <f>SUM(K37:K44)</f>
        <v>2733682.98</v>
      </c>
      <c r="L45" s="1922">
        <f>SUM(L37:L44)</f>
        <v>2265920</v>
      </c>
      <c r="M45" s="1922">
        <f>SUM(M37:M44)</f>
        <v>2295116</v>
      </c>
      <c r="N45" s="1922">
        <f>SUM(N37:N44)</f>
        <v>2392153</v>
      </c>
      <c r="O45" s="1922">
        <f>SUM(O37:O44)</f>
        <v>2449043</v>
      </c>
    </row>
    <row r="46" spans="4:20" ht="12.75" customHeight="1" x14ac:dyDescent="0.25">
      <c r="E46" s="804"/>
      <c r="F46" s="805"/>
    </row>
    <row r="47" spans="4:20" ht="12.75" customHeight="1" x14ac:dyDescent="0.25">
      <c r="D47" s="1913" t="s">
        <v>526</v>
      </c>
      <c r="E47" s="1914"/>
      <c r="F47" s="1914"/>
      <c r="G47" s="1915"/>
      <c r="H47" s="1915"/>
      <c r="I47" s="1916"/>
      <c r="J47" s="1916">
        <v>2025</v>
      </c>
      <c r="K47" s="1916">
        <v>2026</v>
      </c>
      <c r="L47" s="1916">
        <v>2027</v>
      </c>
      <c r="M47" s="1916">
        <v>2028</v>
      </c>
      <c r="N47" s="1916">
        <v>2029</v>
      </c>
      <c r="O47" s="1916">
        <v>2030</v>
      </c>
    </row>
    <row r="48" spans="4:20" ht="12.75" customHeight="1" x14ac:dyDescent="0.25">
      <c r="D48" s="803" t="str">
        <f>G94</f>
        <v>Directe toerekening arbeidsparticipatie</v>
      </c>
      <c r="E48" s="804"/>
      <c r="F48" s="805"/>
      <c r="I48" s="806"/>
      <c r="J48" s="802">
        <v>-20000</v>
      </c>
      <c r="K48" s="802">
        <f t="shared" ref="K48:M48" si="8">K97</f>
        <v>17000</v>
      </c>
      <c r="L48" s="802">
        <f t="shared" si="8"/>
        <v>0</v>
      </c>
      <c r="M48" s="802">
        <f t="shared" si="8"/>
        <v>0</v>
      </c>
      <c r="N48" s="802">
        <f t="shared" ref="N48:O48" si="9">N97</f>
        <v>0</v>
      </c>
      <c r="O48" s="802">
        <f t="shared" si="9"/>
        <v>0</v>
      </c>
    </row>
    <row r="49" spans="1:15" ht="12.75" customHeight="1" x14ac:dyDescent="0.25">
      <c r="D49" s="803" t="s">
        <v>4334</v>
      </c>
      <c r="E49" s="804"/>
      <c r="F49" s="805"/>
      <c r="I49" s="806"/>
      <c r="J49" s="802">
        <f>J91</f>
        <v>0</v>
      </c>
      <c r="K49" s="802">
        <f t="shared" ref="K49:O49" si="10">K91</f>
        <v>-484147</v>
      </c>
      <c r="L49" s="802">
        <f t="shared" si="10"/>
        <v>0</v>
      </c>
      <c r="M49" s="802">
        <f t="shared" si="10"/>
        <v>0</v>
      </c>
      <c r="N49" s="802">
        <f t="shared" si="10"/>
        <v>0</v>
      </c>
      <c r="O49" s="802">
        <f t="shared" si="10"/>
        <v>0</v>
      </c>
    </row>
    <row r="50" spans="1:15" ht="12.75" customHeight="1" x14ac:dyDescent="0.25">
      <c r="D50" s="808"/>
      <c r="E50" s="809"/>
      <c r="F50" s="810"/>
      <c r="G50" s="811"/>
      <c r="H50" s="811"/>
      <c r="I50" s="806"/>
      <c r="J50" s="807"/>
      <c r="K50" s="807"/>
      <c r="L50" s="807"/>
      <c r="M50" s="807"/>
      <c r="N50" s="807"/>
      <c r="O50" s="807"/>
    </row>
    <row r="51" spans="1:15" ht="12.75" customHeight="1" x14ac:dyDescent="0.25">
      <c r="D51" s="1917" t="s">
        <v>328</v>
      </c>
      <c r="E51" s="1918"/>
      <c r="F51" s="1919"/>
      <c r="G51" s="1920"/>
      <c r="H51" s="1920"/>
      <c r="I51" s="1921"/>
      <c r="J51" s="1922">
        <v>-20000</v>
      </c>
      <c r="K51" s="1922">
        <f>SUM(K48:K50)</f>
        <v>-467147</v>
      </c>
      <c r="L51" s="1922">
        <f>SUM(L48:L50)</f>
        <v>0</v>
      </c>
      <c r="M51" s="1922">
        <f>SUM(M48:M50)</f>
        <v>0</v>
      </c>
      <c r="N51" s="1922">
        <f>SUM(N48:N50)</f>
        <v>0</v>
      </c>
      <c r="O51" s="1922">
        <f>SUM(O48:O50)</f>
        <v>0</v>
      </c>
    </row>
    <row r="52" spans="1:15" ht="12.75" customHeight="1" x14ac:dyDescent="0.25">
      <c r="E52" s="804"/>
      <c r="F52" s="805"/>
      <c r="J52" s="812"/>
      <c r="K52" s="812"/>
      <c r="L52" s="812"/>
      <c r="M52" s="812"/>
      <c r="N52" s="812"/>
      <c r="O52" s="812"/>
    </row>
    <row r="53" spans="1:15" ht="12.75" customHeight="1" x14ac:dyDescent="0.25">
      <c r="D53" s="1917" t="s">
        <v>976</v>
      </c>
      <c r="E53" s="1923"/>
      <c r="F53" s="1923"/>
      <c r="G53" s="1920"/>
      <c r="H53" s="1920"/>
      <c r="I53" s="1920"/>
      <c r="J53" s="1924">
        <v>1876823</v>
      </c>
      <c r="K53" s="1924">
        <f>K45+K51</f>
        <v>2266535.98</v>
      </c>
      <c r="L53" s="1924">
        <f>L45+L51</f>
        <v>2265920</v>
      </c>
      <c r="M53" s="1924">
        <f>M45+M51</f>
        <v>2295116</v>
      </c>
      <c r="N53" s="1924">
        <f>N45+N51</f>
        <v>2392153</v>
      </c>
      <c r="O53" s="1924">
        <f>O45+O51</f>
        <v>2449043</v>
      </c>
    </row>
    <row r="54" spans="1:15" ht="12.75" customHeight="1" x14ac:dyDescent="0.25">
      <c r="E54" s="804"/>
      <c r="F54" s="805"/>
      <c r="J54" s="812"/>
      <c r="K54" s="812"/>
      <c r="L54" s="812"/>
      <c r="M54" s="812"/>
      <c r="N54" s="812"/>
      <c r="O54" s="812"/>
    </row>
    <row r="55" spans="1:15" ht="12.75" customHeight="1" x14ac:dyDescent="0.25">
      <c r="E55" s="804"/>
      <c r="F55" s="805"/>
      <c r="J55" s="812"/>
      <c r="K55" s="812"/>
      <c r="L55" s="812"/>
      <c r="M55" s="812"/>
      <c r="N55" s="812"/>
      <c r="O55" s="812"/>
    </row>
    <row r="56" spans="1:15" ht="12.75" customHeight="1" x14ac:dyDescent="0.25">
      <c r="E56" s="792"/>
      <c r="F56" s="792"/>
      <c r="J56" s="812"/>
      <c r="K56" s="812"/>
      <c r="L56" s="812"/>
      <c r="M56" s="812"/>
      <c r="N56" s="812"/>
      <c r="O56" s="812"/>
    </row>
    <row r="57" spans="1:15" ht="12.75" customHeight="1" x14ac:dyDescent="0.25">
      <c r="D57" s="797" t="s">
        <v>528</v>
      </c>
      <c r="E57" s="813"/>
      <c r="F57" s="813"/>
      <c r="I57" s="812"/>
      <c r="K57" s="812"/>
      <c r="L57" s="934"/>
      <c r="M57" s="934"/>
      <c r="N57" s="934"/>
      <c r="O57" s="934"/>
    </row>
    <row r="59" spans="1:15" ht="12.75" customHeight="1" x14ac:dyDescent="0.25">
      <c r="D59" s="2495" t="s">
        <v>531</v>
      </c>
      <c r="E59" s="1925" t="s">
        <v>530</v>
      </c>
      <c r="F59" s="2495" t="s">
        <v>531</v>
      </c>
      <c r="G59" s="2497" t="s">
        <v>206</v>
      </c>
      <c r="H59" s="2599"/>
      <c r="I59" s="1927"/>
      <c r="J59" s="1928"/>
      <c r="K59" s="1928"/>
      <c r="L59" s="1928"/>
      <c r="M59" s="1928"/>
      <c r="N59" s="1928"/>
      <c r="O59" s="1928"/>
    </row>
    <row r="60" spans="1:15" ht="12.75" customHeight="1" x14ac:dyDescent="0.25">
      <c r="D60" s="2598"/>
      <c r="E60" s="815" t="s">
        <v>532</v>
      </c>
      <c r="F60" s="2598"/>
      <c r="G60" s="2600"/>
      <c r="H60" s="2601"/>
      <c r="I60" s="935"/>
      <c r="J60" s="1929">
        <v>2025</v>
      </c>
      <c r="K60" s="1929">
        <v>2026</v>
      </c>
      <c r="L60" s="1929">
        <v>2027</v>
      </c>
      <c r="M60" s="1929">
        <v>2028</v>
      </c>
      <c r="N60" s="1929">
        <v>2029</v>
      </c>
      <c r="O60" s="1929">
        <v>2030</v>
      </c>
    </row>
    <row r="61" spans="1:15" ht="12.75" customHeight="1" x14ac:dyDescent="0.25">
      <c r="D61" s="1946"/>
      <c r="E61" s="1947"/>
      <c r="F61" s="1947"/>
      <c r="G61" s="1932"/>
      <c r="H61" s="817"/>
      <c r="I61" s="1928"/>
      <c r="J61" s="1934"/>
      <c r="K61" s="1934"/>
      <c r="L61" s="1934"/>
      <c r="M61" s="1934"/>
      <c r="N61" s="1934"/>
      <c r="O61" s="1934"/>
    </row>
    <row r="62" spans="1:15" ht="12.75" customHeight="1" x14ac:dyDescent="0.25">
      <c r="D62" s="936">
        <v>640001</v>
      </c>
      <c r="E62" s="819"/>
      <c r="F62" s="819"/>
      <c r="G62" s="820" t="s">
        <v>4335</v>
      </c>
      <c r="I62" s="807"/>
      <c r="J62" s="807"/>
      <c r="K62" s="807"/>
      <c r="L62" s="807"/>
      <c r="M62" s="807"/>
      <c r="N62" s="807"/>
      <c r="O62" s="807"/>
    </row>
    <row r="63" spans="1:15" ht="12.75" customHeight="1" x14ac:dyDescent="0.25">
      <c r="D63" s="937"/>
      <c r="E63" s="851"/>
      <c r="F63" s="851"/>
      <c r="G63" s="822" t="s">
        <v>533</v>
      </c>
      <c r="I63" s="807"/>
      <c r="J63" s="807"/>
      <c r="K63" s="807"/>
      <c r="L63" s="807"/>
      <c r="M63" s="807"/>
      <c r="N63" s="807"/>
      <c r="O63" s="807"/>
    </row>
    <row r="64" spans="1:15" ht="12.75" customHeight="1" x14ac:dyDescent="0.25">
      <c r="A64" s="795">
        <f>D62</f>
        <v>640001</v>
      </c>
      <c r="B64" s="791" t="str">
        <f>G62</f>
        <v>Scholing en activering compensabel</v>
      </c>
      <c r="D64" s="938">
        <v>43812</v>
      </c>
      <c r="E64" s="821"/>
      <c r="F64" s="821"/>
      <c r="G64" s="823" t="s">
        <v>535</v>
      </c>
      <c r="I64" s="807"/>
      <c r="J64" s="802">
        <v>695129</v>
      </c>
      <c r="K64" s="802">
        <f t="shared" ref="K64:M64" si="11">K152</f>
        <v>850123</v>
      </c>
      <c r="L64" s="802">
        <f t="shared" si="11"/>
        <v>902956</v>
      </c>
      <c r="M64" s="802">
        <f t="shared" si="11"/>
        <v>882703</v>
      </c>
      <c r="N64" s="802">
        <f t="shared" ref="N64:O64" si="12">N152</f>
        <v>928488</v>
      </c>
      <c r="O64" s="802">
        <f t="shared" si="12"/>
        <v>932168</v>
      </c>
    </row>
    <row r="65" spans="1:15" ht="12.75" customHeight="1" thickBot="1" x14ac:dyDescent="0.3">
      <c r="D65" s="937"/>
      <c r="E65" s="851"/>
      <c r="F65" s="851"/>
      <c r="G65" s="823" t="s">
        <v>536</v>
      </c>
      <c r="I65" s="807"/>
      <c r="J65" s="852">
        <v>695129</v>
      </c>
      <c r="K65" s="852">
        <f>SUM(K63:K64)</f>
        <v>850123</v>
      </c>
      <c r="L65" s="852">
        <f>SUM(L63:L64)</f>
        <v>902956</v>
      </c>
      <c r="M65" s="852">
        <f>SUM(M63:M64)</f>
        <v>882703</v>
      </c>
      <c r="N65" s="852">
        <f>SUM(N63:N64)</f>
        <v>928488</v>
      </c>
      <c r="O65" s="852">
        <f>SUM(O63:O64)</f>
        <v>932168</v>
      </c>
    </row>
    <row r="66" spans="1:15" ht="12.75" customHeight="1" thickTop="1" x14ac:dyDescent="0.25">
      <c r="D66" s="937"/>
      <c r="E66" s="851"/>
      <c r="F66" s="851"/>
      <c r="G66" s="823"/>
      <c r="I66" s="807"/>
      <c r="J66" s="853"/>
      <c r="K66" s="853"/>
      <c r="L66" s="853"/>
      <c r="M66" s="853"/>
      <c r="N66" s="853"/>
      <c r="O66" s="853"/>
    </row>
    <row r="67" spans="1:15" ht="12.75" customHeight="1" x14ac:dyDescent="0.25">
      <c r="A67" s="921"/>
      <c r="D67" s="936">
        <v>640003</v>
      </c>
      <c r="E67" s="819"/>
      <c r="F67" s="819"/>
      <c r="G67" s="820" t="s">
        <v>4336</v>
      </c>
      <c r="I67" s="807"/>
      <c r="J67" s="802"/>
      <c r="K67" s="802"/>
      <c r="L67" s="802"/>
      <c r="M67" s="802"/>
      <c r="N67" s="802"/>
      <c r="O67" s="802"/>
    </row>
    <row r="68" spans="1:15" ht="12.75" customHeight="1" x14ac:dyDescent="0.25">
      <c r="A68" s="921"/>
      <c r="D68" s="936"/>
      <c r="E68" s="819"/>
      <c r="F68" s="819"/>
      <c r="G68" s="822" t="s">
        <v>533</v>
      </c>
      <c r="I68" s="807"/>
      <c r="J68" s="802"/>
      <c r="K68" s="802"/>
      <c r="L68" s="802"/>
      <c r="M68" s="802"/>
      <c r="N68" s="802"/>
      <c r="O68" s="802"/>
    </row>
    <row r="69" spans="1:15" ht="12.75" customHeight="1" x14ac:dyDescent="0.25">
      <c r="A69" s="795">
        <f>D67</f>
        <v>640003</v>
      </c>
      <c r="B69" s="791" t="str">
        <f>G67</f>
        <v>Opleiding en begeleiding zelfstandigen</v>
      </c>
      <c r="D69" s="937">
        <v>43812</v>
      </c>
      <c r="E69" s="851"/>
      <c r="F69" s="851"/>
      <c r="G69" s="823" t="s">
        <v>535</v>
      </c>
      <c r="I69" s="807"/>
      <c r="J69" s="802">
        <v>3500</v>
      </c>
      <c r="K69" s="802">
        <f t="shared" ref="K69:M69" si="13">K161</f>
        <v>3590</v>
      </c>
      <c r="L69" s="802">
        <f t="shared" si="13"/>
        <v>3670</v>
      </c>
      <c r="M69" s="802">
        <f t="shared" si="13"/>
        <v>3750</v>
      </c>
      <c r="N69" s="802">
        <f t="shared" ref="N69:O69" si="14">N161</f>
        <v>3840</v>
      </c>
      <c r="O69" s="802">
        <f t="shared" si="14"/>
        <v>3930</v>
      </c>
    </row>
    <row r="70" spans="1:15" ht="12.75" customHeight="1" thickBot="1" x14ac:dyDescent="0.3">
      <c r="A70" s="921"/>
      <c r="D70" s="937"/>
      <c r="E70" s="851"/>
      <c r="F70" s="851"/>
      <c r="G70" s="823" t="s">
        <v>536</v>
      </c>
      <c r="I70" s="807"/>
      <c r="J70" s="852">
        <v>3500</v>
      </c>
      <c r="K70" s="852">
        <f>SUM(K69)</f>
        <v>3590</v>
      </c>
      <c r="L70" s="852">
        <f>SUM(L69)</f>
        <v>3670</v>
      </c>
      <c r="M70" s="852">
        <f>SUM(M69)</f>
        <v>3750</v>
      </c>
      <c r="N70" s="852">
        <f>SUM(N69)</f>
        <v>3840</v>
      </c>
      <c r="O70" s="852">
        <f>SUM(O69)</f>
        <v>3930</v>
      </c>
    </row>
    <row r="71" spans="1:15" ht="12.75" customHeight="1" thickTop="1" x14ac:dyDescent="0.25">
      <c r="D71" s="937"/>
      <c r="E71" s="851"/>
      <c r="F71" s="851"/>
      <c r="G71" s="822"/>
      <c r="I71" s="807"/>
      <c r="J71" s="802"/>
      <c r="K71" s="802"/>
      <c r="L71" s="802"/>
      <c r="M71" s="802"/>
      <c r="N71" s="802"/>
      <c r="O71" s="802"/>
    </row>
    <row r="72" spans="1:15" ht="12.75" customHeight="1" x14ac:dyDescent="0.25">
      <c r="D72" s="936">
        <v>640008</v>
      </c>
      <c r="E72" s="819"/>
      <c r="F72" s="819"/>
      <c r="G72" s="820" t="s">
        <v>4337</v>
      </c>
      <c r="I72" s="807"/>
      <c r="J72" s="802"/>
      <c r="K72" s="802"/>
      <c r="L72" s="802"/>
      <c r="M72" s="802"/>
      <c r="N72" s="802"/>
      <c r="O72" s="802"/>
    </row>
    <row r="73" spans="1:15" ht="12.75" customHeight="1" x14ac:dyDescent="0.25">
      <c r="D73" s="936"/>
      <c r="E73" s="819"/>
      <c r="F73" s="819"/>
      <c r="G73" s="822" t="s">
        <v>533</v>
      </c>
      <c r="I73" s="807"/>
      <c r="J73" s="802"/>
      <c r="K73" s="802"/>
      <c r="L73" s="802"/>
      <c r="M73" s="802"/>
      <c r="N73" s="802"/>
      <c r="O73" s="802"/>
    </row>
    <row r="74" spans="1:15" ht="12.75" customHeight="1" x14ac:dyDescent="0.25">
      <c r="A74" s="795">
        <f>D72</f>
        <v>640008</v>
      </c>
      <c r="B74" s="791" t="str">
        <f>G72</f>
        <v>Uitvoeringsbudget laaggeletterdheid</v>
      </c>
      <c r="D74" s="937">
        <v>43812</v>
      </c>
      <c r="E74" s="851"/>
      <c r="F74" s="851"/>
      <c r="G74" s="823" t="s">
        <v>535</v>
      </c>
      <c r="I74" s="807"/>
      <c r="J74" s="802">
        <v>0</v>
      </c>
      <c r="K74" s="802">
        <f>K167</f>
        <v>30800</v>
      </c>
      <c r="L74" s="802">
        <f t="shared" ref="L74:N74" si="15">L167</f>
        <v>31400</v>
      </c>
      <c r="M74" s="802">
        <f t="shared" si="15"/>
        <v>32100</v>
      </c>
      <c r="N74" s="802">
        <f t="shared" si="15"/>
        <v>32800</v>
      </c>
      <c r="O74" s="802">
        <f t="shared" ref="O74" si="16">O167</f>
        <v>33600</v>
      </c>
    </row>
    <row r="75" spans="1:15" ht="12.75" customHeight="1" thickBot="1" x14ac:dyDescent="0.3">
      <c r="D75" s="937"/>
      <c r="E75" s="851"/>
      <c r="F75" s="851"/>
      <c r="G75" s="823" t="s">
        <v>536</v>
      </c>
      <c r="I75" s="807"/>
      <c r="J75" s="852">
        <v>0</v>
      </c>
      <c r="K75" s="852">
        <f>SUM(K74)</f>
        <v>30800</v>
      </c>
      <c r="L75" s="852">
        <f>SUM(L74)</f>
        <v>31400</v>
      </c>
      <c r="M75" s="852">
        <f>SUM(M74)</f>
        <v>32100</v>
      </c>
      <c r="N75" s="852">
        <f>SUM(N74)</f>
        <v>32800</v>
      </c>
      <c r="O75" s="852">
        <f>SUM(O74)</f>
        <v>33600</v>
      </c>
    </row>
    <row r="76" spans="1:15" ht="12.75" customHeight="1" thickTop="1" x14ac:dyDescent="0.25">
      <c r="D76" s="937"/>
      <c r="E76" s="851"/>
      <c r="F76" s="851"/>
      <c r="G76" s="822"/>
      <c r="I76" s="807"/>
      <c r="J76" s="802"/>
      <c r="K76" s="802"/>
      <c r="L76" s="802"/>
      <c r="M76" s="802"/>
      <c r="N76" s="802"/>
      <c r="O76" s="802"/>
    </row>
    <row r="77" spans="1:15" ht="12.75" customHeight="1" x14ac:dyDescent="0.25">
      <c r="A77" s="921"/>
      <c r="D77" s="936">
        <v>640901</v>
      </c>
      <c r="E77" s="819"/>
      <c r="F77" s="819"/>
      <c r="G77" s="820" t="s">
        <v>4338</v>
      </c>
      <c r="I77" s="807"/>
      <c r="J77" s="802"/>
      <c r="K77" s="802"/>
      <c r="L77" s="802"/>
      <c r="M77" s="802"/>
      <c r="N77" s="802"/>
      <c r="O77" s="802"/>
    </row>
    <row r="78" spans="1:15" ht="12.75" customHeight="1" x14ac:dyDescent="0.25">
      <c r="A78" s="921"/>
      <c r="D78" s="936"/>
      <c r="E78" s="819"/>
      <c r="F78" s="819"/>
      <c r="G78" s="822" t="s">
        <v>533</v>
      </c>
      <c r="I78" s="807"/>
      <c r="J78" s="802"/>
      <c r="K78" s="802"/>
      <c r="L78" s="802"/>
      <c r="M78" s="802"/>
      <c r="N78" s="802"/>
      <c r="O78" s="802"/>
    </row>
    <row r="79" spans="1:15" ht="12.75" customHeight="1" x14ac:dyDescent="0.25">
      <c r="A79" s="795">
        <f>D77</f>
        <v>640901</v>
      </c>
      <c r="B79" s="791" t="str">
        <f>G77</f>
        <v>Directe toerekening arbeidsparticipatie</v>
      </c>
      <c r="D79" s="937">
        <v>41100</v>
      </c>
      <c r="E79" s="851"/>
      <c r="F79" s="851"/>
      <c r="G79" s="823" t="s">
        <v>700</v>
      </c>
      <c r="I79" s="807"/>
      <c r="J79" s="802">
        <v>1164542</v>
      </c>
      <c r="K79" s="802">
        <f t="shared" ref="K79:M79" si="17">K174</f>
        <v>1242652.98</v>
      </c>
      <c r="L79" s="802">
        <f t="shared" si="17"/>
        <v>1294844</v>
      </c>
      <c r="M79" s="802">
        <f t="shared" si="17"/>
        <v>1342753</v>
      </c>
      <c r="N79" s="802">
        <f t="shared" ref="N79:O79" si="18">N174</f>
        <v>1392435</v>
      </c>
      <c r="O79" s="802">
        <f t="shared" si="18"/>
        <v>1443955</v>
      </c>
    </row>
    <row r="80" spans="1:15" ht="12.75" customHeight="1" x14ac:dyDescent="0.25">
      <c r="D80" s="937">
        <v>43511</v>
      </c>
      <c r="E80" s="851"/>
      <c r="F80" s="851"/>
      <c r="G80" s="1002" t="s">
        <v>734</v>
      </c>
      <c r="I80" s="807"/>
      <c r="J80" s="802">
        <f>J190</f>
        <v>0</v>
      </c>
      <c r="K80" s="802">
        <f t="shared" ref="K80:O80" si="19">K190</f>
        <v>90000</v>
      </c>
      <c r="L80" s="802">
        <f t="shared" si="19"/>
        <v>0</v>
      </c>
      <c r="M80" s="802">
        <f t="shared" si="19"/>
        <v>0</v>
      </c>
      <c r="N80" s="802">
        <f t="shared" si="19"/>
        <v>0</v>
      </c>
      <c r="O80" s="802">
        <f t="shared" si="19"/>
        <v>0</v>
      </c>
    </row>
    <row r="81" spans="1:15" ht="12.75" customHeight="1" thickBot="1" x14ac:dyDescent="0.3">
      <c r="A81" s="921"/>
      <c r="D81" s="937"/>
      <c r="E81" s="851"/>
      <c r="F81" s="851"/>
      <c r="G81" s="823" t="s">
        <v>536</v>
      </c>
      <c r="I81" s="807"/>
      <c r="J81" s="852">
        <v>1164542</v>
      </c>
      <c r="K81" s="852">
        <f>SUM(K79:K80)</f>
        <v>1332652.98</v>
      </c>
      <c r="L81" s="852">
        <f t="shared" ref="L81:O81" si="20">SUM(L79:L80)</f>
        <v>1294844</v>
      </c>
      <c r="M81" s="852">
        <f t="shared" si="20"/>
        <v>1342753</v>
      </c>
      <c r="N81" s="852">
        <f t="shared" si="20"/>
        <v>1392435</v>
      </c>
      <c r="O81" s="852">
        <f t="shared" si="20"/>
        <v>1443955</v>
      </c>
    </row>
    <row r="82" spans="1:15" ht="12.75" customHeight="1" thickTop="1" x14ac:dyDescent="0.25">
      <c r="D82" s="937"/>
      <c r="E82" s="851"/>
      <c r="F82" s="851"/>
      <c r="G82" s="822"/>
      <c r="I82" s="807"/>
      <c r="J82" s="802"/>
      <c r="K82" s="802"/>
      <c r="L82" s="802"/>
      <c r="M82" s="802"/>
      <c r="N82" s="802"/>
      <c r="O82" s="802"/>
    </row>
    <row r="83" spans="1:15" ht="12.75" customHeight="1" x14ac:dyDescent="0.25">
      <c r="D83" s="939">
        <v>640006</v>
      </c>
      <c r="E83" s="914"/>
      <c r="F83" s="914"/>
      <c r="G83" s="820" t="s">
        <v>4334</v>
      </c>
      <c r="I83" s="807"/>
      <c r="J83" s="802"/>
      <c r="K83" s="802"/>
      <c r="L83" s="802"/>
      <c r="M83" s="802"/>
      <c r="N83" s="802"/>
      <c r="O83" s="802"/>
    </row>
    <row r="84" spans="1:15" ht="12.75" customHeight="1" x14ac:dyDescent="0.25">
      <c r="D84" s="937"/>
      <c r="E84" s="851"/>
      <c r="F84" s="851"/>
      <c r="G84" s="822" t="s">
        <v>533</v>
      </c>
      <c r="I84" s="807"/>
      <c r="J84" s="802"/>
      <c r="K84" s="802"/>
      <c r="L84" s="802"/>
      <c r="M84" s="802"/>
      <c r="N84" s="802"/>
      <c r="O84" s="802"/>
    </row>
    <row r="85" spans="1:15" ht="12.75" customHeight="1" x14ac:dyDescent="0.25">
      <c r="A85" s="795">
        <f>+D83</f>
        <v>640006</v>
      </c>
      <c r="B85" s="791" t="str">
        <f>+G83</f>
        <v>Wet inburgering</v>
      </c>
      <c r="D85" s="937">
        <v>43812</v>
      </c>
      <c r="E85" s="851"/>
      <c r="F85" s="851"/>
      <c r="G85" s="823" t="s">
        <v>535</v>
      </c>
      <c r="I85" s="807"/>
      <c r="J85" s="802">
        <v>33652</v>
      </c>
      <c r="K85" s="802">
        <f>K184</f>
        <v>516517</v>
      </c>
      <c r="L85" s="802">
        <f>L184</f>
        <v>33050</v>
      </c>
      <c r="M85" s="802">
        <f>M184</f>
        <v>33810</v>
      </c>
      <c r="N85" s="802">
        <f>N184</f>
        <v>34590</v>
      </c>
      <c r="O85" s="802">
        <f>O184</f>
        <v>35390</v>
      </c>
    </row>
    <row r="86" spans="1:15" ht="12.75" customHeight="1" thickBot="1" x14ac:dyDescent="0.3">
      <c r="D86" s="937"/>
      <c r="E86" s="851"/>
      <c r="F86" s="851"/>
      <c r="G86" s="823" t="s">
        <v>536</v>
      </c>
      <c r="I86" s="807"/>
      <c r="J86" s="852">
        <v>33652</v>
      </c>
      <c r="K86" s="852">
        <f t="shared" ref="K86:M86" si="21">SUM(K84:K85)</f>
        <v>516517</v>
      </c>
      <c r="L86" s="852">
        <f t="shared" si="21"/>
        <v>33050</v>
      </c>
      <c r="M86" s="852">
        <f t="shared" si="21"/>
        <v>33810</v>
      </c>
      <c r="N86" s="852">
        <f t="shared" ref="N86:O86" si="22">SUM(N84:N85)</f>
        <v>34590</v>
      </c>
      <c r="O86" s="852">
        <f t="shared" si="22"/>
        <v>35390</v>
      </c>
    </row>
    <row r="87" spans="1:15" ht="12.75" customHeight="1" thickTop="1" x14ac:dyDescent="0.25">
      <c r="D87" s="937"/>
      <c r="E87" s="851"/>
      <c r="F87" s="851"/>
      <c r="G87" s="823"/>
      <c r="I87" s="807"/>
      <c r="J87" s="802"/>
      <c r="K87" s="802"/>
      <c r="L87" s="802"/>
      <c r="M87" s="802"/>
      <c r="N87" s="802"/>
      <c r="O87" s="802"/>
    </row>
    <row r="88" spans="1:15" ht="12.75" customHeight="1" x14ac:dyDescent="0.25">
      <c r="D88" s="939">
        <v>640006</v>
      </c>
      <c r="E88" s="914"/>
      <c r="F88" s="914"/>
      <c r="G88" s="820" t="s">
        <v>4334</v>
      </c>
      <c r="I88" s="807"/>
      <c r="J88" s="802"/>
      <c r="K88" s="802"/>
      <c r="L88" s="802"/>
      <c r="M88" s="802"/>
      <c r="N88" s="802"/>
      <c r="O88" s="802"/>
    </row>
    <row r="89" spans="1:15" ht="12.75" customHeight="1" x14ac:dyDescent="0.25">
      <c r="D89" s="937"/>
      <c r="E89" s="851"/>
      <c r="F89" s="851"/>
      <c r="G89" s="822" t="s">
        <v>554</v>
      </c>
      <c r="I89" s="807"/>
      <c r="J89" s="802"/>
      <c r="K89" s="802"/>
      <c r="L89" s="802"/>
      <c r="M89" s="802"/>
      <c r="N89" s="802"/>
      <c r="O89" s="802"/>
    </row>
    <row r="90" spans="1:15" ht="12.75" customHeight="1" x14ac:dyDescent="0.25">
      <c r="D90" s="937">
        <v>84310</v>
      </c>
      <c r="E90" s="851"/>
      <c r="F90" s="851"/>
      <c r="G90" s="1002" t="s">
        <v>2134</v>
      </c>
      <c r="I90" s="807"/>
      <c r="J90" s="802">
        <f>J196</f>
        <v>0</v>
      </c>
      <c r="K90" s="802">
        <f t="shared" ref="K90:O90" si="23">K196</f>
        <v>-484147</v>
      </c>
      <c r="L90" s="802">
        <f t="shared" si="23"/>
        <v>0</v>
      </c>
      <c r="M90" s="802">
        <f t="shared" si="23"/>
        <v>0</v>
      </c>
      <c r="N90" s="802">
        <f t="shared" si="23"/>
        <v>0</v>
      </c>
      <c r="O90" s="802">
        <f t="shared" si="23"/>
        <v>0</v>
      </c>
    </row>
    <row r="91" spans="1:15" ht="12.75" customHeight="1" thickBot="1" x14ac:dyDescent="0.3">
      <c r="D91" s="937"/>
      <c r="E91" s="851"/>
      <c r="F91" s="851"/>
      <c r="G91" s="823" t="s">
        <v>536</v>
      </c>
      <c r="I91" s="807"/>
      <c r="J91" s="852">
        <f>SUM(J90)</f>
        <v>0</v>
      </c>
      <c r="K91" s="852">
        <f t="shared" ref="K91:O91" si="24">SUM(K90)</f>
        <v>-484147</v>
      </c>
      <c r="L91" s="852">
        <f t="shared" si="24"/>
        <v>0</v>
      </c>
      <c r="M91" s="852">
        <f t="shared" si="24"/>
        <v>0</v>
      </c>
      <c r="N91" s="852">
        <f t="shared" si="24"/>
        <v>0</v>
      </c>
      <c r="O91" s="852">
        <f t="shared" si="24"/>
        <v>0</v>
      </c>
    </row>
    <row r="92" spans="1:15" ht="12.75" customHeight="1" thickTop="1" x14ac:dyDescent="0.25">
      <c r="D92" s="937"/>
      <c r="E92" s="851"/>
      <c r="F92" s="851"/>
      <c r="G92" s="823"/>
      <c r="I92" s="807"/>
      <c r="J92" s="802"/>
      <c r="K92" s="802"/>
      <c r="L92" s="802"/>
      <c r="M92" s="802"/>
      <c r="N92" s="802"/>
      <c r="O92" s="802"/>
    </row>
    <row r="93" spans="1:15" ht="12.75" customHeight="1" x14ac:dyDescent="0.25">
      <c r="D93" s="937"/>
      <c r="E93" s="851"/>
      <c r="F93" s="851"/>
      <c r="G93" s="823"/>
      <c r="I93" s="807"/>
      <c r="J93" s="802"/>
      <c r="K93" s="802"/>
      <c r="L93" s="802"/>
      <c r="M93" s="802"/>
      <c r="N93" s="802"/>
      <c r="O93" s="802"/>
    </row>
    <row r="94" spans="1:15" ht="12.75" customHeight="1" x14ac:dyDescent="0.25">
      <c r="A94" s="921"/>
      <c r="D94" s="936">
        <v>640901</v>
      </c>
      <c r="E94" s="819"/>
      <c r="F94" s="819"/>
      <c r="G94" s="820" t="s">
        <v>4338</v>
      </c>
      <c r="I94" s="807"/>
      <c r="J94" s="802"/>
      <c r="K94" s="802"/>
      <c r="L94" s="802"/>
      <c r="M94" s="802"/>
      <c r="N94" s="802"/>
      <c r="O94" s="802"/>
    </row>
    <row r="95" spans="1:15" ht="12.75" customHeight="1" x14ac:dyDescent="0.25">
      <c r="A95" s="921"/>
      <c r="D95" s="936"/>
      <c r="E95" s="819"/>
      <c r="F95" s="819"/>
      <c r="G95" s="822" t="s">
        <v>554</v>
      </c>
      <c r="I95" s="807"/>
      <c r="J95" s="802"/>
      <c r="K95" s="802"/>
      <c r="L95" s="802"/>
      <c r="M95" s="802"/>
      <c r="N95" s="802"/>
      <c r="O95" s="802"/>
    </row>
    <row r="96" spans="1:15" ht="12.75" customHeight="1" x14ac:dyDescent="0.25">
      <c r="A96" s="795">
        <f>D94</f>
        <v>640901</v>
      </c>
      <c r="B96" s="791" t="str">
        <f>G94</f>
        <v>Directe toerekening arbeidsparticipatie</v>
      </c>
      <c r="D96" s="937">
        <v>84360</v>
      </c>
      <c r="E96" s="851"/>
      <c r="F96" s="851"/>
      <c r="G96" s="823" t="s">
        <v>4339</v>
      </c>
      <c r="I96" s="807"/>
      <c r="J96" s="802">
        <v>-20000</v>
      </c>
      <c r="K96" s="802">
        <f t="shared" ref="K96:M96" si="25">K204</f>
        <v>17000</v>
      </c>
      <c r="L96" s="802">
        <f t="shared" si="25"/>
        <v>0</v>
      </c>
      <c r="M96" s="802">
        <f t="shared" si="25"/>
        <v>0</v>
      </c>
      <c r="N96" s="802">
        <f t="shared" ref="N96:O96" si="26">N204</f>
        <v>0</v>
      </c>
      <c r="O96" s="802">
        <f t="shared" si="26"/>
        <v>0</v>
      </c>
    </row>
    <row r="97" spans="1:15" ht="12.75" customHeight="1" thickBot="1" x14ac:dyDescent="0.3">
      <c r="A97" s="921"/>
      <c r="D97" s="937"/>
      <c r="E97" s="851"/>
      <c r="F97" s="851"/>
      <c r="G97" s="823" t="s">
        <v>536</v>
      </c>
      <c r="I97" s="807"/>
      <c r="J97" s="852">
        <v>-20000</v>
      </c>
      <c r="K97" s="852">
        <f>SUM(K96)</f>
        <v>17000</v>
      </c>
      <c r="L97" s="852">
        <f>SUM(L96)</f>
        <v>0</v>
      </c>
      <c r="M97" s="852">
        <f>SUM(M96)</f>
        <v>0</v>
      </c>
      <c r="N97" s="852">
        <f>SUM(N96)</f>
        <v>0</v>
      </c>
      <c r="O97" s="852">
        <f>SUM(O96)</f>
        <v>0</v>
      </c>
    </row>
    <row r="98" spans="1:15" ht="12.75" customHeight="1" thickTop="1" x14ac:dyDescent="0.25">
      <c r="D98" s="937"/>
      <c r="E98" s="851"/>
      <c r="F98" s="851"/>
      <c r="G98" s="823"/>
      <c r="I98" s="807"/>
      <c r="J98" s="802"/>
      <c r="K98" s="802"/>
      <c r="L98" s="802"/>
      <c r="M98" s="802"/>
      <c r="N98" s="802"/>
      <c r="O98" s="802"/>
    </row>
    <row r="99" spans="1:15" ht="12.75" customHeight="1" x14ac:dyDescent="0.25">
      <c r="D99" s="937"/>
      <c r="E99" s="851"/>
      <c r="F99" s="851"/>
      <c r="G99" s="823"/>
      <c r="I99" s="807"/>
      <c r="J99" s="802"/>
      <c r="K99" s="802"/>
      <c r="L99" s="802"/>
      <c r="M99" s="802"/>
      <c r="N99" s="802"/>
      <c r="O99" s="802"/>
    </row>
    <row r="100" spans="1:15" ht="12.75" customHeight="1" x14ac:dyDescent="0.25">
      <c r="D100" s="937"/>
      <c r="E100" s="851"/>
      <c r="F100" s="851"/>
      <c r="G100" s="823"/>
      <c r="I100" s="807"/>
      <c r="J100" s="802"/>
      <c r="K100" s="802"/>
      <c r="L100" s="802"/>
      <c r="M100" s="802"/>
      <c r="N100" s="802"/>
      <c r="O100" s="802"/>
    </row>
    <row r="101" spans="1:15" ht="12.75" customHeight="1" x14ac:dyDescent="0.25">
      <c r="D101" s="937"/>
      <c r="E101" s="851"/>
      <c r="F101" s="851"/>
      <c r="G101" s="823"/>
      <c r="I101" s="807"/>
      <c r="J101" s="802"/>
      <c r="K101" s="802"/>
      <c r="L101" s="802"/>
      <c r="M101" s="802"/>
      <c r="N101" s="802"/>
      <c r="O101" s="802"/>
    </row>
    <row r="102" spans="1:15" ht="12.75" customHeight="1" x14ac:dyDescent="0.25">
      <c r="D102" s="937"/>
      <c r="E102" s="851"/>
      <c r="F102" s="851"/>
      <c r="G102" s="823"/>
      <c r="I102" s="807"/>
      <c r="J102" s="802"/>
      <c r="K102" s="802"/>
      <c r="L102" s="802"/>
      <c r="M102" s="802"/>
      <c r="N102" s="802"/>
      <c r="O102" s="802"/>
    </row>
    <row r="103" spans="1:15" ht="12.75" customHeight="1" x14ac:dyDescent="0.25">
      <c r="D103" s="937"/>
      <c r="E103" s="851"/>
      <c r="F103" s="851"/>
      <c r="G103" s="823"/>
      <c r="I103" s="807"/>
      <c r="J103" s="802"/>
      <c r="K103" s="802"/>
      <c r="L103" s="802"/>
      <c r="M103" s="802"/>
      <c r="N103" s="802"/>
      <c r="O103" s="802"/>
    </row>
    <row r="104" spans="1:15" ht="12.75" customHeight="1" x14ac:dyDescent="0.25">
      <c r="D104" s="940"/>
      <c r="E104" s="826"/>
      <c r="F104" s="826"/>
      <c r="G104" s="827"/>
      <c r="H104" s="811"/>
      <c r="I104" s="828"/>
      <c r="J104" s="829"/>
      <c r="K104" s="829"/>
      <c r="L104" s="829"/>
      <c r="M104" s="829"/>
      <c r="N104" s="829"/>
      <c r="O104" s="829"/>
    </row>
    <row r="105" spans="1:15" ht="12.75" customHeight="1" x14ac:dyDescent="0.25">
      <c r="D105" s="831"/>
      <c r="E105" s="831"/>
      <c r="F105" s="831"/>
      <c r="I105" s="812"/>
      <c r="J105" s="812"/>
      <c r="K105" s="812"/>
      <c r="L105" s="812"/>
      <c r="M105" s="812"/>
      <c r="N105" s="812"/>
      <c r="O105" s="812"/>
    </row>
    <row r="106" spans="1:15" ht="12.75" customHeight="1" x14ac:dyDescent="0.25">
      <c r="D106" s="831"/>
      <c r="E106" s="831"/>
      <c r="F106" s="831"/>
      <c r="I106" s="812"/>
      <c r="J106" s="812"/>
      <c r="K106" s="812"/>
      <c r="L106" s="812"/>
      <c r="M106" s="812"/>
      <c r="N106" s="812"/>
      <c r="O106" s="812"/>
    </row>
    <row r="107" spans="1:15" ht="12.75" customHeight="1" x14ac:dyDescent="0.25">
      <c r="D107" s="831"/>
      <c r="E107" s="831"/>
      <c r="F107" s="831"/>
      <c r="I107" s="812"/>
      <c r="J107" s="812"/>
      <c r="K107" s="812"/>
      <c r="L107" s="812"/>
      <c r="M107" s="812"/>
      <c r="N107" s="812"/>
      <c r="O107" s="812"/>
    </row>
    <row r="108" spans="1:15" ht="12.75" customHeight="1" x14ac:dyDescent="0.25">
      <c r="D108" s="831"/>
      <c r="E108" s="831"/>
      <c r="F108" s="831"/>
      <c r="I108" s="812"/>
      <c r="J108" s="812"/>
      <c r="K108" s="812"/>
      <c r="L108" s="812"/>
      <c r="M108" s="812"/>
      <c r="N108" s="812"/>
      <c r="O108" s="812"/>
    </row>
    <row r="109" spans="1:15" ht="12.75" customHeight="1" x14ac:dyDescent="0.25">
      <c r="D109" s="831"/>
      <c r="E109" s="831"/>
      <c r="F109" s="831"/>
      <c r="I109" s="812"/>
      <c r="J109" s="812"/>
      <c r="K109" s="812"/>
      <c r="L109" s="812"/>
      <c r="M109" s="812"/>
      <c r="N109" s="812"/>
      <c r="O109" s="812"/>
    </row>
    <row r="110" spans="1:15" ht="12.75" customHeight="1" x14ac:dyDescent="0.25">
      <c r="D110" s="831"/>
      <c r="E110" s="831"/>
      <c r="F110" s="831"/>
      <c r="I110" s="812"/>
      <c r="J110" s="812"/>
      <c r="K110" s="812"/>
      <c r="L110" s="812"/>
      <c r="M110" s="812"/>
      <c r="N110" s="812"/>
      <c r="O110" s="812"/>
    </row>
    <row r="111" spans="1:15" ht="12.75" customHeight="1" x14ac:dyDescent="0.25">
      <c r="D111" s="831"/>
      <c r="E111" s="831"/>
      <c r="F111" s="831"/>
      <c r="I111" s="812"/>
      <c r="J111" s="812"/>
      <c r="K111" s="812"/>
      <c r="L111" s="812"/>
      <c r="M111" s="812"/>
      <c r="N111" s="812"/>
      <c r="O111" s="812"/>
    </row>
    <row r="112" spans="1:15" ht="12.75" customHeight="1" x14ac:dyDescent="0.25">
      <c r="D112" s="830" t="s">
        <v>561</v>
      </c>
      <c r="E112" s="831"/>
      <c r="F112" s="831"/>
      <c r="G112" s="832"/>
      <c r="I112" s="812"/>
      <c r="J112" s="812"/>
      <c r="K112" s="812"/>
      <c r="L112" s="812"/>
      <c r="M112" s="812"/>
      <c r="N112" s="812"/>
      <c r="O112" s="812"/>
    </row>
    <row r="113" spans="4:27" ht="12.75" customHeight="1" x14ac:dyDescent="0.25">
      <c r="D113" s="831"/>
      <c r="E113" s="831"/>
      <c r="F113" s="831"/>
    </row>
    <row r="114" spans="4:27" ht="12.75" customHeight="1" x14ac:dyDescent="0.25">
      <c r="D114" s="834">
        <v>640001</v>
      </c>
      <c r="E114" s="911" t="s">
        <v>4335</v>
      </c>
      <c r="F114" s="813"/>
      <c r="J114" s="941">
        <v>2025</v>
      </c>
      <c r="K114" s="941">
        <v>2026</v>
      </c>
      <c r="L114" s="941">
        <v>2027</v>
      </c>
      <c r="M114" s="941">
        <v>2028</v>
      </c>
      <c r="N114" s="941">
        <v>2029</v>
      </c>
      <c r="O114" s="941">
        <v>2030</v>
      </c>
      <c r="T114" s="812"/>
      <c r="U114" s="812"/>
      <c r="W114" s="812"/>
      <c r="X114" s="812"/>
      <c r="Y114" s="812"/>
      <c r="Z114" s="812"/>
      <c r="AA114" s="812"/>
    </row>
    <row r="115" spans="4:27" ht="12.75" customHeight="1" x14ac:dyDescent="0.25">
      <c r="D115" s="793"/>
      <c r="E115" s="856" t="s">
        <v>533</v>
      </c>
      <c r="J115" s="812"/>
      <c r="K115" s="812"/>
      <c r="L115" s="812"/>
      <c r="M115" s="812"/>
      <c r="N115" s="812"/>
      <c r="O115" s="812"/>
      <c r="T115" s="812"/>
      <c r="U115" s="812"/>
      <c r="W115" s="812"/>
      <c r="X115" s="812"/>
      <c r="Y115" s="812"/>
      <c r="Z115" s="812"/>
      <c r="AA115" s="812"/>
    </row>
    <row r="116" spans="4:27" ht="12.75" customHeight="1" x14ac:dyDescent="0.25">
      <c r="D116" s="793">
        <v>43812</v>
      </c>
      <c r="E116" s="856" t="s">
        <v>4340</v>
      </c>
      <c r="J116" s="812"/>
      <c r="K116" s="812"/>
      <c r="L116" s="812"/>
      <c r="M116" s="812"/>
      <c r="N116" s="812"/>
      <c r="O116" s="812"/>
      <c r="T116" s="812"/>
      <c r="U116" s="812"/>
      <c r="W116" s="812"/>
      <c r="X116" s="812"/>
      <c r="Y116" s="812"/>
      <c r="Z116" s="812"/>
      <c r="AA116" s="812"/>
    </row>
    <row r="117" spans="4:27" ht="12.75" customHeight="1" x14ac:dyDescent="0.25">
      <c r="D117" s="791"/>
      <c r="E117" s="812" t="s">
        <v>4341</v>
      </c>
      <c r="J117" s="812">
        <v>153427</v>
      </c>
      <c r="K117" s="812">
        <v>165172</v>
      </c>
      <c r="L117" s="812">
        <v>176914</v>
      </c>
      <c r="M117" s="812">
        <v>188477</v>
      </c>
      <c r="N117" s="812">
        <v>203599</v>
      </c>
      <c r="O117" s="2133">
        <v>203599</v>
      </c>
      <c r="P117" s="791" t="s">
        <v>4342</v>
      </c>
      <c r="T117" s="812">
        <f>M117-L117</f>
        <v>11563</v>
      </c>
      <c r="U117" s="812"/>
      <c r="W117" s="812"/>
      <c r="X117" s="812"/>
      <c r="Y117" s="812"/>
      <c r="Z117" s="812"/>
      <c r="AA117" s="812"/>
    </row>
    <row r="118" spans="4:27" ht="12.75" customHeight="1" x14ac:dyDescent="0.25">
      <c r="D118" s="791"/>
      <c r="E118" s="812" t="s">
        <v>4343</v>
      </c>
      <c r="J118" s="812">
        <v>46717</v>
      </c>
      <c r="K118" s="812">
        <v>50095</v>
      </c>
      <c r="L118" s="812">
        <v>53474</v>
      </c>
      <c r="M118" s="812">
        <v>56851</v>
      </c>
      <c r="N118" s="812">
        <v>56851</v>
      </c>
      <c r="O118" s="2133">
        <v>56851</v>
      </c>
      <c r="T118" s="812"/>
      <c r="U118" s="812"/>
      <c r="W118" s="812"/>
      <c r="X118" s="812"/>
      <c r="Y118" s="812"/>
      <c r="Z118" s="812"/>
      <c r="AA118" s="812"/>
    </row>
    <row r="119" spans="4:27" ht="12.75" customHeight="1" x14ac:dyDescent="0.25">
      <c r="D119" s="793"/>
      <c r="E119" s="934" t="s">
        <v>4344</v>
      </c>
      <c r="J119" s="843">
        <v>9769</v>
      </c>
      <c r="K119" s="843">
        <v>10467</v>
      </c>
      <c r="L119" s="843">
        <v>11163</v>
      </c>
      <c r="M119" s="843">
        <v>11859</v>
      </c>
      <c r="N119" s="843">
        <v>12557</v>
      </c>
      <c r="O119" s="2134">
        <v>12557</v>
      </c>
      <c r="T119" s="812"/>
      <c r="U119" s="812"/>
      <c r="W119" s="812"/>
      <c r="X119" s="812"/>
      <c r="Y119" s="812"/>
      <c r="Z119" s="812"/>
      <c r="AA119" s="812"/>
    </row>
    <row r="120" spans="4:27" ht="12.75" customHeight="1" x14ac:dyDescent="0.25">
      <c r="D120" s="793"/>
      <c r="E120" s="934" t="s">
        <v>4345</v>
      </c>
      <c r="J120" s="812">
        <f t="shared" ref="J120:O120" si="27">SUM(J117:J119)</f>
        <v>209913</v>
      </c>
      <c r="K120" s="812">
        <f t="shared" si="27"/>
        <v>225734</v>
      </c>
      <c r="L120" s="812">
        <f t="shared" si="27"/>
        <v>241551</v>
      </c>
      <c r="M120" s="812">
        <f t="shared" si="27"/>
        <v>257187</v>
      </c>
      <c r="N120" s="812">
        <f t="shared" si="27"/>
        <v>273007</v>
      </c>
      <c r="O120" s="812">
        <f t="shared" si="27"/>
        <v>273007</v>
      </c>
      <c r="T120" s="812"/>
      <c r="U120" s="812"/>
      <c r="W120" s="812"/>
      <c r="X120" s="812"/>
      <c r="Y120" s="812"/>
      <c r="Z120" s="812"/>
      <c r="AA120" s="812"/>
    </row>
    <row r="121" spans="4:27" ht="12.75" customHeight="1" x14ac:dyDescent="0.25">
      <c r="D121" s="793"/>
      <c r="E121" s="934" t="s">
        <v>4332</v>
      </c>
      <c r="J121" s="812"/>
      <c r="K121" s="843">
        <v>10865</v>
      </c>
      <c r="L121" s="843">
        <v>11626</v>
      </c>
      <c r="M121" s="843">
        <v>12382</v>
      </c>
      <c r="N121" s="843">
        <v>13143</v>
      </c>
      <c r="O121" s="2134">
        <v>13143</v>
      </c>
      <c r="T121" s="812"/>
      <c r="U121" s="812"/>
      <c r="W121" s="812"/>
      <c r="X121" s="812"/>
      <c r="Y121" s="812"/>
      <c r="Z121" s="812"/>
      <c r="AA121" s="812"/>
    </row>
    <row r="122" spans="4:27" ht="12.75" customHeight="1" x14ac:dyDescent="0.25">
      <c r="D122" s="793"/>
      <c r="E122" s="934" t="s">
        <v>4346</v>
      </c>
      <c r="J122" s="812"/>
      <c r="K122" s="812">
        <f>SUM(K120:K121)</f>
        <v>236599</v>
      </c>
      <c r="L122" s="812">
        <f>SUM(L120:L121)</f>
        <v>253177</v>
      </c>
      <c r="M122" s="812">
        <f>SUM(M120:M121)</f>
        <v>269569</v>
      </c>
      <c r="N122" s="812">
        <f>SUM(N120:N121)</f>
        <v>286150</v>
      </c>
      <c r="O122" s="812">
        <f>SUM(O120:O121)</f>
        <v>286150</v>
      </c>
      <c r="T122" s="812"/>
      <c r="U122" s="812"/>
      <c r="W122" s="812"/>
      <c r="X122" s="812"/>
      <c r="Y122" s="812"/>
      <c r="Z122" s="812"/>
      <c r="AA122" s="812"/>
    </row>
    <row r="123" spans="4:27" ht="12.75" customHeight="1" x14ac:dyDescent="0.25">
      <c r="D123" s="793"/>
      <c r="E123" s="934"/>
      <c r="J123" s="812"/>
      <c r="K123" s="812"/>
      <c r="L123" s="812"/>
      <c r="M123" s="812"/>
      <c r="N123" s="812"/>
      <c r="O123" s="812"/>
      <c r="T123" s="812"/>
      <c r="U123" s="812"/>
      <c r="W123" s="812"/>
      <c r="X123" s="812"/>
      <c r="Y123" s="812"/>
      <c r="Z123" s="812"/>
      <c r="AA123" s="812"/>
    </row>
    <row r="124" spans="4:27" ht="12.75" customHeight="1" x14ac:dyDescent="0.25">
      <c r="D124" s="793"/>
      <c r="E124" s="812" t="s">
        <v>4347</v>
      </c>
      <c r="J124" s="812">
        <v>63583</v>
      </c>
      <c r="K124" s="812">
        <v>310122</v>
      </c>
      <c r="L124" s="812">
        <v>310122</v>
      </c>
      <c r="M124" s="812">
        <v>310122</v>
      </c>
      <c r="N124" s="812">
        <v>310122</v>
      </c>
      <c r="O124" s="812">
        <v>310122</v>
      </c>
      <c r="T124" s="812"/>
      <c r="U124" s="812"/>
      <c r="W124" s="812"/>
      <c r="X124" s="812"/>
      <c r="Y124" s="812"/>
      <c r="Z124" s="812"/>
      <c r="AA124" s="812"/>
    </row>
    <row r="125" spans="4:27" ht="12.75" customHeight="1" x14ac:dyDescent="0.25">
      <c r="D125" s="793"/>
      <c r="E125" s="812" t="s">
        <v>4348</v>
      </c>
      <c r="T125" s="812"/>
      <c r="U125" s="812"/>
      <c r="W125" s="812"/>
      <c r="X125" s="812"/>
      <c r="Y125" s="812"/>
      <c r="Z125" s="812"/>
      <c r="AA125" s="812"/>
    </row>
    <row r="126" spans="4:27" ht="12.75" customHeight="1" x14ac:dyDescent="0.25">
      <c r="D126" s="793"/>
      <c r="E126" s="812" t="s">
        <v>4349</v>
      </c>
      <c r="J126" s="812">
        <v>88873</v>
      </c>
      <c r="K126" s="812"/>
      <c r="L126" s="812"/>
      <c r="M126" s="812"/>
      <c r="N126" s="812"/>
      <c r="O126" s="812"/>
      <c r="T126" s="812"/>
      <c r="U126" s="812"/>
      <c r="W126" s="812"/>
      <c r="X126" s="812"/>
      <c r="Y126" s="812"/>
      <c r="Z126" s="812"/>
      <c r="AA126" s="812"/>
    </row>
    <row r="127" spans="4:27" ht="12.75" customHeight="1" x14ac:dyDescent="0.25">
      <c r="D127" s="793"/>
      <c r="E127" s="812" t="s">
        <v>4348</v>
      </c>
      <c r="J127" s="812"/>
      <c r="K127" s="812"/>
      <c r="L127" s="812"/>
      <c r="M127" s="812"/>
      <c r="N127" s="812"/>
      <c r="O127" s="812"/>
      <c r="T127" s="812"/>
      <c r="U127" s="812"/>
      <c r="W127" s="812"/>
      <c r="X127" s="812"/>
      <c r="Y127" s="812"/>
      <c r="Z127" s="812"/>
      <c r="AA127" s="812"/>
    </row>
    <row r="128" spans="4:27" ht="12.75" customHeight="1" x14ac:dyDescent="0.25">
      <c r="D128" s="793"/>
      <c r="E128" s="812" t="s">
        <v>4350</v>
      </c>
      <c r="J128" s="812">
        <v>150000</v>
      </c>
      <c r="K128" s="812"/>
      <c r="L128" s="812"/>
      <c r="M128" s="812"/>
      <c r="N128" s="812"/>
      <c r="O128" s="812"/>
      <c r="T128" s="812"/>
      <c r="U128" s="812"/>
      <c r="W128" s="812"/>
      <c r="X128" s="812"/>
      <c r="Y128" s="812"/>
      <c r="Z128" s="812"/>
      <c r="AA128" s="812"/>
    </row>
    <row r="129" spans="1:27" ht="12.75" customHeight="1" x14ac:dyDescent="0.25">
      <c r="D129" s="793"/>
      <c r="E129" s="812" t="s">
        <v>4351</v>
      </c>
      <c r="J129" s="812"/>
      <c r="K129" s="812">
        <v>28054</v>
      </c>
      <c r="L129" s="812">
        <v>58027</v>
      </c>
      <c r="M129" s="812">
        <v>77602</v>
      </c>
      <c r="N129" s="812">
        <v>103126</v>
      </c>
      <c r="O129" s="2133">
        <v>103126</v>
      </c>
      <c r="P129" s="832" t="s">
        <v>4352</v>
      </c>
      <c r="Q129" s="832"/>
      <c r="R129" s="832"/>
      <c r="S129" s="832"/>
      <c r="T129" s="911"/>
      <c r="U129" s="911"/>
      <c r="V129" s="832"/>
      <c r="W129" s="812"/>
      <c r="X129" s="812"/>
      <c r="Y129" s="812"/>
      <c r="Z129" s="812"/>
      <c r="AA129" s="812"/>
    </row>
    <row r="130" spans="1:27" ht="12.75" customHeight="1" x14ac:dyDescent="0.25">
      <c r="A130" s="942"/>
      <c r="B130" s="943"/>
      <c r="C130" s="943"/>
      <c r="D130" s="793"/>
      <c r="E130" s="944" t="s">
        <v>4353</v>
      </c>
      <c r="J130" s="1948">
        <v>512369</v>
      </c>
      <c r="K130" s="1948">
        <f>K122+K124+K129</f>
        <v>574775</v>
      </c>
      <c r="L130" s="1948">
        <f>L122+L124+L129</f>
        <v>621326</v>
      </c>
      <c r="M130" s="1948">
        <f>M122+M124+M129</f>
        <v>657293</v>
      </c>
      <c r="N130" s="1948">
        <f>N122+N124+N129</f>
        <v>699398</v>
      </c>
      <c r="O130" s="1948">
        <f>O122+O124+O129</f>
        <v>699398</v>
      </c>
      <c r="T130" s="812"/>
      <c r="U130" s="812"/>
      <c r="W130" s="812"/>
      <c r="X130" s="812"/>
      <c r="Y130" s="812"/>
      <c r="Z130" s="812"/>
      <c r="AA130" s="812"/>
    </row>
    <row r="131" spans="1:27" ht="12.75" customHeight="1" x14ac:dyDescent="0.25">
      <c r="A131" s="942"/>
      <c r="B131" s="943"/>
      <c r="C131" s="943"/>
      <c r="D131" s="793"/>
      <c r="E131" s="840"/>
      <c r="J131" s="812"/>
      <c r="K131" s="812"/>
      <c r="L131" s="812"/>
      <c r="M131" s="812"/>
      <c r="N131" s="812"/>
      <c r="O131" s="812"/>
      <c r="T131" s="812"/>
      <c r="U131" s="812"/>
      <c r="W131" s="812"/>
      <c r="X131" s="812"/>
      <c r="Y131" s="812"/>
      <c r="Z131" s="812"/>
      <c r="AA131" s="812"/>
    </row>
    <row r="132" spans="1:27" ht="12.75" customHeight="1" x14ac:dyDescent="0.25">
      <c r="A132" s="942"/>
      <c r="B132" s="943"/>
      <c r="C132" s="943"/>
      <c r="D132" s="793">
        <v>43812</v>
      </c>
      <c r="E132" s="856" t="s">
        <v>4354</v>
      </c>
      <c r="J132" s="812"/>
      <c r="K132" s="812"/>
      <c r="L132" s="812"/>
      <c r="M132" s="812"/>
      <c r="N132" s="812"/>
      <c r="O132" s="812"/>
      <c r="T132" s="812"/>
      <c r="U132" s="812"/>
      <c r="W132" s="812"/>
      <c r="X132" s="812"/>
      <c r="Y132" s="812"/>
      <c r="Z132" s="812"/>
      <c r="AA132" s="812"/>
    </row>
    <row r="133" spans="1:27" ht="12.75" customHeight="1" x14ac:dyDescent="0.25">
      <c r="A133" s="942"/>
      <c r="B133" s="943"/>
      <c r="C133" s="943"/>
      <c r="D133" s="793"/>
      <c r="E133" s="840" t="s">
        <v>4355</v>
      </c>
      <c r="J133" s="812">
        <v>207480</v>
      </c>
      <c r="K133" s="812">
        <f>ROUND(207480*S$2,-1)</f>
        <v>212870</v>
      </c>
      <c r="L133" s="812">
        <f>ROUND(K133*T$2,-1)</f>
        <v>217340</v>
      </c>
      <c r="M133" s="812">
        <f>ROUND(L133*U$2,-1)</f>
        <v>222340</v>
      </c>
      <c r="N133" s="812">
        <f>ROUND(M133*V$2,-1)</f>
        <v>227450</v>
      </c>
      <c r="O133" s="812">
        <f>ROUND(N133*W$2,-1)</f>
        <v>232680</v>
      </c>
      <c r="T133" s="812"/>
      <c r="U133" s="812"/>
      <c r="W133" s="812"/>
      <c r="X133" s="812"/>
      <c r="Y133" s="812"/>
      <c r="Z133" s="812"/>
      <c r="AA133" s="812"/>
    </row>
    <row r="134" spans="1:27" ht="12.75" customHeight="1" x14ac:dyDescent="0.25">
      <c r="A134" s="942"/>
      <c r="B134" s="943"/>
      <c r="C134" s="943"/>
      <c r="D134" s="793"/>
      <c r="E134" s="945" t="s">
        <v>4356</v>
      </c>
      <c r="J134" s="812"/>
      <c r="K134" s="812"/>
      <c r="L134" s="812"/>
      <c r="M134" s="812"/>
      <c r="N134" s="812"/>
      <c r="O134" s="812"/>
      <c r="T134" s="812"/>
      <c r="U134" s="812"/>
      <c r="W134" s="812"/>
      <c r="X134" s="812"/>
      <c r="Y134" s="812"/>
      <c r="Z134" s="812"/>
      <c r="AA134" s="812"/>
    </row>
    <row r="135" spans="1:27" ht="12.75" customHeight="1" x14ac:dyDescent="0.25">
      <c r="A135" s="942"/>
      <c r="B135" s="943"/>
      <c r="C135" s="943"/>
      <c r="D135" s="793"/>
      <c r="E135" s="945" t="s">
        <v>4357</v>
      </c>
      <c r="J135" s="812">
        <v>46660</v>
      </c>
      <c r="K135" s="812">
        <f>ROUND(46660*S$2,-1)</f>
        <v>47870</v>
      </c>
      <c r="L135" s="812">
        <f t="shared" ref="L135:O136" si="28">ROUND(K135*T$2,-1)</f>
        <v>48880</v>
      </c>
      <c r="M135" s="812">
        <f t="shared" si="28"/>
        <v>50000</v>
      </c>
      <c r="N135" s="812">
        <f t="shared" si="28"/>
        <v>51150</v>
      </c>
      <c r="O135" s="812">
        <f t="shared" si="28"/>
        <v>52330</v>
      </c>
      <c r="T135" s="812"/>
      <c r="U135" s="812"/>
      <c r="W135" s="812"/>
      <c r="X135" s="812"/>
      <c r="Y135" s="812"/>
      <c r="Z135" s="812"/>
      <c r="AA135" s="812"/>
    </row>
    <row r="136" spans="1:27" ht="12.75" customHeight="1" x14ac:dyDescent="0.25">
      <c r="A136" s="942"/>
      <c r="B136" s="943"/>
      <c r="C136" s="943"/>
      <c r="D136" s="793"/>
      <c r="E136" s="840" t="s">
        <v>4358</v>
      </c>
      <c r="J136" s="843">
        <v>33420</v>
      </c>
      <c r="K136" s="843">
        <f>ROUND(33420*S$2,-1)</f>
        <v>34290</v>
      </c>
      <c r="L136" s="843">
        <f t="shared" si="28"/>
        <v>35010</v>
      </c>
      <c r="M136" s="843">
        <f t="shared" si="28"/>
        <v>35820</v>
      </c>
      <c r="N136" s="843">
        <f t="shared" si="28"/>
        <v>36640</v>
      </c>
      <c r="O136" s="843">
        <f t="shared" si="28"/>
        <v>37480</v>
      </c>
      <c r="Q136" s="946"/>
      <c r="R136" s="946"/>
      <c r="T136" s="947"/>
      <c r="U136" s="859"/>
      <c r="W136" s="859"/>
      <c r="X136" s="859"/>
      <c r="Y136" s="859"/>
      <c r="Z136" s="859"/>
      <c r="AA136" s="859"/>
    </row>
    <row r="137" spans="1:27" ht="12.75" customHeight="1" x14ac:dyDescent="0.25">
      <c r="A137" s="942"/>
      <c r="B137" s="943"/>
      <c r="C137" s="943"/>
      <c r="D137" s="793"/>
      <c r="E137" s="944" t="s">
        <v>4359</v>
      </c>
      <c r="J137" s="1948">
        <v>287560</v>
      </c>
      <c r="K137" s="1948">
        <f>SUM(K133:K136)</f>
        <v>295030</v>
      </c>
      <c r="L137" s="1948">
        <f>SUM(L133:L136)</f>
        <v>301230</v>
      </c>
      <c r="M137" s="1948">
        <f>SUM(M133:M136)</f>
        <v>308160</v>
      </c>
      <c r="N137" s="1948">
        <f>SUM(N133:N136)</f>
        <v>315240</v>
      </c>
      <c r="O137" s="1948">
        <f>SUM(O133:O136)</f>
        <v>322490</v>
      </c>
      <c r="Q137" s="946"/>
      <c r="R137" s="946"/>
      <c r="T137" s="947"/>
      <c r="U137" s="859"/>
      <c r="W137" s="859"/>
      <c r="X137" s="859"/>
      <c r="Y137" s="859"/>
      <c r="Z137" s="859"/>
      <c r="AA137" s="859"/>
    </row>
    <row r="138" spans="1:27" ht="12.75" customHeight="1" x14ac:dyDescent="0.25">
      <c r="A138" s="942"/>
      <c r="B138" s="943"/>
      <c r="C138" s="943"/>
      <c r="D138" s="793"/>
      <c r="E138" s="840"/>
      <c r="J138" s="812"/>
      <c r="K138" s="812"/>
      <c r="L138" s="812"/>
      <c r="M138" s="812"/>
      <c r="N138" s="812"/>
      <c r="O138" s="812"/>
      <c r="Q138" s="946"/>
      <c r="R138" s="946"/>
      <c r="T138" s="947"/>
      <c r="U138" s="859"/>
      <c r="W138" s="859"/>
      <c r="X138" s="859"/>
      <c r="Y138" s="859"/>
      <c r="Z138" s="859"/>
      <c r="AA138" s="859"/>
    </row>
    <row r="139" spans="1:27" ht="12.75" customHeight="1" x14ac:dyDescent="0.25">
      <c r="A139" s="942"/>
      <c r="B139" s="943"/>
      <c r="C139" s="943"/>
      <c r="D139" s="793">
        <v>43812</v>
      </c>
      <c r="E139" s="944" t="s">
        <v>4360</v>
      </c>
      <c r="J139" s="948">
        <v>6780</v>
      </c>
      <c r="K139" s="948">
        <f>ROUND(6780*S$2,-1)</f>
        <v>6960</v>
      </c>
      <c r="L139" s="948">
        <f>ROUND(K139*T$2,-1)</f>
        <v>7110</v>
      </c>
      <c r="M139" s="948">
        <f>ROUND(L139*U$2,-1)</f>
        <v>7270</v>
      </c>
      <c r="N139" s="948">
        <f>ROUND(M139*V$2,-1)</f>
        <v>7440</v>
      </c>
      <c r="O139" s="948">
        <f>ROUND(N139*W$2,-1)</f>
        <v>7610</v>
      </c>
      <c r="Q139" s="946"/>
      <c r="R139" s="946"/>
      <c r="T139" s="947"/>
      <c r="U139" s="859"/>
      <c r="W139" s="859"/>
      <c r="X139" s="859"/>
      <c r="Y139" s="859"/>
      <c r="Z139" s="859"/>
      <c r="AA139" s="859"/>
    </row>
    <row r="140" spans="1:27" ht="12.75" customHeight="1" x14ac:dyDescent="0.25">
      <c r="A140" s="942"/>
      <c r="B140" s="943"/>
      <c r="C140" s="943"/>
      <c r="D140" s="793"/>
      <c r="E140" s="944"/>
      <c r="J140" s="812"/>
      <c r="K140" s="812"/>
      <c r="L140" s="812"/>
      <c r="M140" s="812"/>
      <c r="N140" s="812"/>
      <c r="O140" s="812"/>
      <c r="Q140" s="946"/>
      <c r="R140" s="946"/>
      <c r="T140" s="947"/>
      <c r="U140" s="859"/>
      <c r="W140" s="859"/>
      <c r="X140" s="859"/>
      <c r="Y140" s="859"/>
      <c r="Z140" s="859"/>
      <c r="AA140" s="859"/>
    </row>
    <row r="141" spans="1:27" ht="12.75" customHeight="1" x14ac:dyDescent="0.25">
      <c r="A141" s="942"/>
      <c r="B141" s="943"/>
      <c r="C141" s="943"/>
      <c r="D141" s="793"/>
      <c r="E141" s="944" t="s">
        <v>4361</v>
      </c>
      <c r="J141" s="948">
        <v>0</v>
      </c>
      <c r="K141" s="948">
        <v>31000</v>
      </c>
      <c r="L141" s="948">
        <v>32000</v>
      </c>
      <c r="M141" s="948">
        <v>33000</v>
      </c>
      <c r="N141" s="948">
        <v>34000</v>
      </c>
      <c r="O141" s="948">
        <v>35000</v>
      </c>
      <c r="Q141" s="946"/>
      <c r="R141" s="946"/>
      <c r="T141" s="947"/>
      <c r="U141" s="859"/>
      <c r="W141" s="859"/>
      <c r="X141" s="859"/>
      <c r="Y141" s="859"/>
      <c r="Z141" s="859"/>
      <c r="AA141" s="859"/>
    </row>
    <row r="142" spans="1:27" ht="12.75" customHeight="1" x14ac:dyDescent="0.25">
      <c r="A142" s="942"/>
      <c r="B142" s="943"/>
      <c r="C142" s="943"/>
      <c r="D142" s="793"/>
      <c r="E142" s="944"/>
      <c r="J142" s="812"/>
      <c r="K142" s="812"/>
      <c r="L142" s="812"/>
      <c r="M142" s="812"/>
      <c r="N142" s="812"/>
      <c r="O142" s="812"/>
      <c r="Q142" s="946"/>
      <c r="R142" s="946"/>
      <c r="T142" s="947"/>
      <c r="U142" s="859"/>
      <c r="W142" s="859"/>
      <c r="X142" s="859"/>
      <c r="Y142" s="859"/>
      <c r="Z142" s="859"/>
      <c r="AA142" s="859"/>
    </row>
    <row r="143" spans="1:27" ht="12.75" customHeight="1" x14ac:dyDescent="0.25">
      <c r="A143" s="942"/>
      <c r="B143" s="943"/>
      <c r="C143" s="943"/>
      <c r="D143" s="793"/>
      <c r="E143" s="856" t="s">
        <v>4362</v>
      </c>
      <c r="I143" s="812"/>
      <c r="J143" s="948">
        <v>1170</v>
      </c>
      <c r="K143" s="948">
        <f>ROUND(1170*S$2,-1)</f>
        <v>1200</v>
      </c>
      <c r="L143" s="948">
        <f>ROUND(K143*T$2,-1)</f>
        <v>1230</v>
      </c>
      <c r="M143" s="948">
        <f>ROUND(L143*U$2,-1)</f>
        <v>1260</v>
      </c>
      <c r="N143" s="948">
        <f>ROUND(M143*V$2,-1)</f>
        <v>1290</v>
      </c>
      <c r="O143" s="948">
        <f>ROUND(N143*W$2,-1)</f>
        <v>1320</v>
      </c>
      <c r="Q143" s="946"/>
      <c r="R143" s="946"/>
      <c r="T143" s="947"/>
      <c r="U143" s="859"/>
      <c r="W143" s="859"/>
      <c r="X143" s="859"/>
      <c r="Y143" s="859"/>
      <c r="Z143" s="859"/>
      <c r="AA143" s="859"/>
    </row>
    <row r="144" spans="1:27" ht="12.75" customHeight="1" x14ac:dyDescent="0.25">
      <c r="A144" s="942"/>
      <c r="B144" s="943"/>
      <c r="C144" s="943"/>
      <c r="D144" s="793"/>
      <c r="E144" s="840"/>
      <c r="J144" s="812"/>
      <c r="K144" s="812"/>
      <c r="L144" s="812"/>
      <c r="M144" s="812"/>
      <c r="N144" s="812"/>
      <c r="O144" s="812"/>
      <c r="Q144" s="946"/>
      <c r="R144" s="946"/>
      <c r="T144" s="947"/>
      <c r="U144" s="859"/>
      <c r="W144" s="859"/>
      <c r="X144" s="859"/>
      <c r="Y144" s="859"/>
      <c r="Z144" s="859"/>
      <c r="AA144" s="859"/>
    </row>
    <row r="145" spans="1:27" ht="12.75" customHeight="1" x14ac:dyDescent="0.25">
      <c r="A145" s="942"/>
      <c r="B145" s="943"/>
      <c r="C145" s="943"/>
      <c r="D145" s="793"/>
      <c r="E145" s="791" t="s">
        <v>1317</v>
      </c>
      <c r="J145" s="1938">
        <v>807879</v>
      </c>
      <c r="K145" s="1938">
        <f>K130+K137+K139+K143+K141</f>
        <v>908965</v>
      </c>
      <c r="L145" s="1938">
        <f t="shared" ref="L145:N145" si="29">L130+L137+L139+L143+L141</f>
        <v>962896</v>
      </c>
      <c r="M145" s="1938">
        <f t="shared" si="29"/>
        <v>1006983</v>
      </c>
      <c r="N145" s="1938">
        <f t="shared" si="29"/>
        <v>1057368</v>
      </c>
      <c r="O145" s="1938">
        <f t="shared" ref="O145" si="30">O130+O137+O139+O143+O141</f>
        <v>1065818</v>
      </c>
      <c r="Q145" s="946"/>
      <c r="R145" s="946"/>
      <c r="T145" s="947"/>
      <c r="U145" s="859"/>
      <c r="W145" s="859"/>
      <c r="X145" s="859"/>
      <c r="Y145" s="859"/>
      <c r="Z145" s="859"/>
      <c r="AA145" s="859"/>
    </row>
    <row r="146" spans="1:27" ht="12.75" customHeight="1" x14ac:dyDescent="0.25">
      <c r="A146" s="942"/>
      <c r="B146" s="943"/>
      <c r="C146" s="943"/>
      <c r="D146" s="793"/>
      <c r="E146" s="840"/>
      <c r="J146" s="812"/>
      <c r="K146" s="812"/>
      <c r="L146" s="812"/>
      <c r="M146" s="812"/>
      <c r="N146" s="812"/>
      <c r="O146" s="812"/>
      <c r="Q146" s="946"/>
      <c r="R146" s="946"/>
      <c r="T146" s="947"/>
      <c r="U146" s="859"/>
      <c r="W146" s="859"/>
      <c r="X146" s="859"/>
      <c r="Y146" s="859"/>
      <c r="Z146" s="859"/>
      <c r="AA146" s="859"/>
    </row>
    <row r="147" spans="1:27" ht="12.75" customHeight="1" x14ac:dyDescent="0.25">
      <c r="A147" s="942"/>
      <c r="B147" s="943"/>
      <c r="C147" s="943"/>
      <c r="D147" s="793"/>
      <c r="E147" s="944" t="s">
        <v>3421</v>
      </c>
      <c r="J147" s="812"/>
      <c r="K147" s="812"/>
      <c r="L147" s="812"/>
      <c r="M147" s="812"/>
      <c r="N147" s="812"/>
      <c r="O147" s="812"/>
      <c r="Q147" s="946"/>
      <c r="R147" s="946"/>
      <c r="T147" s="947"/>
      <c r="U147" s="859"/>
      <c r="W147" s="859"/>
      <c r="X147" s="859"/>
      <c r="Y147" s="859"/>
      <c r="Z147" s="859"/>
      <c r="AA147" s="859"/>
    </row>
    <row r="148" spans="1:27" ht="12.75" customHeight="1" x14ac:dyDescent="0.25">
      <c r="A148" s="942"/>
      <c r="B148" s="943"/>
      <c r="C148" s="943"/>
      <c r="D148" s="793"/>
      <c r="E148" s="840" t="s">
        <v>4363</v>
      </c>
      <c r="J148" s="812"/>
      <c r="K148" s="812"/>
      <c r="L148" s="812"/>
      <c r="M148" s="812"/>
      <c r="N148" s="812"/>
      <c r="O148" s="812"/>
      <c r="Q148" s="946"/>
      <c r="R148" s="946"/>
      <c r="T148" s="947"/>
      <c r="U148" s="859"/>
      <c r="W148" s="859"/>
      <c r="X148" s="859"/>
      <c r="Y148" s="859"/>
      <c r="Z148" s="859"/>
      <c r="AA148" s="859"/>
    </row>
    <row r="149" spans="1:27" ht="12.75" customHeight="1" x14ac:dyDescent="0.25">
      <c r="A149" s="942"/>
      <c r="B149" s="943"/>
      <c r="C149" s="943"/>
      <c r="D149" s="793"/>
      <c r="E149" s="840" t="s">
        <v>4364</v>
      </c>
      <c r="J149" s="812">
        <v>-69450</v>
      </c>
      <c r="K149" s="812">
        <f>ROUND(-69450*S$3,-1)</f>
        <v>-70840</v>
      </c>
      <c r="L149" s="812">
        <f t="shared" ref="L149:O150" si="31">ROUND(K149*T$3,-1)</f>
        <v>-73820</v>
      </c>
      <c r="M149" s="812">
        <f t="shared" si="31"/>
        <v>-76550</v>
      </c>
      <c r="N149" s="812">
        <f t="shared" si="31"/>
        <v>-79380</v>
      </c>
      <c r="O149" s="812">
        <f t="shared" si="31"/>
        <v>-82320</v>
      </c>
      <c r="Q149" s="946"/>
      <c r="R149" s="946"/>
      <c r="T149" s="947"/>
      <c r="U149" s="859"/>
      <c r="W149" s="859"/>
      <c r="X149" s="859"/>
      <c r="Y149" s="859"/>
      <c r="Z149" s="859"/>
      <c r="AA149" s="859"/>
    </row>
    <row r="150" spans="1:27" ht="12.75" customHeight="1" x14ac:dyDescent="0.25">
      <c r="A150" s="942"/>
      <c r="B150" s="943"/>
      <c r="C150" s="943"/>
      <c r="D150" s="793"/>
      <c r="E150" s="840" t="s">
        <v>4365</v>
      </c>
      <c r="J150" s="812">
        <v>-43300</v>
      </c>
      <c r="K150" s="812">
        <f>ROUND(-43300*S$3,-1)</f>
        <v>-44170</v>
      </c>
      <c r="L150" s="812">
        <f t="shared" si="31"/>
        <v>-46030</v>
      </c>
      <c r="M150" s="812">
        <f t="shared" si="31"/>
        <v>-47730</v>
      </c>
      <c r="N150" s="812">
        <f t="shared" si="31"/>
        <v>-49500</v>
      </c>
      <c r="O150" s="812">
        <f t="shared" si="31"/>
        <v>-51330</v>
      </c>
      <c r="Q150" s="946"/>
      <c r="R150" s="946"/>
      <c r="T150" s="947"/>
      <c r="U150" s="859"/>
      <c r="W150" s="859"/>
      <c r="X150" s="859"/>
      <c r="Y150" s="859"/>
      <c r="Z150" s="859"/>
      <c r="AA150" s="859"/>
    </row>
    <row r="151" spans="1:27" s="2158" customFormat="1" ht="12.75" customHeight="1" x14ac:dyDescent="0.25">
      <c r="A151" s="2167"/>
      <c r="B151" s="2168"/>
      <c r="C151" s="2168"/>
      <c r="D151" s="2169"/>
      <c r="E151" s="2170" t="s">
        <v>5309</v>
      </c>
      <c r="F151" s="2169"/>
      <c r="J151" s="2159"/>
      <c r="K151" s="2159">
        <v>56168</v>
      </c>
      <c r="L151" s="2159">
        <v>59910</v>
      </c>
      <c r="M151" s="2159"/>
      <c r="N151" s="2159"/>
      <c r="O151" s="2159"/>
      <c r="Q151" s="2171"/>
      <c r="R151" s="2171"/>
      <c r="T151" s="2172"/>
      <c r="U151" s="2173"/>
      <c r="W151" s="2173"/>
      <c r="X151" s="2173"/>
      <c r="Y151" s="2173"/>
      <c r="Z151" s="2173"/>
      <c r="AA151" s="2173"/>
    </row>
    <row r="152" spans="1:27" ht="12.75" customHeight="1" thickBot="1" x14ac:dyDescent="0.3">
      <c r="A152" s="942"/>
      <c r="B152" s="943"/>
      <c r="C152" s="943"/>
      <c r="D152" s="793"/>
      <c r="E152" s="840" t="s">
        <v>619</v>
      </c>
      <c r="J152" s="1935">
        <v>695129</v>
      </c>
      <c r="K152" s="1935">
        <f>SUM(K145:K151)</f>
        <v>850123</v>
      </c>
      <c r="L152" s="1935">
        <f>SUM(L145:L151)</f>
        <v>902956</v>
      </c>
      <c r="M152" s="1935">
        <f>SUM(M145:M151)</f>
        <v>882703</v>
      </c>
      <c r="N152" s="1935">
        <f>SUM(N145:N151)</f>
        <v>928488</v>
      </c>
      <c r="O152" s="1935">
        <f>SUM(O145:O151)</f>
        <v>932168</v>
      </c>
      <c r="Q152" s="946"/>
      <c r="R152" s="946"/>
      <c r="T152" s="947"/>
      <c r="U152" s="859"/>
      <c r="W152" s="859"/>
      <c r="X152" s="859"/>
      <c r="Y152" s="859"/>
      <c r="Z152" s="859"/>
      <c r="AA152" s="859"/>
    </row>
    <row r="153" spans="1:27" ht="12.75" customHeight="1" thickTop="1" x14ac:dyDescent="0.25">
      <c r="A153" s="942"/>
      <c r="B153" s="943"/>
      <c r="C153" s="943"/>
      <c r="D153" s="793"/>
      <c r="E153" s="840"/>
      <c r="J153" s="812"/>
      <c r="K153" s="812"/>
      <c r="L153" s="812"/>
      <c r="M153" s="812"/>
      <c r="N153" s="812"/>
      <c r="O153" s="812"/>
      <c r="Q153" s="946"/>
      <c r="R153" s="946"/>
      <c r="T153" s="947"/>
      <c r="U153" s="859"/>
      <c r="W153" s="859"/>
      <c r="X153" s="859"/>
      <c r="Y153" s="859"/>
      <c r="Z153" s="859"/>
      <c r="AA153" s="859"/>
    </row>
    <row r="154" spans="1:27" ht="12.75" customHeight="1" x14ac:dyDescent="0.25">
      <c r="A154" s="942"/>
      <c r="B154" s="943"/>
      <c r="C154" s="943"/>
      <c r="D154" s="793"/>
      <c r="E154" s="840" t="s">
        <v>4366</v>
      </c>
      <c r="J154" s="812"/>
      <c r="K154" s="812"/>
      <c r="L154" s="812"/>
      <c r="M154" s="812"/>
      <c r="N154" s="812"/>
      <c r="O154" s="812"/>
      <c r="P154" s="812"/>
      <c r="Q154" s="946"/>
      <c r="R154" s="946"/>
      <c r="T154" s="947"/>
      <c r="U154" s="859"/>
      <c r="W154" s="859"/>
      <c r="X154" s="859"/>
      <c r="Y154" s="859"/>
      <c r="Z154" s="859"/>
      <c r="AA154" s="859"/>
    </row>
    <row r="155" spans="1:27" ht="12.75" customHeight="1" x14ac:dyDescent="0.25">
      <c r="A155" s="942"/>
      <c r="B155" s="943"/>
      <c r="C155" s="943"/>
      <c r="D155" s="793"/>
      <c r="E155" s="840" t="s">
        <v>4367</v>
      </c>
      <c r="J155" s="812"/>
      <c r="K155" s="812"/>
      <c r="L155" s="812"/>
      <c r="M155" s="812"/>
      <c r="N155" s="812"/>
      <c r="O155" s="812"/>
      <c r="P155" s="812"/>
      <c r="Q155" s="946"/>
      <c r="R155" s="946"/>
      <c r="T155" s="947"/>
      <c r="U155" s="859"/>
      <c r="W155" s="859"/>
      <c r="X155" s="859"/>
      <c r="Y155" s="859"/>
      <c r="Z155" s="859"/>
      <c r="AA155" s="859"/>
    </row>
    <row r="156" spans="1:27" ht="12.75" customHeight="1" x14ac:dyDescent="0.25">
      <c r="A156" s="942"/>
      <c r="B156" s="943"/>
      <c r="C156" s="943"/>
      <c r="D156" s="793"/>
      <c r="E156" s="840" t="s">
        <v>4368</v>
      </c>
      <c r="J156" s="812"/>
      <c r="K156" s="812"/>
      <c r="L156" s="812"/>
      <c r="M156" s="812"/>
      <c r="N156" s="812"/>
      <c r="O156" s="812"/>
      <c r="P156" s="812"/>
      <c r="Q156" s="946"/>
      <c r="R156" s="946"/>
      <c r="T156" s="947"/>
      <c r="U156" s="859"/>
      <c r="W156" s="859"/>
      <c r="X156" s="859"/>
      <c r="Y156" s="859"/>
      <c r="Z156" s="859"/>
      <c r="AA156" s="859"/>
    </row>
    <row r="157" spans="1:27" ht="12.75" customHeight="1" x14ac:dyDescent="0.25">
      <c r="A157" s="942"/>
      <c r="B157" s="943"/>
      <c r="C157" s="943"/>
      <c r="D157" s="793"/>
      <c r="E157" s="840"/>
      <c r="J157" s="812"/>
      <c r="K157" s="812"/>
      <c r="L157" s="812"/>
      <c r="M157" s="812"/>
      <c r="N157" s="812"/>
      <c r="O157" s="812"/>
      <c r="P157" s="812"/>
      <c r="Q157" s="946"/>
      <c r="R157" s="946"/>
      <c r="T157" s="947"/>
      <c r="U157" s="859"/>
      <c r="W157" s="859"/>
      <c r="X157" s="859"/>
      <c r="Y157" s="859"/>
      <c r="Z157" s="859"/>
      <c r="AA157" s="859"/>
    </row>
    <row r="158" spans="1:27" ht="12.75" customHeight="1" x14ac:dyDescent="0.25">
      <c r="D158" s="834">
        <v>640003</v>
      </c>
      <c r="E158" s="832" t="s">
        <v>4336</v>
      </c>
      <c r="F158" s="813"/>
      <c r="I158" s="812"/>
      <c r="J158" s="941">
        <v>2025</v>
      </c>
      <c r="K158" s="941">
        <v>2026</v>
      </c>
      <c r="L158" s="941">
        <v>2027</v>
      </c>
      <c r="M158" s="941">
        <v>2028</v>
      </c>
      <c r="N158" s="941">
        <v>2029</v>
      </c>
      <c r="O158" s="941">
        <v>2030</v>
      </c>
    </row>
    <row r="159" spans="1:27" ht="12.75" customHeight="1" x14ac:dyDescent="0.25">
      <c r="D159" s="834"/>
      <c r="E159" s="856" t="s">
        <v>533</v>
      </c>
      <c r="F159" s="813"/>
      <c r="I159" s="812"/>
      <c r="J159" s="812"/>
      <c r="K159" s="812"/>
      <c r="L159" s="812"/>
      <c r="M159" s="812"/>
      <c r="N159" s="812"/>
      <c r="O159" s="812"/>
    </row>
    <row r="160" spans="1:27" ht="12.75" customHeight="1" x14ac:dyDescent="0.25">
      <c r="D160" s="793">
        <v>43812</v>
      </c>
      <c r="E160" s="791" t="s">
        <v>4369</v>
      </c>
      <c r="I160" s="812"/>
      <c r="J160" s="812">
        <v>3500</v>
      </c>
      <c r="K160" s="812">
        <f>ROUND(3500*S$2,-1)</f>
        <v>3590</v>
      </c>
      <c r="L160" s="812">
        <f>ROUND(K160*T$2,-1)</f>
        <v>3670</v>
      </c>
      <c r="M160" s="812">
        <f>ROUND(L160*U$2,-1)</f>
        <v>3750</v>
      </c>
      <c r="N160" s="812">
        <f>ROUND(M160*V$2,-1)</f>
        <v>3840</v>
      </c>
      <c r="O160" s="812">
        <f>ROUND(N160*W$2,-1)</f>
        <v>3930</v>
      </c>
    </row>
    <row r="161" spans="4:16" ht="12.75" customHeight="1" thickBot="1" x14ac:dyDescent="0.3">
      <c r="D161" s="793"/>
      <c r="E161" s="791" t="str">
        <f>"Totaal "&amp;D160</f>
        <v>Totaal 43812</v>
      </c>
      <c r="I161" s="812"/>
      <c r="J161" s="1935">
        <v>3500</v>
      </c>
      <c r="K161" s="1935">
        <f>SUM(K160:K160)</f>
        <v>3590</v>
      </c>
      <c r="L161" s="1935">
        <f>SUM(L160:L160)</f>
        <v>3670</v>
      </c>
      <c r="M161" s="1935">
        <f>SUM(M160:M160)</f>
        <v>3750</v>
      </c>
      <c r="N161" s="1935">
        <f>SUM(N160:N160)</f>
        <v>3840</v>
      </c>
      <c r="O161" s="1935">
        <f>SUM(O160:O160)</f>
        <v>3930</v>
      </c>
    </row>
    <row r="162" spans="4:16" ht="12.75" customHeight="1" thickTop="1" x14ac:dyDescent="0.25">
      <c r="D162" s="793"/>
      <c r="E162" s="791"/>
      <c r="I162" s="812"/>
      <c r="J162" s="812"/>
      <c r="K162" s="812"/>
      <c r="L162" s="812"/>
      <c r="M162" s="812"/>
      <c r="N162" s="812"/>
      <c r="O162" s="812"/>
    </row>
    <row r="163" spans="4:16" ht="12.75" customHeight="1" x14ac:dyDescent="0.25">
      <c r="D163" s="793"/>
      <c r="E163" s="791"/>
      <c r="I163" s="812"/>
      <c r="J163" s="812"/>
      <c r="K163" s="812"/>
      <c r="L163" s="812"/>
      <c r="M163" s="812"/>
      <c r="N163" s="812"/>
      <c r="O163" s="812"/>
    </row>
    <row r="164" spans="4:16" ht="12.75" customHeight="1" x14ac:dyDescent="0.25">
      <c r="D164" s="834">
        <v>640008</v>
      </c>
      <c r="E164" s="832" t="s">
        <v>4337</v>
      </c>
      <c r="I164" s="812"/>
      <c r="J164" s="941">
        <v>2025</v>
      </c>
      <c r="K164" s="941">
        <v>2026</v>
      </c>
      <c r="L164" s="941">
        <v>2027</v>
      </c>
      <c r="M164" s="941">
        <v>2028</v>
      </c>
      <c r="N164" s="941">
        <v>2029</v>
      </c>
      <c r="O164" s="941">
        <v>2030</v>
      </c>
    </row>
    <row r="165" spans="4:16" ht="12.75" customHeight="1" x14ac:dyDescent="0.25">
      <c r="D165" s="793"/>
      <c r="E165" s="856" t="s">
        <v>533</v>
      </c>
      <c r="I165" s="812"/>
      <c r="J165" s="812"/>
      <c r="K165" s="812"/>
      <c r="L165" s="812"/>
      <c r="M165" s="812"/>
      <c r="N165" s="812"/>
      <c r="O165" s="812"/>
    </row>
    <row r="166" spans="4:16" ht="12.75" customHeight="1" x14ac:dyDescent="0.25">
      <c r="D166" s="793">
        <v>43812</v>
      </c>
      <c r="E166" s="842" t="s">
        <v>4370</v>
      </c>
      <c r="I166" s="812"/>
      <c r="J166" s="812">
        <v>0</v>
      </c>
      <c r="K166" s="812">
        <v>30800</v>
      </c>
      <c r="L166" s="812">
        <f>ROUND(K166*T$2,-2)</f>
        <v>31400</v>
      </c>
      <c r="M166" s="812">
        <f>ROUND(L166*U$2,-2)</f>
        <v>32100</v>
      </c>
      <c r="N166" s="812">
        <f>ROUND(M166*V$2,-2)</f>
        <v>32800</v>
      </c>
      <c r="O166" s="812">
        <f>ROUND(N166*W$2,-2)</f>
        <v>33600</v>
      </c>
    </row>
    <row r="167" spans="4:16" ht="12.75" customHeight="1" thickBot="1" x14ac:dyDescent="0.3">
      <c r="D167" s="793"/>
      <c r="E167" s="791" t="str">
        <f>"Totaal "&amp;D166</f>
        <v>Totaal 43812</v>
      </c>
      <c r="I167" s="812"/>
      <c r="J167" s="1935">
        <v>0</v>
      </c>
      <c r="K167" s="1935">
        <f>SUM(K166)</f>
        <v>30800</v>
      </c>
      <c r="L167" s="1935">
        <f t="shared" ref="L167:N167" si="32">SUM(L166)</f>
        <v>31400</v>
      </c>
      <c r="M167" s="1935">
        <f t="shared" si="32"/>
        <v>32100</v>
      </c>
      <c r="N167" s="1935">
        <f t="shared" si="32"/>
        <v>32800</v>
      </c>
      <c r="O167" s="1935">
        <f t="shared" ref="O167" si="33">SUM(O166)</f>
        <v>33600</v>
      </c>
    </row>
    <row r="168" spans="4:16" ht="12.75" customHeight="1" thickTop="1" x14ac:dyDescent="0.25">
      <c r="D168" s="793"/>
      <c r="E168" s="791"/>
      <c r="I168" s="812"/>
      <c r="J168" s="812"/>
      <c r="K168" s="812"/>
      <c r="L168" s="812"/>
      <c r="M168" s="812"/>
      <c r="N168" s="812"/>
      <c r="O168" s="812"/>
    </row>
    <row r="169" spans="4:16" ht="12.75" customHeight="1" x14ac:dyDescent="0.25">
      <c r="D169" s="929">
        <v>640901</v>
      </c>
      <c r="E169" s="832" t="s">
        <v>4338</v>
      </c>
      <c r="F169" s="930"/>
      <c r="I169" s="812"/>
      <c r="J169" s="941">
        <v>2025</v>
      </c>
      <c r="K169" s="941">
        <v>2026</v>
      </c>
      <c r="L169" s="941">
        <v>2027</v>
      </c>
      <c r="M169" s="941">
        <v>2028</v>
      </c>
      <c r="N169" s="941">
        <v>2029</v>
      </c>
      <c r="O169" s="941">
        <v>2030</v>
      </c>
      <c r="P169" s="812"/>
    </row>
    <row r="170" spans="4:16" ht="12.75" customHeight="1" x14ac:dyDescent="0.25">
      <c r="D170" s="929"/>
      <c r="E170" s="800" t="s">
        <v>533</v>
      </c>
      <c r="F170" s="930"/>
      <c r="I170" s="812"/>
      <c r="J170" s="812"/>
      <c r="K170" s="812"/>
      <c r="L170" s="812"/>
      <c r="M170" s="812"/>
      <c r="N170" s="812"/>
      <c r="O170" s="812"/>
      <c r="P170" s="812"/>
    </row>
    <row r="171" spans="4:16" ht="12.75" customHeight="1" x14ac:dyDescent="0.25">
      <c r="D171" s="831">
        <v>41100</v>
      </c>
      <c r="E171" s="791" t="s">
        <v>700</v>
      </c>
      <c r="F171" s="831"/>
      <c r="I171" s="812"/>
      <c r="J171" s="812"/>
      <c r="K171" s="812"/>
      <c r="L171" s="812"/>
      <c r="M171" s="812"/>
      <c r="N171" s="812"/>
      <c r="O171" s="812"/>
      <c r="P171" s="812"/>
    </row>
    <row r="172" spans="4:16" ht="12.75" customHeight="1" x14ac:dyDescent="0.25">
      <c r="D172" s="929"/>
      <c r="E172" s="796" t="s">
        <v>3261</v>
      </c>
      <c r="F172" s="930"/>
      <c r="I172" s="812"/>
      <c r="J172" s="812">
        <v>235950</v>
      </c>
      <c r="K172" s="812">
        <v>289005.76</v>
      </c>
      <c r="L172" s="812">
        <f t="shared" ref="L172:O173" si="34">ROUND(K172*T$3,0)</f>
        <v>301144</v>
      </c>
      <c r="M172" s="812">
        <f t="shared" si="34"/>
        <v>312286</v>
      </c>
      <c r="N172" s="812">
        <f t="shared" si="34"/>
        <v>323841</v>
      </c>
      <c r="O172" s="812">
        <f t="shared" si="34"/>
        <v>335823</v>
      </c>
    </row>
    <row r="173" spans="4:16" ht="12.75" customHeight="1" x14ac:dyDescent="0.25">
      <c r="D173" s="929"/>
      <c r="E173" s="796" t="s">
        <v>4371</v>
      </c>
      <c r="F173" s="930"/>
      <c r="I173" s="812"/>
      <c r="J173" s="812">
        <v>928592</v>
      </c>
      <c r="K173" s="812">
        <v>953647.22</v>
      </c>
      <c r="L173" s="812">
        <f t="shared" si="34"/>
        <v>993700</v>
      </c>
      <c r="M173" s="812">
        <f t="shared" si="34"/>
        <v>1030467</v>
      </c>
      <c r="N173" s="812">
        <f t="shared" si="34"/>
        <v>1068594</v>
      </c>
      <c r="O173" s="812">
        <f t="shared" si="34"/>
        <v>1108132</v>
      </c>
    </row>
    <row r="174" spans="4:16" ht="12.75" customHeight="1" thickBot="1" x14ac:dyDescent="0.3">
      <c r="D174" s="929"/>
      <c r="E174" s="791" t="str">
        <f>"Totaal "&amp;D171</f>
        <v>Totaal 41100</v>
      </c>
      <c r="F174" s="930"/>
      <c r="I174" s="812"/>
      <c r="J174" s="1935">
        <v>1164542</v>
      </c>
      <c r="K174" s="1935">
        <f>SUM(K172:K173)</f>
        <v>1242652.98</v>
      </c>
      <c r="L174" s="1935">
        <f>SUM(L172:L173)</f>
        <v>1294844</v>
      </c>
      <c r="M174" s="1935">
        <f>SUM(M172:M173)</f>
        <v>1342753</v>
      </c>
      <c r="N174" s="1935">
        <f>SUM(N172:N173)</f>
        <v>1392435</v>
      </c>
      <c r="O174" s="1935">
        <f>SUM(O172:O173)</f>
        <v>1443955</v>
      </c>
    </row>
    <row r="175" spans="4:16" ht="12.75" customHeight="1" thickTop="1" x14ac:dyDescent="0.25">
      <c r="D175" s="929"/>
      <c r="E175" s="791"/>
      <c r="F175" s="930"/>
      <c r="I175" s="812"/>
      <c r="J175" s="812"/>
      <c r="K175" s="812"/>
      <c r="L175" s="812"/>
      <c r="M175" s="812"/>
      <c r="N175" s="812"/>
      <c r="O175" s="812"/>
    </row>
    <row r="176" spans="4:16" ht="12.75" customHeight="1" x14ac:dyDescent="0.25">
      <c r="D176" s="834">
        <v>640006</v>
      </c>
      <c r="E176" s="832" t="s">
        <v>4334</v>
      </c>
      <c r="F176" s="813"/>
      <c r="I176" s="911"/>
      <c r="J176" s="941">
        <v>2025</v>
      </c>
      <c r="K176" s="941">
        <v>2026</v>
      </c>
      <c r="L176" s="941">
        <v>2027</v>
      </c>
      <c r="M176" s="941">
        <v>2028</v>
      </c>
      <c r="N176" s="941">
        <v>2029</v>
      </c>
      <c r="O176" s="941">
        <v>2030</v>
      </c>
    </row>
    <row r="177" spans="4:15" ht="12.75" customHeight="1" x14ac:dyDescent="0.25">
      <c r="D177" s="834"/>
      <c r="E177" s="856" t="s">
        <v>533</v>
      </c>
      <c r="F177" s="813"/>
      <c r="I177" s="812"/>
      <c r="J177" s="812"/>
      <c r="K177" s="812"/>
      <c r="L177" s="812"/>
      <c r="M177" s="812"/>
      <c r="N177" s="812"/>
      <c r="O177" s="812"/>
    </row>
    <row r="178" spans="4:15" ht="12.75" customHeight="1" x14ac:dyDescent="0.25">
      <c r="D178" s="793">
        <v>43812</v>
      </c>
      <c r="E178" s="840" t="s">
        <v>4372</v>
      </c>
      <c r="F178" s="813"/>
      <c r="I178" s="812"/>
      <c r="J178" s="812"/>
      <c r="K178" s="812"/>
      <c r="L178" s="812"/>
      <c r="M178" s="812"/>
      <c r="N178" s="812"/>
      <c r="O178" s="812"/>
    </row>
    <row r="179" spans="4:15" ht="12.75" customHeight="1" x14ac:dyDescent="0.25">
      <c r="D179" s="834"/>
      <c r="E179" s="841" t="s">
        <v>4373</v>
      </c>
      <c r="F179" s="813"/>
      <c r="I179" s="812"/>
      <c r="J179" s="812">
        <v>111514</v>
      </c>
      <c r="K179" s="812">
        <v>32370</v>
      </c>
      <c r="L179" s="812">
        <f>ROUND(K179*T$2,-1)</f>
        <v>33050</v>
      </c>
      <c r="M179" s="812">
        <f>ROUND(L179*U$2,-1)</f>
        <v>33810</v>
      </c>
      <c r="N179" s="812">
        <f>ROUND(M179*V$2,-1)</f>
        <v>34590</v>
      </c>
      <c r="O179" s="812">
        <f>ROUND(N179*W$2,-1)</f>
        <v>35390</v>
      </c>
    </row>
    <row r="180" spans="4:15" ht="12.75" customHeight="1" x14ac:dyDescent="0.25">
      <c r="D180" s="834"/>
      <c r="E180" s="840" t="s">
        <v>4374</v>
      </c>
      <c r="F180" s="813"/>
      <c r="I180" s="812"/>
      <c r="J180" s="812"/>
      <c r="K180" s="812"/>
      <c r="L180" s="812"/>
      <c r="M180" s="812"/>
      <c r="N180" s="812"/>
      <c r="O180" s="812"/>
    </row>
    <row r="181" spans="4:15" ht="12.75" customHeight="1" x14ac:dyDescent="0.25">
      <c r="D181" s="834"/>
      <c r="E181" s="840" t="s">
        <v>4375</v>
      </c>
      <c r="F181" s="813"/>
      <c r="I181" s="812"/>
      <c r="J181" s="812">
        <v>-77862</v>
      </c>
      <c r="K181" s="812"/>
      <c r="L181" s="812"/>
      <c r="M181" s="812"/>
      <c r="N181" s="812"/>
      <c r="O181" s="812"/>
    </row>
    <row r="182" spans="4:15" ht="12.75" customHeight="1" x14ac:dyDescent="0.25">
      <c r="D182" s="834"/>
      <c r="E182" s="840" t="s">
        <v>4376</v>
      </c>
      <c r="F182" s="813"/>
      <c r="I182" s="812"/>
      <c r="J182" s="812"/>
      <c r="K182" s="812"/>
      <c r="L182" s="812"/>
      <c r="M182" s="812"/>
      <c r="N182" s="812"/>
      <c r="O182" s="812"/>
    </row>
    <row r="183" spans="4:15" ht="12.75" customHeight="1" x14ac:dyDescent="0.25">
      <c r="D183" s="834"/>
      <c r="E183" s="2227" t="s">
        <v>5341</v>
      </c>
      <c r="F183" s="2228"/>
      <c r="G183" s="2218"/>
      <c r="H183" s="2218"/>
      <c r="I183" s="2217"/>
      <c r="J183" s="2229"/>
      <c r="K183" s="2229">
        <v>484147</v>
      </c>
      <c r="L183" s="2229"/>
      <c r="M183" s="2229"/>
      <c r="N183" s="2229"/>
      <c r="O183" s="2229"/>
    </row>
    <row r="184" spans="4:15" ht="12.75" customHeight="1" thickBot="1" x14ac:dyDescent="0.3">
      <c r="D184" s="793"/>
      <c r="E184" s="791" t="str">
        <f>"Totaal "&amp;D178</f>
        <v>Totaal 43812</v>
      </c>
      <c r="I184" s="812"/>
      <c r="J184" s="1935">
        <v>33652</v>
      </c>
      <c r="K184" s="1935">
        <f t="shared" ref="K184" si="35">SUM(K179:K183)</f>
        <v>516517</v>
      </c>
      <c r="L184" s="1935">
        <f t="shared" ref="L184:M184" si="36">SUM(L179:L183)</f>
        <v>33050</v>
      </c>
      <c r="M184" s="1935">
        <f t="shared" si="36"/>
        <v>33810</v>
      </c>
      <c r="N184" s="1935">
        <f t="shared" ref="N184:O184" si="37">SUM(N179:N183)</f>
        <v>34590</v>
      </c>
      <c r="O184" s="1935">
        <f t="shared" si="37"/>
        <v>35390</v>
      </c>
    </row>
    <row r="185" spans="4:15" ht="12.75" customHeight="1" thickTop="1" x14ac:dyDescent="0.25">
      <c r="D185" s="793"/>
      <c r="I185" s="812"/>
      <c r="J185" s="812"/>
      <c r="K185" s="812"/>
      <c r="L185" s="812"/>
      <c r="M185" s="812"/>
      <c r="N185" s="812"/>
      <c r="O185" s="812"/>
    </row>
    <row r="186" spans="4:15" ht="12.75" customHeight="1" x14ac:dyDescent="0.25">
      <c r="D186" s="813">
        <v>640901</v>
      </c>
      <c r="E186" s="797" t="s">
        <v>4338</v>
      </c>
      <c r="F186" s="813"/>
      <c r="G186" s="832"/>
      <c r="I186" s="812"/>
      <c r="J186" s="812"/>
      <c r="K186" s="812"/>
      <c r="L186" s="812"/>
      <c r="M186" s="812"/>
      <c r="N186" s="812"/>
      <c r="O186" s="812"/>
    </row>
    <row r="187" spans="4:15" ht="12.75" customHeight="1" x14ac:dyDescent="0.25">
      <c r="D187" s="793"/>
      <c r="E187" s="967" t="s">
        <v>533</v>
      </c>
      <c r="I187" s="812"/>
      <c r="J187" s="812"/>
      <c r="K187" s="812"/>
      <c r="L187" s="812"/>
      <c r="M187" s="812"/>
      <c r="N187" s="812"/>
      <c r="O187" s="812"/>
    </row>
    <row r="188" spans="4:15" ht="12.75" customHeight="1" x14ac:dyDescent="0.25">
      <c r="D188" s="793">
        <v>43511</v>
      </c>
      <c r="E188" s="2289" t="s">
        <v>5343</v>
      </c>
      <c r="F188" s="2169"/>
      <c r="G188" s="2158"/>
      <c r="H188" s="2158"/>
      <c r="I188" s="2159"/>
      <c r="J188" s="2159"/>
      <c r="K188" s="2159">
        <v>50000</v>
      </c>
      <c r="L188" s="2159"/>
      <c r="M188" s="2159"/>
      <c r="N188" s="2159"/>
      <c r="O188" s="2159"/>
    </row>
    <row r="189" spans="4:15" ht="12.75" customHeight="1" x14ac:dyDescent="0.25">
      <c r="D189" s="793"/>
      <c r="E189" s="2289" t="s">
        <v>5394</v>
      </c>
      <c r="F189" s="2169"/>
      <c r="G189" s="2158"/>
      <c r="H189" s="2158"/>
      <c r="I189" s="2159"/>
      <c r="J189" s="2159"/>
      <c r="K189" s="2159">
        <v>40000</v>
      </c>
      <c r="L189" s="2159"/>
      <c r="M189" s="2159"/>
      <c r="N189" s="2159"/>
      <c r="O189" s="2159"/>
    </row>
    <row r="190" spans="4:15" ht="12.75" customHeight="1" thickBot="1" x14ac:dyDescent="0.3">
      <c r="D190" s="793"/>
      <c r="I190" s="812"/>
      <c r="J190" s="2220">
        <f>SUM(J188:J189)</f>
        <v>0</v>
      </c>
      <c r="K190" s="2220">
        <f t="shared" ref="K190:O190" si="38">SUM(K188:K189)</f>
        <v>90000</v>
      </c>
      <c r="L190" s="2220">
        <f t="shared" si="38"/>
        <v>0</v>
      </c>
      <c r="M190" s="2220">
        <f t="shared" si="38"/>
        <v>0</v>
      </c>
      <c r="N190" s="2220">
        <f t="shared" si="38"/>
        <v>0</v>
      </c>
      <c r="O190" s="2220">
        <f t="shared" si="38"/>
        <v>0</v>
      </c>
    </row>
    <row r="191" spans="4:15" ht="12.75" customHeight="1" thickTop="1" x14ac:dyDescent="0.25">
      <c r="D191" s="793"/>
      <c r="I191" s="812"/>
      <c r="J191" s="812"/>
      <c r="K191" s="812"/>
      <c r="L191" s="812"/>
      <c r="M191" s="812"/>
      <c r="N191" s="812"/>
      <c r="O191" s="812"/>
    </row>
    <row r="192" spans="4:15" ht="12.75" customHeight="1" x14ac:dyDescent="0.25">
      <c r="D192" s="793"/>
      <c r="I192" s="812"/>
      <c r="J192" s="812"/>
      <c r="K192" s="812"/>
      <c r="L192" s="812"/>
      <c r="M192" s="812"/>
      <c r="N192" s="812"/>
      <c r="O192" s="812"/>
    </row>
    <row r="193" spans="1:16" ht="12.75" customHeight="1" x14ac:dyDescent="0.25">
      <c r="D193" s="813">
        <v>640006</v>
      </c>
      <c r="E193" s="832" t="s">
        <v>4334</v>
      </c>
      <c r="I193" s="812"/>
      <c r="J193" s="812"/>
      <c r="K193" s="812"/>
      <c r="L193" s="812"/>
      <c r="M193" s="812"/>
      <c r="N193" s="812"/>
      <c r="O193" s="812"/>
    </row>
    <row r="194" spans="1:16" ht="12.75" customHeight="1" x14ac:dyDescent="0.25">
      <c r="D194" s="793"/>
      <c r="E194" s="800" t="s">
        <v>554</v>
      </c>
      <c r="I194" s="812"/>
      <c r="J194" s="812"/>
      <c r="K194" s="812"/>
      <c r="L194" s="812"/>
      <c r="M194" s="812"/>
      <c r="N194" s="812"/>
      <c r="O194" s="812"/>
    </row>
    <row r="195" spans="1:16" ht="12.75" customHeight="1" x14ac:dyDescent="0.25">
      <c r="D195" s="793">
        <v>84310</v>
      </c>
      <c r="E195" s="2224" t="s">
        <v>5342</v>
      </c>
      <c r="F195" s="2222"/>
      <c r="G195" s="2218"/>
      <c r="H195" s="2218"/>
      <c r="I195" s="2217"/>
      <c r="J195" s="2217"/>
      <c r="K195" s="2217">
        <v>-484147</v>
      </c>
      <c r="L195" s="2217"/>
      <c r="M195" s="2217"/>
      <c r="N195" s="2217"/>
      <c r="O195" s="2217"/>
    </row>
    <row r="196" spans="1:16" ht="12.75" customHeight="1" thickBot="1" x14ac:dyDescent="0.3">
      <c r="D196" s="793"/>
      <c r="E196" s="1013" t="s">
        <v>3833</v>
      </c>
      <c r="I196" s="812"/>
      <c r="J196" s="1935">
        <f>SUM(J193:J195)</f>
        <v>0</v>
      </c>
      <c r="K196" s="1935">
        <f t="shared" ref="K196:O196" si="39">SUM(K193:K195)</f>
        <v>-484147</v>
      </c>
      <c r="L196" s="1935">
        <f t="shared" si="39"/>
        <v>0</v>
      </c>
      <c r="M196" s="1935">
        <f t="shared" si="39"/>
        <v>0</v>
      </c>
      <c r="N196" s="1935">
        <f t="shared" si="39"/>
        <v>0</v>
      </c>
      <c r="O196" s="1935">
        <f t="shared" si="39"/>
        <v>0</v>
      </c>
    </row>
    <row r="197" spans="1:16" ht="12.75" customHeight="1" thickTop="1" x14ac:dyDescent="0.25">
      <c r="D197" s="793"/>
      <c r="I197" s="812"/>
      <c r="J197" s="812"/>
      <c r="K197" s="812"/>
      <c r="L197" s="812"/>
      <c r="M197" s="812"/>
      <c r="N197" s="812"/>
      <c r="O197" s="812"/>
    </row>
    <row r="198" spans="1:16" ht="12.75" customHeight="1" x14ac:dyDescent="0.25">
      <c r="D198" s="793"/>
      <c r="I198" s="812"/>
      <c r="J198" s="812"/>
      <c r="K198" s="812"/>
      <c r="L198" s="812"/>
      <c r="M198" s="812"/>
      <c r="N198" s="812"/>
      <c r="O198" s="812"/>
    </row>
    <row r="199" spans="1:16" ht="12.75" customHeight="1" x14ac:dyDescent="0.25">
      <c r="D199" s="929">
        <v>640901</v>
      </c>
      <c r="E199" s="832" t="s">
        <v>4338</v>
      </c>
      <c r="F199" s="930"/>
      <c r="I199" s="812"/>
      <c r="J199" s="941">
        <v>2025</v>
      </c>
      <c r="K199" s="941">
        <v>2026</v>
      </c>
      <c r="L199" s="941">
        <v>2027</v>
      </c>
      <c r="M199" s="941">
        <v>2028</v>
      </c>
      <c r="N199" s="941">
        <v>2029</v>
      </c>
      <c r="O199" s="941">
        <v>2030</v>
      </c>
      <c r="P199" s="812"/>
    </row>
    <row r="200" spans="1:16" ht="12.75" customHeight="1" x14ac:dyDescent="0.25">
      <c r="D200" s="929"/>
      <c r="E200" s="800" t="s">
        <v>554</v>
      </c>
      <c r="F200" s="930"/>
      <c r="I200" s="812"/>
      <c r="J200" s="812"/>
      <c r="K200" s="812"/>
      <c r="L200" s="812"/>
      <c r="M200" s="812"/>
      <c r="N200" s="812"/>
      <c r="O200" s="812"/>
      <c r="P200" s="812"/>
    </row>
    <row r="201" spans="1:16" ht="12.75" customHeight="1" x14ac:dyDescent="0.25">
      <c r="D201" s="831">
        <v>83460</v>
      </c>
      <c r="E201" s="796" t="s">
        <v>4377</v>
      </c>
      <c r="F201" s="930"/>
      <c r="I201" s="812"/>
      <c r="J201" s="812">
        <v>-20000</v>
      </c>
      <c r="K201" s="812">
        <v>-20000</v>
      </c>
      <c r="L201" s="812">
        <v>-20000</v>
      </c>
      <c r="M201" s="812">
        <v>-20000</v>
      </c>
      <c r="N201" s="812">
        <v>-20000</v>
      </c>
      <c r="O201" s="812">
        <v>-20000</v>
      </c>
      <c r="P201" s="812"/>
    </row>
    <row r="202" spans="1:16" ht="12.75" customHeight="1" x14ac:dyDescent="0.25">
      <c r="D202" s="831"/>
      <c r="E202" s="858" t="s">
        <v>4158</v>
      </c>
      <c r="F202" s="930"/>
      <c r="I202" s="812"/>
      <c r="J202" s="812"/>
      <c r="K202" s="812">
        <v>20000</v>
      </c>
      <c r="L202" s="812">
        <v>20000</v>
      </c>
      <c r="M202" s="812">
        <v>20000</v>
      </c>
      <c r="N202" s="812">
        <v>20000</v>
      </c>
      <c r="O202" s="812">
        <v>20000</v>
      </c>
      <c r="P202" s="812"/>
    </row>
    <row r="203" spans="1:16" s="2158" customFormat="1" ht="12.75" customHeight="1" x14ac:dyDescent="0.25">
      <c r="A203" s="2157"/>
      <c r="D203" s="2188"/>
      <c r="E203" s="2189" t="s">
        <v>5309</v>
      </c>
      <c r="F203" s="2190"/>
      <c r="I203" s="2159"/>
      <c r="J203" s="2159"/>
      <c r="K203" s="2159">
        <v>17000</v>
      </c>
      <c r="L203" s="2159"/>
      <c r="M203" s="2159"/>
      <c r="N203" s="2159"/>
      <c r="O203" s="2159"/>
      <c r="P203" s="2159"/>
    </row>
    <row r="204" spans="1:16" ht="12.75" customHeight="1" thickBot="1" x14ac:dyDescent="0.3">
      <c r="D204" s="929"/>
      <c r="E204" s="791" t="str">
        <f>"Totaal "&amp;D201</f>
        <v>Totaal 83460</v>
      </c>
      <c r="F204" s="930"/>
      <c r="I204" s="812"/>
      <c r="J204" s="1935">
        <v>-20000</v>
      </c>
      <c r="K204" s="1935">
        <f>SUM(K201:K203)</f>
        <v>17000</v>
      </c>
      <c r="L204" s="1935">
        <f t="shared" ref="L204:N204" si="40">SUM(L201:L202)</f>
        <v>0</v>
      </c>
      <c r="M204" s="1935">
        <f t="shared" si="40"/>
        <v>0</v>
      </c>
      <c r="N204" s="1935">
        <f t="shared" si="40"/>
        <v>0</v>
      </c>
      <c r="O204" s="1935">
        <f t="shared" ref="O204" si="41">SUM(O201:O202)</f>
        <v>0</v>
      </c>
    </row>
    <row r="205" spans="1:16" ht="12.75" customHeight="1" thickTop="1" x14ac:dyDescent="0.25">
      <c r="D205" s="929"/>
    </row>
    <row r="416" spans="9:9" ht="12.75" customHeight="1" x14ac:dyDescent="0.25">
      <c r="I416" s="842"/>
    </row>
  </sheetData>
  <mergeCells count="3">
    <mergeCell ref="D59:D60"/>
    <mergeCell ref="F59:F60"/>
    <mergeCell ref="G59:H60"/>
  </mergeCells>
  <hyperlinks>
    <hyperlink ref="A1" location="Inhoudsopgave!A1" display="Inhoudsopgave" xr:uid="{CB2C813B-3C27-4EA5-9206-45231AB215DB}"/>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56" min="3" max="14" man="1"/>
    <brk id="110" min="3" max="14" man="1"/>
  </rowBreak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B9EC-E50D-4FC4-9090-C26A3698D86C}">
  <dimension ref="A1:W253"/>
  <sheetViews>
    <sheetView showGridLines="0" topLeftCell="C43" zoomScaleNormal="100" zoomScaleSheetLayoutView="100" workbookViewId="0">
      <selection activeCell="S57" sqref="S57"/>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D6" s="864" t="s">
        <v>66</v>
      </c>
      <c r="H6" s="863" t="s">
        <v>4378</v>
      </c>
    </row>
    <row r="8" spans="1:23" ht="12.75" customHeight="1" x14ac:dyDescent="0.25">
      <c r="E8" s="905" t="s">
        <v>4379</v>
      </c>
    </row>
    <row r="33" spans="4:17" ht="12.75" customHeight="1" x14ac:dyDescent="0.25">
      <c r="D33" s="870" t="s">
        <v>507</v>
      </c>
      <c r="E33" s="864"/>
      <c r="F33" s="864"/>
    </row>
    <row r="34" spans="4:17" ht="12.75" customHeight="1" x14ac:dyDescent="0.25">
      <c r="E34" s="864"/>
      <c r="F34" s="864"/>
    </row>
    <row r="35" spans="4:17" ht="12.75" customHeight="1" x14ac:dyDescent="0.25">
      <c r="D35" s="2310" t="s">
        <v>508</v>
      </c>
      <c r="E35" s="2311"/>
      <c r="F35" s="2311"/>
      <c r="G35" s="2312"/>
      <c r="H35" s="2312"/>
      <c r="I35" s="2313"/>
      <c r="J35" s="2313">
        <v>2025</v>
      </c>
      <c r="K35" s="2313">
        <v>2026</v>
      </c>
      <c r="L35" s="2313">
        <v>2027</v>
      </c>
      <c r="M35" s="2313">
        <v>2028</v>
      </c>
      <c r="N35" s="2313">
        <v>2029</v>
      </c>
      <c r="O35" s="2313">
        <v>2030</v>
      </c>
    </row>
    <row r="36" spans="4:17" ht="12.75" customHeight="1" x14ac:dyDescent="0.25">
      <c r="D36" s="871" t="str">
        <f>G67</f>
        <v>Hulpmiddelen - rolstoelen</v>
      </c>
      <c r="E36" s="872"/>
      <c r="F36" s="872"/>
      <c r="G36" s="873"/>
      <c r="H36" s="873"/>
      <c r="I36" s="874"/>
      <c r="J36" s="875">
        <v>152700</v>
      </c>
      <c r="K36" s="875">
        <f>K70</f>
        <v>160400</v>
      </c>
      <c r="L36" s="875">
        <f>L70</f>
        <v>184800</v>
      </c>
      <c r="M36" s="875">
        <f>M70</f>
        <v>189100</v>
      </c>
      <c r="N36" s="875">
        <f>N70</f>
        <v>193400</v>
      </c>
      <c r="O36" s="875">
        <f>O70</f>
        <v>197800</v>
      </c>
    </row>
    <row r="37" spans="4:17" ht="12.75" customHeight="1" x14ac:dyDescent="0.25">
      <c r="D37" s="871" t="str">
        <f>G72</f>
        <v>Collectief Vraagafhankelijk Vervoer (CVV)</v>
      </c>
      <c r="E37" s="872"/>
      <c r="F37" s="872"/>
      <c r="G37" s="873"/>
      <c r="H37" s="873"/>
      <c r="I37" s="874"/>
      <c r="J37" s="875">
        <v>191460</v>
      </c>
      <c r="K37" s="875">
        <f>K76</f>
        <v>196420</v>
      </c>
      <c r="L37" s="875">
        <f>L76</f>
        <v>142910</v>
      </c>
      <c r="M37" s="875">
        <f>M76</f>
        <v>146250</v>
      </c>
      <c r="N37" s="875">
        <f>N76</f>
        <v>149690</v>
      </c>
      <c r="O37" s="875">
        <f>O76</f>
        <v>153140</v>
      </c>
    </row>
    <row r="38" spans="4:17" ht="12.75" customHeight="1" x14ac:dyDescent="0.25">
      <c r="D38" s="876" t="str">
        <f>G78</f>
        <v>Hulpmiddelen - vervoersvoorzieningen</v>
      </c>
      <c r="E38" s="877"/>
      <c r="F38" s="878"/>
      <c r="I38" s="879"/>
      <c r="J38" s="875">
        <v>267400</v>
      </c>
      <c r="K38" s="875">
        <f>K81</f>
        <v>274400</v>
      </c>
      <c r="L38" s="875">
        <f>L81</f>
        <v>429800</v>
      </c>
      <c r="M38" s="875">
        <f>M81</f>
        <v>439600</v>
      </c>
      <c r="N38" s="875">
        <f>N81</f>
        <v>449700</v>
      </c>
      <c r="O38" s="875">
        <f>O81</f>
        <v>460000</v>
      </c>
    </row>
    <row r="39" spans="4:17" ht="12.75" customHeight="1" x14ac:dyDescent="0.25">
      <c r="D39" s="876" t="str">
        <f>G83</f>
        <v>Gehandicaptenparkeerkaart (GPK)</v>
      </c>
      <c r="E39" s="877"/>
      <c r="F39" s="878"/>
      <c r="I39" s="879"/>
      <c r="J39" s="875">
        <v>1890</v>
      </c>
      <c r="K39" s="875">
        <f>K86</f>
        <v>1940</v>
      </c>
      <c r="L39" s="875">
        <f>L86</f>
        <v>1980</v>
      </c>
      <c r="M39" s="875">
        <f>M86</f>
        <v>2030</v>
      </c>
      <c r="N39" s="875">
        <f>N86</f>
        <v>2080</v>
      </c>
      <c r="O39" s="875">
        <f>O86</f>
        <v>2130</v>
      </c>
    </row>
    <row r="40" spans="4:17" ht="12.75" customHeight="1" x14ac:dyDescent="0.25">
      <c r="D40" s="876" t="str">
        <f>G88</f>
        <v>Aanpassingen hulpmiddelen</v>
      </c>
      <c r="E40" s="877"/>
      <c r="F40" s="878"/>
      <c r="I40" s="879"/>
      <c r="J40" s="2315">
        <v>5460</v>
      </c>
      <c r="K40" s="2315">
        <f>K91</f>
        <v>5600</v>
      </c>
      <c r="L40" s="2315">
        <f>L91</f>
        <v>5720</v>
      </c>
      <c r="M40" s="2315">
        <f>M91</f>
        <v>5850</v>
      </c>
      <c r="N40" s="2315">
        <f>N91</f>
        <v>5980</v>
      </c>
      <c r="O40" s="2315">
        <f>O91</f>
        <v>6120</v>
      </c>
      <c r="Q40" s="868"/>
    </row>
    <row r="41" spans="4:17" ht="12.75" customHeight="1" x14ac:dyDescent="0.25">
      <c r="D41" s="876" t="str">
        <f>G93</f>
        <v>Hulpmiddelen - woonvoorzieningen</v>
      </c>
      <c r="E41" s="877"/>
      <c r="F41" s="878"/>
      <c r="I41" s="879"/>
      <c r="J41" s="2315">
        <v>65490</v>
      </c>
      <c r="K41" s="2315">
        <f>K96</f>
        <v>67190</v>
      </c>
      <c r="L41" s="2315">
        <f>L96</f>
        <v>23000</v>
      </c>
      <c r="M41" s="2315">
        <f>M96</f>
        <v>23530</v>
      </c>
      <c r="N41" s="2315">
        <f>N96</f>
        <v>24070</v>
      </c>
      <c r="O41" s="2315">
        <f>O96</f>
        <v>24620</v>
      </c>
    </row>
    <row r="42" spans="4:17" ht="12.75" customHeight="1" x14ac:dyDescent="0.25">
      <c r="D42" s="876" t="str">
        <f>G98</f>
        <v>Trapliften</v>
      </c>
      <c r="E42" s="877"/>
      <c r="F42" s="878"/>
      <c r="I42" s="879"/>
      <c r="J42" s="875">
        <v>39440</v>
      </c>
      <c r="K42" s="875">
        <f>K101</f>
        <v>40470</v>
      </c>
      <c r="L42" s="875">
        <f>L101</f>
        <v>110780</v>
      </c>
      <c r="M42" s="875">
        <f>M101</f>
        <v>113330</v>
      </c>
      <c r="N42" s="875">
        <f>N101</f>
        <v>115930</v>
      </c>
      <c r="O42" s="875">
        <f>O101</f>
        <v>118590</v>
      </c>
    </row>
    <row r="43" spans="4:17" ht="12.75" customHeight="1" x14ac:dyDescent="0.25">
      <c r="D43" s="876" t="str">
        <f>G103</f>
        <v>Woningaanpassingen</v>
      </c>
      <c r="E43" s="877"/>
      <c r="F43" s="878"/>
      <c r="I43" s="879"/>
      <c r="J43" s="2315">
        <v>166600</v>
      </c>
      <c r="K43" s="2315">
        <f>K106</f>
        <v>170900</v>
      </c>
      <c r="L43" s="2315">
        <f>L106</f>
        <v>174500</v>
      </c>
      <c r="M43" s="2315">
        <f>M106</f>
        <v>178500</v>
      </c>
      <c r="N43" s="2315">
        <f>N106</f>
        <v>182600</v>
      </c>
      <c r="O43" s="2315">
        <f>O106</f>
        <v>186800</v>
      </c>
    </row>
    <row r="44" spans="4:17" ht="12.75" customHeight="1" x14ac:dyDescent="0.25">
      <c r="D44" s="876" t="str">
        <f>G108</f>
        <v>Sociaal medische adviezen</v>
      </c>
      <c r="E44" s="877"/>
      <c r="F44" s="878"/>
      <c r="I44" s="879"/>
      <c r="J44" s="2315">
        <v>22800</v>
      </c>
      <c r="K44" s="2315">
        <f>K111</f>
        <v>23390</v>
      </c>
      <c r="L44" s="2315">
        <f>L111</f>
        <v>27570</v>
      </c>
      <c r="M44" s="2315">
        <f>M111</f>
        <v>28200</v>
      </c>
      <c r="N44" s="2315">
        <f>N111</f>
        <v>28850</v>
      </c>
      <c r="O44" s="2315">
        <f>O111</f>
        <v>29510</v>
      </c>
    </row>
    <row r="45" spans="4:17" ht="12.75" customHeight="1" x14ac:dyDescent="0.3">
      <c r="D45" s="876" t="str">
        <f>G113</f>
        <v>Uitvoeringskosten nota moz</v>
      </c>
      <c r="E45" s="877"/>
      <c r="F45" s="878"/>
      <c r="I45" s="879"/>
      <c r="J45" s="2315">
        <v>12560</v>
      </c>
      <c r="K45" s="2315">
        <f>K117</f>
        <v>13060</v>
      </c>
      <c r="L45" s="2315">
        <f>L117</f>
        <v>13520</v>
      </c>
      <c r="M45" s="2315">
        <f>M117</f>
        <v>14010</v>
      </c>
      <c r="N45" s="2315">
        <f>N117</f>
        <v>14510</v>
      </c>
      <c r="O45" s="2315">
        <f>O117</f>
        <v>15030</v>
      </c>
      <c r="Q45" s="2388"/>
    </row>
    <row r="46" spans="4:17" ht="12.75" customHeight="1" x14ac:dyDescent="0.25">
      <c r="D46" s="876" t="str">
        <f>G119</f>
        <v>Uitvoeringskosten wonen en zorg</v>
      </c>
      <c r="E46" s="877"/>
      <c r="F46" s="878"/>
      <c r="I46" s="879"/>
      <c r="J46" s="2315">
        <v>59200</v>
      </c>
      <c r="K46" s="2315">
        <f>K122</f>
        <v>22780</v>
      </c>
      <c r="L46" s="2315">
        <f>L122</f>
        <v>23260</v>
      </c>
      <c r="M46" s="2315">
        <f>M122</f>
        <v>23800</v>
      </c>
      <c r="N46" s="2315">
        <f>N122</f>
        <v>24340</v>
      </c>
      <c r="O46" s="2315">
        <f>O122</f>
        <v>24900</v>
      </c>
    </row>
    <row r="47" spans="4:17" ht="12.75" customHeight="1" x14ac:dyDescent="0.25">
      <c r="D47" s="876" t="str">
        <f>G124</f>
        <v>Directe toerekening maatwerk voorzieningen WMO</v>
      </c>
      <c r="J47" s="2315">
        <v>486559</v>
      </c>
      <c r="K47" s="2315">
        <f t="shared" ref="K47:O47" si="0">K127</f>
        <v>0</v>
      </c>
      <c r="L47" s="2315">
        <f>L127</f>
        <v>0</v>
      </c>
      <c r="M47" s="2315">
        <f t="shared" si="0"/>
        <v>0</v>
      </c>
      <c r="N47" s="2315">
        <f t="shared" si="0"/>
        <v>0</v>
      </c>
      <c r="O47" s="2315">
        <f t="shared" si="0"/>
        <v>0</v>
      </c>
    </row>
    <row r="48" spans="4:17" ht="12.75" customHeight="1" x14ac:dyDescent="0.25">
      <c r="D48" s="876"/>
      <c r="E48" s="877"/>
      <c r="F48" s="878"/>
      <c r="I48" s="879"/>
      <c r="J48" s="2315"/>
      <c r="K48" s="2315"/>
      <c r="L48" s="2315"/>
      <c r="M48" s="2315"/>
      <c r="N48" s="2315"/>
      <c r="O48" s="2315"/>
    </row>
    <row r="49" spans="4:17" ht="12.75" customHeight="1" x14ac:dyDescent="0.25">
      <c r="D49" s="876"/>
      <c r="E49" s="877"/>
      <c r="F49" s="878"/>
      <c r="I49" s="879"/>
      <c r="J49" s="2315"/>
      <c r="K49" s="2315"/>
      <c r="L49" s="2315"/>
      <c r="M49" s="2315"/>
      <c r="N49" s="2315"/>
      <c r="O49" s="2315"/>
    </row>
    <row r="50" spans="4:17" ht="12.75" customHeight="1" x14ac:dyDescent="0.25">
      <c r="D50" s="2316" t="s">
        <v>525</v>
      </c>
      <c r="E50" s="2317"/>
      <c r="F50" s="2318"/>
      <c r="G50" s="2319"/>
      <c r="H50" s="2319"/>
      <c r="I50" s="2320"/>
      <c r="J50" s="2321">
        <v>1471559</v>
      </c>
      <c r="K50" s="2321">
        <f>SUM(K36:K49)</f>
        <v>976550</v>
      </c>
      <c r="L50" s="2321">
        <f>SUM(L36:L49)</f>
        <v>1137840</v>
      </c>
      <c r="M50" s="2321">
        <f>SUM(M36:M49)</f>
        <v>1164200</v>
      </c>
      <c r="N50" s="2321">
        <f>SUM(N36:N49)</f>
        <v>1191150</v>
      </c>
      <c r="O50" s="2321">
        <f>SUM(O36:O49)</f>
        <v>1218640</v>
      </c>
    </row>
    <row r="51" spans="4:17" ht="12.75" customHeight="1" x14ac:dyDescent="0.25">
      <c r="E51" s="877"/>
      <c r="F51" s="878"/>
      <c r="Q51" s="885"/>
    </row>
    <row r="52" spans="4:17" ht="12.75" customHeight="1" x14ac:dyDescent="0.25">
      <c r="D52" s="2310" t="s">
        <v>526</v>
      </c>
      <c r="E52" s="2311"/>
      <c r="F52" s="2311"/>
      <c r="G52" s="2312"/>
      <c r="H52" s="2312"/>
      <c r="I52" s="2313"/>
      <c r="J52" s="2313">
        <v>2025</v>
      </c>
      <c r="K52" s="2313">
        <v>2026</v>
      </c>
      <c r="L52" s="2313">
        <v>2027</v>
      </c>
      <c r="M52" s="2313">
        <v>2028</v>
      </c>
      <c r="N52" s="2313">
        <v>2029</v>
      </c>
      <c r="O52" s="2313">
        <v>2030</v>
      </c>
    </row>
    <row r="53" spans="4:17" ht="12.75" customHeight="1" x14ac:dyDescent="0.25">
      <c r="D53" s="2389" t="str">
        <f>G129</f>
        <v>Gehandicaptenparkeerkaart (GPK)</v>
      </c>
      <c r="E53" s="2390"/>
      <c r="F53" s="2391"/>
      <c r="G53" s="889"/>
      <c r="H53" s="889"/>
      <c r="I53" s="879"/>
      <c r="J53" s="875">
        <v>-20530</v>
      </c>
      <c r="K53" s="875">
        <f>K132</f>
        <v>-21060</v>
      </c>
      <c r="L53" s="875">
        <f>L132</f>
        <v>-21500</v>
      </c>
      <c r="M53" s="875">
        <f>M132</f>
        <v>-21990</v>
      </c>
      <c r="N53" s="875">
        <f>N132</f>
        <v>-22500</v>
      </c>
      <c r="O53" s="875">
        <f>O132</f>
        <v>-23020</v>
      </c>
    </row>
    <row r="54" spans="4:17" ht="12.75" customHeight="1" x14ac:dyDescent="0.25">
      <c r="D54" s="876"/>
      <c r="E54" s="877"/>
      <c r="F54" s="878"/>
      <c r="I54" s="879"/>
      <c r="J54" s="875"/>
      <c r="K54" s="875"/>
      <c r="L54" s="875"/>
      <c r="M54" s="875"/>
      <c r="N54" s="875"/>
      <c r="O54" s="875"/>
    </row>
    <row r="55" spans="4:17" ht="12.75" customHeight="1" x14ac:dyDescent="0.25">
      <c r="D55" s="876"/>
      <c r="E55" s="877"/>
      <c r="F55" s="878"/>
      <c r="I55" s="879"/>
      <c r="J55" s="875"/>
      <c r="K55" s="875"/>
      <c r="L55" s="875"/>
      <c r="M55" s="875"/>
      <c r="N55" s="875"/>
      <c r="O55" s="875"/>
    </row>
    <row r="56" spans="4:17" ht="12.75" customHeight="1" x14ac:dyDescent="0.25">
      <c r="D56" s="876"/>
      <c r="E56" s="877"/>
      <c r="F56" s="878"/>
      <c r="I56" s="879"/>
      <c r="J56" s="875"/>
      <c r="K56" s="875"/>
      <c r="L56" s="875"/>
      <c r="M56" s="875"/>
      <c r="N56" s="875"/>
      <c r="O56" s="875"/>
    </row>
    <row r="57" spans="4:17" ht="12.75" customHeight="1" x14ac:dyDescent="0.25">
      <c r="D57" s="2316" t="s">
        <v>328</v>
      </c>
      <c r="E57" s="2317"/>
      <c r="F57" s="2318"/>
      <c r="G57" s="2319"/>
      <c r="H57" s="2319"/>
      <c r="I57" s="2320"/>
      <c r="J57" s="2321">
        <v>-20530</v>
      </c>
      <c r="K57" s="2321">
        <f>SUM(K53:K56)</f>
        <v>-21060</v>
      </c>
      <c r="L57" s="2321">
        <f>SUM(L53:L56)</f>
        <v>-21500</v>
      </c>
      <c r="M57" s="2321">
        <f>SUM(M53:M56)</f>
        <v>-21990</v>
      </c>
      <c r="N57" s="2321">
        <f>SUM(N53:N56)</f>
        <v>-22500</v>
      </c>
      <c r="O57" s="2321">
        <f>SUM(O53:O56)</f>
        <v>-23020</v>
      </c>
    </row>
    <row r="58" spans="4:17" ht="12.75" customHeight="1" x14ac:dyDescent="0.25">
      <c r="E58" s="877"/>
      <c r="F58" s="878"/>
      <c r="J58" s="885"/>
      <c r="K58" s="885"/>
      <c r="L58" s="885"/>
      <c r="M58" s="885"/>
      <c r="N58" s="885"/>
      <c r="O58" s="885"/>
    </row>
    <row r="59" spans="4:17" ht="12.75" customHeight="1" x14ac:dyDescent="0.3">
      <c r="D59" s="2322" t="s">
        <v>976</v>
      </c>
      <c r="E59" s="2323"/>
      <c r="F59" s="2323"/>
      <c r="G59" s="2319"/>
      <c r="H59" s="2319"/>
      <c r="I59" s="2319"/>
      <c r="J59" s="2324">
        <v>1451029</v>
      </c>
      <c r="K59" s="2324">
        <f>K50+K57</f>
        <v>955490</v>
      </c>
      <c r="L59" s="2324">
        <f>L50+L57</f>
        <v>1116340</v>
      </c>
      <c r="M59" s="2324">
        <f>M50+M57</f>
        <v>1142210</v>
      </c>
      <c r="N59" s="2324">
        <f>N50+N57</f>
        <v>1168650</v>
      </c>
      <c r="O59" s="2324">
        <f>O50+O57</f>
        <v>1195620</v>
      </c>
    </row>
    <row r="60" spans="4:17" ht="12.75" customHeight="1" x14ac:dyDescent="0.25">
      <c r="E60" s="877"/>
      <c r="F60" s="878"/>
      <c r="J60" s="885"/>
      <c r="K60" s="885"/>
      <c r="L60" s="885"/>
      <c r="M60" s="885"/>
      <c r="N60" s="885"/>
      <c r="O60" s="885"/>
    </row>
    <row r="61" spans="4:17" ht="12.75" customHeight="1" x14ac:dyDescent="0.25">
      <c r="E61" s="864"/>
      <c r="F61" s="864"/>
      <c r="J61" s="885"/>
      <c r="K61" s="885"/>
      <c r="L61" s="885"/>
      <c r="M61" s="885"/>
      <c r="N61" s="885"/>
      <c r="O61" s="885"/>
    </row>
    <row r="62" spans="4:17" ht="12.75" customHeight="1" x14ac:dyDescent="0.25">
      <c r="D62" s="870" t="s">
        <v>528</v>
      </c>
      <c r="E62" s="886"/>
      <c r="F62" s="886"/>
      <c r="I62" s="885"/>
      <c r="J62" s="885"/>
      <c r="K62" s="885"/>
      <c r="L62" s="885"/>
      <c r="M62" s="885"/>
      <c r="N62" s="885"/>
      <c r="O62" s="885"/>
    </row>
    <row r="64" spans="4:17" ht="12.75" customHeight="1" x14ac:dyDescent="0.25">
      <c r="D64" s="2585" t="s">
        <v>531</v>
      </c>
      <c r="E64" s="2325" t="s">
        <v>530</v>
      </c>
      <c r="F64" s="2585" t="s">
        <v>531</v>
      </c>
      <c r="G64" s="2587" t="s">
        <v>206</v>
      </c>
      <c r="H64" s="2588"/>
      <c r="I64" s="2326"/>
      <c r="J64" s="2320"/>
      <c r="K64" s="2320"/>
      <c r="L64" s="2320"/>
      <c r="M64" s="2320"/>
      <c r="N64" s="2320"/>
      <c r="O64" s="2320"/>
    </row>
    <row r="65" spans="1:19" ht="12.75" customHeight="1" x14ac:dyDescent="0.25">
      <c r="D65" s="2586"/>
      <c r="E65" s="887" t="s">
        <v>532</v>
      </c>
      <c r="F65" s="2586"/>
      <c r="G65" s="2589"/>
      <c r="H65" s="2590"/>
      <c r="I65" s="276"/>
      <c r="J65" s="2327">
        <v>2025</v>
      </c>
      <c r="K65" s="2327">
        <v>2026</v>
      </c>
      <c r="L65" s="2327">
        <v>2027</v>
      </c>
      <c r="M65" s="2327">
        <v>2028</v>
      </c>
      <c r="N65" s="2327">
        <v>2029</v>
      </c>
      <c r="O65" s="2327">
        <v>2030</v>
      </c>
      <c r="P65" s="2392"/>
      <c r="Q65" s="2393"/>
      <c r="R65" s="2394"/>
      <c r="S65" s="2394"/>
    </row>
    <row r="66" spans="1:19" ht="12.75" customHeight="1" x14ac:dyDescent="0.25">
      <c r="D66" s="2328"/>
      <c r="E66" s="888"/>
      <c r="F66" s="888"/>
      <c r="G66" s="895"/>
      <c r="I66" s="879"/>
      <c r="J66" s="2328"/>
      <c r="K66" s="2328"/>
      <c r="L66" s="2328"/>
      <c r="M66" s="2328"/>
      <c r="N66" s="2328"/>
      <c r="O66" s="2328"/>
      <c r="P66" s="2392"/>
      <c r="Q66" s="2393"/>
      <c r="R66" s="2394"/>
      <c r="S66" s="2394"/>
    </row>
    <row r="67" spans="1:19" ht="12.75" customHeight="1" x14ac:dyDescent="0.25">
      <c r="D67" s="890">
        <f>D138</f>
        <v>678001</v>
      </c>
      <c r="E67" s="891"/>
      <c r="F67" s="891"/>
      <c r="G67" s="870" t="str">
        <f>E138</f>
        <v>Hulpmiddelen - rolstoelen</v>
      </c>
      <c r="I67" s="880"/>
      <c r="J67" s="875"/>
      <c r="K67" s="875"/>
      <c r="L67" s="875"/>
      <c r="M67" s="875"/>
      <c r="N67" s="875"/>
      <c r="O67" s="875"/>
      <c r="P67" s="2392"/>
      <c r="Q67" s="2393"/>
      <c r="R67" s="2394"/>
      <c r="S67" s="2394"/>
    </row>
    <row r="68" spans="1:19" ht="12.75" customHeight="1" x14ac:dyDescent="0.25">
      <c r="D68" s="2331"/>
      <c r="E68" s="2331"/>
      <c r="F68" s="2331"/>
      <c r="G68" s="894" t="s">
        <v>533</v>
      </c>
      <c r="I68" s="880"/>
      <c r="J68" s="875"/>
      <c r="K68" s="875"/>
      <c r="L68" s="875"/>
      <c r="M68" s="875"/>
      <c r="N68" s="875"/>
      <c r="O68" s="875"/>
      <c r="P68" s="2392"/>
      <c r="Q68" s="2393"/>
      <c r="R68" s="2394"/>
      <c r="S68" s="2394"/>
    </row>
    <row r="69" spans="1:19" ht="12.75" customHeight="1" x14ac:dyDescent="0.25">
      <c r="A69" s="896">
        <f>D67</f>
        <v>678001</v>
      </c>
      <c r="B69" s="863" t="str">
        <f>G67</f>
        <v>Hulpmiddelen - rolstoelen</v>
      </c>
      <c r="D69" s="893">
        <f>D140</f>
        <v>43410</v>
      </c>
      <c r="E69" s="893"/>
      <c r="F69" s="893"/>
      <c r="G69" s="895" t="s">
        <v>3341</v>
      </c>
      <c r="I69" s="880"/>
      <c r="J69" s="875">
        <v>152700</v>
      </c>
      <c r="K69" s="875">
        <f t="shared" ref="K69:O69" si="1">K144</f>
        <v>160400</v>
      </c>
      <c r="L69" s="875">
        <f t="shared" si="1"/>
        <v>184800</v>
      </c>
      <c r="M69" s="875">
        <f t="shared" si="1"/>
        <v>189100</v>
      </c>
      <c r="N69" s="875">
        <f t="shared" si="1"/>
        <v>193400</v>
      </c>
      <c r="O69" s="875">
        <f t="shared" si="1"/>
        <v>197800</v>
      </c>
      <c r="P69" s="2392"/>
      <c r="Q69" s="2393"/>
      <c r="R69" s="2394"/>
      <c r="S69" s="2394"/>
    </row>
    <row r="70" spans="1:19" ht="12.75" customHeight="1" thickBot="1" x14ac:dyDescent="0.3">
      <c r="D70" s="893"/>
      <c r="E70" s="893"/>
      <c r="F70" s="893"/>
      <c r="G70" s="895" t="s">
        <v>536</v>
      </c>
      <c r="I70" s="880"/>
      <c r="J70" s="2333">
        <v>152700</v>
      </c>
      <c r="K70" s="2333">
        <f>SUM(K69)</f>
        <v>160400</v>
      </c>
      <c r="L70" s="2333">
        <f>SUM(L69)</f>
        <v>184800</v>
      </c>
      <c r="M70" s="2333">
        <f>SUM(M69)</f>
        <v>189100</v>
      </c>
      <c r="N70" s="2333">
        <f>SUM(N69)</f>
        <v>193400</v>
      </c>
      <c r="O70" s="2333">
        <f>SUM(O69)</f>
        <v>197800</v>
      </c>
      <c r="P70" s="2392"/>
      <c r="Q70" s="2393"/>
      <c r="R70" s="2394"/>
      <c r="S70" s="2394"/>
    </row>
    <row r="71" spans="1:19" ht="12.75" customHeight="1" thickTop="1" x14ac:dyDescent="0.25">
      <c r="D71" s="893"/>
      <c r="E71" s="893"/>
      <c r="F71" s="893"/>
      <c r="G71" s="895"/>
      <c r="I71" s="880"/>
      <c r="J71" s="875"/>
      <c r="K71" s="875"/>
      <c r="L71" s="875"/>
      <c r="M71" s="875"/>
      <c r="N71" s="875"/>
      <c r="O71" s="875"/>
      <c r="P71" s="2392"/>
      <c r="Q71" s="2393"/>
      <c r="R71" s="2394"/>
      <c r="S71" s="2394"/>
    </row>
    <row r="72" spans="1:19" ht="12.75" customHeight="1" x14ac:dyDescent="0.25">
      <c r="D72" s="890">
        <f>D153</f>
        <v>678002</v>
      </c>
      <c r="E72" s="891"/>
      <c r="F72" s="891"/>
      <c r="G72" s="868" t="str">
        <f>E153</f>
        <v>Collectief Vraagafhankelijk Vervoer (CVV)</v>
      </c>
      <c r="I72" s="880"/>
      <c r="J72" s="875"/>
      <c r="K72" s="875"/>
      <c r="L72" s="875"/>
      <c r="M72" s="875"/>
      <c r="N72" s="875"/>
      <c r="O72" s="875"/>
      <c r="P72" s="2392"/>
      <c r="Q72" s="2393"/>
      <c r="R72" s="2394"/>
      <c r="S72" s="2394"/>
    </row>
    <row r="73" spans="1:19" ht="12.75" customHeight="1" x14ac:dyDescent="0.25">
      <c r="D73" s="2331"/>
      <c r="E73" s="2331"/>
      <c r="F73" s="2331"/>
      <c r="G73" s="894" t="s">
        <v>533</v>
      </c>
      <c r="I73" s="880"/>
      <c r="J73" s="875"/>
      <c r="K73" s="875"/>
      <c r="L73" s="875"/>
      <c r="M73" s="875"/>
      <c r="N73" s="875"/>
      <c r="O73" s="875"/>
      <c r="P73" s="2392"/>
      <c r="Q73" s="2393"/>
      <c r="R73" s="2394"/>
      <c r="S73" s="2394"/>
    </row>
    <row r="74" spans="1:19" ht="12.75" customHeight="1" x14ac:dyDescent="0.25">
      <c r="A74" s="896">
        <f>D72</f>
        <v>678002</v>
      </c>
      <c r="B74" s="863" t="str">
        <f>G72</f>
        <v>Collectief Vraagafhankelijk Vervoer (CVV)</v>
      </c>
      <c r="D74" s="893">
        <v>43410</v>
      </c>
      <c r="E74" s="893"/>
      <c r="F74" s="893"/>
      <c r="G74" s="895" t="s">
        <v>3341</v>
      </c>
      <c r="I74" s="880"/>
      <c r="J74" s="875">
        <v>185300</v>
      </c>
      <c r="K74" s="875">
        <f t="shared" ref="K74:O74" si="2">K161</f>
        <v>190100</v>
      </c>
      <c r="L74" s="875">
        <f t="shared" si="2"/>
        <v>132700</v>
      </c>
      <c r="M74" s="875">
        <f t="shared" si="2"/>
        <v>135800</v>
      </c>
      <c r="N74" s="875">
        <f t="shared" si="2"/>
        <v>139000</v>
      </c>
      <c r="O74" s="875">
        <f t="shared" si="2"/>
        <v>142200</v>
      </c>
      <c r="P74" s="2392"/>
      <c r="Q74" s="2393"/>
      <c r="R74" s="2394"/>
      <c r="S74" s="2394"/>
    </row>
    <row r="75" spans="1:19" ht="12.75" customHeight="1" x14ac:dyDescent="0.25">
      <c r="A75" s="896">
        <f>D72</f>
        <v>678002</v>
      </c>
      <c r="B75" s="863" t="str">
        <f>G72</f>
        <v>Collectief Vraagafhankelijk Vervoer (CVV)</v>
      </c>
      <c r="D75" s="893">
        <v>43812</v>
      </c>
      <c r="E75" s="893"/>
      <c r="F75" s="893"/>
      <c r="G75" s="895" t="s">
        <v>535</v>
      </c>
      <c r="I75" s="880"/>
      <c r="J75" s="875">
        <v>6160</v>
      </c>
      <c r="K75" s="875">
        <f t="shared" ref="K75:O75" si="3">K157</f>
        <v>6320</v>
      </c>
      <c r="L75" s="875">
        <f t="shared" si="3"/>
        <v>10210</v>
      </c>
      <c r="M75" s="875">
        <f t="shared" si="3"/>
        <v>10450</v>
      </c>
      <c r="N75" s="875">
        <f t="shared" si="3"/>
        <v>10690</v>
      </c>
      <c r="O75" s="875">
        <f t="shared" si="3"/>
        <v>10940</v>
      </c>
      <c r="P75" s="2392"/>
      <c r="Q75" s="2393"/>
      <c r="R75" s="920"/>
      <c r="S75" s="2394"/>
    </row>
    <row r="76" spans="1:19" ht="12.75" customHeight="1" thickBot="1" x14ac:dyDescent="0.3">
      <c r="D76" s="893"/>
      <c r="E76" s="893"/>
      <c r="F76" s="893"/>
      <c r="G76" s="895" t="s">
        <v>536</v>
      </c>
      <c r="I76" s="880"/>
      <c r="J76" s="897">
        <v>191460</v>
      </c>
      <c r="K76" s="897">
        <f t="shared" ref="K76:O76" si="4">SUM(K74:K75)</f>
        <v>196420</v>
      </c>
      <c r="L76" s="897">
        <f t="shared" si="4"/>
        <v>142910</v>
      </c>
      <c r="M76" s="897">
        <f t="shared" si="4"/>
        <v>146250</v>
      </c>
      <c r="N76" s="897">
        <f t="shared" si="4"/>
        <v>149690</v>
      </c>
      <c r="O76" s="897">
        <f t="shared" si="4"/>
        <v>153140</v>
      </c>
      <c r="P76" s="2392"/>
      <c r="Q76" s="2393"/>
      <c r="R76" s="920"/>
      <c r="S76" s="2394"/>
    </row>
    <row r="77" spans="1:19" ht="12.75" customHeight="1" thickTop="1" x14ac:dyDescent="0.25">
      <c r="D77" s="893"/>
      <c r="E77" s="893"/>
      <c r="F77" s="893"/>
      <c r="G77" s="895"/>
      <c r="I77" s="880"/>
      <c r="J77" s="2395"/>
      <c r="K77" s="2395"/>
      <c r="L77" s="2395"/>
      <c r="M77" s="2395"/>
      <c r="N77" s="2395"/>
      <c r="O77" s="2395"/>
      <c r="P77" s="2392"/>
      <c r="Q77" s="2393"/>
      <c r="R77" s="920"/>
      <c r="S77" s="2394"/>
    </row>
    <row r="78" spans="1:19" ht="12.75" customHeight="1" x14ac:dyDescent="0.25">
      <c r="D78" s="890">
        <f>D167</f>
        <v>678003</v>
      </c>
      <c r="E78" s="891"/>
      <c r="F78" s="891"/>
      <c r="G78" s="868" t="str">
        <f>E167</f>
        <v>Hulpmiddelen - vervoersvoorzieningen</v>
      </c>
      <c r="I78" s="880"/>
      <c r="J78" s="875"/>
      <c r="K78" s="875"/>
      <c r="L78" s="875"/>
      <c r="M78" s="875"/>
      <c r="N78" s="875"/>
      <c r="O78" s="875"/>
      <c r="Q78" s="2393"/>
      <c r="R78" s="2394"/>
      <c r="S78" s="2394"/>
    </row>
    <row r="79" spans="1:19" ht="12.75" customHeight="1" x14ac:dyDescent="0.25">
      <c r="D79" s="2331"/>
      <c r="E79" s="2331"/>
      <c r="F79" s="2331"/>
      <c r="G79" s="894" t="s">
        <v>533</v>
      </c>
      <c r="I79" s="880"/>
      <c r="J79" s="875"/>
      <c r="K79" s="875"/>
      <c r="L79" s="875"/>
      <c r="M79" s="875"/>
      <c r="N79" s="875"/>
      <c r="O79" s="875"/>
    </row>
    <row r="80" spans="1:19" ht="12.75" customHeight="1" x14ac:dyDescent="0.25">
      <c r="A80" s="896">
        <f>D78</f>
        <v>678003</v>
      </c>
      <c r="B80" s="863" t="str">
        <f>G78</f>
        <v>Hulpmiddelen - vervoersvoorzieningen</v>
      </c>
      <c r="D80" s="893">
        <f>D169</f>
        <v>43410</v>
      </c>
      <c r="E80" s="893"/>
      <c r="F80" s="893"/>
      <c r="G80" s="895" t="s">
        <v>3341</v>
      </c>
      <c r="I80" s="880"/>
      <c r="J80" s="875">
        <v>267400</v>
      </c>
      <c r="K80" s="875">
        <f t="shared" ref="K80:O80" si="5">K171</f>
        <v>274400</v>
      </c>
      <c r="L80" s="875">
        <f t="shared" si="5"/>
        <v>429800</v>
      </c>
      <c r="M80" s="875">
        <f t="shared" si="5"/>
        <v>439600</v>
      </c>
      <c r="N80" s="875">
        <f t="shared" si="5"/>
        <v>449700</v>
      </c>
      <c r="O80" s="875">
        <f t="shared" si="5"/>
        <v>460000</v>
      </c>
    </row>
    <row r="81" spans="1:15" ht="12.75" customHeight="1" thickBot="1" x14ac:dyDescent="0.3">
      <c r="D81" s="893"/>
      <c r="E81" s="893"/>
      <c r="F81" s="893"/>
      <c r="G81" s="895" t="s">
        <v>536</v>
      </c>
      <c r="I81" s="880"/>
      <c r="J81" s="2333">
        <v>267400</v>
      </c>
      <c r="K81" s="2333">
        <f t="shared" ref="K81:O81" si="6">SUM(K79:K80)</f>
        <v>274400</v>
      </c>
      <c r="L81" s="2333">
        <f t="shared" si="6"/>
        <v>429800</v>
      </c>
      <c r="M81" s="2333">
        <f t="shared" si="6"/>
        <v>439600</v>
      </c>
      <c r="N81" s="2333">
        <f t="shared" si="6"/>
        <v>449700</v>
      </c>
      <c r="O81" s="2333">
        <f t="shared" si="6"/>
        <v>460000</v>
      </c>
    </row>
    <row r="82" spans="1:15" ht="12.75" customHeight="1" thickTop="1" x14ac:dyDescent="0.25">
      <c r="D82" s="893"/>
      <c r="E82" s="893"/>
      <c r="F82" s="893"/>
      <c r="G82" s="895"/>
      <c r="I82" s="880"/>
      <c r="J82" s="875"/>
      <c r="K82" s="875"/>
      <c r="L82" s="875"/>
      <c r="M82" s="875"/>
      <c r="N82" s="875"/>
      <c r="O82" s="875"/>
    </row>
    <row r="83" spans="1:15" ht="12.75" customHeight="1" x14ac:dyDescent="0.25">
      <c r="D83" s="890">
        <f>D178</f>
        <v>678004</v>
      </c>
      <c r="E83" s="891"/>
      <c r="F83" s="891"/>
      <c r="G83" s="868" t="str">
        <f>E178</f>
        <v>Gehandicaptenparkeerkaart (GPK)</v>
      </c>
      <c r="I83" s="880"/>
      <c r="J83" s="875"/>
      <c r="K83" s="875"/>
      <c r="L83" s="875"/>
      <c r="M83" s="875"/>
      <c r="N83" s="875"/>
      <c r="O83" s="875"/>
    </row>
    <row r="84" spans="1:15" ht="12.75" customHeight="1" x14ac:dyDescent="0.25">
      <c r="D84" s="893"/>
      <c r="E84" s="893"/>
      <c r="F84" s="893"/>
      <c r="G84" s="894" t="s">
        <v>533</v>
      </c>
      <c r="I84" s="880"/>
      <c r="J84" s="875"/>
      <c r="K84" s="875"/>
      <c r="L84" s="875"/>
      <c r="M84" s="875"/>
      <c r="N84" s="875"/>
      <c r="O84" s="875"/>
    </row>
    <row r="85" spans="1:15" ht="12.75" customHeight="1" x14ac:dyDescent="0.25">
      <c r="A85" s="896">
        <f>D83</f>
        <v>678004</v>
      </c>
      <c r="B85" s="863" t="str">
        <f>G83</f>
        <v>Gehandicaptenparkeerkaart (GPK)</v>
      </c>
      <c r="D85" s="893">
        <f>D180</f>
        <v>43410</v>
      </c>
      <c r="E85" s="893"/>
      <c r="F85" s="893"/>
      <c r="G85" s="895" t="s">
        <v>3341</v>
      </c>
      <c r="I85" s="880"/>
      <c r="J85" s="875">
        <v>1890</v>
      </c>
      <c r="K85" s="875">
        <f t="shared" ref="K85:O85" si="7">K181</f>
        <v>1940</v>
      </c>
      <c r="L85" s="875">
        <f t="shared" si="7"/>
        <v>1980</v>
      </c>
      <c r="M85" s="875">
        <f t="shared" si="7"/>
        <v>2030</v>
      </c>
      <c r="N85" s="875">
        <f t="shared" si="7"/>
        <v>2080</v>
      </c>
      <c r="O85" s="875">
        <f t="shared" si="7"/>
        <v>2130</v>
      </c>
    </row>
    <row r="86" spans="1:15" ht="12.75" customHeight="1" thickBot="1" x14ac:dyDescent="0.3">
      <c r="D86" s="893"/>
      <c r="E86" s="893"/>
      <c r="F86" s="893"/>
      <c r="G86" s="895" t="s">
        <v>536</v>
      </c>
      <c r="I86" s="880"/>
      <c r="J86" s="2333">
        <v>1890</v>
      </c>
      <c r="K86" s="2333">
        <f t="shared" ref="K86:O86" si="8">SUM(K85:K85)</f>
        <v>1940</v>
      </c>
      <c r="L86" s="2333">
        <f t="shared" si="8"/>
        <v>1980</v>
      </c>
      <c r="M86" s="2333">
        <f t="shared" si="8"/>
        <v>2030</v>
      </c>
      <c r="N86" s="2333">
        <f t="shared" si="8"/>
        <v>2080</v>
      </c>
      <c r="O86" s="2333">
        <f t="shared" si="8"/>
        <v>2130</v>
      </c>
    </row>
    <row r="87" spans="1:15" ht="12.75" customHeight="1" thickTop="1" x14ac:dyDescent="0.25">
      <c r="D87" s="893"/>
      <c r="E87" s="893"/>
      <c r="F87" s="893"/>
      <c r="G87" s="895"/>
      <c r="I87" s="880"/>
      <c r="J87" s="875"/>
      <c r="K87" s="875"/>
      <c r="L87" s="875"/>
      <c r="M87" s="875"/>
      <c r="N87" s="875"/>
      <c r="O87" s="875"/>
    </row>
    <row r="88" spans="1:15" ht="12.75" customHeight="1" x14ac:dyDescent="0.25">
      <c r="D88" s="890">
        <f>D183</f>
        <v>678005</v>
      </c>
      <c r="E88" s="891"/>
      <c r="F88" s="891"/>
      <c r="G88" s="868" t="str">
        <f>E183</f>
        <v>Aanpassingen hulpmiddelen</v>
      </c>
      <c r="I88" s="880"/>
      <c r="J88" s="875"/>
      <c r="K88" s="875"/>
      <c r="L88" s="875"/>
      <c r="M88" s="875"/>
      <c r="N88" s="875"/>
      <c r="O88" s="875"/>
    </row>
    <row r="89" spans="1:15" ht="12.75" customHeight="1" x14ac:dyDescent="0.25">
      <c r="D89" s="893"/>
      <c r="E89" s="893"/>
      <c r="F89" s="893"/>
      <c r="G89" s="894" t="s">
        <v>533</v>
      </c>
      <c r="I89" s="880"/>
      <c r="J89" s="875"/>
      <c r="K89" s="875"/>
      <c r="L89" s="875"/>
      <c r="M89" s="875"/>
      <c r="N89" s="875"/>
      <c r="O89" s="875"/>
    </row>
    <row r="90" spans="1:15" ht="12.75" customHeight="1" x14ac:dyDescent="0.25">
      <c r="A90" s="896">
        <f>D88</f>
        <v>678005</v>
      </c>
      <c r="B90" s="863" t="str">
        <f>G88</f>
        <v>Aanpassingen hulpmiddelen</v>
      </c>
      <c r="D90" s="893">
        <f>D185</f>
        <v>43410</v>
      </c>
      <c r="E90" s="893"/>
      <c r="F90" s="893"/>
      <c r="G90" s="895" t="s">
        <v>3341</v>
      </c>
      <c r="I90" s="880"/>
      <c r="J90" s="875">
        <v>5460</v>
      </c>
      <c r="K90" s="875">
        <f t="shared" ref="K90:O90" si="9">K187</f>
        <v>5600</v>
      </c>
      <c r="L90" s="875">
        <f t="shared" si="9"/>
        <v>5720</v>
      </c>
      <c r="M90" s="875">
        <f t="shared" si="9"/>
        <v>5850</v>
      </c>
      <c r="N90" s="875">
        <f t="shared" si="9"/>
        <v>5980</v>
      </c>
      <c r="O90" s="875">
        <f t="shared" si="9"/>
        <v>6120</v>
      </c>
    </row>
    <row r="91" spans="1:15" ht="12.75" customHeight="1" thickBot="1" x14ac:dyDescent="0.3">
      <c r="D91" s="893"/>
      <c r="E91" s="893"/>
      <c r="F91" s="893"/>
      <c r="G91" s="895" t="s">
        <v>536</v>
      </c>
      <c r="I91" s="880"/>
      <c r="J91" s="2333">
        <v>5460</v>
      </c>
      <c r="K91" s="2333">
        <f t="shared" ref="K91:O91" si="10">SUM(K90)</f>
        <v>5600</v>
      </c>
      <c r="L91" s="2333">
        <f t="shared" si="10"/>
        <v>5720</v>
      </c>
      <c r="M91" s="2333">
        <f t="shared" si="10"/>
        <v>5850</v>
      </c>
      <c r="N91" s="2333">
        <f t="shared" si="10"/>
        <v>5980</v>
      </c>
      <c r="O91" s="2333">
        <f t="shared" si="10"/>
        <v>6120</v>
      </c>
    </row>
    <row r="92" spans="1:15" ht="12.75" customHeight="1" thickTop="1" x14ac:dyDescent="0.25">
      <c r="D92" s="893"/>
      <c r="E92" s="893"/>
      <c r="F92" s="893"/>
      <c r="G92" s="895"/>
      <c r="I92" s="880"/>
      <c r="J92" s="875"/>
      <c r="K92" s="875"/>
      <c r="L92" s="875"/>
      <c r="M92" s="875"/>
      <c r="N92" s="875"/>
      <c r="O92" s="875"/>
    </row>
    <row r="93" spans="1:15" ht="12.75" customHeight="1" x14ac:dyDescent="0.25">
      <c r="D93" s="890">
        <f>D189</f>
        <v>678006</v>
      </c>
      <c r="E93" s="891"/>
      <c r="F93" s="891"/>
      <c r="G93" s="868" t="str">
        <f>E189</f>
        <v>Hulpmiddelen - woonvoorzieningen</v>
      </c>
      <c r="I93" s="880"/>
      <c r="J93" s="875"/>
      <c r="K93" s="875"/>
      <c r="L93" s="875"/>
      <c r="M93" s="875"/>
      <c r="N93" s="875"/>
      <c r="O93" s="875"/>
    </row>
    <row r="94" spans="1:15" ht="12.75" customHeight="1" x14ac:dyDescent="0.25">
      <c r="D94" s="893"/>
      <c r="E94" s="893"/>
      <c r="F94" s="893"/>
      <c r="G94" s="894" t="s">
        <v>533</v>
      </c>
      <c r="I94" s="880"/>
      <c r="J94" s="875"/>
      <c r="K94" s="875"/>
      <c r="L94" s="875"/>
      <c r="M94" s="875"/>
      <c r="N94" s="875"/>
      <c r="O94" s="875"/>
    </row>
    <row r="95" spans="1:15" ht="12.75" customHeight="1" x14ac:dyDescent="0.25">
      <c r="A95" s="896">
        <f>D93</f>
        <v>678006</v>
      </c>
      <c r="B95" s="863" t="str">
        <f>G93</f>
        <v>Hulpmiddelen - woonvoorzieningen</v>
      </c>
      <c r="D95" s="893">
        <f>D191</f>
        <v>43410</v>
      </c>
      <c r="E95" s="893"/>
      <c r="F95" s="893"/>
      <c r="G95" s="895" t="s">
        <v>3341</v>
      </c>
      <c r="I95" s="880"/>
      <c r="J95" s="875">
        <v>65490</v>
      </c>
      <c r="K95" s="875">
        <f t="shared" ref="K95:O95" si="11">K193</f>
        <v>67190</v>
      </c>
      <c r="L95" s="875">
        <f t="shared" si="11"/>
        <v>23000</v>
      </c>
      <c r="M95" s="875">
        <f t="shared" si="11"/>
        <v>23530</v>
      </c>
      <c r="N95" s="875">
        <f t="shared" si="11"/>
        <v>24070</v>
      </c>
      <c r="O95" s="875">
        <f t="shared" si="11"/>
        <v>24620</v>
      </c>
    </row>
    <row r="96" spans="1:15" ht="12.75" customHeight="1" thickBot="1" x14ac:dyDescent="0.3">
      <c r="D96" s="893"/>
      <c r="E96" s="893"/>
      <c r="F96" s="893"/>
      <c r="G96" s="895" t="s">
        <v>536</v>
      </c>
      <c r="I96" s="880"/>
      <c r="J96" s="2333">
        <v>65490</v>
      </c>
      <c r="K96" s="2333">
        <f t="shared" ref="K96:O96" si="12">SUM(K95:K95)</f>
        <v>67190</v>
      </c>
      <c r="L96" s="2333">
        <f t="shared" si="12"/>
        <v>23000</v>
      </c>
      <c r="M96" s="2333">
        <f t="shared" si="12"/>
        <v>23530</v>
      </c>
      <c r="N96" s="2333">
        <f t="shared" si="12"/>
        <v>24070</v>
      </c>
      <c r="O96" s="2333">
        <f t="shared" si="12"/>
        <v>24620</v>
      </c>
    </row>
    <row r="97" spans="1:15" ht="12.75" customHeight="1" thickTop="1" x14ac:dyDescent="0.25">
      <c r="D97" s="893"/>
      <c r="E97" s="893"/>
      <c r="F97" s="893"/>
      <c r="G97" s="895"/>
      <c r="I97" s="880"/>
      <c r="J97" s="875"/>
      <c r="K97" s="875"/>
      <c r="L97" s="875"/>
      <c r="M97" s="875"/>
      <c r="N97" s="875"/>
      <c r="O97" s="875"/>
    </row>
    <row r="98" spans="1:15" ht="12.75" customHeight="1" x14ac:dyDescent="0.25">
      <c r="D98" s="890">
        <f>D199</f>
        <v>678007</v>
      </c>
      <c r="E98" s="891"/>
      <c r="F98" s="891"/>
      <c r="G98" s="868" t="str">
        <f>E199</f>
        <v>Trapliften</v>
      </c>
      <c r="I98" s="880"/>
      <c r="J98" s="875"/>
      <c r="K98" s="875"/>
      <c r="L98" s="875"/>
      <c r="M98" s="875"/>
      <c r="N98" s="875"/>
      <c r="O98" s="875"/>
    </row>
    <row r="99" spans="1:15" ht="12.75" customHeight="1" x14ac:dyDescent="0.25">
      <c r="D99" s="893"/>
      <c r="E99" s="893"/>
      <c r="F99" s="893"/>
      <c r="G99" s="894" t="s">
        <v>533</v>
      </c>
      <c r="I99" s="880"/>
      <c r="J99" s="875"/>
      <c r="K99" s="875"/>
      <c r="L99" s="875"/>
      <c r="M99" s="875"/>
      <c r="N99" s="875"/>
      <c r="O99" s="875"/>
    </row>
    <row r="100" spans="1:15" ht="12.75" customHeight="1" x14ac:dyDescent="0.25">
      <c r="A100" s="896">
        <f>D98</f>
        <v>678007</v>
      </c>
      <c r="B100" s="863" t="str">
        <f>G98</f>
        <v>Trapliften</v>
      </c>
      <c r="D100" s="893">
        <f>D201</f>
        <v>43410</v>
      </c>
      <c r="E100" s="893"/>
      <c r="F100" s="893"/>
      <c r="G100" s="895" t="s">
        <v>3341</v>
      </c>
      <c r="I100" s="880"/>
      <c r="J100" s="875">
        <v>39440</v>
      </c>
      <c r="K100" s="875">
        <f t="shared" ref="K100:O100" si="13">K203</f>
        <v>40470</v>
      </c>
      <c r="L100" s="875">
        <f t="shared" si="13"/>
        <v>110780</v>
      </c>
      <c r="M100" s="875">
        <f t="shared" si="13"/>
        <v>113330</v>
      </c>
      <c r="N100" s="875">
        <f t="shared" si="13"/>
        <v>115930</v>
      </c>
      <c r="O100" s="875">
        <f t="shared" si="13"/>
        <v>118590</v>
      </c>
    </row>
    <row r="101" spans="1:15" ht="12.75" customHeight="1" thickBot="1" x14ac:dyDescent="0.3">
      <c r="D101" s="893"/>
      <c r="E101" s="893"/>
      <c r="F101" s="893"/>
      <c r="G101" s="895" t="s">
        <v>536</v>
      </c>
      <c r="I101" s="880"/>
      <c r="J101" s="897">
        <v>39440</v>
      </c>
      <c r="K101" s="897">
        <f t="shared" ref="K101:O101" si="14">SUM(K100:K100)</f>
        <v>40470</v>
      </c>
      <c r="L101" s="897">
        <f t="shared" si="14"/>
        <v>110780</v>
      </c>
      <c r="M101" s="897">
        <f t="shared" si="14"/>
        <v>113330</v>
      </c>
      <c r="N101" s="897">
        <f t="shared" si="14"/>
        <v>115930</v>
      </c>
      <c r="O101" s="897">
        <f t="shared" si="14"/>
        <v>118590</v>
      </c>
    </row>
    <row r="102" spans="1:15" ht="12.75" customHeight="1" thickTop="1" x14ac:dyDescent="0.25">
      <c r="D102" s="893"/>
      <c r="E102" s="893"/>
      <c r="F102" s="893"/>
      <c r="G102" s="895"/>
      <c r="I102" s="880"/>
      <c r="J102" s="875"/>
      <c r="K102" s="875"/>
      <c r="L102" s="875"/>
      <c r="M102" s="875"/>
      <c r="N102" s="875"/>
      <c r="O102" s="875"/>
    </row>
    <row r="103" spans="1:15" ht="12.75" customHeight="1" x14ac:dyDescent="0.25">
      <c r="D103" s="890">
        <f>D205</f>
        <v>678008</v>
      </c>
      <c r="E103" s="891"/>
      <c r="F103" s="891"/>
      <c r="G103" s="2372" t="str">
        <f>E205</f>
        <v>Woningaanpassingen</v>
      </c>
      <c r="I103" s="880"/>
      <c r="J103" s="875"/>
      <c r="K103" s="875"/>
      <c r="L103" s="875"/>
      <c r="M103" s="875"/>
      <c r="N103" s="875"/>
      <c r="O103" s="875"/>
    </row>
    <row r="104" spans="1:15" ht="12.75" customHeight="1" x14ac:dyDescent="0.25">
      <c r="D104" s="893"/>
      <c r="E104" s="893"/>
      <c r="F104" s="893"/>
      <c r="G104" s="894" t="s">
        <v>533</v>
      </c>
      <c r="I104" s="880"/>
      <c r="J104" s="875"/>
      <c r="K104" s="875"/>
      <c r="L104" s="875"/>
      <c r="M104" s="875"/>
      <c r="N104" s="875"/>
      <c r="O104" s="875"/>
    </row>
    <row r="105" spans="1:15" ht="12.75" customHeight="1" x14ac:dyDescent="0.25">
      <c r="A105" s="896">
        <f>D103</f>
        <v>678008</v>
      </c>
      <c r="B105" s="863" t="str">
        <f>G103</f>
        <v>Woningaanpassingen</v>
      </c>
      <c r="D105" s="893">
        <f>D207</f>
        <v>43410</v>
      </c>
      <c r="E105" s="893"/>
      <c r="F105" s="893"/>
      <c r="G105" s="895" t="s">
        <v>3341</v>
      </c>
      <c r="I105" s="880"/>
      <c r="J105" s="875">
        <v>166600</v>
      </c>
      <c r="K105" s="875">
        <f t="shared" ref="K105:O105" si="15">K208</f>
        <v>170900</v>
      </c>
      <c r="L105" s="875">
        <f t="shared" si="15"/>
        <v>174500</v>
      </c>
      <c r="M105" s="875">
        <f t="shared" si="15"/>
        <v>178500</v>
      </c>
      <c r="N105" s="875">
        <f t="shared" si="15"/>
        <v>182600</v>
      </c>
      <c r="O105" s="875">
        <f t="shared" si="15"/>
        <v>186800</v>
      </c>
    </row>
    <row r="106" spans="1:15" ht="12.75" customHeight="1" thickBot="1" x14ac:dyDescent="0.3">
      <c r="D106" s="893"/>
      <c r="E106" s="893"/>
      <c r="F106" s="893"/>
      <c r="G106" s="895" t="s">
        <v>536</v>
      </c>
      <c r="I106" s="880"/>
      <c r="J106" s="2333">
        <v>166600</v>
      </c>
      <c r="K106" s="2333">
        <f t="shared" ref="K106:O106" si="16">SUM(K105:K105)</f>
        <v>170900</v>
      </c>
      <c r="L106" s="2333">
        <f t="shared" si="16"/>
        <v>174500</v>
      </c>
      <c r="M106" s="2333">
        <f t="shared" si="16"/>
        <v>178500</v>
      </c>
      <c r="N106" s="2333">
        <f t="shared" si="16"/>
        <v>182600</v>
      </c>
      <c r="O106" s="2333">
        <f t="shared" si="16"/>
        <v>186800</v>
      </c>
    </row>
    <row r="107" spans="1:15" ht="12.75" customHeight="1" thickTop="1" x14ac:dyDescent="0.25">
      <c r="D107" s="893"/>
      <c r="E107" s="893"/>
      <c r="F107" s="893"/>
      <c r="G107" s="895"/>
      <c r="I107" s="880"/>
      <c r="J107" s="875"/>
      <c r="K107" s="875"/>
      <c r="L107" s="875"/>
      <c r="M107" s="875"/>
      <c r="N107" s="875"/>
      <c r="O107" s="875"/>
    </row>
    <row r="108" spans="1:15" ht="12.75" customHeight="1" x14ac:dyDescent="0.25">
      <c r="A108" s="2334"/>
      <c r="D108" s="890">
        <f>D214</f>
        <v>678009</v>
      </c>
      <c r="E108" s="891"/>
      <c r="F108" s="891"/>
      <c r="G108" s="892" t="str">
        <f>E214</f>
        <v>Sociaal medische adviezen</v>
      </c>
      <c r="I108" s="880"/>
      <c r="J108" s="875"/>
      <c r="K108" s="875"/>
      <c r="L108" s="875"/>
      <c r="M108" s="875"/>
      <c r="N108" s="875"/>
      <c r="O108" s="875"/>
    </row>
    <row r="109" spans="1:15" ht="12.75" customHeight="1" x14ac:dyDescent="0.25">
      <c r="D109" s="2330"/>
      <c r="E109" s="2335"/>
      <c r="F109" s="2335"/>
      <c r="G109" s="894" t="s">
        <v>533</v>
      </c>
      <c r="I109" s="880"/>
      <c r="J109" s="875"/>
      <c r="K109" s="875"/>
      <c r="L109" s="875"/>
      <c r="M109" s="875"/>
      <c r="N109" s="875"/>
      <c r="O109" s="875"/>
    </row>
    <row r="110" spans="1:15" ht="12.75" customHeight="1" x14ac:dyDescent="0.25">
      <c r="A110" s="862">
        <f>D108</f>
        <v>678009</v>
      </c>
      <c r="B110" s="863" t="str">
        <f>G108</f>
        <v>Sociaal medische adviezen</v>
      </c>
      <c r="D110" s="2331">
        <f>D216</f>
        <v>43812</v>
      </c>
      <c r="E110" s="2331"/>
      <c r="F110" s="893"/>
      <c r="G110" s="2349" t="s">
        <v>535</v>
      </c>
      <c r="I110" s="880"/>
      <c r="J110" s="875">
        <v>22800</v>
      </c>
      <c r="K110" s="875">
        <f t="shared" ref="K110:O110" si="17">K219</f>
        <v>23390</v>
      </c>
      <c r="L110" s="875">
        <f t="shared" si="17"/>
        <v>27570</v>
      </c>
      <c r="M110" s="875">
        <f t="shared" si="17"/>
        <v>28200</v>
      </c>
      <c r="N110" s="875">
        <f t="shared" si="17"/>
        <v>28850</v>
      </c>
      <c r="O110" s="875">
        <f t="shared" si="17"/>
        <v>29510</v>
      </c>
    </row>
    <row r="111" spans="1:15" ht="12.75" customHeight="1" thickBot="1" x14ac:dyDescent="0.3">
      <c r="A111" s="2336"/>
      <c r="D111" s="893"/>
      <c r="E111" s="893"/>
      <c r="F111" s="893"/>
      <c r="G111" s="895" t="s">
        <v>536</v>
      </c>
      <c r="I111" s="880"/>
      <c r="J111" s="2333">
        <v>22800</v>
      </c>
      <c r="K111" s="2333">
        <f t="shared" ref="K111:O111" si="18">SUM(K110)</f>
        <v>23390</v>
      </c>
      <c r="L111" s="2333">
        <f t="shared" si="18"/>
        <v>27570</v>
      </c>
      <c r="M111" s="2333">
        <f t="shared" si="18"/>
        <v>28200</v>
      </c>
      <c r="N111" s="2333">
        <f t="shared" si="18"/>
        <v>28850</v>
      </c>
      <c r="O111" s="2333">
        <f t="shared" si="18"/>
        <v>29510</v>
      </c>
    </row>
    <row r="112" spans="1:15" ht="12.75" customHeight="1" thickTop="1" x14ac:dyDescent="0.25">
      <c r="D112" s="893"/>
      <c r="E112" s="893"/>
      <c r="F112" s="893"/>
      <c r="G112" s="895"/>
      <c r="I112" s="880"/>
      <c r="J112" s="875"/>
      <c r="K112" s="875"/>
      <c r="L112" s="875"/>
      <c r="M112" s="875"/>
      <c r="N112" s="875"/>
      <c r="O112" s="875"/>
    </row>
    <row r="113" spans="1:15" ht="12.75" customHeight="1" x14ac:dyDescent="0.25">
      <c r="D113" s="890">
        <f>D221</f>
        <v>678010</v>
      </c>
      <c r="E113" s="891"/>
      <c r="F113" s="891"/>
      <c r="G113" s="892" t="str">
        <f>E221</f>
        <v>Uitvoeringskosten nota moz</v>
      </c>
      <c r="I113" s="880"/>
      <c r="J113" s="875"/>
      <c r="K113" s="875"/>
      <c r="L113" s="875"/>
      <c r="M113" s="875"/>
      <c r="N113" s="875"/>
      <c r="O113" s="875"/>
    </row>
    <row r="114" spans="1:15" ht="12.75" customHeight="1" x14ac:dyDescent="0.25">
      <c r="D114" s="2347"/>
      <c r="E114" s="893"/>
      <c r="F114" s="893"/>
      <c r="G114" s="894" t="s">
        <v>533</v>
      </c>
      <c r="I114" s="880"/>
      <c r="J114" s="875"/>
      <c r="K114" s="875"/>
      <c r="L114" s="875"/>
      <c r="M114" s="875"/>
      <c r="N114" s="875"/>
      <c r="O114" s="875"/>
    </row>
    <row r="115" spans="1:15" ht="12.75" customHeight="1" x14ac:dyDescent="0.25">
      <c r="A115" s="896">
        <f>D113</f>
        <v>678010</v>
      </c>
      <c r="B115" s="863" t="str">
        <f>G113</f>
        <v>Uitvoeringskosten nota moz</v>
      </c>
      <c r="D115" s="2331">
        <f>D228</f>
        <v>43812</v>
      </c>
      <c r="E115" s="2331"/>
      <c r="F115" s="893"/>
      <c r="G115" s="895" t="s">
        <v>535</v>
      </c>
      <c r="I115" s="880"/>
      <c r="J115" s="875">
        <v>4130</v>
      </c>
      <c r="K115" s="875">
        <f t="shared" ref="K115:O115" si="19">K229</f>
        <v>4240</v>
      </c>
      <c r="L115" s="875">
        <f t="shared" si="19"/>
        <v>4330</v>
      </c>
      <c r="M115" s="875">
        <f t="shared" si="19"/>
        <v>4430</v>
      </c>
      <c r="N115" s="875">
        <f t="shared" si="19"/>
        <v>4530</v>
      </c>
      <c r="O115" s="875">
        <f t="shared" si="19"/>
        <v>4630</v>
      </c>
    </row>
    <row r="116" spans="1:15" ht="12.75" customHeight="1" x14ac:dyDescent="0.25">
      <c r="A116" s="896">
        <f>D113</f>
        <v>678010</v>
      </c>
      <c r="B116" s="863" t="str">
        <f>G113</f>
        <v>Uitvoeringskosten nota moz</v>
      </c>
      <c r="D116" s="2331">
        <f>D223</f>
        <v>44380</v>
      </c>
      <c r="E116" s="2331"/>
      <c r="F116" s="2331"/>
      <c r="G116" s="895" t="s">
        <v>1899</v>
      </c>
      <c r="I116" s="880"/>
      <c r="J116" s="875">
        <v>8430</v>
      </c>
      <c r="K116" s="875">
        <f t="shared" ref="K116:O116" si="20">K224</f>
        <v>8820</v>
      </c>
      <c r="L116" s="875">
        <f t="shared" si="20"/>
        <v>9190</v>
      </c>
      <c r="M116" s="875">
        <f t="shared" si="20"/>
        <v>9580</v>
      </c>
      <c r="N116" s="875">
        <f t="shared" si="20"/>
        <v>9980</v>
      </c>
      <c r="O116" s="875">
        <f t="shared" si="20"/>
        <v>10400</v>
      </c>
    </row>
    <row r="117" spans="1:15" ht="12.75" customHeight="1" thickBot="1" x14ac:dyDescent="0.3">
      <c r="D117" s="893"/>
      <c r="E117" s="893"/>
      <c r="F117" s="893"/>
      <c r="G117" s="895"/>
      <c r="I117" s="880"/>
      <c r="J117" s="897">
        <v>12560</v>
      </c>
      <c r="K117" s="897">
        <f t="shared" ref="K117:O117" si="21">SUM(K115:K116)</f>
        <v>13060</v>
      </c>
      <c r="L117" s="897">
        <f t="shared" si="21"/>
        <v>13520</v>
      </c>
      <c r="M117" s="897">
        <f t="shared" si="21"/>
        <v>14010</v>
      </c>
      <c r="N117" s="897">
        <f t="shared" si="21"/>
        <v>14510</v>
      </c>
      <c r="O117" s="897">
        <f t="shared" si="21"/>
        <v>15030</v>
      </c>
    </row>
    <row r="118" spans="1:15" ht="12.75" customHeight="1" thickTop="1" x14ac:dyDescent="0.25">
      <c r="D118" s="893"/>
      <c r="E118" s="893"/>
      <c r="F118" s="893"/>
      <c r="G118" s="895"/>
      <c r="I118" s="880"/>
      <c r="J118" s="875"/>
      <c r="K118" s="875"/>
      <c r="L118" s="875"/>
      <c r="M118" s="875"/>
      <c r="N118" s="875"/>
      <c r="O118" s="875"/>
    </row>
    <row r="119" spans="1:15" ht="12.75" customHeight="1" x14ac:dyDescent="0.25">
      <c r="D119" s="890">
        <f>D231</f>
        <v>678011</v>
      </c>
      <c r="E119" s="891"/>
      <c r="F119" s="891"/>
      <c r="G119" s="892" t="str">
        <f>E231</f>
        <v>Uitvoeringskosten wonen en zorg</v>
      </c>
      <c r="H119" s="868"/>
      <c r="I119" s="880"/>
      <c r="J119" s="875"/>
      <c r="K119" s="875"/>
      <c r="L119" s="875"/>
      <c r="M119" s="875"/>
      <c r="N119" s="875"/>
      <c r="O119" s="875"/>
    </row>
    <row r="120" spans="1:15" ht="12.75" customHeight="1" x14ac:dyDescent="0.25">
      <c r="D120" s="890"/>
      <c r="E120" s="891"/>
      <c r="F120" s="891"/>
      <c r="G120" s="894" t="s">
        <v>533</v>
      </c>
      <c r="I120" s="880"/>
      <c r="J120" s="875"/>
      <c r="K120" s="875"/>
      <c r="L120" s="875"/>
      <c r="M120" s="875"/>
      <c r="N120" s="875"/>
      <c r="O120" s="875"/>
    </row>
    <row r="121" spans="1:15" ht="12.75" customHeight="1" x14ac:dyDescent="0.25">
      <c r="A121" s="896">
        <f>D119</f>
        <v>678011</v>
      </c>
      <c r="B121" s="863" t="str">
        <f>G119</f>
        <v>Uitvoeringskosten wonen en zorg</v>
      </c>
      <c r="D121" s="893">
        <f>D233</f>
        <v>43812</v>
      </c>
      <c r="E121" s="893"/>
      <c r="F121" s="893"/>
      <c r="G121" s="895" t="s">
        <v>535</v>
      </c>
      <c r="I121" s="880"/>
      <c r="J121" s="875">
        <v>59200</v>
      </c>
      <c r="K121" s="875">
        <f t="shared" ref="K121:O121" si="22">K236</f>
        <v>22780</v>
      </c>
      <c r="L121" s="875">
        <f t="shared" si="22"/>
        <v>23260</v>
      </c>
      <c r="M121" s="875">
        <f t="shared" si="22"/>
        <v>23800</v>
      </c>
      <c r="N121" s="875">
        <f t="shared" si="22"/>
        <v>24340</v>
      </c>
      <c r="O121" s="875">
        <f t="shared" si="22"/>
        <v>24900</v>
      </c>
    </row>
    <row r="122" spans="1:15" ht="12.75" customHeight="1" thickBot="1" x14ac:dyDescent="0.3">
      <c r="D122" s="2331"/>
      <c r="E122" s="2331"/>
      <c r="F122" s="2331"/>
      <c r="G122" s="895"/>
      <c r="I122" s="880"/>
      <c r="J122" s="2333">
        <v>59200</v>
      </c>
      <c r="K122" s="2333">
        <f t="shared" ref="K122:O122" si="23">SUM(K121)</f>
        <v>22780</v>
      </c>
      <c r="L122" s="2333">
        <f t="shared" si="23"/>
        <v>23260</v>
      </c>
      <c r="M122" s="2333">
        <f t="shared" si="23"/>
        <v>23800</v>
      </c>
      <c r="N122" s="2333">
        <f t="shared" si="23"/>
        <v>24340</v>
      </c>
      <c r="O122" s="2333">
        <f t="shared" si="23"/>
        <v>24900</v>
      </c>
    </row>
    <row r="123" spans="1:15" ht="12.75" customHeight="1" thickTop="1" x14ac:dyDescent="0.25">
      <c r="D123" s="2331"/>
      <c r="E123" s="2331"/>
      <c r="F123" s="2331"/>
      <c r="G123" s="895"/>
      <c r="I123" s="880"/>
      <c r="J123" s="875"/>
      <c r="K123" s="875"/>
      <c r="L123" s="875"/>
      <c r="M123" s="875"/>
      <c r="N123" s="875"/>
      <c r="O123" s="875"/>
    </row>
    <row r="124" spans="1:15" ht="12.75" customHeight="1" x14ac:dyDescent="0.25">
      <c r="D124" s="890">
        <f>D239</f>
        <v>678901</v>
      </c>
      <c r="E124" s="891"/>
      <c r="F124" s="891"/>
      <c r="G124" s="892" t="str">
        <f>E239</f>
        <v>Directe toerekening maatwerk voorzieningen WMO</v>
      </c>
      <c r="I124" s="880"/>
      <c r="J124" s="875"/>
      <c r="K124" s="875"/>
      <c r="L124" s="875"/>
      <c r="M124" s="875"/>
      <c r="N124" s="875"/>
      <c r="O124" s="875"/>
    </row>
    <row r="125" spans="1:15" ht="12.75" customHeight="1" x14ac:dyDescent="0.25">
      <c r="D125" s="893"/>
      <c r="E125" s="893"/>
      <c r="F125" s="893"/>
      <c r="G125" s="894" t="s">
        <v>533</v>
      </c>
      <c r="I125" s="880"/>
      <c r="J125" s="875"/>
      <c r="K125" s="875"/>
      <c r="L125" s="875"/>
      <c r="M125" s="875"/>
      <c r="N125" s="875"/>
      <c r="O125" s="875"/>
    </row>
    <row r="126" spans="1:15" ht="12.75" customHeight="1" x14ac:dyDescent="0.25">
      <c r="A126" s="896">
        <f>D124</f>
        <v>678901</v>
      </c>
      <c r="B126" s="863" t="str">
        <f>G124</f>
        <v>Directe toerekening maatwerk voorzieningen WMO</v>
      </c>
      <c r="D126" s="893">
        <v>41100</v>
      </c>
      <c r="E126" s="893"/>
      <c r="F126" s="893"/>
      <c r="G126" s="895" t="s">
        <v>700</v>
      </c>
      <c r="I126" s="880"/>
      <c r="J126" s="875">
        <v>0</v>
      </c>
      <c r="K126" s="875">
        <f>K243+K247</f>
        <v>0</v>
      </c>
      <c r="L126" s="875">
        <f>L243+L247</f>
        <v>0</v>
      </c>
      <c r="M126" s="875">
        <f>M243+M247</f>
        <v>0</v>
      </c>
      <c r="N126" s="875">
        <f>N243+N247</f>
        <v>0</v>
      </c>
      <c r="O126" s="875">
        <f>O243+O247</f>
        <v>0</v>
      </c>
    </row>
    <row r="127" spans="1:15" ht="12.75" customHeight="1" thickBot="1" x14ac:dyDescent="0.3">
      <c r="D127" s="893"/>
      <c r="E127" s="893"/>
      <c r="F127" s="893"/>
      <c r="G127" s="895" t="s">
        <v>536</v>
      </c>
      <c r="I127" s="880"/>
      <c r="J127" s="2333">
        <v>0</v>
      </c>
      <c r="K127" s="2333">
        <f t="shared" ref="K127:O127" si="24">SUM(K125:K126)</f>
        <v>0</v>
      </c>
      <c r="L127" s="2333">
        <f t="shared" si="24"/>
        <v>0</v>
      </c>
      <c r="M127" s="2333">
        <f t="shared" si="24"/>
        <v>0</v>
      </c>
      <c r="N127" s="2333">
        <f t="shared" si="24"/>
        <v>0</v>
      </c>
      <c r="O127" s="2333">
        <f t="shared" si="24"/>
        <v>0</v>
      </c>
    </row>
    <row r="128" spans="1:15" ht="12.75" customHeight="1" thickTop="1" x14ac:dyDescent="0.25">
      <c r="D128" s="893"/>
      <c r="E128" s="893"/>
      <c r="F128" s="893"/>
      <c r="G128" s="895"/>
      <c r="I128" s="880"/>
      <c r="J128" s="875"/>
      <c r="K128" s="875"/>
      <c r="L128" s="875"/>
      <c r="M128" s="875"/>
      <c r="N128" s="875"/>
      <c r="O128" s="875"/>
    </row>
    <row r="129" spans="1:15" ht="12.75" customHeight="1" x14ac:dyDescent="0.25">
      <c r="D129" s="890">
        <f>D249</f>
        <v>678004</v>
      </c>
      <c r="E129" s="891"/>
      <c r="F129" s="891"/>
      <c r="G129" s="2372" t="str">
        <f>E249</f>
        <v>Gehandicaptenparkeerkaart (GPK)</v>
      </c>
      <c r="H129" s="868"/>
      <c r="I129" s="880"/>
      <c r="J129" s="875"/>
      <c r="K129" s="875"/>
      <c r="L129" s="875"/>
      <c r="M129" s="875"/>
      <c r="N129" s="875"/>
      <c r="O129" s="875"/>
    </row>
    <row r="130" spans="1:15" ht="12.75" customHeight="1" x14ac:dyDescent="0.25">
      <c r="D130" s="890"/>
      <c r="E130" s="891"/>
      <c r="F130" s="891"/>
      <c r="G130" s="894" t="s">
        <v>554</v>
      </c>
      <c r="I130" s="880"/>
      <c r="J130" s="875"/>
      <c r="K130" s="875"/>
      <c r="L130" s="875"/>
      <c r="M130" s="875"/>
      <c r="N130" s="875"/>
      <c r="O130" s="875"/>
    </row>
    <row r="131" spans="1:15" ht="12.75" customHeight="1" x14ac:dyDescent="0.25">
      <c r="A131" s="862">
        <f>D129</f>
        <v>678004</v>
      </c>
      <c r="B131" s="863" t="str">
        <f>G129</f>
        <v>Gehandicaptenparkeerkaart (GPK)</v>
      </c>
      <c r="D131" s="893">
        <f>D251</f>
        <v>83800</v>
      </c>
      <c r="E131" s="893"/>
      <c r="F131" s="893"/>
      <c r="G131" s="895" t="s">
        <v>535</v>
      </c>
      <c r="I131" s="880"/>
      <c r="J131" s="875">
        <v>-20530</v>
      </c>
      <c r="K131" s="875">
        <f>K252</f>
        <v>-21060</v>
      </c>
      <c r="L131" s="875">
        <f t="shared" ref="L131:O131" si="25">L252</f>
        <v>-21500</v>
      </c>
      <c r="M131" s="875">
        <f t="shared" si="25"/>
        <v>-21990</v>
      </c>
      <c r="N131" s="875">
        <f t="shared" si="25"/>
        <v>-22500</v>
      </c>
      <c r="O131" s="875">
        <f t="shared" si="25"/>
        <v>-23020</v>
      </c>
    </row>
    <row r="132" spans="1:15" ht="12.75" customHeight="1" thickBot="1" x14ac:dyDescent="0.3">
      <c r="D132" s="2337"/>
      <c r="E132" s="2337"/>
      <c r="F132" s="2337"/>
      <c r="G132" s="899"/>
      <c r="H132" s="884"/>
      <c r="I132" s="900"/>
      <c r="J132" s="2333">
        <v>-20530</v>
      </c>
      <c r="K132" s="2333">
        <f t="shared" ref="K132:O132" si="26">SUM(K131)</f>
        <v>-21060</v>
      </c>
      <c r="L132" s="2333">
        <f t="shared" si="26"/>
        <v>-21500</v>
      </c>
      <c r="M132" s="2333">
        <f t="shared" si="26"/>
        <v>-21990</v>
      </c>
      <c r="N132" s="2333">
        <f t="shared" si="26"/>
        <v>-22500</v>
      </c>
      <c r="O132" s="2333">
        <f t="shared" si="26"/>
        <v>-23020</v>
      </c>
    </row>
    <row r="133" spans="1:15" ht="12.75" customHeight="1" thickTop="1" x14ac:dyDescent="0.25">
      <c r="D133" s="903"/>
      <c r="E133" s="903"/>
      <c r="F133" s="903"/>
      <c r="I133" s="885"/>
      <c r="J133" s="885"/>
      <c r="K133" s="885"/>
      <c r="L133" s="885"/>
      <c r="M133" s="885"/>
      <c r="N133" s="885"/>
      <c r="O133" s="885"/>
    </row>
    <row r="134" spans="1:15" ht="12.75" customHeight="1" x14ac:dyDescent="0.25">
      <c r="D134" s="903"/>
      <c r="E134" s="903"/>
      <c r="F134" s="903"/>
      <c r="I134" s="885"/>
      <c r="J134" s="885"/>
      <c r="K134" s="885"/>
      <c r="L134" s="885"/>
      <c r="M134" s="885"/>
      <c r="N134" s="885"/>
      <c r="O134" s="885"/>
    </row>
    <row r="135" spans="1:15" ht="12.75" customHeight="1" x14ac:dyDescent="0.25">
      <c r="D135" s="865"/>
      <c r="I135" s="885"/>
      <c r="J135" s="885"/>
      <c r="K135" s="885"/>
      <c r="L135" s="885"/>
      <c r="M135" s="885"/>
      <c r="N135" s="885"/>
      <c r="O135" s="885"/>
    </row>
    <row r="136" spans="1:15" ht="12.75" customHeight="1" x14ac:dyDescent="0.25">
      <c r="D136" s="902" t="s">
        <v>561</v>
      </c>
      <c r="E136" s="903"/>
      <c r="F136" s="903"/>
      <c r="H136" s="885"/>
    </row>
    <row r="137" spans="1:15" ht="12.75" customHeight="1" x14ac:dyDescent="0.25">
      <c r="D137" s="903"/>
      <c r="E137" s="903"/>
      <c r="F137" s="903"/>
      <c r="H137" s="885"/>
      <c r="I137" s="885"/>
      <c r="J137" s="885"/>
      <c r="K137" s="885"/>
      <c r="L137" s="885"/>
      <c r="M137" s="885"/>
      <c r="N137" s="885"/>
      <c r="O137" s="885"/>
    </row>
    <row r="138" spans="1:15" ht="12.75" customHeight="1" x14ac:dyDescent="0.25">
      <c r="D138" s="905">
        <v>678001</v>
      </c>
      <c r="E138" s="868" t="s">
        <v>4380</v>
      </c>
      <c r="F138" s="886"/>
      <c r="I138" s="885"/>
      <c r="J138" s="908">
        <v>2025</v>
      </c>
      <c r="K138" s="908">
        <v>2026</v>
      </c>
      <c r="L138" s="908">
        <v>2027</v>
      </c>
      <c r="M138" s="908">
        <v>2028</v>
      </c>
      <c r="N138" s="908">
        <v>2029</v>
      </c>
      <c r="O138" s="908">
        <v>2030</v>
      </c>
    </row>
    <row r="139" spans="1:15" ht="12.75" customHeight="1" x14ac:dyDescent="0.25">
      <c r="D139" s="905"/>
      <c r="E139" s="873" t="s">
        <v>533</v>
      </c>
      <c r="F139" s="886"/>
      <c r="I139" s="885"/>
    </row>
    <row r="140" spans="1:15" ht="12.75" customHeight="1" x14ac:dyDescent="0.25">
      <c r="D140" s="865">
        <v>43410</v>
      </c>
      <c r="E140" s="2396" t="s">
        <v>4381</v>
      </c>
      <c r="H140" s="2396"/>
      <c r="I140" s="885"/>
      <c r="J140" s="1048">
        <v>143700</v>
      </c>
      <c r="K140" s="1048">
        <f>ROUND(143700*S$2,-2)</f>
        <v>147400</v>
      </c>
      <c r="L140" s="1048">
        <f>ROUND(K140*T$2,-2)</f>
        <v>150500</v>
      </c>
      <c r="M140" s="1048">
        <f>ROUND(L140*U$2,-2)</f>
        <v>154000</v>
      </c>
      <c r="N140" s="1048">
        <f>ROUND(M140*V$2,-2)</f>
        <v>157500</v>
      </c>
      <c r="O140" s="1048">
        <f>ROUND(N140*W$2,-2)</f>
        <v>161100</v>
      </c>
    </row>
    <row r="141" spans="1:15" ht="12.75" customHeight="1" x14ac:dyDescent="0.25">
      <c r="D141" s="865"/>
      <c r="E141" s="2396" t="s">
        <v>4382</v>
      </c>
      <c r="H141" s="2396"/>
      <c r="I141" s="885"/>
      <c r="J141" s="1048">
        <v>9000</v>
      </c>
      <c r="K141" s="1048">
        <v>0</v>
      </c>
      <c r="L141" s="1048">
        <v>0</v>
      </c>
      <c r="M141" s="1048">
        <v>0</v>
      </c>
      <c r="N141" s="1048">
        <v>0</v>
      </c>
      <c r="O141" s="1048">
        <v>0</v>
      </c>
    </row>
    <row r="142" spans="1:15" ht="12.75" customHeight="1" x14ac:dyDescent="0.25">
      <c r="D142" s="865"/>
      <c r="E142" s="2396" t="s">
        <v>4383</v>
      </c>
      <c r="H142" s="2396"/>
      <c r="I142" s="885"/>
      <c r="J142" s="1048">
        <v>0</v>
      </c>
      <c r="K142" s="1048">
        <v>13000</v>
      </c>
      <c r="L142" s="1048">
        <v>0</v>
      </c>
      <c r="M142" s="1048">
        <v>0</v>
      </c>
      <c r="N142" s="1048">
        <v>0</v>
      </c>
      <c r="O142" s="1048">
        <v>0</v>
      </c>
    </row>
    <row r="143" spans="1:15" ht="12.75" customHeight="1" x14ac:dyDescent="0.25">
      <c r="D143" s="865"/>
      <c r="E143" s="2396" t="s">
        <v>5406</v>
      </c>
      <c r="H143" s="2396"/>
      <c r="I143" s="885"/>
      <c r="J143" s="1048"/>
      <c r="K143" s="1048"/>
      <c r="L143" s="2397">
        <v>34300</v>
      </c>
      <c r="M143" s="2397">
        <f>ROUND(L143*U2,-2)</f>
        <v>35100</v>
      </c>
      <c r="N143" s="2397">
        <f t="shared" ref="N143:O143" si="27">ROUND(M143*V2,-2)</f>
        <v>35900</v>
      </c>
      <c r="O143" s="2397">
        <f t="shared" si="27"/>
        <v>36700</v>
      </c>
    </row>
    <row r="144" spans="1:15" ht="12.75" customHeight="1" thickBot="1" x14ac:dyDescent="0.3">
      <c r="D144" s="903"/>
      <c r="E144" s="869" t="str">
        <f>"Totaal "&amp;D140</f>
        <v>Totaal 43410</v>
      </c>
      <c r="F144" s="903"/>
      <c r="H144" s="2396"/>
      <c r="I144" s="885"/>
      <c r="J144" s="2342">
        <f>SUM(J140:J143)</f>
        <v>152700</v>
      </c>
      <c r="K144" s="2342">
        <f t="shared" ref="K144:O144" si="28">SUM(K140:K143)</f>
        <v>160400</v>
      </c>
      <c r="L144" s="2342">
        <f t="shared" si="28"/>
        <v>184800</v>
      </c>
      <c r="M144" s="2342">
        <f t="shared" si="28"/>
        <v>189100</v>
      </c>
      <c r="N144" s="2342">
        <f t="shared" si="28"/>
        <v>193400</v>
      </c>
      <c r="O144" s="2342">
        <f t="shared" si="28"/>
        <v>197800</v>
      </c>
    </row>
    <row r="145" spans="4:17" ht="12.75" customHeight="1" thickTop="1" x14ac:dyDescent="0.25">
      <c r="D145" s="903"/>
      <c r="E145" s="2398"/>
      <c r="F145" s="903"/>
      <c r="H145" s="2396"/>
      <c r="I145" s="885"/>
      <c r="J145" s="2396"/>
      <c r="K145" s="2396"/>
      <c r="L145" s="2396"/>
      <c r="M145" s="2396"/>
      <c r="N145" s="2396"/>
      <c r="O145" s="2396"/>
      <c r="P145" s="2396"/>
    </row>
    <row r="146" spans="4:17" ht="12.75" customHeight="1" x14ac:dyDescent="0.25">
      <c r="D146" s="903"/>
      <c r="E146" s="2608" t="s">
        <v>4384</v>
      </c>
      <c r="F146" s="2608"/>
      <c r="G146" s="2608"/>
      <c r="H146" s="2608"/>
      <c r="I146" s="2608"/>
      <c r="J146" s="300"/>
      <c r="K146" s="300"/>
      <c r="L146" s="2399"/>
      <c r="M146" s="300"/>
      <c r="N146" s="300"/>
      <c r="O146" s="300"/>
      <c r="P146" s="300"/>
    </row>
    <row r="147" spans="4:17" ht="12.75" customHeight="1" x14ac:dyDescent="0.25">
      <c r="D147" s="903"/>
      <c r="E147" s="2608"/>
      <c r="F147" s="2608"/>
      <c r="G147" s="2608"/>
      <c r="H147" s="2608"/>
      <c r="I147" s="2608"/>
      <c r="J147" s="300"/>
      <c r="K147" s="300"/>
      <c r="L147" s="300"/>
      <c r="M147" s="300"/>
      <c r="N147" s="300"/>
      <c r="O147" s="300"/>
      <c r="P147" s="300"/>
    </row>
    <row r="148" spans="4:17" ht="12.75" customHeight="1" x14ac:dyDescent="0.25">
      <c r="D148" s="903"/>
      <c r="E148" s="2398" t="s">
        <v>4385</v>
      </c>
      <c r="F148" s="903"/>
      <c r="I148" s="885"/>
      <c r="J148" s="885"/>
      <c r="K148" s="885"/>
      <c r="L148" s="885"/>
      <c r="M148" s="885"/>
      <c r="N148" s="885"/>
      <c r="O148" s="885"/>
      <c r="P148" s="885"/>
    </row>
    <row r="149" spans="4:17" ht="12.75" customHeight="1" x14ac:dyDescent="0.25">
      <c r="D149" s="903"/>
      <c r="E149" s="869" t="s">
        <v>4386</v>
      </c>
      <c r="F149" s="903"/>
      <c r="I149" s="885"/>
      <c r="J149" s="885"/>
      <c r="K149" s="885"/>
      <c r="L149" s="885"/>
      <c r="M149" s="885"/>
      <c r="N149" s="885"/>
      <c r="O149" s="885"/>
      <c r="P149" s="885"/>
    </row>
    <row r="150" spans="4:17" ht="12.75" customHeight="1" x14ac:dyDescent="0.25">
      <c r="D150" s="903"/>
      <c r="E150" s="869" t="s">
        <v>4387</v>
      </c>
      <c r="F150" s="903"/>
      <c r="I150" s="885"/>
      <c r="J150" s="885"/>
      <c r="K150" s="885"/>
      <c r="L150" s="885"/>
      <c r="M150" s="885"/>
      <c r="N150" s="885"/>
      <c r="O150" s="885"/>
      <c r="P150" s="885"/>
    </row>
    <row r="151" spans="4:17" ht="12.75" customHeight="1" x14ac:dyDescent="0.25">
      <c r="D151" s="903"/>
      <c r="E151" s="869" t="s">
        <v>4388</v>
      </c>
      <c r="F151" s="903"/>
      <c r="I151" s="885"/>
      <c r="J151" s="885"/>
      <c r="K151" s="885"/>
      <c r="L151" s="885"/>
      <c r="M151" s="885"/>
      <c r="N151" s="885"/>
      <c r="O151" s="885"/>
      <c r="P151" s="885"/>
    </row>
    <row r="152" spans="4:17" ht="12.75" customHeight="1" x14ac:dyDescent="0.25">
      <c r="D152" s="903"/>
      <c r="E152" s="903"/>
      <c r="F152" s="903"/>
      <c r="G152" s="885"/>
      <c r="I152" s="885"/>
      <c r="J152" s="885"/>
      <c r="K152" s="885"/>
      <c r="L152" s="885"/>
      <c r="M152" s="885"/>
      <c r="N152" s="885"/>
      <c r="O152" s="885"/>
    </row>
    <row r="153" spans="4:17" ht="12.75" customHeight="1" x14ac:dyDescent="0.25">
      <c r="D153" s="905">
        <v>678002</v>
      </c>
      <c r="E153" s="868" t="s">
        <v>4389</v>
      </c>
      <c r="F153" s="886"/>
      <c r="I153" s="885"/>
      <c r="J153" s="908">
        <v>2025</v>
      </c>
      <c r="K153" s="908">
        <v>2026</v>
      </c>
      <c r="L153" s="908">
        <v>2027</v>
      </c>
      <c r="M153" s="908">
        <v>2028</v>
      </c>
      <c r="N153" s="908">
        <v>2029</v>
      </c>
      <c r="O153" s="908">
        <v>2030</v>
      </c>
    </row>
    <row r="154" spans="4:17" ht="12.75" customHeight="1" x14ac:dyDescent="0.25">
      <c r="D154" s="905"/>
      <c r="E154" s="873" t="s">
        <v>533</v>
      </c>
      <c r="F154" s="886"/>
      <c r="I154" s="885"/>
    </row>
    <row r="155" spans="4:17" ht="12.75" customHeight="1" x14ac:dyDescent="0.25">
      <c r="D155" s="865">
        <v>43812</v>
      </c>
      <c r="E155" s="863" t="s">
        <v>4390</v>
      </c>
      <c r="I155" s="885"/>
      <c r="J155" s="1048">
        <v>6160</v>
      </c>
      <c r="K155" s="1048">
        <f>ROUND(6160*S$2,-1)</f>
        <v>6320</v>
      </c>
      <c r="L155" s="1048">
        <f>ROUND(K155*T$2,-1)</f>
        <v>6450</v>
      </c>
      <c r="M155" s="1048">
        <f>ROUND(L155*U$2,-1)</f>
        <v>6600</v>
      </c>
      <c r="N155" s="1048">
        <f>ROUND(M155*V$2,-1)</f>
        <v>6750</v>
      </c>
      <c r="O155" s="1048">
        <f>ROUND(N155*W$2,-1)</f>
        <v>6910</v>
      </c>
    </row>
    <row r="156" spans="4:17" ht="12.75" customHeight="1" x14ac:dyDescent="0.25">
      <c r="D156" s="865"/>
      <c r="E156" s="2396" t="s">
        <v>5406</v>
      </c>
      <c r="I156" s="885"/>
      <c r="J156" s="1048"/>
      <c r="K156" s="1048"/>
      <c r="L156" s="2397">
        <v>3760</v>
      </c>
      <c r="M156" s="2397">
        <f>ROUND(L156*U2,-1)</f>
        <v>3850</v>
      </c>
      <c r="N156" s="2397">
        <f t="shared" ref="N156:O156" si="29">ROUND(M156*V2,-1)</f>
        <v>3940</v>
      </c>
      <c r="O156" s="2397">
        <f t="shared" si="29"/>
        <v>4030</v>
      </c>
    </row>
    <row r="157" spans="4:17" ht="12.75" customHeight="1" thickBot="1" x14ac:dyDescent="0.3">
      <c r="D157" s="865"/>
      <c r="E157" s="869" t="str">
        <f>"Totaal "&amp;D155</f>
        <v>Totaal 43812</v>
      </c>
      <c r="I157" s="885"/>
      <c r="J157" s="2342">
        <f>SUM(J155:J156)</f>
        <v>6160</v>
      </c>
      <c r="K157" s="2342">
        <f t="shared" ref="K157:O157" si="30">SUM(K155:K156)</f>
        <v>6320</v>
      </c>
      <c r="L157" s="2342">
        <f t="shared" si="30"/>
        <v>10210</v>
      </c>
      <c r="M157" s="2342">
        <f t="shared" si="30"/>
        <v>10450</v>
      </c>
      <c r="N157" s="2342">
        <f t="shared" si="30"/>
        <v>10690</v>
      </c>
      <c r="O157" s="2342">
        <f t="shared" si="30"/>
        <v>10940</v>
      </c>
    </row>
    <row r="158" spans="4:17" ht="12.75" customHeight="1" thickTop="1" x14ac:dyDescent="0.25">
      <c r="D158" s="863"/>
      <c r="E158" s="863"/>
      <c r="F158" s="2400"/>
      <c r="I158" s="885"/>
    </row>
    <row r="159" spans="4:17" ht="12.75" customHeight="1" x14ac:dyDescent="0.25">
      <c r="D159" s="910">
        <v>43410</v>
      </c>
      <c r="E159" s="2606" t="s">
        <v>4391</v>
      </c>
      <c r="F159" s="2606"/>
      <c r="G159" s="2606"/>
      <c r="H159" s="2606"/>
      <c r="I159" s="2386"/>
      <c r="J159" s="1048">
        <v>185300</v>
      </c>
      <c r="K159" s="1048">
        <f>ROUND(185300*S$2,-2)</f>
        <v>190100</v>
      </c>
      <c r="L159" s="1048">
        <f>ROUND(K159*T$2,-2)</f>
        <v>194100</v>
      </c>
      <c r="M159" s="1048">
        <f>ROUND(L159*U$2,-2)</f>
        <v>198600</v>
      </c>
      <c r="N159" s="1048">
        <f>ROUND(M159*V$2,-2)</f>
        <v>203200</v>
      </c>
      <c r="O159" s="1048">
        <f>ROUND(N159*W$2,-2)</f>
        <v>207900</v>
      </c>
    </row>
    <row r="160" spans="4:17" ht="12.75" customHeight="1" x14ac:dyDescent="0.25">
      <c r="D160" s="910"/>
      <c r="E160" s="2396" t="s">
        <v>5406</v>
      </c>
      <c r="H160" s="2396"/>
      <c r="I160" s="2386"/>
      <c r="J160" s="1048"/>
      <c r="K160" s="1048"/>
      <c r="L160" s="2397">
        <v>-61400</v>
      </c>
      <c r="M160" s="2397">
        <f>ROUND(L160*U2,-2)</f>
        <v>-62800</v>
      </c>
      <c r="N160" s="2397">
        <f t="shared" ref="N160:O160" si="31">ROUND(M160*V2,-2)</f>
        <v>-64200</v>
      </c>
      <c r="O160" s="2397">
        <f t="shared" si="31"/>
        <v>-65700</v>
      </c>
      <c r="Q160" s="885"/>
    </row>
    <row r="161" spans="4:21" ht="12.75" customHeight="1" thickBot="1" x14ac:dyDescent="0.3">
      <c r="D161" s="903"/>
      <c r="E161" s="869" t="str">
        <f>"Totaal "&amp;D159</f>
        <v>Totaal 43410</v>
      </c>
      <c r="F161" s="903"/>
      <c r="H161" s="2401"/>
      <c r="I161" s="885"/>
      <c r="J161" s="2342">
        <f>SUM(J159:J160)</f>
        <v>185300</v>
      </c>
      <c r="K161" s="2342">
        <f t="shared" ref="K161:O161" si="32">SUM(K159:K160)</f>
        <v>190100</v>
      </c>
      <c r="L161" s="2342">
        <f t="shared" si="32"/>
        <v>132700</v>
      </c>
      <c r="M161" s="2342">
        <f t="shared" si="32"/>
        <v>135800</v>
      </c>
      <c r="N161" s="2342">
        <f t="shared" si="32"/>
        <v>139000</v>
      </c>
      <c r="O161" s="2342">
        <f t="shared" si="32"/>
        <v>142200</v>
      </c>
    </row>
    <row r="162" spans="4:21" ht="12.75" customHeight="1" thickTop="1" x14ac:dyDescent="0.25">
      <c r="D162" s="903"/>
      <c r="E162" s="903"/>
      <c r="F162" s="903"/>
      <c r="G162" s="2396"/>
      <c r="H162" s="2401"/>
      <c r="I162" s="885"/>
      <c r="J162" s="885"/>
      <c r="K162" s="885"/>
      <c r="L162" s="885"/>
      <c r="M162" s="885"/>
      <c r="N162" s="885"/>
      <c r="O162" s="885"/>
    </row>
    <row r="163" spans="4:21" ht="12.75" customHeight="1" x14ac:dyDescent="0.25">
      <c r="D163" s="903"/>
      <c r="E163" s="2606" t="s">
        <v>4392</v>
      </c>
      <c r="F163" s="2606"/>
      <c r="G163" s="2606"/>
      <c r="H163" s="2606"/>
      <c r="I163" s="2606"/>
      <c r="J163" s="2606"/>
      <c r="K163" s="2606"/>
      <c r="L163" s="2606"/>
      <c r="M163" s="300"/>
      <c r="N163" s="300"/>
      <c r="O163" s="300"/>
      <c r="P163" s="300"/>
    </row>
    <row r="164" spans="4:21" ht="12.75" customHeight="1" x14ac:dyDescent="0.25">
      <c r="D164" s="903"/>
      <c r="E164" s="2606"/>
      <c r="F164" s="2606"/>
      <c r="G164" s="2606"/>
      <c r="H164" s="2606"/>
      <c r="I164" s="2606"/>
      <c r="J164" s="2606"/>
      <c r="K164" s="2606"/>
      <c r="L164" s="2606"/>
      <c r="M164" s="300"/>
      <c r="N164" s="300"/>
      <c r="O164" s="300"/>
      <c r="P164" s="300"/>
    </row>
    <row r="165" spans="4:21" ht="12.75" customHeight="1" x14ac:dyDescent="0.25">
      <c r="D165" s="903"/>
      <c r="E165" s="2606"/>
      <c r="F165" s="2606"/>
      <c r="G165" s="2606"/>
      <c r="H165" s="2606"/>
      <c r="I165" s="2606"/>
      <c r="J165" s="2606"/>
      <c r="K165" s="2606"/>
      <c r="L165" s="2606"/>
      <c r="M165" s="300"/>
      <c r="N165" s="300"/>
      <c r="O165" s="300"/>
      <c r="P165" s="300"/>
    </row>
    <row r="166" spans="4:21" ht="12.75" customHeight="1" x14ac:dyDescent="0.25">
      <c r="D166" s="903"/>
      <c r="E166" s="903"/>
      <c r="F166" s="903"/>
      <c r="G166" s="2396"/>
      <c r="H166" s="2401"/>
      <c r="I166" s="885"/>
      <c r="J166" s="885"/>
      <c r="K166" s="885"/>
      <c r="L166" s="885"/>
      <c r="M166" s="885"/>
      <c r="N166" s="885"/>
      <c r="O166" s="885"/>
      <c r="P166" s="885"/>
    </row>
    <row r="167" spans="4:21" ht="12.75" customHeight="1" x14ac:dyDescent="0.25">
      <c r="D167" s="905">
        <v>678003</v>
      </c>
      <c r="E167" s="868" t="s">
        <v>4393</v>
      </c>
      <c r="F167" s="886"/>
      <c r="I167" s="885"/>
      <c r="J167" s="908">
        <v>2025</v>
      </c>
      <c r="K167" s="908">
        <v>2026</v>
      </c>
      <c r="L167" s="908">
        <v>2027</v>
      </c>
      <c r="M167" s="908">
        <v>2028</v>
      </c>
      <c r="N167" s="908">
        <v>2029</v>
      </c>
      <c r="O167" s="908">
        <v>2030</v>
      </c>
    </row>
    <row r="168" spans="4:21" ht="12.75" customHeight="1" x14ac:dyDescent="0.25">
      <c r="D168" s="905"/>
      <c r="E168" s="873" t="s">
        <v>533</v>
      </c>
      <c r="F168" s="886"/>
      <c r="I168" s="885"/>
      <c r="J168" s="885"/>
      <c r="K168" s="885"/>
      <c r="L168" s="885"/>
      <c r="M168" s="885"/>
      <c r="N168" s="885"/>
      <c r="O168" s="885"/>
    </row>
    <row r="169" spans="4:21" ht="12.75" customHeight="1" x14ac:dyDescent="0.25">
      <c r="D169" s="865">
        <v>43410</v>
      </c>
      <c r="E169" s="869" t="s">
        <v>4394</v>
      </c>
      <c r="H169" s="2401"/>
      <c r="I169" s="885"/>
      <c r="J169" s="1048">
        <v>267400</v>
      </c>
      <c r="K169" s="1048">
        <f>ROUND(267400*S$2,-2)</f>
        <v>274400</v>
      </c>
      <c r="L169" s="1048">
        <f>ROUND(K169*T$2,-2)</f>
        <v>280200</v>
      </c>
      <c r="M169" s="1048">
        <f>ROUND(L169*U$2,-2)</f>
        <v>286600</v>
      </c>
      <c r="N169" s="1048">
        <f>ROUND(M169*V$2,-2)</f>
        <v>293200</v>
      </c>
      <c r="O169" s="1048">
        <f>ROUND(N169*W$2,-2)</f>
        <v>299900</v>
      </c>
      <c r="R169" s="885"/>
      <c r="S169" s="885"/>
      <c r="T169" s="885"/>
      <c r="U169" s="885"/>
    </row>
    <row r="170" spans="4:21" ht="12.75" customHeight="1" x14ac:dyDescent="0.25">
      <c r="D170" s="865"/>
      <c r="E170" s="2396" t="s">
        <v>5406</v>
      </c>
      <c r="H170" s="2401"/>
      <c r="I170" s="885"/>
      <c r="J170" s="1048"/>
      <c r="K170" s="1048"/>
      <c r="L170" s="2397">
        <v>149600</v>
      </c>
      <c r="M170" s="2397">
        <f>ROUND(L170*U2,-2)</f>
        <v>153000</v>
      </c>
      <c r="N170" s="2397">
        <f t="shared" ref="N170:O170" si="33">ROUND(M170*V2,-2)</f>
        <v>156500</v>
      </c>
      <c r="O170" s="2397">
        <f t="shared" si="33"/>
        <v>160100</v>
      </c>
      <c r="R170" s="885"/>
      <c r="S170" s="885"/>
      <c r="T170" s="885"/>
      <c r="U170" s="885"/>
    </row>
    <row r="171" spans="4:21" ht="12.75" customHeight="1" thickBot="1" x14ac:dyDescent="0.3">
      <c r="D171" s="865"/>
      <c r="E171" s="869" t="str">
        <f>"Totaal "&amp;D169</f>
        <v>Totaal 43410</v>
      </c>
      <c r="H171" s="2401"/>
      <c r="I171" s="885"/>
      <c r="J171" s="2402">
        <f>SUM(J169:J170)</f>
        <v>267400</v>
      </c>
      <c r="K171" s="2402">
        <f t="shared" ref="K171:O171" si="34">SUM(K169:K170)</f>
        <v>274400</v>
      </c>
      <c r="L171" s="2402">
        <f t="shared" si="34"/>
        <v>429800</v>
      </c>
      <c r="M171" s="2402">
        <f t="shared" si="34"/>
        <v>439600</v>
      </c>
      <c r="N171" s="2402">
        <f t="shared" si="34"/>
        <v>449700</v>
      </c>
      <c r="O171" s="2402">
        <f t="shared" si="34"/>
        <v>460000</v>
      </c>
      <c r="R171" s="885"/>
      <c r="S171" s="885"/>
      <c r="T171" s="885"/>
      <c r="U171" s="885"/>
    </row>
    <row r="172" spans="4:21" ht="12.75" customHeight="1" thickTop="1" x14ac:dyDescent="0.25">
      <c r="D172" s="865"/>
      <c r="E172" s="2606" t="s">
        <v>4395</v>
      </c>
      <c r="F172" s="2606"/>
      <c r="G172" s="2606"/>
      <c r="H172" s="2606"/>
      <c r="I172" s="2606"/>
      <c r="J172" s="300"/>
      <c r="K172" s="300"/>
      <c r="L172" s="300"/>
      <c r="M172" s="300"/>
      <c r="N172" s="300"/>
      <c r="O172" s="300"/>
      <c r="P172" s="300"/>
      <c r="Q172" s="885"/>
      <c r="R172" s="885"/>
      <c r="S172" s="885"/>
      <c r="T172" s="885"/>
      <c r="U172" s="885"/>
    </row>
    <row r="173" spans="4:21" ht="12.75" customHeight="1" x14ac:dyDescent="0.25">
      <c r="D173" s="865"/>
      <c r="E173" s="2606"/>
      <c r="F173" s="2606"/>
      <c r="G173" s="2606"/>
      <c r="H173" s="2606"/>
      <c r="I173" s="2606"/>
      <c r="J173" s="300"/>
      <c r="K173" s="300"/>
      <c r="L173" s="300"/>
      <c r="M173" s="300"/>
      <c r="N173" s="300"/>
      <c r="O173" s="300"/>
      <c r="P173" s="300"/>
      <c r="R173" s="885"/>
      <c r="S173" s="885"/>
      <c r="T173" s="885"/>
      <c r="U173" s="885"/>
    </row>
    <row r="174" spans="4:21" ht="12.75" customHeight="1" x14ac:dyDescent="0.25">
      <c r="D174" s="865"/>
      <c r="E174" s="2606"/>
      <c r="F174" s="2606"/>
      <c r="G174" s="2606"/>
      <c r="H174" s="2606"/>
      <c r="I174" s="2606"/>
      <c r="J174" s="300"/>
      <c r="K174" s="300"/>
      <c r="L174" s="300"/>
      <c r="M174" s="300"/>
      <c r="N174" s="300"/>
      <c r="O174" s="300"/>
      <c r="P174" s="300"/>
      <c r="R174" s="885"/>
      <c r="S174" s="885"/>
      <c r="T174" s="885"/>
      <c r="U174" s="885"/>
    </row>
    <row r="175" spans="4:21" ht="12.75" customHeight="1" x14ac:dyDescent="0.25">
      <c r="D175" s="865"/>
      <c r="E175" s="2606"/>
      <c r="F175" s="2606"/>
      <c r="G175" s="2606"/>
      <c r="H175" s="2606"/>
      <c r="I175" s="2606"/>
      <c r="J175" s="300"/>
      <c r="K175" s="300"/>
      <c r="L175" s="300"/>
      <c r="M175" s="300"/>
      <c r="N175" s="300"/>
      <c r="O175" s="300"/>
      <c r="P175" s="300"/>
      <c r="R175" s="885"/>
      <c r="S175" s="885"/>
      <c r="T175" s="885"/>
      <c r="U175" s="885"/>
    </row>
    <row r="176" spans="4:21" ht="12.75" customHeight="1" x14ac:dyDescent="0.25">
      <c r="D176" s="865"/>
      <c r="E176" s="2606"/>
      <c r="F176" s="2606"/>
      <c r="G176" s="2606"/>
      <c r="H176" s="2606"/>
      <c r="I176" s="2606"/>
      <c r="J176" s="300"/>
      <c r="K176" s="300"/>
      <c r="L176" s="300"/>
      <c r="M176" s="300"/>
      <c r="N176" s="300"/>
      <c r="O176" s="300"/>
      <c r="P176" s="300"/>
      <c r="R176" s="885"/>
      <c r="S176" s="885"/>
      <c r="T176" s="885"/>
      <c r="U176" s="885"/>
    </row>
    <row r="177" spans="4:21" ht="12.75" customHeight="1" x14ac:dyDescent="0.25">
      <c r="D177" s="865"/>
      <c r="E177" s="300"/>
      <c r="F177" s="300"/>
      <c r="G177" s="300"/>
      <c r="H177" s="300"/>
      <c r="I177" s="300"/>
      <c r="J177" s="300"/>
      <c r="K177" s="300"/>
      <c r="L177" s="300"/>
      <c r="M177" s="300"/>
      <c r="N177" s="300"/>
      <c r="O177" s="300"/>
      <c r="P177" s="300"/>
      <c r="R177" s="885"/>
      <c r="S177" s="885"/>
      <c r="T177" s="885"/>
      <c r="U177" s="885"/>
    </row>
    <row r="178" spans="4:21" ht="12.75" customHeight="1" x14ac:dyDescent="0.25">
      <c r="D178" s="905">
        <v>678004</v>
      </c>
      <c r="E178" s="868" t="s">
        <v>4396</v>
      </c>
      <c r="F178" s="886"/>
      <c r="I178" s="300"/>
      <c r="J178" s="908">
        <v>2025</v>
      </c>
      <c r="K178" s="908">
        <v>2026</v>
      </c>
      <c r="L178" s="908">
        <v>2027</v>
      </c>
      <c r="M178" s="908">
        <v>2028</v>
      </c>
      <c r="N178" s="908">
        <v>2029</v>
      </c>
      <c r="O178" s="908">
        <v>2030</v>
      </c>
    </row>
    <row r="179" spans="4:21" ht="12.75" customHeight="1" x14ac:dyDescent="0.25">
      <c r="D179" s="2352"/>
      <c r="E179" s="873" t="s">
        <v>533</v>
      </c>
      <c r="F179" s="2353"/>
      <c r="I179" s="300"/>
      <c r="J179" s="885"/>
      <c r="K179" s="885"/>
      <c r="L179" s="885"/>
      <c r="M179" s="885"/>
      <c r="N179" s="885"/>
      <c r="O179" s="885"/>
    </row>
    <row r="180" spans="4:21" ht="12.75" customHeight="1" x14ac:dyDescent="0.25">
      <c r="D180" s="865">
        <v>43410</v>
      </c>
      <c r="E180" s="863" t="s">
        <v>4397</v>
      </c>
      <c r="I180" s="300"/>
      <c r="J180" s="1048">
        <v>1890</v>
      </c>
      <c r="K180" s="1048">
        <f>ROUND(1890*S$2,-1)</f>
        <v>1940</v>
      </c>
      <c r="L180" s="1048">
        <f>ROUND(K180*T$2,-1)</f>
        <v>1980</v>
      </c>
      <c r="M180" s="1048">
        <f>ROUND(L180*U$2,-1)</f>
        <v>2030</v>
      </c>
      <c r="N180" s="1048">
        <f>ROUND(M180*V$2,-1)</f>
        <v>2080</v>
      </c>
      <c r="O180" s="1048">
        <f>ROUND(N180*W$2,-1)</f>
        <v>2130</v>
      </c>
    </row>
    <row r="181" spans="4:21" ht="12.75" customHeight="1" thickBot="1" x14ac:dyDescent="0.3">
      <c r="D181" s="865"/>
      <c r="E181" s="869" t="str">
        <f>"Totaal "&amp;D180</f>
        <v>Totaal 43410</v>
      </c>
      <c r="I181" s="300"/>
      <c r="J181" s="2342">
        <v>1890</v>
      </c>
      <c r="K181" s="2342">
        <f>K180</f>
        <v>1940</v>
      </c>
      <c r="L181" s="2342">
        <f>L180</f>
        <v>1980</v>
      </c>
      <c r="M181" s="2342">
        <f>M180</f>
        <v>2030</v>
      </c>
      <c r="N181" s="2342">
        <f>N180</f>
        <v>2080</v>
      </c>
      <c r="O181" s="2342">
        <f>O180</f>
        <v>2130</v>
      </c>
    </row>
    <row r="182" spans="4:21" ht="12.75" customHeight="1" thickTop="1" x14ac:dyDescent="0.25">
      <c r="D182" s="903"/>
      <c r="E182" s="903"/>
      <c r="F182" s="903"/>
      <c r="I182" s="300"/>
      <c r="J182" s="885"/>
      <c r="K182" s="885"/>
      <c r="L182" s="885"/>
      <c r="M182" s="885"/>
      <c r="N182" s="885"/>
      <c r="O182" s="885"/>
    </row>
    <row r="183" spans="4:21" ht="12.75" customHeight="1" x14ac:dyDescent="0.25">
      <c r="D183" s="905">
        <v>678005</v>
      </c>
      <c r="E183" s="868" t="s">
        <v>4398</v>
      </c>
      <c r="F183" s="886"/>
      <c r="I183" s="300"/>
      <c r="J183" s="908">
        <v>2025</v>
      </c>
      <c r="K183" s="908">
        <v>2026</v>
      </c>
      <c r="L183" s="908">
        <v>2027</v>
      </c>
      <c r="M183" s="908">
        <v>2028</v>
      </c>
      <c r="N183" s="908">
        <v>2029</v>
      </c>
      <c r="O183" s="908">
        <v>2030</v>
      </c>
    </row>
    <row r="184" spans="4:21" ht="12.75" customHeight="1" x14ac:dyDescent="0.25">
      <c r="D184" s="2352"/>
      <c r="E184" s="873" t="s">
        <v>533</v>
      </c>
      <c r="F184" s="2353"/>
      <c r="I184" s="300"/>
      <c r="J184" s="885"/>
      <c r="K184" s="885"/>
      <c r="L184" s="885"/>
      <c r="M184" s="885"/>
      <c r="N184" s="885"/>
      <c r="O184" s="885"/>
    </row>
    <row r="185" spans="4:21" ht="12.75" customHeight="1" x14ac:dyDescent="0.25">
      <c r="D185" s="865">
        <v>43410</v>
      </c>
      <c r="E185" s="863" t="s">
        <v>4399</v>
      </c>
      <c r="I185" s="300"/>
      <c r="J185" s="885"/>
      <c r="K185" s="885"/>
      <c r="L185" s="885"/>
      <c r="M185" s="885"/>
      <c r="N185" s="885"/>
      <c r="O185" s="885"/>
    </row>
    <row r="186" spans="4:21" ht="12.75" customHeight="1" x14ac:dyDescent="0.25">
      <c r="D186" s="865"/>
      <c r="E186" s="863" t="s">
        <v>4400</v>
      </c>
      <c r="I186" s="300"/>
      <c r="J186" s="1048">
        <v>5460</v>
      </c>
      <c r="K186" s="1048">
        <f>ROUND(5460*S$2,-1)</f>
        <v>5600</v>
      </c>
      <c r="L186" s="1048">
        <f>ROUND(K186*T$2,-1)</f>
        <v>5720</v>
      </c>
      <c r="M186" s="1048">
        <f>ROUND(L186*U$2,-1)</f>
        <v>5850</v>
      </c>
      <c r="N186" s="1048">
        <f>ROUND(M186*V$2,-1)</f>
        <v>5980</v>
      </c>
      <c r="O186" s="1048">
        <f>ROUND(N186*W$2,-1)</f>
        <v>6120</v>
      </c>
    </row>
    <row r="187" spans="4:21" ht="12.75" customHeight="1" thickBot="1" x14ac:dyDescent="0.3">
      <c r="D187" s="903"/>
      <c r="E187" s="869" t="str">
        <f>"Totaal "&amp;D185</f>
        <v>Totaal 43410</v>
      </c>
      <c r="F187" s="903"/>
      <c r="I187" s="300"/>
      <c r="J187" s="2403">
        <f t="shared" ref="J187:O187" si="35">SUM(J186:J186)</f>
        <v>5460</v>
      </c>
      <c r="K187" s="2403">
        <f t="shared" si="35"/>
        <v>5600</v>
      </c>
      <c r="L187" s="2403">
        <f t="shared" si="35"/>
        <v>5720</v>
      </c>
      <c r="M187" s="2403">
        <f t="shared" si="35"/>
        <v>5850</v>
      </c>
      <c r="N187" s="2403">
        <f t="shared" si="35"/>
        <v>5980</v>
      </c>
      <c r="O187" s="2403">
        <f t="shared" si="35"/>
        <v>6120</v>
      </c>
    </row>
    <row r="188" spans="4:21" ht="12.75" customHeight="1" thickTop="1" x14ac:dyDescent="0.25">
      <c r="D188" s="903"/>
      <c r="E188" s="863"/>
      <c r="F188" s="903"/>
      <c r="I188" s="300"/>
      <c r="J188" s="2404"/>
      <c r="K188" s="2404"/>
      <c r="L188" s="2404"/>
      <c r="M188" s="2404"/>
      <c r="N188" s="2404"/>
      <c r="O188" s="2404"/>
    </row>
    <row r="189" spans="4:21" ht="12.75" customHeight="1" x14ac:dyDescent="0.25">
      <c r="D189" s="905">
        <v>678006</v>
      </c>
      <c r="E189" s="868" t="s">
        <v>4401</v>
      </c>
      <c r="F189" s="886"/>
      <c r="I189" s="300"/>
      <c r="J189" s="908">
        <v>2025</v>
      </c>
      <c r="K189" s="908">
        <v>2026</v>
      </c>
      <c r="L189" s="908">
        <v>2027</v>
      </c>
      <c r="M189" s="908">
        <v>2028</v>
      </c>
      <c r="N189" s="908">
        <v>2029</v>
      </c>
      <c r="O189" s="908">
        <v>2030</v>
      </c>
    </row>
    <row r="190" spans="4:21" ht="12.75" customHeight="1" x14ac:dyDescent="0.25">
      <c r="D190" s="905"/>
      <c r="E190" s="873" t="s">
        <v>533</v>
      </c>
      <c r="F190" s="886"/>
      <c r="I190" s="300"/>
      <c r="J190" s="2405"/>
      <c r="K190" s="2405"/>
      <c r="L190" s="2405"/>
      <c r="M190" s="2405"/>
      <c r="N190" s="2405"/>
      <c r="O190" s="2405"/>
    </row>
    <row r="191" spans="4:21" ht="12.75" customHeight="1" x14ac:dyDescent="0.25">
      <c r="D191" s="903">
        <v>43410</v>
      </c>
      <c r="E191" s="863" t="s">
        <v>4402</v>
      </c>
      <c r="F191" s="903"/>
      <c r="I191" s="300"/>
      <c r="J191" s="1048">
        <v>65490</v>
      </c>
      <c r="K191" s="1048">
        <f>ROUND(65490*S$2,-1)</f>
        <v>67190</v>
      </c>
      <c r="L191" s="1048">
        <f>ROUND(K191*T$2,-1)</f>
        <v>68600</v>
      </c>
      <c r="M191" s="1048">
        <f>ROUND(L191*U$2,-1)</f>
        <v>70180</v>
      </c>
      <c r="N191" s="1048">
        <f>ROUND(M191*V$2,-1)</f>
        <v>71790</v>
      </c>
      <c r="O191" s="1048">
        <f>ROUND(N191*W$2,-1)</f>
        <v>73440</v>
      </c>
    </row>
    <row r="192" spans="4:21" ht="12.75" customHeight="1" x14ac:dyDescent="0.25">
      <c r="D192" s="903"/>
      <c r="E192" s="2396" t="s">
        <v>5406</v>
      </c>
      <c r="F192" s="903"/>
      <c r="I192" s="300"/>
      <c r="J192" s="1048"/>
      <c r="K192" s="1048"/>
      <c r="L192" s="2397">
        <v>-45600</v>
      </c>
      <c r="M192" s="2397">
        <f>ROUND(L192*U2,-1)</f>
        <v>-46650</v>
      </c>
      <c r="N192" s="2397">
        <f t="shared" ref="N192:O192" si="36">ROUND(M192*V2,-1)</f>
        <v>-47720</v>
      </c>
      <c r="O192" s="2397">
        <f t="shared" si="36"/>
        <v>-48820</v>
      </c>
      <c r="Q192" s="885"/>
    </row>
    <row r="193" spans="4:21" ht="12.75" customHeight="1" thickBot="1" x14ac:dyDescent="0.3">
      <c r="D193" s="903"/>
      <c r="E193" s="869" t="str">
        <f>"Totaal "&amp;D191</f>
        <v>Totaal 43410</v>
      </c>
      <c r="F193" s="903"/>
      <c r="I193" s="300"/>
      <c r="J193" s="2342">
        <f>SUM(J191:J192)</f>
        <v>65490</v>
      </c>
      <c r="K193" s="2342">
        <f t="shared" ref="K193:O193" si="37">SUM(K191:K192)</f>
        <v>67190</v>
      </c>
      <c r="L193" s="2342">
        <f t="shared" si="37"/>
        <v>23000</v>
      </c>
      <c r="M193" s="2342">
        <f t="shared" si="37"/>
        <v>23530</v>
      </c>
      <c r="N193" s="2342">
        <f t="shared" si="37"/>
        <v>24070</v>
      </c>
      <c r="O193" s="2342">
        <f t="shared" si="37"/>
        <v>24620</v>
      </c>
      <c r="R193" s="885"/>
      <c r="S193" s="885"/>
      <c r="T193" s="885"/>
      <c r="U193" s="885"/>
    </row>
    <row r="194" spans="4:21" ht="12.75" customHeight="1" thickTop="1" x14ac:dyDescent="0.25">
      <c r="D194" s="903"/>
      <c r="E194" s="869"/>
      <c r="F194" s="903"/>
      <c r="I194" s="300"/>
      <c r="J194" s="885"/>
      <c r="K194" s="885"/>
      <c r="L194" s="885"/>
      <c r="M194" s="885"/>
      <c r="N194" s="885"/>
      <c r="O194" s="885"/>
      <c r="R194" s="885"/>
      <c r="S194" s="885"/>
      <c r="T194" s="885"/>
      <c r="U194" s="885"/>
    </row>
    <row r="195" spans="4:21" ht="12.75" customHeight="1" x14ac:dyDescent="0.25">
      <c r="D195" s="903"/>
      <c r="E195" s="2606" t="s">
        <v>4403</v>
      </c>
      <c r="F195" s="2606"/>
      <c r="G195" s="2606"/>
      <c r="H195" s="2606"/>
      <c r="I195" s="2606"/>
      <c r="J195" s="2606"/>
      <c r="K195" s="2606"/>
      <c r="L195" s="300"/>
      <c r="M195" s="300"/>
      <c r="N195" s="300"/>
      <c r="O195" s="300"/>
      <c r="P195" s="300"/>
      <c r="R195" s="885"/>
      <c r="S195" s="885"/>
      <c r="T195" s="885"/>
      <c r="U195" s="885"/>
    </row>
    <row r="196" spans="4:21" ht="12.75" customHeight="1" x14ac:dyDescent="0.25">
      <c r="E196" s="2606"/>
      <c r="F196" s="2606"/>
      <c r="G196" s="2606"/>
      <c r="H196" s="2606"/>
      <c r="I196" s="2606"/>
      <c r="J196" s="2606"/>
      <c r="K196" s="2606"/>
      <c r="L196" s="300"/>
      <c r="M196" s="300"/>
      <c r="N196" s="300"/>
      <c r="O196" s="300"/>
      <c r="P196" s="300"/>
    </row>
    <row r="197" spans="4:21" ht="12.75" customHeight="1" x14ac:dyDescent="0.25">
      <c r="E197" s="2606"/>
      <c r="F197" s="2606"/>
      <c r="G197" s="2606"/>
      <c r="H197" s="2606"/>
      <c r="I197" s="2606"/>
      <c r="J197" s="2606"/>
      <c r="K197" s="2606"/>
      <c r="L197" s="300"/>
      <c r="M197" s="300"/>
      <c r="N197" s="300"/>
      <c r="O197" s="300"/>
      <c r="P197" s="300"/>
    </row>
    <row r="198" spans="4:21" ht="12.75" customHeight="1" x14ac:dyDescent="0.25">
      <c r="G198" s="2396"/>
      <c r="H198" s="2396"/>
      <c r="I198" s="2406"/>
      <c r="J198" s="2406"/>
      <c r="K198" s="2406"/>
      <c r="L198" s="2406"/>
      <c r="M198" s="2406"/>
      <c r="N198" s="2406"/>
      <c r="O198" s="2406"/>
      <c r="P198" s="2406"/>
    </row>
    <row r="199" spans="4:21" ht="12.75" customHeight="1" x14ac:dyDescent="0.25">
      <c r="D199" s="905">
        <v>678007</v>
      </c>
      <c r="E199" s="868" t="s">
        <v>4404</v>
      </c>
      <c r="F199" s="886"/>
      <c r="I199" s="2406"/>
      <c r="J199" s="908">
        <v>2025</v>
      </c>
      <c r="K199" s="908">
        <v>2026</v>
      </c>
      <c r="L199" s="908">
        <v>2027</v>
      </c>
      <c r="M199" s="908">
        <v>2028</v>
      </c>
      <c r="N199" s="908">
        <v>2029</v>
      </c>
      <c r="O199" s="908">
        <v>2030</v>
      </c>
      <c r="R199" s="873"/>
      <c r="S199" s="873"/>
      <c r="T199" s="873"/>
      <c r="U199" s="873"/>
    </row>
    <row r="200" spans="4:21" ht="12.75" customHeight="1" x14ac:dyDescent="0.25">
      <c r="D200" s="905"/>
      <c r="E200" s="873" t="s">
        <v>533</v>
      </c>
      <c r="F200" s="886"/>
      <c r="I200" s="2406"/>
      <c r="J200" s="885"/>
      <c r="K200" s="885"/>
      <c r="L200" s="885"/>
      <c r="M200" s="885"/>
      <c r="N200" s="885"/>
      <c r="O200" s="885"/>
      <c r="R200" s="873"/>
      <c r="S200" s="873"/>
      <c r="T200" s="873"/>
      <c r="U200" s="873"/>
    </row>
    <row r="201" spans="4:21" ht="12.75" customHeight="1" x14ac:dyDescent="0.25">
      <c r="D201" s="865">
        <v>43410</v>
      </c>
      <c r="E201" s="885" t="s">
        <v>4405</v>
      </c>
      <c r="H201" s="2407"/>
      <c r="I201" s="2406"/>
      <c r="J201" s="1048">
        <v>39440</v>
      </c>
      <c r="K201" s="1048">
        <f>ROUND(39440*S$2,-1)</f>
        <v>40470</v>
      </c>
      <c r="L201" s="1048">
        <f>ROUND(K201*T$2,-1)</f>
        <v>41320</v>
      </c>
      <c r="M201" s="1048">
        <f>ROUND(L201*U$2,-1)</f>
        <v>42270</v>
      </c>
      <c r="N201" s="1048">
        <f>ROUND(M201*V$2,-1)</f>
        <v>43240</v>
      </c>
      <c r="O201" s="1048">
        <f>ROUND(N201*W$2,-1)</f>
        <v>44230</v>
      </c>
      <c r="R201" s="885"/>
      <c r="S201" s="885"/>
      <c r="T201" s="885"/>
      <c r="U201" s="885"/>
    </row>
    <row r="202" spans="4:21" ht="12.75" customHeight="1" x14ac:dyDescent="0.25">
      <c r="D202" s="865"/>
      <c r="E202" s="2396" t="s">
        <v>5406</v>
      </c>
      <c r="H202" s="2407"/>
      <c r="I202" s="2406"/>
      <c r="J202" s="1048"/>
      <c r="K202" s="1048"/>
      <c r="L202" s="2397">
        <v>69460</v>
      </c>
      <c r="M202" s="2397">
        <f>ROUND(L202*U2,-1)</f>
        <v>71060</v>
      </c>
      <c r="N202" s="2397">
        <f t="shared" ref="N202:O202" si="38">ROUND(M202*V2,-1)</f>
        <v>72690</v>
      </c>
      <c r="O202" s="2397">
        <f t="shared" si="38"/>
        <v>74360</v>
      </c>
      <c r="R202" s="885"/>
      <c r="S202" s="885"/>
      <c r="T202" s="885"/>
      <c r="U202" s="885"/>
    </row>
    <row r="203" spans="4:21" ht="12.75" customHeight="1" thickBot="1" x14ac:dyDescent="0.3">
      <c r="D203" s="865"/>
      <c r="E203" s="869" t="str">
        <f>"Totaal "&amp;D201</f>
        <v>Totaal 43410</v>
      </c>
      <c r="H203" s="2408"/>
      <c r="I203" s="2406"/>
      <c r="J203" s="2342">
        <f>SUM(J201:J202)</f>
        <v>39440</v>
      </c>
      <c r="K203" s="2342">
        <f t="shared" ref="K203:O203" si="39">SUM(K201:K202)</f>
        <v>40470</v>
      </c>
      <c r="L203" s="2342">
        <f t="shared" si="39"/>
        <v>110780</v>
      </c>
      <c r="M203" s="2342">
        <f t="shared" si="39"/>
        <v>113330</v>
      </c>
      <c r="N203" s="2342">
        <f t="shared" si="39"/>
        <v>115930</v>
      </c>
      <c r="O203" s="2342">
        <f t="shared" si="39"/>
        <v>118590</v>
      </c>
      <c r="Q203" s="885"/>
      <c r="R203" s="885"/>
      <c r="S203" s="885"/>
      <c r="T203" s="885"/>
      <c r="U203" s="885"/>
    </row>
    <row r="204" spans="4:21" ht="12.75" customHeight="1" thickTop="1" x14ac:dyDescent="0.25">
      <c r="D204" s="863"/>
      <c r="E204" s="863"/>
      <c r="F204" s="2400"/>
      <c r="I204" s="2406"/>
    </row>
    <row r="205" spans="4:21" ht="12.75" customHeight="1" x14ac:dyDescent="0.25">
      <c r="D205" s="905">
        <v>678008</v>
      </c>
      <c r="E205" s="2372" t="s">
        <v>4406</v>
      </c>
      <c r="F205" s="886"/>
      <c r="I205" s="2406"/>
      <c r="J205" s="908">
        <v>2025</v>
      </c>
      <c r="K205" s="908">
        <v>2026</v>
      </c>
      <c r="L205" s="908">
        <v>2027</v>
      </c>
      <c r="M205" s="908">
        <v>2028</v>
      </c>
      <c r="N205" s="908">
        <v>2029</v>
      </c>
      <c r="O205" s="908">
        <v>2030</v>
      </c>
    </row>
    <row r="206" spans="4:21" ht="12.75" customHeight="1" x14ac:dyDescent="0.25">
      <c r="D206" s="905"/>
      <c r="E206" s="873" t="s">
        <v>533</v>
      </c>
      <c r="F206" s="886"/>
      <c r="I206" s="2406"/>
    </row>
    <row r="207" spans="4:21" ht="12.75" customHeight="1" x14ac:dyDescent="0.25">
      <c r="D207" s="903">
        <v>43410</v>
      </c>
      <c r="E207" s="869" t="s">
        <v>4407</v>
      </c>
      <c r="F207" s="903"/>
      <c r="I207" s="2406"/>
      <c r="J207" s="1048">
        <v>166600</v>
      </c>
      <c r="K207" s="1048">
        <f>ROUND(166600*S$2,-2)</f>
        <v>170900</v>
      </c>
      <c r="L207" s="1048">
        <f>ROUND(K207*T$2,-2)</f>
        <v>174500</v>
      </c>
      <c r="M207" s="1048">
        <f>ROUND(L207*U$2,-2)</f>
        <v>178500</v>
      </c>
      <c r="N207" s="1048">
        <f>ROUND(M207*V$2,-2)</f>
        <v>182600</v>
      </c>
      <c r="O207" s="1048">
        <f>ROUND(N207*W$2,-2)</f>
        <v>186800</v>
      </c>
      <c r="R207" s="885"/>
      <c r="S207" s="885"/>
      <c r="T207" s="885"/>
      <c r="U207" s="885"/>
    </row>
    <row r="208" spans="4:21" ht="12.75" customHeight="1" thickBot="1" x14ac:dyDescent="0.3">
      <c r="D208" s="903"/>
      <c r="E208" s="869" t="str">
        <f>"Totaal "&amp;D207</f>
        <v>Totaal 43410</v>
      </c>
      <c r="F208" s="903"/>
      <c r="I208" s="2406"/>
      <c r="J208" s="2342">
        <f t="shared" ref="J208:O208" si="40">SUM(J207:J207)</f>
        <v>166600</v>
      </c>
      <c r="K208" s="2342">
        <f t="shared" si="40"/>
        <v>170900</v>
      </c>
      <c r="L208" s="2342">
        <f t="shared" si="40"/>
        <v>174500</v>
      </c>
      <c r="M208" s="2342">
        <f t="shared" si="40"/>
        <v>178500</v>
      </c>
      <c r="N208" s="2342">
        <f t="shared" si="40"/>
        <v>182600</v>
      </c>
      <c r="O208" s="2342">
        <f t="shared" si="40"/>
        <v>186800</v>
      </c>
      <c r="R208" s="885"/>
      <c r="S208" s="885"/>
      <c r="T208" s="885"/>
      <c r="U208" s="885"/>
    </row>
    <row r="209" spans="4:21" ht="12.75" customHeight="1" thickTop="1" x14ac:dyDescent="0.25">
      <c r="D209" s="903"/>
      <c r="E209" s="869"/>
      <c r="F209" s="903"/>
      <c r="I209" s="2406"/>
      <c r="J209" s="885"/>
      <c r="K209" s="885"/>
      <c r="L209" s="885"/>
      <c r="M209" s="885"/>
      <c r="N209" s="885"/>
      <c r="O209" s="885"/>
      <c r="R209" s="885"/>
      <c r="S209" s="885"/>
      <c r="T209" s="885"/>
      <c r="U209" s="885"/>
    </row>
    <row r="210" spans="4:21" ht="12.75" customHeight="1" x14ac:dyDescent="0.25">
      <c r="E210" s="2607" t="s">
        <v>4408</v>
      </c>
      <c r="F210" s="2607"/>
      <c r="G210" s="2607"/>
      <c r="H210" s="2607"/>
      <c r="I210" s="2607"/>
      <c r="J210" s="2607"/>
      <c r="K210" s="2399"/>
      <c r="L210" s="2399"/>
      <c r="M210" s="2399"/>
      <c r="N210" s="2399"/>
      <c r="O210" s="2399"/>
      <c r="P210" s="2399"/>
    </row>
    <row r="211" spans="4:21" ht="12.75" customHeight="1" x14ac:dyDescent="0.25">
      <c r="E211" s="2607"/>
      <c r="F211" s="2607"/>
      <c r="G211" s="2607"/>
      <c r="H211" s="2607"/>
      <c r="I211" s="2607"/>
      <c r="J211" s="2607"/>
      <c r="K211" s="2399"/>
      <c r="L211" s="2399"/>
      <c r="M211" s="2399"/>
      <c r="N211" s="2399"/>
      <c r="O211" s="2399"/>
      <c r="P211" s="2399"/>
    </row>
    <row r="212" spans="4:21" ht="12.75" customHeight="1" x14ac:dyDescent="0.25">
      <c r="E212" s="2607"/>
      <c r="F212" s="2607"/>
      <c r="G212" s="2607"/>
      <c r="H212" s="2607"/>
      <c r="I212" s="2607"/>
      <c r="J212" s="2607"/>
      <c r="K212" s="2399"/>
      <c r="L212" s="2399"/>
      <c r="M212" s="2399"/>
      <c r="N212" s="2399"/>
      <c r="O212" s="2399"/>
      <c r="P212" s="2399"/>
    </row>
    <row r="213" spans="4:21" ht="12.75" customHeight="1" x14ac:dyDescent="0.25">
      <c r="E213" s="2399"/>
      <c r="F213" s="2399"/>
      <c r="G213" s="2399"/>
      <c r="H213" s="2399"/>
      <c r="I213" s="2399"/>
      <c r="J213" s="2399"/>
      <c r="K213" s="2399"/>
      <c r="L213" s="2399"/>
      <c r="M213" s="2399"/>
      <c r="N213" s="2399"/>
      <c r="O213" s="2399"/>
      <c r="P213" s="2399"/>
    </row>
    <row r="214" spans="4:21" ht="12.75" customHeight="1" x14ac:dyDescent="0.25">
      <c r="D214" s="905">
        <v>678009</v>
      </c>
      <c r="E214" s="868" t="s">
        <v>4409</v>
      </c>
      <c r="F214" s="863"/>
      <c r="I214" s="885"/>
      <c r="J214" s="908">
        <v>2025</v>
      </c>
      <c r="K214" s="908">
        <v>2026</v>
      </c>
      <c r="L214" s="908">
        <v>2027</v>
      </c>
      <c r="M214" s="908">
        <v>2028</v>
      </c>
      <c r="N214" s="908">
        <v>2029</v>
      </c>
      <c r="O214" s="908">
        <v>2030</v>
      </c>
    </row>
    <row r="215" spans="4:21" ht="12.75" customHeight="1" x14ac:dyDescent="0.25">
      <c r="D215" s="905"/>
      <c r="E215" s="873" t="s">
        <v>533</v>
      </c>
      <c r="F215" s="886"/>
      <c r="I215" s="885"/>
      <c r="J215" s="2405"/>
      <c r="K215" s="2405"/>
      <c r="L215" s="2405"/>
      <c r="M215" s="2405"/>
      <c r="N215" s="2405"/>
      <c r="O215" s="2405"/>
    </row>
    <row r="216" spans="4:21" ht="12.75" customHeight="1" x14ac:dyDescent="0.25">
      <c r="D216" s="865">
        <v>43812</v>
      </c>
      <c r="E216" s="885" t="s">
        <v>4410</v>
      </c>
      <c r="I216" s="885"/>
    </row>
    <row r="217" spans="4:21" ht="12.75" customHeight="1" x14ac:dyDescent="0.25">
      <c r="D217" s="905"/>
      <c r="E217" s="885" t="s">
        <v>4411</v>
      </c>
      <c r="F217" s="886"/>
      <c r="I217" s="885"/>
      <c r="J217" s="885">
        <v>22800</v>
      </c>
      <c r="K217" s="885">
        <f>ROUND(22800*S$2,-1)</f>
        <v>23390</v>
      </c>
      <c r="L217" s="885">
        <f>ROUND(K217*T$2,-1)</f>
        <v>23880</v>
      </c>
      <c r="M217" s="885">
        <f>ROUND(L217*U$2,-1)</f>
        <v>24430</v>
      </c>
      <c r="N217" s="885">
        <f>ROUND(M217*V$2,-1)</f>
        <v>24990</v>
      </c>
      <c r="O217" s="885">
        <f>ROUND(N217*W$2,-1)</f>
        <v>25560</v>
      </c>
    </row>
    <row r="218" spans="4:21" ht="12.75" customHeight="1" x14ac:dyDescent="0.25">
      <c r="D218" s="905"/>
      <c r="E218" s="2396" t="s">
        <v>5406</v>
      </c>
      <c r="F218" s="886"/>
      <c r="I218" s="885"/>
      <c r="J218" s="885"/>
      <c r="K218" s="885"/>
      <c r="L218" s="2343">
        <v>3690</v>
      </c>
      <c r="M218" s="2343">
        <f>ROUND(L218*U2,-1)</f>
        <v>3770</v>
      </c>
      <c r="N218" s="2343">
        <f t="shared" ref="N218:O218" si="41">ROUND(M218*V2,-1)</f>
        <v>3860</v>
      </c>
      <c r="O218" s="2343">
        <f t="shared" si="41"/>
        <v>3950</v>
      </c>
      <c r="Q218" s="885"/>
    </row>
    <row r="219" spans="4:21" ht="12.75" customHeight="1" thickBot="1" x14ac:dyDescent="0.3">
      <c r="D219" s="903"/>
      <c r="E219" s="869" t="str">
        <f>"Totaal "&amp;D216</f>
        <v>Totaal 43812</v>
      </c>
      <c r="F219" s="903"/>
      <c r="H219" s="886"/>
      <c r="I219" s="885"/>
      <c r="J219" s="2342">
        <f>SUM(J217:J218)</f>
        <v>22800</v>
      </c>
      <c r="K219" s="2342">
        <f t="shared" ref="K219:O219" si="42">SUM(K217:K218)</f>
        <v>23390</v>
      </c>
      <c r="L219" s="2342">
        <f t="shared" si="42"/>
        <v>27570</v>
      </c>
      <c r="M219" s="2342">
        <f t="shared" si="42"/>
        <v>28200</v>
      </c>
      <c r="N219" s="2342">
        <f t="shared" si="42"/>
        <v>28850</v>
      </c>
      <c r="O219" s="2342">
        <f t="shared" si="42"/>
        <v>29510</v>
      </c>
    </row>
    <row r="220" spans="4:21" ht="12.75" customHeight="1" thickTop="1" x14ac:dyDescent="0.25">
      <c r="E220" s="2399"/>
      <c r="H220" s="2399"/>
      <c r="I220" s="2399"/>
      <c r="J220" s="2399"/>
      <c r="K220" s="2399"/>
      <c r="L220" s="2399"/>
      <c r="M220" s="2399"/>
      <c r="N220" s="2399"/>
      <c r="O220" s="2399"/>
      <c r="P220" s="2399"/>
    </row>
    <row r="221" spans="4:21" ht="12.75" customHeight="1" x14ac:dyDescent="0.25">
      <c r="D221" s="905">
        <v>678010</v>
      </c>
      <c r="E221" s="868" t="s">
        <v>4412</v>
      </c>
      <c r="F221" s="886"/>
      <c r="H221" s="868"/>
      <c r="J221" s="908">
        <v>2025</v>
      </c>
      <c r="K221" s="908">
        <v>2026</v>
      </c>
      <c r="L221" s="908">
        <v>2027</v>
      </c>
      <c r="M221" s="908">
        <v>2028</v>
      </c>
      <c r="N221" s="908">
        <v>2029</v>
      </c>
      <c r="O221" s="908">
        <v>2030</v>
      </c>
    </row>
    <row r="222" spans="4:21" ht="12.75" customHeight="1" x14ac:dyDescent="0.25">
      <c r="E222" s="873" t="s">
        <v>533</v>
      </c>
    </row>
    <row r="223" spans="4:21" ht="12.75" customHeight="1" x14ac:dyDescent="0.25">
      <c r="D223" s="903">
        <v>44380</v>
      </c>
      <c r="E223" s="863" t="s">
        <v>4413</v>
      </c>
      <c r="F223" s="903"/>
      <c r="J223" s="885">
        <v>8430</v>
      </c>
      <c r="K223" s="885">
        <f>ROUND(8430*S$5,-1)</f>
        <v>8820</v>
      </c>
      <c r="L223" s="885">
        <f>ROUND(K223*T$5,-1)</f>
        <v>9190</v>
      </c>
      <c r="M223" s="885">
        <f>ROUND(L223*U$5,-1)</f>
        <v>9580</v>
      </c>
      <c r="N223" s="885">
        <f>ROUND(M223*V$5,-1)</f>
        <v>9980</v>
      </c>
      <c r="O223" s="885">
        <f>ROUND(N223*W$5,-1)</f>
        <v>10400</v>
      </c>
    </row>
    <row r="224" spans="4:21" ht="12.75" customHeight="1" thickBot="1" x14ac:dyDescent="0.3">
      <c r="E224" s="863" t="str">
        <f>"Totaal "&amp;D223</f>
        <v>Totaal 44380</v>
      </c>
      <c r="J224" s="2342">
        <v>8430</v>
      </c>
      <c r="K224" s="2342">
        <f>SUM(K222:K223)</f>
        <v>8820</v>
      </c>
      <c r="L224" s="2342">
        <f t="shared" ref="L224:O224" si="43">SUM(L222:L223)</f>
        <v>9190</v>
      </c>
      <c r="M224" s="2342">
        <f t="shared" si="43"/>
        <v>9580</v>
      </c>
      <c r="N224" s="2342">
        <f t="shared" si="43"/>
        <v>9980</v>
      </c>
      <c r="O224" s="2342">
        <f t="shared" si="43"/>
        <v>10400</v>
      </c>
    </row>
    <row r="225" spans="4:15" ht="12.75" customHeight="1" thickTop="1" x14ac:dyDescent="0.25">
      <c r="E225" s="863"/>
    </row>
    <row r="226" spans="4:15" ht="12.75" customHeight="1" x14ac:dyDescent="0.25">
      <c r="E226" s="863" t="s">
        <v>4414</v>
      </c>
    </row>
    <row r="227" spans="4:15" ht="12.75" customHeight="1" x14ac:dyDescent="0.25">
      <c r="E227" s="863"/>
    </row>
    <row r="228" spans="4:15" ht="12.75" customHeight="1" x14ac:dyDescent="0.25">
      <c r="D228" s="865">
        <v>43812</v>
      </c>
      <c r="E228" s="863" t="s">
        <v>4415</v>
      </c>
      <c r="J228" s="1048">
        <v>4130</v>
      </c>
      <c r="K228" s="1048">
        <f>ROUND(4130*S$2,-1)</f>
        <v>4240</v>
      </c>
      <c r="L228" s="1048">
        <f>ROUND(K228*T$2,-1)</f>
        <v>4330</v>
      </c>
      <c r="M228" s="1048">
        <f>ROUND(L228*U$2,-1)</f>
        <v>4430</v>
      </c>
      <c r="N228" s="1048">
        <f>ROUND(M228*V$2,-1)</f>
        <v>4530</v>
      </c>
      <c r="O228" s="1048">
        <f>ROUND(N228*W$2,-1)</f>
        <v>4630</v>
      </c>
    </row>
    <row r="229" spans="4:15" ht="12.75" customHeight="1" thickBot="1" x14ac:dyDescent="0.3">
      <c r="E229" s="863" t="str">
        <f>"Totaal "&amp;D228</f>
        <v>Totaal 43812</v>
      </c>
      <c r="J229" s="2342">
        <v>4130</v>
      </c>
      <c r="K229" s="2342">
        <f>SUM(K225:K228)</f>
        <v>4240</v>
      </c>
      <c r="L229" s="2342">
        <f t="shared" ref="L229:O229" si="44">SUM(L225:L228)</f>
        <v>4330</v>
      </c>
      <c r="M229" s="2342">
        <f t="shared" si="44"/>
        <v>4430</v>
      </c>
      <c r="N229" s="2342">
        <f t="shared" si="44"/>
        <v>4530</v>
      </c>
      <c r="O229" s="2342">
        <f t="shared" si="44"/>
        <v>4630</v>
      </c>
    </row>
    <row r="230" spans="4:15" ht="12.75" customHeight="1" thickTop="1" x14ac:dyDescent="0.25">
      <c r="E230" s="863"/>
    </row>
    <row r="231" spans="4:15" ht="12.75" customHeight="1" x14ac:dyDescent="0.25">
      <c r="D231" s="905">
        <v>678011</v>
      </c>
      <c r="E231" s="868" t="s">
        <v>4416</v>
      </c>
      <c r="F231" s="886"/>
      <c r="H231" s="868"/>
      <c r="J231" s="908">
        <v>2025</v>
      </c>
      <c r="K231" s="908">
        <v>2026</v>
      </c>
      <c r="L231" s="908">
        <v>2027</v>
      </c>
      <c r="M231" s="908">
        <v>2028</v>
      </c>
      <c r="N231" s="908">
        <v>2029</v>
      </c>
      <c r="O231" s="908">
        <v>2030</v>
      </c>
    </row>
    <row r="232" spans="4:15" ht="12.75" customHeight="1" x14ac:dyDescent="0.25">
      <c r="E232" s="873" t="s">
        <v>533</v>
      </c>
    </row>
    <row r="233" spans="4:15" ht="12.75" customHeight="1" x14ac:dyDescent="0.25">
      <c r="D233" s="865">
        <v>43812</v>
      </c>
      <c r="E233" s="863" t="s">
        <v>4417</v>
      </c>
      <c r="J233" s="1048">
        <v>59200</v>
      </c>
      <c r="K233" s="1048">
        <f>ROUND(59200*S$2,-1)</f>
        <v>60740</v>
      </c>
      <c r="L233" s="1048">
        <f t="shared" ref="L233:O235" si="45">ROUND(K233*T$2,-1)</f>
        <v>62020</v>
      </c>
      <c r="M233" s="1048">
        <f t="shared" si="45"/>
        <v>63450</v>
      </c>
      <c r="N233" s="1048">
        <f t="shared" si="45"/>
        <v>64910</v>
      </c>
      <c r="O233" s="1048">
        <f t="shared" si="45"/>
        <v>66400</v>
      </c>
    </row>
    <row r="234" spans="4:15" ht="12.75" customHeight="1" x14ac:dyDescent="0.25">
      <c r="D234" s="865"/>
      <c r="E234" s="863" t="s">
        <v>4418</v>
      </c>
      <c r="J234" s="1048"/>
      <c r="K234" s="1048">
        <f>-ROUND(27000*S$2,-1)</f>
        <v>-27700</v>
      </c>
      <c r="L234" s="1048">
        <f t="shared" si="45"/>
        <v>-28280</v>
      </c>
      <c r="M234" s="1048">
        <f t="shared" si="45"/>
        <v>-28930</v>
      </c>
      <c r="N234" s="1048">
        <f t="shared" si="45"/>
        <v>-29600</v>
      </c>
      <c r="O234" s="1048">
        <f t="shared" si="45"/>
        <v>-30280</v>
      </c>
    </row>
    <row r="235" spans="4:15" ht="12.75" customHeight="1" x14ac:dyDescent="0.25">
      <c r="D235" s="865"/>
      <c r="E235" s="863" t="s">
        <v>4419</v>
      </c>
      <c r="J235" s="1048"/>
      <c r="K235" s="1048">
        <f>-ROUND(10000*S$2,-1)</f>
        <v>-10260</v>
      </c>
      <c r="L235" s="1048">
        <f t="shared" si="45"/>
        <v>-10480</v>
      </c>
      <c r="M235" s="1048">
        <f t="shared" si="45"/>
        <v>-10720</v>
      </c>
      <c r="N235" s="1048">
        <f t="shared" si="45"/>
        <v>-10970</v>
      </c>
      <c r="O235" s="1048">
        <f t="shared" si="45"/>
        <v>-11220</v>
      </c>
    </row>
    <row r="236" spans="4:15" ht="12.75" customHeight="1" thickBot="1" x14ac:dyDescent="0.3">
      <c r="E236" s="863" t="str">
        <f>"Totaal "&amp;D233</f>
        <v>Totaal 43812</v>
      </c>
      <c r="J236" s="2342">
        <v>59200</v>
      </c>
      <c r="K236" s="2342">
        <f>SUM(K233:K235)</f>
        <v>22780</v>
      </c>
      <c r="L236" s="2342">
        <f t="shared" ref="L236:O236" si="46">SUM(L233:L235)</f>
        <v>23260</v>
      </c>
      <c r="M236" s="2342">
        <f t="shared" si="46"/>
        <v>23800</v>
      </c>
      <c r="N236" s="2342">
        <f t="shared" si="46"/>
        <v>24340</v>
      </c>
      <c r="O236" s="2342">
        <f t="shared" si="46"/>
        <v>24900</v>
      </c>
    </row>
    <row r="237" spans="4:15" ht="12.75" customHeight="1" thickTop="1" x14ac:dyDescent="0.25">
      <c r="E237" s="863"/>
    </row>
    <row r="238" spans="4:15" ht="12.75" customHeight="1" x14ac:dyDescent="0.25">
      <c r="E238" s="863"/>
    </row>
    <row r="239" spans="4:15" ht="12.75" customHeight="1" x14ac:dyDescent="0.25">
      <c r="D239" s="905">
        <v>678901</v>
      </c>
      <c r="E239" s="868" t="s">
        <v>4420</v>
      </c>
      <c r="F239" s="886"/>
      <c r="J239" s="908">
        <v>2025</v>
      </c>
      <c r="K239" s="908">
        <v>2026</v>
      </c>
      <c r="L239" s="908">
        <v>2027</v>
      </c>
      <c r="M239" s="908">
        <v>2028</v>
      </c>
      <c r="N239" s="908">
        <v>2029</v>
      </c>
      <c r="O239" s="908">
        <v>2030</v>
      </c>
    </row>
    <row r="240" spans="4:15" ht="12.75" customHeight="1" x14ac:dyDescent="0.25">
      <c r="D240" s="865"/>
      <c r="E240" s="873" t="s">
        <v>533</v>
      </c>
      <c r="J240" s="885"/>
      <c r="K240" s="885"/>
      <c r="L240" s="885"/>
      <c r="M240" s="885"/>
      <c r="N240" s="885"/>
      <c r="O240" s="885"/>
    </row>
    <row r="241" spans="4:16" ht="12.75" customHeight="1" x14ac:dyDescent="0.25">
      <c r="E241" s="863"/>
    </row>
    <row r="242" spans="4:16" ht="12.75" customHeight="1" x14ac:dyDescent="0.25">
      <c r="D242" s="865"/>
      <c r="E242" s="862" t="s">
        <v>4421</v>
      </c>
      <c r="J242" s="885">
        <f>276259+210300</f>
        <v>486559</v>
      </c>
      <c r="K242" s="885"/>
      <c r="L242" s="885"/>
      <c r="M242" s="885"/>
      <c r="N242" s="885"/>
      <c r="O242" s="885"/>
    </row>
    <row r="243" spans="4:16" ht="12.75" customHeight="1" thickBot="1" x14ac:dyDescent="0.3">
      <c r="D243" s="865"/>
      <c r="E243" s="863"/>
      <c r="J243" s="2342">
        <f>SUM(J242)</f>
        <v>486559</v>
      </c>
      <c r="K243" s="2342">
        <f t="shared" ref="K243:O243" si="47">SUM(K242)</f>
        <v>0</v>
      </c>
      <c r="L243" s="2342">
        <f t="shared" si="47"/>
        <v>0</v>
      </c>
      <c r="M243" s="2342">
        <f t="shared" si="47"/>
        <v>0</v>
      </c>
      <c r="N243" s="2342">
        <f t="shared" si="47"/>
        <v>0</v>
      </c>
      <c r="O243" s="2342">
        <f t="shared" si="47"/>
        <v>0</v>
      </c>
    </row>
    <row r="244" spans="4:16" ht="12.75" customHeight="1" thickTop="1" x14ac:dyDescent="0.25">
      <c r="E244" s="863"/>
    </row>
    <row r="245" spans="4:16" ht="12.75" customHeight="1" x14ac:dyDescent="0.25">
      <c r="D245" s="863"/>
      <c r="E245" s="862"/>
      <c r="F245" s="863"/>
      <c r="G245" s="865"/>
      <c r="J245" s="885"/>
      <c r="K245" s="885"/>
      <c r="L245" s="885"/>
      <c r="M245" s="885"/>
      <c r="N245" s="885"/>
      <c r="O245" s="885"/>
      <c r="P245" s="885"/>
    </row>
    <row r="246" spans="4:16" ht="12.75" customHeight="1" x14ac:dyDescent="0.25">
      <c r="D246" s="863"/>
      <c r="E246" s="862"/>
      <c r="F246" s="863"/>
      <c r="G246" s="865"/>
      <c r="J246" s="2409"/>
      <c r="K246" s="2409"/>
      <c r="L246" s="2409"/>
      <c r="M246" s="2409"/>
      <c r="N246" s="2409"/>
      <c r="O246" s="2409"/>
      <c r="P246" s="885"/>
    </row>
    <row r="247" spans="4:16" ht="12.75" customHeight="1" thickBot="1" x14ac:dyDescent="0.3">
      <c r="E247" s="863"/>
      <c r="J247" s="2342"/>
      <c r="K247" s="2342"/>
      <c r="L247" s="2342"/>
      <c r="M247" s="2342"/>
      <c r="N247" s="2342"/>
      <c r="O247" s="2342"/>
    </row>
    <row r="248" spans="4:16" ht="12.75" customHeight="1" thickTop="1" x14ac:dyDescent="0.25">
      <c r="E248" s="863"/>
    </row>
    <row r="249" spans="4:16" ht="12.75" customHeight="1" x14ac:dyDescent="0.25">
      <c r="D249" s="886">
        <v>678004</v>
      </c>
      <c r="E249" s="2372" t="s">
        <v>4396</v>
      </c>
      <c r="I249" s="885"/>
      <c r="J249" s="908">
        <v>2025</v>
      </c>
      <c r="K249" s="908">
        <v>2026</v>
      </c>
      <c r="L249" s="908">
        <v>2027</v>
      </c>
      <c r="M249" s="908">
        <v>2028</v>
      </c>
      <c r="N249" s="908">
        <v>2029</v>
      </c>
      <c r="O249" s="908">
        <v>2030</v>
      </c>
    </row>
    <row r="250" spans="4:16" ht="12.75" customHeight="1" x14ac:dyDescent="0.25">
      <c r="D250" s="865"/>
      <c r="E250" s="873" t="s">
        <v>554</v>
      </c>
      <c r="I250" s="885"/>
      <c r="J250" s="885"/>
      <c r="K250" s="885"/>
      <c r="L250" s="885"/>
      <c r="M250" s="885"/>
      <c r="N250" s="885"/>
      <c r="O250" s="885"/>
    </row>
    <row r="251" spans="4:16" ht="12.75" customHeight="1" x14ac:dyDescent="0.25">
      <c r="D251" s="865">
        <v>83800</v>
      </c>
      <c r="E251" s="885" t="s">
        <v>4422</v>
      </c>
      <c r="I251" s="885"/>
      <c r="J251" s="1048">
        <v>-20530</v>
      </c>
      <c r="K251" s="1048">
        <f>ROUND(-20530*S$2,-1)</f>
        <v>-21060</v>
      </c>
      <c r="L251" s="1048">
        <f>ROUND(K251*T$2,-1)</f>
        <v>-21500</v>
      </c>
      <c r="M251" s="1048">
        <f>ROUND(L251*U$2,-1)</f>
        <v>-21990</v>
      </c>
      <c r="N251" s="1048">
        <f>ROUND(M251*V$2,-1)</f>
        <v>-22500</v>
      </c>
      <c r="O251" s="1048">
        <f>ROUND(N251*W$2,-1)</f>
        <v>-23020</v>
      </c>
    </row>
    <row r="252" spans="4:16" ht="12.75" customHeight="1" thickBot="1" x14ac:dyDescent="0.3">
      <c r="D252" s="865"/>
      <c r="E252" s="869" t="str">
        <f>"Totaal "&amp;D251</f>
        <v>Totaal 83800</v>
      </c>
      <c r="I252" s="885"/>
      <c r="J252" s="2342">
        <v>-20530</v>
      </c>
      <c r="K252" s="2342">
        <f>SUM(K251:K251)</f>
        <v>-21060</v>
      </c>
      <c r="L252" s="2342">
        <f t="shared" ref="L252:O252" si="48">SUM(L251:L251)</f>
        <v>-21500</v>
      </c>
      <c r="M252" s="2342">
        <f t="shared" si="48"/>
        <v>-21990</v>
      </c>
      <c r="N252" s="2342">
        <f t="shared" si="48"/>
        <v>-22500</v>
      </c>
      <c r="O252" s="2342">
        <f t="shared" si="48"/>
        <v>-23020</v>
      </c>
    </row>
    <row r="253" spans="4:16" ht="12.75" customHeight="1" thickTop="1" x14ac:dyDescent="0.25">
      <c r="D253" s="865"/>
      <c r="G253" s="885"/>
      <c r="I253" s="885"/>
      <c r="J253" s="885"/>
      <c r="K253" s="885"/>
      <c r="L253" s="885"/>
      <c r="M253" s="885"/>
      <c r="N253" s="885"/>
      <c r="O253" s="885"/>
    </row>
  </sheetData>
  <mergeCells count="9">
    <mergeCell ref="E172:I176"/>
    <mergeCell ref="E195:K197"/>
    <mergeCell ref="E210:J212"/>
    <mergeCell ref="D64:D65"/>
    <mergeCell ref="F64:F65"/>
    <mergeCell ref="G64:H65"/>
    <mergeCell ref="E146:I147"/>
    <mergeCell ref="E159:H159"/>
    <mergeCell ref="E163:L165"/>
  </mergeCells>
  <dataValidations count="2">
    <dataValidation type="textLength" operator="lessThanOrEqual" allowBlank="1" showInputMessage="1" showErrorMessage="1" errorTitle="Ho" error="Wa stoat er nou! Omschrijving KORT eikel!" sqref="S65:S78" xr:uid="{7ED1BDF8-453D-4AB5-9CDA-AFCADC003428}">
      <formula1>20</formula1>
    </dataValidation>
    <dataValidation type="textLength" operator="lessThanOrEqual" allowBlank="1" showInputMessage="1" showErrorMessage="1" errorTitle="Ho" error="Te lang eikel, bietje minder kan ok wel!" sqref="R65:R78" xr:uid="{2E422D4D-68A8-46F7-8DC2-FC233BF8E7CD}">
      <formula1>36</formula1>
    </dataValidation>
  </dataValidations>
  <hyperlinks>
    <hyperlink ref="A1" location="Inhoudsopgave!A1" display="Inhoudsopgave" xr:uid="{C59B3A42-DD2B-47D1-8E8C-15C6AF606B52}"/>
  </hyperlinks>
  <pageMargins left="0.59055118110236227" right="0.39370078740157483" top="0.39370078740157483" bottom="0.39370078740157483" header="0.51181102362204722" footer="0.51181102362204722"/>
  <pageSetup paperSize="9" orientation="portrait" useFirstPageNumber="1" r:id="rId1"/>
  <headerFooter alignWithMargins="0"/>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74C3-DB92-44FC-A4E5-C3A89AFBA9E9}">
  <dimension ref="A1:W86"/>
  <sheetViews>
    <sheetView showGridLines="0" view="pageBreakPreview" topLeftCell="A13" zoomScaleNormal="100" zoomScaleSheetLayoutView="100" workbookViewId="0">
      <selection activeCell="R39" sqref="R39"/>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D6" s="864" t="s">
        <v>66</v>
      </c>
      <c r="H6" s="869" t="s">
        <v>4423</v>
      </c>
    </row>
    <row r="9" spans="1:23" ht="12.75" customHeight="1" x14ac:dyDescent="0.25">
      <c r="E9" s="870" t="s">
        <v>4424</v>
      </c>
      <c r="F9" s="863"/>
    </row>
    <row r="21" spans="4:15" ht="12.75" customHeight="1" x14ac:dyDescent="0.25">
      <c r="D21" s="870" t="s">
        <v>507</v>
      </c>
      <c r="E21" s="864"/>
      <c r="F21" s="864"/>
    </row>
    <row r="22" spans="4:15" ht="12.75" customHeight="1" x14ac:dyDescent="0.25">
      <c r="E22" s="864"/>
      <c r="F22" s="864"/>
    </row>
    <row r="23" spans="4:15" ht="12.75" customHeight="1" x14ac:dyDescent="0.25">
      <c r="D23" s="2310" t="s">
        <v>508</v>
      </c>
      <c r="E23" s="2311"/>
      <c r="F23" s="2311"/>
      <c r="G23" s="2312"/>
      <c r="H23" s="2312"/>
      <c r="I23" s="2313"/>
      <c r="J23" s="2313">
        <v>2025</v>
      </c>
      <c r="K23" s="2313">
        <v>2026</v>
      </c>
      <c r="L23" s="2313">
        <v>2027</v>
      </c>
      <c r="M23" s="2313">
        <v>2028</v>
      </c>
      <c r="N23" s="2313">
        <v>2029</v>
      </c>
      <c r="O23" s="2313">
        <v>2030</v>
      </c>
    </row>
    <row r="24" spans="4:15" ht="12.75" customHeight="1" x14ac:dyDescent="0.25">
      <c r="D24" s="871" t="str">
        <f>G47</f>
        <v>Huishoudelijke ondersteuning</v>
      </c>
      <c r="E24" s="872"/>
      <c r="F24" s="872"/>
      <c r="G24" s="873"/>
      <c r="H24" s="873"/>
      <c r="I24" s="874"/>
      <c r="J24" s="875">
        <v>2337300</v>
      </c>
      <c r="K24" s="875">
        <f t="shared" ref="K24:O24" si="0">K50</f>
        <v>2666800</v>
      </c>
      <c r="L24" s="875">
        <f t="shared" si="0"/>
        <v>2653200</v>
      </c>
      <c r="M24" s="875">
        <f t="shared" si="0"/>
        <v>2764500</v>
      </c>
      <c r="N24" s="875">
        <f t="shared" si="0"/>
        <v>2880000</v>
      </c>
      <c r="O24" s="875">
        <f t="shared" si="0"/>
        <v>3001200</v>
      </c>
    </row>
    <row r="25" spans="4:15" ht="12.75" customHeight="1" x14ac:dyDescent="0.25">
      <c r="D25" s="876"/>
      <c r="E25" s="877"/>
      <c r="F25" s="878"/>
      <c r="I25" s="879"/>
      <c r="J25" s="274"/>
      <c r="K25" s="274"/>
      <c r="L25" s="274"/>
      <c r="M25" s="274"/>
      <c r="N25" s="274"/>
      <c r="O25" s="274"/>
    </row>
    <row r="26" spans="4:15" ht="12.75" customHeight="1" x14ac:dyDescent="0.25">
      <c r="D26" s="876"/>
      <c r="E26" s="877"/>
      <c r="F26" s="878"/>
      <c r="I26" s="879"/>
      <c r="J26" s="274"/>
      <c r="K26" s="274"/>
      <c r="L26" s="274"/>
      <c r="M26" s="274"/>
      <c r="N26" s="274"/>
      <c r="O26" s="274"/>
    </row>
    <row r="27" spans="4:15" ht="12.75" customHeight="1" x14ac:dyDescent="0.25">
      <c r="D27" s="876"/>
      <c r="E27" s="877"/>
      <c r="F27" s="878"/>
      <c r="I27" s="879"/>
      <c r="J27" s="275"/>
      <c r="K27" s="275"/>
      <c r="L27" s="275"/>
      <c r="M27" s="275"/>
      <c r="N27" s="275"/>
      <c r="O27" s="275"/>
    </row>
    <row r="28" spans="4:15" ht="12.75" customHeight="1" x14ac:dyDescent="0.25">
      <c r="D28" s="2316" t="s">
        <v>525</v>
      </c>
      <c r="E28" s="2317"/>
      <c r="F28" s="2318"/>
      <c r="G28" s="2319"/>
      <c r="H28" s="2319"/>
      <c r="I28" s="2320"/>
      <c r="J28" s="2321">
        <v>2337300</v>
      </c>
      <c r="K28" s="2321">
        <f>SUM(K24:K27)</f>
        <v>2666800</v>
      </c>
      <c r="L28" s="2321">
        <f>SUM(L24:L27)</f>
        <v>2653200</v>
      </c>
      <c r="M28" s="2321">
        <f>SUM(M24:M27)</f>
        <v>2764500</v>
      </c>
      <c r="N28" s="2321">
        <f>SUM(N24:N27)</f>
        <v>2880000</v>
      </c>
      <c r="O28" s="2321">
        <f>SUM(O24:O27)</f>
        <v>3001200</v>
      </c>
    </row>
    <row r="29" spans="4:15" ht="12.75" customHeight="1" x14ac:dyDescent="0.25">
      <c r="E29" s="877"/>
      <c r="F29" s="878"/>
    </row>
    <row r="30" spans="4:15" ht="12.75" customHeight="1" x14ac:dyDescent="0.25">
      <c r="D30" s="2310" t="s">
        <v>526</v>
      </c>
      <c r="E30" s="2311"/>
      <c r="F30" s="2311"/>
      <c r="G30" s="2312"/>
      <c r="H30" s="2312"/>
      <c r="I30" s="2313"/>
      <c r="J30" s="2313">
        <v>2025</v>
      </c>
      <c r="K30" s="2313">
        <v>2026</v>
      </c>
      <c r="L30" s="2313">
        <v>2027</v>
      </c>
      <c r="M30" s="2313">
        <v>2028</v>
      </c>
      <c r="N30" s="2313">
        <v>2029</v>
      </c>
      <c r="O30" s="2313">
        <v>2030</v>
      </c>
    </row>
    <row r="31" spans="4:15" ht="12.75" customHeight="1" x14ac:dyDescent="0.25">
      <c r="D31" s="2389" t="str">
        <f>G52</f>
        <v>Eigen bijdragen huishoudelijke ondersteuning</v>
      </c>
      <c r="E31" s="2390"/>
      <c r="F31" s="2391"/>
      <c r="G31" s="889"/>
      <c r="H31" s="889"/>
      <c r="I31" s="879"/>
      <c r="J31" s="875">
        <v>-90000</v>
      </c>
      <c r="K31" s="875">
        <f t="shared" ref="K31:O31" si="1">K55</f>
        <v>-92500</v>
      </c>
      <c r="L31" s="875">
        <f t="shared" si="1"/>
        <v>-172900</v>
      </c>
      <c r="M31" s="875">
        <f t="shared" si="1"/>
        <v>-180200</v>
      </c>
      <c r="N31" s="875">
        <f t="shared" si="1"/>
        <v>-188000</v>
      </c>
      <c r="O31" s="875">
        <f t="shared" si="1"/>
        <v>-196000</v>
      </c>
    </row>
    <row r="32" spans="4:15" ht="12.75" customHeight="1" x14ac:dyDescent="0.25">
      <c r="D32" s="876"/>
      <c r="E32" s="877"/>
      <c r="F32" s="878"/>
      <c r="I32" s="879"/>
      <c r="J32" s="875"/>
      <c r="K32" s="875"/>
      <c r="L32" s="875"/>
      <c r="M32" s="875"/>
      <c r="N32" s="875"/>
      <c r="O32" s="875"/>
    </row>
    <row r="33" spans="4:15" ht="12.75" customHeight="1" x14ac:dyDescent="0.25">
      <c r="D33" s="876"/>
      <c r="E33" s="877"/>
      <c r="F33" s="878"/>
      <c r="I33" s="879"/>
      <c r="J33" s="875"/>
      <c r="K33" s="875"/>
      <c r="L33" s="875"/>
      <c r="M33" s="875"/>
      <c r="N33" s="875"/>
      <c r="O33" s="875"/>
    </row>
    <row r="34" spans="4:15" ht="12.75" customHeight="1" x14ac:dyDescent="0.25">
      <c r="D34" s="876"/>
      <c r="E34" s="877"/>
      <c r="F34" s="878"/>
      <c r="I34" s="879"/>
      <c r="J34" s="880"/>
      <c r="K34" s="880"/>
      <c r="L34" s="880"/>
      <c r="M34" s="880"/>
      <c r="N34" s="880"/>
      <c r="O34" s="880"/>
    </row>
    <row r="35" spans="4:15" ht="12.75" customHeight="1" x14ac:dyDescent="0.25">
      <c r="D35" s="876"/>
      <c r="E35" s="877"/>
      <c r="F35" s="878"/>
      <c r="I35" s="879"/>
      <c r="J35" s="880"/>
      <c r="K35" s="880"/>
      <c r="L35" s="880"/>
      <c r="M35" s="880"/>
      <c r="N35" s="880"/>
      <c r="O35" s="880"/>
    </row>
    <row r="36" spans="4:15" ht="12.75" customHeight="1" x14ac:dyDescent="0.25">
      <c r="D36" s="881"/>
      <c r="E36" s="882"/>
      <c r="F36" s="883"/>
      <c r="G36" s="884"/>
      <c r="H36" s="884"/>
      <c r="I36" s="879"/>
      <c r="J36" s="880"/>
      <c r="K36" s="880"/>
      <c r="L36" s="880"/>
      <c r="M36" s="880"/>
      <c r="N36" s="880"/>
      <c r="O36" s="880"/>
    </row>
    <row r="37" spans="4:15" ht="12.75" customHeight="1" x14ac:dyDescent="0.25">
      <c r="D37" s="2316" t="s">
        <v>328</v>
      </c>
      <c r="E37" s="2317"/>
      <c r="F37" s="2318"/>
      <c r="G37" s="2319"/>
      <c r="H37" s="2319"/>
      <c r="I37" s="2320"/>
      <c r="J37" s="2321">
        <v>-90000</v>
      </c>
      <c r="K37" s="2321">
        <f>SUM(K31:K36)</f>
        <v>-92500</v>
      </c>
      <c r="L37" s="2321">
        <f>SUM(L31:L36)</f>
        <v>-172900</v>
      </c>
      <c r="M37" s="2321">
        <f>SUM(M31:M36)</f>
        <v>-180200</v>
      </c>
      <c r="N37" s="2321">
        <f>SUM(N31:N36)</f>
        <v>-188000</v>
      </c>
      <c r="O37" s="2321">
        <f>SUM(O31:O36)</f>
        <v>-196000</v>
      </c>
    </row>
    <row r="38" spans="4:15" ht="12.75" customHeight="1" x14ac:dyDescent="0.25">
      <c r="E38" s="877"/>
      <c r="F38" s="878"/>
      <c r="J38" s="885"/>
      <c r="K38" s="885"/>
      <c r="L38" s="885"/>
      <c r="M38" s="885"/>
      <c r="N38" s="885"/>
      <c r="O38" s="885"/>
    </row>
    <row r="39" spans="4:15" ht="12.75" customHeight="1" x14ac:dyDescent="0.3">
      <c r="D39" s="2322" t="s">
        <v>976</v>
      </c>
      <c r="E39" s="2323"/>
      <c r="F39" s="2323"/>
      <c r="G39" s="2319"/>
      <c r="H39" s="2319"/>
      <c r="I39" s="2319"/>
      <c r="J39" s="2324">
        <v>2247300</v>
      </c>
      <c r="K39" s="2324">
        <f>K28+K37</f>
        <v>2574300</v>
      </c>
      <c r="L39" s="2324">
        <f>L28+L37</f>
        <v>2480300</v>
      </c>
      <c r="M39" s="2324">
        <f>M28+M37</f>
        <v>2584300</v>
      </c>
      <c r="N39" s="2324">
        <f>N28+N37</f>
        <v>2692000</v>
      </c>
      <c r="O39" s="2324">
        <f>O28+O37</f>
        <v>2805200</v>
      </c>
    </row>
    <row r="40" spans="4:15" ht="12.75" customHeight="1" x14ac:dyDescent="0.25">
      <c r="E40" s="877"/>
      <c r="F40" s="878"/>
      <c r="J40" s="885"/>
      <c r="K40" s="885"/>
      <c r="L40" s="885"/>
      <c r="M40" s="885"/>
      <c r="N40" s="885"/>
      <c r="O40" s="885"/>
    </row>
    <row r="41" spans="4:15" ht="12.75" customHeight="1" x14ac:dyDescent="0.25">
      <c r="E41" s="864"/>
      <c r="F41" s="864"/>
      <c r="J41" s="885"/>
      <c r="K41" s="885"/>
      <c r="L41" s="885"/>
      <c r="M41" s="885"/>
      <c r="N41" s="885"/>
      <c r="O41" s="885"/>
    </row>
    <row r="42" spans="4:15" ht="12.75" customHeight="1" x14ac:dyDescent="0.25">
      <c r="D42" s="870" t="s">
        <v>528</v>
      </c>
      <c r="E42" s="886"/>
      <c r="F42" s="886"/>
      <c r="I42" s="885"/>
      <c r="J42" s="885"/>
      <c r="K42" s="885"/>
      <c r="L42" s="885"/>
      <c r="M42" s="885"/>
      <c r="N42" s="885"/>
      <c r="O42" s="885"/>
    </row>
    <row r="44" spans="4:15" ht="12.75" customHeight="1" x14ac:dyDescent="0.25">
      <c r="D44" s="2585" t="s">
        <v>531</v>
      </c>
      <c r="E44" s="2325" t="s">
        <v>530</v>
      </c>
      <c r="F44" s="2585" t="s">
        <v>531</v>
      </c>
      <c r="G44" s="2587" t="s">
        <v>206</v>
      </c>
      <c r="H44" s="2588"/>
      <c r="I44" s="2326"/>
      <c r="J44" s="2320"/>
      <c r="K44" s="2320"/>
      <c r="L44" s="2320"/>
      <c r="M44" s="2320"/>
      <c r="N44" s="2320"/>
      <c r="O44" s="2320"/>
    </row>
    <row r="45" spans="4:15" ht="12.75" customHeight="1" x14ac:dyDescent="0.25">
      <c r="D45" s="2586"/>
      <c r="E45" s="887" t="s">
        <v>532</v>
      </c>
      <c r="F45" s="2586"/>
      <c r="G45" s="2589"/>
      <c r="H45" s="2590"/>
      <c r="I45" s="276"/>
      <c r="J45" s="2327">
        <v>2025</v>
      </c>
      <c r="K45" s="2327">
        <v>2026</v>
      </c>
      <c r="L45" s="2327">
        <v>2027</v>
      </c>
      <c r="M45" s="2327">
        <v>2028</v>
      </c>
      <c r="N45" s="2327">
        <v>2029</v>
      </c>
      <c r="O45" s="2327">
        <v>2030</v>
      </c>
    </row>
    <row r="46" spans="4:15" ht="12.75" customHeight="1" x14ac:dyDescent="0.25">
      <c r="D46" s="2328"/>
      <c r="E46" s="888"/>
      <c r="F46" s="888"/>
      <c r="G46" s="2329"/>
      <c r="H46" s="889"/>
      <c r="I46" s="2326"/>
      <c r="J46" s="2328"/>
      <c r="K46" s="2328"/>
      <c r="L46" s="2328"/>
      <c r="M46" s="2328"/>
      <c r="N46" s="2328"/>
      <c r="O46" s="2328"/>
    </row>
    <row r="47" spans="4:15" ht="12.75" customHeight="1" x14ac:dyDescent="0.25">
      <c r="D47" s="890">
        <f>D62</f>
        <v>679001</v>
      </c>
      <c r="E47" s="891"/>
      <c r="F47" s="891"/>
      <c r="G47" s="892" t="str">
        <f>E62</f>
        <v>Huishoudelijke ondersteuning</v>
      </c>
      <c r="I47" s="880"/>
      <c r="J47" s="875"/>
      <c r="K47" s="875"/>
      <c r="L47" s="875"/>
      <c r="M47" s="875"/>
      <c r="N47" s="875"/>
      <c r="O47" s="875"/>
    </row>
    <row r="48" spans="4:15" ht="12.75" customHeight="1" x14ac:dyDescent="0.25">
      <c r="D48" s="893"/>
      <c r="E48" s="893"/>
      <c r="F48" s="893"/>
      <c r="G48" s="894" t="s">
        <v>533</v>
      </c>
      <c r="I48" s="880"/>
      <c r="J48" s="875"/>
      <c r="K48" s="875"/>
      <c r="L48" s="875"/>
      <c r="M48" s="875"/>
      <c r="N48" s="875"/>
      <c r="O48" s="875"/>
    </row>
    <row r="49" spans="1:15" ht="12.75" customHeight="1" x14ac:dyDescent="0.25">
      <c r="A49" s="862">
        <f>D47</f>
        <v>679001</v>
      </c>
      <c r="B49" s="863" t="str">
        <f>G47</f>
        <v>Huishoudelijke ondersteuning</v>
      </c>
      <c r="D49" s="893">
        <f>D64</f>
        <v>43410</v>
      </c>
      <c r="E49" s="893"/>
      <c r="F49" s="893"/>
      <c r="G49" s="895" t="s">
        <v>3341</v>
      </c>
      <c r="I49" s="880"/>
      <c r="J49" s="875">
        <v>2337300</v>
      </c>
      <c r="K49" s="875">
        <f t="shared" ref="K49:O49" si="2">K67</f>
        <v>2666800</v>
      </c>
      <c r="L49" s="875">
        <f t="shared" si="2"/>
        <v>2653200</v>
      </c>
      <c r="M49" s="875">
        <f t="shared" si="2"/>
        <v>2764500</v>
      </c>
      <c r="N49" s="875">
        <f t="shared" si="2"/>
        <v>2880000</v>
      </c>
      <c r="O49" s="875">
        <f t="shared" si="2"/>
        <v>3001200</v>
      </c>
    </row>
    <row r="50" spans="1:15" ht="12.75" customHeight="1" thickBot="1" x14ac:dyDescent="0.3">
      <c r="A50" s="896"/>
      <c r="D50" s="893"/>
      <c r="E50" s="893"/>
      <c r="F50" s="893"/>
      <c r="G50" s="895" t="s">
        <v>536</v>
      </c>
      <c r="I50" s="880"/>
      <c r="J50" s="897">
        <v>2337300</v>
      </c>
      <c r="K50" s="897">
        <f t="shared" ref="K50:O50" si="3">SUM(K49:K49)</f>
        <v>2666800</v>
      </c>
      <c r="L50" s="897">
        <f t="shared" si="3"/>
        <v>2653200</v>
      </c>
      <c r="M50" s="897">
        <f t="shared" si="3"/>
        <v>2764500</v>
      </c>
      <c r="N50" s="897">
        <f t="shared" si="3"/>
        <v>2880000</v>
      </c>
      <c r="O50" s="897">
        <f t="shared" si="3"/>
        <v>3001200</v>
      </c>
    </row>
    <row r="51" spans="1:15" ht="12.75" customHeight="1" thickTop="1" x14ac:dyDescent="0.25">
      <c r="D51" s="893"/>
      <c r="E51" s="893"/>
      <c r="F51" s="893"/>
      <c r="G51" s="895"/>
      <c r="I51" s="880"/>
      <c r="J51" s="875"/>
      <c r="K51" s="875"/>
      <c r="L51" s="875"/>
      <c r="M51" s="875"/>
      <c r="N51" s="875"/>
      <c r="O51" s="875"/>
    </row>
    <row r="52" spans="1:15" ht="12.75" customHeight="1" x14ac:dyDescent="0.25">
      <c r="D52" s="890">
        <f>D74</f>
        <v>679002</v>
      </c>
      <c r="E52" s="891"/>
      <c r="F52" s="891"/>
      <c r="G52" s="2410" t="str">
        <f>E74</f>
        <v>Eigen bijdragen huishoudelijke ondersteuning</v>
      </c>
      <c r="I52" s="885"/>
      <c r="J52" s="875"/>
      <c r="K52" s="875"/>
      <c r="L52" s="875"/>
      <c r="M52" s="875"/>
      <c r="N52" s="875"/>
      <c r="O52" s="875"/>
    </row>
    <row r="53" spans="1:15" ht="12.75" customHeight="1" x14ac:dyDescent="0.25">
      <c r="D53" s="893"/>
      <c r="E53" s="893"/>
      <c r="F53" s="893"/>
      <c r="G53" s="894" t="s">
        <v>554</v>
      </c>
      <c r="I53" s="880"/>
      <c r="J53" s="875"/>
      <c r="K53" s="875"/>
      <c r="L53" s="875"/>
      <c r="M53" s="875"/>
      <c r="N53" s="875"/>
      <c r="O53" s="875"/>
    </row>
    <row r="54" spans="1:15" ht="12.75" customHeight="1" x14ac:dyDescent="0.25">
      <c r="A54" s="862">
        <f>D52</f>
        <v>679002</v>
      </c>
      <c r="B54" s="863" t="str">
        <f>G52</f>
        <v>Eigen bijdragen huishoudelijke ondersteuning</v>
      </c>
      <c r="D54" s="2331">
        <f>D83</f>
        <v>83420</v>
      </c>
      <c r="E54" s="2331"/>
      <c r="F54" s="2331"/>
      <c r="G54" s="895" t="s">
        <v>4425</v>
      </c>
      <c r="I54" s="880"/>
      <c r="J54" s="875">
        <v>-90000</v>
      </c>
      <c r="K54" s="875">
        <f>K85</f>
        <v>-92500</v>
      </c>
      <c r="L54" s="875">
        <f t="shared" ref="L54:O54" si="4">L85</f>
        <v>-172900</v>
      </c>
      <c r="M54" s="875">
        <f t="shared" si="4"/>
        <v>-180200</v>
      </c>
      <c r="N54" s="875">
        <f t="shared" si="4"/>
        <v>-188000</v>
      </c>
      <c r="O54" s="875">
        <f t="shared" si="4"/>
        <v>-196000</v>
      </c>
    </row>
    <row r="55" spans="1:15" ht="12.75" customHeight="1" thickBot="1" x14ac:dyDescent="0.3">
      <c r="A55" s="2336"/>
      <c r="D55" s="893"/>
      <c r="E55" s="893"/>
      <c r="F55" s="893"/>
      <c r="G55" s="895" t="s">
        <v>536</v>
      </c>
      <c r="I55" s="880"/>
      <c r="J55" s="2333">
        <v>-90000</v>
      </c>
      <c r="K55" s="2333">
        <f t="shared" ref="K55:O55" si="5">SUM(K54)</f>
        <v>-92500</v>
      </c>
      <c r="L55" s="2333">
        <f t="shared" si="5"/>
        <v>-172900</v>
      </c>
      <c r="M55" s="2333">
        <f t="shared" si="5"/>
        <v>-180200</v>
      </c>
      <c r="N55" s="2333">
        <f t="shared" si="5"/>
        <v>-188000</v>
      </c>
      <c r="O55" s="2333">
        <f t="shared" si="5"/>
        <v>-196000</v>
      </c>
    </row>
    <row r="56" spans="1:15" ht="12.75" customHeight="1" thickTop="1" x14ac:dyDescent="0.25">
      <c r="D56" s="898"/>
      <c r="E56" s="898"/>
      <c r="F56" s="898"/>
      <c r="G56" s="899"/>
      <c r="H56" s="884"/>
      <c r="I56" s="900"/>
      <c r="J56" s="901"/>
      <c r="K56" s="901"/>
      <c r="L56" s="901"/>
      <c r="M56" s="901"/>
      <c r="N56" s="901"/>
      <c r="O56" s="901"/>
    </row>
    <row r="57" spans="1:15" ht="12.75" customHeight="1" x14ac:dyDescent="0.25">
      <c r="D57" s="865"/>
      <c r="I57" s="885"/>
      <c r="J57" s="885"/>
      <c r="K57" s="885"/>
      <c r="L57" s="885"/>
      <c r="M57" s="885"/>
      <c r="N57" s="885"/>
      <c r="O57" s="885"/>
    </row>
    <row r="58" spans="1:15" ht="12.75" customHeight="1" x14ac:dyDescent="0.25">
      <c r="D58" s="865"/>
      <c r="I58" s="885"/>
      <c r="J58" s="885"/>
      <c r="K58" s="885"/>
      <c r="L58" s="885"/>
      <c r="M58" s="885"/>
      <c r="N58" s="885"/>
      <c r="O58" s="885"/>
    </row>
    <row r="59" spans="1:15" ht="12.75" customHeight="1" x14ac:dyDescent="0.25">
      <c r="D59" s="865"/>
      <c r="I59" s="885"/>
      <c r="J59" s="885"/>
      <c r="K59" s="885"/>
      <c r="L59" s="885"/>
      <c r="M59" s="885"/>
      <c r="N59" s="885"/>
      <c r="O59" s="885"/>
    </row>
    <row r="60" spans="1:15" ht="12.75" customHeight="1" x14ac:dyDescent="0.25">
      <c r="D60" s="902" t="s">
        <v>561</v>
      </c>
      <c r="E60" s="903"/>
      <c r="F60" s="903"/>
      <c r="H60" s="885"/>
    </row>
    <row r="61" spans="1:15" ht="12.75" customHeight="1" x14ac:dyDescent="0.25">
      <c r="D61" s="903"/>
      <c r="E61" s="903"/>
      <c r="F61" s="903"/>
      <c r="G61" s="868"/>
      <c r="H61" s="885"/>
    </row>
    <row r="62" spans="1:15" ht="12.75" customHeight="1" x14ac:dyDescent="0.25">
      <c r="A62" s="904"/>
      <c r="D62" s="905">
        <v>679001</v>
      </c>
      <c r="E62" s="906" t="s">
        <v>4426</v>
      </c>
      <c r="F62" s="886"/>
      <c r="I62" s="907"/>
      <c r="J62" s="908">
        <v>2025</v>
      </c>
      <c r="K62" s="908">
        <v>2026</v>
      </c>
      <c r="L62" s="908">
        <v>2027</v>
      </c>
      <c r="M62" s="908">
        <v>2028</v>
      </c>
      <c r="N62" s="908">
        <v>2029</v>
      </c>
      <c r="O62" s="908">
        <v>2030</v>
      </c>
    </row>
    <row r="63" spans="1:15" ht="12.75" customHeight="1" x14ac:dyDescent="0.25">
      <c r="A63" s="904"/>
      <c r="D63" s="905"/>
      <c r="E63" s="909" t="s">
        <v>533</v>
      </c>
      <c r="F63" s="886"/>
      <c r="I63" s="907"/>
      <c r="J63" s="873"/>
      <c r="K63" s="873"/>
      <c r="L63" s="873"/>
      <c r="M63" s="873"/>
      <c r="N63" s="873"/>
      <c r="O63" s="873"/>
    </row>
    <row r="64" spans="1:15" ht="12.75" customHeight="1" x14ac:dyDescent="0.25">
      <c r="A64" s="904"/>
      <c r="D64" s="910">
        <v>43410</v>
      </c>
      <c r="E64" s="863" t="s">
        <v>4407</v>
      </c>
      <c r="F64" s="910"/>
      <c r="I64" s="907"/>
      <c r="J64" s="885">
        <v>2337300</v>
      </c>
      <c r="K64" s="885">
        <f>ROUND(2337300*S$5,-2)</f>
        <v>2444800</v>
      </c>
      <c r="L64" s="885">
        <f>ROUND(K64*T$5,-2)</f>
        <v>2547500</v>
      </c>
      <c r="M64" s="885">
        <f>ROUND(L64*U$5,-2)</f>
        <v>2654500</v>
      </c>
      <c r="N64" s="885">
        <f>ROUND(M64*V$5,-2)</f>
        <v>2766000</v>
      </c>
      <c r="O64" s="885">
        <f>ROUND(N64*W$5,-2)</f>
        <v>2882200</v>
      </c>
    </row>
    <row r="65" spans="1:17" ht="12.75" customHeight="1" x14ac:dyDescent="0.25">
      <c r="A65" s="904"/>
      <c r="D65" s="910"/>
      <c r="E65" s="863" t="s">
        <v>4158</v>
      </c>
      <c r="F65" s="910"/>
      <c r="I65" s="907"/>
      <c r="J65" s="885"/>
      <c r="K65" s="885">
        <v>222000</v>
      </c>
      <c r="L65" s="885">
        <f>ROUND(K65*T$5,-3)</f>
        <v>231000</v>
      </c>
      <c r="M65" s="885">
        <f>ROUND(L65*U$5,-3)</f>
        <v>241000</v>
      </c>
      <c r="N65" s="885">
        <f>ROUND(M65*V$5,-3)</f>
        <v>251000</v>
      </c>
      <c r="O65" s="885">
        <f>ROUND(N65*W$5,-3)</f>
        <v>262000</v>
      </c>
    </row>
    <row r="66" spans="1:17" ht="12.75" customHeight="1" x14ac:dyDescent="0.25">
      <c r="A66" s="904"/>
      <c r="D66" s="910"/>
      <c r="E66" s="863" t="s">
        <v>5406</v>
      </c>
      <c r="F66" s="910"/>
      <c r="I66" s="907"/>
      <c r="J66" s="885"/>
      <c r="K66" s="885"/>
      <c r="L66" s="2343">
        <v>-125300</v>
      </c>
      <c r="M66" s="2343">
        <f>ROUND(L66*U$5,-3)</f>
        <v>-131000</v>
      </c>
      <c r="N66" s="2343">
        <f t="shared" ref="N66:O66" si="6">ROUND(M66*V$5,-3)</f>
        <v>-137000</v>
      </c>
      <c r="O66" s="2343">
        <f t="shared" si="6"/>
        <v>-143000</v>
      </c>
    </row>
    <row r="67" spans="1:17" ht="12.75" customHeight="1" thickBot="1" x14ac:dyDescent="0.3">
      <c r="A67" s="904"/>
      <c r="E67" s="869" t="str">
        <f>"Totaal "&amp;D64</f>
        <v>Totaal 43410</v>
      </c>
      <c r="I67" s="907"/>
      <c r="J67" s="2342">
        <v>2337300</v>
      </c>
      <c r="K67" s="2342">
        <f>SUM(K64:K66)</f>
        <v>2666800</v>
      </c>
      <c r="L67" s="2342">
        <f>SUM(L64:L66)</f>
        <v>2653200</v>
      </c>
      <c r="M67" s="2342">
        <f t="shared" ref="M67:O67" si="7">SUM(M64:M66)</f>
        <v>2764500</v>
      </c>
      <c r="N67" s="2342">
        <f t="shared" si="7"/>
        <v>2880000</v>
      </c>
      <c r="O67" s="2342">
        <f t="shared" si="7"/>
        <v>3001200</v>
      </c>
    </row>
    <row r="68" spans="1:17" ht="12.75" customHeight="1" thickTop="1" x14ac:dyDescent="0.25">
      <c r="A68" s="904"/>
      <c r="I68" s="907"/>
      <c r="J68" s="907"/>
      <c r="K68" s="907"/>
      <c r="L68" s="907"/>
      <c r="M68" s="907"/>
      <c r="N68" s="907"/>
      <c r="O68" s="907"/>
      <c r="Q68" s="885"/>
    </row>
    <row r="69" spans="1:17" ht="12.75" customHeight="1" x14ac:dyDescent="0.25">
      <c r="A69" s="904"/>
      <c r="E69" s="2606" t="s">
        <v>4427</v>
      </c>
      <c r="F69" s="2606"/>
      <c r="G69" s="2606"/>
      <c r="H69" s="2606"/>
      <c r="I69" s="2606"/>
      <c r="J69" s="2606"/>
      <c r="K69" s="2606"/>
      <c r="L69" s="2606"/>
      <c r="M69" s="300"/>
      <c r="N69" s="300"/>
      <c r="O69" s="300"/>
      <c r="P69" s="300"/>
    </row>
    <row r="70" spans="1:17" ht="12.75" customHeight="1" x14ac:dyDescent="0.25">
      <c r="A70" s="904"/>
      <c r="E70" s="2606"/>
      <c r="F70" s="2606"/>
      <c r="G70" s="2606"/>
      <c r="H70" s="2606"/>
      <c r="I70" s="2606"/>
      <c r="J70" s="2606"/>
      <c r="K70" s="2606"/>
      <c r="L70" s="2606"/>
      <c r="M70" s="300"/>
      <c r="N70" s="300"/>
      <c r="O70" s="300"/>
      <c r="P70" s="300"/>
    </row>
    <row r="71" spans="1:17" ht="12.75" customHeight="1" x14ac:dyDescent="0.25">
      <c r="A71" s="904"/>
      <c r="E71" s="2606"/>
      <c r="F71" s="2606"/>
      <c r="G71" s="2606"/>
      <c r="H71" s="2606"/>
      <c r="I71" s="2606"/>
      <c r="J71" s="2606"/>
      <c r="K71" s="2606"/>
      <c r="L71" s="2606"/>
      <c r="M71" s="300"/>
      <c r="N71" s="300"/>
      <c r="O71" s="300"/>
      <c r="P71" s="300"/>
    </row>
    <row r="72" spans="1:17" ht="21" customHeight="1" x14ac:dyDescent="0.25">
      <c r="A72" s="904"/>
      <c r="E72" s="2606"/>
      <c r="F72" s="2606"/>
      <c r="G72" s="2606"/>
      <c r="H72" s="2606"/>
      <c r="I72" s="2606"/>
      <c r="J72" s="2606"/>
      <c r="K72" s="2606"/>
      <c r="L72" s="2606"/>
      <c r="M72" s="300"/>
      <c r="N72" s="300"/>
      <c r="O72" s="300"/>
      <c r="P72" s="300"/>
    </row>
    <row r="73" spans="1:17" ht="12.75" customHeight="1" x14ac:dyDescent="0.25">
      <c r="A73" s="904"/>
      <c r="I73" s="907"/>
      <c r="J73" s="907"/>
      <c r="K73" s="907"/>
      <c r="L73" s="907"/>
      <c r="M73" s="907"/>
      <c r="N73" s="907"/>
      <c r="O73" s="907"/>
      <c r="P73" s="907"/>
    </row>
    <row r="74" spans="1:17" ht="12.75" customHeight="1" x14ac:dyDescent="0.25">
      <c r="A74" s="904"/>
      <c r="D74" s="905">
        <v>679002</v>
      </c>
      <c r="E74" s="868" t="s">
        <v>4428</v>
      </c>
      <c r="F74" s="886"/>
      <c r="I74" s="885"/>
      <c r="J74" s="885"/>
      <c r="K74" s="885"/>
      <c r="L74" s="885"/>
      <c r="M74" s="885"/>
      <c r="N74" s="885"/>
      <c r="O74" s="885"/>
      <c r="P74" s="885"/>
    </row>
    <row r="75" spans="1:17" ht="12.75" customHeight="1" x14ac:dyDescent="0.25">
      <c r="A75" s="904"/>
      <c r="D75" s="905"/>
      <c r="E75" s="873" t="s">
        <v>554</v>
      </c>
      <c r="F75" s="886"/>
      <c r="I75" s="885"/>
      <c r="J75" s="885"/>
      <c r="K75" s="885"/>
      <c r="L75" s="885"/>
      <c r="M75" s="885"/>
      <c r="N75" s="885"/>
      <c r="O75" s="885"/>
      <c r="P75" s="885"/>
    </row>
    <row r="76" spans="1:17" ht="12.75" customHeight="1" x14ac:dyDescent="0.25">
      <c r="A76" s="904"/>
      <c r="E76" s="2593" t="s">
        <v>4429</v>
      </c>
      <c r="F76" s="2593"/>
      <c r="G76" s="2593"/>
      <c r="H76" s="2593"/>
      <c r="I76" s="2593"/>
      <c r="J76" s="2593"/>
      <c r="K76" s="2593"/>
      <c r="L76" s="2593"/>
      <c r="M76" s="2593"/>
      <c r="N76" s="2348"/>
      <c r="O76" s="2348"/>
      <c r="P76" s="2344"/>
    </row>
    <row r="77" spans="1:17" ht="12.75" customHeight="1" x14ac:dyDescent="0.25">
      <c r="A77" s="904"/>
      <c r="E77" s="2593"/>
      <c r="F77" s="2593"/>
      <c r="G77" s="2593"/>
      <c r="H77" s="2593"/>
      <c r="I77" s="2593"/>
      <c r="J77" s="2593"/>
      <c r="K77" s="2593"/>
      <c r="L77" s="2593"/>
      <c r="M77" s="2593"/>
      <c r="N77" s="2348"/>
      <c r="O77" s="2348"/>
      <c r="P77" s="2344"/>
    </row>
    <row r="78" spans="1:17" ht="12.75" customHeight="1" x14ac:dyDescent="0.25">
      <c r="A78" s="904"/>
      <c r="E78" s="2606" t="s">
        <v>4430</v>
      </c>
      <c r="F78" s="2606"/>
      <c r="G78" s="2606"/>
      <c r="H78" s="2606"/>
      <c r="I78" s="2606"/>
      <c r="J78" s="2606"/>
      <c r="K78" s="2606"/>
      <c r="L78" s="2606"/>
      <c r="M78" s="2606"/>
      <c r="N78" s="300"/>
      <c r="O78" s="300"/>
      <c r="P78" s="2344"/>
    </row>
    <row r="79" spans="1:17" ht="20.399999999999999" customHeight="1" x14ac:dyDescent="0.25">
      <c r="A79" s="904"/>
      <c r="E79" s="2606"/>
      <c r="F79" s="2606"/>
      <c r="G79" s="2606"/>
      <c r="H79" s="2606"/>
      <c r="I79" s="2606"/>
      <c r="J79" s="2606"/>
      <c r="K79" s="2606"/>
      <c r="L79" s="2606"/>
      <c r="M79" s="2606"/>
      <c r="N79" s="885"/>
      <c r="O79" s="885"/>
      <c r="P79" s="885"/>
    </row>
    <row r="80" spans="1:17" ht="12.75" customHeight="1" x14ac:dyDescent="0.25">
      <c r="A80" s="904"/>
      <c r="I80" s="885"/>
      <c r="J80" s="885"/>
      <c r="K80" s="885"/>
      <c r="L80" s="885"/>
      <c r="M80" s="885"/>
      <c r="N80" s="885"/>
      <c r="O80" s="885"/>
      <c r="P80" s="885"/>
    </row>
    <row r="81" spans="1:16" ht="12.75" customHeight="1" x14ac:dyDescent="0.25">
      <c r="A81" s="904"/>
      <c r="I81" s="885"/>
      <c r="J81" s="908">
        <v>2025</v>
      </c>
      <c r="K81" s="908">
        <v>2026</v>
      </c>
      <c r="L81" s="908">
        <v>2027</v>
      </c>
      <c r="M81" s="908">
        <v>2028</v>
      </c>
      <c r="N81" s="908">
        <v>2029</v>
      </c>
      <c r="O81" s="908">
        <v>2030</v>
      </c>
    </row>
    <row r="82" spans="1:16" ht="12.75" customHeight="1" x14ac:dyDescent="0.25">
      <c r="A82" s="904"/>
      <c r="I82" s="885"/>
    </row>
    <row r="83" spans="1:16" ht="12.75" customHeight="1" x14ac:dyDescent="0.25">
      <c r="A83" s="904"/>
      <c r="D83" s="903">
        <v>83420</v>
      </c>
      <c r="E83" s="863" t="s">
        <v>4431</v>
      </c>
      <c r="F83" s="903"/>
      <c r="I83" s="885"/>
      <c r="J83" s="885">
        <v>-90000</v>
      </c>
      <c r="K83" s="885">
        <v>-165950</v>
      </c>
      <c r="L83" s="885">
        <f>ROUND(K83*T$5,-2)</f>
        <v>-172900</v>
      </c>
      <c r="M83" s="885">
        <f>ROUND(L83*U$5,-2)</f>
        <v>-180200</v>
      </c>
      <c r="N83" s="885">
        <f>ROUND(M83*V$5,-3)</f>
        <v>-188000</v>
      </c>
      <c r="O83" s="885">
        <f>ROUND(N83*W$5,-3)</f>
        <v>-196000</v>
      </c>
    </row>
    <row r="84" spans="1:16" ht="12.75" customHeight="1" x14ac:dyDescent="0.25">
      <c r="A84" s="904"/>
      <c r="D84" s="903"/>
      <c r="E84" s="863" t="s">
        <v>4332</v>
      </c>
      <c r="F84" s="903"/>
      <c r="I84" s="885"/>
      <c r="J84" s="885">
        <v>0</v>
      </c>
      <c r="K84" s="885">
        <v>73450</v>
      </c>
      <c r="L84" s="885">
        <v>0</v>
      </c>
      <c r="M84" s="885">
        <v>0</v>
      </c>
      <c r="N84" s="885">
        <v>0</v>
      </c>
      <c r="O84" s="885">
        <v>0</v>
      </c>
    </row>
    <row r="85" spans="1:16" ht="12.75" customHeight="1" thickBot="1" x14ac:dyDescent="0.3">
      <c r="A85" s="904"/>
      <c r="E85" s="869" t="str">
        <f>"Totaal "&amp;D83</f>
        <v>Totaal 83420</v>
      </c>
      <c r="I85" s="885"/>
      <c r="J85" s="2342">
        <v>-90000</v>
      </c>
      <c r="K85" s="2342">
        <f>SUM(K83:K84)</f>
        <v>-92500</v>
      </c>
      <c r="L85" s="2342">
        <f>SUM(L83:L84)</f>
        <v>-172900</v>
      </c>
      <c r="M85" s="2342">
        <f>SUM(M83:M84)</f>
        <v>-180200</v>
      </c>
      <c r="N85" s="2342">
        <f>SUM(N83:N84)</f>
        <v>-188000</v>
      </c>
      <c r="O85" s="2342">
        <f>SUM(O83:O84)</f>
        <v>-196000</v>
      </c>
    </row>
    <row r="86" spans="1:16" ht="12.75" customHeight="1" thickTop="1" x14ac:dyDescent="0.25">
      <c r="A86" s="904"/>
      <c r="I86" s="885"/>
      <c r="J86" s="885"/>
      <c r="K86" s="885"/>
      <c r="L86" s="885"/>
      <c r="M86" s="885"/>
      <c r="N86" s="885"/>
      <c r="O86" s="885"/>
      <c r="P86" s="885"/>
    </row>
  </sheetData>
  <mergeCells count="6">
    <mergeCell ref="E78:M79"/>
    <mergeCell ref="D44:D45"/>
    <mergeCell ref="F44:F45"/>
    <mergeCell ref="G44:H45"/>
    <mergeCell ref="E69:L72"/>
    <mergeCell ref="E76:M77"/>
  </mergeCells>
  <hyperlinks>
    <hyperlink ref="A1" location="Inhoudsopgave!A1" display="Inhoudsopgave" xr:uid="{70C11C75-7814-4287-892D-57D1855EBF97}"/>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2D481-2FD2-4BC0-BF3B-A6065EA5677E}">
  <dimension ref="A1:W108"/>
  <sheetViews>
    <sheetView showGridLines="0" view="pageBreakPreview" topLeftCell="A22" zoomScaleNormal="100" zoomScaleSheetLayoutView="100" workbookViewId="0">
      <selection activeCell="U27" sqref="U27"/>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D6" s="864" t="s">
        <v>66</v>
      </c>
      <c r="H6" s="869" t="s">
        <v>42</v>
      </c>
    </row>
    <row r="8" spans="1:23" ht="12.75" customHeight="1" x14ac:dyDescent="0.25">
      <c r="E8" s="905" t="s">
        <v>4432</v>
      </c>
    </row>
    <row r="9" spans="1:23" ht="12.75" customHeight="1" x14ac:dyDescent="0.25">
      <c r="E9" s="905"/>
    </row>
    <row r="10" spans="1:23" ht="12.75" customHeight="1" x14ac:dyDescent="0.25">
      <c r="E10" s="864"/>
    </row>
    <row r="11" spans="1:23" ht="12.75" customHeight="1" x14ac:dyDescent="0.25">
      <c r="E11" s="2411"/>
    </row>
    <row r="12" spans="1:23" ht="12.75" customHeight="1" x14ac:dyDescent="0.25">
      <c r="E12" s="2411"/>
    </row>
    <row r="13" spans="1:23" ht="12.75" customHeight="1" x14ac:dyDescent="0.25">
      <c r="E13" s="2411"/>
    </row>
    <row r="14" spans="1:23" ht="12.75" customHeight="1" x14ac:dyDescent="0.25">
      <c r="E14" s="2411"/>
    </row>
    <row r="16" spans="1:23" ht="12.75" customHeight="1" x14ac:dyDescent="0.25">
      <c r="E16" s="864"/>
    </row>
    <row r="17" spans="4:15" ht="12.75" customHeight="1" x14ac:dyDescent="0.25">
      <c r="E17" s="864"/>
    </row>
    <row r="18" spans="4:15" ht="12.75" customHeight="1" x14ac:dyDescent="0.25">
      <c r="E18" s="864"/>
    </row>
    <row r="25" spans="4:15" ht="12.75" customHeight="1" x14ac:dyDescent="0.25">
      <c r="D25" s="870" t="s">
        <v>507</v>
      </c>
      <c r="E25" s="864"/>
      <c r="F25" s="864"/>
    </row>
    <row r="26" spans="4:15" ht="12.75" customHeight="1" x14ac:dyDescent="0.25">
      <c r="E26" s="864"/>
      <c r="F26" s="864"/>
    </row>
    <row r="27" spans="4:15" ht="12.75" customHeight="1" x14ac:dyDescent="0.25">
      <c r="D27" s="2310" t="s">
        <v>508</v>
      </c>
      <c r="E27" s="2311"/>
      <c r="F27" s="2311"/>
      <c r="G27" s="2312"/>
      <c r="H27" s="2312"/>
      <c r="I27" s="2313"/>
      <c r="J27" s="2313">
        <v>2025</v>
      </c>
      <c r="K27" s="2313">
        <v>2026</v>
      </c>
      <c r="L27" s="2313">
        <v>2027</v>
      </c>
      <c r="M27" s="2313">
        <v>2028</v>
      </c>
      <c r="N27" s="2313">
        <v>2029</v>
      </c>
      <c r="O27" s="2313">
        <v>2030</v>
      </c>
    </row>
    <row r="28" spans="4:15" ht="12.75" customHeight="1" x14ac:dyDescent="0.25">
      <c r="D28" s="871" t="str">
        <f>G50</f>
        <v>Wmo begeleiding</v>
      </c>
      <c r="E28" s="872"/>
      <c r="F28" s="872"/>
      <c r="G28" s="873"/>
      <c r="H28" s="873"/>
      <c r="I28" s="874"/>
      <c r="J28" s="875">
        <v>2679674</v>
      </c>
      <c r="K28" s="875">
        <f t="shared" ref="K28:O28" si="0">K53</f>
        <v>1677574</v>
      </c>
      <c r="L28" s="875">
        <f t="shared" si="0"/>
        <v>1973885</v>
      </c>
      <c r="M28" s="875">
        <f t="shared" si="0"/>
        <v>2150905</v>
      </c>
      <c r="N28" s="875">
        <f t="shared" si="0"/>
        <v>2219845</v>
      </c>
      <c r="O28" s="875">
        <f t="shared" si="0"/>
        <v>2290895</v>
      </c>
    </row>
    <row r="29" spans="4:15" ht="12.75" customHeight="1" x14ac:dyDescent="0.25">
      <c r="D29" s="876" t="str">
        <f>G55</f>
        <v>Directe toerekening begeleiding Wmo</v>
      </c>
      <c r="E29" s="877"/>
      <c r="F29" s="878"/>
      <c r="I29" s="879"/>
      <c r="J29" s="875">
        <v>255060</v>
      </c>
      <c r="K29" s="875">
        <f t="shared" ref="K29:O29" si="1">K58</f>
        <v>255701</v>
      </c>
      <c r="L29" s="875">
        <f t="shared" si="1"/>
        <v>261070</v>
      </c>
      <c r="M29" s="875">
        <f t="shared" si="1"/>
        <v>267075</v>
      </c>
      <c r="N29" s="875">
        <f t="shared" si="1"/>
        <v>273218</v>
      </c>
      <c r="O29" s="875">
        <f t="shared" si="1"/>
        <v>279502</v>
      </c>
    </row>
    <row r="30" spans="4:15" ht="12.75" customHeight="1" x14ac:dyDescent="0.25">
      <c r="D30" s="876"/>
      <c r="E30" s="877"/>
      <c r="F30" s="878"/>
      <c r="I30" s="879"/>
      <c r="J30" s="274"/>
      <c r="K30" s="274"/>
      <c r="L30" s="274"/>
      <c r="M30" s="274"/>
      <c r="N30" s="274"/>
      <c r="O30" s="274"/>
    </row>
    <row r="31" spans="4:15" ht="12.75" customHeight="1" x14ac:dyDescent="0.25">
      <c r="D31" s="876"/>
      <c r="E31" s="877"/>
      <c r="F31" s="878"/>
      <c r="I31" s="879"/>
      <c r="J31" s="274"/>
      <c r="K31" s="274"/>
      <c r="L31" s="274"/>
      <c r="M31" s="274"/>
      <c r="N31" s="274"/>
      <c r="O31" s="274"/>
    </row>
    <row r="32" spans="4:15" ht="12.75" customHeight="1" x14ac:dyDescent="0.25">
      <c r="D32" s="876"/>
      <c r="E32" s="877"/>
      <c r="F32" s="878"/>
      <c r="I32" s="879"/>
      <c r="J32" s="274"/>
      <c r="K32" s="274"/>
      <c r="L32" s="274"/>
      <c r="M32" s="274"/>
      <c r="N32" s="274"/>
      <c r="O32" s="274"/>
    </row>
    <row r="33" spans="4:15" ht="12.75" customHeight="1" x14ac:dyDescent="0.25">
      <c r="D33" s="2316" t="s">
        <v>525</v>
      </c>
      <c r="E33" s="2317"/>
      <c r="F33" s="2318"/>
      <c r="G33" s="2319"/>
      <c r="H33" s="2319"/>
      <c r="I33" s="2320"/>
      <c r="J33" s="2321">
        <v>2934734</v>
      </c>
      <c r="K33" s="2321">
        <f>SUM(K28:K32)</f>
        <v>1933275</v>
      </c>
      <c r="L33" s="2321">
        <f>SUM(L28:L32)</f>
        <v>2234955</v>
      </c>
      <c r="M33" s="2321">
        <f>SUM(M28:M32)</f>
        <v>2417980</v>
      </c>
      <c r="N33" s="2321">
        <f>SUM(N28:N32)</f>
        <v>2493063</v>
      </c>
      <c r="O33" s="2321">
        <f>SUM(O28:O32)</f>
        <v>2570397</v>
      </c>
    </row>
    <row r="34" spans="4:15" ht="12.75" customHeight="1" x14ac:dyDescent="0.25">
      <c r="E34" s="877"/>
      <c r="F34" s="878"/>
    </row>
    <row r="35" spans="4:15" ht="12.75" customHeight="1" x14ac:dyDescent="0.25">
      <c r="D35" s="2310" t="s">
        <v>526</v>
      </c>
      <c r="E35" s="2311"/>
      <c r="F35" s="2311"/>
      <c r="G35" s="2312"/>
      <c r="H35" s="2312"/>
      <c r="I35" s="2313"/>
      <c r="J35" s="2313">
        <v>2025</v>
      </c>
      <c r="K35" s="2313">
        <v>2026</v>
      </c>
      <c r="L35" s="2313">
        <v>2027</v>
      </c>
      <c r="M35" s="2313">
        <v>2028</v>
      </c>
      <c r="N35" s="2313">
        <v>2029</v>
      </c>
      <c r="O35" s="2313">
        <v>2030</v>
      </c>
    </row>
    <row r="36" spans="4:15" ht="12.75" customHeight="1" x14ac:dyDescent="0.25">
      <c r="D36" s="2389" t="str">
        <f>G60</f>
        <v>Eigen bijdragen Wmo begeleiding</v>
      </c>
      <c r="E36" s="2390"/>
      <c r="F36" s="2391"/>
      <c r="G36" s="889"/>
      <c r="H36" s="889"/>
      <c r="I36" s="879"/>
      <c r="J36" s="875">
        <v>-60000</v>
      </c>
      <c r="K36" s="875">
        <f t="shared" ref="K36:O36" si="2">K63</f>
        <v>-61000</v>
      </c>
      <c r="L36" s="875">
        <f t="shared" si="2"/>
        <v>-151000</v>
      </c>
      <c r="M36" s="875">
        <f t="shared" si="2"/>
        <v>-157400</v>
      </c>
      <c r="N36" s="875">
        <f t="shared" si="2"/>
        <v>-164000</v>
      </c>
      <c r="O36" s="875">
        <f t="shared" si="2"/>
        <v>-170900</v>
      </c>
    </row>
    <row r="37" spans="4:15" ht="12.75" customHeight="1" x14ac:dyDescent="0.25">
      <c r="D37" s="876"/>
      <c r="E37" s="877"/>
      <c r="F37" s="878"/>
      <c r="I37" s="879"/>
      <c r="J37" s="875"/>
      <c r="K37" s="875"/>
      <c r="L37" s="875"/>
      <c r="M37" s="875"/>
      <c r="N37" s="875"/>
      <c r="O37" s="875"/>
    </row>
    <row r="38" spans="4:15" ht="12.75" customHeight="1" x14ac:dyDescent="0.25">
      <c r="D38" s="876"/>
      <c r="E38" s="877"/>
      <c r="F38" s="878"/>
      <c r="I38" s="879"/>
      <c r="J38" s="875"/>
      <c r="K38" s="875"/>
      <c r="L38" s="875"/>
      <c r="M38" s="875"/>
      <c r="N38" s="875"/>
      <c r="O38" s="875"/>
    </row>
    <row r="39" spans="4:15" ht="12.75" customHeight="1" x14ac:dyDescent="0.25">
      <c r="D39" s="876"/>
      <c r="E39" s="877"/>
      <c r="F39" s="878"/>
      <c r="I39" s="879"/>
      <c r="J39" s="880"/>
      <c r="K39" s="880"/>
      <c r="L39" s="880"/>
      <c r="M39" s="880"/>
      <c r="N39" s="880"/>
      <c r="O39" s="880"/>
    </row>
    <row r="40" spans="4:15" ht="12.75" customHeight="1" x14ac:dyDescent="0.25">
      <c r="D40" s="2316" t="s">
        <v>328</v>
      </c>
      <c r="E40" s="2317"/>
      <c r="F40" s="2318"/>
      <c r="G40" s="2319"/>
      <c r="H40" s="2319"/>
      <c r="I40" s="2320"/>
      <c r="J40" s="2321">
        <v>-60000</v>
      </c>
      <c r="K40" s="2321">
        <f>SUM(K36:K39)</f>
        <v>-61000</v>
      </c>
      <c r="L40" s="2321">
        <f>SUM(L36:L39)</f>
        <v>-151000</v>
      </c>
      <c r="M40" s="2321">
        <f>SUM(M36:M39)</f>
        <v>-157400</v>
      </c>
      <c r="N40" s="2321">
        <f>SUM(N36:N39)</f>
        <v>-164000</v>
      </c>
      <c r="O40" s="2321">
        <f>SUM(O36:O39)</f>
        <v>-170900</v>
      </c>
    </row>
    <row r="41" spans="4:15" ht="12.75" customHeight="1" x14ac:dyDescent="0.25">
      <c r="E41" s="877"/>
      <c r="F41" s="878"/>
      <c r="J41" s="885"/>
      <c r="K41" s="885"/>
      <c r="L41" s="885"/>
      <c r="M41" s="885"/>
      <c r="N41" s="885"/>
      <c r="O41" s="885"/>
    </row>
    <row r="42" spans="4:15" ht="12.75" customHeight="1" x14ac:dyDescent="0.3">
      <c r="D42" s="2322" t="s">
        <v>976</v>
      </c>
      <c r="E42" s="2323"/>
      <c r="F42" s="2323"/>
      <c r="G42" s="2319"/>
      <c r="H42" s="2319"/>
      <c r="I42" s="2319"/>
      <c r="J42" s="2324">
        <v>2874734</v>
      </c>
      <c r="K42" s="2324">
        <f>K33+K40</f>
        <v>1872275</v>
      </c>
      <c r="L42" s="2324">
        <f>L33+L40</f>
        <v>2083955</v>
      </c>
      <c r="M42" s="2324">
        <f>M33+M40</f>
        <v>2260580</v>
      </c>
      <c r="N42" s="2324">
        <f>N33+N40</f>
        <v>2329063</v>
      </c>
      <c r="O42" s="2324">
        <f>O33+O40</f>
        <v>2399497</v>
      </c>
    </row>
    <row r="43" spans="4:15" ht="12.75" customHeight="1" x14ac:dyDescent="0.25">
      <c r="E43" s="877"/>
      <c r="F43" s="878"/>
      <c r="J43" s="885"/>
      <c r="K43" s="885"/>
      <c r="L43" s="885"/>
      <c r="M43" s="885"/>
      <c r="N43" s="885"/>
      <c r="O43" s="885"/>
    </row>
    <row r="44" spans="4:15" ht="12.75" customHeight="1" x14ac:dyDescent="0.25">
      <c r="E44" s="864"/>
      <c r="F44" s="864"/>
      <c r="J44" s="885"/>
      <c r="K44" s="885"/>
      <c r="L44" s="885"/>
      <c r="M44" s="885"/>
      <c r="N44" s="885"/>
      <c r="O44" s="885"/>
    </row>
    <row r="45" spans="4:15" ht="12.75" customHeight="1" x14ac:dyDescent="0.25">
      <c r="D45" s="870" t="s">
        <v>528</v>
      </c>
      <c r="E45" s="886"/>
      <c r="F45" s="886"/>
      <c r="I45" s="885"/>
      <c r="J45" s="885"/>
      <c r="K45" s="885"/>
      <c r="L45" s="885"/>
      <c r="M45" s="885"/>
      <c r="N45" s="885"/>
      <c r="O45" s="885"/>
    </row>
    <row r="47" spans="4:15" ht="12.75" customHeight="1" x14ac:dyDescent="0.25">
      <c r="D47" s="2585" t="s">
        <v>531</v>
      </c>
      <c r="E47" s="2325" t="s">
        <v>530</v>
      </c>
      <c r="F47" s="2585" t="s">
        <v>531</v>
      </c>
      <c r="G47" s="2587" t="s">
        <v>206</v>
      </c>
      <c r="H47" s="2588"/>
      <c r="I47" s="2326"/>
      <c r="J47" s="2320"/>
      <c r="K47" s="2320"/>
      <c r="L47" s="2320"/>
      <c r="M47" s="2320"/>
      <c r="N47" s="2320"/>
      <c r="O47" s="2320"/>
    </row>
    <row r="48" spans="4:15" ht="12.75" customHeight="1" x14ac:dyDescent="0.25">
      <c r="D48" s="2586"/>
      <c r="E48" s="887" t="s">
        <v>532</v>
      </c>
      <c r="F48" s="2586"/>
      <c r="G48" s="2589"/>
      <c r="H48" s="2590"/>
      <c r="I48" s="276"/>
      <c r="J48" s="2327">
        <v>2025</v>
      </c>
      <c r="K48" s="2327">
        <v>2026</v>
      </c>
      <c r="L48" s="2327">
        <v>2027</v>
      </c>
      <c r="M48" s="2327">
        <v>2028</v>
      </c>
      <c r="N48" s="2327">
        <v>2029</v>
      </c>
      <c r="O48" s="2327">
        <v>2030</v>
      </c>
    </row>
    <row r="49" spans="1:15" ht="12.75" customHeight="1" x14ac:dyDescent="0.25">
      <c r="D49" s="2328"/>
      <c r="E49" s="888"/>
      <c r="F49" s="888"/>
      <c r="G49" s="2329"/>
      <c r="H49" s="889"/>
      <c r="I49" s="2326"/>
      <c r="J49" s="2328"/>
      <c r="K49" s="2328"/>
      <c r="L49" s="2328"/>
      <c r="M49" s="2328"/>
      <c r="N49" s="2328"/>
      <c r="O49" s="2328"/>
    </row>
    <row r="50" spans="1:15" ht="12.75" customHeight="1" x14ac:dyDescent="0.25">
      <c r="D50" s="890">
        <f>D69</f>
        <v>680001</v>
      </c>
      <c r="E50" s="891"/>
      <c r="F50" s="891"/>
      <c r="G50" s="892" t="str">
        <f>E69</f>
        <v>Wmo begeleiding</v>
      </c>
      <c r="I50" s="880"/>
      <c r="J50" s="875"/>
      <c r="K50" s="875"/>
      <c r="L50" s="875"/>
      <c r="M50" s="875"/>
      <c r="N50" s="875"/>
      <c r="O50" s="875"/>
    </row>
    <row r="51" spans="1:15" ht="12.75" customHeight="1" x14ac:dyDescent="0.25">
      <c r="D51" s="893"/>
      <c r="E51" s="893"/>
      <c r="F51" s="893"/>
      <c r="G51" s="894" t="s">
        <v>533</v>
      </c>
      <c r="I51" s="880"/>
      <c r="J51" s="875"/>
      <c r="K51" s="875"/>
      <c r="L51" s="875"/>
      <c r="M51" s="875"/>
      <c r="N51" s="875"/>
      <c r="O51" s="875"/>
    </row>
    <row r="52" spans="1:15" ht="12.75" customHeight="1" x14ac:dyDescent="0.25">
      <c r="A52" s="862">
        <f>D50</f>
        <v>680001</v>
      </c>
      <c r="B52" s="863" t="str">
        <f>G50</f>
        <v>Wmo begeleiding</v>
      </c>
      <c r="D52" s="893">
        <f>D71</f>
        <v>43410</v>
      </c>
      <c r="E52" s="893"/>
      <c r="F52" s="893"/>
      <c r="G52" s="895" t="s">
        <v>3341</v>
      </c>
      <c r="I52" s="880"/>
      <c r="J52" s="875">
        <v>2679674</v>
      </c>
      <c r="K52" s="875">
        <f t="shared" ref="K52:O52" si="3">K78</f>
        <v>1677574</v>
      </c>
      <c r="L52" s="875">
        <f t="shared" si="3"/>
        <v>1973885</v>
      </c>
      <c r="M52" s="875">
        <f t="shared" si="3"/>
        <v>2150905</v>
      </c>
      <c r="N52" s="875">
        <f t="shared" si="3"/>
        <v>2219845</v>
      </c>
      <c r="O52" s="875">
        <f t="shared" si="3"/>
        <v>2290895</v>
      </c>
    </row>
    <row r="53" spans="1:15" ht="12.75" customHeight="1" thickBot="1" x14ac:dyDescent="0.3">
      <c r="A53" s="896"/>
      <c r="D53" s="893"/>
      <c r="E53" s="893"/>
      <c r="F53" s="893"/>
      <c r="G53" s="895" t="s">
        <v>536</v>
      </c>
      <c r="I53" s="880"/>
      <c r="J53" s="897">
        <v>2679674</v>
      </c>
      <c r="K53" s="897">
        <f t="shared" ref="K53:O53" si="4">SUM(K52:K52)</f>
        <v>1677574</v>
      </c>
      <c r="L53" s="897">
        <f t="shared" si="4"/>
        <v>1973885</v>
      </c>
      <c r="M53" s="897">
        <f t="shared" si="4"/>
        <v>2150905</v>
      </c>
      <c r="N53" s="897">
        <f t="shared" si="4"/>
        <v>2219845</v>
      </c>
      <c r="O53" s="897">
        <f t="shared" si="4"/>
        <v>2290895</v>
      </c>
    </row>
    <row r="54" spans="1:15" ht="12.75" customHeight="1" thickTop="1" x14ac:dyDescent="0.25">
      <c r="D54" s="893"/>
      <c r="E54" s="893"/>
      <c r="F54" s="893"/>
      <c r="G54" s="895"/>
      <c r="I54" s="880"/>
      <c r="J54" s="875"/>
      <c r="K54" s="875"/>
      <c r="L54" s="875"/>
      <c r="M54" s="875"/>
      <c r="N54" s="875"/>
      <c r="O54" s="875"/>
    </row>
    <row r="55" spans="1:15" ht="12.75" customHeight="1" x14ac:dyDescent="0.25">
      <c r="D55" s="890">
        <f>D87</f>
        <v>680901</v>
      </c>
      <c r="E55" s="891"/>
      <c r="F55" s="891"/>
      <c r="G55" s="892" t="str">
        <f>E87</f>
        <v>Directe toerekening begeleiding Wmo</v>
      </c>
      <c r="I55" s="880"/>
      <c r="J55" s="875"/>
      <c r="K55" s="875"/>
      <c r="L55" s="875"/>
      <c r="M55" s="875"/>
      <c r="N55" s="875"/>
      <c r="O55" s="875"/>
    </row>
    <row r="56" spans="1:15" ht="12.75" customHeight="1" x14ac:dyDescent="0.25">
      <c r="D56" s="893"/>
      <c r="E56" s="893"/>
      <c r="F56" s="893"/>
      <c r="G56" s="894" t="s">
        <v>533</v>
      </c>
      <c r="I56" s="880"/>
      <c r="J56" s="875"/>
      <c r="K56" s="875"/>
      <c r="L56" s="875"/>
      <c r="M56" s="875"/>
      <c r="N56" s="875"/>
      <c r="O56" s="875"/>
    </row>
    <row r="57" spans="1:15" ht="12.75" customHeight="1" x14ac:dyDescent="0.25">
      <c r="A57" s="862">
        <f>D55</f>
        <v>680901</v>
      </c>
      <c r="B57" s="863" t="str">
        <f>G55</f>
        <v>Directe toerekening begeleiding Wmo</v>
      </c>
      <c r="D57" s="893">
        <f>D89</f>
        <v>43812</v>
      </c>
      <c r="E57" s="893"/>
      <c r="F57" s="893"/>
      <c r="G57" s="895" t="s">
        <v>535</v>
      </c>
      <c r="I57" s="880"/>
      <c r="J57" s="875">
        <v>255060</v>
      </c>
      <c r="K57" s="875">
        <f t="shared" ref="K57:O57" si="5">K92</f>
        <v>255701</v>
      </c>
      <c r="L57" s="875">
        <f t="shared" si="5"/>
        <v>261070</v>
      </c>
      <c r="M57" s="875">
        <f t="shared" si="5"/>
        <v>267075</v>
      </c>
      <c r="N57" s="875">
        <f t="shared" si="5"/>
        <v>273218</v>
      </c>
      <c r="O57" s="875">
        <f t="shared" si="5"/>
        <v>279502</v>
      </c>
    </row>
    <row r="58" spans="1:15" ht="12.75" customHeight="1" thickBot="1" x14ac:dyDescent="0.3">
      <c r="D58" s="893"/>
      <c r="E58" s="893"/>
      <c r="F58" s="893"/>
      <c r="G58" s="895"/>
      <c r="I58" s="880"/>
      <c r="J58" s="2333">
        <v>255060</v>
      </c>
      <c r="K58" s="2333">
        <f>SUM(K56:K57)</f>
        <v>255701</v>
      </c>
      <c r="L58" s="2333">
        <f>SUM(L56:L57)</f>
        <v>261070</v>
      </c>
      <c r="M58" s="2333">
        <f>SUM(M56:M57)</f>
        <v>267075</v>
      </c>
      <c r="N58" s="2333">
        <f>SUM(N56:N57)</f>
        <v>273218</v>
      </c>
      <c r="O58" s="2333">
        <f>SUM(O56:O57)</f>
        <v>279502</v>
      </c>
    </row>
    <row r="59" spans="1:15" ht="12.75" customHeight="1" thickTop="1" x14ac:dyDescent="0.25">
      <c r="D59" s="893"/>
      <c r="E59" s="893"/>
      <c r="F59" s="893"/>
      <c r="G59" s="895"/>
      <c r="I59" s="880"/>
      <c r="J59" s="875"/>
      <c r="K59" s="875"/>
      <c r="L59" s="875"/>
      <c r="M59" s="875"/>
      <c r="N59" s="875"/>
      <c r="O59" s="875"/>
    </row>
    <row r="60" spans="1:15" ht="12.75" customHeight="1" x14ac:dyDescent="0.25">
      <c r="D60" s="890">
        <f>D94</f>
        <v>680002</v>
      </c>
      <c r="E60" s="891"/>
      <c r="F60" s="891"/>
      <c r="G60" s="2410" t="str">
        <f>E94</f>
        <v>Eigen bijdragen Wmo begeleiding</v>
      </c>
      <c r="I60" s="885"/>
      <c r="J60" s="875"/>
      <c r="K60" s="875"/>
      <c r="L60" s="875"/>
      <c r="M60" s="875"/>
      <c r="N60" s="875"/>
      <c r="O60" s="875"/>
    </row>
    <row r="61" spans="1:15" ht="12.75" customHeight="1" x14ac:dyDescent="0.25">
      <c r="D61" s="893"/>
      <c r="E61" s="893"/>
      <c r="F61" s="893"/>
      <c r="G61" s="894" t="s">
        <v>554</v>
      </c>
      <c r="I61" s="880"/>
      <c r="J61" s="875"/>
      <c r="K61" s="875"/>
      <c r="L61" s="875"/>
      <c r="M61" s="875"/>
      <c r="N61" s="875"/>
      <c r="O61" s="875"/>
    </row>
    <row r="62" spans="1:15" ht="12.75" customHeight="1" x14ac:dyDescent="0.25">
      <c r="A62" s="862">
        <f>D60</f>
        <v>680002</v>
      </c>
      <c r="B62" s="863" t="str">
        <f>G60</f>
        <v>Eigen bijdragen Wmo begeleiding</v>
      </c>
      <c r="D62" s="2331">
        <f>D102</f>
        <v>83420</v>
      </c>
      <c r="E62" s="2331"/>
      <c r="F62" s="2331"/>
      <c r="G62" s="895" t="s">
        <v>4425</v>
      </c>
      <c r="I62" s="880"/>
      <c r="J62" s="875">
        <v>-60000</v>
      </c>
      <c r="K62" s="875">
        <f t="shared" ref="K62:O62" si="6">K107</f>
        <v>-61000</v>
      </c>
      <c r="L62" s="875">
        <f t="shared" si="6"/>
        <v>-151000</v>
      </c>
      <c r="M62" s="875">
        <f t="shared" si="6"/>
        <v>-157400</v>
      </c>
      <c r="N62" s="875">
        <f t="shared" si="6"/>
        <v>-164000</v>
      </c>
      <c r="O62" s="875">
        <f t="shared" si="6"/>
        <v>-170900</v>
      </c>
    </row>
    <row r="63" spans="1:15" ht="12.75" customHeight="1" thickBot="1" x14ac:dyDescent="0.3">
      <c r="A63" s="2336"/>
      <c r="D63" s="893"/>
      <c r="E63" s="893"/>
      <c r="F63" s="893"/>
      <c r="G63" s="895" t="s">
        <v>536</v>
      </c>
      <c r="I63" s="880"/>
      <c r="J63" s="2333">
        <v>-60000</v>
      </c>
      <c r="K63" s="2333">
        <f t="shared" ref="K63:O63" si="7">SUM(K62)</f>
        <v>-61000</v>
      </c>
      <c r="L63" s="2333">
        <f t="shared" si="7"/>
        <v>-151000</v>
      </c>
      <c r="M63" s="2333">
        <f t="shared" si="7"/>
        <v>-157400</v>
      </c>
      <c r="N63" s="2333">
        <f t="shared" si="7"/>
        <v>-164000</v>
      </c>
      <c r="O63" s="2333">
        <f t="shared" si="7"/>
        <v>-170900</v>
      </c>
    </row>
    <row r="64" spans="1:15" ht="12.75" customHeight="1" thickTop="1" x14ac:dyDescent="0.25">
      <c r="D64" s="898"/>
      <c r="E64" s="898"/>
      <c r="F64" s="898"/>
      <c r="G64" s="899"/>
      <c r="H64" s="884"/>
      <c r="I64" s="900"/>
      <c r="J64" s="901"/>
      <c r="K64" s="901"/>
      <c r="L64" s="901"/>
      <c r="M64" s="901"/>
      <c r="N64" s="901"/>
      <c r="O64" s="901"/>
    </row>
    <row r="65" spans="4:16" ht="12.75" customHeight="1" x14ac:dyDescent="0.25">
      <c r="D65" s="865"/>
      <c r="I65" s="885"/>
      <c r="J65" s="885"/>
      <c r="K65" s="885"/>
      <c r="L65" s="885"/>
      <c r="M65" s="885"/>
      <c r="N65" s="885"/>
      <c r="O65" s="885"/>
    </row>
    <row r="66" spans="4:16" ht="12.75" customHeight="1" x14ac:dyDescent="0.25">
      <c r="D66" s="865"/>
      <c r="I66" s="885"/>
      <c r="J66" s="885"/>
      <c r="K66" s="885"/>
      <c r="L66" s="885"/>
      <c r="M66" s="885"/>
      <c r="N66" s="885"/>
      <c r="O66" s="885"/>
    </row>
    <row r="67" spans="4:16" ht="12.75" customHeight="1" x14ac:dyDescent="0.25">
      <c r="D67" s="902" t="s">
        <v>561</v>
      </c>
      <c r="E67" s="903"/>
      <c r="F67" s="903"/>
      <c r="H67" s="885"/>
    </row>
    <row r="68" spans="4:16" ht="12.75" customHeight="1" x14ac:dyDescent="0.25">
      <c r="D68" s="903"/>
      <c r="E68" s="903"/>
      <c r="F68" s="903"/>
      <c r="G68" s="868"/>
      <c r="H68" s="885"/>
    </row>
    <row r="69" spans="4:16" ht="12.75" customHeight="1" x14ac:dyDescent="0.25">
      <c r="D69" s="905">
        <v>680001</v>
      </c>
      <c r="E69" s="868" t="s">
        <v>4433</v>
      </c>
      <c r="F69" s="886"/>
      <c r="H69" s="885"/>
      <c r="J69" s="908">
        <v>2025</v>
      </c>
      <c r="K69" s="908">
        <v>2026</v>
      </c>
      <c r="L69" s="908">
        <v>2027</v>
      </c>
      <c r="M69" s="908">
        <v>2028</v>
      </c>
      <c r="N69" s="908">
        <v>2029</v>
      </c>
      <c r="O69" s="908">
        <v>2030</v>
      </c>
    </row>
    <row r="70" spans="4:16" ht="12.75" customHeight="1" x14ac:dyDescent="0.25">
      <c r="D70" s="905"/>
      <c r="E70" s="873" t="s">
        <v>533</v>
      </c>
      <c r="F70" s="886"/>
      <c r="H70" s="885"/>
      <c r="J70" s="2405"/>
      <c r="K70" s="2405"/>
      <c r="L70" s="2405"/>
      <c r="M70" s="2405"/>
      <c r="N70" s="2405"/>
      <c r="O70" s="2405"/>
    </row>
    <row r="71" spans="4:16" ht="12.75" customHeight="1" x14ac:dyDescent="0.25">
      <c r="D71" s="903">
        <v>43410</v>
      </c>
      <c r="E71" s="2341" t="s">
        <v>4434</v>
      </c>
      <c r="F71" s="903"/>
      <c r="J71" s="885">
        <v>2606000</v>
      </c>
      <c r="K71" s="885">
        <f>ROUND(2606000*S$5,-2)</f>
        <v>2725900</v>
      </c>
      <c r="L71" s="885">
        <f>ROUND(K71*T$5,-2)</f>
        <v>2840400</v>
      </c>
      <c r="M71" s="885">
        <f>ROUND(L71*U$5,-2)</f>
        <v>2959700</v>
      </c>
      <c r="N71" s="885">
        <f>ROUND(M71*V$5,-2)</f>
        <v>3084000</v>
      </c>
      <c r="O71" s="885">
        <f>ROUND(N71*W$5,-2)</f>
        <v>3213500</v>
      </c>
    </row>
    <row r="72" spans="4:16" ht="12.75" customHeight="1" x14ac:dyDescent="0.25">
      <c r="D72" s="903"/>
      <c r="E72" s="2341" t="s">
        <v>4435</v>
      </c>
      <c r="F72" s="903"/>
      <c r="J72" s="885"/>
      <c r="K72" s="885"/>
      <c r="L72" s="885"/>
      <c r="M72" s="885"/>
      <c r="N72" s="885"/>
      <c r="O72" s="885"/>
    </row>
    <row r="73" spans="4:16" ht="12.75" customHeight="1" x14ac:dyDescent="0.25">
      <c r="D73" s="903"/>
      <c r="E73" s="863" t="s">
        <v>4436</v>
      </c>
      <c r="F73" s="903"/>
      <c r="J73" s="885">
        <v>38674</v>
      </c>
      <c r="K73" s="885">
        <v>38674</v>
      </c>
      <c r="L73" s="885">
        <v>38675</v>
      </c>
      <c r="M73" s="885">
        <v>38675</v>
      </c>
      <c r="N73" s="885">
        <v>38675</v>
      </c>
      <c r="O73" s="885">
        <v>38675</v>
      </c>
    </row>
    <row r="74" spans="4:16" ht="12.75" customHeight="1" x14ac:dyDescent="0.25">
      <c r="D74" s="903"/>
      <c r="E74" s="863" t="s">
        <v>4437</v>
      </c>
      <c r="F74" s="903"/>
      <c r="J74" s="885"/>
      <c r="K74" s="885">
        <v>100000</v>
      </c>
      <c r="L74" s="885">
        <v>205000</v>
      </c>
      <c r="M74" s="885">
        <v>313000</v>
      </c>
      <c r="N74" s="885">
        <v>313000</v>
      </c>
      <c r="O74" s="885">
        <v>313000</v>
      </c>
    </row>
    <row r="75" spans="4:16" ht="12.75" customHeight="1" x14ac:dyDescent="0.25">
      <c r="D75" s="903"/>
      <c r="E75" s="863" t="s">
        <v>445</v>
      </c>
      <c r="F75" s="903"/>
      <c r="J75" s="885">
        <v>35000</v>
      </c>
      <c r="K75" s="885">
        <v>47000</v>
      </c>
      <c r="L75" s="885">
        <v>75000</v>
      </c>
      <c r="M75" s="885">
        <v>78000</v>
      </c>
      <c r="N75" s="885">
        <v>78000</v>
      </c>
      <c r="O75" s="885">
        <v>78000</v>
      </c>
    </row>
    <row r="76" spans="4:16" ht="12.75" customHeight="1" x14ac:dyDescent="0.25">
      <c r="D76" s="903"/>
      <c r="E76" s="863" t="s">
        <v>4158</v>
      </c>
      <c r="F76" s="903"/>
      <c r="J76" s="885"/>
      <c r="K76" s="885">
        <v>-1234000</v>
      </c>
      <c r="L76" s="885">
        <f>ROUND(K76*T$5,-3)</f>
        <v>-1286000</v>
      </c>
      <c r="M76" s="885">
        <f t="shared" ref="M76:O76" si="8">ROUND(L76*U$5,-3)</f>
        <v>-1340000</v>
      </c>
      <c r="N76" s="885">
        <f t="shared" si="8"/>
        <v>-1396000</v>
      </c>
      <c r="O76" s="885">
        <f t="shared" si="8"/>
        <v>-1455000</v>
      </c>
    </row>
    <row r="77" spans="4:16" ht="12.75" customHeight="1" x14ac:dyDescent="0.25">
      <c r="D77" s="903"/>
      <c r="E77" s="863" t="s">
        <v>5406</v>
      </c>
      <c r="F77" s="903"/>
      <c r="J77" s="885"/>
      <c r="K77" s="885"/>
      <c r="L77" s="2343">
        <v>100810</v>
      </c>
      <c r="M77" s="2343">
        <v>101530</v>
      </c>
      <c r="N77" s="2343">
        <v>102170</v>
      </c>
      <c r="O77" s="2343">
        <v>102720</v>
      </c>
    </row>
    <row r="78" spans="4:16" ht="12.75" customHeight="1" thickBot="1" x14ac:dyDescent="0.3">
      <c r="D78" s="903"/>
      <c r="E78" s="869" t="str">
        <f>"Totaal "&amp;D71</f>
        <v>Totaal 43410</v>
      </c>
      <c r="F78" s="903"/>
      <c r="J78" s="2342">
        <v>2679674</v>
      </c>
      <c r="K78" s="2342">
        <f>SUM(K71:K77)</f>
        <v>1677574</v>
      </c>
      <c r="L78" s="2342">
        <f t="shared" ref="L78:O78" si="9">SUM(L71:L77)</f>
        <v>1973885</v>
      </c>
      <c r="M78" s="2342">
        <f t="shared" si="9"/>
        <v>2150905</v>
      </c>
      <c r="N78" s="2342">
        <f t="shared" si="9"/>
        <v>2219845</v>
      </c>
      <c r="O78" s="2342">
        <f t="shared" si="9"/>
        <v>2290895</v>
      </c>
    </row>
    <row r="79" spans="4:16" ht="12.75" customHeight="1" thickTop="1" x14ac:dyDescent="0.25">
      <c r="D79" s="903"/>
      <c r="E79" s="885"/>
      <c r="F79" s="903"/>
      <c r="J79" s="885"/>
      <c r="K79" s="885"/>
      <c r="L79" s="885"/>
      <c r="M79" s="885"/>
      <c r="N79" s="885"/>
      <c r="O79" s="885"/>
    </row>
    <row r="80" spans="4:16" ht="12.75" customHeight="1" x14ac:dyDescent="0.25">
      <c r="E80" s="2607" t="s">
        <v>4438</v>
      </c>
      <c r="F80" s="2607"/>
      <c r="G80" s="2607"/>
      <c r="H80" s="2607"/>
      <c r="I80" s="2607"/>
      <c r="J80" s="2607"/>
      <c r="K80" s="2607"/>
      <c r="L80" s="2577"/>
      <c r="M80" s="2577"/>
      <c r="N80" s="2348"/>
      <c r="O80" s="2348"/>
      <c r="P80" s="2348"/>
    </row>
    <row r="81" spans="1:16" ht="12.75" customHeight="1" x14ac:dyDescent="0.25">
      <c r="E81" s="2607"/>
      <c r="F81" s="2607"/>
      <c r="G81" s="2607"/>
      <c r="H81" s="2607"/>
      <c r="I81" s="2607"/>
      <c r="J81" s="2607"/>
      <c r="K81" s="2607"/>
      <c r="L81" s="2577"/>
      <c r="M81" s="2577"/>
      <c r="N81" s="2348"/>
      <c r="O81" s="2348"/>
      <c r="P81" s="2348"/>
    </row>
    <row r="82" spans="1:16" ht="12.75" customHeight="1" x14ac:dyDescent="0.25">
      <c r="E82" s="2607"/>
      <c r="F82" s="2607"/>
      <c r="G82" s="2607"/>
      <c r="H82" s="2607"/>
      <c r="I82" s="2607"/>
      <c r="J82" s="2607"/>
      <c r="K82" s="2607"/>
      <c r="L82" s="2577"/>
      <c r="M82" s="2577"/>
      <c r="N82" s="2348"/>
      <c r="O82" s="2348"/>
      <c r="P82" s="2348"/>
    </row>
    <row r="83" spans="1:16" ht="12.75" customHeight="1" x14ac:dyDescent="0.25">
      <c r="E83" s="2607"/>
      <c r="F83" s="2607"/>
      <c r="G83" s="2607"/>
      <c r="H83" s="2607"/>
      <c r="I83" s="2607"/>
      <c r="J83" s="2607"/>
      <c r="K83" s="2607"/>
      <c r="L83" s="2577"/>
      <c r="M83" s="2577"/>
      <c r="N83" s="2348"/>
      <c r="O83" s="2348"/>
      <c r="P83" s="2348"/>
    </row>
    <row r="84" spans="1:16" ht="12.75" customHeight="1" x14ac:dyDescent="0.25">
      <c r="E84" s="2607"/>
      <c r="F84" s="2607"/>
      <c r="G84" s="2607"/>
      <c r="H84" s="2607"/>
      <c r="I84" s="2607"/>
      <c r="J84" s="2607"/>
      <c r="K84" s="2607"/>
      <c r="L84" s="2577"/>
      <c r="M84" s="2577"/>
      <c r="N84" s="2348"/>
      <c r="O84" s="2348"/>
      <c r="P84" s="2348"/>
    </row>
    <row r="85" spans="1:16" ht="19.2" customHeight="1" x14ac:dyDescent="0.25">
      <c r="E85" s="2607"/>
      <c r="F85" s="2607"/>
      <c r="G85" s="2607"/>
      <c r="H85" s="2607"/>
      <c r="I85" s="2607"/>
      <c r="J85" s="2607"/>
      <c r="K85" s="2607"/>
      <c r="L85" s="2577"/>
      <c r="M85" s="2577"/>
    </row>
    <row r="86" spans="1:16" ht="12.75" customHeight="1" x14ac:dyDescent="0.25">
      <c r="D86" s="903"/>
      <c r="E86" s="903"/>
      <c r="F86" s="903"/>
      <c r="G86" s="904"/>
      <c r="H86" s="2344"/>
      <c r="I86" s="885"/>
      <c r="J86" s="885"/>
      <c r="K86" s="885"/>
      <c r="L86" s="885"/>
      <c r="M86" s="885"/>
      <c r="N86" s="885"/>
      <c r="O86" s="885"/>
      <c r="P86" s="885"/>
    </row>
    <row r="87" spans="1:16" ht="12.75" customHeight="1" x14ac:dyDescent="0.25">
      <c r="D87" s="905">
        <v>680901</v>
      </c>
      <c r="E87" s="868" t="s">
        <v>4439</v>
      </c>
      <c r="F87" s="886"/>
      <c r="J87" s="908">
        <v>2025</v>
      </c>
      <c r="K87" s="908">
        <v>2026</v>
      </c>
      <c r="L87" s="908">
        <v>2027</v>
      </c>
      <c r="M87" s="908">
        <v>2028</v>
      </c>
      <c r="N87" s="908">
        <v>2029</v>
      </c>
      <c r="O87" s="908">
        <v>2030</v>
      </c>
    </row>
    <row r="88" spans="1:16" ht="12.75" customHeight="1" x14ac:dyDescent="0.25">
      <c r="D88" s="865"/>
      <c r="E88" s="873" t="s">
        <v>533</v>
      </c>
      <c r="J88" s="885"/>
      <c r="K88" s="885"/>
      <c r="L88" s="885"/>
      <c r="M88" s="885"/>
      <c r="N88" s="885"/>
      <c r="O88" s="885"/>
    </row>
    <row r="89" spans="1:16" ht="12.75" customHeight="1" x14ac:dyDescent="0.25">
      <c r="D89" s="865">
        <v>43812</v>
      </c>
      <c r="E89" s="885" t="s">
        <v>4440</v>
      </c>
      <c r="J89" s="885">
        <v>11208</v>
      </c>
      <c r="K89" s="885">
        <f>ROUND(11208*S$2,0)</f>
        <v>11499</v>
      </c>
      <c r="L89" s="885">
        <f t="shared" ref="L89:O91" si="10">ROUND(K89*T$2,0)</f>
        <v>11740</v>
      </c>
      <c r="M89" s="885">
        <f t="shared" si="10"/>
        <v>12010</v>
      </c>
      <c r="N89" s="885">
        <f t="shared" si="10"/>
        <v>12286</v>
      </c>
      <c r="O89" s="885">
        <f t="shared" si="10"/>
        <v>12569</v>
      </c>
    </row>
    <row r="90" spans="1:16" ht="12.75" customHeight="1" x14ac:dyDescent="0.25">
      <c r="D90" s="865"/>
      <c r="E90" s="885" t="s">
        <v>4441</v>
      </c>
      <c r="J90" s="885">
        <v>105073</v>
      </c>
      <c r="K90" s="885">
        <f>ROUND(105073*S$2,0)</f>
        <v>107805</v>
      </c>
      <c r="L90" s="885">
        <f t="shared" si="10"/>
        <v>110069</v>
      </c>
      <c r="M90" s="885">
        <f t="shared" si="10"/>
        <v>112601</v>
      </c>
      <c r="N90" s="885">
        <f t="shared" si="10"/>
        <v>115191</v>
      </c>
      <c r="O90" s="885">
        <f t="shared" si="10"/>
        <v>117840</v>
      </c>
    </row>
    <row r="91" spans="1:16" ht="12.75" customHeight="1" x14ac:dyDescent="0.25">
      <c r="D91" s="865"/>
      <c r="E91" s="885" t="s">
        <v>4442</v>
      </c>
      <c r="J91" s="885">
        <v>138779</v>
      </c>
      <c r="K91" s="885">
        <v>136397</v>
      </c>
      <c r="L91" s="885">
        <f t="shared" si="10"/>
        <v>139261</v>
      </c>
      <c r="M91" s="885">
        <f t="shared" si="10"/>
        <v>142464</v>
      </c>
      <c r="N91" s="885">
        <f t="shared" si="10"/>
        <v>145741</v>
      </c>
      <c r="O91" s="885">
        <f t="shared" si="10"/>
        <v>149093</v>
      </c>
    </row>
    <row r="92" spans="1:16" ht="12.75" customHeight="1" thickBot="1" x14ac:dyDescent="0.3">
      <c r="D92" s="865"/>
      <c r="E92" s="863" t="str">
        <f>"Totaal "&amp;D89</f>
        <v>Totaal 43812</v>
      </c>
      <c r="J92" s="2342">
        <v>255060</v>
      </c>
      <c r="K92" s="2342">
        <f>SUM(K89:K91)</f>
        <v>255701</v>
      </c>
      <c r="L92" s="2342">
        <f>SUM(L89:L91)</f>
        <v>261070</v>
      </c>
      <c r="M92" s="2342">
        <f>SUM(M89:M91)</f>
        <v>267075</v>
      </c>
      <c r="N92" s="2342">
        <f>SUM(N89:N91)</f>
        <v>273218</v>
      </c>
      <c r="O92" s="2342">
        <f>SUM(O89:O91)</f>
        <v>279502</v>
      </c>
    </row>
    <row r="93" spans="1:16" ht="12.75" customHeight="1" thickTop="1" x14ac:dyDescent="0.25">
      <c r="D93" s="865"/>
      <c r="I93" s="885"/>
      <c r="J93" s="885"/>
      <c r="K93" s="885"/>
      <c r="L93" s="885"/>
      <c r="M93" s="885"/>
      <c r="N93" s="885"/>
      <c r="O93" s="885"/>
      <c r="P93" s="885"/>
    </row>
    <row r="94" spans="1:16" ht="12.75" customHeight="1" x14ac:dyDescent="0.25">
      <c r="A94" s="904"/>
      <c r="D94" s="905">
        <v>680002</v>
      </c>
      <c r="E94" s="868" t="s">
        <v>4443</v>
      </c>
      <c r="F94" s="886"/>
      <c r="I94" s="885"/>
      <c r="J94" s="885"/>
      <c r="K94" s="885"/>
      <c r="L94" s="917"/>
      <c r="M94" s="885"/>
      <c r="N94" s="885"/>
      <c r="O94" s="885"/>
      <c r="P94" s="885"/>
    </row>
    <row r="95" spans="1:16" ht="12.75" customHeight="1" x14ac:dyDescent="0.25">
      <c r="A95" s="904"/>
      <c r="D95" s="905"/>
      <c r="E95" s="873" t="s">
        <v>554</v>
      </c>
      <c r="F95" s="886"/>
      <c r="I95" s="885"/>
      <c r="J95" s="885"/>
      <c r="K95" s="885"/>
      <c r="L95" s="885"/>
      <c r="M95" s="885"/>
      <c r="N95" s="885"/>
      <c r="O95" s="885"/>
      <c r="P95" s="885"/>
    </row>
    <row r="96" spans="1:16" ht="12.75" customHeight="1" x14ac:dyDescent="0.25">
      <c r="A96" s="904"/>
      <c r="E96" s="2593" t="s">
        <v>4429</v>
      </c>
      <c r="F96" s="2593"/>
      <c r="G96" s="2593"/>
      <c r="H96" s="2593"/>
      <c r="I96" s="2593"/>
      <c r="J96" s="2593"/>
      <c r="K96" s="2593"/>
      <c r="L96" s="2593"/>
      <c r="M96" s="2593"/>
      <c r="N96" s="2348"/>
      <c r="O96" s="2348"/>
      <c r="P96" s="2344"/>
    </row>
    <row r="97" spans="1:16" ht="12.75" customHeight="1" x14ac:dyDescent="0.25">
      <c r="A97" s="904"/>
      <c r="E97" s="2593"/>
      <c r="F97" s="2593"/>
      <c r="G97" s="2593"/>
      <c r="H97" s="2593"/>
      <c r="I97" s="2593"/>
      <c r="J97" s="2593"/>
      <c r="K97" s="2593"/>
      <c r="L97" s="2593"/>
      <c r="M97" s="2593"/>
      <c r="N97" s="2348"/>
      <c r="O97" s="2348"/>
      <c r="P97" s="2344"/>
    </row>
    <row r="98" spans="1:16" ht="12.75" customHeight="1" x14ac:dyDescent="0.25">
      <c r="A98" s="904"/>
      <c r="E98" s="2606" t="s">
        <v>4430</v>
      </c>
      <c r="F98" s="2606"/>
      <c r="G98" s="2606"/>
      <c r="H98" s="2606"/>
      <c r="I98" s="2606"/>
      <c r="J98" s="2606"/>
      <c r="K98" s="2606"/>
      <c r="L98" s="300"/>
      <c r="M98" s="300"/>
      <c r="N98" s="300"/>
      <c r="O98" s="300"/>
      <c r="P98" s="2344"/>
    </row>
    <row r="99" spans="1:16" ht="18" customHeight="1" x14ac:dyDescent="0.25">
      <c r="A99" s="904"/>
      <c r="E99" s="2606"/>
      <c r="F99" s="2606"/>
      <c r="G99" s="2606"/>
      <c r="H99" s="2606"/>
      <c r="I99" s="2606"/>
      <c r="J99" s="2606"/>
      <c r="K99" s="2606"/>
      <c r="L99" s="885"/>
      <c r="M99" s="885"/>
      <c r="N99" s="885"/>
      <c r="O99" s="885"/>
      <c r="P99" s="885"/>
    </row>
    <row r="100" spans="1:16" ht="12.75" customHeight="1" x14ac:dyDescent="0.25">
      <c r="A100" s="904"/>
      <c r="I100" s="885"/>
      <c r="J100" s="908">
        <v>2025</v>
      </c>
      <c r="K100" s="908">
        <v>2026</v>
      </c>
      <c r="L100" s="908">
        <v>2027</v>
      </c>
      <c r="M100" s="908">
        <v>2028</v>
      </c>
      <c r="N100" s="908">
        <v>2029</v>
      </c>
      <c r="O100" s="908">
        <v>2030</v>
      </c>
    </row>
    <row r="101" spans="1:16" ht="12.75" customHeight="1" x14ac:dyDescent="0.25">
      <c r="A101" s="904"/>
      <c r="I101" s="885"/>
    </row>
    <row r="102" spans="1:16" ht="12.75" customHeight="1" x14ac:dyDescent="0.25">
      <c r="A102" s="904"/>
      <c r="D102" s="903">
        <v>83420</v>
      </c>
      <c r="E102" s="863" t="s">
        <v>4444</v>
      </c>
      <c r="F102" s="903"/>
      <c r="I102" s="885"/>
      <c r="J102" s="885"/>
      <c r="K102" s="885"/>
      <c r="L102" s="885"/>
      <c r="M102" s="885"/>
      <c r="N102" s="885"/>
      <c r="O102" s="885"/>
    </row>
    <row r="103" spans="1:16" ht="12.75" customHeight="1" x14ac:dyDescent="0.25">
      <c r="A103" s="904"/>
      <c r="D103" s="903"/>
      <c r="E103" s="863" t="s">
        <v>4445</v>
      </c>
      <c r="F103" s="903"/>
      <c r="I103" s="885"/>
      <c r="J103" s="885"/>
      <c r="K103" s="885"/>
      <c r="L103" s="885"/>
      <c r="M103" s="885"/>
      <c r="N103" s="885"/>
      <c r="O103" s="885"/>
    </row>
    <row r="104" spans="1:16" ht="12.75" customHeight="1" x14ac:dyDescent="0.25">
      <c r="A104" s="904"/>
      <c r="D104" s="903"/>
      <c r="E104" s="863" t="s">
        <v>4431</v>
      </c>
      <c r="F104" s="903"/>
      <c r="I104" s="885"/>
      <c r="J104" s="885">
        <v>-60000</v>
      </c>
      <c r="K104" s="885">
        <v>-120000</v>
      </c>
      <c r="L104" s="885">
        <f>ROUND(K104*T$5,-2)</f>
        <v>-125000</v>
      </c>
      <c r="M104" s="885">
        <f>ROUND(L104*U$5,-2)</f>
        <v>-130300</v>
      </c>
      <c r="N104" s="885">
        <f>ROUND(M104*V$5,-2)</f>
        <v>-135800</v>
      </c>
      <c r="O104" s="885">
        <f>ROUND(N104*W$5,-2)</f>
        <v>-141500</v>
      </c>
    </row>
    <row r="105" spans="1:16" ht="12.75" customHeight="1" x14ac:dyDescent="0.25">
      <c r="A105" s="904"/>
      <c r="D105" s="903"/>
      <c r="E105" s="863" t="s">
        <v>4086</v>
      </c>
      <c r="F105" s="903"/>
      <c r="I105" s="885"/>
      <c r="J105" s="885"/>
      <c r="K105" s="885">
        <v>59000</v>
      </c>
      <c r="L105" s="885">
        <v>0</v>
      </c>
      <c r="M105" s="885">
        <v>0</v>
      </c>
      <c r="N105" s="885">
        <v>0</v>
      </c>
      <c r="O105" s="885">
        <v>0</v>
      </c>
    </row>
    <row r="106" spans="1:16" ht="12.75" customHeight="1" x14ac:dyDescent="0.25">
      <c r="A106" s="904"/>
      <c r="D106" s="903"/>
      <c r="E106" s="863" t="s">
        <v>5406</v>
      </c>
      <c r="F106" s="903"/>
      <c r="I106" s="885"/>
      <c r="J106" s="885"/>
      <c r="K106" s="885"/>
      <c r="L106" s="2343">
        <v>-26000</v>
      </c>
      <c r="M106" s="2343">
        <f>ROUND(L106*U$5,-2)</f>
        <v>-27100</v>
      </c>
      <c r="N106" s="2343">
        <f>ROUND(M106*V$5,-2)</f>
        <v>-28200</v>
      </c>
      <c r="O106" s="2343">
        <f>ROUND(N106*W$5,-2)</f>
        <v>-29400</v>
      </c>
    </row>
    <row r="107" spans="1:16" ht="12.75" customHeight="1" thickBot="1" x14ac:dyDescent="0.3">
      <c r="A107" s="904"/>
      <c r="E107" s="869" t="str">
        <f>"Totaal "&amp;D102</f>
        <v>Totaal 83420</v>
      </c>
      <c r="I107" s="885"/>
      <c r="J107" s="2342">
        <v>-60000</v>
      </c>
      <c r="K107" s="2342">
        <f>SUM(K102:K106)</f>
        <v>-61000</v>
      </c>
      <c r="L107" s="2342">
        <f t="shared" ref="L107:O107" si="11">SUM(L102:L106)</f>
        <v>-151000</v>
      </c>
      <c r="M107" s="2342">
        <f t="shared" si="11"/>
        <v>-157400</v>
      </c>
      <c r="N107" s="2342">
        <f t="shared" si="11"/>
        <v>-164000</v>
      </c>
      <c r="O107" s="2342">
        <f t="shared" si="11"/>
        <v>-170900</v>
      </c>
    </row>
    <row r="108" spans="1:16" ht="12.75" customHeight="1" thickTop="1" x14ac:dyDescent="0.25">
      <c r="A108" s="904"/>
      <c r="I108" s="885"/>
      <c r="J108" s="885"/>
      <c r="K108" s="885"/>
      <c r="L108" s="885"/>
      <c r="M108" s="885"/>
      <c r="N108" s="885"/>
      <c r="O108" s="885"/>
      <c r="P108" s="885"/>
    </row>
  </sheetData>
  <mergeCells count="6">
    <mergeCell ref="E98:K99"/>
    <mergeCell ref="D47:D48"/>
    <mergeCell ref="F47:F48"/>
    <mergeCell ref="G47:H48"/>
    <mergeCell ref="E80:M85"/>
    <mergeCell ref="E96:M97"/>
  </mergeCells>
  <hyperlinks>
    <hyperlink ref="A1" location="Inhoudsopgave!A1" display="Inhoudsopgave" xr:uid="{A5B2F178-713A-4434-BD45-CD7A24D09778}"/>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66" min="3" max="14"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0CC5-8D20-4297-AA53-1457FF2CC0F4}">
  <dimension ref="A1:W76"/>
  <sheetViews>
    <sheetView showGridLines="0" view="pageBreakPreview" topLeftCell="A13" zoomScaleNormal="100" zoomScaleSheetLayoutView="100" workbookViewId="0">
      <selection activeCell="R45" sqref="R44:R45"/>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66</v>
      </c>
      <c r="H2" s="869" t="s">
        <v>4446</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E5" s="870" t="s">
        <v>4447</v>
      </c>
      <c r="P5" s="863" t="s">
        <v>3334</v>
      </c>
      <c r="S5" s="495">
        <v>1.046</v>
      </c>
      <c r="T5" s="2345">
        <f>Indexering!J7</f>
        <v>1.042</v>
      </c>
      <c r="U5" s="2345">
        <f>Indexering!K7</f>
        <v>1.042</v>
      </c>
      <c r="V5" s="2345">
        <f>Indexering!L7</f>
        <v>1.042</v>
      </c>
      <c r="W5" s="2345">
        <f>Indexering!M7</f>
        <v>1.042</v>
      </c>
    </row>
    <row r="7" spans="1:23" ht="12.75" customHeight="1" x14ac:dyDescent="0.25">
      <c r="E7" s="864"/>
    </row>
    <row r="8" spans="1:23" ht="12.75" customHeight="1" x14ac:dyDescent="0.25">
      <c r="E8" s="2411"/>
    </row>
    <row r="9" spans="1:23" ht="12.75" customHeight="1" x14ac:dyDescent="0.25">
      <c r="E9" s="2411"/>
    </row>
    <row r="10" spans="1:23" ht="12.75" customHeight="1" x14ac:dyDescent="0.25">
      <c r="E10" s="864"/>
    </row>
    <row r="11" spans="1:23" ht="12.75" customHeight="1" x14ac:dyDescent="0.25">
      <c r="E11" s="864"/>
    </row>
    <row r="12" spans="1:23" ht="12.75" customHeight="1" x14ac:dyDescent="0.25">
      <c r="E12" s="2411"/>
    </row>
    <row r="14" spans="1:23" ht="12.75" customHeight="1" x14ac:dyDescent="0.25">
      <c r="E14" s="864"/>
    </row>
    <row r="15" spans="1:23" ht="12.75" customHeight="1" x14ac:dyDescent="0.25">
      <c r="E15" s="2411"/>
    </row>
    <row r="16" spans="1:23" ht="12.75" customHeight="1" x14ac:dyDescent="0.25">
      <c r="E16" s="2411"/>
    </row>
    <row r="17" spans="4:15" ht="12.75" customHeight="1" x14ac:dyDescent="0.25">
      <c r="E17" s="864"/>
    </row>
    <row r="19" spans="4:15" ht="12.75" customHeight="1" x14ac:dyDescent="0.25">
      <c r="E19" s="864"/>
    </row>
    <row r="20" spans="4:15" ht="12.75" customHeight="1" x14ac:dyDescent="0.25">
      <c r="E20" s="864"/>
    </row>
    <row r="22" spans="4:15" ht="12.75" customHeight="1" x14ac:dyDescent="0.25">
      <c r="D22" s="870" t="s">
        <v>507</v>
      </c>
      <c r="E22" s="864"/>
      <c r="F22" s="864"/>
    </row>
    <row r="23" spans="4:15" ht="12.75" customHeight="1" x14ac:dyDescent="0.25">
      <c r="E23" s="864"/>
      <c r="F23" s="864"/>
    </row>
    <row r="24" spans="4:15" ht="12.75" customHeight="1" x14ac:dyDescent="0.25">
      <c r="D24" s="2310" t="s">
        <v>508</v>
      </c>
      <c r="E24" s="2311"/>
      <c r="F24" s="2311"/>
      <c r="G24" s="2312"/>
      <c r="H24" s="2312"/>
      <c r="I24" s="2313"/>
      <c r="J24" s="2313">
        <v>2025</v>
      </c>
      <c r="K24" s="2313">
        <v>2026</v>
      </c>
      <c r="L24" s="2313">
        <v>2027</v>
      </c>
      <c r="M24" s="2313">
        <v>2028</v>
      </c>
      <c r="N24" s="2313">
        <v>2029</v>
      </c>
      <c r="O24" s="2313">
        <v>2030</v>
      </c>
    </row>
    <row r="25" spans="4:15" ht="12.75" customHeight="1" x14ac:dyDescent="0.25">
      <c r="D25" s="871" t="str">
        <f>G47</f>
        <v>Wmo dagbesteding</v>
      </c>
      <c r="E25" s="872"/>
      <c r="F25" s="872"/>
      <c r="G25" s="873"/>
      <c r="H25" s="873"/>
      <c r="I25" s="874"/>
      <c r="J25" s="875">
        <v>551800</v>
      </c>
      <c r="K25" s="875">
        <f t="shared" ref="K25:O25" si="0">K50</f>
        <v>617200</v>
      </c>
      <c r="L25" s="875">
        <f t="shared" si="0"/>
        <v>702900</v>
      </c>
      <c r="M25" s="875">
        <f t="shared" si="0"/>
        <v>732500</v>
      </c>
      <c r="N25" s="875">
        <f t="shared" si="0"/>
        <v>763200</v>
      </c>
      <c r="O25" s="875">
        <f t="shared" si="0"/>
        <v>795200</v>
      </c>
    </row>
    <row r="26" spans="4:15" ht="12.75" customHeight="1" x14ac:dyDescent="0.25">
      <c r="D26" s="876" t="str">
        <f>G52</f>
        <v>Inloopfunctie GGZ</v>
      </c>
      <c r="E26" s="877"/>
      <c r="F26" s="878"/>
      <c r="I26" s="879"/>
      <c r="J26" s="875">
        <v>110400</v>
      </c>
      <c r="K26" s="875">
        <f t="shared" ref="K26:O26" si="1">K55</f>
        <v>115500</v>
      </c>
      <c r="L26" s="875">
        <f t="shared" si="1"/>
        <v>145900</v>
      </c>
      <c r="M26" s="875">
        <f t="shared" si="1"/>
        <v>152100</v>
      </c>
      <c r="N26" s="875">
        <f t="shared" si="1"/>
        <v>158500</v>
      </c>
      <c r="O26" s="875">
        <f t="shared" si="1"/>
        <v>165200</v>
      </c>
    </row>
    <row r="27" spans="4:15" ht="12.75" customHeight="1" x14ac:dyDescent="0.25">
      <c r="D27" s="876"/>
      <c r="E27" s="877"/>
      <c r="F27" s="878"/>
      <c r="I27" s="879"/>
      <c r="J27" s="274"/>
      <c r="K27" s="274"/>
      <c r="L27" s="274"/>
      <c r="M27" s="274"/>
      <c r="N27" s="274"/>
      <c r="O27" s="274"/>
    </row>
    <row r="28" spans="4:15" ht="12.75" customHeight="1" x14ac:dyDescent="0.25">
      <c r="D28" s="876"/>
      <c r="E28" s="877"/>
      <c r="F28" s="878"/>
      <c r="I28" s="879"/>
      <c r="J28" s="274"/>
      <c r="K28" s="274"/>
      <c r="L28" s="274"/>
      <c r="M28" s="274"/>
      <c r="N28" s="274"/>
      <c r="O28" s="274"/>
    </row>
    <row r="29" spans="4:15" ht="12.75" customHeight="1" x14ac:dyDescent="0.25">
      <c r="D29" s="876"/>
      <c r="E29" s="877"/>
      <c r="F29" s="878"/>
      <c r="I29" s="879"/>
      <c r="J29" s="274"/>
      <c r="K29" s="274"/>
      <c r="L29" s="274"/>
      <c r="M29" s="274"/>
      <c r="N29" s="274"/>
      <c r="O29" s="274"/>
    </row>
    <row r="30" spans="4:15" ht="12.75" customHeight="1" x14ac:dyDescent="0.25">
      <c r="D30" s="2316" t="s">
        <v>525</v>
      </c>
      <c r="E30" s="2317"/>
      <c r="F30" s="2318"/>
      <c r="G30" s="2319"/>
      <c r="H30" s="2319"/>
      <c r="I30" s="2320"/>
      <c r="J30" s="2321">
        <v>662200</v>
      </c>
      <c r="K30" s="2321">
        <f>SUM(K25:K29)</f>
        <v>732700</v>
      </c>
      <c r="L30" s="2321">
        <f>SUM(L25:L29)</f>
        <v>848800</v>
      </c>
      <c r="M30" s="2321">
        <f>SUM(M25:M29)</f>
        <v>884600</v>
      </c>
      <c r="N30" s="2321">
        <f>SUM(N25:N29)</f>
        <v>921700</v>
      </c>
      <c r="O30" s="2321">
        <f>SUM(O25:O29)</f>
        <v>960400</v>
      </c>
    </row>
    <row r="31" spans="4:15" ht="12.75" customHeight="1" x14ac:dyDescent="0.25">
      <c r="E31" s="877"/>
      <c r="F31" s="878"/>
    </row>
    <row r="32" spans="4:15" ht="12.75" customHeight="1" x14ac:dyDescent="0.25">
      <c r="D32" s="2310" t="s">
        <v>526</v>
      </c>
      <c r="E32" s="2311"/>
      <c r="F32" s="2311"/>
      <c r="G32" s="2312"/>
      <c r="H32" s="2312"/>
      <c r="I32" s="2313"/>
      <c r="J32" s="2313">
        <v>2025</v>
      </c>
      <c r="K32" s="2313">
        <v>2026</v>
      </c>
      <c r="L32" s="2313">
        <v>2027</v>
      </c>
      <c r="M32" s="2313">
        <v>2028</v>
      </c>
      <c r="N32" s="2313">
        <v>2029</v>
      </c>
      <c r="O32" s="2313">
        <v>2030</v>
      </c>
    </row>
    <row r="33" spans="4:15" ht="12.75" customHeight="1" x14ac:dyDescent="0.25">
      <c r="D33" s="876"/>
      <c r="E33" s="877"/>
      <c r="F33" s="878"/>
      <c r="I33" s="879"/>
      <c r="J33" s="875"/>
      <c r="K33" s="875"/>
      <c r="L33" s="875"/>
      <c r="M33" s="875"/>
      <c r="N33" s="875"/>
      <c r="O33" s="875"/>
    </row>
    <row r="34" spans="4:15" ht="12.75" customHeight="1" x14ac:dyDescent="0.25">
      <c r="D34" s="876"/>
      <c r="E34" s="877"/>
      <c r="F34" s="878"/>
      <c r="I34" s="879"/>
      <c r="J34" s="875"/>
      <c r="K34" s="875"/>
      <c r="L34" s="875"/>
      <c r="M34" s="875"/>
      <c r="N34" s="875"/>
      <c r="O34" s="875"/>
    </row>
    <row r="35" spans="4:15" ht="12.75" customHeight="1" x14ac:dyDescent="0.25">
      <c r="D35" s="876"/>
      <c r="E35" s="877"/>
      <c r="F35" s="878"/>
      <c r="I35" s="879"/>
      <c r="J35" s="880"/>
      <c r="K35" s="880"/>
      <c r="L35" s="880"/>
      <c r="M35" s="880"/>
      <c r="N35" s="880"/>
      <c r="O35" s="880"/>
    </row>
    <row r="36" spans="4:15" ht="12.75" customHeight="1" x14ac:dyDescent="0.25">
      <c r="D36" s="876"/>
      <c r="E36" s="877"/>
      <c r="F36" s="878"/>
      <c r="I36" s="879"/>
      <c r="J36" s="880"/>
      <c r="K36" s="880"/>
      <c r="L36" s="880"/>
      <c r="M36" s="880"/>
      <c r="N36" s="880"/>
      <c r="O36" s="880"/>
    </row>
    <row r="37" spans="4:15" ht="12.75" customHeight="1" x14ac:dyDescent="0.25">
      <c r="D37" s="2316" t="s">
        <v>328</v>
      </c>
      <c r="E37" s="2317"/>
      <c r="F37" s="2318"/>
      <c r="G37" s="2319"/>
      <c r="H37" s="2319"/>
      <c r="I37" s="2320"/>
      <c r="J37" s="2321">
        <v>0</v>
      </c>
      <c r="K37" s="2321">
        <f>SUM(K33:K36)</f>
        <v>0</v>
      </c>
      <c r="L37" s="2321">
        <f>SUM(L33:L36)</f>
        <v>0</v>
      </c>
      <c r="M37" s="2321">
        <f>SUM(M33:M36)</f>
        <v>0</v>
      </c>
      <c r="N37" s="2321">
        <f>SUM(N33:N36)</f>
        <v>0</v>
      </c>
      <c r="O37" s="2321">
        <f>SUM(O33:O36)</f>
        <v>0</v>
      </c>
    </row>
    <row r="38" spans="4:15" ht="12.75" customHeight="1" x14ac:dyDescent="0.25">
      <c r="E38" s="877"/>
      <c r="F38" s="878"/>
      <c r="J38" s="885"/>
      <c r="K38" s="885"/>
      <c r="L38" s="885"/>
      <c r="M38" s="885"/>
      <c r="N38" s="885"/>
      <c r="O38" s="885"/>
    </row>
    <row r="39" spans="4:15" ht="12.75" customHeight="1" x14ac:dyDescent="0.3">
      <c r="D39" s="2322" t="s">
        <v>976</v>
      </c>
      <c r="E39" s="2323"/>
      <c r="F39" s="2323"/>
      <c r="G39" s="2319"/>
      <c r="H39" s="2319"/>
      <c r="I39" s="2319"/>
      <c r="J39" s="2324">
        <v>662200</v>
      </c>
      <c r="K39" s="2324">
        <f>K30+K37</f>
        <v>732700</v>
      </c>
      <c r="L39" s="2324">
        <f>L30+L37</f>
        <v>848800</v>
      </c>
      <c r="M39" s="2324">
        <f>M30+M37</f>
        <v>884600</v>
      </c>
      <c r="N39" s="2324">
        <f>N30+N37</f>
        <v>921700</v>
      </c>
      <c r="O39" s="2324">
        <f>O30+O37</f>
        <v>960400</v>
      </c>
    </row>
    <row r="40" spans="4:15" ht="12.75" customHeight="1" x14ac:dyDescent="0.25">
      <c r="E40" s="877"/>
      <c r="F40" s="878"/>
      <c r="J40" s="885"/>
      <c r="K40" s="885"/>
      <c r="L40" s="885"/>
      <c r="M40" s="885"/>
      <c r="N40" s="885"/>
      <c r="O40" s="885"/>
    </row>
    <row r="41" spans="4:15" ht="12.75" customHeight="1" x14ac:dyDescent="0.25">
      <c r="E41" s="864"/>
      <c r="F41" s="864"/>
      <c r="J41" s="885"/>
      <c r="K41" s="885"/>
      <c r="L41" s="885"/>
      <c r="M41" s="885"/>
      <c r="N41" s="885"/>
      <c r="O41" s="885"/>
    </row>
    <row r="42" spans="4:15" ht="12.75" customHeight="1" x14ac:dyDescent="0.25">
      <c r="D42" s="870" t="s">
        <v>528</v>
      </c>
      <c r="E42" s="886"/>
      <c r="F42" s="886"/>
      <c r="I42" s="885"/>
      <c r="J42" s="885"/>
      <c r="K42" s="885"/>
      <c r="L42" s="885"/>
      <c r="M42" s="885"/>
      <c r="N42" s="885"/>
      <c r="O42" s="885"/>
    </row>
    <row r="44" spans="4:15" ht="12.75" customHeight="1" x14ac:dyDescent="0.25">
      <c r="D44" s="2585" t="s">
        <v>531</v>
      </c>
      <c r="E44" s="2325" t="s">
        <v>530</v>
      </c>
      <c r="F44" s="2585" t="s">
        <v>531</v>
      </c>
      <c r="G44" s="2587" t="s">
        <v>206</v>
      </c>
      <c r="H44" s="2588"/>
      <c r="I44" s="2326"/>
      <c r="J44" s="2320"/>
      <c r="K44" s="2320"/>
      <c r="L44" s="2320"/>
      <c r="M44" s="2320"/>
      <c r="N44" s="2320"/>
      <c r="O44" s="2320"/>
    </row>
    <row r="45" spans="4:15" ht="12.75" customHeight="1" x14ac:dyDescent="0.25">
      <c r="D45" s="2586"/>
      <c r="E45" s="887" t="s">
        <v>532</v>
      </c>
      <c r="F45" s="2586"/>
      <c r="G45" s="2589"/>
      <c r="H45" s="2590"/>
      <c r="I45" s="276"/>
      <c r="J45" s="2327">
        <v>2025</v>
      </c>
      <c r="K45" s="2327">
        <v>2026</v>
      </c>
      <c r="L45" s="2327">
        <v>2027</v>
      </c>
      <c r="M45" s="2327">
        <v>2028</v>
      </c>
      <c r="N45" s="2327">
        <v>2029</v>
      </c>
      <c r="O45" s="2327">
        <v>2030</v>
      </c>
    </row>
    <row r="46" spans="4:15" ht="12.75" customHeight="1" x14ac:dyDescent="0.25">
      <c r="D46" s="2328"/>
      <c r="E46" s="888"/>
      <c r="F46" s="888"/>
      <c r="G46" s="2329"/>
      <c r="H46" s="889"/>
      <c r="I46" s="2326"/>
      <c r="J46" s="2328"/>
      <c r="K46" s="2328"/>
      <c r="L46" s="2328"/>
      <c r="M46" s="2328"/>
      <c r="N46" s="2328"/>
      <c r="O46" s="2328"/>
    </row>
    <row r="47" spans="4:15" ht="12.75" customHeight="1" x14ac:dyDescent="0.25">
      <c r="D47" s="890">
        <f>D62</f>
        <v>681001</v>
      </c>
      <c r="E47" s="891"/>
      <c r="F47" s="891"/>
      <c r="G47" s="892" t="str">
        <f>E62</f>
        <v>Wmo dagbesteding</v>
      </c>
      <c r="I47" s="880"/>
      <c r="J47" s="875"/>
      <c r="K47" s="875"/>
      <c r="L47" s="875"/>
      <c r="M47" s="875"/>
      <c r="N47" s="875"/>
      <c r="O47" s="875"/>
    </row>
    <row r="48" spans="4:15" ht="12.75" customHeight="1" x14ac:dyDescent="0.25">
      <c r="D48" s="893"/>
      <c r="E48" s="893"/>
      <c r="F48" s="893"/>
      <c r="G48" s="894" t="s">
        <v>533</v>
      </c>
      <c r="I48" s="880"/>
      <c r="J48" s="875"/>
      <c r="K48" s="875"/>
      <c r="L48" s="875"/>
      <c r="M48" s="875"/>
      <c r="N48" s="875"/>
      <c r="O48" s="875"/>
    </row>
    <row r="49" spans="1:15" ht="12.75" customHeight="1" x14ac:dyDescent="0.25">
      <c r="A49" s="862">
        <f>D47</f>
        <v>681001</v>
      </c>
      <c r="B49" s="863" t="str">
        <f>G47</f>
        <v>Wmo dagbesteding</v>
      </c>
      <c r="D49" s="893">
        <v>43410</v>
      </c>
      <c r="E49" s="893"/>
      <c r="F49" s="893"/>
      <c r="G49" s="895" t="s">
        <v>3341</v>
      </c>
      <c r="I49" s="880"/>
      <c r="J49" s="875">
        <v>551800</v>
      </c>
      <c r="K49" s="875">
        <f t="shared" ref="K49:O49" si="2">K67</f>
        <v>617200</v>
      </c>
      <c r="L49" s="875">
        <f t="shared" si="2"/>
        <v>702900</v>
      </c>
      <c r="M49" s="875">
        <f t="shared" si="2"/>
        <v>732500</v>
      </c>
      <c r="N49" s="875">
        <f t="shared" si="2"/>
        <v>763200</v>
      </c>
      <c r="O49" s="875">
        <f t="shared" si="2"/>
        <v>795200</v>
      </c>
    </row>
    <row r="50" spans="1:15" ht="12.75" customHeight="1" thickBot="1" x14ac:dyDescent="0.3">
      <c r="A50" s="896"/>
      <c r="D50" s="893"/>
      <c r="E50" s="893"/>
      <c r="F50" s="893"/>
      <c r="G50" s="895" t="s">
        <v>536</v>
      </c>
      <c r="I50" s="880"/>
      <c r="J50" s="897">
        <v>551800</v>
      </c>
      <c r="K50" s="897">
        <f t="shared" ref="K50:O50" si="3">SUM(K49:K49)</f>
        <v>617200</v>
      </c>
      <c r="L50" s="897">
        <f t="shared" si="3"/>
        <v>702900</v>
      </c>
      <c r="M50" s="897">
        <f t="shared" si="3"/>
        <v>732500</v>
      </c>
      <c r="N50" s="897">
        <f t="shared" si="3"/>
        <v>763200</v>
      </c>
      <c r="O50" s="897">
        <f t="shared" si="3"/>
        <v>795200</v>
      </c>
    </row>
    <row r="51" spans="1:15" ht="12.75" customHeight="1" thickTop="1" x14ac:dyDescent="0.25">
      <c r="D51" s="893"/>
      <c r="E51" s="893"/>
      <c r="F51" s="893"/>
      <c r="G51" s="895"/>
      <c r="I51" s="880"/>
      <c r="J51" s="875"/>
      <c r="K51" s="875"/>
      <c r="L51" s="875"/>
      <c r="M51" s="875"/>
      <c r="N51" s="875"/>
      <c r="O51" s="875"/>
    </row>
    <row r="52" spans="1:15" ht="12.75" customHeight="1" x14ac:dyDescent="0.25">
      <c r="D52" s="890">
        <f>D69</f>
        <v>681002</v>
      </c>
      <c r="E52" s="891"/>
      <c r="F52" s="891"/>
      <c r="G52" s="906" t="str">
        <f>E69</f>
        <v>Inloopfunctie GGZ</v>
      </c>
      <c r="I52" s="880"/>
      <c r="J52" s="875"/>
      <c r="K52" s="875"/>
      <c r="L52" s="875"/>
      <c r="M52" s="875"/>
      <c r="N52" s="875"/>
      <c r="O52" s="875"/>
    </row>
    <row r="53" spans="1:15" ht="12.75" customHeight="1" x14ac:dyDescent="0.25">
      <c r="D53" s="2330"/>
      <c r="E53" s="2335"/>
      <c r="F53" s="2335"/>
      <c r="G53" s="894" t="s">
        <v>533</v>
      </c>
      <c r="I53" s="880"/>
      <c r="J53" s="875"/>
      <c r="K53" s="875"/>
      <c r="L53" s="875"/>
      <c r="M53" s="875"/>
      <c r="N53" s="875"/>
      <c r="O53" s="875"/>
    </row>
    <row r="54" spans="1:15" ht="12.75" customHeight="1" x14ac:dyDescent="0.25">
      <c r="A54" s="862">
        <f>D52</f>
        <v>681002</v>
      </c>
      <c r="B54" s="863" t="str">
        <f>G52</f>
        <v>Inloopfunctie GGZ</v>
      </c>
      <c r="D54" s="2331">
        <v>44380</v>
      </c>
      <c r="E54" s="2331"/>
      <c r="F54" s="893"/>
      <c r="G54" s="895" t="s">
        <v>4448</v>
      </c>
      <c r="I54" s="880"/>
      <c r="J54" s="901">
        <v>110400</v>
      </c>
      <c r="K54" s="901">
        <f t="shared" ref="K54:O54" si="4">K73</f>
        <v>115500</v>
      </c>
      <c r="L54" s="901">
        <f t="shared" si="4"/>
        <v>145900</v>
      </c>
      <c r="M54" s="901">
        <f t="shared" si="4"/>
        <v>152100</v>
      </c>
      <c r="N54" s="901">
        <f t="shared" si="4"/>
        <v>158500</v>
      </c>
      <c r="O54" s="901">
        <f t="shared" si="4"/>
        <v>165200</v>
      </c>
    </row>
    <row r="55" spans="1:15" ht="12.75" customHeight="1" thickBot="1" x14ac:dyDescent="0.3">
      <c r="D55" s="893"/>
      <c r="E55" s="893"/>
      <c r="F55" s="893"/>
      <c r="G55" s="895" t="s">
        <v>536</v>
      </c>
      <c r="I55" s="880"/>
      <c r="J55" s="2333">
        <v>110400</v>
      </c>
      <c r="K55" s="2333">
        <f t="shared" ref="K55:O55" si="5">SUM(K54)</f>
        <v>115500</v>
      </c>
      <c r="L55" s="2333">
        <f t="shared" si="5"/>
        <v>145900</v>
      </c>
      <c r="M55" s="2333">
        <f t="shared" si="5"/>
        <v>152100</v>
      </c>
      <c r="N55" s="2333">
        <f t="shared" si="5"/>
        <v>158500</v>
      </c>
      <c r="O55" s="2333">
        <f t="shared" si="5"/>
        <v>165200</v>
      </c>
    </row>
    <row r="56" spans="1:15" ht="12.75" customHeight="1" thickTop="1" x14ac:dyDescent="0.25">
      <c r="D56" s="893"/>
      <c r="E56" s="893"/>
      <c r="F56" s="893"/>
      <c r="G56" s="895"/>
      <c r="I56" s="880"/>
      <c r="J56" s="2370"/>
      <c r="K56" s="2370"/>
      <c r="L56" s="2370"/>
      <c r="M56" s="2370"/>
      <c r="N56" s="2370"/>
      <c r="O56" s="2370"/>
    </row>
    <row r="57" spans="1:15" ht="12.75" customHeight="1" x14ac:dyDescent="0.25">
      <c r="D57" s="898"/>
      <c r="E57" s="898"/>
      <c r="F57" s="898"/>
      <c r="G57" s="899"/>
      <c r="H57" s="884"/>
      <c r="I57" s="900"/>
      <c r="J57" s="901"/>
      <c r="K57" s="901"/>
      <c r="L57" s="901"/>
      <c r="M57" s="901"/>
      <c r="N57" s="901"/>
      <c r="O57" s="901"/>
    </row>
    <row r="58" spans="1:15" ht="12.75" customHeight="1" x14ac:dyDescent="0.25">
      <c r="D58" s="865"/>
      <c r="I58" s="885"/>
      <c r="J58" s="885"/>
      <c r="K58" s="885"/>
      <c r="L58" s="885"/>
      <c r="M58" s="885"/>
      <c r="N58" s="885"/>
      <c r="O58" s="885"/>
    </row>
    <row r="59" spans="1:15" ht="12.75" customHeight="1" x14ac:dyDescent="0.25">
      <c r="D59" s="865"/>
      <c r="I59" s="885"/>
      <c r="J59" s="885"/>
      <c r="K59" s="885"/>
      <c r="L59" s="885"/>
      <c r="M59" s="885"/>
      <c r="N59" s="885"/>
      <c r="O59" s="885"/>
    </row>
    <row r="60" spans="1:15" ht="12.75" customHeight="1" x14ac:dyDescent="0.25">
      <c r="D60" s="902" t="s">
        <v>561</v>
      </c>
      <c r="E60" s="903"/>
      <c r="F60" s="903"/>
      <c r="H60" s="885"/>
    </row>
    <row r="61" spans="1:15" ht="12.75" customHeight="1" x14ac:dyDescent="0.25">
      <c r="D61" s="903"/>
      <c r="E61" s="903"/>
      <c r="F61" s="903"/>
      <c r="G61" s="868"/>
      <c r="H61" s="885"/>
    </row>
    <row r="62" spans="1:15" ht="12.75" customHeight="1" x14ac:dyDescent="0.25">
      <c r="D62" s="905">
        <v>681001</v>
      </c>
      <c r="E62" s="868" t="s">
        <v>4449</v>
      </c>
      <c r="F62" s="886"/>
      <c r="H62" s="885"/>
      <c r="J62" s="908">
        <v>2025</v>
      </c>
      <c r="K62" s="908">
        <v>2026</v>
      </c>
      <c r="L62" s="908">
        <v>2027</v>
      </c>
      <c r="M62" s="908">
        <v>2028</v>
      </c>
      <c r="N62" s="908">
        <v>2029</v>
      </c>
      <c r="O62" s="908">
        <v>2030</v>
      </c>
    </row>
    <row r="63" spans="1:15" ht="12.75" customHeight="1" x14ac:dyDescent="0.25">
      <c r="D63" s="905"/>
      <c r="E63" s="873" t="s">
        <v>533</v>
      </c>
      <c r="F63" s="886"/>
      <c r="H63" s="885"/>
      <c r="J63" s="2405"/>
      <c r="K63" s="2405"/>
      <c r="L63" s="2405"/>
      <c r="M63" s="2405"/>
      <c r="N63" s="2405"/>
      <c r="O63" s="2405"/>
    </row>
    <row r="64" spans="1:15" ht="12.75" customHeight="1" x14ac:dyDescent="0.25">
      <c r="D64" s="903">
        <v>43410</v>
      </c>
      <c r="E64" s="2341" t="s">
        <v>4450</v>
      </c>
      <c r="F64" s="903"/>
      <c r="J64" s="885">
        <v>551800</v>
      </c>
      <c r="K64" s="885">
        <f>ROUND(551800*S$5,-2)</f>
        <v>577200</v>
      </c>
      <c r="L64" s="885">
        <f t="shared" ref="L64:O66" si="6">ROUND(K64*T$5,-2)</f>
        <v>601400</v>
      </c>
      <c r="M64" s="885">
        <f t="shared" si="6"/>
        <v>626700</v>
      </c>
      <c r="N64" s="885">
        <f t="shared" si="6"/>
        <v>653000</v>
      </c>
      <c r="O64" s="885">
        <f t="shared" si="6"/>
        <v>680400</v>
      </c>
    </row>
    <row r="65" spans="1:18" ht="12.75" customHeight="1" x14ac:dyDescent="0.25">
      <c r="D65" s="903"/>
      <c r="E65" s="2341" t="s">
        <v>4158</v>
      </c>
      <c r="F65" s="903"/>
      <c r="J65" s="885"/>
      <c r="K65" s="885">
        <v>40000</v>
      </c>
      <c r="L65" s="885">
        <f t="shared" si="6"/>
        <v>41700</v>
      </c>
      <c r="M65" s="885">
        <f t="shared" si="6"/>
        <v>43500</v>
      </c>
      <c r="N65" s="885">
        <f t="shared" si="6"/>
        <v>45300</v>
      </c>
      <c r="O65" s="885">
        <f t="shared" si="6"/>
        <v>47200</v>
      </c>
    </row>
    <row r="66" spans="1:18" ht="12.75" customHeight="1" x14ac:dyDescent="0.25">
      <c r="D66" s="903"/>
      <c r="E66" s="2341" t="s">
        <v>5406</v>
      </c>
      <c r="F66" s="903"/>
      <c r="J66" s="885"/>
      <c r="K66" s="885"/>
      <c r="L66" s="2343">
        <v>59800</v>
      </c>
      <c r="M66" s="2343">
        <f>ROUND(L66*U$5,-2)</f>
        <v>62300</v>
      </c>
      <c r="N66" s="2343">
        <f t="shared" si="6"/>
        <v>64900</v>
      </c>
      <c r="O66" s="2343">
        <f t="shared" si="6"/>
        <v>67600</v>
      </c>
    </row>
    <row r="67" spans="1:18" ht="12.75" customHeight="1" thickBot="1" x14ac:dyDescent="0.3">
      <c r="D67" s="903"/>
      <c r="E67" s="869" t="str">
        <f>"Totaal "&amp;D64</f>
        <v>Totaal 43410</v>
      </c>
      <c r="F67" s="903"/>
      <c r="J67" s="2342">
        <v>551800</v>
      </c>
      <c r="K67" s="2342">
        <f>SUM(K64:K66)</f>
        <v>617200</v>
      </c>
      <c r="L67" s="2342">
        <f t="shared" ref="L67:O67" si="7">SUM(L64:L66)</f>
        <v>702900</v>
      </c>
      <c r="M67" s="2342">
        <f t="shared" si="7"/>
        <v>732500</v>
      </c>
      <c r="N67" s="2342">
        <f t="shared" si="7"/>
        <v>763200</v>
      </c>
      <c r="O67" s="2342">
        <f t="shared" si="7"/>
        <v>795200</v>
      </c>
    </row>
    <row r="68" spans="1:18" ht="12.75" customHeight="1" thickTop="1" x14ac:dyDescent="0.25">
      <c r="D68" s="903"/>
      <c r="E68" s="885"/>
      <c r="F68" s="903"/>
      <c r="J68" s="885"/>
      <c r="K68" s="885"/>
      <c r="L68" s="885"/>
      <c r="M68" s="885"/>
      <c r="N68" s="885"/>
      <c r="O68" s="885"/>
      <c r="R68" s="885"/>
    </row>
    <row r="69" spans="1:18" ht="12.75" customHeight="1" x14ac:dyDescent="0.25">
      <c r="A69" s="904"/>
      <c r="D69" s="905">
        <v>681002</v>
      </c>
      <c r="E69" s="906" t="s">
        <v>4451</v>
      </c>
      <c r="F69" s="886"/>
      <c r="I69" s="907"/>
      <c r="J69" s="908">
        <v>2025</v>
      </c>
      <c r="K69" s="908">
        <v>2026</v>
      </c>
      <c r="L69" s="908">
        <v>2027</v>
      </c>
      <c r="M69" s="908">
        <v>2028</v>
      </c>
      <c r="N69" s="908">
        <v>2029</v>
      </c>
      <c r="O69" s="908">
        <v>2030</v>
      </c>
    </row>
    <row r="70" spans="1:18" ht="12.75" customHeight="1" x14ac:dyDescent="0.25">
      <c r="A70" s="904"/>
      <c r="D70" s="905"/>
      <c r="E70" s="909" t="s">
        <v>533</v>
      </c>
      <c r="F70" s="886"/>
      <c r="I70" s="907"/>
      <c r="J70" s="873"/>
      <c r="K70" s="873"/>
      <c r="L70" s="873"/>
      <c r="M70" s="873"/>
      <c r="N70" s="873"/>
      <c r="O70" s="873"/>
    </row>
    <row r="71" spans="1:18" ht="12.75" customHeight="1" x14ac:dyDescent="0.25">
      <c r="A71" s="904"/>
      <c r="D71" s="910">
        <v>44380</v>
      </c>
      <c r="E71" s="863" t="s">
        <v>4452</v>
      </c>
      <c r="F71" s="910"/>
      <c r="I71" s="907"/>
      <c r="J71" s="885">
        <v>110400</v>
      </c>
      <c r="K71" s="885">
        <f>ROUND(110400*S$5,-2)</f>
        <v>115500</v>
      </c>
      <c r="L71" s="885">
        <f>ROUND(K71*T$5,-2)</f>
        <v>120400</v>
      </c>
      <c r="M71" s="885">
        <f>ROUND(L71*U$5,-2)</f>
        <v>125500</v>
      </c>
      <c r="N71" s="885">
        <f t="shared" ref="N71:O72" si="8">ROUND(M71*V$5,-2)</f>
        <v>130800</v>
      </c>
      <c r="O71" s="885">
        <f t="shared" si="8"/>
        <v>136300</v>
      </c>
    </row>
    <row r="72" spans="1:18" ht="12.75" customHeight="1" x14ac:dyDescent="0.25">
      <c r="A72" s="904"/>
      <c r="D72" s="910"/>
      <c r="E72" s="2341" t="s">
        <v>5406</v>
      </c>
      <c r="F72" s="910"/>
      <c r="I72" s="907"/>
      <c r="J72" s="885"/>
      <c r="K72" s="885"/>
      <c r="L72" s="2343">
        <v>25500</v>
      </c>
      <c r="M72" s="2343">
        <f>ROUND(L72*U$5,-2)</f>
        <v>26600</v>
      </c>
      <c r="N72" s="2343">
        <f t="shared" si="8"/>
        <v>27700</v>
      </c>
      <c r="O72" s="2343">
        <f t="shared" si="8"/>
        <v>28900</v>
      </c>
    </row>
    <row r="73" spans="1:18" ht="12.75" customHeight="1" thickBot="1" x14ac:dyDescent="0.3">
      <c r="A73" s="904"/>
      <c r="E73" s="869" t="str">
        <f>"Totaal "&amp;D71</f>
        <v>Totaal 44380</v>
      </c>
      <c r="I73" s="907"/>
      <c r="J73" s="2342">
        <v>110400</v>
      </c>
      <c r="K73" s="2342">
        <f>SUM(K71:K72)</f>
        <v>115500</v>
      </c>
      <c r="L73" s="2342">
        <f t="shared" ref="L73:O73" si="9">SUM(L71:L72)</f>
        <v>145900</v>
      </c>
      <c r="M73" s="2342">
        <f t="shared" si="9"/>
        <v>152100</v>
      </c>
      <c r="N73" s="2342">
        <f t="shared" si="9"/>
        <v>158500</v>
      </c>
      <c r="O73" s="2342">
        <f t="shared" si="9"/>
        <v>165200</v>
      </c>
      <c r="Q73" s="885"/>
    </row>
    <row r="74" spans="1:18" ht="12.75" customHeight="1" thickTop="1" x14ac:dyDescent="0.25">
      <c r="A74" s="904"/>
      <c r="I74" s="907"/>
      <c r="J74" s="907"/>
      <c r="K74" s="907"/>
      <c r="L74" s="907"/>
      <c r="M74" s="907"/>
      <c r="N74" s="907"/>
      <c r="O74" s="907"/>
    </row>
    <row r="75" spans="1:18" ht="12.75" customHeight="1" x14ac:dyDescent="0.25">
      <c r="D75" s="865"/>
      <c r="I75" s="885"/>
      <c r="J75" s="885"/>
      <c r="K75" s="885"/>
      <c r="L75" s="885"/>
      <c r="M75" s="885"/>
      <c r="N75" s="885"/>
      <c r="O75" s="885"/>
      <c r="P75" s="885"/>
    </row>
    <row r="76" spans="1:18" ht="12.75" customHeight="1" x14ac:dyDescent="0.25">
      <c r="E76" s="863"/>
    </row>
  </sheetData>
  <mergeCells count="3">
    <mergeCell ref="D44:D45"/>
    <mergeCell ref="F44:F45"/>
    <mergeCell ref="G44:H45"/>
  </mergeCells>
  <hyperlinks>
    <hyperlink ref="A1" location="Inhoudsopgave!A1" display="Inhoudsopgave" xr:uid="{290BBF48-8FA5-417A-926B-C4D53163B210}"/>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FDC8-0E1C-40D4-B473-95112B9D298B}">
  <dimension ref="A1:W62"/>
  <sheetViews>
    <sheetView showGridLines="0" view="pageBreakPreview" topLeftCell="A10" zoomScaleNormal="100" zoomScaleSheetLayoutView="100" workbookViewId="0">
      <selection activeCell="R43" sqref="R43"/>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66</v>
      </c>
      <c r="H2" s="869" t="s">
        <v>4453</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E5" s="870" t="s">
        <v>4454</v>
      </c>
      <c r="P5" s="863" t="s">
        <v>3334</v>
      </c>
      <c r="S5" s="495">
        <v>1.046</v>
      </c>
      <c r="T5" s="2345">
        <f>Indexering!J7</f>
        <v>1.042</v>
      </c>
      <c r="U5" s="2345">
        <f>Indexering!K7</f>
        <v>1.042</v>
      </c>
      <c r="V5" s="2345">
        <f>Indexering!L7</f>
        <v>1.042</v>
      </c>
      <c r="W5" s="2345">
        <f>Indexering!M7</f>
        <v>1.042</v>
      </c>
    </row>
    <row r="7" spans="1:23" ht="12.75" customHeight="1" x14ac:dyDescent="0.25">
      <c r="E7" s="864"/>
    </row>
    <row r="8" spans="1:23" ht="12.75" customHeight="1" x14ac:dyDescent="0.25">
      <c r="E8" s="864"/>
    </row>
    <row r="10" spans="1:23" ht="12.75" customHeight="1" x14ac:dyDescent="0.25">
      <c r="E10" s="864"/>
    </row>
    <row r="11" spans="1:23" ht="12.75" customHeight="1" x14ac:dyDescent="0.25">
      <c r="E11" s="2411"/>
    </row>
    <row r="12" spans="1:23" ht="12.75" customHeight="1" x14ac:dyDescent="0.25">
      <c r="E12" s="2411"/>
    </row>
    <row r="13" spans="1:23" ht="12.75" customHeight="1" x14ac:dyDescent="0.25">
      <c r="E13" s="2411"/>
    </row>
    <row r="14" spans="1:23" ht="12.75" customHeight="1" x14ac:dyDescent="0.25">
      <c r="E14" s="864"/>
    </row>
    <row r="15" spans="1:23" ht="12.75" customHeight="1" x14ac:dyDescent="0.25">
      <c r="E15" s="864"/>
    </row>
    <row r="16" spans="1:23" ht="12.75" customHeight="1" x14ac:dyDescent="0.25">
      <c r="E16" s="2411"/>
    </row>
    <row r="18" spans="4:15" ht="12.75" customHeight="1" x14ac:dyDescent="0.25">
      <c r="E18" s="864"/>
    </row>
    <row r="19" spans="4:15" ht="12.75" customHeight="1" x14ac:dyDescent="0.25">
      <c r="E19" s="2411"/>
    </row>
    <row r="20" spans="4:15" ht="12.75" customHeight="1" x14ac:dyDescent="0.25">
      <c r="E20" s="2411"/>
    </row>
    <row r="21" spans="4:15" ht="12.75" customHeight="1" x14ac:dyDescent="0.25">
      <c r="E21" s="864"/>
    </row>
    <row r="23" spans="4:15" ht="12.75" customHeight="1" x14ac:dyDescent="0.25">
      <c r="D23" s="870" t="s">
        <v>507</v>
      </c>
      <c r="E23" s="864"/>
      <c r="F23" s="864"/>
    </row>
    <row r="24" spans="4:15" ht="12.75" customHeight="1" x14ac:dyDescent="0.25">
      <c r="E24" s="864"/>
      <c r="F24" s="864"/>
    </row>
    <row r="25" spans="4:15" ht="12.75" customHeight="1" x14ac:dyDescent="0.25">
      <c r="D25" s="2310" t="s">
        <v>508</v>
      </c>
      <c r="E25" s="2311"/>
      <c r="F25" s="2311"/>
      <c r="G25" s="2312"/>
      <c r="H25" s="2312"/>
      <c r="I25" s="2313"/>
      <c r="J25" s="2313">
        <v>2025</v>
      </c>
      <c r="K25" s="2313">
        <v>2026</v>
      </c>
      <c r="L25" s="2313">
        <v>2027</v>
      </c>
      <c r="M25" s="2313">
        <v>2028</v>
      </c>
      <c r="N25" s="2313">
        <v>2029</v>
      </c>
      <c r="O25" s="2313">
        <v>2030</v>
      </c>
    </row>
    <row r="26" spans="4:15" ht="12.75" customHeight="1" x14ac:dyDescent="0.25">
      <c r="D26" s="871" t="s">
        <v>295</v>
      </c>
      <c r="E26" s="872"/>
      <c r="F26" s="872"/>
      <c r="G26" s="873"/>
      <c r="H26" s="873"/>
      <c r="I26" s="874"/>
      <c r="J26" s="875">
        <v>60700</v>
      </c>
      <c r="K26" s="875">
        <f t="shared" ref="K26:O26" si="0">K49</f>
        <v>63500</v>
      </c>
      <c r="L26" s="875">
        <f t="shared" si="0"/>
        <v>31300</v>
      </c>
      <c r="M26" s="875">
        <f t="shared" si="0"/>
        <v>32600</v>
      </c>
      <c r="N26" s="875">
        <f t="shared" si="0"/>
        <v>34000</v>
      </c>
      <c r="O26" s="875">
        <f t="shared" si="0"/>
        <v>35400</v>
      </c>
    </row>
    <row r="27" spans="4:15" ht="12.75" customHeight="1" x14ac:dyDescent="0.25">
      <c r="D27" s="876"/>
      <c r="E27" s="877"/>
      <c r="F27" s="878"/>
      <c r="I27" s="879"/>
      <c r="J27" s="274"/>
      <c r="K27" s="274"/>
      <c r="L27" s="274"/>
      <c r="M27" s="274"/>
      <c r="N27" s="274"/>
      <c r="O27" s="274"/>
    </row>
    <row r="28" spans="4:15" ht="12.75" customHeight="1" x14ac:dyDescent="0.25">
      <c r="D28" s="876"/>
      <c r="E28" s="877"/>
      <c r="F28" s="878"/>
      <c r="I28" s="879"/>
      <c r="J28" s="274"/>
      <c r="K28" s="274"/>
      <c r="L28" s="274"/>
      <c r="M28" s="274"/>
      <c r="N28" s="274"/>
      <c r="O28" s="274"/>
    </row>
    <row r="29" spans="4:15" ht="12.75" customHeight="1" x14ac:dyDescent="0.25">
      <c r="D29" s="876"/>
      <c r="E29" s="877"/>
      <c r="F29" s="878"/>
      <c r="I29" s="879"/>
      <c r="J29" s="275"/>
      <c r="K29" s="275"/>
      <c r="L29" s="275"/>
      <c r="M29" s="275"/>
      <c r="N29" s="275"/>
      <c r="O29" s="275"/>
    </row>
    <row r="30" spans="4:15" ht="12.75" customHeight="1" x14ac:dyDescent="0.25">
      <c r="D30" s="2316" t="s">
        <v>525</v>
      </c>
      <c r="E30" s="2317"/>
      <c r="F30" s="2318"/>
      <c r="G30" s="2319"/>
      <c r="H30" s="2319"/>
      <c r="I30" s="2320"/>
      <c r="J30" s="2321">
        <v>60700</v>
      </c>
      <c r="K30" s="2321">
        <f>SUM(K26:K29)</f>
        <v>63500</v>
      </c>
      <c r="L30" s="2321">
        <f>SUM(L26:L29)</f>
        <v>31300</v>
      </c>
      <c r="M30" s="2321">
        <f>SUM(M26:M29)</f>
        <v>32600</v>
      </c>
      <c r="N30" s="2321">
        <f>SUM(N26:N29)</f>
        <v>34000</v>
      </c>
      <c r="O30" s="2321">
        <f>SUM(O26:O29)</f>
        <v>35400</v>
      </c>
    </row>
    <row r="31" spans="4:15" ht="12.75" customHeight="1" x14ac:dyDescent="0.25">
      <c r="E31" s="877"/>
      <c r="F31" s="878"/>
    </row>
    <row r="32" spans="4:15" ht="12.75" customHeight="1" x14ac:dyDescent="0.25">
      <c r="D32" s="2310" t="s">
        <v>526</v>
      </c>
      <c r="E32" s="2311"/>
      <c r="F32" s="2311"/>
      <c r="G32" s="2312"/>
      <c r="H32" s="2312"/>
      <c r="I32" s="2313"/>
      <c r="J32" s="2313">
        <v>2025</v>
      </c>
      <c r="K32" s="2313">
        <v>2026</v>
      </c>
      <c r="L32" s="2313">
        <v>2027</v>
      </c>
      <c r="M32" s="2313">
        <v>2028</v>
      </c>
      <c r="N32" s="2313">
        <v>2029</v>
      </c>
      <c r="O32" s="2313">
        <v>2030</v>
      </c>
    </row>
    <row r="33" spans="1:15" ht="12.75" customHeight="1" x14ac:dyDescent="0.25">
      <c r="D33" s="876"/>
      <c r="E33" s="877"/>
      <c r="F33" s="878"/>
      <c r="I33" s="879"/>
      <c r="J33" s="875"/>
      <c r="K33" s="875"/>
      <c r="L33" s="875"/>
      <c r="M33" s="875"/>
      <c r="N33" s="875"/>
      <c r="O33" s="875"/>
    </row>
    <row r="34" spans="1:15" ht="12.75" customHeight="1" x14ac:dyDescent="0.25">
      <c r="D34" s="876"/>
      <c r="E34" s="877"/>
      <c r="F34" s="878"/>
      <c r="I34" s="879"/>
      <c r="J34" s="875"/>
      <c r="K34" s="875"/>
      <c r="L34" s="875"/>
      <c r="M34" s="875"/>
      <c r="N34" s="875"/>
      <c r="O34" s="875"/>
    </row>
    <row r="35" spans="1:15" ht="12.75" customHeight="1" x14ac:dyDescent="0.25">
      <c r="D35" s="881"/>
      <c r="E35" s="882"/>
      <c r="F35" s="883"/>
      <c r="G35" s="884"/>
      <c r="H35" s="884"/>
      <c r="I35" s="879"/>
      <c r="J35" s="880"/>
      <c r="K35" s="880"/>
      <c r="L35" s="880"/>
      <c r="M35" s="880"/>
      <c r="N35" s="880"/>
      <c r="O35" s="880"/>
    </row>
    <row r="36" spans="1:15" ht="12.75" customHeight="1" x14ac:dyDescent="0.25">
      <c r="D36" s="2316" t="s">
        <v>328</v>
      </c>
      <c r="E36" s="2317"/>
      <c r="F36" s="2318"/>
      <c r="G36" s="2319"/>
      <c r="H36" s="2319"/>
      <c r="I36" s="2320"/>
      <c r="J36" s="2321">
        <v>0</v>
      </c>
      <c r="K36" s="2321">
        <f>SUM(K33:K35)</f>
        <v>0</v>
      </c>
      <c r="L36" s="2321">
        <f>SUM(L33:L35)</f>
        <v>0</v>
      </c>
      <c r="M36" s="2321">
        <f>SUM(M33:M35)</f>
        <v>0</v>
      </c>
      <c r="N36" s="2321">
        <f>SUM(N33:N35)</f>
        <v>0</v>
      </c>
      <c r="O36" s="2321">
        <f>SUM(O33:O35)</f>
        <v>0</v>
      </c>
    </row>
    <row r="37" spans="1:15" ht="12.75" customHeight="1" x14ac:dyDescent="0.25">
      <c r="E37" s="877"/>
      <c r="F37" s="878"/>
      <c r="J37" s="885"/>
      <c r="K37" s="885"/>
      <c r="L37" s="885"/>
      <c r="M37" s="885"/>
      <c r="N37" s="885"/>
      <c r="O37" s="885"/>
    </row>
    <row r="38" spans="1:15" ht="12.75" customHeight="1" x14ac:dyDescent="0.3">
      <c r="D38" s="2322" t="s">
        <v>976</v>
      </c>
      <c r="E38" s="2323"/>
      <c r="F38" s="2323"/>
      <c r="G38" s="2319"/>
      <c r="H38" s="2319"/>
      <c r="I38" s="2319"/>
      <c r="J38" s="2324">
        <v>60700</v>
      </c>
      <c r="K38" s="2324">
        <f>K30+K36</f>
        <v>63500</v>
      </c>
      <c r="L38" s="2324">
        <f>L30+L36</f>
        <v>31300</v>
      </c>
      <c r="M38" s="2324">
        <f>M30+M36</f>
        <v>32600</v>
      </c>
      <c r="N38" s="2324">
        <f>N30+N36</f>
        <v>34000</v>
      </c>
      <c r="O38" s="2324">
        <f>O30+O36</f>
        <v>35400</v>
      </c>
    </row>
    <row r="39" spans="1:15" ht="12.75" customHeight="1" x14ac:dyDescent="0.25">
      <c r="E39" s="877"/>
      <c r="F39" s="878"/>
      <c r="J39" s="885"/>
      <c r="K39" s="885"/>
      <c r="L39" s="885"/>
      <c r="M39" s="885"/>
      <c r="N39" s="885"/>
      <c r="O39" s="885"/>
    </row>
    <row r="40" spans="1:15" ht="12.75" customHeight="1" x14ac:dyDescent="0.25">
      <c r="E40" s="864"/>
      <c r="F40" s="864"/>
      <c r="J40" s="885"/>
      <c r="K40" s="885"/>
      <c r="L40" s="885"/>
      <c r="M40" s="885"/>
      <c r="N40" s="885"/>
      <c r="O40" s="885"/>
    </row>
    <row r="41" spans="1:15" ht="12.75" customHeight="1" x14ac:dyDescent="0.25">
      <c r="D41" s="870" t="s">
        <v>528</v>
      </c>
      <c r="E41" s="886"/>
      <c r="F41" s="886"/>
      <c r="I41" s="885"/>
      <c r="J41" s="885"/>
      <c r="K41" s="885"/>
      <c r="L41" s="885"/>
      <c r="M41" s="885"/>
      <c r="N41" s="885"/>
      <c r="O41" s="885"/>
    </row>
    <row r="43" spans="1:15" ht="12.75" customHeight="1" x14ac:dyDescent="0.25">
      <c r="D43" s="2585" t="s">
        <v>531</v>
      </c>
      <c r="E43" s="2325" t="s">
        <v>530</v>
      </c>
      <c r="F43" s="2585" t="s">
        <v>531</v>
      </c>
      <c r="G43" s="2587" t="s">
        <v>206</v>
      </c>
      <c r="H43" s="2588"/>
      <c r="I43" s="2326"/>
      <c r="J43" s="2320"/>
      <c r="K43" s="2320"/>
      <c r="L43" s="2320"/>
      <c r="M43" s="2320"/>
      <c r="N43" s="2320"/>
      <c r="O43" s="2320"/>
    </row>
    <row r="44" spans="1:15" ht="12.75" customHeight="1" x14ac:dyDescent="0.25">
      <c r="D44" s="2586"/>
      <c r="E44" s="887" t="s">
        <v>532</v>
      </c>
      <c r="F44" s="2586"/>
      <c r="G44" s="2589"/>
      <c r="H44" s="2590"/>
      <c r="I44" s="276"/>
      <c r="J44" s="2327">
        <v>2025</v>
      </c>
      <c r="K44" s="2327">
        <v>2026</v>
      </c>
      <c r="L44" s="2327">
        <v>2027</v>
      </c>
      <c r="M44" s="2327">
        <v>2028</v>
      </c>
      <c r="N44" s="2327">
        <v>2029</v>
      </c>
      <c r="O44" s="2327">
        <v>2030</v>
      </c>
    </row>
    <row r="45" spans="1:15" ht="12.75" customHeight="1" x14ac:dyDescent="0.25">
      <c r="D45" s="2328"/>
      <c r="E45" s="888"/>
      <c r="F45" s="888"/>
      <c r="G45" s="2329"/>
      <c r="H45" s="889"/>
      <c r="I45" s="2326"/>
      <c r="J45" s="2328"/>
      <c r="K45" s="2328"/>
      <c r="L45" s="2328"/>
      <c r="M45" s="2328"/>
      <c r="N45" s="2328"/>
      <c r="O45" s="2328"/>
    </row>
    <row r="46" spans="1:15" ht="12.75" customHeight="1" x14ac:dyDescent="0.25">
      <c r="D46" s="890">
        <f>D55</f>
        <v>682001</v>
      </c>
      <c r="E46" s="891"/>
      <c r="F46" s="891"/>
      <c r="G46" s="892" t="str">
        <f>E55</f>
        <v>Overige maatwerkarrangementen (Wmo)</v>
      </c>
      <c r="I46" s="880"/>
      <c r="J46" s="875"/>
      <c r="K46" s="875"/>
      <c r="L46" s="875"/>
      <c r="M46" s="875"/>
      <c r="N46" s="875"/>
      <c r="O46" s="875"/>
    </row>
    <row r="47" spans="1:15" ht="12.75" customHeight="1" x14ac:dyDescent="0.25">
      <c r="D47" s="893"/>
      <c r="E47" s="893"/>
      <c r="F47" s="893"/>
      <c r="G47" s="894" t="s">
        <v>533</v>
      </c>
      <c r="I47" s="880"/>
      <c r="J47" s="875"/>
      <c r="K47" s="875"/>
      <c r="L47" s="875"/>
      <c r="M47" s="875"/>
      <c r="N47" s="875"/>
      <c r="O47" s="875"/>
    </row>
    <row r="48" spans="1:15" ht="12.75" customHeight="1" x14ac:dyDescent="0.25">
      <c r="A48" s="862">
        <f>D46</f>
        <v>682001</v>
      </c>
      <c r="B48" s="863" t="str">
        <f>G46</f>
        <v>Overige maatwerkarrangementen (Wmo)</v>
      </c>
      <c r="D48" s="893">
        <f>D57</f>
        <v>43410</v>
      </c>
      <c r="E48" s="893"/>
      <c r="F48" s="893"/>
      <c r="G48" s="895" t="s">
        <v>3341</v>
      </c>
      <c r="I48" s="880"/>
      <c r="J48" s="875">
        <v>60700</v>
      </c>
      <c r="K48" s="875">
        <f t="shared" ref="K48:O48" si="1">K59</f>
        <v>63500</v>
      </c>
      <c r="L48" s="875">
        <f t="shared" si="1"/>
        <v>31300</v>
      </c>
      <c r="M48" s="875">
        <f t="shared" si="1"/>
        <v>32600</v>
      </c>
      <c r="N48" s="875">
        <f t="shared" si="1"/>
        <v>34000</v>
      </c>
      <c r="O48" s="875">
        <f t="shared" si="1"/>
        <v>35400</v>
      </c>
    </row>
    <row r="49" spans="1:17" ht="12.75" customHeight="1" thickBot="1" x14ac:dyDescent="0.3">
      <c r="A49" s="896"/>
      <c r="D49" s="893"/>
      <c r="E49" s="893"/>
      <c r="F49" s="893"/>
      <c r="G49" s="895" t="s">
        <v>536</v>
      </c>
      <c r="I49" s="880"/>
      <c r="J49" s="897">
        <v>60700</v>
      </c>
      <c r="K49" s="897">
        <f t="shared" ref="K49:O49" si="2">SUM(K48:K48)</f>
        <v>63500</v>
      </c>
      <c r="L49" s="897">
        <f t="shared" si="2"/>
        <v>31300</v>
      </c>
      <c r="M49" s="897">
        <f t="shared" si="2"/>
        <v>32600</v>
      </c>
      <c r="N49" s="897">
        <f t="shared" si="2"/>
        <v>34000</v>
      </c>
      <c r="O49" s="897">
        <f t="shared" si="2"/>
        <v>35400</v>
      </c>
    </row>
    <row r="50" spans="1:17" ht="12.75" customHeight="1" thickTop="1" x14ac:dyDescent="0.25">
      <c r="D50" s="893"/>
      <c r="E50" s="893"/>
      <c r="F50" s="893"/>
      <c r="G50" s="895"/>
      <c r="I50" s="880"/>
      <c r="J50" s="875"/>
      <c r="K50" s="875"/>
      <c r="L50" s="875"/>
      <c r="M50" s="875"/>
      <c r="N50" s="875"/>
      <c r="O50" s="875"/>
    </row>
    <row r="51" spans="1:17" ht="12.75" customHeight="1" x14ac:dyDescent="0.25">
      <c r="D51" s="898"/>
      <c r="E51" s="898"/>
      <c r="F51" s="898"/>
      <c r="G51" s="899"/>
      <c r="H51" s="884"/>
      <c r="I51" s="900"/>
      <c r="J51" s="901"/>
      <c r="K51" s="901"/>
      <c r="L51" s="901"/>
      <c r="M51" s="901"/>
      <c r="N51" s="901"/>
      <c r="O51" s="901"/>
    </row>
    <row r="52" spans="1:17" ht="12.75" customHeight="1" x14ac:dyDescent="0.25">
      <c r="D52" s="865"/>
      <c r="I52" s="885"/>
      <c r="J52" s="885"/>
      <c r="K52" s="885"/>
      <c r="L52" s="885"/>
      <c r="M52" s="885"/>
      <c r="N52" s="885"/>
      <c r="O52" s="885"/>
    </row>
    <row r="53" spans="1:17" ht="12.75" customHeight="1" x14ac:dyDescent="0.25">
      <c r="D53" s="902" t="s">
        <v>561</v>
      </c>
      <c r="E53" s="903"/>
      <c r="F53" s="903"/>
      <c r="H53" s="885"/>
    </row>
    <row r="54" spans="1:17" ht="12.75" customHeight="1" x14ac:dyDescent="0.25">
      <c r="D54" s="903"/>
      <c r="E54" s="903"/>
      <c r="F54" s="903"/>
      <c r="G54" s="868"/>
      <c r="H54" s="885"/>
    </row>
    <row r="55" spans="1:17" ht="12.75" customHeight="1" x14ac:dyDescent="0.25">
      <c r="D55" s="905">
        <v>682001</v>
      </c>
      <c r="E55" s="868" t="s">
        <v>4455</v>
      </c>
      <c r="F55" s="886"/>
      <c r="H55" s="885"/>
      <c r="J55" s="908">
        <v>2025</v>
      </c>
      <c r="K55" s="908">
        <v>2026</v>
      </c>
      <c r="L55" s="908">
        <v>2027</v>
      </c>
      <c r="M55" s="908">
        <v>2028</v>
      </c>
      <c r="N55" s="908">
        <v>2029</v>
      </c>
      <c r="O55" s="908">
        <v>2030</v>
      </c>
    </row>
    <row r="56" spans="1:17" ht="12.75" customHeight="1" x14ac:dyDescent="0.25">
      <c r="D56" s="905"/>
      <c r="E56" s="873" t="s">
        <v>533</v>
      </c>
      <c r="F56" s="886"/>
      <c r="H56" s="885"/>
      <c r="J56" s="2405"/>
      <c r="K56" s="2405"/>
      <c r="L56" s="2405"/>
      <c r="M56" s="2405"/>
      <c r="N56" s="2405"/>
      <c r="O56" s="2405"/>
    </row>
    <row r="57" spans="1:17" ht="12.75" customHeight="1" x14ac:dyDescent="0.25">
      <c r="D57" s="903">
        <v>43410</v>
      </c>
      <c r="E57" s="2341" t="s">
        <v>4456</v>
      </c>
      <c r="F57" s="903"/>
      <c r="J57" s="885">
        <v>60700</v>
      </c>
      <c r="K57" s="885">
        <f>ROUND(60700*S$5,-2)</f>
        <v>63500</v>
      </c>
      <c r="L57" s="885">
        <f>ROUND(K57*T$5,-2)</f>
        <v>66200</v>
      </c>
      <c r="M57" s="885">
        <f>ROUND(L57*U$5,-2)</f>
        <v>69000</v>
      </c>
      <c r="N57" s="885">
        <f>ROUND(M57*V$5,-2)</f>
        <v>71900</v>
      </c>
      <c r="O57" s="885">
        <f>ROUND(N57*W$5,-2)</f>
        <v>74900</v>
      </c>
    </row>
    <row r="58" spans="1:17" ht="12.75" customHeight="1" x14ac:dyDescent="0.25">
      <c r="D58" s="903"/>
      <c r="E58" s="2341" t="s">
        <v>5406</v>
      </c>
      <c r="F58" s="903"/>
      <c r="J58" s="885"/>
      <c r="K58" s="885"/>
      <c r="L58" s="2343">
        <v>-34900</v>
      </c>
      <c r="M58" s="2343">
        <f>ROUND(L58*U$5,-2)</f>
        <v>-36400</v>
      </c>
      <c r="N58" s="2343">
        <f t="shared" ref="N58:O58" si="3">ROUND(M58*V$5,-2)</f>
        <v>-37900</v>
      </c>
      <c r="O58" s="2343">
        <f t="shared" si="3"/>
        <v>-39500</v>
      </c>
    </row>
    <row r="59" spans="1:17" ht="12.75" customHeight="1" thickBot="1" x14ac:dyDescent="0.3">
      <c r="D59" s="903"/>
      <c r="E59" s="869" t="str">
        <f>"Totaal "&amp;D57</f>
        <v>Totaal 43410</v>
      </c>
      <c r="F59" s="903"/>
      <c r="J59" s="2342">
        <v>60700</v>
      </c>
      <c r="K59" s="2342">
        <f>SUM(K57:K58)</f>
        <v>63500</v>
      </c>
      <c r="L59" s="2342">
        <f t="shared" ref="L59:O59" si="4">SUM(L57:L58)</f>
        <v>31300</v>
      </c>
      <c r="M59" s="2342">
        <f t="shared" si="4"/>
        <v>32600</v>
      </c>
      <c r="N59" s="2342">
        <f t="shared" si="4"/>
        <v>34000</v>
      </c>
      <c r="O59" s="2342">
        <f t="shared" si="4"/>
        <v>35400</v>
      </c>
      <c r="Q59" s="885"/>
    </row>
    <row r="60" spans="1:17" ht="12.75" customHeight="1" thickTop="1" x14ac:dyDescent="0.25">
      <c r="D60" s="903"/>
      <c r="E60" s="885"/>
      <c r="F60" s="903"/>
      <c r="J60" s="885"/>
      <c r="K60" s="885"/>
      <c r="L60" s="885"/>
      <c r="M60" s="885"/>
      <c r="N60" s="885"/>
      <c r="O60" s="885"/>
    </row>
    <row r="61" spans="1:17" ht="12.75" customHeight="1" x14ac:dyDescent="0.25">
      <c r="D61" s="865"/>
      <c r="I61" s="885"/>
      <c r="J61" s="885"/>
      <c r="K61" s="885"/>
      <c r="L61" s="885"/>
      <c r="M61" s="885"/>
      <c r="N61" s="885"/>
      <c r="O61" s="885"/>
      <c r="P61" s="885"/>
    </row>
    <row r="62" spans="1:17" ht="12.75" customHeight="1" x14ac:dyDescent="0.25">
      <c r="E62" s="863"/>
    </row>
  </sheetData>
  <mergeCells count="3">
    <mergeCell ref="D43:D44"/>
    <mergeCell ref="F43:F44"/>
    <mergeCell ref="G43:H44"/>
  </mergeCells>
  <hyperlinks>
    <hyperlink ref="A1" location="Inhoudsopgave!A1" display="Inhoudsopgave" xr:uid="{5EE43439-3763-4B29-91BE-A02936526C1A}"/>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E7E0B-2D9D-4978-A980-478D95972CFB}">
  <dimension ref="A1:X364"/>
  <sheetViews>
    <sheetView showGridLines="0" topLeftCell="A49" workbookViewId="0">
      <selection activeCell="H21" sqref="H21"/>
    </sheetView>
  </sheetViews>
  <sheetFormatPr defaultRowHeight="14.4" x14ac:dyDescent="0.3"/>
  <sheetData>
    <row r="1" spans="1:24" x14ac:dyDescent="0.3">
      <c r="A1" s="93" t="s">
        <v>0</v>
      </c>
      <c r="B1" s="993"/>
      <c r="C1" s="993"/>
      <c r="D1" s="993"/>
      <c r="E1" s="2412"/>
      <c r="F1" s="2412"/>
      <c r="G1" s="993"/>
      <c r="H1" s="993"/>
      <c r="I1" s="993"/>
      <c r="J1" s="993"/>
      <c r="K1" s="993"/>
      <c r="L1" s="993"/>
      <c r="M1" s="993"/>
      <c r="N1" s="993"/>
      <c r="O1" s="993"/>
      <c r="P1" s="993"/>
      <c r="Q1" s="794">
        <v>2024</v>
      </c>
      <c r="R1" s="794">
        <v>2025</v>
      </c>
      <c r="S1" s="794">
        <v>2026</v>
      </c>
      <c r="T1" s="794">
        <v>2027</v>
      </c>
      <c r="U1" s="794">
        <v>2028</v>
      </c>
      <c r="V1" s="794">
        <v>2029</v>
      </c>
      <c r="W1" s="794">
        <v>2030</v>
      </c>
      <c r="X1" s="993"/>
    </row>
    <row r="2" spans="1:24" x14ac:dyDescent="0.3">
      <c r="A2" s="1594"/>
      <c r="B2" s="993"/>
      <c r="C2" s="993"/>
      <c r="D2" s="993" t="s">
        <v>66</v>
      </c>
      <c r="E2" s="2412"/>
      <c r="F2" s="2412"/>
      <c r="G2" s="993"/>
      <c r="H2" s="993" t="s">
        <v>4457</v>
      </c>
      <c r="I2" s="993"/>
      <c r="J2" s="993"/>
      <c r="K2" s="993"/>
      <c r="L2" s="993"/>
      <c r="M2" s="993"/>
      <c r="N2" s="993"/>
      <c r="O2" s="993"/>
      <c r="P2" s="993" t="s">
        <v>969</v>
      </c>
      <c r="Q2" s="2413">
        <v>1.0369999999999999</v>
      </c>
      <c r="R2" s="2413">
        <v>1.028</v>
      </c>
      <c r="S2" s="2413">
        <v>1.026</v>
      </c>
      <c r="T2" s="2413">
        <v>1.0209999999999999</v>
      </c>
      <c r="U2" s="2413">
        <v>1.0229999999999999</v>
      </c>
      <c r="V2" s="2413">
        <v>1.0229999999999999</v>
      </c>
      <c r="W2" s="2413">
        <v>1.0229999999999999</v>
      </c>
      <c r="X2" s="993"/>
    </row>
    <row r="3" spans="1:24" x14ac:dyDescent="0.3">
      <c r="A3" s="1594"/>
      <c r="B3" s="993"/>
      <c r="C3" s="993"/>
      <c r="D3" s="993"/>
      <c r="E3" s="2412"/>
      <c r="F3" s="2412"/>
      <c r="G3" s="993"/>
      <c r="H3" s="993"/>
      <c r="I3" s="993"/>
      <c r="J3" s="993"/>
      <c r="K3" s="993"/>
      <c r="L3" s="993"/>
      <c r="M3" s="993"/>
      <c r="N3" s="993"/>
      <c r="O3" s="993"/>
      <c r="P3" s="993" t="s">
        <v>970</v>
      </c>
      <c r="Q3" s="2413">
        <v>1.052</v>
      </c>
      <c r="R3" s="2413">
        <v>1.0489999999999999</v>
      </c>
      <c r="S3" s="2413">
        <v>1.02</v>
      </c>
      <c r="T3" s="2413">
        <v>1.042</v>
      </c>
      <c r="U3" s="2413">
        <v>1.0369999999999999</v>
      </c>
      <c r="V3" s="2413">
        <v>1.0369999999999999</v>
      </c>
      <c r="W3" s="2413">
        <v>1.0369999999999999</v>
      </c>
      <c r="X3" s="993"/>
    </row>
    <row r="4" spans="1:24" x14ac:dyDescent="0.3">
      <c r="A4" s="1594"/>
      <c r="B4" s="993"/>
      <c r="C4" s="993"/>
      <c r="D4" s="993"/>
      <c r="E4" s="2412"/>
      <c r="F4" s="2412"/>
      <c r="G4" s="993"/>
      <c r="H4" s="993"/>
      <c r="I4" s="993"/>
      <c r="J4" s="993"/>
      <c r="K4" s="993"/>
      <c r="L4" s="993"/>
      <c r="M4" s="993"/>
      <c r="N4" s="993"/>
      <c r="O4" s="993"/>
      <c r="P4" s="993" t="s">
        <v>3194</v>
      </c>
      <c r="Q4" s="2413">
        <v>1.0445</v>
      </c>
      <c r="R4" s="2413">
        <v>1.036</v>
      </c>
      <c r="S4" s="2413">
        <v>1.0227999999999999</v>
      </c>
      <c r="T4" s="2413">
        <v>1.0321</v>
      </c>
      <c r="U4" s="2413">
        <v>1.0304</v>
      </c>
      <c r="V4" s="2413">
        <v>1.0304</v>
      </c>
      <c r="W4" s="2413">
        <v>1.0304</v>
      </c>
      <c r="X4" s="993"/>
    </row>
    <row r="5" spans="1:24" x14ac:dyDescent="0.3">
      <c r="A5" s="1594"/>
      <c r="B5" s="993"/>
      <c r="C5" s="993"/>
      <c r="D5" s="993"/>
      <c r="E5" s="2412"/>
      <c r="F5" s="2412"/>
      <c r="G5" s="993"/>
      <c r="H5" s="993"/>
      <c r="I5" s="993"/>
      <c r="J5" s="993"/>
      <c r="K5" s="993"/>
      <c r="L5" s="993"/>
      <c r="M5" s="993"/>
      <c r="N5" s="993"/>
      <c r="O5" s="993"/>
      <c r="P5" s="993" t="s">
        <v>3334</v>
      </c>
      <c r="Q5" s="993"/>
      <c r="R5" s="993"/>
      <c r="S5" s="2414">
        <v>1.046</v>
      </c>
      <c r="T5" s="2414">
        <f>Indexering!J7</f>
        <v>1.042</v>
      </c>
      <c r="U5" s="2414">
        <f>Indexering!K7</f>
        <v>1.042</v>
      </c>
      <c r="V5" s="2414">
        <f>Indexering!L7</f>
        <v>1.042</v>
      </c>
      <c r="W5" s="2414">
        <f>Indexering!M7</f>
        <v>1.042</v>
      </c>
      <c r="X5" s="993"/>
    </row>
    <row r="6" spans="1:24" x14ac:dyDescent="0.3">
      <c r="A6" s="1594"/>
      <c r="B6" s="993"/>
      <c r="C6" s="993"/>
      <c r="D6" s="993"/>
      <c r="E6" s="549" t="s">
        <v>5407</v>
      </c>
      <c r="F6" s="2412"/>
      <c r="G6" s="993"/>
      <c r="H6" s="993"/>
      <c r="I6" s="993"/>
      <c r="J6" s="993"/>
      <c r="K6" s="993"/>
      <c r="L6" s="993"/>
      <c r="M6" s="993"/>
      <c r="N6" s="993"/>
      <c r="O6" s="993"/>
      <c r="P6" s="993"/>
      <c r="Q6" s="993"/>
      <c r="R6" s="993"/>
      <c r="S6" s="993"/>
      <c r="T6" s="993"/>
      <c r="U6" s="993"/>
      <c r="V6" s="993"/>
      <c r="W6" s="993"/>
      <c r="X6" s="993"/>
    </row>
    <row r="7" spans="1:24" x14ac:dyDescent="0.3">
      <c r="A7" s="1594"/>
      <c r="B7" s="993"/>
      <c r="C7" s="993"/>
      <c r="D7" s="993"/>
      <c r="E7" s="2412"/>
      <c r="F7" s="2412"/>
      <c r="G7" s="993"/>
      <c r="H7" s="993"/>
      <c r="I7" s="993"/>
      <c r="J7" s="993"/>
      <c r="K7" s="993"/>
      <c r="L7" s="993"/>
      <c r="M7" s="993"/>
      <c r="N7" s="993"/>
      <c r="O7" s="993"/>
      <c r="P7" s="993"/>
      <c r="Q7" s="993"/>
      <c r="R7" s="993"/>
      <c r="S7" s="993"/>
      <c r="T7" s="993"/>
      <c r="U7" s="993"/>
      <c r="V7" s="993"/>
      <c r="W7" s="993"/>
      <c r="X7" s="993"/>
    </row>
    <row r="8" spans="1:24" x14ac:dyDescent="0.3">
      <c r="A8" s="1594"/>
      <c r="B8" s="993"/>
      <c r="C8" s="993"/>
      <c r="D8" s="993"/>
      <c r="E8" s="2412"/>
      <c r="F8" s="2412"/>
      <c r="G8" s="993"/>
      <c r="H8" s="993"/>
      <c r="I8" s="993"/>
      <c r="J8" s="993"/>
      <c r="K8" s="993"/>
      <c r="L8" s="993"/>
      <c r="M8" s="993"/>
      <c r="N8" s="993"/>
      <c r="O8" s="993"/>
      <c r="P8" s="993"/>
      <c r="Q8" s="993"/>
      <c r="R8" s="993"/>
      <c r="S8" s="993"/>
      <c r="T8" s="993"/>
      <c r="U8" s="993"/>
      <c r="V8" s="993"/>
      <c r="W8" s="993"/>
      <c r="X8" s="993"/>
    </row>
    <row r="9" spans="1:24" x14ac:dyDescent="0.3">
      <c r="A9" s="1594"/>
      <c r="B9" s="993"/>
      <c r="C9" s="993"/>
      <c r="D9" s="993"/>
      <c r="E9" s="2412"/>
      <c r="F9" s="2412"/>
      <c r="G9" s="993"/>
      <c r="H9" s="993"/>
      <c r="I9" s="993"/>
      <c r="J9" s="993"/>
      <c r="K9" s="993"/>
      <c r="L9" s="993"/>
      <c r="M9" s="993"/>
      <c r="N9" s="993"/>
      <c r="O9" s="993"/>
      <c r="P9" s="993"/>
      <c r="Q9" s="993"/>
      <c r="R9" s="993"/>
      <c r="S9" s="993"/>
      <c r="T9" s="993"/>
      <c r="U9" s="993"/>
      <c r="V9" s="993"/>
      <c r="W9" s="993"/>
      <c r="X9" s="993"/>
    </row>
    <row r="10" spans="1:24" x14ac:dyDescent="0.3">
      <c r="A10" s="1594"/>
      <c r="B10" s="993"/>
      <c r="C10" s="993"/>
      <c r="D10" s="993"/>
      <c r="E10" s="2412"/>
      <c r="F10" s="2412"/>
      <c r="G10" s="993"/>
      <c r="H10" s="993"/>
      <c r="I10" s="993"/>
      <c r="J10" s="993"/>
      <c r="K10" s="993"/>
      <c r="L10" s="993"/>
      <c r="M10" s="993"/>
      <c r="N10" s="993"/>
      <c r="O10" s="993"/>
      <c r="P10" s="993"/>
      <c r="Q10" s="993"/>
      <c r="R10" s="993"/>
      <c r="S10" s="993"/>
      <c r="T10" s="993"/>
      <c r="U10" s="993"/>
      <c r="V10" s="993"/>
      <c r="W10" s="993"/>
      <c r="X10" s="993"/>
    </row>
    <row r="11" spans="1:24" x14ac:dyDescent="0.3">
      <c r="A11" s="1594"/>
      <c r="B11" s="993"/>
      <c r="C11" s="993"/>
      <c r="D11" s="993"/>
      <c r="E11" s="2412"/>
      <c r="F11" s="2412"/>
      <c r="G11" s="993"/>
      <c r="H11" s="993"/>
      <c r="I11" s="993"/>
      <c r="J11" s="993"/>
      <c r="K11" s="993"/>
      <c r="L11" s="993"/>
      <c r="M11" s="993"/>
      <c r="N11" s="993"/>
      <c r="O11" s="993"/>
      <c r="P11" s="993"/>
      <c r="Q11" s="993"/>
      <c r="R11" s="993"/>
      <c r="S11" s="993"/>
      <c r="T11" s="993"/>
      <c r="U11" s="993"/>
      <c r="V11" s="993"/>
      <c r="W11" s="993"/>
      <c r="X11" s="993"/>
    </row>
    <row r="12" spans="1:24" x14ac:dyDescent="0.3">
      <c r="A12" s="1594"/>
      <c r="B12" s="993"/>
      <c r="C12" s="993"/>
      <c r="D12" s="993"/>
      <c r="E12" s="2412"/>
      <c r="F12" s="2412"/>
      <c r="G12" s="993"/>
      <c r="H12" s="993"/>
      <c r="I12" s="993"/>
      <c r="J12" s="993"/>
      <c r="K12" s="993"/>
      <c r="L12" s="993"/>
      <c r="M12" s="993"/>
      <c r="N12" s="993"/>
      <c r="O12" s="993"/>
      <c r="P12" s="993"/>
      <c r="Q12" s="993"/>
      <c r="R12" s="993"/>
      <c r="S12" s="993"/>
      <c r="T12" s="993"/>
      <c r="U12" s="993"/>
      <c r="V12" s="993"/>
      <c r="W12" s="993"/>
      <c r="X12" s="993"/>
    </row>
    <row r="13" spans="1:24" x14ac:dyDescent="0.3">
      <c r="A13" s="1594"/>
      <c r="B13" s="993"/>
      <c r="C13" s="993"/>
      <c r="D13" s="993"/>
      <c r="E13" s="2412"/>
      <c r="F13" s="2412"/>
      <c r="G13" s="993"/>
      <c r="H13" s="993"/>
      <c r="I13" s="993"/>
      <c r="J13" s="993"/>
      <c r="K13" s="993"/>
      <c r="L13" s="993"/>
      <c r="M13" s="993"/>
      <c r="N13" s="993"/>
      <c r="O13" s="993"/>
      <c r="P13" s="993"/>
      <c r="Q13" s="993"/>
      <c r="R13" s="993"/>
      <c r="S13" s="993"/>
      <c r="T13" s="993"/>
      <c r="U13" s="993"/>
      <c r="V13" s="993"/>
      <c r="W13" s="993"/>
      <c r="X13" s="993"/>
    </row>
    <row r="14" spans="1:24" x14ac:dyDescent="0.3">
      <c r="A14" s="1594"/>
      <c r="B14" s="993"/>
      <c r="C14" s="993"/>
      <c r="D14" s="993"/>
      <c r="E14" s="2412"/>
      <c r="F14" s="2412"/>
      <c r="G14" s="993"/>
      <c r="H14" s="993"/>
      <c r="I14" s="993"/>
      <c r="J14" s="993"/>
      <c r="K14" s="993"/>
      <c r="L14" s="993"/>
      <c r="M14" s="993"/>
      <c r="N14" s="993"/>
      <c r="O14" s="993"/>
      <c r="P14" s="993"/>
      <c r="Q14" s="993"/>
      <c r="R14" s="993"/>
      <c r="S14" s="993"/>
      <c r="T14" s="993"/>
      <c r="U14" s="993"/>
      <c r="V14" s="993"/>
      <c r="W14" s="993"/>
      <c r="X14" s="993"/>
    </row>
    <row r="15" spans="1:24" x14ac:dyDescent="0.3">
      <c r="A15" s="1594"/>
      <c r="B15" s="993"/>
      <c r="C15" s="993"/>
      <c r="D15" s="993"/>
      <c r="E15" s="2412"/>
      <c r="F15" s="2412"/>
      <c r="G15" s="993"/>
      <c r="H15" s="993"/>
      <c r="I15" s="993"/>
      <c r="J15" s="993"/>
      <c r="K15" s="993"/>
      <c r="L15" s="993"/>
      <c r="M15" s="993"/>
      <c r="N15" s="993"/>
      <c r="O15" s="993"/>
      <c r="P15" s="993"/>
      <c r="Q15" s="993"/>
      <c r="R15" s="993"/>
      <c r="S15" s="993"/>
      <c r="T15" s="993"/>
      <c r="U15" s="993"/>
      <c r="V15" s="993"/>
      <c r="W15" s="993"/>
      <c r="X15" s="993"/>
    </row>
    <row r="16" spans="1:24" x14ac:dyDescent="0.3">
      <c r="A16" s="1594"/>
      <c r="B16" s="993"/>
      <c r="C16" s="993"/>
      <c r="D16" s="993"/>
      <c r="E16" s="2412"/>
      <c r="F16" s="2412"/>
      <c r="G16" s="993"/>
      <c r="H16" s="993"/>
      <c r="I16" s="993"/>
      <c r="J16" s="993"/>
      <c r="K16" s="993"/>
      <c r="L16" s="993"/>
      <c r="M16" s="993"/>
      <c r="N16" s="993"/>
      <c r="O16" s="993"/>
      <c r="P16" s="993"/>
      <c r="Q16" s="993"/>
      <c r="R16" s="993"/>
      <c r="S16" s="993"/>
      <c r="T16" s="993"/>
      <c r="U16" s="993"/>
      <c r="V16" s="993"/>
      <c r="W16" s="993"/>
      <c r="X16" s="993"/>
    </row>
    <row r="17" spans="1:24" x14ac:dyDescent="0.3">
      <c r="A17" s="1594"/>
      <c r="B17" s="993"/>
      <c r="C17" s="993"/>
      <c r="D17" s="993"/>
      <c r="E17" s="2412"/>
      <c r="F17" s="2412"/>
      <c r="G17" s="993"/>
      <c r="H17" s="993"/>
      <c r="I17" s="993"/>
      <c r="J17" s="993"/>
      <c r="K17" s="993"/>
      <c r="L17" s="993"/>
      <c r="M17" s="993"/>
      <c r="N17" s="993"/>
      <c r="O17" s="993"/>
      <c r="P17" s="993"/>
      <c r="Q17" s="993"/>
      <c r="R17" s="993"/>
      <c r="S17" s="993"/>
      <c r="T17" s="993"/>
      <c r="U17" s="993"/>
      <c r="V17" s="993"/>
      <c r="W17" s="993"/>
      <c r="X17" s="993"/>
    </row>
    <row r="18" spans="1:24" x14ac:dyDescent="0.3">
      <c r="A18" s="1594"/>
      <c r="B18" s="993"/>
      <c r="C18" s="993"/>
      <c r="D18" s="993"/>
      <c r="E18" s="2412"/>
      <c r="F18" s="2412"/>
      <c r="G18" s="993"/>
      <c r="H18" s="993"/>
      <c r="I18" s="993"/>
      <c r="J18" s="993"/>
      <c r="K18" s="993"/>
      <c r="L18" s="993"/>
      <c r="M18" s="993"/>
      <c r="N18" s="993"/>
      <c r="O18" s="993"/>
      <c r="P18" s="993"/>
      <c r="Q18" s="993"/>
      <c r="R18" s="993"/>
      <c r="S18" s="993"/>
      <c r="T18" s="993"/>
      <c r="U18" s="993"/>
      <c r="V18" s="993"/>
      <c r="W18" s="993"/>
      <c r="X18" s="993"/>
    </row>
    <row r="19" spans="1:24" x14ac:dyDescent="0.3">
      <c r="A19" s="1594"/>
      <c r="B19" s="993"/>
      <c r="C19" s="993"/>
      <c r="D19" s="993"/>
      <c r="E19" s="2412"/>
      <c r="F19" s="2412"/>
      <c r="G19" s="993"/>
      <c r="H19" s="993"/>
      <c r="I19" s="993"/>
      <c r="J19" s="993"/>
      <c r="K19" s="993"/>
      <c r="L19" s="993"/>
      <c r="M19" s="993"/>
      <c r="N19" s="993"/>
      <c r="O19" s="993"/>
      <c r="P19" s="993"/>
      <c r="Q19" s="993"/>
      <c r="R19" s="993"/>
      <c r="S19" s="993"/>
      <c r="T19" s="993"/>
      <c r="U19" s="993"/>
      <c r="V19" s="993"/>
      <c r="W19" s="993"/>
      <c r="X19" s="993"/>
    </row>
    <row r="20" spans="1:24" x14ac:dyDescent="0.3">
      <c r="A20" s="1594"/>
      <c r="B20" s="993"/>
      <c r="C20" s="993"/>
      <c r="D20" s="993"/>
      <c r="E20" s="2412"/>
      <c r="F20" s="2412"/>
      <c r="G20" s="993"/>
      <c r="H20" s="993"/>
      <c r="I20" s="993"/>
      <c r="J20" s="993"/>
      <c r="K20" s="993"/>
      <c r="L20" s="993"/>
      <c r="M20" s="993"/>
      <c r="N20" s="993"/>
      <c r="O20" s="993"/>
      <c r="P20" s="993"/>
      <c r="Q20" s="993"/>
      <c r="R20" s="993"/>
      <c r="S20" s="993"/>
      <c r="T20" s="993"/>
      <c r="U20" s="993"/>
      <c r="V20" s="993"/>
      <c r="W20" s="993"/>
      <c r="X20" s="993"/>
    </row>
    <row r="21" spans="1:24" x14ac:dyDescent="0.3">
      <c r="A21" s="1594"/>
      <c r="B21" s="993"/>
      <c r="C21" s="993"/>
      <c r="D21" s="993"/>
      <c r="E21" s="2412"/>
      <c r="F21" s="2412"/>
      <c r="G21" s="993"/>
      <c r="H21" s="993"/>
      <c r="I21" s="993"/>
      <c r="J21" s="993"/>
      <c r="K21" s="993"/>
      <c r="L21" s="993"/>
      <c r="M21" s="993"/>
      <c r="N21" s="993"/>
      <c r="O21" s="993"/>
      <c r="P21" s="993"/>
      <c r="Q21" s="993"/>
      <c r="R21" s="993"/>
      <c r="S21" s="993"/>
      <c r="T21" s="993"/>
      <c r="U21" s="993"/>
      <c r="V21" s="993"/>
      <c r="W21" s="993"/>
      <c r="X21" s="993"/>
    </row>
    <row r="22" spans="1:24" x14ac:dyDescent="0.3">
      <c r="A22" s="1594"/>
      <c r="B22" s="993"/>
      <c r="C22" s="993"/>
      <c r="D22" s="993"/>
      <c r="E22" s="2412"/>
      <c r="F22" s="2412"/>
      <c r="G22" s="993"/>
      <c r="H22" s="993"/>
      <c r="I22" s="993"/>
      <c r="J22" s="993"/>
      <c r="K22" s="993"/>
      <c r="L22" s="993"/>
      <c r="M22" s="993"/>
      <c r="N22" s="993"/>
      <c r="O22" s="993"/>
      <c r="P22" s="993"/>
      <c r="Q22" s="993"/>
      <c r="R22" s="993"/>
      <c r="S22" s="993"/>
      <c r="T22" s="993"/>
      <c r="U22" s="993"/>
      <c r="V22" s="993"/>
      <c r="W22" s="993"/>
      <c r="X22" s="993"/>
    </row>
    <row r="23" spans="1:24" x14ac:dyDescent="0.3">
      <c r="A23" s="1594"/>
      <c r="B23" s="993"/>
      <c r="C23" s="993"/>
      <c r="D23" s="993"/>
      <c r="E23" s="2412"/>
      <c r="F23" s="2412"/>
      <c r="G23" s="993"/>
      <c r="H23" s="993"/>
      <c r="I23" s="993"/>
      <c r="J23" s="993"/>
      <c r="K23" s="993"/>
      <c r="L23" s="993"/>
      <c r="M23" s="993"/>
      <c r="N23" s="993"/>
      <c r="O23" s="993"/>
      <c r="P23" s="993"/>
      <c r="Q23" s="993"/>
      <c r="R23" s="993"/>
      <c r="S23" s="993"/>
      <c r="T23" s="993"/>
      <c r="U23" s="993"/>
      <c r="V23" s="993"/>
      <c r="W23" s="993"/>
      <c r="X23" s="993"/>
    </row>
    <row r="24" spans="1:24" x14ac:dyDescent="0.3">
      <c r="A24" s="1594"/>
      <c r="B24" s="993"/>
      <c r="C24" s="993"/>
      <c r="D24" s="993"/>
      <c r="E24" s="2412"/>
      <c r="F24" s="2412"/>
      <c r="G24" s="993"/>
      <c r="H24" s="993"/>
      <c r="I24" s="993"/>
      <c r="J24" s="993"/>
      <c r="K24" s="993"/>
      <c r="L24" s="993"/>
      <c r="M24" s="993"/>
      <c r="N24" s="993"/>
      <c r="O24" s="993"/>
      <c r="P24" s="993"/>
      <c r="Q24" s="993"/>
      <c r="R24" s="993"/>
      <c r="S24" s="993"/>
      <c r="T24" s="993"/>
      <c r="U24" s="993"/>
      <c r="V24" s="993"/>
      <c r="W24" s="993"/>
      <c r="X24" s="993"/>
    </row>
    <row r="25" spans="1:24" x14ac:dyDescent="0.3">
      <c r="A25" s="1594"/>
      <c r="B25" s="993"/>
      <c r="C25" s="993"/>
      <c r="D25" s="993"/>
      <c r="E25" s="2412"/>
      <c r="F25" s="2412"/>
      <c r="G25" s="993"/>
      <c r="H25" s="993"/>
      <c r="I25" s="993"/>
      <c r="J25" s="993"/>
      <c r="K25" s="993"/>
      <c r="L25" s="993"/>
      <c r="M25" s="993"/>
      <c r="N25" s="993"/>
      <c r="O25" s="993"/>
      <c r="P25" s="993"/>
      <c r="Q25" s="993"/>
      <c r="R25" s="993"/>
      <c r="S25" s="993"/>
      <c r="T25" s="993"/>
      <c r="U25" s="993"/>
      <c r="V25" s="993"/>
      <c r="W25" s="993"/>
      <c r="X25" s="993"/>
    </row>
    <row r="26" spans="1:24" x14ac:dyDescent="0.3">
      <c r="A26" s="1594"/>
      <c r="B26" s="993"/>
      <c r="C26" s="993"/>
      <c r="D26" s="993"/>
      <c r="E26" s="2412"/>
      <c r="F26" s="2412"/>
      <c r="G26" s="993"/>
      <c r="H26" s="993"/>
      <c r="I26" s="993"/>
      <c r="J26" s="993"/>
      <c r="K26" s="993"/>
      <c r="L26" s="993"/>
      <c r="M26" s="993"/>
      <c r="N26" s="993"/>
      <c r="O26" s="993"/>
      <c r="P26" s="993"/>
      <c r="Q26" s="993"/>
      <c r="R26" s="993"/>
      <c r="S26" s="993"/>
      <c r="T26" s="993"/>
      <c r="U26" s="993"/>
      <c r="V26" s="993"/>
      <c r="W26" s="993"/>
      <c r="X26" s="993"/>
    </row>
    <row r="27" spans="1:24" x14ac:dyDescent="0.3">
      <c r="A27" s="1594"/>
      <c r="B27" s="993"/>
      <c r="C27" s="993"/>
      <c r="D27" s="993"/>
      <c r="E27" s="2412"/>
      <c r="F27" s="2412"/>
      <c r="G27" s="993"/>
      <c r="H27" s="993"/>
      <c r="I27" s="993"/>
      <c r="J27" s="993"/>
      <c r="K27" s="993"/>
      <c r="L27" s="993"/>
      <c r="M27" s="993"/>
      <c r="N27" s="993"/>
      <c r="O27" s="993"/>
      <c r="P27" s="993"/>
      <c r="Q27" s="993"/>
      <c r="R27" s="993"/>
      <c r="S27" s="993"/>
      <c r="T27" s="993"/>
      <c r="U27" s="993"/>
      <c r="V27" s="993"/>
      <c r="W27" s="993"/>
      <c r="X27" s="993"/>
    </row>
    <row r="28" spans="1:24" x14ac:dyDescent="0.3">
      <c r="A28" s="1594"/>
      <c r="B28" s="993"/>
      <c r="C28" s="993"/>
      <c r="D28" s="993"/>
      <c r="E28" s="2412"/>
      <c r="F28" s="2412"/>
      <c r="G28" s="993"/>
      <c r="H28" s="993"/>
      <c r="I28" s="993"/>
      <c r="J28" s="993"/>
      <c r="K28" s="993"/>
      <c r="L28" s="993"/>
      <c r="M28" s="993"/>
      <c r="N28" s="993"/>
      <c r="O28" s="993"/>
      <c r="P28" s="993"/>
      <c r="Q28" s="993"/>
      <c r="R28" s="993"/>
      <c r="S28" s="993"/>
      <c r="T28" s="993"/>
      <c r="U28" s="993"/>
      <c r="V28" s="993"/>
      <c r="W28" s="993"/>
      <c r="X28" s="993"/>
    </row>
    <row r="29" spans="1:24" x14ac:dyDescent="0.3">
      <c r="A29" s="1594"/>
      <c r="B29" s="993"/>
      <c r="C29" s="993"/>
      <c r="D29" s="993"/>
      <c r="E29" s="2412"/>
      <c r="F29" s="2412"/>
      <c r="G29" s="993"/>
      <c r="H29" s="993"/>
      <c r="I29" s="993"/>
      <c r="J29" s="993"/>
      <c r="K29" s="993"/>
      <c r="L29" s="993"/>
      <c r="M29" s="993"/>
      <c r="N29" s="993"/>
      <c r="O29" s="993"/>
      <c r="P29" s="993"/>
      <c r="Q29" s="993"/>
      <c r="R29" s="993"/>
      <c r="S29" s="993"/>
      <c r="T29" s="993"/>
      <c r="U29" s="993"/>
      <c r="V29" s="993"/>
      <c r="W29" s="993"/>
      <c r="X29" s="993"/>
    </row>
    <row r="30" spans="1:24" x14ac:dyDescent="0.3">
      <c r="A30" s="1594"/>
      <c r="B30" s="993"/>
      <c r="C30" s="993"/>
      <c r="D30" s="993"/>
      <c r="E30" s="2412"/>
      <c r="F30" s="2412"/>
      <c r="G30" s="993"/>
      <c r="H30" s="993"/>
      <c r="I30" s="993"/>
      <c r="J30" s="993"/>
      <c r="K30" s="993"/>
      <c r="L30" s="993"/>
      <c r="M30" s="993"/>
      <c r="N30" s="993"/>
      <c r="O30" s="993"/>
      <c r="P30" s="993"/>
      <c r="Q30" s="993"/>
      <c r="R30" s="993"/>
      <c r="S30" s="993"/>
      <c r="T30" s="993"/>
      <c r="U30" s="993"/>
      <c r="V30" s="993"/>
      <c r="W30" s="993"/>
      <c r="X30" s="993"/>
    </row>
    <row r="31" spans="1:24" x14ac:dyDescent="0.3">
      <c r="A31" s="1594"/>
      <c r="B31" s="993"/>
      <c r="C31" s="993"/>
      <c r="D31" s="993"/>
      <c r="E31" s="2412"/>
      <c r="F31" s="2412"/>
      <c r="G31" s="993"/>
      <c r="H31" s="993"/>
      <c r="I31" s="993"/>
      <c r="J31" s="993"/>
      <c r="K31" s="993"/>
      <c r="L31" s="993"/>
      <c r="M31" s="993"/>
      <c r="N31" s="993"/>
      <c r="O31" s="993"/>
      <c r="P31" s="993"/>
      <c r="Q31" s="993"/>
      <c r="R31" s="993"/>
      <c r="S31" s="993"/>
      <c r="T31" s="993"/>
      <c r="U31" s="993"/>
      <c r="V31" s="993"/>
      <c r="W31" s="993"/>
      <c r="X31" s="993"/>
    </row>
    <row r="32" spans="1:24" x14ac:dyDescent="0.3">
      <c r="A32" s="1594"/>
      <c r="B32" s="993"/>
      <c r="C32" s="993"/>
      <c r="D32" s="993"/>
      <c r="E32" s="2412"/>
      <c r="F32" s="2412"/>
      <c r="G32" s="993"/>
      <c r="H32" s="993"/>
      <c r="I32" s="993"/>
      <c r="J32" s="993"/>
      <c r="K32" s="993"/>
      <c r="L32" s="993"/>
      <c r="M32" s="993"/>
      <c r="N32" s="993"/>
      <c r="O32" s="993"/>
      <c r="P32" s="993"/>
      <c r="Q32" s="993"/>
      <c r="R32" s="993"/>
      <c r="S32" s="993"/>
      <c r="T32" s="993"/>
      <c r="U32" s="993"/>
      <c r="V32" s="993"/>
      <c r="W32" s="993"/>
      <c r="X32" s="993"/>
    </row>
    <row r="33" spans="1:24" x14ac:dyDescent="0.3">
      <c r="A33" s="1594"/>
      <c r="B33" s="993"/>
      <c r="C33" s="993"/>
      <c r="D33" s="993"/>
      <c r="E33" s="2412"/>
      <c r="F33" s="2412"/>
      <c r="G33" s="993"/>
      <c r="H33" s="993"/>
      <c r="I33" s="993"/>
      <c r="J33" s="993"/>
      <c r="K33" s="993"/>
      <c r="L33" s="993"/>
      <c r="M33" s="993"/>
      <c r="N33" s="993"/>
      <c r="O33" s="993"/>
      <c r="P33" s="993"/>
      <c r="Q33" s="993"/>
      <c r="R33" s="993"/>
      <c r="S33" s="993"/>
      <c r="T33" s="993"/>
      <c r="U33" s="993"/>
      <c r="V33" s="993"/>
      <c r="W33" s="993"/>
      <c r="X33" s="993"/>
    </row>
    <row r="34" spans="1:24" x14ac:dyDescent="0.3">
      <c r="A34" s="1594"/>
      <c r="B34" s="993"/>
      <c r="C34" s="993"/>
      <c r="D34" s="993"/>
      <c r="E34" s="2412"/>
      <c r="F34" s="2412"/>
      <c r="G34" s="993"/>
      <c r="H34" s="993"/>
      <c r="I34" s="993"/>
      <c r="J34" s="993"/>
      <c r="K34" s="993"/>
      <c r="L34" s="993"/>
      <c r="M34" s="993"/>
      <c r="N34" s="993"/>
      <c r="O34" s="993"/>
      <c r="P34" s="993"/>
      <c r="Q34" s="993"/>
      <c r="R34" s="993"/>
      <c r="S34" s="993"/>
      <c r="T34" s="993"/>
      <c r="U34" s="993"/>
      <c r="V34" s="993"/>
      <c r="W34" s="993"/>
      <c r="X34" s="993"/>
    </row>
    <row r="35" spans="1:24" x14ac:dyDescent="0.3">
      <c r="A35" s="1594"/>
      <c r="B35" s="993"/>
      <c r="C35" s="993"/>
      <c r="D35" s="993"/>
      <c r="E35" s="2412"/>
      <c r="F35" s="2412"/>
      <c r="G35" s="993"/>
      <c r="H35" s="993"/>
      <c r="I35" s="993"/>
      <c r="J35" s="993"/>
      <c r="K35" s="993"/>
      <c r="L35" s="993"/>
      <c r="M35" s="993"/>
      <c r="N35" s="993"/>
      <c r="O35" s="993"/>
      <c r="P35" s="993"/>
      <c r="Q35" s="993"/>
      <c r="R35" s="993"/>
      <c r="S35" s="993"/>
      <c r="T35" s="993"/>
      <c r="U35" s="993"/>
      <c r="V35" s="993"/>
      <c r="W35" s="993"/>
      <c r="X35" s="993"/>
    </row>
    <row r="36" spans="1:24" x14ac:dyDescent="0.3">
      <c r="A36" s="1594"/>
      <c r="B36" s="993"/>
      <c r="C36" s="993"/>
      <c r="D36" s="993"/>
      <c r="E36" s="2412"/>
      <c r="F36" s="2412"/>
      <c r="G36" s="993"/>
      <c r="H36" s="993"/>
      <c r="I36" s="993"/>
      <c r="J36" s="993"/>
      <c r="K36" s="993"/>
      <c r="L36" s="993"/>
      <c r="M36" s="993"/>
      <c r="N36" s="993"/>
      <c r="O36" s="993"/>
      <c r="P36" s="993"/>
      <c r="Q36" s="993"/>
      <c r="R36" s="993"/>
      <c r="S36" s="993"/>
      <c r="T36" s="993"/>
      <c r="U36" s="993"/>
      <c r="V36" s="993"/>
      <c r="W36" s="993"/>
      <c r="X36" s="993"/>
    </row>
    <row r="37" spans="1:24" x14ac:dyDescent="0.3">
      <c r="A37" s="1594"/>
      <c r="B37" s="993"/>
      <c r="C37" s="993"/>
      <c r="D37" s="993"/>
      <c r="E37" s="2412"/>
      <c r="F37" s="2412"/>
      <c r="G37" s="993"/>
      <c r="H37" s="993"/>
      <c r="I37" s="993"/>
      <c r="J37" s="993"/>
      <c r="K37" s="993"/>
      <c r="L37" s="993"/>
      <c r="M37" s="993"/>
      <c r="N37" s="993"/>
      <c r="O37" s="993"/>
      <c r="P37" s="993"/>
      <c r="Q37" s="993"/>
      <c r="R37" s="993"/>
      <c r="S37" s="993"/>
      <c r="T37" s="993"/>
      <c r="U37" s="993"/>
      <c r="V37" s="993"/>
      <c r="W37" s="993"/>
      <c r="X37" s="993"/>
    </row>
    <row r="38" spans="1:24" x14ac:dyDescent="0.3">
      <c r="A38" s="1594"/>
      <c r="B38" s="993"/>
      <c r="C38" s="993"/>
      <c r="D38" s="993"/>
      <c r="E38" s="2412"/>
      <c r="F38" s="2412"/>
      <c r="G38" s="993"/>
      <c r="H38" s="993"/>
      <c r="I38" s="993"/>
      <c r="J38" s="993"/>
      <c r="K38" s="993"/>
      <c r="L38" s="993"/>
      <c r="M38" s="993"/>
      <c r="N38" s="993"/>
      <c r="O38" s="993"/>
      <c r="P38" s="993"/>
      <c r="Q38" s="993"/>
      <c r="R38" s="993"/>
      <c r="S38" s="993"/>
      <c r="T38" s="993"/>
      <c r="U38" s="993"/>
      <c r="V38" s="993"/>
      <c r="W38" s="993"/>
      <c r="X38" s="993"/>
    </row>
    <row r="39" spans="1:24" x14ac:dyDescent="0.3">
      <c r="A39" s="1594"/>
      <c r="B39" s="993"/>
      <c r="C39" s="993"/>
      <c r="D39" s="993"/>
      <c r="E39" s="2412"/>
      <c r="F39" s="2412"/>
      <c r="G39" s="993"/>
      <c r="H39" s="993"/>
      <c r="I39" s="993"/>
      <c r="J39" s="993"/>
      <c r="K39" s="993"/>
      <c r="L39" s="993"/>
      <c r="M39" s="993"/>
      <c r="N39" s="993"/>
      <c r="O39" s="993"/>
      <c r="P39" s="993"/>
      <c r="Q39" s="993"/>
      <c r="R39" s="993"/>
      <c r="S39" s="993"/>
      <c r="T39" s="993"/>
      <c r="U39" s="993"/>
      <c r="V39" s="993"/>
      <c r="W39" s="993"/>
      <c r="X39" s="993"/>
    </row>
    <row r="40" spans="1:24" x14ac:dyDescent="0.3">
      <c r="A40" s="1594"/>
      <c r="B40" s="993"/>
      <c r="C40" s="993"/>
      <c r="D40" s="993"/>
      <c r="E40" s="2412"/>
      <c r="F40" s="2412"/>
      <c r="G40" s="993"/>
      <c r="H40" s="993"/>
      <c r="I40" s="993"/>
      <c r="J40" s="993"/>
      <c r="K40" s="993"/>
      <c r="L40" s="993"/>
      <c r="M40" s="993"/>
      <c r="N40" s="993"/>
      <c r="O40" s="993"/>
      <c r="P40" s="993"/>
      <c r="Q40" s="993"/>
      <c r="R40" s="993"/>
      <c r="S40" s="993"/>
      <c r="T40" s="993"/>
      <c r="U40" s="993"/>
      <c r="V40" s="993"/>
      <c r="W40" s="993"/>
      <c r="X40" s="993"/>
    </row>
    <row r="41" spans="1:24" x14ac:dyDescent="0.3">
      <c r="A41" s="1594"/>
      <c r="B41" s="993"/>
      <c r="C41" s="993"/>
      <c r="D41" s="549" t="s">
        <v>507</v>
      </c>
      <c r="E41" s="993"/>
      <c r="F41" s="993"/>
      <c r="G41" s="993"/>
      <c r="H41" s="993"/>
      <c r="I41" s="993"/>
      <c r="J41" s="993"/>
      <c r="K41" s="993"/>
      <c r="L41" s="993"/>
      <c r="M41" s="993"/>
      <c r="N41" s="993"/>
      <c r="O41" s="993"/>
      <c r="P41" s="993"/>
      <c r="Q41" s="993"/>
      <c r="R41" s="993"/>
      <c r="S41" s="993"/>
      <c r="T41" s="993"/>
      <c r="U41" s="993"/>
      <c r="V41" s="993"/>
      <c r="W41" s="993"/>
      <c r="X41" s="993"/>
    </row>
    <row r="42" spans="1:24" x14ac:dyDescent="0.3">
      <c r="A42" s="1594"/>
      <c r="B42" s="993"/>
      <c r="C42" s="993"/>
      <c r="D42" s="993"/>
      <c r="E42" s="993"/>
      <c r="F42" s="993"/>
      <c r="G42" s="993"/>
      <c r="H42" s="993"/>
      <c r="I42" s="993"/>
      <c r="J42" s="993"/>
      <c r="K42" s="993"/>
      <c r="L42" s="993"/>
      <c r="M42" s="993"/>
      <c r="N42" s="993"/>
      <c r="O42" s="993"/>
      <c r="P42" s="993"/>
      <c r="Q42" s="993"/>
      <c r="R42" s="993"/>
      <c r="S42" s="993"/>
      <c r="T42" s="993"/>
      <c r="U42" s="993"/>
      <c r="V42" s="993"/>
      <c r="W42" s="993"/>
      <c r="X42" s="993"/>
    </row>
    <row r="43" spans="1:24" x14ac:dyDescent="0.3">
      <c r="A43" s="1594"/>
      <c r="B43" s="993"/>
      <c r="C43" s="993"/>
      <c r="D43" s="2415" t="s">
        <v>508</v>
      </c>
      <c r="E43" s="2416"/>
      <c r="F43" s="2416"/>
      <c r="G43" s="2417"/>
      <c r="H43" s="2417"/>
      <c r="I43" s="2418"/>
      <c r="J43" s="2418">
        <v>2025</v>
      </c>
      <c r="K43" s="2418">
        <v>2026</v>
      </c>
      <c r="L43" s="2418">
        <v>2027</v>
      </c>
      <c r="M43" s="2418">
        <v>2028</v>
      </c>
      <c r="N43" s="2418">
        <v>2029</v>
      </c>
      <c r="O43" s="2418">
        <v>2030</v>
      </c>
      <c r="P43" s="993"/>
      <c r="Q43" s="993"/>
      <c r="R43" s="993"/>
      <c r="S43" s="993"/>
      <c r="T43" s="993"/>
      <c r="U43" s="993"/>
      <c r="V43" s="993"/>
      <c r="W43" s="993"/>
      <c r="X43" s="993"/>
    </row>
    <row r="44" spans="1:24" x14ac:dyDescent="0.3">
      <c r="A44" s="1594"/>
      <c r="B44" s="993"/>
      <c r="C44" s="993"/>
      <c r="D44" s="2419" t="s">
        <v>5408</v>
      </c>
      <c r="E44" s="2420"/>
      <c r="F44" s="2420"/>
      <c r="G44" s="993"/>
      <c r="H44" s="993"/>
      <c r="I44" s="2421"/>
      <c r="J44" s="2421">
        <v>0</v>
      </c>
      <c r="K44" s="2421">
        <v>0</v>
      </c>
      <c r="L44" s="1487">
        <v>236000</v>
      </c>
      <c r="M44" s="1487">
        <v>246000</v>
      </c>
      <c r="N44" s="1487">
        <v>256000</v>
      </c>
      <c r="O44" s="1487">
        <v>267000</v>
      </c>
      <c r="P44" s="993"/>
      <c r="Q44" s="993"/>
      <c r="R44" s="993"/>
      <c r="S44" s="993"/>
      <c r="T44" s="993"/>
      <c r="U44" s="993"/>
      <c r="V44" s="993"/>
      <c r="W44" s="993"/>
      <c r="X44" s="993"/>
    </row>
    <row r="45" spans="1:24" x14ac:dyDescent="0.3">
      <c r="A45" s="1594"/>
      <c r="B45" s="993"/>
      <c r="C45" s="993"/>
      <c r="D45" s="2419" t="s">
        <v>5409</v>
      </c>
      <c r="E45" s="2420"/>
      <c r="F45" s="2420"/>
      <c r="G45" s="993"/>
      <c r="H45" s="993"/>
      <c r="I45" s="2421"/>
      <c r="J45" s="2421">
        <v>0</v>
      </c>
      <c r="K45" s="2421">
        <v>0</v>
      </c>
      <c r="L45" s="1487">
        <v>10400</v>
      </c>
      <c r="M45" s="1487">
        <v>10800</v>
      </c>
      <c r="N45" s="1487">
        <v>11300</v>
      </c>
      <c r="O45" s="1487">
        <v>11800</v>
      </c>
      <c r="P45" s="993"/>
      <c r="Q45" s="993"/>
      <c r="R45" s="993"/>
      <c r="S45" s="993"/>
      <c r="T45" s="993"/>
      <c r="U45" s="993"/>
      <c r="V45" s="993"/>
      <c r="W45" s="993"/>
      <c r="X45" s="993"/>
    </row>
    <row r="46" spans="1:24" x14ac:dyDescent="0.3">
      <c r="A46" s="1594"/>
      <c r="B46" s="993"/>
      <c r="C46" s="993"/>
      <c r="D46" s="2419" t="s">
        <v>5410</v>
      </c>
      <c r="E46" s="2420"/>
      <c r="F46" s="2420"/>
      <c r="G46" s="993"/>
      <c r="H46" s="993"/>
      <c r="I46" s="2421"/>
      <c r="J46" s="2421">
        <v>0</v>
      </c>
      <c r="K46" s="2421">
        <v>0</v>
      </c>
      <c r="L46" s="1487">
        <v>67700</v>
      </c>
      <c r="M46" s="1487">
        <v>70500</v>
      </c>
      <c r="N46" s="1487">
        <v>73500</v>
      </c>
      <c r="O46" s="1487">
        <v>76600</v>
      </c>
      <c r="P46" s="993"/>
      <c r="Q46" s="993"/>
      <c r="R46" s="993"/>
      <c r="S46" s="993"/>
      <c r="T46" s="993"/>
      <c r="U46" s="993"/>
      <c r="V46" s="993"/>
      <c r="W46" s="993"/>
      <c r="X46" s="993"/>
    </row>
    <row r="47" spans="1:24" x14ac:dyDescent="0.3">
      <c r="A47" s="1594"/>
      <c r="B47" s="993"/>
      <c r="C47" s="993"/>
      <c r="D47" s="2419" t="s">
        <v>5411</v>
      </c>
      <c r="E47" s="2420"/>
      <c r="F47" s="2420"/>
      <c r="G47" s="993"/>
      <c r="H47" s="993"/>
      <c r="I47" s="2421"/>
      <c r="J47" s="2421">
        <v>0</v>
      </c>
      <c r="K47" s="2421">
        <v>0</v>
      </c>
      <c r="L47" s="1487">
        <v>27100</v>
      </c>
      <c r="M47" s="1487">
        <v>28200</v>
      </c>
      <c r="N47" s="1487">
        <v>29400</v>
      </c>
      <c r="O47" s="1487">
        <v>30600</v>
      </c>
      <c r="P47" s="993"/>
      <c r="Q47" s="993"/>
      <c r="R47" s="993"/>
      <c r="S47" s="993"/>
      <c r="T47" s="993"/>
      <c r="U47" s="993"/>
      <c r="V47" s="993"/>
      <c r="W47" s="993"/>
      <c r="X47" s="993"/>
    </row>
    <row r="48" spans="1:24" x14ac:dyDescent="0.3">
      <c r="A48" s="1594"/>
      <c r="B48" s="993"/>
      <c r="C48" s="993"/>
      <c r="D48" s="2419" t="s">
        <v>5412</v>
      </c>
      <c r="E48" s="2420"/>
      <c r="F48" s="2420"/>
      <c r="G48" s="993"/>
      <c r="H48" s="993"/>
      <c r="I48" s="2421"/>
      <c r="J48" s="2421">
        <v>0</v>
      </c>
      <c r="K48" s="2421">
        <v>0</v>
      </c>
      <c r="L48" s="1487">
        <v>118000</v>
      </c>
      <c r="M48" s="1487">
        <v>123000</v>
      </c>
      <c r="N48" s="1487">
        <v>128000</v>
      </c>
      <c r="O48" s="1487">
        <v>133000</v>
      </c>
      <c r="P48" s="993"/>
      <c r="Q48" s="993"/>
      <c r="R48" s="993"/>
      <c r="S48" s="993"/>
      <c r="T48" s="993"/>
      <c r="U48" s="993"/>
      <c r="V48" s="993"/>
      <c r="W48" s="993"/>
      <c r="X48" s="993"/>
    </row>
    <row r="49" spans="1:24" x14ac:dyDescent="0.3">
      <c r="A49" s="1594"/>
      <c r="B49" s="993"/>
      <c r="C49" s="993"/>
      <c r="D49" s="1590"/>
      <c r="E49" s="2412"/>
      <c r="F49" s="2412"/>
      <c r="G49" s="993"/>
      <c r="H49" s="993"/>
      <c r="I49" s="2421"/>
      <c r="J49" s="2421"/>
      <c r="K49" s="2421"/>
      <c r="L49" s="2421"/>
      <c r="M49" s="2421"/>
      <c r="N49" s="2421"/>
      <c r="O49" s="2421"/>
      <c r="P49" s="993"/>
      <c r="Q49" s="993"/>
      <c r="R49" s="993"/>
      <c r="S49" s="993"/>
      <c r="T49" s="993"/>
      <c r="U49" s="993"/>
      <c r="V49" s="993"/>
      <c r="W49" s="993"/>
      <c r="X49" s="993"/>
    </row>
    <row r="50" spans="1:24" x14ac:dyDescent="0.3">
      <c r="A50" s="1594"/>
      <c r="B50" s="993"/>
      <c r="C50" s="993"/>
      <c r="D50" s="1590"/>
      <c r="E50" s="2412"/>
      <c r="F50" s="2412"/>
      <c r="G50" s="993"/>
      <c r="H50" s="993"/>
      <c r="I50" s="2421"/>
      <c r="J50" s="2422"/>
      <c r="K50" s="2422"/>
      <c r="L50" s="2422"/>
      <c r="M50" s="2422"/>
      <c r="N50" s="2422"/>
      <c r="O50" s="2422"/>
      <c r="P50" s="993"/>
      <c r="Q50" s="993"/>
      <c r="R50" s="993"/>
      <c r="S50" s="993"/>
      <c r="T50" s="993"/>
      <c r="U50" s="993"/>
      <c r="V50" s="993"/>
      <c r="W50" s="993"/>
      <c r="X50" s="993"/>
    </row>
    <row r="51" spans="1:24" x14ac:dyDescent="0.3">
      <c r="A51" s="1594"/>
      <c r="B51" s="993"/>
      <c r="C51" s="993"/>
      <c r="D51" s="2423" t="s">
        <v>525</v>
      </c>
      <c r="E51" s="2424"/>
      <c r="F51" s="2424"/>
      <c r="G51" s="2425"/>
      <c r="H51" s="2425"/>
      <c r="I51" s="2426"/>
      <c r="J51" s="2427">
        <v>0</v>
      </c>
      <c r="K51" s="2427">
        <v>0</v>
      </c>
      <c r="L51" s="2428">
        <v>459200</v>
      </c>
      <c r="M51" s="2428">
        <v>478500</v>
      </c>
      <c r="N51" s="2428">
        <v>498200</v>
      </c>
      <c r="O51" s="2428">
        <v>519000</v>
      </c>
      <c r="P51" s="993"/>
      <c r="Q51" s="993"/>
      <c r="R51" s="993"/>
      <c r="S51" s="993"/>
      <c r="T51" s="993"/>
      <c r="U51" s="993"/>
      <c r="V51" s="993"/>
      <c r="W51" s="993"/>
      <c r="X51" s="993"/>
    </row>
    <row r="52" spans="1:24" x14ac:dyDescent="0.3">
      <c r="A52" s="1594"/>
      <c r="B52" s="993"/>
      <c r="C52" s="993"/>
      <c r="D52" s="993"/>
      <c r="E52" s="2412"/>
      <c r="F52" s="2412"/>
      <c r="G52" s="993"/>
      <c r="H52" s="993"/>
      <c r="I52" s="993"/>
      <c r="J52" s="993"/>
      <c r="K52" s="993"/>
      <c r="L52" s="993"/>
      <c r="M52" s="993"/>
      <c r="N52" s="993"/>
      <c r="O52" s="993"/>
      <c r="P52" s="993"/>
      <c r="Q52" s="993"/>
      <c r="R52" s="993"/>
      <c r="S52" s="993"/>
      <c r="T52" s="993"/>
      <c r="U52" s="993"/>
      <c r="V52" s="993"/>
      <c r="W52" s="993"/>
      <c r="X52" s="993"/>
    </row>
    <row r="53" spans="1:24" x14ac:dyDescent="0.3">
      <c r="A53" s="1594"/>
      <c r="B53" s="993"/>
      <c r="C53" s="993"/>
      <c r="D53" s="2415" t="s">
        <v>526</v>
      </c>
      <c r="E53" s="2416"/>
      <c r="F53" s="2416"/>
      <c r="G53" s="2417"/>
      <c r="H53" s="2417"/>
      <c r="I53" s="2418"/>
      <c r="J53" s="2418">
        <v>2025</v>
      </c>
      <c r="K53" s="2418">
        <v>2026</v>
      </c>
      <c r="L53" s="2418">
        <v>2027</v>
      </c>
      <c r="M53" s="2418">
        <v>2028</v>
      </c>
      <c r="N53" s="2418">
        <v>2029</v>
      </c>
      <c r="O53" s="2418">
        <v>2030</v>
      </c>
      <c r="P53" s="993"/>
      <c r="Q53" s="993"/>
      <c r="R53" s="993"/>
      <c r="S53" s="993"/>
      <c r="T53" s="993"/>
      <c r="U53" s="993"/>
      <c r="V53" s="993"/>
      <c r="W53" s="993"/>
      <c r="X53" s="993"/>
    </row>
    <row r="54" spans="1:24" x14ac:dyDescent="0.3">
      <c r="A54" s="1594"/>
      <c r="B54" s="993"/>
      <c r="C54" s="993"/>
      <c r="D54" s="2429"/>
      <c r="E54" s="2430"/>
      <c r="F54" s="2430"/>
      <c r="G54" s="2431"/>
      <c r="H54" s="2431"/>
      <c r="I54" s="2421"/>
      <c r="J54" s="1496"/>
      <c r="K54" s="1496"/>
      <c r="L54" s="1496"/>
      <c r="M54" s="1496"/>
      <c r="N54" s="1496"/>
      <c r="O54" s="1496"/>
      <c r="P54" s="993"/>
      <c r="Q54" s="993"/>
      <c r="R54" s="993"/>
      <c r="S54" s="993"/>
      <c r="T54" s="993"/>
      <c r="U54" s="993"/>
      <c r="V54" s="993"/>
      <c r="W54" s="993"/>
      <c r="X54" s="993"/>
    </row>
    <row r="55" spans="1:24" x14ac:dyDescent="0.3">
      <c r="A55" s="1594"/>
      <c r="B55" s="993"/>
      <c r="C55" s="993"/>
      <c r="D55" s="1590"/>
      <c r="E55" s="2412"/>
      <c r="F55" s="2412"/>
      <c r="G55" s="993"/>
      <c r="H55" s="993"/>
      <c r="I55" s="2421"/>
      <c r="J55" s="1496"/>
      <c r="K55" s="1496"/>
      <c r="L55" s="1496"/>
      <c r="M55" s="1496"/>
      <c r="N55" s="1496"/>
      <c r="O55" s="1496"/>
      <c r="P55" s="993"/>
      <c r="Q55" s="993"/>
      <c r="R55" s="993"/>
      <c r="S55" s="993"/>
      <c r="T55" s="993"/>
      <c r="U55" s="993"/>
      <c r="V55" s="993"/>
      <c r="W55" s="993"/>
      <c r="X55" s="993"/>
    </row>
    <row r="56" spans="1:24" x14ac:dyDescent="0.3">
      <c r="A56" s="1594"/>
      <c r="B56" s="993"/>
      <c r="C56" s="993"/>
      <c r="D56" s="1590"/>
      <c r="E56" s="2412"/>
      <c r="F56" s="2412"/>
      <c r="G56" s="993"/>
      <c r="H56" s="993"/>
      <c r="I56" s="2421"/>
      <c r="J56" s="1496"/>
      <c r="K56" s="1496"/>
      <c r="L56" s="1496"/>
      <c r="M56" s="1496"/>
      <c r="N56" s="1496"/>
      <c r="O56" s="1496"/>
      <c r="P56" s="993"/>
      <c r="Q56" s="993"/>
      <c r="R56" s="993"/>
      <c r="S56" s="993"/>
      <c r="T56" s="993"/>
      <c r="U56" s="993"/>
      <c r="V56" s="993"/>
      <c r="W56" s="993"/>
      <c r="X56" s="993"/>
    </row>
    <row r="57" spans="1:24" x14ac:dyDescent="0.3">
      <c r="A57" s="1594"/>
      <c r="B57" s="993"/>
      <c r="C57" s="993"/>
      <c r="D57" s="1590"/>
      <c r="E57" s="2412"/>
      <c r="F57" s="2412"/>
      <c r="G57" s="993"/>
      <c r="H57" s="993"/>
      <c r="I57" s="2421"/>
      <c r="J57" s="2421"/>
      <c r="K57" s="2421"/>
      <c r="L57" s="2421"/>
      <c r="M57" s="2421"/>
      <c r="N57" s="2421"/>
      <c r="O57" s="2421"/>
      <c r="P57" s="993"/>
      <c r="Q57" s="993"/>
      <c r="R57" s="993"/>
      <c r="S57" s="993"/>
      <c r="T57" s="993"/>
      <c r="U57" s="993"/>
      <c r="V57" s="993"/>
      <c r="W57" s="993"/>
      <c r="X57" s="993"/>
    </row>
    <row r="58" spans="1:24" x14ac:dyDescent="0.3">
      <c r="A58" s="1594"/>
      <c r="B58" s="993"/>
      <c r="C58" s="993"/>
      <c r="D58" s="1590"/>
      <c r="E58" s="2412"/>
      <c r="F58" s="2412"/>
      <c r="G58" s="993"/>
      <c r="H58" s="993"/>
      <c r="I58" s="2421"/>
      <c r="J58" s="2421"/>
      <c r="K58" s="2421"/>
      <c r="L58" s="2421"/>
      <c r="M58" s="2421"/>
      <c r="N58" s="2421"/>
      <c r="O58" s="2421"/>
      <c r="P58" s="993"/>
      <c r="Q58" s="993"/>
      <c r="R58" s="993"/>
      <c r="S58" s="993"/>
      <c r="T58" s="993"/>
      <c r="U58" s="993"/>
      <c r="V58" s="993"/>
      <c r="W58" s="993"/>
      <c r="X58" s="993"/>
    </row>
    <row r="59" spans="1:24" x14ac:dyDescent="0.3">
      <c r="A59" s="1594"/>
      <c r="B59" s="993"/>
      <c r="C59" s="993"/>
      <c r="D59" s="2432"/>
      <c r="E59" s="2433"/>
      <c r="F59" s="2433"/>
      <c r="G59" s="2434"/>
      <c r="H59" s="2434"/>
      <c r="I59" s="2421"/>
      <c r="J59" s="2421"/>
      <c r="K59" s="2421"/>
      <c r="L59" s="2421"/>
      <c r="M59" s="2421"/>
      <c r="N59" s="2421"/>
      <c r="O59" s="2421"/>
      <c r="P59" s="993"/>
      <c r="Q59" s="993"/>
      <c r="R59" s="993"/>
      <c r="S59" s="993"/>
      <c r="T59" s="993"/>
      <c r="U59" s="993"/>
      <c r="V59" s="993"/>
      <c r="W59" s="993"/>
      <c r="X59" s="993"/>
    </row>
    <row r="60" spans="1:24" x14ac:dyDescent="0.3">
      <c r="A60" s="1594"/>
      <c r="B60" s="993"/>
      <c r="C60" s="993"/>
      <c r="D60" s="2423" t="s">
        <v>328</v>
      </c>
      <c r="E60" s="2424"/>
      <c r="F60" s="2424"/>
      <c r="G60" s="2425"/>
      <c r="H60" s="2425"/>
      <c r="I60" s="2426"/>
      <c r="J60" s="2427">
        <v>0</v>
      </c>
      <c r="K60" s="2427">
        <v>0</v>
      </c>
      <c r="L60" s="2427">
        <v>0</v>
      </c>
      <c r="M60" s="2427">
        <v>0</v>
      </c>
      <c r="N60" s="2427">
        <v>0</v>
      </c>
      <c r="O60" s="2427">
        <v>0</v>
      </c>
      <c r="P60" s="993"/>
      <c r="Q60" s="993"/>
      <c r="R60" s="993"/>
      <c r="S60" s="993"/>
      <c r="T60" s="993"/>
      <c r="U60" s="993"/>
      <c r="V60" s="993"/>
      <c r="W60" s="993"/>
      <c r="X60" s="993"/>
    </row>
    <row r="61" spans="1:24" x14ac:dyDescent="0.3">
      <c r="A61" s="1594"/>
      <c r="B61" s="993"/>
      <c r="C61" s="993"/>
      <c r="D61" s="993"/>
      <c r="E61" s="2412"/>
      <c r="F61" s="2412"/>
      <c r="G61" s="993"/>
      <c r="H61" s="993"/>
      <c r="I61" s="993"/>
      <c r="J61" s="993"/>
      <c r="K61" s="993"/>
      <c r="L61" s="993"/>
      <c r="M61" s="993"/>
      <c r="N61" s="993"/>
      <c r="O61" s="993"/>
      <c r="P61" s="993"/>
      <c r="Q61" s="993"/>
      <c r="R61" s="993"/>
      <c r="S61" s="993"/>
      <c r="T61" s="993"/>
      <c r="U61" s="993"/>
      <c r="V61" s="993"/>
      <c r="W61" s="993"/>
      <c r="X61" s="993"/>
    </row>
    <row r="62" spans="1:24" x14ac:dyDescent="0.3">
      <c r="A62" s="1594"/>
      <c r="B62" s="993"/>
      <c r="C62" s="993"/>
      <c r="D62" s="2435" t="s">
        <v>976</v>
      </c>
      <c r="E62" s="2425"/>
      <c r="F62" s="2425"/>
      <c r="G62" s="2425"/>
      <c r="H62" s="2425"/>
      <c r="I62" s="2426"/>
      <c r="J62" s="2426">
        <v>0</v>
      </c>
      <c r="K62" s="2426">
        <v>0</v>
      </c>
      <c r="L62" s="2436">
        <v>459200</v>
      </c>
      <c r="M62" s="2436">
        <v>478500</v>
      </c>
      <c r="N62" s="2436">
        <v>498200</v>
      </c>
      <c r="O62" s="2436">
        <v>519000</v>
      </c>
      <c r="P62" s="993"/>
      <c r="Q62" s="993"/>
      <c r="R62" s="993"/>
      <c r="S62" s="993"/>
      <c r="T62" s="993"/>
      <c r="U62" s="993"/>
      <c r="V62" s="993"/>
      <c r="W62" s="993"/>
      <c r="X62" s="993"/>
    </row>
    <row r="63" spans="1:24" x14ac:dyDescent="0.3">
      <c r="A63" s="1594"/>
      <c r="B63" s="993"/>
      <c r="C63" s="993"/>
      <c r="D63" s="993"/>
      <c r="E63" s="2412"/>
      <c r="F63" s="2412"/>
      <c r="G63" s="993"/>
      <c r="H63" s="993"/>
      <c r="I63" s="993"/>
      <c r="J63" s="993"/>
      <c r="K63" s="993"/>
      <c r="L63" s="993"/>
      <c r="M63" s="993"/>
      <c r="N63" s="993"/>
      <c r="O63" s="993"/>
      <c r="P63" s="993"/>
      <c r="Q63" s="993"/>
      <c r="R63" s="993"/>
      <c r="S63" s="993"/>
      <c r="T63" s="993"/>
      <c r="U63" s="993"/>
      <c r="V63" s="993"/>
      <c r="W63" s="993"/>
      <c r="X63" s="993"/>
    </row>
    <row r="64" spans="1:24" x14ac:dyDescent="0.3">
      <c r="A64" s="1594"/>
      <c r="B64" s="993"/>
      <c r="C64" s="993"/>
      <c r="D64" s="993"/>
      <c r="E64" s="993"/>
      <c r="F64" s="993"/>
      <c r="G64" s="993"/>
      <c r="H64" s="993"/>
      <c r="I64" s="993"/>
      <c r="J64" s="993"/>
      <c r="K64" s="993"/>
      <c r="L64" s="993"/>
      <c r="M64" s="993"/>
      <c r="N64" s="993"/>
      <c r="O64" s="993"/>
      <c r="P64" s="993"/>
      <c r="Q64" s="993"/>
      <c r="R64" s="993"/>
      <c r="S64" s="993"/>
      <c r="T64" s="993"/>
      <c r="U64" s="993"/>
      <c r="V64" s="993"/>
      <c r="W64" s="993"/>
      <c r="X64" s="993"/>
    </row>
    <row r="65" spans="1:24" x14ac:dyDescent="0.3">
      <c r="A65" s="1594"/>
      <c r="B65" s="993"/>
      <c r="C65" s="993"/>
      <c r="D65" s="549" t="s">
        <v>528</v>
      </c>
      <c r="E65" s="2437"/>
      <c r="F65" s="2437"/>
      <c r="G65" s="993"/>
      <c r="H65" s="993"/>
      <c r="I65" s="993"/>
      <c r="J65" s="993"/>
      <c r="K65" s="993"/>
      <c r="L65" s="993"/>
      <c r="M65" s="993"/>
      <c r="N65" s="993"/>
      <c r="O65" s="993"/>
      <c r="P65" s="993"/>
      <c r="Q65" s="993"/>
      <c r="R65" s="993"/>
      <c r="S65" s="993"/>
      <c r="T65" s="993"/>
      <c r="U65" s="993"/>
      <c r="V65" s="993"/>
      <c r="W65" s="993"/>
      <c r="X65" s="993"/>
    </row>
    <row r="66" spans="1:24" x14ac:dyDescent="0.3">
      <c r="A66" s="1594"/>
      <c r="B66" s="993"/>
      <c r="C66" s="993"/>
      <c r="D66" s="993"/>
      <c r="E66" s="2412"/>
      <c r="F66" s="2412"/>
      <c r="G66" s="993"/>
      <c r="H66" s="993"/>
      <c r="I66" s="993"/>
      <c r="J66" s="993"/>
      <c r="K66" s="993"/>
      <c r="L66" s="993"/>
      <c r="M66" s="993"/>
      <c r="N66" s="993"/>
      <c r="O66" s="993"/>
      <c r="P66" s="993"/>
      <c r="Q66" s="993"/>
      <c r="R66" s="993"/>
      <c r="S66" s="993"/>
      <c r="T66" s="993"/>
      <c r="U66" s="993"/>
      <c r="V66" s="993"/>
      <c r="W66" s="993"/>
      <c r="X66" s="993"/>
    </row>
    <row r="67" spans="1:24" ht="26.4" x14ac:dyDescent="0.3">
      <c r="A67" s="1594"/>
      <c r="B67" s="993"/>
      <c r="C67" s="993"/>
      <c r="D67" s="2438" t="s">
        <v>3099</v>
      </c>
      <c r="E67" s="2439" t="s">
        <v>530</v>
      </c>
      <c r="F67" s="2439" t="s">
        <v>3099</v>
      </c>
      <c r="G67" s="2609" t="s">
        <v>206</v>
      </c>
      <c r="H67" s="2610"/>
      <c r="I67" s="2440"/>
      <c r="J67" s="2426"/>
      <c r="K67" s="2426"/>
      <c r="L67" s="2426"/>
      <c r="M67" s="2426"/>
      <c r="N67" s="2426"/>
      <c r="O67" s="2426"/>
      <c r="P67" s="993"/>
      <c r="Q67" s="993"/>
      <c r="R67" s="993"/>
      <c r="S67" s="993"/>
      <c r="T67" s="993"/>
      <c r="U67" s="993"/>
      <c r="V67" s="993"/>
      <c r="W67" s="993"/>
      <c r="X67" s="993"/>
    </row>
    <row r="68" spans="1:24" x14ac:dyDescent="0.3">
      <c r="A68" s="1594"/>
      <c r="B68" s="993"/>
      <c r="C68" s="993"/>
      <c r="D68" s="2441" t="s">
        <v>5413</v>
      </c>
      <c r="E68" s="2442" t="s">
        <v>532</v>
      </c>
      <c r="F68" s="2443" t="s">
        <v>5414</v>
      </c>
      <c r="G68" s="2611"/>
      <c r="H68" s="2612"/>
      <c r="I68" s="2422"/>
      <c r="J68" s="2426">
        <v>2025</v>
      </c>
      <c r="K68" s="2426">
        <v>2026</v>
      </c>
      <c r="L68" s="2426">
        <v>2027</v>
      </c>
      <c r="M68" s="2426">
        <v>2028</v>
      </c>
      <c r="N68" s="2426">
        <v>2029</v>
      </c>
      <c r="O68" s="2426">
        <v>2030</v>
      </c>
      <c r="P68" s="993"/>
      <c r="Q68" s="993"/>
      <c r="R68" s="993"/>
      <c r="S68" s="993"/>
      <c r="T68" s="993"/>
      <c r="U68" s="993"/>
      <c r="V68" s="993"/>
      <c r="W68" s="993"/>
      <c r="X68" s="993"/>
    </row>
    <row r="69" spans="1:24" x14ac:dyDescent="0.3">
      <c r="A69" s="1594"/>
      <c r="B69" s="993"/>
      <c r="C69" s="993"/>
      <c r="D69" s="2441"/>
      <c r="E69" s="2446"/>
      <c r="F69" s="2443"/>
      <c r="G69" s="2444"/>
      <c r="H69" s="2445"/>
      <c r="I69" s="2421"/>
      <c r="J69" s="2421"/>
      <c r="K69" s="2421"/>
      <c r="L69" s="2421"/>
      <c r="M69" s="2421"/>
      <c r="N69" s="2421"/>
      <c r="O69" s="2421"/>
      <c r="P69" s="993"/>
      <c r="Q69" s="993"/>
      <c r="R69" s="993"/>
      <c r="S69" s="993"/>
      <c r="T69" s="993"/>
      <c r="U69" s="993"/>
      <c r="V69" s="993"/>
      <c r="W69" s="993"/>
      <c r="X69" s="993"/>
    </row>
    <row r="70" spans="1:24" x14ac:dyDescent="0.3">
      <c r="A70" s="1594"/>
      <c r="B70" s="993"/>
      <c r="C70" s="993"/>
      <c r="D70" s="2447">
        <v>687001</v>
      </c>
      <c r="E70" s="2448"/>
      <c r="F70" s="2448"/>
      <c r="G70" s="549" t="s">
        <v>5408</v>
      </c>
      <c r="H70" s="993"/>
      <c r="I70" s="993"/>
      <c r="J70" s="1496"/>
      <c r="K70" s="1496"/>
      <c r="L70" s="1496"/>
      <c r="M70" s="1496"/>
      <c r="N70" s="1496"/>
      <c r="O70" s="1496"/>
      <c r="P70" s="993"/>
      <c r="Q70" s="993"/>
      <c r="R70" s="993"/>
      <c r="S70" s="993"/>
      <c r="T70" s="993"/>
      <c r="U70" s="993"/>
      <c r="V70" s="993"/>
      <c r="W70" s="993"/>
      <c r="X70" s="993"/>
    </row>
    <row r="71" spans="1:24" x14ac:dyDescent="0.3">
      <c r="A71" s="1594"/>
      <c r="B71" s="993"/>
      <c r="C71" s="993"/>
      <c r="D71" s="2447"/>
      <c r="E71" s="2448"/>
      <c r="F71" s="2448"/>
      <c r="G71" s="1502" t="s">
        <v>533</v>
      </c>
      <c r="H71" s="993"/>
      <c r="I71" s="993"/>
      <c r="J71" s="1496"/>
      <c r="K71" s="1496"/>
      <c r="L71" s="1496"/>
      <c r="M71" s="1496"/>
      <c r="N71" s="1496"/>
      <c r="O71" s="1496"/>
      <c r="P71" s="993"/>
      <c r="Q71" s="993"/>
      <c r="R71" s="993"/>
      <c r="S71" s="993"/>
      <c r="T71" s="993"/>
      <c r="U71" s="993"/>
      <c r="V71" s="993"/>
      <c r="W71" s="993"/>
      <c r="X71" s="993"/>
    </row>
    <row r="72" spans="1:24" x14ac:dyDescent="0.3">
      <c r="A72" s="2449">
        <v>687001</v>
      </c>
      <c r="B72" s="993" t="s">
        <v>5408</v>
      </c>
      <c r="C72" s="993"/>
      <c r="D72" s="2450">
        <v>43410</v>
      </c>
      <c r="E72" s="2450"/>
      <c r="F72" s="2450"/>
      <c r="G72" s="1590" t="s">
        <v>3341</v>
      </c>
      <c r="H72" s="993"/>
      <c r="I72" s="993"/>
      <c r="J72" s="1496">
        <v>0</v>
      </c>
      <c r="K72" s="1496">
        <v>0</v>
      </c>
      <c r="L72" s="1486">
        <v>236000</v>
      </c>
      <c r="M72" s="1486">
        <v>246000</v>
      </c>
      <c r="N72" s="1486">
        <v>256000</v>
      </c>
      <c r="O72" s="1486">
        <v>267000</v>
      </c>
      <c r="P72" s="993"/>
      <c r="Q72" s="993"/>
      <c r="R72" s="993"/>
      <c r="S72" s="993"/>
      <c r="T72" s="993"/>
      <c r="U72" s="993"/>
      <c r="V72" s="993"/>
      <c r="W72" s="993"/>
      <c r="X72" s="993"/>
    </row>
    <row r="73" spans="1:24" ht="15" thickBot="1" x14ac:dyDescent="0.35">
      <c r="A73" s="1594"/>
      <c r="B73" s="993"/>
      <c r="C73" s="993"/>
      <c r="D73" s="2450"/>
      <c r="E73" s="2450"/>
      <c r="F73" s="2450"/>
      <c r="G73" s="993" t="s">
        <v>536</v>
      </c>
      <c r="H73" s="993"/>
      <c r="I73" s="993"/>
      <c r="J73" s="2451">
        <v>0</v>
      </c>
      <c r="K73" s="2451">
        <v>0</v>
      </c>
      <c r="L73" s="2452">
        <v>236000</v>
      </c>
      <c r="M73" s="2452">
        <v>246000</v>
      </c>
      <c r="N73" s="2452">
        <v>256000</v>
      </c>
      <c r="O73" s="2452">
        <v>267000</v>
      </c>
      <c r="P73" s="993"/>
      <c r="Q73" s="993"/>
      <c r="R73" s="993"/>
      <c r="S73" s="993"/>
      <c r="T73" s="993"/>
      <c r="U73" s="993"/>
      <c r="V73" s="993"/>
      <c r="W73" s="993"/>
      <c r="X73" s="993"/>
    </row>
    <row r="74" spans="1:24" ht="15" thickTop="1" x14ac:dyDescent="0.3">
      <c r="A74" s="1594"/>
      <c r="B74" s="993"/>
      <c r="C74" s="993"/>
      <c r="D74" s="2450"/>
      <c r="E74" s="2450"/>
      <c r="F74" s="2450"/>
      <c r="G74" s="993"/>
      <c r="H74" s="993"/>
      <c r="I74" s="993"/>
      <c r="J74" s="2453"/>
      <c r="K74" s="2453"/>
      <c r="L74" s="2453"/>
      <c r="M74" s="2453"/>
      <c r="N74" s="2453"/>
      <c r="O74" s="2453"/>
      <c r="P74" s="993"/>
      <c r="Q74" s="993"/>
      <c r="R74" s="993"/>
      <c r="S74" s="993"/>
      <c r="T74" s="993"/>
      <c r="U74" s="993"/>
      <c r="V74" s="993"/>
      <c r="W74" s="993"/>
      <c r="X74" s="993"/>
    </row>
    <row r="75" spans="1:24" x14ac:dyDescent="0.3">
      <c r="A75" s="1594"/>
      <c r="B75" s="993"/>
      <c r="C75" s="993"/>
      <c r="D75" s="2447">
        <v>687002</v>
      </c>
      <c r="E75" s="2448"/>
      <c r="F75" s="2448"/>
      <c r="G75" s="549" t="s">
        <v>5409</v>
      </c>
      <c r="H75" s="993"/>
      <c r="I75" s="993"/>
      <c r="J75" s="1496"/>
      <c r="K75" s="1496"/>
      <c r="L75" s="1496"/>
      <c r="M75" s="1496"/>
      <c r="N75" s="1496"/>
      <c r="O75" s="1496"/>
      <c r="P75" s="993"/>
      <c r="Q75" s="993"/>
      <c r="R75" s="993"/>
      <c r="S75" s="993"/>
      <c r="T75" s="993"/>
      <c r="U75" s="993"/>
      <c r="V75" s="993"/>
      <c r="W75" s="993"/>
      <c r="X75" s="993"/>
    </row>
    <row r="76" spans="1:24" x14ac:dyDescent="0.3">
      <c r="A76" s="1594"/>
      <c r="B76" s="993"/>
      <c r="C76" s="993"/>
      <c r="D76" s="2447"/>
      <c r="E76" s="2448"/>
      <c r="F76" s="2448"/>
      <c r="G76" s="1502" t="s">
        <v>533</v>
      </c>
      <c r="H76" s="993"/>
      <c r="I76" s="993"/>
      <c r="J76" s="1496"/>
      <c r="K76" s="1496"/>
      <c r="L76" s="1496"/>
      <c r="M76" s="1496"/>
      <c r="N76" s="1496"/>
      <c r="O76" s="1496"/>
      <c r="P76" s="993"/>
      <c r="Q76" s="993"/>
      <c r="R76" s="993"/>
      <c r="S76" s="993"/>
      <c r="T76" s="993"/>
      <c r="U76" s="993"/>
      <c r="V76" s="993"/>
      <c r="W76" s="993"/>
      <c r="X76" s="993"/>
    </row>
    <row r="77" spans="1:24" x14ac:dyDescent="0.3">
      <c r="A77" s="2449">
        <v>687002</v>
      </c>
      <c r="B77" s="993" t="s">
        <v>5409</v>
      </c>
      <c r="C77" s="993"/>
      <c r="D77" s="2450">
        <v>43410</v>
      </c>
      <c r="E77" s="2450"/>
      <c r="F77" s="2450"/>
      <c r="G77" s="1590" t="s">
        <v>3341</v>
      </c>
      <c r="H77" s="993"/>
      <c r="I77" s="993"/>
      <c r="J77" s="1496">
        <v>0</v>
      </c>
      <c r="K77" s="1496">
        <v>0</v>
      </c>
      <c r="L77" s="1486">
        <v>10400</v>
      </c>
      <c r="M77" s="1486">
        <v>10800</v>
      </c>
      <c r="N77" s="1486">
        <v>11300</v>
      </c>
      <c r="O77" s="1486">
        <v>11800</v>
      </c>
      <c r="P77" s="993"/>
      <c r="Q77" s="993"/>
      <c r="R77" s="993"/>
      <c r="S77" s="993"/>
      <c r="T77" s="993"/>
      <c r="U77" s="993"/>
      <c r="V77" s="993"/>
      <c r="W77" s="993"/>
      <c r="X77" s="993"/>
    </row>
    <row r="78" spans="1:24" ht="15" thickBot="1" x14ac:dyDescent="0.35">
      <c r="A78" s="1594"/>
      <c r="B78" s="993"/>
      <c r="C78" s="993"/>
      <c r="D78" s="2450"/>
      <c r="E78" s="2450"/>
      <c r="F78" s="2450"/>
      <c r="G78" s="993" t="s">
        <v>536</v>
      </c>
      <c r="H78" s="993"/>
      <c r="I78" s="993"/>
      <c r="J78" s="2451">
        <v>0</v>
      </c>
      <c r="K78" s="2451">
        <v>0</v>
      </c>
      <c r="L78" s="2452">
        <v>10400</v>
      </c>
      <c r="M78" s="2452">
        <v>10800</v>
      </c>
      <c r="N78" s="2452">
        <v>11300</v>
      </c>
      <c r="O78" s="2452">
        <v>11800</v>
      </c>
      <c r="P78" s="993"/>
      <c r="Q78" s="993"/>
      <c r="R78" s="993"/>
      <c r="S78" s="993"/>
      <c r="T78" s="993"/>
      <c r="U78" s="993"/>
      <c r="V78" s="993"/>
      <c r="W78" s="993"/>
      <c r="X78" s="993"/>
    </row>
    <row r="79" spans="1:24" ht="15" thickTop="1" x14ac:dyDescent="0.3">
      <c r="A79" s="1594"/>
      <c r="B79" s="993"/>
      <c r="C79" s="993"/>
      <c r="D79" s="2450"/>
      <c r="E79" s="2450"/>
      <c r="F79" s="2450"/>
      <c r="G79" s="993"/>
      <c r="H79" s="993"/>
      <c r="I79" s="993"/>
      <c r="J79" s="2453"/>
      <c r="K79" s="2453"/>
      <c r="L79" s="2453"/>
      <c r="M79" s="2453"/>
      <c r="N79" s="2453"/>
      <c r="O79" s="2453"/>
      <c r="P79" s="993"/>
      <c r="Q79" s="993"/>
      <c r="R79" s="993"/>
      <c r="S79" s="993"/>
      <c r="T79" s="993"/>
      <c r="U79" s="993"/>
      <c r="V79" s="993"/>
      <c r="W79" s="993"/>
      <c r="X79" s="993"/>
    </row>
    <row r="80" spans="1:24" x14ac:dyDescent="0.3">
      <c r="A80" s="1594"/>
      <c r="B80" s="993"/>
      <c r="C80" s="993"/>
      <c r="D80" s="2447">
        <v>687003</v>
      </c>
      <c r="E80" s="2448"/>
      <c r="F80" s="2448"/>
      <c r="G80" s="549" t="s">
        <v>5410</v>
      </c>
      <c r="H80" s="993"/>
      <c r="I80" s="993"/>
      <c r="J80" s="1496"/>
      <c r="K80" s="1496"/>
      <c r="L80" s="1496"/>
      <c r="M80" s="1496"/>
      <c r="N80" s="1496"/>
      <c r="O80" s="1496"/>
      <c r="P80" s="993"/>
      <c r="Q80" s="993"/>
      <c r="R80" s="993"/>
      <c r="S80" s="993"/>
      <c r="T80" s="993"/>
      <c r="U80" s="993"/>
      <c r="V80" s="993"/>
      <c r="W80" s="993"/>
      <c r="X80" s="993"/>
    </row>
    <row r="81" spans="1:24" x14ac:dyDescent="0.3">
      <c r="A81" s="1594"/>
      <c r="B81" s="993"/>
      <c r="C81" s="993"/>
      <c r="D81" s="2447"/>
      <c r="E81" s="2448"/>
      <c r="F81" s="2448"/>
      <c r="G81" s="1502" t="s">
        <v>533</v>
      </c>
      <c r="H81" s="993"/>
      <c r="I81" s="993"/>
      <c r="J81" s="1496"/>
      <c r="K81" s="1496"/>
      <c r="L81" s="1496"/>
      <c r="M81" s="1496"/>
      <c r="N81" s="1496"/>
      <c r="O81" s="1496"/>
      <c r="P81" s="993"/>
      <c r="Q81" s="993"/>
      <c r="R81" s="993"/>
      <c r="S81" s="993"/>
      <c r="T81" s="993"/>
      <c r="U81" s="993"/>
      <c r="V81" s="993"/>
      <c r="W81" s="993"/>
      <c r="X81" s="993"/>
    </row>
    <row r="82" spans="1:24" x14ac:dyDescent="0.3">
      <c r="A82" s="2449">
        <v>687003</v>
      </c>
      <c r="B82" s="993" t="s">
        <v>5410</v>
      </c>
      <c r="C82" s="993"/>
      <c r="D82" s="2450">
        <v>43410</v>
      </c>
      <c r="E82" s="2450"/>
      <c r="F82" s="2450"/>
      <c r="G82" s="1590" t="s">
        <v>3341</v>
      </c>
      <c r="H82" s="993"/>
      <c r="I82" s="993"/>
      <c r="J82" s="1496">
        <v>0</v>
      </c>
      <c r="K82" s="1496">
        <v>0</v>
      </c>
      <c r="L82" s="1486">
        <v>67700</v>
      </c>
      <c r="M82" s="1486">
        <v>70500</v>
      </c>
      <c r="N82" s="1486">
        <v>73500</v>
      </c>
      <c r="O82" s="1486">
        <v>76600</v>
      </c>
      <c r="P82" s="993"/>
      <c r="Q82" s="993"/>
      <c r="R82" s="993"/>
      <c r="S82" s="993"/>
      <c r="T82" s="993"/>
      <c r="U82" s="993"/>
      <c r="V82" s="993"/>
      <c r="W82" s="993"/>
      <c r="X82" s="993"/>
    </row>
    <row r="83" spans="1:24" ht="15" thickBot="1" x14ac:dyDescent="0.35">
      <c r="A83" s="1594"/>
      <c r="B83" s="993"/>
      <c r="C83" s="993"/>
      <c r="D83" s="2450"/>
      <c r="E83" s="2450"/>
      <c r="F83" s="2450"/>
      <c r="G83" s="993" t="s">
        <v>536</v>
      </c>
      <c r="H83" s="993"/>
      <c r="I83" s="993"/>
      <c r="J83" s="2451">
        <v>0</v>
      </c>
      <c r="K83" s="2451">
        <v>0</v>
      </c>
      <c r="L83" s="2452">
        <v>67700</v>
      </c>
      <c r="M83" s="2452">
        <v>70500</v>
      </c>
      <c r="N83" s="2452">
        <v>73500</v>
      </c>
      <c r="O83" s="2452">
        <v>76600</v>
      </c>
      <c r="P83" s="993"/>
      <c r="Q83" s="993"/>
      <c r="R83" s="993"/>
      <c r="S83" s="993"/>
      <c r="T83" s="993"/>
      <c r="U83" s="993"/>
      <c r="V83" s="993"/>
      <c r="W83" s="993"/>
      <c r="X83" s="993"/>
    </row>
    <row r="84" spans="1:24" ht="15" thickTop="1" x14ac:dyDescent="0.3">
      <c r="A84" s="1594"/>
      <c r="B84" s="993"/>
      <c r="C84" s="993"/>
      <c r="D84" s="2450"/>
      <c r="E84" s="2450"/>
      <c r="F84" s="2450"/>
      <c r="G84" s="993"/>
      <c r="H84" s="993"/>
      <c r="I84" s="993"/>
      <c r="J84" s="2453"/>
      <c r="K84" s="2453"/>
      <c r="L84" s="2453"/>
      <c r="M84" s="2453"/>
      <c r="N84" s="2453"/>
      <c r="O84" s="2453"/>
      <c r="P84" s="993"/>
      <c r="Q84" s="993"/>
      <c r="R84" s="993"/>
      <c r="S84" s="993"/>
      <c r="T84" s="993"/>
      <c r="U84" s="993"/>
      <c r="V84" s="993"/>
      <c r="W84" s="993"/>
      <c r="X84" s="993"/>
    </row>
    <row r="85" spans="1:24" x14ac:dyDescent="0.3">
      <c r="A85" s="1594"/>
      <c r="B85" s="993"/>
      <c r="C85" s="993"/>
      <c r="D85" s="2447">
        <v>687004</v>
      </c>
      <c r="E85" s="2454"/>
      <c r="F85" s="2448"/>
      <c r="G85" s="549" t="s">
        <v>5411</v>
      </c>
      <c r="H85" s="993"/>
      <c r="I85" s="993"/>
      <c r="J85" s="1496"/>
      <c r="K85" s="1496"/>
      <c r="L85" s="1496"/>
      <c r="M85" s="1496"/>
      <c r="N85" s="1496"/>
      <c r="O85" s="1496"/>
      <c r="P85" s="993"/>
      <c r="Q85" s="993"/>
      <c r="R85" s="993"/>
      <c r="S85" s="993"/>
      <c r="T85" s="993"/>
      <c r="U85" s="993"/>
      <c r="V85" s="993"/>
      <c r="W85" s="993"/>
      <c r="X85" s="993"/>
    </row>
    <row r="86" spans="1:24" x14ac:dyDescent="0.3">
      <c r="A86" s="1594"/>
      <c r="B86" s="993"/>
      <c r="C86" s="993"/>
      <c r="D86" s="2447"/>
      <c r="E86" s="2454"/>
      <c r="F86" s="2448"/>
      <c r="G86" s="1502" t="s">
        <v>533</v>
      </c>
      <c r="H86" s="993"/>
      <c r="I86" s="993"/>
      <c r="J86" s="1496"/>
      <c r="K86" s="1496"/>
      <c r="L86" s="1496"/>
      <c r="M86" s="1496"/>
      <c r="N86" s="1496"/>
      <c r="O86" s="1496"/>
      <c r="P86" s="993"/>
      <c r="Q86" s="993"/>
      <c r="R86" s="993"/>
      <c r="S86" s="993"/>
      <c r="T86" s="993"/>
      <c r="U86" s="993"/>
      <c r="V86" s="993"/>
      <c r="W86" s="993"/>
      <c r="X86" s="993"/>
    </row>
    <row r="87" spans="1:24" x14ac:dyDescent="0.3">
      <c r="A87" s="2449">
        <v>687004</v>
      </c>
      <c r="B87" s="993" t="s">
        <v>5411</v>
      </c>
      <c r="C87" s="993"/>
      <c r="D87" s="2450">
        <v>43410</v>
      </c>
      <c r="E87" s="2455"/>
      <c r="F87" s="2450"/>
      <c r="G87" s="1590" t="s">
        <v>3341</v>
      </c>
      <c r="H87" s="993"/>
      <c r="I87" s="993"/>
      <c r="J87" s="1496">
        <v>0</v>
      </c>
      <c r="K87" s="1496">
        <v>0</v>
      </c>
      <c r="L87" s="1486">
        <v>27100</v>
      </c>
      <c r="M87" s="1486">
        <v>28200</v>
      </c>
      <c r="N87" s="1486">
        <v>29400</v>
      </c>
      <c r="O87" s="1486">
        <v>30600</v>
      </c>
      <c r="P87" s="993"/>
      <c r="Q87" s="993"/>
      <c r="R87" s="993"/>
      <c r="S87" s="993"/>
      <c r="T87" s="993"/>
      <c r="U87" s="993"/>
      <c r="V87" s="993"/>
      <c r="W87" s="993"/>
      <c r="X87" s="993"/>
    </row>
    <row r="88" spans="1:24" ht="15" thickBot="1" x14ac:dyDescent="0.35">
      <c r="A88" s="1594"/>
      <c r="B88" s="993"/>
      <c r="C88" s="993"/>
      <c r="D88" s="2450"/>
      <c r="E88" s="2455"/>
      <c r="F88" s="2450"/>
      <c r="G88" s="993" t="s">
        <v>536</v>
      </c>
      <c r="H88" s="993"/>
      <c r="I88" s="993"/>
      <c r="J88" s="2451">
        <v>0</v>
      </c>
      <c r="K88" s="2451">
        <v>0</v>
      </c>
      <c r="L88" s="2452">
        <v>27100</v>
      </c>
      <c r="M88" s="2452">
        <v>28200</v>
      </c>
      <c r="N88" s="2452">
        <v>29400</v>
      </c>
      <c r="O88" s="2452">
        <v>30600</v>
      </c>
      <c r="P88" s="993"/>
      <c r="Q88" s="993"/>
      <c r="R88" s="993"/>
      <c r="S88" s="993"/>
      <c r="T88" s="993"/>
      <c r="U88" s="993"/>
      <c r="V88" s="993"/>
      <c r="W88" s="993"/>
      <c r="X88" s="993"/>
    </row>
    <row r="89" spans="1:24" ht="15" thickTop="1" x14ac:dyDescent="0.3">
      <c r="A89" s="1594"/>
      <c r="B89" s="993"/>
      <c r="C89" s="993"/>
      <c r="D89" s="2450"/>
      <c r="E89" s="2455"/>
      <c r="F89" s="2450"/>
      <c r="G89" s="993"/>
      <c r="H89" s="993"/>
      <c r="I89" s="993"/>
      <c r="J89" s="2453"/>
      <c r="K89" s="2453" t="s">
        <v>5415</v>
      </c>
      <c r="L89" s="2453"/>
      <c r="M89" s="2453"/>
      <c r="N89" s="2453"/>
      <c r="O89" s="2453"/>
      <c r="P89" s="993"/>
      <c r="Q89" s="993"/>
      <c r="R89" s="993"/>
      <c r="S89" s="993"/>
      <c r="T89" s="993"/>
      <c r="U89" s="993"/>
      <c r="V89" s="993"/>
      <c r="W89" s="993"/>
      <c r="X89" s="993"/>
    </row>
    <row r="90" spans="1:24" x14ac:dyDescent="0.3">
      <c r="A90" s="1594"/>
      <c r="B90" s="993"/>
      <c r="C90" s="993"/>
      <c r="D90" s="2447">
        <v>687005</v>
      </c>
      <c r="E90" s="2454"/>
      <c r="F90" s="2448"/>
      <c r="G90" s="549" t="s">
        <v>5412</v>
      </c>
      <c r="H90" s="993"/>
      <c r="I90" s="993"/>
      <c r="J90" s="1496"/>
      <c r="K90" s="1496"/>
      <c r="L90" s="1496"/>
      <c r="M90" s="1496"/>
      <c r="N90" s="1496"/>
      <c r="O90" s="1496"/>
      <c r="P90" s="993"/>
      <c r="Q90" s="993"/>
      <c r="R90" s="993"/>
      <c r="S90" s="993"/>
      <c r="T90" s="993"/>
      <c r="U90" s="993"/>
      <c r="V90" s="993"/>
      <c r="W90" s="993"/>
      <c r="X90" s="993"/>
    </row>
    <row r="91" spans="1:24" x14ac:dyDescent="0.3">
      <c r="A91" s="1594"/>
      <c r="B91" s="993"/>
      <c r="C91" s="993"/>
      <c r="D91" s="2447"/>
      <c r="E91" s="2454"/>
      <c r="F91" s="2448"/>
      <c r="G91" s="1502" t="s">
        <v>533</v>
      </c>
      <c r="H91" s="993"/>
      <c r="I91" s="993"/>
      <c r="J91" s="1496"/>
      <c r="K91" s="1496"/>
      <c r="L91" s="1496"/>
      <c r="M91" s="1496"/>
      <c r="N91" s="1496"/>
      <c r="O91" s="1496"/>
      <c r="P91" s="993"/>
      <c r="Q91" s="993"/>
      <c r="R91" s="993"/>
      <c r="S91" s="993"/>
      <c r="T91" s="993"/>
      <c r="U91" s="993"/>
      <c r="V91" s="993"/>
      <c r="W91" s="993"/>
      <c r="X91" s="993"/>
    </row>
    <row r="92" spans="1:24" x14ac:dyDescent="0.3">
      <c r="A92" s="2449">
        <v>687005</v>
      </c>
      <c r="B92" s="993" t="s">
        <v>5412</v>
      </c>
      <c r="C92" s="993"/>
      <c r="D92" s="2450">
        <v>43410</v>
      </c>
      <c r="E92" s="2455"/>
      <c r="F92" s="2450"/>
      <c r="G92" s="1590" t="s">
        <v>3341</v>
      </c>
      <c r="H92" s="993"/>
      <c r="I92" s="993"/>
      <c r="J92" s="1496">
        <v>0</v>
      </c>
      <c r="K92" s="1496">
        <v>0</v>
      </c>
      <c r="L92" s="1486">
        <v>118000</v>
      </c>
      <c r="M92" s="1486">
        <v>123000</v>
      </c>
      <c r="N92" s="1486">
        <v>128000</v>
      </c>
      <c r="O92" s="1486">
        <v>133000</v>
      </c>
      <c r="P92" s="993"/>
      <c r="Q92" s="993"/>
      <c r="R92" s="993"/>
      <c r="S92" s="993"/>
      <c r="T92" s="993"/>
      <c r="U92" s="993"/>
      <c r="V92" s="993"/>
      <c r="W92" s="993"/>
      <c r="X92" s="993"/>
    </row>
    <row r="93" spans="1:24" ht="15" thickBot="1" x14ac:dyDescent="0.35">
      <c r="A93" s="1594"/>
      <c r="B93" s="993"/>
      <c r="C93" s="993"/>
      <c r="D93" s="2450"/>
      <c r="E93" s="2455"/>
      <c r="F93" s="2450"/>
      <c r="G93" s="993" t="s">
        <v>536</v>
      </c>
      <c r="H93" s="993"/>
      <c r="I93" s="993"/>
      <c r="J93" s="2451">
        <v>0</v>
      </c>
      <c r="K93" s="2451">
        <v>0</v>
      </c>
      <c r="L93" s="2452">
        <v>118000</v>
      </c>
      <c r="M93" s="2452">
        <v>123000</v>
      </c>
      <c r="N93" s="2452">
        <v>128000</v>
      </c>
      <c r="O93" s="2452">
        <v>133000</v>
      </c>
      <c r="P93" s="993"/>
      <c r="Q93" s="993"/>
      <c r="R93" s="993"/>
      <c r="S93" s="993"/>
      <c r="T93" s="993"/>
      <c r="U93" s="993"/>
      <c r="V93" s="993"/>
      <c r="W93" s="993"/>
      <c r="X93" s="993"/>
    </row>
    <row r="94" spans="1:24" ht="15" thickTop="1" x14ac:dyDescent="0.3">
      <c r="A94" s="1594"/>
      <c r="B94" s="993"/>
      <c r="C94" s="993"/>
      <c r="D94" s="2456"/>
      <c r="E94" s="2457"/>
      <c r="F94" s="2456"/>
      <c r="G94" s="2432"/>
      <c r="H94" s="2434"/>
      <c r="I94" s="2422"/>
      <c r="J94" s="2458"/>
      <c r="K94" s="2458"/>
      <c r="L94" s="2458"/>
      <c r="M94" s="2458"/>
      <c r="N94" s="2458"/>
      <c r="O94" s="2458"/>
      <c r="P94" s="993"/>
      <c r="Q94" s="993"/>
      <c r="R94" s="993"/>
      <c r="S94" s="993"/>
      <c r="T94" s="993"/>
      <c r="U94" s="993"/>
      <c r="V94" s="993"/>
      <c r="W94" s="993"/>
      <c r="X94" s="993"/>
    </row>
    <row r="95" spans="1:24" x14ac:dyDescent="0.3">
      <c r="A95" s="1594"/>
      <c r="B95" s="993"/>
      <c r="C95" s="993"/>
      <c r="D95" s="2412"/>
      <c r="E95" s="2412"/>
      <c r="F95" s="2412"/>
      <c r="G95" s="993"/>
      <c r="H95" s="993"/>
      <c r="I95" s="993"/>
      <c r="J95" s="993"/>
      <c r="K95" s="993"/>
      <c r="L95" s="993"/>
      <c r="M95" s="993"/>
      <c r="N95" s="993"/>
      <c r="O95" s="993"/>
      <c r="P95" s="993"/>
      <c r="Q95" s="993"/>
      <c r="R95" s="993"/>
      <c r="S95" s="993"/>
      <c r="T95" s="993"/>
      <c r="U95" s="993"/>
      <c r="V95" s="993"/>
      <c r="W95" s="993"/>
      <c r="X95" s="993"/>
    </row>
    <row r="96" spans="1:24" x14ac:dyDescent="0.3">
      <c r="A96" s="1594"/>
      <c r="B96" s="993"/>
      <c r="C96" s="993"/>
      <c r="D96" s="2412"/>
      <c r="E96" s="2412"/>
      <c r="F96" s="2412"/>
      <c r="G96" s="993"/>
      <c r="H96" s="993"/>
      <c r="I96" s="993"/>
      <c r="J96" s="993"/>
      <c r="K96" s="993"/>
      <c r="L96" s="993"/>
      <c r="M96" s="993"/>
      <c r="N96" s="993"/>
      <c r="O96" s="993"/>
      <c r="P96" s="993"/>
      <c r="Q96" s="993"/>
      <c r="R96" s="993"/>
      <c r="S96" s="993"/>
      <c r="T96" s="993"/>
      <c r="U96" s="993"/>
      <c r="V96" s="993"/>
      <c r="W96" s="993"/>
      <c r="X96" s="993"/>
    </row>
    <row r="97" spans="1:24" x14ac:dyDescent="0.3">
      <c r="A97" s="1594"/>
      <c r="B97" s="993"/>
      <c r="C97" s="993"/>
      <c r="D97" s="2412"/>
      <c r="E97" s="2412"/>
      <c r="F97" s="2412"/>
      <c r="G97" s="993"/>
      <c r="H97" s="993"/>
      <c r="I97" s="993"/>
      <c r="J97" s="993"/>
      <c r="K97" s="993"/>
      <c r="L97" s="993"/>
      <c r="M97" s="993"/>
      <c r="N97" s="993"/>
      <c r="O97" s="993"/>
      <c r="P97" s="993"/>
      <c r="Q97" s="993"/>
      <c r="R97" s="993"/>
      <c r="S97" s="993"/>
      <c r="T97" s="993"/>
      <c r="U97" s="993"/>
      <c r="V97" s="993"/>
      <c r="W97" s="993"/>
      <c r="X97" s="993"/>
    </row>
    <row r="98" spans="1:24" x14ac:dyDescent="0.3">
      <c r="A98" s="1594"/>
      <c r="B98" s="993"/>
      <c r="C98" s="993"/>
      <c r="D98" s="2412"/>
      <c r="E98" s="2412"/>
      <c r="F98" s="2412"/>
      <c r="G98" s="993"/>
      <c r="H98" s="993"/>
      <c r="I98" s="993"/>
      <c r="J98" s="993"/>
      <c r="K98" s="993"/>
      <c r="L98" s="993"/>
      <c r="M98" s="993"/>
      <c r="N98" s="993"/>
      <c r="O98" s="993"/>
      <c r="P98" s="993"/>
      <c r="Q98" s="993"/>
      <c r="R98" s="993"/>
      <c r="S98" s="993"/>
      <c r="T98" s="993"/>
      <c r="U98" s="993"/>
      <c r="V98" s="993"/>
      <c r="W98" s="993"/>
      <c r="X98" s="993"/>
    </row>
    <row r="99" spans="1:24" x14ac:dyDescent="0.3">
      <c r="A99" s="1594"/>
      <c r="B99" s="993"/>
      <c r="C99" s="993"/>
      <c r="D99" s="2412"/>
      <c r="E99" s="2412"/>
      <c r="F99" s="2412"/>
      <c r="G99" s="993"/>
      <c r="H99" s="993"/>
      <c r="I99" s="993"/>
      <c r="J99" s="993"/>
      <c r="K99" s="993"/>
      <c r="L99" s="993"/>
      <c r="M99" s="993"/>
      <c r="N99" s="993"/>
      <c r="O99" s="993"/>
      <c r="P99" s="993"/>
      <c r="Q99" s="993"/>
      <c r="R99" s="993"/>
      <c r="S99" s="993"/>
      <c r="T99" s="993"/>
      <c r="U99" s="993"/>
      <c r="V99" s="993"/>
      <c r="W99" s="993"/>
      <c r="X99" s="993"/>
    </row>
    <row r="100" spans="1:24" x14ac:dyDescent="0.3">
      <c r="A100" s="1594"/>
      <c r="B100" s="993"/>
      <c r="C100" s="993"/>
      <c r="D100" s="549" t="s">
        <v>561</v>
      </c>
      <c r="E100" s="2412"/>
      <c r="F100" s="2412"/>
      <c r="G100" s="549"/>
      <c r="H100" s="993"/>
      <c r="I100" s="993"/>
      <c r="J100" s="993"/>
      <c r="K100" s="993"/>
      <c r="L100" s="993"/>
      <c r="M100" s="993"/>
      <c r="N100" s="993"/>
      <c r="O100" s="993"/>
      <c r="P100" s="993"/>
      <c r="Q100" s="993"/>
      <c r="R100" s="993"/>
      <c r="S100" s="993"/>
      <c r="T100" s="993"/>
      <c r="U100" s="993"/>
      <c r="V100" s="993"/>
      <c r="W100" s="993"/>
      <c r="X100" s="993"/>
    </row>
    <row r="101" spans="1:24" x14ac:dyDescent="0.3">
      <c r="A101" s="1594"/>
      <c r="B101" s="993"/>
      <c r="C101" s="993"/>
      <c r="D101" s="2412"/>
      <c r="E101" s="2412"/>
      <c r="F101" s="2412"/>
      <c r="G101" s="993"/>
      <c r="H101" s="993"/>
      <c r="I101" s="993"/>
      <c r="J101" s="993"/>
      <c r="K101" s="993"/>
      <c r="L101" s="993"/>
      <c r="M101" s="993"/>
      <c r="N101" s="993"/>
      <c r="O101" s="993"/>
      <c r="P101" s="993"/>
      <c r="Q101" s="993"/>
      <c r="R101" s="993"/>
      <c r="S101" s="993"/>
      <c r="T101" s="993"/>
      <c r="U101" s="993"/>
      <c r="V101" s="993"/>
      <c r="W101" s="993"/>
      <c r="X101" s="993"/>
    </row>
    <row r="102" spans="1:24" x14ac:dyDescent="0.3">
      <c r="A102" s="1594"/>
      <c r="B102" s="993"/>
      <c r="C102" s="993"/>
      <c r="D102" s="993"/>
      <c r="E102" s="2412"/>
      <c r="F102" s="2412"/>
      <c r="G102" s="993"/>
      <c r="H102" s="993"/>
      <c r="I102" s="993"/>
      <c r="J102" s="993"/>
      <c r="K102" s="993"/>
      <c r="L102" s="993"/>
      <c r="M102" s="993"/>
      <c r="N102" s="993"/>
      <c r="O102" s="993"/>
      <c r="P102" s="993"/>
      <c r="Q102" s="993"/>
      <c r="R102" s="993"/>
      <c r="S102" s="993"/>
      <c r="T102" s="993"/>
      <c r="U102" s="993"/>
      <c r="V102" s="993"/>
      <c r="W102" s="993"/>
      <c r="X102" s="993"/>
    </row>
    <row r="103" spans="1:24" x14ac:dyDescent="0.3">
      <c r="A103" s="1594"/>
      <c r="B103" s="993"/>
      <c r="C103" s="993"/>
      <c r="D103" s="1562">
        <v>687001</v>
      </c>
      <c r="E103" s="549" t="s">
        <v>5408</v>
      </c>
      <c r="F103" s="2437"/>
      <c r="G103" s="993"/>
      <c r="H103" s="993"/>
      <c r="I103" s="993"/>
      <c r="J103" s="1713">
        <v>2025</v>
      </c>
      <c r="K103" s="1713">
        <v>2026</v>
      </c>
      <c r="L103" s="1713">
        <v>2027</v>
      </c>
      <c r="M103" s="1713">
        <v>2028</v>
      </c>
      <c r="N103" s="1713">
        <v>2029</v>
      </c>
      <c r="O103" s="1713">
        <v>2030</v>
      </c>
      <c r="P103" s="993"/>
      <c r="Q103" s="993"/>
      <c r="R103" s="993"/>
      <c r="S103" s="993"/>
      <c r="T103" s="993"/>
      <c r="U103" s="1502"/>
      <c r="V103" s="1502"/>
      <c r="W103" s="1502"/>
      <c r="X103" s="1502"/>
    </row>
    <row r="104" spans="1:24" x14ac:dyDescent="0.3">
      <c r="A104" s="1594"/>
      <c r="B104" s="993"/>
      <c r="C104" s="993"/>
      <c r="D104" s="993"/>
      <c r="E104" s="1502" t="s">
        <v>533</v>
      </c>
      <c r="F104" s="2412"/>
      <c r="G104" s="993"/>
      <c r="H104" s="993"/>
      <c r="I104" s="993"/>
      <c r="J104" s="993"/>
      <c r="K104" s="993"/>
      <c r="L104" s="993"/>
      <c r="M104" s="993"/>
      <c r="N104" s="993"/>
      <c r="O104" s="993"/>
      <c r="P104" s="993"/>
      <c r="Q104" s="993"/>
      <c r="R104" s="993"/>
      <c r="S104" s="993"/>
      <c r="T104" s="993"/>
      <c r="U104" s="993"/>
      <c r="V104" s="993"/>
      <c r="W104" s="993"/>
      <c r="X104" s="993"/>
    </row>
    <row r="105" spans="1:24" x14ac:dyDescent="0.3">
      <c r="A105" s="1594"/>
      <c r="B105" s="993"/>
      <c r="C105" s="993"/>
      <c r="D105" s="2412">
        <v>43410</v>
      </c>
      <c r="E105" s="993" t="s">
        <v>4461</v>
      </c>
      <c r="F105" s="2412"/>
      <c r="G105" s="993"/>
      <c r="H105" s="993"/>
      <c r="I105" s="993"/>
      <c r="J105" s="993">
        <v>0</v>
      </c>
      <c r="K105" s="993">
        <v>0</v>
      </c>
      <c r="L105" s="2459">
        <v>236000</v>
      </c>
      <c r="M105" s="2459">
        <f>ROUND(L105*U$5,-3)</f>
        <v>246000</v>
      </c>
      <c r="N105" s="2459">
        <f t="shared" ref="N105:O105" si="0">ROUND(M105*V$5,-3)</f>
        <v>256000</v>
      </c>
      <c r="O105" s="2459">
        <f t="shared" si="0"/>
        <v>267000</v>
      </c>
      <c r="P105" s="993"/>
      <c r="Q105" s="993"/>
      <c r="R105" s="993"/>
      <c r="S105" s="993"/>
      <c r="T105" s="993"/>
      <c r="U105" s="993"/>
      <c r="V105" s="993"/>
      <c r="W105" s="993"/>
      <c r="X105" s="993"/>
    </row>
    <row r="106" spans="1:24" ht="15" thickBot="1" x14ac:dyDescent="0.35">
      <c r="A106" s="1594"/>
      <c r="B106" s="993"/>
      <c r="C106" s="993"/>
      <c r="D106" s="1562"/>
      <c r="E106" s="993" t="s">
        <v>5416</v>
      </c>
      <c r="F106" s="2437"/>
      <c r="G106" s="993"/>
      <c r="H106" s="993"/>
      <c r="I106" s="993"/>
      <c r="J106" s="2460">
        <v>0</v>
      </c>
      <c r="K106" s="2460">
        <v>0</v>
      </c>
      <c r="L106" s="2461">
        <f>SUM(L105:L105)</f>
        <v>236000</v>
      </c>
      <c r="M106" s="2461">
        <f>SUM(M105:M105)</f>
        <v>246000</v>
      </c>
      <c r="N106" s="2461">
        <f>SUM(N105:N105)</f>
        <v>256000</v>
      </c>
      <c r="O106" s="2461">
        <f>SUM(O105:O105)</f>
        <v>267000</v>
      </c>
      <c r="P106" s="993"/>
      <c r="Q106" s="993"/>
      <c r="R106" s="993"/>
      <c r="S106" s="993"/>
      <c r="T106" s="993"/>
      <c r="U106" s="993"/>
      <c r="V106" s="993"/>
      <c r="W106" s="993"/>
      <c r="X106" s="993"/>
    </row>
    <row r="107" spans="1:24" ht="15" thickTop="1" x14ac:dyDescent="0.3">
      <c r="A107" s="1594"/>
      <c r="B107" s="993"/>
      <c r="C107" s="993"/>
      <c r="D107" s="1562"/>
      <c r="E107" s="993"/>
      <c r="F107" s="2437"/>
      <c r="G107" s="993"/>
      <c r="H107" s="993"/>
      <c r="I107" s="993"/>
      <c r="J107" s="993"/>
      <c r="K107" s="993"/>
      <c r="L107" s="993"/>
      <c r="M107" s="993"/>
      <c r="N107" s="993"/>
      <c r="O107" s="993"/>
      <c r="P107" s="993"/>
      <c r="Q107" s="993"/>
      <c r="R107" s="993"/>
      <c r="S107" s="993"/>
      <c r="T107" s="993"/>
      <c r="U107" s="993"/>
      <c r="V107" s="993"/>
      <c r="W107" s="993"/>
      <c r="X107" s="993"/>
    </row>
    <row r="108" spans="1:24" x14ac:dyDescent="0.3">
      <c r="A108" s="1594"/>
      <c r="B108" s="993"/>
      <c r="C108" s="993"/>
      <c r="D108" s="1562">
        <v>687002</v>
      </c>
      <c r="E108" s="549" t="s">
        <v>5409</v>
      </c>
      <c r="F108" s="2437"/>
      <c r="G108" s="993"/>
      <c r="H108" s="993"/>
      <c r="I108" s="993"/>
      <c r="J108" s="993"/>
      <c r="K108" s="993"/>
      <c r="L108" s="993"/>
      <c r="M108" s="993"/>
      <c r="N108" s="993"/>
      <c r="O108" s="993"/>
      <c r="P108" s="993"/>
      <c r="Q108" s="993"/>
      <c r="R108" s="993"/>
      <c r="S108" s="993"/>
      <c r="T108" s="993"/>
      <c r="U108" s="1502"/>
      <c r="V108" s="1502"/>
      <c r="W108" s="1502"/>
      <c r="X108" s="1502"/>
    </row>
    <row r="109" spans="1:24" x14ac:dyDescent="0.3">
      <c r="A109" s="1594"/>
      <c r="B109" s="993"/>
      <c r="C109" s="993"/>
      <c r="D109" s="993"/>
      <c r="E109" s="1502" t="s">
        <v>533</v>
      </c>
      <c r="F109" s="2412"/>
      <c r="G109" s="993"/>
      <c r="H109" s="993"/>
      <c r="I109" s="993"/>
      <c r="J109" s="993"/>
      <c r="K109" s="993"/>
      <c r="L109" s="993"/>
      <c r="M109" s="993"/>
      <c r="N109" s="993"/>
      <c r="O109" s="993"/>
      <c r="P109" s="993"/>
      <c r="Q109" s="993"/>
      <c r="R109" s="993"/>
      <c r="S109" s="993"/>
      <c r="T109" s="993"/>
      <c r="U109" s="993"/>
      <c r="V109" s="993"/>
      <c r="W109" s="993"/>
      <c r="X109" s="993"/>
    </row>
    <row r="110" spans="1:24" x14ac:dyDescent="0.3">
      <c r="A110" s="1594"/>
      <c r="B110" s="993"/>
      <c r="C110" s="993"/>
      <c r="D110" s="2412">
        <v>43410</v>
      </c>
      <c r="E110" s="993" t="s">
        <v>4478</v>
      </c>
      <c r="F110" s="2412"/>
      <c r="G110" s="993"/>
      <c r="H110" s="993"/>
      <c r="I110" s="993"/>
      <c r="J110" s="993">
        <v>0</v>
      </c>
      <c r="K110" s="993">
        <v>0</v>
      </c>
      <c r="L110" s="2459">
        <v>10400</v>
      </c>
      <c r="M110" s="2459">
        <f>ROUND(L110*U$5,-2)</f>
        <v>10800</v>
      </c>
      <c r="N110" s="2459">
        <f t="shared" ref="N110:O110" si="1">ROUND(M110*V$5,-2)</f>
        <v>11300</v>
      </c>
      <c r="O110" s="2459">
        <f t="shared" si="1"/>
        <v>11800</v>
      </c>
      <c r="P110" s="993"/>
      <c r="Q110" s="993"/>
      <c r="R110" s="993"/>
      <c r="S110" s="993"/>
      <c r="T110" s="993"/>
      <c r="U110" s="993"/>
      <c r="V110" s="993"/>
      <c r="W110" s="993"/>
      <c r="X110" s="993"/>
    </row>
    <row r="111" spans="1:24" ht="15" thickBot="1" x14ac:dyDescent="0.35">
      <c r="A111" s="1594"/>
      <c r="B111" s="993"/>
      <c r="C111" s="993"/>
      <c r="D111" s="1562"/>
      <c r="E111" s="993" t="s">
        <v>5416</v>
      </c>
      <c r="F111" s="2437"/>
      <c r="G111" s="993"/>
      <c r="H111" s="993"/>
      <c r="I111" s="993"/>
      <c r="J111" s="2460">
        <v>0</v>
      </c>
      <c r="K111" s="2460">
        <v>0</v>
      </c>
      <c r="L111" s="2461">
        <f>SUM(L110:L110)</f>
        <v>10400</v>
      </c>
      <c r="M111" s="2461">
        <f>SUM(M110:M110)</f>
        <v>10800</v>
      </c>
      <c r="N111" s="2461">
        <f>SUM(N110:N110)</f>
        <v>11300</v>
      </c>
      <c r="O111" s="2461">
        <f>SUM(O110:O110)</f>
        <v>11800</v>
      </c>
      <c r="P111" s="993"/>
      <c r="Q111" s="993"/>
      <c r="R111" s="993"/>
      <c r="S111" s="993"/>
      <c r="T111" s="993"/>
      <c r="U111" s="993"/>
      <c r="V111" s="993"/>
      <c r="W111" s="993"/>
      <c r="X111" s="993"/>
    </row>
    <row r="112" spans="1:24" ht="15" thickTop="1" x14ac:dyDescent="0.3">
      <c r="A112" s="1594"/>
      <c r="B112" s="993"/>
      <c r="C112" s="993"/>
      <c r="D112" s="1562"/>
      <c r="E112" s="993"/>
      <c r="F112" s="2437"/>
      <c r="G112" s="993"/>
      <c r="H112" s="993"/>
      <c r="I112" s="993"/>
      <c r="J112" s="993"/>
      <c r="K112" s="993"/>
      <c r="L112" s="993"/>
      <c r="M112" s="993"/>
      <c r="N112" s="993"/>
      <c r="O112" s="993"/>
      <c r="P112" s="993"/>
      <c r="Q112" s="993"/>
      <c r="R112" s="993"/>
      <c r="S112" s="993"/>
      <c r="T112" s="993"/>
      <c r="U112" s="993"/>
      <c r="V112" s="993"/>
      <c r="W112" s="993"/>
      <c r="X112" s="993"/>
    </row>
    <row r="113" spans="1:24" x14ac:dyDescent="0.3">
      <c r="A113" s="1594"/>
      <c r="B113" s="993"/>
      <c r="C113" s="993"/>
      <c r="D113" s="1562">
        <v>687003</v>
      </c>
      <c r="E113" s="549" t="s">
        <v>5410</v>
      </c>
      <c r="F113" s="2437"/>
      <c r="G113" s="993"/>
      <c r="H113" s="993"/>
      <c r="I113" s="993"/>
      <c r="J113" s="993"/>
      <c r="K113" s="993"/>
      <c r="L113" s="993"/>
      <c r="M113" s="993"/>
      <c r="N113" s="993"/>
      <c r="O113" s="993"/>
      <c r="P113" s="993"/>
      <c r="Q113" s="993"/>
      <c r="R113" s="993"/>
      <c r="S113" s="993"/>
      <c r="T113" s="993"/>
      <c r="U113" s="1502"/>
      <c r="V113" s="1502"/>
      <c r="W113" s="1502"/>
      <c r="X113" s="1502"/>
    </row>
    <row r="114" spans="1:24" x14ac:dyDescent="0.3">
      <c r="A114" s="1594"/>
      <c r="B114" s="993"/>
      <c r="C114" s="993"/>
      <c r="D114" s="993"/>
      <c r="E114" s="1502" t="s">
        <v>533</v>
      </c>
      <c r="F114" s="2412"/>
      <c r="G114" s="993"/>
      <c r="H114" s="993"/>
      <c r="I114" s="993"/>
      <c r="J114" s="993"/>
      <c r="K114" s="993"/>
      <c r="L114" s="993"/>
      <c r="M114" s="993"/>
      <c r="N114" s="993"/>
      <c r="O114" s="993"/>
      <c r="P114" s="993"/>
      <c r="Q114" s="993"/>
      <c r="R114" s="993"/>
      <c r="S114" s="993"/>
      <c r="T114" s="993"/>
      <c r="U114" s="993"/>
      <c r="V114" s="993"/>
      <c r="W114" s="993"/>
      <c r="X114" s="993"/>
    </row>
    <row r="115" spans="1:24" x14ac:dyDescent="0.3">
      <c r="A115" s="1594"/>
      <c r="B115" s="993"/>
      <c r="C115" s="993"/>
      <c r="D115" s="2412">
        <v>43410</v>
      </c>
      <c r="E115" s="993" t="s">
        <v>4480</v>
      </c>
      <c r="F115" s="2412"/>
      <c r="G115" s="993"/>
      <c r="H115" s="993"/>
      <c r="I115" s="993"/>
      <c r="J115" s="993">
        <v>0</v>
      </c>
      <c r="K115" s="993">
        <v>0</v>
      </c>
      <c r="L115" s="2459">
        <v>67700</v>
      </c>
      <c r="M115" s="2459">
        <f>ROUND(L115*U$5,-2)</f>
        <v>70500</v>
      </c>
      <c r="N115" s="2459">
        <f t="shared" ref="N115:O115" si="2">ROUND(M115*V$5,-2)</f>
        <v>73500</v>
      </c>
      <c r="O115" s="2459">
        <f t="shared" si="2"/>
        <v>76600</v>
      </c>
      <c r="P115" s="993"/>
      <c r="Q115" s="993"/>
      <c r="R115" s="993"/>
      <c r="S115" s="993"/>
      <c r="T115" s="993"/>
      <c r="U115" s="993"/>
      <c r="V115" s="993"/>
      <c r="W115" s="993"/>
      <c r="X115" s="993"/>
    </row>
    <row r="116" spans="1:24" ht="15" thickBot="1" x14ac:dyDescent="0.35">
      <c r="A116" s="1594"/>
      <c r="B116" s="993"/>
      <c r="C116" s="993"/>
      <c r="D116" s="1562"/>
      <c r="E116" s="993" t="s">
        <v>5416</v>
      </c>
      <c r="F116" s="2437"/>
      <c r="G116" s="993"/>
      <c r="H116" s="993"/>
      <c r="I116" s="993"/>
      <c r="J116" s="2460">
        <v>0</v>
      </c>
      <c r="K116" s="2460">
        <v>0</v>
      </c>
      <c r="L116" s="2461">
        <f>SUM(L115:L115)</f>
        <v>67700</v>
      </c>
      <c r="M116" s="2461">
        <f>SUM(M115:M115)</f>
        <v>70500</v>
      </c>
      <c r="N116" s="2461">
        <f>SUM(N115:N115)</f>
        <v>73500</v>
      </c>
      <c r="O116" s="2461">
        <f>SUM(O115:O115)</f>
        <v>76600</v>
      </c>
      <c r="P116" s="993"/>
      <c r="Q116" s="993"/>
      <c r="R116" s="993"/>
      <c r="S116" s="993"/>
      <c r="T116" s="993"/>
      <c r="U116" s="993"/>
      <c r="V116" s="993"/>
      <c r="W116" s="993"/>
      <c r="X116" s="993"/>
    </row>
    <row r="117" spans="1:24" ht="15" thickTop="1" x14ac:dyDescent="0.3">
      <c r="A117" s="1594"/>
      <c r="B117" s="993"/>
      <c r="C117" s="993"/>
      <c r="D117" s="1562"/>
      <c r="E117" s="993"/>
      <c r="F117" s="2437"/>
      <c r="G117" s="993"/>
      <c r="H117" s="993"/>
      <c r="I117" s="993"/>
      <c r="J117" s="993"/>
      <c r="K117" s="993"/>
      <c r="L117" s="993"/>
      <c r="M117" s="993"/>
      <c r="N117" s="993"/>
      <c r="O117" s="993"/>
      <c r="P117" s="993"/>
      <c r="Q117" s="993"/>
      <c r="R117" s="993"/>
      <c r="S117" s="993"/>
      <c r="T117" s="993"/>
      <c r="U117" s="993"/>
      <c r="V117" s="993"/>
      <c r="W117" s="993"/>
      <c r="X117" s="993"/>
    </row>
    <row r="118" spans="1:24" x14ac:dyDescent="0.3">
      <c r="A118" s="1594"/>
      <c r="B118" s="993"/>
      <c r="C118" s="993"/>
      <c r="D118" s="1562">
        <v>687004</v>
      </c>
      <c r="E118" s="549" t="s">
        <v>5411</v>
      </c>
      <c r="F118" s="2437"/>
      <c r="G118" s="993"/>
      <c r="H118" s="993"/>
      <c r="I118" s="993"/>
      <c r="J118" s="993"/>
      <c r="K118" s="993"/>
      <c r="L118" s="993"/>
      <c r="M118" s="993"/>
      <c r="N118" s="993"/>
      <c r="O118" s="993"/>
      <c r="P118" s="993"/>
      <c r="Q118" s="993"/>
      <c r="R118" s="993"/>
      <c r="S118" s="993"/>
      <c r="T118" s="993"/>
      <c r="U118" s="1502"/>
      <c r="V118" s="1502"/>
      <c r="W118" s="1502"/>
      <c r="X118" s="1502"/>
    </row>
    <row r="119" spans="1:24" x14ac:dyDescent="0.3">
      <c r="A119" s="1594"/>
      <c r="B119" s="993"/>
      <c r="C119" s="993"/>
      <c r="D119" s="993"/>
      <c r="E119" s="1502" t="s">
        <v>533</v>
      </c>
      <c r="F119" s="2412"/>
      <c r="G119" s="993"/>
      <c r="H119" s="993"/>
      <c r="I119" s="993"/>
      <c r="J119" s="993"/>
      <c r="K119" s="993"/>
      <c r="L119" s="993"/>
      <c r="M119" s="993"/>
      <c r="N119" s="993"/>
      <c r="O119" s="993"/>
      <c r="P119" s="993"/>
      <c r="Q119" s="993"/>
      <c r="R119" s="993"/>
      <c r="S119" s="993"/>
      <c r="T119" s="993"/>
      <c r="U119" s="993"/>
      <c r="V119" s="993"/>
      <c r="W119" s="993"/>
      <c r="X119" s="993"/>
    </row>
    <row r="120" spans="1:24" x14ac:dyDescent="0.3">
      <c r="A120" s="1594"/>
      <c r="B120" s="993"/>
      <c r="C120" s="993"/>
      <c r="D120" s="2412">
        <v>43410</v>
      </c>
      <c r="E120" s="993" t="s">
        <v>4482</v>
      </c>
      <c r="F120" s="2412"/>
      <c r="G120" s="993"/>
      <c r="H120" s="993"/>
      <c r="I120" s="993"/>
      <c r="J120" s="993">
        <v>0</v>
      </c>
      <c r="K120" s="993">
        <v>0</v>
      </c>
      <c r="L120" s="2459">
        <v>27100</v>
      </c>
      <c r="M120" s="2459">
        <f>ROUND(L120*U$5,-2)</f>
        <v>28200</v>
      </c>
      <c r="N120" s="2459">
        <f t="shared" ref="N120:O120" si="3">ROUND(M120*V$5,-2)</f>
        <v>29400</v>
      </c>
      <c r="O120" s="2459">
        <f t="shared" si="3"/>
        <v>30600</v>
      </c>
      <c r="P120" s="993"/>
      <c r="Q120" s="993"/>
      <c r="R120" s="993"/>
      <c r="S120" s="993"/>
      <c r="T120" s="993"/>
      <c r="U120" s="993"/>
      <c r="V120" s="993"/>
      <c r="W120" s="993"/>
      <c r="X120" s="993"/>
    </row>
    <row r="121" spans="1:24" ht="15" thickBot="1" x14ac:dyDescent="0.35">
      <c r="A121" s="1594"/>
      <c r="B121" s="993"/>
      <c r="C121" s="993"/>
      <c r="D121" s="1562"/>
      <c r="E121" s="993" t="s">
        <v>5416</v>
      </c>
      <c r="F121" s="2437"/>
      <c r="G121" s="993"/>
      <c r="H121" s="993"/>
      <c r="I121" s="993"/>
      <c r="J121" s="2460">
        <v>0</v>
      </c>
      <c r="K121" s="2460">
        <v>0</v>
      </c>
      <c r="L121" s="2461">
        <f>SUM(L120:L120)</f>
        <v>27100</v>
      </c>
      <c r="M121" s="2461">
        <f>SUM(M120:M120)</f>
        <v>28200</v>
      </c>
      <c r="N121" s="2461">
        <f>SUM(N120:N120)</f>
        <v>29400</v>
      </c>
      <c r="O121" s="2461">
        <f>SUM(O120:O120)</f>
        <v>30600</v>
      </c>
      <c r="P121" s="993"/>
      <c r="Q121" s="993"/>
      <c r="R121" s="993"/>
      <c r="S121" s="993"/>
      <c r="T121" s="993"/>
      <c r="U121" s="993"/>
      <c r="V121" s="993"/>
      <c r="W121" s="993"/>
      <c r="X121" s="993"/>
    </row>
    <row r="122" spans="1:24" ht="15" thickTop="1" x14ac:dyDescent="0.3">
      <c r="A122" s="1594"/>
      <c r="B122" s="993"/>
      <c r="C122" s="993"/>
      <c r="D122" s="1562"/>
      <c r="E122" s="993"/>
      <c r="F122" s="2437"/>
      <c r="G122" s="993"/>
      <c r="H122" s="993"/>
      <c r="I122" s="993"/>
      <c r="J122" s="993"/>
      <c r="K122" s="993"/>
      <c r="L122" s="993"/>
      <c r="M122" s="993"/>
      <c r="N122" s="993"/>
      <c r="O122" s="993"/>
      <c r="P122" s="993"/>
      <c r="Q122" s="993"/>
      <c r="R122" s="993"/>
      <c r="S122" s="993"/>
      <c r="T122" s="993"/>
      <c r="U122" s="993"/>
      <c r="V122" s="993"/>
      <c r="W122" s="993"/>
      <c r="X122" s="993"/>
    </row>
    <row r="123" spans="1:24" x14ac:dyDescent="0.3">
      <c r="A123" s="1594"/>
      <c r="B123" s="993"/>
      <c r="C123" s="993"/>
      <c r="D123" s="1562">
        <v>687005</v>
      </c>
      <c r="E123" s="549" t="s">
        <v>5412</v>
      </c>
      <c r="F123" s="2437"/>
      <c r="G123" s="993"/>
      <c r="H123" s="993"/>
      <c r="I123" s="993"/>
      <c r="J123" s="993"/>
      <c r="K123" s="993"/>
      <c r="L123" s="993"/>
      <c r="M123" s="993"/>
      <c r="N123" s="993"/>
      <c r="O123" s="993"/>
      <c r="P123" s="993"/>
      <c r="Q123" s="993"/>
      <c r="R123" s="993"/>
      <c r="S123" s="993"/>
      <c r="T123" s="993"/>
      <c r="U123" s="1502"/>
      <c r="V123" s="1502"/>
      <c r="W123" s="1502"/>
      <c r="X123" s="1502"/>
    </row>
    <row r="124" spans="1:24" x14ac:dyDescent="0.3">
      <c r="A124" s="1594"/>
      <c r="B124" s="993"/>
      <c r="C124" s="993"/>
      <c r="D124" s="993"/>
      <c r="E124" s="1502" t="s">
        <v>533</v>
      </c>
      <c r="F124" s="2412"/>
      <c r="G124" s="993"/>
      <c r="H124" s="993"/>
      <c r="I124" s="993"/>
      <c r="J124" s="993"/>
      <c r="K124" s="993"/>
      <c r="L124" s="993"/>
      <c r="M124" s="993"/>
      <c r="N124" s="993"/>
      <c r="O124" s="993"/>
      <c r="P124" s="993"/>
      <c r="Q124" s="993"/>
      <c r="R124" s="993"/>
      <c r="S124" s="993"/>
      <c r="T124" s="993"/>
      <c r="U124" s="993"/>
      <c r="V124" s="993"/>
      <c r="W124" s="993"/>
      <c r="X124" s="993"/>
    </row>
    <row r="125" spans="1:24" x14ac:dyDescent="0.3">
      <c r="A125" s="1594"/>
      <c r="B125" s="993"/>
      <c r="C125" s="993"/>
      <c r="D125" s="2412">
        <v>43410</v>
      </c>
      <c r="E125" s="993" t="s">
        <v>4484</v>
      </c>
      <c r="F125" s="2412"/>
      <c r="G125" s="993"/>
      <c r="H125" s="993"/>
      <c r="I125" s="993"/>
      <c r="J125" s="993">
        <v>0</v>
      </c>
      <c r="K125" s="993">
        <v>0</v>
      </c>
      <c r="L125" s="2459">
        <v>118000</v>
      </c>
      <c r="M125" s="2459">
        <f>ROUND(L125*U$5,-3)</f>
        <v>123000</v>
      </c>
      <c r="N125" s="2459">
        <f t="shared" ref="N125:O125" si="4">ROUND(M125*V$5,-3)</f>
        <v>128000</v>
      </c>
      <c r="O125" s="2459">
        <f t="shared" si="4"/>
        <v>133000</v>
      </c>
      <c r="P125" s="993"/>
      <c r="Q125" s="993"/>
      <c r="R125" s="993"/>
      <c r="S125" s="993"/>
      <c r="T125" s="993"/>
      <c r="U125" s="993"/>
      <c r="V125" s="993"/>
      <c r="W125" s="993"/>
      <c r="X125" s="993"/>
    </row>
    <row r="126" spans="1:24" ht="15" thickBot="1" x14ac:dyDescent="0.35">
      <c r="A126" s="1594"/>
      <c r="B126" s="993"/>
      <c r="C126" s="993"/>
      <c r="D126" s="1562"/>
      <c r="E126" s="993" t="s">
        <v>5416</v>
      </c>
      <c r="F126" s="2437"/>
      <c r="G126" s="993"/>
      <c r="H126" s="993"/>
      <c r="I126" s="993"/>
      <c r="J126" s="2460">
        <v>0</v>
      </c>
      <c r="K126" s="2460">
        <v>0</v>
      </c>
      <c r="L126" s="2461">
        <f>SUM(L125:L125)</f>
        <v>118000</v>
      </c>
      <c r="M126" s="2461">
        <f>SUM(M125:M125)</f>
        <v>123000</v>
      </c>
      <c r="N126" s="2461">
        <f>SUM(N125:N125)</f>
        <v>128000</v>
      </c>
      <c r="O126" s="2461">
        <f>SUM(O125:O125)</f>
        <v>133000</v>
      </c>
      <c r="P126" s="993"/>
      <c r="Q126" s="993"/>
      <c r="R126" s="993"/>
      <c r="S126" s="993"/>
      <c r="T126" s="993"/>
      <c r="U126" s="993"/>
      <c r="V126" s="993"/>
      <c r="W126" s="993"/>
      <c r="X126" s="993"/>
    </row>
    <row r="127" spans="1:24" ht="15" thickTop="1" x14ac:dyDescent="0.3">
      <c r="A127" s="1594"/>
      <c r="B127" s="993"/>
      <c r="C127" s="993"/>
      <c r="D127" s="1562"/>
      <c r="E127" s="993"/>
      <c r="F127" s="2437"/>
      <c r="G127" s="993"/>
      <c r="H127" s="993"/>
      <c r="I127" s="993"/>
      <c r="J127" s="993"/>
      <c r="K127" s="993"/>
      <c r="L127" s="993"/>
      <c r="M127" s="993"/>
      <c r="N127" s="993"/>
      <c r="O127" s="993"/>
      <c r="P127" s="993"/>
      <c r="Q127" s="993"/>
      <c r="R127" s="993"/>
      <c r="S127" s="993"/>
      <c r="T127" s="993"/>
      <c r="U127" s="993"/>
      <c r="V127" s="993"/>
      <c r="W127" s="993"/>
      <c r="X127" s="993"/>
    </row>
    <row r="128" spans="1:24" x14ac:dyDescent="0.3">
      <c r="A128" s="1594"/>
      <c r="B128" s="993"/>
      <c r="C128" s="993"/>
      <c r="D128" s="1562"/>
      <c r="E128" s="993"/>
      <c r="F128" s="2437"/>
      <c r="G128" s="993"/>
      <c r="H128" s="993"/>
      <c r="I128" s="993"/>
      <c r="J128" s="2462"/>
      <c r="K128" s="2462"/>
      <c r="L128" s="2462"/>
      <c r="M128" s="2462"/>
      <c r="N128" s="2462"/>
      <c r="O128" s="2462"/>
      <c r="P128" s="993"/>
      <c r="Q128" s="993"/>
      <c r="R128" s="993"/>
      <c r="S128" s="993"/>
      <c r="T128" s="993"/>
      <c r="U128" s="993"/>
      <c r="V128" s="993"/>
      <c r="W128" s="993"/>
      <c r="X128" s="993"/>
    </row>
    <row r="129" spans="1:24" x14ac:dyDescent="0.3">
      <c r="A129" s="1594"/>
      <c r="B129" s="993"/>
      <c r="C129" s="993"/>
      <c r="D129" s="993"/>
      <c r="E129" s="2412"/>
      <c r="F129" s="2412"/>
      <c r="G129" s="993"/>
      <c r="H129" s="993"/>
      <c r="I129" s="993"/>
      <c r="J129" s="993"/>
      <c r="K129" s="993"/>
      <c r="L129" s="993"/>
      <c r="M129" s="993"/>
      <c r="N129" s="993"/>
      <c r="O129" s="993"/>
      <c r="P129" s="993"/>
      <c r="Q129" s="993"/>
      <c r="R129" s="993"/>
      <c r="S129" s="993"/>
      <c r="T129" s="993"/>
      <c r="U129" s="993"/>
      <c r="V129" s="993"/>
      <c r="W129" s="993"/>
      <c r="X129" s="993"/>
    </row>
    <row r="130" spans="1:24" x14ac:dyDescent="0.3">
      <c r="A130" s="1594"/>
      <c r="B130" s="993"/>
      <c r="C130" s="993"/>
      <c r="D130" s="1562"/>
      <c r="E130" s="2437"/>
      <c r="F130" s="2437"/>
      <c r="G130" s="549"/>
      <c r="H130" s="993"/>
      <c r="I130" s="993"/>
      <c r="J130" s="1471"/>
      <c r="K130" s="1471"/>
      <c r="L130" s="1471"/>
      <c r="M130" s="1471"/>
      <c r="N130" s="1471"/>
      <c r="O130" s="1471"/>
      <c r="P130" s="993"/>
      <c r="Q130" s="993"/>
      <c r="R130" s="993"/>
      <c r="S130" s="993"/>
      <c r="T130" s="993"/>
      <c r="U130" s="993"/>
      <c r="V130" s="993"/>
      <c r="W130" s="993"/>
      <c r="X130" s="993"/>
    </row>
    <row r="131" spans="1:24" x14ac:dyDescent="0.3">
      <c r="A131" s="1594"/>
      <c r="B131" s="993"/>
      <c r="C131" s="993"/>
      <c r="D131" s="2412"/>
      <c r="E131" s="2412"/>
      <c r="F131" s="2412"/>
      <c r="G131" s="1502"/>
      <c r="H131" s="993"/>
      <c r="I131" s="993"/>
      <c r="J131" s="993"/>
      <c r="K131" s="993"/>
      <c r="L131" s="993"/>
      <c r="M131" s="993"/>
      <c r="N131" s="993"/>
      <c r="O131" s="993"/>
      <c r="P131" s="993"/>
      <c r="Q131" s="993"/>
      <c r="R131" s="993"/>
      <c r="S131" s="993"/>
      <c r="T131" s="993"/>
      <c r="U131" s="993"/>
      <c r="V131" s="993"/>
      <c r="W131" s="993"/>
      <c r="X131" s="993"/>
    </row>
    <row r="132" spans="1:24" x14ac:dyDescent="0.3">
      <c r="A132" s="1594"/>
      <c r="B132" s="993"/>
      <c r="C132" s="993"/>
      <c r="D132" s="2412"/>
      <c r="E132" s="2412"/>
      <c r="F132" s="2412"/>
      <c r="G132" s="993"/>
      <c r="H132" s="993"/>
      <c r="I132" s="993"/>
      <c r="J132" s="993"/>
      <c r="K132" s="993"/>
      <c r="L132" s="993"/>
      <c r="M132" s="993"/>
      <c r="N132" s="993"/>
      <c r="O132" s="993"/>
      <c r="P132" s="993"/>
      <c r="Q132" s="993"/>
      <c r="R132" s="993"/>
      <c r="S132" s="993"/>
      <c r="T132" s="993"/>
      <c r="U132" s="993"/>
      <c r="V132" s="993"/>
      <c r="W132" s="993"/>
      <c r="X132" s="993"/>
    </row>
    <row r="133" spans="1:24" x14ac:dyDescent="0.3">
      <c r="A133" s="1594"/>
      <c r="B133" s="993"/>
      <c r="C133" s="993"/>
      <c r="D133" s="2412"/>
      <c r="E133" s="2412"/>
      <c r="F133" s="2412"/>
      <c r="G133" s="993"/>
      <c r="H133" s="993"/>
      <c r="I133" s="993"/>
      <c r="J133" s="993"/>
      <c r="K133" s="993"/>
      <c r="L133" s="993"/>
      <c r="M133" s="993"/>
      <c r="N133" s="993"/>
      <c r="O133" s="993"/>
      <c r="P133" s="993"/>
      <c r="Q133" s="993"/>
      <c r="R133" s="993"/>
      <c r="S133" s="993"/>
      <c r="T133" s="993"/>
      <c r="U133" s="993"/>
      <c r="V133" s="993"/>
      <c r="W133" s="993"/>
      <c r="X133" s="993"/>
    </row>
    <row r="134" spans="1:24" x14ac:dyDescent="0.3">
      <c r="A134" s="1594"/>
      <c r="B134" s="993"/>
      <c r="C134" s="993"/>
      <c r="D134" s="2412"/>
      <c r="E134" s="2412"/>
      <c r="F134" s="2412"/>
      <c r="G134" s="2462"/>
      <c r="H134" s="993"/>
      <c r="I134" s="993"/>
      <c r="J134" s="993"/>
      <c r="K134" s="993"/>
      <c r="L134" s="993"/>
      <c r="M134" s="993"/>
      <c r="N134" s="993"/>
      <c r="O134" s="993"/>
      <c r="P134" s="993"/>
      <c r="Q134" s="993"/>
      <c r="R134" s="993"/>
      <c r="S134" s="993"/>
      <c r="T134" s="993"/>
      <c r="U134" s="993"/>
      <c r="V134" s="993"/>
      <c r="W134" s="993"/>
      <c r="X134" s="993"/>
    </row>
    <row r="135" spans="1:24" x14ac:dyDescent="0.3">
      <c r="A135" s="1594"/>
      <c r="B135" s="993"/>
      <c r="C135" s="993"/>
      <c r="D135" s="993"/>
      <c r="E135" s="2412"/>
      <c r="F135" s="2412"/>
      <c r="G135" s="993"/>
      <c r="H135" s="993"/>
      <c r="I135" s="993"/>
      <c r="J135" s="993"/>
      <c r="K135" s="993"/>
      <c r="L135" s="993"/>
      <c r="M135" s="993"/>
      <c r="N135" s="993"/>
      <c r="O135" s="993"/>
      <c r="P135" s="993"/>
      <c r="Q135" s="993"/>
      <c r="R135" s="993"/>
      <c r="S135" s="993"/>
      <c r="T135" s="993"/>
      <c r="U135" s="993"/>
      <c r="V135" s="993"/>
      <c r="W135" s="993"/>
      <c r="X135" s="993"/>
    </row>
    <row r="136" spans="1:24" x14ac:dyDescent="0.3">
      <c r="A136" s="1594"/>
      <c r="B136" s="993"/>
      <c r="C136" s="993"/>
      <c r="D136" s="993"/>
      <c r="E136" s="2412"/>
      <c r="F136" s="2412"/>
      <c r="G136" s="993"/>
      <c r="H136" s="993"/>
      <c r="I136" s="993"/>
      <c r="J136" s="993"/>
      <c r="K136" s="993"/>
      <c r="L136" s="993"/>
      <c r="M136" s="993"/>
      <c r="N136" s="993"/>
      <c r="O136" s="993"/>
      <c r="P136" s="993"/>
      <c r="Q136" s="993"/>
      <c r="R136" s="993"/>
      <c r="S136" s="993"/>
      <c r="T136" s="993"/>
      <c r="U136" s="993"/>
      <c r="V136" s="993"/>
      <c r="W136" s="993"/>
      <c r="X136" s="993"/>
    </row>
    <row r="137" spans="1:24" x14ac:dyDescent="0.3">
      <c r="A137" s="1594"/>
      <c r="B137" s="993"/>
      <c r="C137" s="993"/>
      <c r="D137" s="993"/>
      <c r="E137" s="2412"/>
      <c r="F137" s="2412"/>
      <c r="G137" s="993"/>
      <c r="H137" s="993"/>
      <c r="I137" s="993"/>
      <c r="J137" s="993"/>
      <c r="K137" s="993"/>
      <c r="L137" s="993"/>
      <c r="M137" s="993"/>
      <c r="N137" s="993"/>
      <c r="O137" s="993"/>
      <c r="P137" s="993"/>
      <c r="Q137" s="993"/>
      <c r="R137" s="993"/>
      <c r="S137" s="993"/>
      <c r="T137" s="993"/>
      <c r="U137" s="993"/>
      <c r="V137" s="993"/>
      <c r="W137" s="993"/>
      <c r="X137" s="993"/>
    </row>
    <row r="138" spans="1:24" x14ac:dyDescent="0.3">
      <c r="A138" s="1594"/>
      <c r="B138" s="993"/>
      <c r="C138" s="993"/>
      <c r="D138" s="993"/>
      <c r="E138" s="2412"/>
      <c r="F138" s="2412"/>
      <c r="G138" s="993"/>
      <c r="H138" s="993"/>
      <c r="I138" s="993"/>
      <c r="J138" s="993"/>
      <c r="K138" s="993"/>
      <c r="L138" s="993"/>
      <c r="M138" s="993"/>
      <c r="N138" s="993"/>
      <c r="O138" s="993"/>
      <c r="P138" s="993"/>
      <c r="Q138" s="993"/>
      <c r="R138" s="993"/>
      <c r="S138" s="993"/>
      <c r="T138" s="993"/>
      <c r="U138" s="993"/>
      <c r="V138" s="993"/>
      <c r="W138" s="993"/>
      <c r="X138" s="993"/>
    </row>
    <row r="139" spans="1:24" x14ac:dyDescent="0.3">
      <c r="A139" s="1594"/>
      <c r="B139" s="993"/>
      <c r="C139" s="993"/>
      <c r="D139" s="993"/>
      <c r="E139" s="2412"/>
      <c r="F139" s="2412"/>
      <c r="G139" s="993"/>
      <c r="H139" s="993"/>
      <c r="I139" s="993"/>
      <c r="J139" s="993"/>
      <c r="K139" s="993"/>
      <c r="L139" s="993"/>
      <c r="M139" s="993"/>
      <c r="N139" s="993"/>
      <c r="O139" s="993"/>
      <c r="P139" s="993"/>
      <c r="Q139" s="993"/>
      <c r="R139" s="993"/>
      <c r="S139" s="993"/>
      <c r="T139" s="993"/>
      <c r="U139" s="993"/>
      <c r="V139" s="993"/>
      <c r="W139" s="993"/>
      <c r="X139" s="993"/>
    </row>
    <row r="140" spans="1:24" x14ac:dyDescent="0.3">
      <c r="A140" s="1594"/>
      <c r="B140" s="993"/>
      <c r="C140" s="993"/>
      <c r="D140" s="993"/>
      <c r="E140" s="2412"/>
      <c r="F140" s="2412"/>
      <c r="G140" s="993"/>
      <c r="H140" s="993"/>
      <c r="I140" s="993"/>
      <c r="J140" s="993"/>
      <c r="K140" s="993"/>
      <c r="L140" s="993"/>
      <c r="M140" s="993"/>
      <c r="N140" s="993"/>
      <c r="O140" s="993"/>
      <c r="P140" s="993"/>
      <c r="Q140" s="993"/>
      <c r="R140" s="993"/>
      <c r="S140" s="993"/>
      <c r="T140" s="993"/>
      <c r="U140" s="993"/>
      <c r="V140" s="993"/>
      <c r="W140" s="993"/>
      <c r="X140" s="993"/>
    </row>
    <row r="141" spans="1:24" x14ac:dyDescent="0.3">
      <c r="A141" s="1594"/>
      <c r="B141" s="993"/>
      <c r="C141" s="993"/>
      <c r="D141" s="993"/>
      <c r="E141" s="2412"/>
      <c r="F141" s="2412"/>
      <c r="G141" s="993"/>
      <c r="H141" s="993"/>
      <c r="I141" s="993"/>
      <c r="J141" s="993"/>
      <c r="K141" s="993"/>
      <c r="L141" s="993"/>
      <c r="M141" s="993"/>
      <c r="N141" s="993"/>
      <c r="O141" s="993"/>
      <c r="P141" s="993"/>
      <c r="Q141" s="993"/>
      <c r="R141" s="993"/>
      <c r="S141" s="993"/>
      <c r="T141" s="993"/>
      <c r="U141" s="993"/>
      <c r="V141" s="993"/>
      <c r="W141" s="993"/>
      <c r="X141" s="993"/>
    </row>
    <row r="142" spans="1:24" x14ac:dyDescent="0.3">
      <c r="A142" s="1594"/>
      <c r="B142" s="993"/>
      <c r="C142" s="993"/>
      <c r="D142" s="993"/>
      <c r="E142" s="2412"/>
      <c r="F142" s="2412"/>
      <c r="G142" s="993"/>
      <c r="H142" s="993"/>
      <c r="I142" s="993"/>
      <c r="J142" s="993"/>
      <c r="K142" s="993"/>
      <c r="L142" s="993"/>
      <c r="M142" s="993"/>
      <c r="N142" s="993"/>
      <c r="O142" s="993"/>
      <c r="P142" s="993"/>
      <c r="Q142" s="993"/>
      <c r="R142" s="993"/>
      <c r="S142" s="993"/>
      <c r="T142" s="993"/>
      <c r="U142" s="993"/>
      <c r="V142" s="993"/>
      <c r="W142" s="993"/>
      <c r="X142" s="993"/>
    </row>
    <row r="143" spans="1:24" x14ac:dyDescent="0.3">
      <c r="A143" s="1594"/>
      <c r="B143" s="993"/>
      <c r="C143" s="993"/>
      <c r="D143" s="993"/>
      <c r="E143" s="2412"/>
      <c r="F143" s="2412"/>
      <c r="G143" s="993"/>
      <c r="H143" s="993"/>
      <c r="I143" s="993"/>
      <c r="J143" s="993"/>
      <c r="K143" s="993"/>
      <c r="L143" s="993"/>
      <c r="M143" s="993"/>
      <c r="N143" s="993"/>
      <c r="O143" s="993"/>
      <c r="P143" s="993"/>
      <c r="Q143" s="993"/>
      <c r="R143" s="993"/>
      <c r="S143" s="993"/>
      <c r="T143" s="993"/>
      <c r="U143" s="993"/>
      <c r="V143" s="993"/>
      <c r="W143" s="993"/>
      <c r="X143" s="993"/>
    </row>
    <row r="144" spans="1:24" x14ac:dyDescent="0.3">
      <c r="A144" s="1594"/>
      <c r="B144" s="993"/>
      <c r="C144" s="993"/>
      <c r="D144" s="993"/>
      <c r="E144" s="2412"/>
      <c r="F144" s="2412"/>
      <c r="G144" s="993"/>
      <c r="H144" s="993"/>
      <c r="I144" s="993"/>
      <c r="J144" s="993"/>
      <c r="K144" s="993"/>
      <c r="L144" s="993"/>
      <c r="M144" s="993"/>
      <c r="N144" s="993"/>
      <c r="O144" s="993"/>
      <c r="P144" s="993"/>
      <c r="Q144" s="993"/>
      <c r="R144" s="993"/>
      <c r="S144" s="993"/>
      <c r="T144" s="993"/>
      <c r="U144" s="993"/>
      <c r="V144" s="993"/>
      <c r="W144" s="993"/>
      <c r="X144" s="993"/>
    </row>
    <row r="145" spans="1:24" x14ac:dyDescent="0.3">
      <c r="A145" s="1594"/>
      <c r="B145" s="993"/>
      <c r="C145" s="993"/>
      <c r="D145" s="993"/>
      <c r="E145" s="2412"/>
      <c r="F145" s="2412"/>
      <c r="G145" s="993"/>
      <c r="H145" s="993"/>
      <c r="I145" s="993"/>
      <c r="J145" s="993"/>
      <c r="K145" s="993"/>
      <c r="L145" s="993"/>
      <c r="M145" s="993"/>
      <c r="N145" s="993"/>
      <c r="O145" s="993"/>
      <c r="P145" s="993"/>
      <c r="Q145" s="993"/>
      <c r="R145" s="993"/>
      <c r="S145" s="993"/>
      <c r="T145" s="993"/>
      <c r="U145" s="993"/>
      <c r="V145" s="993"/>
      <c r="W145" s="993"/>
      <c r="X145" s="993"/>
    </row>
    <row r="146" spans="1:24" x14ac:dyDescent="0.3">
      <c r="A146" s="1594"/>
      <c r="B146" s="993"/>
      <c r="C146" s="993"/>
      <c r="D146" s="993"/>
      <c r="E146" s="2412"/>
      <c r="F146" s="2412"/>
      <c r="G146" s="993"/>
      <c r="H146" s="993"/>
      <c r="I146" s="993"/>
      <c r="J146" s="993"/>
      <c r="K146" s="993"/>
      <c r="L146" s="993"/>
      <c r="M146" s="993"/>
      <c r="N146" s="993"/>
      <c r="O146" s="993"/>
      <c r="P146" s="993"/>
      <c r="Q146" s="993"/>
      <c r="R146" s="993"/>
      <c r="S146" s="993"/>
      <c r="T146" s="993"/>
      <c r="U146" s="993"/>
      <c r="V146" s="993"/>
      <c r="W146" s="993"/>
      <c r="X146" s="993"/>
    </row>
    <row r="147" spans="1:24" x14ac:dyDescent="0.3">
      <c r="A147" s="1594"/>
      <c r="B147" s="993"/>
      <c r="C147" s="993"/>
      <c r="D147" s="993"/>
      <c r="E147" s="2412"/>
      <c r="F147" s="2412"/>
      <c r="G147" s="993"/>
      <c r="H147" s="993"/>
      <c r="I147" s="993"/>
      <c r="J147" s="993"/>
      <c r="K147" s="993"/>
      <c r="L147" s="993"/>
      <c r="M147" s="993"/>
      <c r="N147" s="993"/>
      <c r="O147" s="993"/>
      <c r="P147" s="993"/>
      <c r="Q147" s="993"/>
      <c r="R147" s="993"/>
      <c r="S147" s="993"/>
      <c r="T147" s="993"/>
      <c r="U147" s="993"/>
      <c r="V147" s="993"/>
      <c r="W147" s="993"/>
      <c r="X147" s="993"/>
    </row>
    <row r="148" spans="1:24" x14ac:dyDescent="0.3">
      <c r="A148" s="1594"/>
      <c r="B148" s="993"/>
      <c r="C148" s="993"/>
      <c r="D148" s="993"/>
      <c r="E148" s="2412"/>
      <c r="F148" s="2412"/>
      <c r="G148" s="993"/>
      <c r="H148" s="993"/>
      <c r="I148" s="993"/>
      <c r="J148" s="993"/>
      <c r="K148" s="993"/>
      <c r="L148" s="993"/>
      <c r="M148" s="993"/>
      <c r="N148" s="993"/>
      <c r="O148" s="993"/>
      <c r="P148" s="993"/>
      <c r="Q148" s="993"/>
      <c r="R148" s="993"/>
      <c r="S148" s="993"/>
      <c r="T148" s="993"/>
      <c r="U148" s="993"/>
      <c r="V148" s="993"/>
      <c r="W148" s="993"/>
      <c r="X148" s="993"/>
    </row>
    <row r="149" spans="1:24" x14ac:dyDescent="0.3">
      <c r="A149" s="1594"/>
      <c r="B149" s="993"/>
      <c r="C149" s="993"/>
      <c r="D149" s="993"/>
      <c r="E149" s="2412"/>
      <c r="F149" s="2412"/>
      <c r="G149" s="993"/>
      <c r="H149" s="993"/>
      <c r="I149" s="993"/>
      <c r="J149" s="993"/>
      <c r="K149" s="993"/>
      <c r="L149" s="993"/>
      <c r="M149" s="993"/>
      <c r="N149" s="993"/>
      <c r="O149" s="993"/>
      <c r="P149" s="993"/>
      <c r="Q149" s="993"/>
      <c r="R149" s="993"/>
      <c r="S149" s="993"/>
      <c r="T149" s="993"/>
      <c r="U149" s="993"/>
      <c r="V149" s="993"/>
      <c r="W149" s="993"/>
      <c r="X149" s="993"/>
    </row>
    <row r="150" spans="1:24" x14ac:dyDescent="0.3">
      <c r="A150" s="1594"/>
      <c r="B150" s="993"/>
      <c r="C150" s="993"/>
      <c r="D150" s="993"/>
      <c r="E150" s="2412"/>
      <c r="F150" s="2412"/>
      <c r="G150" s="993"/>
      <c r="H150" s="993"/>
      <c r="I150" s="993"/>
      <c r="J150" s="993"/>
      <c r="K150" s="993"/>
      <c r="L150" s="993"/>
      <c r="M150" s="993"/>
      <c r="N150" s="993"/>
      <c r="O150" s="993"/>
      <c r="P150" s="993"/>
      <c r="Q150" s="993"/>
      <c r="R150" s="993"/>
      <c r="S150" s="993"/>
      <c r="T150" s="993"/>
      <c r="U150" s="993"/>
      <c r="V150" s="993"/>
      <c r="W150" s="993"/>
      <c r="X150" s="993"/>
    </row>
    <row r="151" spans="1:24" x14ac:dyDescent="0.3">
      <c r="A151" s="1594"/>
      <c r="B151" s="993"/>
      <c r="C151" s="993"/>
      <c r="D151" s="993"/>
      <c r="E151" s="2412"/>
      <c r="F151" s="2412"/>
      <c r="G151" s="993"/>
      <c r="H151" s="993"/>
      <c r="I151" s="993"/>
      <c r="J151" s="993"/>
      <c r="K151" s="993"/>
      <c r="L151" s="993"/>
      <c r="M151" s="993"/>
      <c r="N151" s="993"/>
      <c r="O151" s="993"/>
      <c r="P151" s="993"/>
      <c r="Q151" s="993"/>
      <c r="R151" s="993"/>
      <c r="S151" s="993"/>
      <c r="T151" s="993"/>
      <c r="U151" s="993"/>
      <c r="V151" s="993"/>
      <c r="W151" s="993"/>
      <c r="X151" s="993"/>
    </row>
    <row r="152" spans="1:24" x14ac:dyDescent="0.3">
      <c r="A152" s="1594"/>
      <c r="B152" s="993"/>
      <c r="C152" s="993"/>
      <c r="D152" s="993"/>
      <c r="E152" s="2412"/>
      <c r="F152" s="2412"/>
      <c r="G152" s="993"/>
      <c r="H152" s="993"/>
      <c r="I152" s="993"/>
      <c r="J152" s="993"/>
      <c r="K152" s="993"/>
      <c r="L152" s="993"/>
      <c r="M152" s="993"/>
      <c r="N152" s="993"/>
      <c r="O152" s="993"/>
      <c r="P152" s="993"/>
      <c r="Q152" s="993"/>
      <c r="R152" s="993"/>
      <c r="S152" s="993"/>
      <c r="T152" s="993"/>
      <c r="U152" s="993"/>
      <c r="V152" s="993"/>
      <c r="W152" s="993"/>
      <c r="X152" s="993"/>
    </row>
    <row r="153" spans="1:24" x14ac:dyDescent="0.3">
      <c r="A153" s="1594"/>
      <c r="B153" s="993"/>
      <c r="C153" s="993"/>
      <c r="D153" s="993"/>
      <c r="E153" s="2412"/>
      <c r="F153" s="2412"/>
      <c r="G153" s="993"/>
      <c r="H153" s="993"/>
      <c r="I153" s="993"/>
      <c r="J153" s="993"/>
      <c r="K153" s="993"/>
      <c r="L153" s="993"/>
      <c r="M153" s="993"/>
      <c r="N153" s="993"/>
      <c r="O153" s="993"/>
      <c r="P153" s="993"/>
      <c r="Q153" s="993"/>
      <c r="R153" s="993"/>
      <c r="S153" s="993"/>
      <c r="T153" s="993"/>
      <c r="U153" s="993"/>
      <c r="V153" s="993"/>
      <c r="W153" s="993"/>
      <c r="X153" s="993"/>
    </row>
    <row r="154" spans="1:24" x14ac:dyDescent="0.3">
      <c r="A154" s="1594"/>
      <c r="B154" s="993"/>
      <c r="C154" s="993"/>
      <c r="D154" s="993"/>
      <c r="E154" s="2412"/>
      <c r="F154" s="2412"/>
      <c r="G154" s="993"/>
      <c r="H154" s="993"/>
      <c r="I154" s="993"/>
      <c r="J154" s="993"/>
      <c r="K154" s="993"/>
      <c r="L154" s="993"/>
      <c r="M154" s="993"/>
      <c r="N154" s="993"/>
      <c r="O154" s="993"/>
      <c r="P154" s="993"/>
      <c r="Q154" s="993"/>
      <c r="R154" s="993"/>
      <c r="S154" s="993"/>
      <c r="T154" s="993"/>
      <c r="U154" s="993"/>
      <c r="V154" s="993"/>
      <c r="W154" s="993"/>
      <c r="X154" s="993"/>
    </row>
    <row r="155" spans="1:24" x14ac:dyDescent="0.3">
      <c r="A155" s="1594"/>
      <c r="B155" s="993"/>
      <c r="C155" s="993"/>
      <c r="D155" s="993"/>
      <c r="E155" s="2412"/>
      <c r="F155" s="2412"/>
      <c r="G155" s="993"/>
      <c r="H155" s="993"/>
      <c r="I155" s="993"/>
      <c r="J155" s="993"/>
      <c r="K155" s="993"/>
      <c r="L155" s="993"/>
      <c r="M155" s="993"/>
      <c r="N155" s="993"/>
      <c r="O155" s="993"/>
      <c r="P155" s="993"/>
      <c r="Q155" s="993"/>
      <c r="R155" s="993"/>
      <c r="S155" s="993"/>
      <c r="T155" s="993"/>
      <c r="U155" s="993"/>
      <c r="V155" s="993"/>
      <c r="W155" s="993"/>
      <c r="X155" s="993"/>
    </row>
    <row r="156" spans="1:24" x14ac:dyDescent="0.3">
      <c r="A156" s="1594"/>
      <c r="B156" s="993"/>
      <c r="C156" s="993"/>
      <c r="D156" s="993"/>
      <c r="E156" s="2412"/>
      <c r="F156" s="2412"/>
      <c r="G156" s="993"/>
      <c r="H156" s="993"/>
      <c r="I156" s="993"/>
      <c r="J156" s="993"/>
      <c r="K156" s="993"/>
      <c r="L156" s="993"/>
      <c r="M156" s="993"/>
      <c r="N156" s="993"/>
      <c r="O156" s="993"/>
      <c r="P156" s="993"/>
      <c r="Q156" s="993"/>
      <c r="R156" s="993"/>
      <c r="S156" s="993"/>
      <c r="T156" s="993"/>
      <c r="U156" s="993"/>
      <c r="V156" s="993"/>
      <c r="W156" s="993"/>
      <c r="X156" s="993"/>
    </row>
    <row r="157" spans="1:24" x14ac:dyDescent="0.3">
      <c r="A157" s="1594"/>
      <c r="B157" s="993"/>
      <c r="C157" s="993"/>
      <c r="D157" s="993"/>
      <c r="E157" s="2412"/>
      <c r="F157" s="2412"/>
      <c r="G157" s="993"/>
      <c r="H157" s="993"/>
      <c r="I157" s="993"/>
      <c r="J157" s="993"/>
      <c r="K157" s="993"/>
      <c r="L157" s="993"/>
      <c r="M157" s="993"/>
      <c r="N157" s="993"/>
      <c r="O157" s="993"/>
      <c r="P157" s="993"/>
      <c r="Q157" s="993"/>
      <c r="R157" s="993"/>
      <c r="S157" s="993"/>
      <c r="T157" s="993"/>
      <c r="U157" s="993"/>
      <c r="V157" s="993"/>
      <c r="W157" s="993"/>
      <c r="X157" s="993"/>
    </row>
    <row r="158" spans="1:24" x14ac:dyDescent="0.3">
      <c r="A158" s="1594"/>
      <c r="B158" s="993"/>
      <c r="C158" s="993"/>
      <c r="D158" s="993"/>
      <c r="E158" s="2412"/>
      <c r="F158" s="2412"/>
      <c r="G158" s="993"/>
      <c r="H158" s="993"/>
      <c r="I158" s="993"/>
      <c r="J158" s="993"/>
      <c r="K158" s="993"/>
      <c r="L158" s="993"/>
      <c r="M158" s="993"/>
      <c r="N158" s="993"/>
      <c r="O158" s="993"/>
      <c r="P158" s="993"/>
      <c r="Q158" s="993"/>
      <c r="R158" s="993"/>
      <c r="S158" s="993"/>
      <c r="T158" s="993"/>
      <c r="U158" s="993"/>
      <c r="V158" s="993"/>
      <c r="W158" s="993"/>
      <c r="X158" s="993"/>
    </row>
    <row r="159" spans="1:24" x14ac:dyDescent="0.3">
      <c r="A159" s="1594"/>
      <c r="B159" s="993"/>
      <c r="C159" s="993"/>
      <c r="D159" s="993"/>
      <c r="E159" s="2412"/>
      <c r="F159" s="2412"/>
      <c r="G159" s="993"/>
      <c r="H159" s="993"/>
      <c r="I159" s="993"/>
      <c r="J159" s="993"/>
      <c r="K159" s="993"/>
      <c r="L159" s="993"/>
      <c r="M159" s="993"/>
      <c r="N159" s="993"/>
      <c r="O159" s="993"/>
      <c r="P159" s="993"/>
      <c r="Q159" s="993"/>
      <c r="R159" s="993"/>
      <c r="S159" s="993"/>
      <c r="T159" s="993"/>
      <c r="U159" s="993"/>
      <c r="V159" s="993"/>
      <c r="W159" s="993"/>
      <c r="X159" s="993"/>
    </row>
    <row r="160" spans="1:24" x14ac:dyDescent="0.3">
      <c r="A160" s="1594"/>
      <c r="B160" s="993"/>
      <c r="C160" s="993"/>
      <c r="D160" s="993"/>
      <c r="E160" s="2412"/>
      <c r="F160" s="2412"/>
      <c r="G160" s="993"/>
      <c r="H160" s="993"/>
      <c r="I160" s="993"/>
      <c r="J160" s="993"/>
      <c r="K160" s="993"/>
      <c r="L160" s="993"/>
      <c r="M160" s="993"/>
      <c r="N160" s="993"/>
      <c r="O160" s="993"/>
      <c r="P160" s="993"/>
      <c r="Q160" s="993"/>
      <c r="R160" s="993"/>
      <c r="S160" s="993"/>
      <c r="T160" s="993"/>
      <c r="U160" s="993"/>
      <c r="V160" s="993"/>
      <c r="W160" s="993"/>
      <c r="X160" s="993"/>
    </row>
    <row r="161" spans="1:24" x14ac:dyDescent="0.3">
      <c r="A161" s="1594"/>
      <c r="B161" s="993"/>
      <c r="C161" s="993"/>
      <c r="D161" s="993"/>
      <c r="E161" s="2412"/>
      <c r="F161" s="2412"/>
      <c r="G161" s="993"/>
      <c r="H161" s="993"/>
      <c r="I161" s="993"/>
      <c r="J161" s="993"/>
      <c r="K161" s="993"/>
      <c r="L161" s="993"/>
      <c r="M161" s="993"/>
      <c r="N161" s="993"/>
      <c r="O161" s="993"/>
      <c r="P161" s="993"/>
      <c r="Q161" s="993"/>
      <c r="R161" s="993"/>
      <c r="S161" s="993"/>
      <c r="T161" s="993"/>
      <c r="U161" s="993"/>
      <c r="V161" s="993"/>
      <c r="W161" s="993"/>
      <c r="X161" s="993"/>
    </row>
    <row r="162" spans="1:24" x14ac:dyDescent="0.3">
      <c r="A162" s="1594"/>
      <c r="B162" s="993"/>
      <c r="C162" s="993"/>
      <c r="D162" s="993"/>
      <c r="E162" s="2412"/>
      <c r="F162" s="2412"/>
      <c r="G162" s="993"/>
      <c r="H162" s="993"/>
      <c r="I162" s="993"/>
      <c r="J162" s="993"/>
      <c r="K162" s="993"/>
      <c r="L162" s="993"/>
      <c r="M162" s="993"/>
      <c r="N162" s="993"/>
      <c r="O162" s="993"/>
      <c r="P162" s="993"/>
      <c r="Q162" s="993"/>
      <c r="R162" s="993"/>
      <c r="S162" s="993"/>
      <c r="T162" s="993"/>
      <c r="U162" s="993"/>
      <c r="V162" s="993"/>
      <c r="W162" s="993"/>
      <c r="X162" s="993"/>
    </row>
    <row r="163" spans="1:24" x14ac:dyDescent="0.3">
      <c r="A163" s="1594"/>
      <c r="B163" s="993"/>
      <c r="C163" s="993"/>
      <c r="D163" s="993"/>
      <c r="E163" s="2412"/>
      <c r="F163" s="2412"/>
      <c r="G163" s="993"/>
      <c r="H163" s="993"/>
      <c r="I163" s="993"/>
      <c r="J163" s="993"/>
      <c r="K163" s="993"/>
      <c r="L163" s="993"/>
      <c r="M163" s="993"/>
      <c r="N163" s="993"/>
      <c r="O163" s="993"/>
      <c r="P163" s="993"/>
      <c r="Q163" s="993"/>
      <c r="R163" s="993"/>
      <c r="S163" s="993"/>
      <c r="T163" s="993"/>
      <c r="U163" s="993"/>
      <c r="V163" s="993"/>
      <c r="W163" s="993"/>
      <c r="X163" s="993"/>
    </row>
    <row r="164" spans="1:24" x14ac:dyDescent="0.3">
      <c r="A164" s="1594"/>
      <c r="B164" s="993"/>
      <c r="C164" s="993"/>
      <c r="D164" s="993"/>
      <c r="E164" s="2412"/>
      <c r="F164" s="2412"/>
      <c r="G164" s="993"/>
      <c r="H164" s="993"/>
      <c r="I164" s="993"/>
      <c r="J164" s="993"/>
      <c r="K164" s="993"/>
      <c r="L164" s="993"/>
      <c r="M164" s="993"/>
      <c r="N164" s="993"/>
      <c r="O164" s="993"/>
      <c r="P164" s="993"/>
      <c r="Q164" s="993"/>
      <c r="R164" s="993"/>
      <c r="S164" s="993"/>
      <c r="T164" s="993"/>
      <c r="U164" s="993"/>
      <c r="V164" s="993"/>
      <c r="W164" s="993"/>
      <c r="X164" s="993"/>
    </row>
    <row r="165" spans="1:24" x14ac:dyDescent="0.3">
      <c r="A165" s="1594"/>
      <c r="B165" s="993"/>
      <c r="C165" s="993"/>
      <c r="D165" s="993"/>
      <c r="E165" s="2412"/>
      <c r="F165" s="2412"/>
      <c r="G165" s="993"/>
      <c r="H165" s="993"/>
      <c r="I165" s="993"/>
      <c r="J165" s="993"/>
      <c r="K165" s="993"/>
      <c r="L165" s="993"/>
      <c r="M165" s="993"/>
      <c r="N165" s="993"/>
      <c r="O165" s="993"/>
      <c r="P165" s="993"/>
      <c r="Q165" s="993"/>
      <c r="R165" s="993"/>
      <c r="S165" s="993"/>
      <c r="T165" s="993"/>
      <c r="U165" s="993"/>
      <c r="V165" s="993"/>
      <c r="W165" s="993"/>
      <c r="X165" s="993"/>
    </row>
    <row r="166" spans="1:24" x14ac:dyDescent="0.3">
      <c r="A166" s="1594"/>
      <c r="B166" s="993"/>
      <c r="C166" s="993"/>
      <c r="D166" s="993"/>
      <c r="E166" s="2412"/>
      <c r="F166" s="2412"/>
      <c r="G166" s="993"/>
      <c r="H166" s="993"/>
      <c r="I166" s="993"/>
      <c r="J166" s="993"/>
      <c r="K166" s="993"/>
      <c r="L166" s="993"/>
      <c r="M166" s="993"/>
      <c r="N166" s="993"/>
      <c r="O166" s="993"/>
      <c r="P166" s="993"/>
      <c r="Q166" s="993"/>
      <c r="R166" s="993"/>
      <c r="S166" s="993"/>
      <c r="T166" s="993"/>
      <c r="U166" s="993"/>
      <c r="V166" s="993"/>
      <c r="W166" s="993"/>
      <c r="X166" s="993"/>
    </row>
    <row r="167" spans="1:24" x14ac:dyDescent="0.3">
      <c r="A167" s="1594"/>
      <c r="B167" s="993"/>
      <c r="C167" s="993"/>
      <c r="D167" s="993"/>
      <c r="E167" s="2412"/>
      <c r="F167" s="2412"/>
      <c r="G167" s="993"/>
      <c r="H167" s="993"/>
      <c r="I167" s="993"/>
      <c r="J167" s="993"/>
      <c r="K167" s="993"/>
      <c r="L167" s="993"/>
      <c r="M167" s="993"/>
      <c r="N167" s="993"/>
      <c r="O167" s="993"/>
      <c r="P167" s="993"/>
      <c r="Q167" s="993"/>
      <c r="R167" s="993"/>
      <c r="S167" s="993"/>
      <c r="T167" s="993"/>
      <c r="U167" s="993"/>
      <c r="V167" s="993"/>
      <c r="W167" s="993"/>
      <c r="X167" s="993"/>
    </row>
    <row r="168" spans="1:24" x14ac:dyDescent="0.3">
      <c r="A168" s="1594"/>
      <c r="B168" s="993"/>
      <c r="C168" s="993"/>
      <c r="D168" s="993"/>
      <c r="E168" s="2412"/>
      <c r="F168" s="2412"/>
      <c r="G168" s="993"/>
      <c r="H168" s="993"/>
      <c r="I168" s="993"/>
      <c r="J168" s="993"/>
      <c r="K168" s="993"/>
      <c r="L168" s="993"/>
      <c r="M168" s="993"/>
      <c r="N168" s="993"/>
      <c r="O168" s="993"/>
      <c r="P168" s="993"/>
      <c r="Q168" s="993"/>
      <c r="R168" s="993"/>
      <c r="S168" s="993"/>
      <c r="T168" s="993"/>
      <c r="U168" s="993"/>
      <c r="V168" s="993"/>
      <c r="W168" s="993"/>
      <c r="X168" s="993"/>
    </row>
    <row r="169" spans="1:24" x14ac:dyDescent="0.3">
      <c r="A169" s="1594"/>
      <c r="B169" s="993"/>
      <c r="C169" s="993"/>
      <c r="D169" s="993"/>
      <c r="E169" s="2412"/>
      <c r="F169" s="2412"/>
      <c r="G169" s="993"/>
      <c r="H169" s="993"/>
      <c r="I169" s="993"/>
      <c r="J169" s="993"/>
      <c r="K169" s="993"/>
      <c r="L169" s="993"/>
      <c r="M169" s="993"/>
      <c r="N169" s="993"/>
      <c r="O169" s="993"/>
      <c r="P169" s="993"/>
      <c r="Q169" s="993"/>
      <c r="R169" s="993"/>
      <c r="S169" s="993"/>
      <c r="T169" s="993"/>
      <c r="U169" s="993"/>
      <c r="V169" s="993"/>
      <c r="W169" s="993"/>
      <c r="X169" s="993"/>
    </row>
    <row r="170" spans="1:24" x14ac:dyDescent="0.3">
      <c r="A170" s="1594"/>
      <c r="B170" s="993"/>
      <c r="C170" s="993"/>
      <c r="D170" s="993"/>
      <c r="E170" s="2412"/>
      <c r="F170" s="2412"/>
      <c r="G170" s="993"/>
      <c r="H170" s="993"/>
      <c r="I170" s="993"/>
      <c r="J170" s="993"/>
      <c r="K170" s="993"/>
      <c r="L170" s="993"/>
      <c r="M170" s="993"/>
      <c r="N170" s="993"/>
      <c r="O170" s="993"/>
      <c r="P170" s="993"/>
      <c r="Q170" s="993"/>
      <c r="R170" s="993"/>
      <c r="S170" s="993"/>
      <c r="T170" s="993"/>
      <c r="U170" s="993"/>
      <c r="V170" s="993"/>
      <c r="W170" s="993"/>
      <c r="X170" s="993"/>
    </row>
    <row r="171" spans="1:24" x14ac:dyDescent="0.3">
      <c r="A171" s="1594"/>
      <c r="B171" s="993"/>
      <c r="C171" s="993"/>
      <c r="D171" s="993"/>
      <c r="E171" s="2412"/>
      <c r="F171" s="2412"/>
      <c r="G171" s="993"/>
      <c r="H171" s="993"/>
      <c r="I171" s="993"/>
      <c r="J171" s="993"/>
      <c r="K171" s="993"/>
      <c r="L171" s="993"/>
      <c r="M171" s="993"/>
      <c r="N171" s="993"/>
      <c r="O171" s="993"/>
      <c r="P171" s="993"/>
      <c r="Q171" s="993"/>
      <c r="R171" s="993"/>
      <c r="S171" s="993"/>
      <c r="T171" s="993"/>
      <c r="U171" s="993"/>
      <c r="V171" s="993"/>
      <c r="W171" s="993"/>
      <c r="X171" s="993"/>
    </row>
    <row r="172" spans="1:24" x14ac:dyDescent="0.3">
      <c r="A172" s="1594"/>
      <c r="B172" s="993"/>
      <c r="C172" s="993"/>
      <c r="D172" s="993"/>
      <c r="E172" s="2412"/>
      <c r="F172" s="2412"/>
      <c r="G172" s="993"/>
      <c r="H172" s="993"/>
      <c r="I172" s="993"/>
      <c r="J172" s="993"/>
      <c r="K172" s="993"/>
      <c r="L172" s="993"/>
      <c r="M172" s="993"/>
      <c r="N172" s="993"/>
      <c r="O172" s="993"/>
      <c r="P172" s="993"/>
      <c r="Q172" s="993"/>
      <c r="R172" s="993"/>
      <c r="S172" s="993"/>
      <c r="T172" s="993"/>
      <c r="U172" s="993"/>
      <c r="V172" s="993"/>
      <c r="W172" s="993"/>
      <c r="X172" s="993"/>
    </row>
    <row r="173" spans="1:24" x14ac:dyDescent="0.3">
      <c r="A173" s="1594"/>
      <c r="B173" s="993"/>
      <c r="C173" s="993"/>
      <c r="D173" s="993"/>
      <c r="E173" s="2412"/>
      <c r="F173" s="2412"/>
      <c r="G173" s="993"/>
      <c r="H173" s="993"/>
      <c r="I173" s="993"/>
      <c r="J173" s="993"/>
      <c r="K173" s="993"/>
      <c r="L173" s="993"/>
      <c r="M173" s="993"/>
      <c r="N173" s="993"/>
      <c r="O173" s="993"/>
      <c r="P173" s="993"/>
      <c r="Q173" s="993"/>
      <c r="R173" s="993"/>
      <c r="S173" s="993"/>
      <c r="T173" s="993"/>
      <c r="U173" s="993"/>
      <c r="V173" s="993"/>
      <c r="W173" s="993"/>
      <c r="X173" s="993"/>
    </row>
    <row r="174" spans="1:24" x14ac:dyDescent="0.3">
      <c r="A174" s="1594"/>
      <c r="B174" s="993"/>
      <c r="C174" s="993"/>
      <c r="D174" s="993"/>
      <c r="E174" s="2412"/>
      <c r="F174" s="2412"/>
      <c r="G174" s="993"/>
      <c r="H174" s="993"/>
      <c r="I174" s="993"/>
      <c r="J174" s="993"/>
      <c r="K174" s="993"/>
      <c r="L174" s="993"/>
      <c r="M174" s="993"/>
      <c r="N174" s="993"/>
      <c r="O174" s="993"/>
      <c r="P174" s="993"/>
      <c r="Q174" s="993"/>
      <c r="R174" s="993"/>
      <c r="S174" s="993"/>
      <c r="T174" s="993"/>
      <c r="U174" s="993"/>
      <c r="V174" s="993"/>
      <c r="W174" s="993"/>
      <c r="X174" s="993"/>
    </row>
    <row r="175" spans="1:24" x14ac:dyDescent="0.3">
      <c r="A175" s="1594"/>
      <c r="B175" s="993"/>
      <c r="C175" s="993"/>
      <c r="D175" s="993"/>
      <c r="E175" s="2412"/>
      <c r="F175" s="2412"/>
      <c r="G175" s="993"/>
      <c r="H175" s="993"/>
      <c r="I175" s="993"/>
      <c r="J175" s="993"/>
      <c r="K175" s="993"/>
      <c r="L175" s="993"/>
      <c r="M175" s="993"/>
      <c r="N175" s="993"/>
      <c r="O175" s="993"/>
      <c r="P175" s="993"/>
      <c r="Q175" s="993"/>
      <c r="R175" s="993"/>
      <c r="S175" s="993"/>
      <c r="T175" s="993"/>
      <c r="U175" s="993"/>
      <c r="V175" s="993"/>
      <c r="W175" s="993"/>
      <c r="X175" s="993"/>
    </row>
    <row r="176" spans="1:24" x14ac:dyDescent="0.3">
      <c r="A176" s="1594"/>
      <c r="B176" s="993"/>
      <c r="C176" s="993"/>
      <c r="D176" s="993"/>
      <c r="E176" s="2412"/>
      <c r="F176" s="2412"/>
      <c r="G176" s="993"/>
      <c r="H176" s="993"/>
      <c r="I176" s="993"/>
      <c r="J176" s="993"/>
      <c r="K176" s="993"/>
      <c r="L176" s="993"/>
      <c r="M176" s="993"/>
      <c r="N176" s="993"/>
      <c r="O176" s="993"/>
      <c r="P176" s="993"/>
      <c r="Q176" s="993"/>
      <c r="R176" s="993"/>
      <c r="S176" s="993"/>
      <c r="T176" s="993"/>
      <c r="U176" s="993"/>
      <c r="V176" s="993"/>
      <c r="W176" s="993"/>
      <c r="X176" s="993"/>
    </row>
    <row r="177" spans="1:24" x14ac:dyDescent="0.3">
      <c r="A177" s="1594"/>
      <c r="B177" s="993"/>
      <c r="C177" s="993"/>
      <c r="D177" s="993"/>
      <c r="E177" s="2412"/>
      <c r="F177" s="2412"/>
      <c r="G177" s="993"/>
      <c r="H177" s="993"/>
      <c r="I177" s="993"/>
      <c r="J177" s="993"/>
      <c r="K177" s="993"/>
      <c r="L177" s="993"/>
      <c r="M177" s="993"/>
      <c r="N177" s="993"/>
      <c r="O177" s="993"/>
      <c r="P177" s="993"/>
      <c r="Q177" s="993"/>
      <c r="R177" s="993"/>
      <c r="S177" s="993"/>
      <c r="T177" s="993"/>
      <c r="U177" s="993"/>
      <c r="V177" s="993"/>
      <c r="W177" s="993"/>
      <c r="X177" s="993"/>
    </row>
    <row r="178" spans="1:24" x14ac:dyDescent="0.3">
      <c r="A178" s="1594"/>
      <c r="B178" s="993"/>
      <c r="C178" s="993"/>
      <c r="D178" s="993"/>
      <c r="E178" s="2412"/>
      <c r="F178" s="2412"/>
      <c r="G178" s="993"/>
      <c r="H178" s="993"/>
      <c r="I178" s="993"/>
      <c r="J178" s="993"/>
      <c r="K178" s="993"/>
      <c r="L178" s="993"/>
      <c r="M178" s="993"/>
      <c r="N178" s="993"/>
      <c r="O178" s="993"/>
      <c r="P178" s="993"/>
      <c r="Q178" s="993"/>
      <c r="R178" s="993"/>
      <c r="S178" s="993"/>
      <c r="T178" s="993"/>
      <c r="U178" s="993"/>
      <c r="V178" s="993"/>
      <c r="W178" s="993"/>
      <c r="X178" s="993"/>
    </row>
    <row r="179" spans="1:24" x14ac:dyDescent="0.3">
      <c r="A179" s="1594"/>
      <c r="B179" s="993"/>
      <c r="C179" s="993"/>
      <c r="D179" s="993"/>
      <c r="E179" s="2412"/>
      <c r="F179" s="2412"/>
      <c r="G179" s="993"/>
      <c r="H179" s="993"/>
      <c r="I179" s="993"/>
      <c r="J179" s="993"/>
      <c r="K179" s="993"/>
      <c r="L179" s="993"/>
      <c r="M179" s="993"/>
      <c r="N179" s="993"/>
      <c r="O179" s="993"/>
      <c r="P179" s="993"/>
      <c r="Q179" s="993"/>
      <c r="R179" s="993"/>
      <c r="S179" s="993"/>
      <c r="T179" s="993"/>
      <c r="U179" s="993"/>
      <c r="V179" s="993"/>
      <c r="W179" s="993"/>
      <c r="X179" s="993"/>
    </row>
    <row r="180" spans="1:24" x14ac:dyDescent="0.3">
      <c r="A180" s="1594"/>
      <c r="B180" s="993"/>
      <c r="C180" s="993"/>
      <c r="D180" s="993"/>
      <c r="E180" s="2412"/>
      <c r="F180" s="2412"/>
      <c r="G180" s="993"/>
      <c r="H180" s="993"/>
      <c r="I180" s="993"/>
      <c r="J180" s="993"/>
      <c r="K180" s="993"/>
      <c r="L180" s="993"/>
      <c r="M180" s="993"/>
      <c r="N180" s="993"/>
      <c r="O180" s="993"/>
      <c r="P180" s="993"/>
      <c r="Q180" s="993"/>
      <c r="R180" s="993"/>
      <c r="S180" s="993"/>
      <c r="T180" s="993"/>
      <c r="U180" s="993"/>
      <c r="V180" s="993"/>
      <c r="W180" s="993"/>
      <c r="X180" s="993"/>
    </row>
    <row r="181" spans="1:24" x14ac:dyDescent="0.3">
      <c r="A181" s="1594"/>
      <c r="B181" s="993"/>
      <c r="C181" s="993"/>
      <c r="D181" s="993"/>
      <c r="E181" s="2412"/>
      <c r="F181" s="2412"/>
      <c r="G181" s="993"/>
      <c r="H181" s="993"/>
      <c r="I181" s="993"/>
      <c r="J181" s="993"/>
      <c r="K181" s="993"/>
      <c r="L181" s="993"/>
      <c r="M181" s="993"/>
      <c r="N181" s="993"/>
      <c r="O181" s="993"/>
      <c r="P181" s="993"/>
      <c r="Q181" s="993"/>
      <c r="R181" s="993"/>
      <c r="S181" s="993"/>
      <c r="T181" s="993"/>
      <c r="U181" s="993"/>
      <c r="V181" s="993"/>
      <c r="W181" s="993"/>
      <c r="X181" s="993"/>
    </row>
    <row r="182" spans="1:24" x14ac:dyDescent="0.3">
      <c r="A182" s="1594"/>
      <c r="B182" s="993"/>
      <c r="C182" s="993"/>
      <c r="D182" s="993"/>
      <c r="E182" s="2412"/>
      <c r="F182" s="2412"/>
      <c r="G182" s="993"/>
      <c r="H182" s="993"/>
      <c r="I182" s="993"/>
      <c r="J182" s="993"/>
      <c r="K182" s="993"/>
      <c r="L182" s="993"/>
      <c r="M182" s="993"/>
      <c r="N182" s="993"/>
      <c r="O182" s="993"/>
      <c r="P182" s="993"/>
      <c r="Q182" s="993"/>
      <c r="R182" s="993"/>
      <c r="S182" s="993"/>
      <c r="T182" s="993"/>
      <c r="U182" s="993"/>
      <c r="V182" s="993"/>
      <c r="W182" s="993"/>
      <c r="X182" s="993"/>
    </row>
    <row r="183" spans="1:24" x14ac:dyDescent="0.3">
      <c r="A183" s="1594"/>
      <c r="B183" s="993"/>
      <c r="C183" s="993"/>
      <c r="D183" s="993"/>
      <c r="E183" s="2412"/>
      <c r="F183" s="2412"/>
      <c r="G183" s="993"/>
      <c r="H183" s="993"/>
      <c r="I183" s="993"/>
      <c r="J183" s="993"/>
      <c r="K183" s="993"/>
      <c r="L183" s="993"/>
      <c r="M183" s="993"/>
      <c r="N183" s="993"/>
      <c r="O183" s="993"/>
      <c r="P183" s="993"/>
      <c r="Q183" s="993"/>
      <c r="R183" s="993"/>
      <c r="S183" s="993"/>
      <c r="T183" s="993"/>
      <c r="U183" s="993"/>
      <c r="V183" s="993"/>
      <c r="W183" s="993"/>
      <c r="X183" s="993"/>
    </row>
    <row r="184" spans="1:24" x14ac:dyDescent="0.3">
      <c r="A184" s="1594"/>
      <c r="B184" s="993"/>
      <c r="C184" s="993"/>
      <c r="D184" s="993"/>
      <c r="E184" s="2412"/>
      <c r="F184" s="2412"/>
      <c r="G184" s="993"/>
      <c r="H184" s="993"/>
      <c r="I184" s="993"/>
      <c r="J184" s="993"/>
      <c r="K184" s="993"/>
      <c r="L184" s="993"/>
      <c r="M184" s="993"/>
      <c r="N184" s="993"/>
      <c r="O184" s="993"/>
      <c r="P184" s="993"/>
      <c r="Q184" s="993"/>
      <c r="R184" s="993"/>
      <c r="S184" s="993"/>
      <c r="T184" s="993"/>
      <c r="U184" s="993"/>
      <c r="V184" s="993"/>
      <c r="W184" s="993"/>
      <c r="X184" s="993"/>
    </row>
    <row r="185" spans="1:24" x14ac:dyDescent="0.3">
      <c r="A185" s="1594"/>
      <c r="B185" s="993"/>
      <c r="C185" s="993"/>
      <c r="D185" s="993"/>
      <c r="E185" s="2412"/>
      <c r="F185" s="2412"/>
      <c r="G185" s="993"/>
      <c r="H185" s="993"/>
      <c r="I185" s="993"/>
      <c r="J185" s="993"/>
      <c r="K185" s="993"/>
      <c r="L185" s="993"/>
      <c r="M185" s="993"/>
      <c r="N185" s="993"/>
      <c r="O185" s="993"/>
      <c r="P185" s="993"/>
      <c r="Q185" s="993"/>
      <c r="R185" s="993"/>
      <c r="S185" s="993"/>
      <c r="T185" s="993"/>
      <c r="U185" s="993"/>
      <c r="V185" s="993"/>
      <c r="W185" s="993"/>
      <c r="X185" s="993"/>
    </row>
    <row r="186" spans="1:24" x14ac:dyDescent="0.3">
      <c r="A186" s="1594"/>
      <c r="B186" s="993"/>
      <c r="C186" s="993"/>
      <c r="D186" s="993"/>
      <c r="E186" s="2412"/>
      <c r="F186" s="2412"/>
      <c r="G186" s="993"/>
      <c r="H186" s="993"/>
      <c r="I186" s="993"/>
      <c r="J186" s="993"/>
      <c r="K186" s="993"/>
      <c r="L186" s="993"/>
      <c r="M186" s="993"/>
      <c r="N186" s="993"/>
      <c r="O186" s="993"/>
      <c r="P186" s="993"/>
      <c r="Q186" s="993"/>
      <c r="R186" s="993"/>
      <c r="S186" s="993"/>
      <c r="T186" s="993"/>
      <c r="U186" s="993"/>
      <c r="V186" s="993"/>
      <c r="W186" s="993"/>
      <c r="X186" s="993"/>
    </row>
    <row r="187" spans="1:24" x14ac:dyDescent="0.3">
      <c r="A187" s="1594"/>
      <c r="B187" s="993"/>
      <c r="C187" s="993"/>
      <c r="D187" s="993"/>
      <c r="E187" s="2412"/>
      <c r="F187" s="2412"/>
      <c r="G187" s="993"/>
      <c r="H187" s="993"/>
      <c r="I187" s="993"/>
      <c r="J187" s="993"/>
      <c r="K187" s="993"/>
      <c r="L187" s="993"/>
      <c r="M187" s="993"/>
      <c r="N187" s="993"/>
      <c r="O187" s="993"/>
      <c r="P187" s="993"/>
      <c r="Q187" s="993"/>
      <c r="R187" s="993"/>
      <c r="S187" s="993"/>
      <c r="T187" s="993"/>
      <c r="U187" s="993"/>
      <c r="V187" s="993"/>
      <c r="W187" s="993"/>
      <c r="X187" s="993"/>
    </row>
    <row r="188" spans="1:24" x14ac:dyDescent="0.3">
      <c r="A188" s="1594"/>
      <c r="B188" s="993"/>
      <c r="C188" s="993"/>
      <c r="D188" s="993"/>
      <c r="E188" s="2412"/>
      <c r="F188" s="2412"/>
      <c r="G188" s="993"/>
      <c r="H188" s="993"/>
      <c r="I188" s="993"/>
      <c r="J188" s="993"/>
      <c r="K188" s="993"/>
      <c r="L188" s="993"/>
      <c r="M188" s="993"/>
      <c r="N188" s="993"/>
      <c r="O188" s="993"/>
      <c r="P188" s="993"/>
      <c r="Q188" s="993"/>
      <c r="R188" s="993"/>
      <c r="S188" s="993"/>
      <c r="T188" s="993"/>
      <c r="U188" s="993"/>
      <c r="V188" s="993"/>
      <c r="W188" s="993"/>
      <c r="X188" s="993"/>
    </row>
    <row r="189" spans="1:24" x14ac:dyDescent="0.3">
      <c r="A189" s="1594"/>
      <c r="B189" s="993"/>
      <c r="C189" s="993"/>
      <c r="D189" s="993"/>
      <c r="E189" s="2412"/>
      <c r="F189" s="2412"/>
      <c r="G189" s="993"/>
      <c r="H189" s="993"/>
      <c r="I189" s="993"/>
      <c r="J189" s="993"/>
      <c r="K189" s="993"/>
      <c r="L189" s="993"/>
      <c r="M189" s="993"/>
      <c r="N189" s="993"/>
      <c r="O189" s="993"/>
      <c r="P189" s="993"/>
      <c r="Q189" s="993"/>
      <c r="R189" s="993"/>
      <c r="S189" s="993"/>
      <c r="T189" s="993"/>
      <c r="U189" s="993"/>
      <c r="V189" s="993"/>
      <c r="W189" s="993"/>
      <c r="X189" s="993"/>
    </row>
    <row r="190" spans="1:24" x14ac:dyDescent="0.3">
      <c r="A190" s="1594"/>
      <c r="B190" s="993"/>
      <c r="C190" s="993"/>
      <c r="D190" s="993"/>
      <c r="E190" s="2412"/>
      <c r="F190" s="2412"/>
      <c r="G190" s="993"/>
      <c r="H190" s="993"/>
      <c r="I190" s="993"/>
      <c r="J190" s="993"/>
      <c r="K190" s="993"/>
      <c r="L190" s="993"/>
      <c r="M190" s="993"/>
      <c r="N190" s="993"/>
      <c r="O190" s="993"/>
      <c r="P190" s="993"/>
      <c r="Q190" s="993"/>
      <c r="R190" s="993"/>
      <c r="S190" s="993"/>
      <c r="T190" s="993"/>
      <c r="U190" s="993"/>
      <c r="V190" s="993"/>
      <c r="W190" s="993"/>
      <c r="X190" s="993"/>
    </row>
    <row r="191" spans="1:24" x14ac:dyDescent="0.3">
      <c r="A191" s="1594"/>
      <c r="B191" s="993"/>
      <c r="C191" s="993"/>
      <c r="D191" s="993"/>
      <c r="E191" s="2412"/>
      <c r="F191" s="2412"/>
      <c r="G191" s="993"/>
      <c r="H191" s="993"/>
      <c r="I191" s="993"/>
      <c r="J191" s="993"/>
      <c r="K191" s="993"/>
      <c r="L191" s="993"/>
      <c r="M191" s="993"/>
      <c r="N191" s="993"/>
      <c r="O191" s="993"/>
      <c r="P191" s="993"/>
      <c r="Q191" s="993"/>
      <c r="R191" s="993"/>
      <c r="S191" s="993"/>
      <c r="T191" s="993"/>
      <c r="U191" s="993"/>
      <c r="V191" s="993"/>
      <c r="W191" s="993"/>
      <c r="X191" s="993"/>
    </row>
    <row r="192" spans="1:24" x14ac:dyDescent="0.3">
      <c r="A192" s="1594"/>
      <c r="B192" s="993"/>
      <c r="C192" s="993"/>
      <c r="D192" s="993"/>
      <c r="E192" s="2412"/>
      <c r="F192" s="2412"/>
      <c r="G192" s="993"/>
      <c r="H192" s="993"/>
      <c r="I192" s="993"/>
      <c r="J192" s="993"/>
      <c r="K192" s="993"/>
      <c r="L192" s="993"/>
      <c r="M192" s="993"/>
      <c r="N192" s="993"/>
      <c r="O192" s="993"/>
      <c r="P192" s="993"/>
      <c r="Q192" s="993"/>
      <c r="R192" s="993"/>
      <c r="S192" s="993"/>
      <c r="T192" s="993"/>
      <c r="U192" s="993"/>
      <c r="V192" s="993"/>
      <c r="W192" s="993"/>
      <c r="X192" s="993"/>
    </row>
    <row r="193" spans="1:24" x14ac:dyDescent="0.3">
      <c r="A193" s="1594"/>
      <c r="B193" s="993"/>
      <c r="C193" s="993"/>
      <c r="D193" s="993"/>
      <c r="E193" s="2412"/>
      <c r="F193" s="2412"/>
      <c r="G193" s="993"/>
      <c r="H193" s="993"/>
      <c r="I193" s="993"/>
      <c r="J193" s="993"/>
      <c r="K193" s="993"/>
      <c r="L193" s="993"/>
      <c r="M193" s="993"/>
      <c r="N193" s="993"/>
      <c r="O193" s="993"/>
      <c r="P193" s="993"/>
      <c r="Q193" s="993"/>
      <c r="R193" s="993"/>
      <c r="S193" s="993"/>
      <c r="T193" s="993"/>
      <c r="U193" s="993"/>
      <c r="V193" s="993"/>
      <c r="W193" s="993"/>
      <c r="X193" s="993"/>
    </row>
    <row r="194" spans="1:24" x14ac:dyDescent="0.3">
      <c r="A194" s="1594"/>
      <c r="B194" s="993"/>
      <c r="C194" s="993"/>
      <c r="D194" s="993"/>
      <c r="E194" s="2412"/>
      <c r="F194" s="2412"/>
      <c r="G194" s="993"/>
      <c r="H194" s="993"/>
      <c r="I194" s="993"/>
      <c r="J194" s="993"/>
      <c r="K194" s="993"/>
      <c r="L194" s="993"/>
      <c r="M194" s="993"/>
      <c r="N194" s="993"/>
      <c r="O194" s="993"/>
      <c r="P194" s="993"/>
      <c r="Q194" s="993"/>
      <c r="R194" s="993"/>
      <c r="S194" s="993"/>
      <c r="T194" s="993"/>
      <c r="U194" s="993"/>
      <c r="V194" s="993"/>
      <c r="W194" s="993"/>
      <c r="X194" s="993"/>
    </row>
    <row r="195" spans="1:24" x14ac:dyDescent="0.3">
      <c r="A195" s="1594"/>
      <c r="B195" s="993"/>
      <c r="C195" s="993"/>
      <c r="D195" s="993"/>
      <c r="E195" s="2412"/>
      <c r="F195" s="2412"/>
      <c r="G195" s="993"/>
      <c r="H195" s="993"/>
      <c r="I195" s="993"/>
      <c r="J195" s="993"/>
      <c r="K195" s="993"/>
      <c r="L195" s="993"/>
      <c r="M195" s="993"/>
      <c r="N195" s="993"/>
      <c r="O195" s="993"/>
      <c r="P195" s="993"/>
      <c r="Q195" s="993"/>
      <c r="R195" s="993"/>
      <c r="S195" s="993"/>
      <c r="T195" s="993"/>
      <c r="U195" s="993"/>
      <c r="V195" s="993"/>
      <c r="W195" s="993"/>
      <c r="X195" s="993"/>
    </row>
    <row r="196" spans="1:24" x14ac:dyDescent="0.3">
      <c r="A196" s="1594"/>
      <c r="B196" s="993"/>
      <c r="C196" s="993"/>
      <c r="D196" s="993"/>
      <c r="E196" s="2412"/>
      <c r="F196" s="2412"/>
      <c r="G196" s="993"/>
      <c r="H196" s="993"/>
      <c r="I196" s="993"/>
      <c r="J196" s="993"/>
      <c r="K196" s="993"/>
      <c r="L196" s="993"/>
      <c r="M196" s="993"/>
      <c r="N196" s="993"/>
      <c r="O196" s="993"/>
      <c r="P196" s="993"/>
      <c r="Q196" s="993"/>
      <c r="R196" s="993"/>
      <c r="S196" s="993"/>
      <c r="T196" s="993"/>
      <c r="U196" s="993"/>
      <c r="V196" s="993"/>
      <c r="W196" s="993"/>
      <c r="X196" s="993"/>
    </row>
    <row r="197" spans="1:24" x14ac:dyDescent="0.3">
      <c r="A197" s="1594"/>
      <c r="B197" s="993"/>
      <c r="C197" s="993"/>
      <c r="D197" s="993"/>
      <c r="E197" s="2412"/>
      <c r="F197" s="2412"/>
      <c r="G197" s="993"/>
      <c r="H197" s="993"/>
      <c r="I197" s="993"/>
      <c r="J197" s="993"/>
      <c r="K197" s="993"/>
      <c r="L197" s="993"/>
      <c r="M197" s="993"/>
      <c r="N197" s="993"/>
      <c r="O197" s="993"/>
      <c r="P197" s="993"/>
      <c r="Q197" s="993"/>
      <c r="R197" s="993"/>
      <c r="S197" s="993"/>
      <c r="T197" s="993"/>
      <c r="U197" s="993"/>
      <c r="V197" s="993"/>
      <c r="W197" s="993"/>
      <c r="X197" s="993"/>
    </row>
    <row r="198" spans="1:24" x14ac:dyDescent="0.3">
      <c r="A198" s="1594"/>
      <c r="B198" s="993"/>
      <c r="C198" s="993"/>
      <c r="D198" s="993"/>
      <c r="E198" s="2412"/>
      <c r="F198" s="2412"/>
      <c r="G198" s="993"/>
      <c r="H198" s="993"/>
      <c r="I198" s="993"/>
      <c r="J198" s="993"/>
      <c r="K198" s="993"/>
      <c r="L198" s="993"/>
      <c r="M198" s="993"/>
      <c r="N198" s="993"/>
      <c r="O198" s="993"/>
      <c r="P198" s="993"/>
      <c r="Q198" s="993"/>
      <c r="R198" s="993"/>
      <c r="S198" s="993"/>
      <c r="T198" s="993"/>
      <c r="U198" s="993"/>
      <c r="V198" s="993"/>
      <c r="W198" s="993"/>
      <c r="X198" s="993"/>
    </row>
    <row r="199" spans="1:24" x14ac:dyDescent="0.3">
      <c r="A199" s="1594"/>
      <c r="B199" s="993"/>
      <c r="C199" s="993"/>
      <c r="D199" s="993"/>
      <c r="E199" s="2412"/>
      <c r="F199" s="2412"/>
      <c r="G199" s="993"/>
      <c r="H199" s="993"/>
      <c r="I199" s="993"/>
      <c r="J199" s="993"/>
      <c r="K199" s="993"/>
      <c r="L199" s="993"/>
      <c r="M199" s="993"/>
      <c r="N199" s="993"/>
      <c r="O199" s="993"/>
      <c r="P199" s="993"/>
      <c r="Q199" s="993"/>
      <c r="R199" s="993"/>
      <c r="S199" s="993"/>
      <c r="T199" s="993"/>
      <c r="U199" s="993"/>
      <c r="V199" s="993"/>
      <c r="W199" s="993"/>
      <c r="X199" s="993"/>
    </row>
    <row r="200" spans="1:24" x14ac:dyDescent="0.3">
      <c r="A200" s="1594"/>
      <c r="B200" s="993"/>
      <c r="C200" s="993"/>
      <c r="D200" s="993"/>
      <c r="E200" s="2412"/>
      <c r="F200" s="2412"/>
      <c r="G200" s="993"/>
      <c r="H200" s="993"/>
      <c r="I200" s="993"/>
      <c r="J200" s="993"/>
      <c r="K200" s="993"/>
      <c r="L200" s="993"/>
      <c r="M200" s="993"/>
      <c r="N200" s="993"/>
      <c r="O200" s="993"/>
      <c r="P200" s="993"/>
      <c r="Q200" s="993"/>
      <c r="R200" s="993"/>
      <c r="S200" s="993"/>
      <c r="T200" s="993"/>
      <c r="U200" s="993"/>
      <c r="V200" s="993"/>
      <c r="W200" s="993"/>
      <c r="X200" s="993"/>
    </row>
    <row r="201" spans="1:24" x14ac:dyDescent="0.3">
      <c r="A201" s="1594"/>
      <c r="B201" s="993"/>
      <c r="C201" s="993"/>
      <c r="D201" s="993"/>
      <c r="E201" s="2412"/>
      <c r="F201" s="2412"/>
      <c r="G201" s="993"/>
      <c r="H201" s="993"/>
      <c r="I201" s="993"/>
      <c r="J201" s="993"/>
      <c r="K201" s="993"/>
      <c r="L201" s="993"/>
      <c r="M201" s="993"/>
      <c r="N201" s="993"/>
      <c r="O201" s="993"/>
      <c r="P201" s="993"/>
      <c r="Q201" s="993"/>
      <c r="R201" s="993"/>
      <c r="S201" s="993"/>
      <c r="T201" s="993"/>
      <c r="U201" s="993"/>
      <c r="V201" s="993"/>
      <c r="W201" s="993"/>
      <c r="X201" s="993"/>
    </row>
    <row r="202" spans="1:24" x14ac:dyDescent="0.3">
      <c r="A202" s="1594"/>
      <c r="B202" s="993"/>
      <c r="C202" s="993"/>
      <c r="D202" s="993"/>
      <c r="E202" s="2412"/>
      <c r="F202" s="2412"/>
      <c r="G202" s="993"/>
      <c r="H202" s="993"/>
      <c r="I202" s="993"/>
      <c r="J202" s="993"/>
      <c r="K202" s="993"/>
      <c r="L202" s="993"/>
      <c r="M202" s="993"/>
      <c r="N202" s="993"/>
      <c r="O202" s="993"/>
      <c r="P202" s="993"/>
      <c r="Q202" s="993"/>
      <c r="R202" s="993"/>
      <c r="S202" s="993"/>
      <c r="T202" s="993"/>
      <c r="U202" s="993"/>
      <c r="V202" s="993"/>
      <c r="W202" s="993"/>
      <c r="X202" s="993"/>
    </row>
    <row r="203" spans="1:24" x14ac:dyDescent="0.3">
      <c r="A203" s="1594"/>
      <c r="B203" s="993"/>
      <c r="C203" s="993"/>
      <c r="D203" s="993"/>
      <c r="E203" s="2412"/>
      <c r="F203" s="2412"/>
      <c r="G203" s="993"/>
      <c r="H203" s="993"/>
      <c r="I203" s="993"/>
      <c r="J203" s="993"/>
      <c r="K203" s="993"/>
      <c r="L203" s="993"/>
      <c r="M203" s="993"/>
      <c r="N203" s="993"/>
      <c r="O203" s="993"/>
      <c r="P203" s="993"/>
      <c r="Q203" s="993"/>
      <c r="R203" s="993"/>
      <c r="S203" s="993"/>
      <c r="T203" s="993"/>
      <c r="U203" s="993"/>
      <c r="V203" s="993"/>
      <c r="W203" s="993"/>
      <c r="X203" s="993"/>
    </row>
    <row r="204" spans="1:24" x14ac:dyDescent="0.3">
      <c r="A204" s="1594"/>
      <c r="B204" s="993"/>
      <c r="C204" s="993"/>
      <c r="D204" s="993"/>
      <c r="E204" s="2412"/>
      <c r="F204" s="2412"/>
      <c r="G204" s="993"/>
      <c r="H204" s="993"/>
      <c r="I204" s="993"/>
      <c r="J204" s="993"/>
      <c r="K204" s="993"/>
      <c r="L204" s="993"/>
      <c r="M204" s="993"/>
      <c r="N204" s="993"/>
      <c r="O204" s="993"/>
      <c r="P204" s="993"/>
      <c r="Q204" s="993"/>
      <c r="R204" s="993"/>
      <c r="S204" s="993"/>
      <c r="T204" s="993"/>
      <c r="U204" s="993"/>
      <c r="V204" s="993"/>
      <c r="W204" s="993"/>
      <c r="X204" s="993"/>
    </row>
    <row r="205" spans="1:24" x14ac:dyDescent="0.3">
      <c r="A205" s="1594"/>
      <c r="B205" s="993"/>
      <c r="C205" s="993"/>
      <c r="D205" s="993"/>
      <c r="E205" s="2412"/>
      <c r="F205" s="2412"/>
      <c r="G205" s="993"/>
      <c r="H205" s="993"/>
      <c r="I205" s="993"/>
      <c r="J205" s="993"/>
      <c r="K205" s="993"/>
      <c r="L205" s="993"/>
      <c r="M205" s="993"/>
      <c r="N205" s="993"/>
      <c r="O205" s="993"/>
      <c r="P205" s="993"/>
      <c r="Q205" s="993"/>
      <c r="R205" s="993"/>
      <c r="S205" s="993"/>
      <c r="T205" s="993"/>
      <c r="U205" s="993"/>
      <c r="V205" s="993"/>
      <c r="W205" s="993"/>
      <c r="X205" s="993"/>
    </row>
    <row r="206" spans="1:24" x14ac:dyDescent="0.3">
      <c r="A206" s="1594"/>
      <c r="B206" s="993"/>
      <c r="C206" s="993"/>
      <c r="D206" s="993"/>
      <c r="E206" s="2412"/>
      <c r="F206" s="2412"/>
      <c r="G206" s="993"/>
      <c r="H206" s="993"/>
      <c r="I206" s="993"/>
      <c r="J206" s="993"/>
      <c r="K206" s="993"/>
      <c r="L206" s="993"/>
      <c r="M206" s="993"/>
      <c r="N206" s="993"/>
      <c r="O206" s="993"/>
      <c r="P206" s="993"/>
      <c r="Q206" s="993"/>
      <c r="R206" s="993"/>
      <c r="S206" s="993"/>
      <c r="T206" s="993"/>
      <c r="U206" s="993"/>
      <c r="V206" s="993"/>
      <c r="W206" s="993"/>
      <c r="X206" s="993"/>
    </row>
    <row r="207" spans="1:24" x14ac:dyDescent="0.3">
      <c r="A207" s="1594"/>
      <c r="B207" s="993"/>
      <c r="C207" s="993"/>
      <c r="D207" s="993"/>
      <c r="E207" s="2412"/>
      <c r="F207" s="2412"/>
      <c r="G207" s="993"/>
      <c r="H207" s="993"/>
      <c r="I207" s="993"/>
      <c r="J207" s="993"/>
      <c r="K207" s="993"/>
      <c r="L207" s="993"/>
      <c r="M207" s="993"/>
      <c r="N207" s="993"/>
      <c r="O207" s="993"/>
      <c r="P207" s="993"/>
      <c r="Q207" s="993"/>
      <c r="R207" s="993"/>
      <c r="S207" s="993"/>
      <c r="T207" s="993"/>
      <c r="U207" s="993"/>
      <c r="V207" s="993"/>
      <c r="W207" s="993"/>
      <c r="X207" s="993"/>
    </row>
    <row r="208" spans="1:24" x14ac:dyDescent="0.3">
      <c r="A208" s="1594"/>
      <c r="B208" s="993"/>
      <c r="C208" s="993"/>
      <c r="D208" s="993"/>
      <c r="E208" s="2412"/>
      <c r="F208" s="2412"/>
      <c r="G208" s="993"/>
      <c r="H208" s="993"/>
      <c r="I208" s="993"/>
      <c r="J208" s="993"/>
      <c r="K208" s="993"/>
      <c r="L208" s="993"/>
      <c r="M208" s="993"/>
      <c r="N208" s="993"/>
      <c r="O208" s="993"/>
      <c r="P208" s="993"/>
      <c r="Q208" s="993"/>
      <c r="R208" s="993"/>
      <c r="S208" s="993"/>
      <c r="T208" s="993"/>
      <c r="U208" s="993"/>
      <c r="V208" s="993"/>
      <c r="W208" s="993"/>
      <c r="X208" s="993"/>
    </row>
    <row r="209" spans="1:24" x14ac:dyDescent="0.3">
      <c r="A209" s="1594"/>
      <c r="B209" s="993"/>
      <c r="C209" s="993"/>
      <c r="D209" s="993"/>
      <c r="E209" s="2412"/>
      <c r="F209" s="2412"/>
      <c r="G209" s="993"/>
      <c r="H209" s="993"/>
      <c r="I209" s="993"/>
      <c r="J209" s="993"/>
      <c r="K209" s="993"/>
      <c r="L209" s="993"/>
      <c r="M209" s="993"/>
      <c r="N209" s="993"/>
      <c r="O209" s="993"/>
      <c r="P209" s="993"/>
      <c r="Q209" s="993"/>
      <c r="R209" s="993"/>
      <c r="S209" s="993"/>
      <c r="T209" s="993"/>
      <c r="U209" s="993"/>
      <c r="V209" s="993"/>
      <c r="W209" s="993"/>
      <c r="X209" s="993"/>
    </row>
    <row r="210" spans="1:24" x14ac:dyDescent="0.3">
      <c r="A210" s="1594"/>
      <c r="B210" s="993"/>
      <c r="C210" s="993"/>
      <c r="D210" s="993"/>
      <c r="E210" s="2412"/>
      <c r="F210" s="2412"/>
      <c r="G210" s="993"/>
      <c r="H210" s="993"/>
      <c r="I210" s="993"/>
      <c r="J210" s="993"/>
      <c r="K210" s="993"/>
      <c r="L210" s="993"/>
      <c r="M210" s="993"/>
      <c r="N210" s="993"/>
      <c r="O210" s="993"/>
      <c r="P210" s="993"/>
      <c r="Q210" s="993"/>
      <c r="R210" s="993"/>
      <c r="S210" s="993"/>
      <c r="T210" s="993"/>
      <c r="U210" s="993"/>
      <c r="V210" s="993"/>
      <c r="W210" s="993"/>
      <c r="X210" s="993"/>
    </row>
    <row r="211" spans="1:24" x14ac:dyDescent="0.3">
      <c r="A211" s="1594"/>
      <c r="B211" s="993"/>
      <c r="C211" s="993"/>
      <c r="D211" s="993"/>
      <c r="E211" s="2412"/>
      <c r="F211" s="2412"/>
      <c r="G211" s="993"/>
      <c r="H211" s="993"/>
      <c r="I211" s="993"/>
      <c r="J211" s="993"/>
      <c r="K211" s="993"/>
      <c r="L211" s="993"/>
      <c r="M211" s="993"/>
      <c r="N211" s="993"/>
      <c r="O211" s="993"/>
      <c r="P211" s="993"/>
      <c r="Q211" s="993"/>
      <c r="R211" s="993"/>
      <c r="S211" s="993"/>
      <c r="T211" s="993"/>
      <c r="U211" s="993"/>
      <c r="V211" s="993"/>
      <c r="W211" s="993"/>
      <c r="X211" s="993"/>
    </row>
    <row r="212" spans="1:24" x14ac:dyDescent="0.3">
      <c r="A212" s="1594"/>
      <c r="B212" s="993"/>
      <c r="C212" s="993"/>
      <c r="D212" s="993"/>
      <c r="E212" s="2412"/>
      <c r="F212" s="2412"/>
      <c r="G212" s="993"/>
      <c r="H212" s="993"/>
      <c r="I212" s="993"/>
      <c r="J212" s="993"/>
      <c r="K212" s="993"/>
      <c r="L212" s="993"/>
      <c r="M212" s="993"/>
      <c r="N212" s="993"/>
      <c r="O212" s="993"/>
      <c r="P212" s="993"/>
      <c r="Q212" s="993"/>
      <c r="R212" s="993"/>
      <c r="S212" s="993"/>
      <c r="T212" s="993"/>
      <c r="U212" s="993"/>
      <c r="V212" s="993"/>
      <c r="W212" s="993"/>
      <c r="X212" s="993"/>
    </row>
    <row r="213" spans="1:24" x14ac:dyDescent="0.3">
      <c r="A213" s="1594"/>
      <c r="B213" s="993"/>
      <c r="C213" s="993"/>
      <c r="D213" s="993"/>
      <c r="E213" s="2412"/>
      <c r="F213" s="2412"/>
      <c r="G213" s="993"/>
      <c r="H213" s="993"/>
      <c r="I213" s="993"/>
      <c r="J213" s="993"/>
      <c r="K213" s="993"/>
      <c r="L213" s="993"/>
      <c r="M213" s="993"/>
      <c r="N213" s="993"/>
      <c r="O213" s="993"/>
      <c r="P213" s="993"/>
      <c r="Q213" s="993"/>
      <c r="R213" s="993"/>
      <c r="S213" s="993"/>
      <c r="T213" s="993"/>
      <c r="U213" s="993"/>
      <c r="V213" s="993"/>
      <c r="W213" s="993"/>
      <c r="X213" s="993"/>
    </row>
    <row r="214" spans="1:24" x14ac:dyDescent="0.3">
      <c r="A214" s="1594"/>
      <c r="B214" s="993"/>
      <c r="C214" s="993"/>
      <c r="D214" s="993"/>
      <c r="E214" s="2412"/>
      <c r="F214" s="2412"/>
      <c r="G214" s="993"/>
      <c r="H214" s="993"/>
      <c r="I214" s="993"/>
      <c r="J214" s="993"/>
      <c r="K214" s="993"/>
      <c r="L214" s="993"/>
      <c r="M214" s="993"/>
      <c r="N214" s="993"/>
      <c r="O214" s="993"/>
      <c r="P214" s="993"/>
      <c r="Q214" s="993"/>
      <c r="R214" s="993"/>
      <c r="S214" s="993"/>
      <c r="T214" s="993"/>
      <c r="U214" s="993"/>
      <c r="V214" s="993"/>
      <c r="W214" s="993"/>
      <c r="X214" s="993"/>
    </row>
    <row r="215" spans="1:24" x14ac:dyDescent="0.3">
      <c r="A215" s="1594"/>
      <c r="B215" s="993"/>
      <c r="C215" s="993"/>
      <c r="D215" s="993"/>
      <c r="E215" s="2412"/>
      <c r="F215" s="2412"/>
      <c r="G215" s="993"/>
      <c r="H215" s="993"/>
      <c r="I215" s="993"/>
      <c r="J215" s="993"/>
      <c r="K215" s="993"/>
      <c r="L215" s="993"/>
      <c r="M215" s="993"/>
      <c r="N215" s="993"/>
      <c r="O215" s="993"/>
      <c r="P215" s="993"/>
      <c r="Q215" s="993"/>
      <c r="R215" s="993"/>
      <c r="S215" s="993"/>
      <c r="T215" s="993"/>
      <c r="U215" s="993"/>
      <c r="V215" s="993"/>
      <c r="W215" s="993"/>
      <c r="X215" s="993"/>
    </row>
    <row r="216" spans="1:24" x14ac:dyDescent="0.3">
      <c r="A216" s="1594"/>
      <c r="B216" s="993"/>
      <c r="C216" s="993"/>
      <c r="D216" s="993"/>
      <c r="E216" s="2412"/>
      <c r="F216" s="2412"/>
      <c r="G216" s="993"/>
      <c r="H216" s="993"/>
      <c r="I216" s="993"/>
      <c r="J216" s="993"/>
      <c r="K216" s="993"/>
      <c r="L216" s="993"/>
      <c r="M216" s="993"/>
      <c r="N216" s="993"/>
      <c r="O216" s="993"/>
      <c r="P216" s="993"/>
      <c r="Q216" s="993"/>
      <c r="R216" s="993"/>
      <c r="S216" s="993"/>
      <c r="T216" s="993"/>
      <c r="U216" s="993"/>
      <c r="V216" s="993"/>
      <c r="W216" s="993"/>
      <c r="X216" s="993"/>
    </row>
    <row r="217" spans="1:24" x14ac:dyDescent="0.3">
      <c r="A217" s="1594"/>
      <c r="B217" s="993"/>
      <c r="C217" s="993"/>
      <c r="D217" s="993"/>
      <c r="E217" s="2412"/>
      <c r="F217" s="2412"/>
      <c r="G217" s="993"/>
      <c r="H217" s="993"/>
      <c r="I217" s="993"/>
      <c r="J217" s="993"/>
      <c r="K217" s="993"/>
      <c r="L217" s="993"/>
      <c r="M217" s="993"/>
      <c r="N217" s="993"/>
      <c r="O217" s="993"/>
      <c r="P217" s="993"/>
      <c r="Q217" s="993"/>
      <c r="R217" s="993"/>
      <c r="S217" s="993"/>
      <c r="T217" s="993"/>
      <c r="U217" s="993"/>
      <c r="V217" s="993"/>
      <c r="W217" s="993"/>
      <c r="X217" s="993"/>
    </row>
    <row r="218" spans="1:24" x14ac:dyDescent="0.3">
      <c r="A218" s="1594"/>
      <c r="B218" s="993"/>
      <c r="C218" s="993"/>
      <c r="D218" s="993"/>
      <c r="E218" s="2412"/>
      <c r="F218" s="2412"/>
      <c r="G218" s="993"/>
      <c r="H218" s="993"/>
      <c r="I218" s="993"/>
      <c r="J218" s="993"/>
      <c r="K218" s="993"/>
      <c r="L218" s="993"/>
      <c r="M218" s="993"/>
      <c r="N218" s="993"/>
      <c r="O218" s="993"/>
      <c r="P218" s="993"/>
      <c r="Q218" s="993"/>
      <c r="R218" s="993"/>
      <c r="S218" s="993"/>
      <c r="T218" s="993"/>
      <c r="U218" s="993"/>
      <c r="V218" s="993"/>
      <c r="W218" s="993"/>
      <c r="X218" s="993"/>
    </row>
    <row r="219" spans="1:24" x14ac:dyDescent="0.3">
      <c r="A219" s="1594"/>
      <c r="B219" s="993"/>
      <c r="C219" s="993"/>
      <c r="D219" s="993"/>
      <c r="E219" s="2412"/>
      <c r="F219" s="2412"/>
      <c r="G219" s="993"/>
      <c r="H219" s="993"/>
      <c r="I219" s="993"/>
      <c r="J219" s="993"/>
      <c r="K219" s="993"/>
      <c r="L219" s="993"/>
      <c r="M219" s="993"/>
      <c r="N219" s="993"/>
      <c r="O219" s="993"/>
      <c r="P219" s="993"/>
      <c r="Q219" s="993"/>
      <c r="R219" s="993"/>
      <c r="S219" s="993"/>
      <c r="T219" s="993"/>
      <c r="U219" s="993"/>
      <c r="V219" s="993"/>
      <c r="W219" s="993"/>
      <c r="X219" s="993"/>
    </row>
    <row r="220" spans="1:24" x14ac:dyDescent="0.3">
      <c r="A220" s="1594"/>
      <c r="B220" s="993"/>
      <c r="C220" s="993"/>
      <c r="D220" s="993"/>
      <c r="E220" s="2412"/>
      <c r="F220" s="2412"/>
      <c r="G220" s="993"/>
      <c r="H220" s="993"/>
      <c r="I220" s="993"/>
      <c r="J220" s="993"/>
      <c r="K220" s="993"/>
      <c r="L220" s="993"/>
      <c r="M220" s="993"/>
      <c r="N220" s="993"/>
      <c r="O220" s="993"/>
      <c r="P220" s="993"/>
      <c r="Q220" s="993"/>
      <c r="R220" s="993"/>
      <c r="S220" s="993"/>
      <c r="T220" s="993"/>
      <c r="U220" s="993"/>
      <c r="V220" s="993"/>
      <c r="W220" s="993"/>
      <c r="X220" s="993"/>
    </row>
    <row r="221" spans="1:24" x14ac:dyDescent="0.3">
      <c r="A221" s="1594"/>
      <c r="B221" s="993"/>
      <c r="C221" s="993"/>
      <c r="D221" s="993"/>
      <c r="E221" s="2412"/>
      <c r="F221" s="2412"/>
      <c r="G221" s="993"/>
      <c r="H221" s="993"/>
      <c r="I221" s="993"/>
      <c r="J221" s="993"/>
      <c r="K221" s="993"/>
      <c r="L221" s="993"/>
      <c r="M221" s="993"/>
      <c r="N221" s="993"/>
      <c r="O221" s="993"/>
      <c r="P221" s="993"/>
      <c r="Q221" s="993"/>
      <c r="R221" s="993"/>
      <c r="S221" s="993"/>
      <c r="T221" s="993"/>
      <c r="U221" s="993"/>
      <c r="V221" s="993"/>
      <c r="W221" s="993"/>
      <c r="X221" s="993"/>
    </row>
    <row r="222" spans="1:24" x14ac:dyDescent="0.3">
      <c r="A222" s="1594"/>
      <c r="B222" s="993"/>
      <c r="C222" s="993"/>
      <c r="D222" s="993"/>
      <c r="E222" s="2412"/>
      <c r="F222" s="2412"/>
      <c r="G222" s="993"/>
      <c r="H222" s="993"/>
      <c r="I222" s="993"/>
      <c r="J222" s="993"/>
      <c r="K222" s="993"/>
      <c r="L222" s="993"/>
      <c r="M222" s="993"/>
      <c r="N222" s="993"/>
      <c r="O222" s="993"/>
      <c r="P222" s="993"/>
      <c r="Q222" s="993"/>
      <c r="R222" s="993"/>
      <c r="S222" s="993"/>
      <c r="T222" s="993"/>
      <c r="U222" s="993"/>
      <c r="V222" s="993"/>
      <c r="W222" s="993"/>
      <c r="X222" s="993"/>
    </row>
    <row r="223" spans="1:24" x14ac:dyDescent="0.3">
      <c r="A223" s="1594"/>
      <c r="B223" s="993"/>
      <c r="C223" s="993"/>
      <c r="D223" s="993"/>
      <c r="E223" s="2412"/>
      <c r="F223" s="2412"/>
      <c r="G223" s="993"/>
      <c r="H223" s="993"/>
      <c r="I223" s="993"/>
      <c r="J223" s="993"/>
      <c r="K223" s="993"/>
      <c r="L223" s="993"/>
      <c r="M223" s="993"/>
      <c r="N223" s="993"/>
      <c r="O223" s="993"/>
      <c r="P223" s="993"/>
      <c r="Q223" s="993"/>
      <c r="R223" s="993"/>
      <c r="S223" s="993"/>
      <c r="T223" s="993"/>
      <c r="U223" s="993"/>
      <c r="V223" s="993"/>
      <c r="W223" s="993"/>
      <c r="X223" s="993"/>
    </row>
    <row r="224" spans="1:24" x14ac:dyDescent="0.3">
      <c r="A224" s="1594"/>
      <c r="B224" s="993"/>
      <c r="C224" s="993"/>
      <c r="D224" s="993"/>
      <c r="E224" s="2412"/>
      <c r="F224" s="2412"/>
      <c r="G224" s="993"/>
      <c r="H224" s="993"/>
      <c r="I224" s="993"/>
      <c r="J224" s="993"/>
      <c r="K224" s="993"/>
      <c r="L224" s="993"/>
      <c r="M224" s="993"/>
      <c r="N224" s="993"/>
      <c r="O224" s="993"/>
      <c r="P224" s="993"/>
      <c r="Q224" s="993"/>
      <c r="R224" s="993"/>
      <c r="S224" s="993"/>
      <c r="T224" s="993"/>
      <c r="U224" s="993"/>
      <c r="V224" s="993"/>
      <c r="W224" s="993"/>
      <c r="X224" s="993"/>
    </row>
    <row r="225" spans="1:24" x14ac:dyDescent="0.3">
      <c r="A225" s="1594"/>
      <c r="B225" s="993"/>
      <c r="C225" s="993"/>
      <c r="D225" s="993"/>
      <c r="E225" s="2412"/>
      <c r="F225" s="2412"/>
      <c r="G225" s="993"/>
      <c r="H225" s="993"/>
      <c r="I225" s="993"/>
      <c r="J225" s="993"/>
      <c r="K225" s="993"/>
      <c r="L225" s="993"/>
      <c r="M225" s="993"/>
      <c r="N225" s="993"/>
      <c r="O225" s="993"/>
      <c r="P225" s="993"/>
      <c r="Q225" s="993"/>
      <c r="R225" s="993"/>
      <c r="S225" s="993"/>
      <c r="T225" s="993"/>
      <c r="U225" s="993"/>
      <c r="V225" s="993"/>
      <c r="W225" s="993"/>
      <c r="X225" s="993"/>
    </row>
    <row r="226" spans="1:24" x14ac:dyDescent="0.3">
      <c r="A226" s="1594"/>
      <c r="B226" s="993"/>
      <c r="C226" s="993"/>
      <c r="D226" s="993"/>
      <c r="E226" s="2412"/>
      <c r="F226" s="2412"/>
      <c r="G226" s="993"/>
      <c r="H226" s="993"/>
      <c r="I226" s="993"/>
      <c r="J226" s="993"/>
      <c r="K226" s="993"/>
      <c r="L226" s="993"/>
      <c r="M226" s="993"/>
      <c r="N226" s="993"/>
      <c r="O226" s="993"/>
      <c r="P226" s="993"/>
      <c r="Q226" s="993"/>
      <c r="R226" s="993"/>
      <c r="S226" s="993"/>
      <c r="T226" s="993"/>
      <c r="U226" s="993"/>
      <c r="V226" s="993"/>
      <c r="W226" s="993"/>
      <c r="X226" s="993"/>
    </row>
    <row r="227" spans="1:24" x14ac:dyDescent="0.3">
      <c r="A227" s="1594"/>
      <c r="B227" s="993"/>
      <c r="C227" s="993"/>
      <c r="D227" s="993"/>
      <c r="E227" s="2412"/>
      <c r="F227" s="2412"/>
      <c r="G227" s="993"/>
      <c r="H227" s="993"/>
      <c r="I227" s="993"/>
      <c r="J227" s="993"/>
      <c r="K227" s="993"/>
      <c r="L227" s="993"/>
      <c r="M227" s="993"/>
      <c r="N227" s="993"/>
      <c r="O227" s="993"/>
      <c r="P227" s="993"/>
      <c r="Q227" s="993"/>
      <c r="R227" s="993"/>
      <c r="S227" s="993"/>
      <c r="T227" s="993"/>
      <c r="U227" s="993"/>
      <c r="V227" s="993"/>
      <c r="W227" s="993"/>
      <c r="X227" s="993"/>
    </row>
    <row r="228" spans="1:24" x14ac:dyDescent="0.3">
      <c r="A228" s="1594"/>
      <c r="B228" s="993"/>
      <c r="C228" s="993"/>
      <c r="D228" s="993"/>
      <c r="E228" s="2412"/>
      <c r="F228" s="2412"/>
      <c r="G228" s="993"/>
      <c r="H228" s="993"/>
      <c r="I228" s="993"/>
      <c r="J228" s="993"/>
      <c r="K228" s="993"/>
      <c r="L228" s="993"/>
      <c r="M228" s="993"/>
      <c r="N228" s="993"/>
      <c r="O228" s="993"/>
      <c r="P228" s="993"/>
      <c r="Q228" s="993"/>
      <c r="R228" s="993"/>
      <c r="S228" s="993"/>
      <c r="T228" s="993"/>
      <c r="U228" s="993"/>
      <c r="V228" s="993"/>
      <c r="W228" s="993"/>
      <c r="X228" s="993"/>
    </row>
    <row r="229" spans="1:24" x14ac:dyDescent="0.3">
      <c r="A229" s="1594"/>
      <c r="B229" s="993"/>
      <c r="C229" s="993"/>
      <c r="D229" s="993"/>
      <c r="E229" s="2412"/>
      <c r="F229" s="2412"/>
      <c r="G229" s="993"/>
      <c r="H229" s="993"/>
      <c r="I229" s="993"/>
      <c r="J229" s="993"/>
      <c r="K229" s="993"/>
      <c r="L229" s="993"/>
      <c r="M229" s="993"/>
      <c r="N229" s="993"/>
      <c r="O229" s="993"/>
      <c r="P229" s="993"/>
      <c r="Q229" s="993"/>
      <c r="R229" s="993"/>
      <c r="S229" s="993"/>
      <c r="T229" s="993"/>
      <c r="U229" s="993"/>
      <c r="V229" s="993"/>
      <c r="W229" s="993"/>
      <c r="X229" s="993"/>
    </row>
    <row r="230" spans="1:24" x14ac:dyDescent="0.3">
      <c r="A230" s="1594"/>
      <c r="B230" s="993"/>
      <c r="C230" s="993"/>
      <c r="D230" s="993"/>
      <c r="E230" s="2412"/>
      <c r="F230" s="2412"/>
      <c r="G230" s="993"/>
      <c r="H230" s="993"/>
      <c r="I230" s="993"/>
      <c r="J230" s="993"/>
      <c r="K230" s="993"/>
      <c r="L230" s="993"/>
      <c r="M230" s="993"/>
      <c r="N230" s="993"/>
      <c r="O230" s="993"/>
      <c r="P230" s="993"/>
      <c r="Q230" s="993"/>
      <c r="R230" s="993"/>
      <c r="S230" s="993"/>
      <c r="T230" s="993"/>
      <c r="U230" s="993"/>
      <c r="V230" s="993"/>
      <c r="W230" s="993"/>
      <c r="X230" s="993"/>
    </row>
    <row r="231" spans="1:24" x14ac:dyDescent="0.3">
      <c r="A231" s="1594"/>
      <c r="B231" s="993"/>
      <c r="C231" s="993"/>
      <c r="D231" s="993"/>
      <c r="E231" s="2412"/>
      <c r="F231" s="2412"/>
      <c r="G231" s="993"/>
      <c r="H231" s="993"/>
      <c r="I231" s="993"/>
      <c r="J231" s="993"/>
      <c r="K231" s="993"/>
      <c r="L231" s="993"/>
      <c r="M231" s="993"/>
      <c r="N231" s="993"/>
      <c r="O231" s="993"/>
      <c r="P231" s="993"/>
      <c r="Q231" s="993"/>
      <c r="R231" s="993"/>
      <c r="S231" s="993"/>
      <c r="T231" s="993"/>
      <c r="U231" s="993"/>
      <c r="V231" s="993"/>
      <c r="W231" s="993"/>
      <c r="X231" s="993"/>
    </row>
    <row r="232" spans="1:24" x14ac:dyDescent="0.3">
      <c r="A232" s="1594"/>
      <c r="B232" s="993"/>
      <c r="C232" s="993"/>
      <c r="D232" s="993"/>
      <c r="E232" s="2412"/>
      <c r="F232" s="2412"/>
      <c r="G232" s="993"/>
      <c r="H232" s="993"/>
      <c r="I232" s="993"/>
      <c r="J232" s="993"/>
      <c r="K232" s="993"/>
      <c r="L232" s="993"/>
      <c r="M232" s="993"/>
      <c r="N232" s="993"/>
      <c r="O232" s="993"/>
      <c r="P232" s="993"/>
      <c r="Q232" s="993"/>
      <c r="R232" s="993"/>
      <c r="S232" s="993"/>
      <c r="T232" s="993"/>
      <c r="U232" s="993"/>
      <c r="V232" s="993"/>
      <c r="W232" s="993"/>
      <c r="X232" s="993"/>
    </row>
    <row r="233" spans="1:24" x14ac:dyDescent="0.3">
      <c r="A233" s="1594"/>
      <c r="B233" s="993"/>
      <c r="C233" s="993"/>
      <c r="D233" s="993"/>
      <c r="E233" s="2412"/>
      <c r="F233" s="2412"/>
      <c r="G233" s="993"/>
      <c r="H233" s="993"/>
      <c r="I233" s="993"/>
      <c r="J233" s="993"/>
      <c r="K233" s="993"/>
      <c r="L233" s="993"/>
      <c r="M233" s="993"/>
      <c r="N233" s="993"/>
      <c r="O233" s="993"/>
      <c r="P233" s="993"/>
      <c r="Q233" s="993"/>
      <c r="R233" s="993"/>
      <c r="S233" s="993"/>
      <c r="T233" s="993"/>
      <c r="U233" s="993"/>
      <c r="V233" s="993"/>
      <c r="W233" s="993"/>
      <c r="X233" s="993"/>
    </row>
    <row r="234" spans="1:24" x14ac:dyDescent="0.3">
      <c r="A234" s="1594"/>
      <c r="B234" s="993"/>
      <c r="C234" s="993"/>
      <c r="D234" s="993"/>
      <c r="E234" s="2412"/>
      <c r="F234" s="2412"/>
      <c r="G234" s="993"/>
      <c r="H234" s="993"/>
      <c r="I234" s="993"/>
      <c r="J234" s="993"/>
      <c r="K234" s="993"/>
      <c r="L234" s="993"/>
      <c r="M234" s="993"/>
      <c r="N234" s="993"/>
      <c r="O234" s="993"/>
      <c r="P234" s="993"/>
      <c r="Q234" s="993"/>
      <c r="R234" s="993"/>
      <c r="S234" s="993"/>
      <c r="T234" s="993"/>
      <c r="U234" s="993"/>
      <c r="V234" s="993"/>
      <c r="W234" s="993"/>
      <c r="X234" s="993"/>
    </row>
    <row r="235" spans="1:24" x14ac:dyDescent="0.3">
      <c r="A235" s="1594"/>
      <c r="B235" s="993"/>
      <c r="C235" s="993"/>
      <c r="D235" s="993"/>
      <c r="E235" s="2412"/>
      <c r="F235" s="2412"/>
      <c r="G235" s="993"/>
      <c r="H235" s="993"/>
      <c r="I235" s="993"/>
      <c r="J235" s="993"/>
      <c r="K235" s="993"/>
      <c r="L235" s="993"/>
      <c r="M235" s="993"/>
      <c r="N235" s="993"/>
      <c r="O235" s="993"/>
      <c r="P235" s="993"/>
      <c r="Q235" s="993"/>
      <c r="R235" s="993"/>
      <c r="S235" s="993"/>
      <c r="T235" s="993"/>
      <c r="U235" s="993"/>
      <c r="V235" s="993"/>
      <c r="W235" s="993"/>
      <c r="X235" s="993"/>
    </row>
    <row r="236" spans="1:24" x14ac:dyDescent="0.3">
      <c r="A236" s="1594"/>
      <c r="B236" s="993"/>
      <c r="C236" s="993"/>
      <c r="D236" s="993"/>
      <c r="E236" s="2412"/>
      <c r="F236" s="2412"/>
      <c r="G236" s="993"/>
      <c r="H236" s="993"/>
      <c r="I236" s="993"/>
      <c r="J236" s="993"/>
      <c r="K236" s="993"/>
      <c r="L236" s="993"/>
      <c r="M236" s="993"/>
      <c r="N236" s="993"/>
      <c r="O236" s="993"/>
      <c r="P236" s="993"/>
      <c r="Q236" s="993"/>
      <c r="R236" s="993"/>
      <c r="S236" s="993"/>
      <c r="T236" s="993"/>
      <c r="U236" s="993"/>
      <c r="V236" s="993"/>
      <c r="W236" s="993"/>
      <c r="X236" s="993"/>
    </row>
    <row r="237" spans="1:24" x14ac:dyDescent="0.3">
      <c r="A237" s="1594"/>
      <c r="B237" s="993"/>
      <c r="C237" s="993"/>
      <c r="D237" s="993"/>
      <c r="E237" s="2412"/>
      <c r="F237" s="2412"/>
      <c r="G237" s="993"/>
      <c r="H237" s="993"/>
      <c r="I237" s="993"/>
      <c r="J237" s="993"/>
      <c r="K237" s="993"/>
      <c r="L237" s="993"/>
      <c r="M237" s="993"/>
      <c r="N237" s="993"/>
      <c r="O237" s="993"/>
      <c r="P237" s="993"/>
      <c r="Q237" s="993"/>
      <c r="R237" s="993"/>
      <c r="S237" s="993"/>
      <c r="T237" s="993"/>
      <c r="U237" s="993"/>
      <c r="V237" s="993"/>
      <c r="W237" s="993"/>
      <c r="X237" s="993"/>
    </row>
    <row r="238" spans="1:24" x14ac:dyDescent="0.3">
      <c r="A238" s="1594"/>
      <c r="B238" s="993"/>
      <c r="C238" s="993"/>
      <c r="D238" s="993"/>
      <c r="E238" s="2412"/>
      <c r="F238" s="2412"/>
      <c r="G238" s="993"/>
      <c r="H238" s="993"/>
      <c r="I238" s="993"/>
      <c r="J238" s="993"/>
      <c r="K238" s="993"/>
      <c r="L238" s="993"/>
      <c r="M238" s="993"/>
      <c r="N238" s="993"/>
      <c r="O238" s="993"/>
      <c r="P238" s="993"/>
      <c r="Q238" s="993"/>
      <c r="R238" s="993"/>
      <c r="S238" s="993"/>
      <c r="T238" s="993"/>
      <c r="U238" s="993"/>
      <c r="V238" s="993"/>
      <c r="W238" s="993"/>
      <c r="X238" s="993"/>
    </row>
    <row r="239" spans="1:24" x14ac:dyDescent="0.3">
      <c r="A239" s="1594"/>
      <c r="B239" s="993"/>
      <c r="C239" s="993"/>
      <c r="D239" s="993"/>
      <c r="E239" s="2412"/>
      <c r="F239" s="2412"/>
      <c r="G239" s="993"/>
      <c r="H239" s="993"/>
      <c r="I239" s="993"/>
      <c r="J239" s="993"/>
      <c r="K239" s="993"/>
      <c r="L239" s="993"/>
      <c r="M239" s="993"/>
      <c r="N239" s="993"/>
      <c r="O239" s="993"/>
      <c r="P239" s="993"/>
      <c r="Q239" s="993"/>
      <c r="R239" s="993"/>
      <c r="S239" s="993"/>
      <c r="T239" s="993"/>
      <c r="U239" s="993"/>
      <c r="V239" s="993"/>
      <c r="W239" s="993"/>
      <c r="X239" s="993"/>
    </row>
    <row r="240" spans="1:24" x14ac:dyDescent="0.3">
      <c r="A240" s="1594"/>
      <c r="B240" s="993"/>
      <c r="C240" s="993"/>
      <c r="D240" s="993"/>
      <c r="E240" s="2412"/>
      <c r="F240" s="2412"/>
      <c r="G240" s="993"/>
      <c r="H240" s="993"/>
      <c r="I240" s="993"/>
      <c r="J240" s="993"/>
      <c r="K240" s="993"/>
      <c r="L240" s="993"/>
      <c r="M240" s="993"/>
      <c r="N240" s="993"/>
      <c r="O240" s="993"/>
      <c r="P240" s="993"/>
      <c r="Q240" s="993"/>
      <c r="R240" s="993"/>
      <c r="S240" s="993"/>
      <c r="T240" s="993"/>
      <c r="U240" s="993"/>
      <c r="V240" s="993"/>
      <c r="W240" s="993"/>
      <c r="X240" s="993"/>
    </row>
    <row r="241" spans="1:24" x14ac:dyDescent="0.3">
      <c r="A241" s="1594"/>
      <c r="B241" s="993"/>
      <c r="C241" s="993"/>
      <c r="D241" s="993"/>
      <c r="E241" s="2412"/>
      <c r="F241" s="2412"/>
      <c r="G241" s="993"/>
      <c r="H241" s="993"/>
      <c r="I241" s="993"/>
      <c r="J241" s="993"/>
      <c r="K241" s="993"/>
      <c r="L241" s="993"/>
      <c r="M241" s="993"/>
      <c r="N241" s="993"/>
      <c r="O241" s="993"/>
      <c r="P241" s="993"/>
      <c r="Q241" s="993"/>
      <c r="R241" s="993"/>
      <c r="S241" s="993"/>
      <c r="T241" s="993"/>
      <c r="U241" s="993"/>
      <c r="V241" s="993"/>
      <c r="W241" s="993"/>
      <c r="X241" s="993"/>
    </row>
    <row r="242" spans="1:24" x14ac:dyDescent="0.3">
      <c r="A242" s="1594"/>
      <c r="B242" s="993"/>
      <c r="C242" s="993"/>
      <c r="D242" s="993"/>
      <c r="E242" s="2412"/>
      <c r="F242" s="2412"/>
      <c r="G242" s="993"/>
      <c r="H242" s="993"/>
      <c r="I242" s="993"/>
      <c r="J242" s="993"/>
      <c r="K242" s="993"/>
      <c r="L242" s="993"/>
      <c r="M242" s="993"/>
      <c r="N242" s="993"/>
      <c r="O242" s="993"/>
      <c r="P242" s="993"/>
      <c r="Q242" s="993"/>
      <c r="R242" s="993"/>
      <c r="S242" s="993"/>
      <c r="T242" s="993"/>
      <c r="U242" s="993"/>
      <c r="V242" s="993"/>
      <c r="W242" s="993"/>
      <c r="X242" s="993"/>
    </row>
    <row r="243" spans="1:24" x14ac:dyDescent="0.3">
      <c r="A243" s="1594"/>
      <c r="B243" s="993"/>
      <c r="C243" s="993"/>
      <c r="D243" s="993"/>
      <c r="E243" s="2412"/>
      <c r="F243" s="2412"/>
      <c r="G243" s="993"/>
      <c r="H243" s="993"/>
      <c r="I243" s="993"/>
      <c r="J243" s="993"/>
      <c r="K243" s="993"/>
      <c r="L243" s="993"/>
      <c r="M243" s="993"/>
      <c r="N243" s="993"/>
      <c r="O243" s="993"/>
      <c r="P243" s="993"/>
      <c r="Q243" s="993"/>
      <c r="R243" s="993"/>
      <c r="S243" s="993"/>
      <c r="T243" s="993"/>
      <c r="U243" s="993"/>
      <c r="V243" s="993"/>
      <c r="W243" s="993"/>
      <c r="X243" s="993"/>
    </row>
    <row r="244" spans="1:24" x14ac:dyDescent="0.3">
      <c r="A244" s="1594"/>
      <c r="B244" s="993"/>
      <c r="C244" s="993"/>
      <c r="D244" s="993"/>
      <c r="E244" s="2412"/>
      <c r="F244" s="2412"/>
      <c r="G244" s="993"/>
      <c r="H244" s="993"/>
      <c r="I244" s="993"/>
      <c r="J244" s="993"/>
      <c r="K244" s="993"/>
      <c r="L244" s="993"/>
      <c r="M244" s="993"/>
      <c r="N244" s="993"/>
      <c r="O244" s="993"/>
      <c r="P244" s="993"/>
      <c r="Q244" s="993"/>
      <c r="R244" s="993"/>
      <c r="S244" s="993"/>
      <c r="T244" s="993"/>
      <c r="U244" s="993"/>
      <c r="V244" s="993"/>
      <c r="W244" s="993"/>
      <c r="X244" s="993"/>
    </row>
    <row r="245" spans="1:24" x14ac:dyDescent="0.3">
      <c r="A245" s="1594"/>
      <c r="B245" s="993"/>
      <c r="C245" s="993"/>
      <c r="D245" s="993"/>
      <c r="E245" s="2412"/>
      <c r="F245" s="2412"/>
      <c r="G245" s="993"/>
      <c r="H245" s="993"/>
      <c r="I245" s="993"/>
      <c r="J245" s="993"/>
      <c r="K245" s="993"/>
      <c r="L245" s="993"/>
      <c r="M245" s="993"/>
      <c r="N245" s="993"/>
      <c r="O245" s="993"/>
      <c r="P245" s="993"/>
      <c r="Q245" s="993"/>
      <c r="R245" s="993"/>
      <c r="S245" s="993"/>
      <c r="T245" s="993"/>
      <c r="U245" s="993"/>
      <c r="V245" s="993"/>
      <c r="W245" s="993"/>
      <c r="X245" s="993"/>
    </row>
    <row r="246" spans="1:24" x14ac:dyDescent="0.3">
      <c r="A246" s="1594"/>
      <c r="B246" s="993"/>
      <c r="C246" s="993"/>
      <c r="D246" s="993"/>
      <c r="E246" s="2412"/>
      <c r="F246" s="2412"/>
      <c r="G246" s="993"/>
      <c r="H246" s="993"/>
      <c r="I246" s="993"/>
      <c r="J246" s="993"/>
      <c r="K246" s="993"/>
      <c r="L246" s="993"/>
      <c r="M246" s="993"/>
      <c r="N246" s="993"/>
      <c r="O246" s="993"/>
      <c r="P246" s="993"/>
      <c r="Q246" s="993"/>
      <c r="R246" s="993"/>
      <c r="S246" s="993"/>
      <c r="T246" s="993"/>
      <c r="U246" s="993"/>
      <c r="V246" s="993"/>
      <c r="W246" s="993"/>
      <c r="X246" s="993"/>
    </row>
    <row r="247" spans="1:24" x14ac:dyDescent="0.3">
      <c r="A247" s="1594"/>
      <c r="B247" s="993"/>
      <c r="C247" s="993"/>
      <c r="D247" s="993"/>
      <c r="E247" s="2412"/>
      <c r="F247" s="2412"/>
      <c r="G247" s="993"/>
      <c r="H247" s="993"/>
      <c r="I247" s="993"/>
      <c r="J247" s="993"/>
      <c r="K247" s="993"/>
      <c r="L247" s="993"/>
      <c r="M247" s="993"/>
      <c r="N247" s="993"/>
      <c r="O247" s="993"/>
      <c r="P247" s="993"/>
      <c r="Q247" s="993"/>
      <c r="R247" s="993"/>
      <c r="S247" s="993"/>
      <c r="T247" s="993"/>
      <c r="U247" s="993"/>
      <c r="V247" s="993"/>
      <c r="W247" s="993"/>
      <c r="X247" s="993"/>
    </row>
    <row r="248" spans="1:24" x14ac:dyDescent="0.3">
      <c r="A248" s="1594"/>
      <c r="B248" s="993"/>
      <c r="C248" s="993"/>
      <c r="D248" s="993"/>
      <c r="E248" s="2412"/>
      <c r="F248" s="2412"/>
      <c r="G248" s="993"/>
      <c r="H248" s="993"/>
      <c r="I248" s="993"/>
      <c r="J248" s="993"/>
      <c r="K248" s="993"/>
      <c r="L248" s="993"/>
      <c r="M248" s="993"/>
      <c r="N248" s="993"/>
      <c r="O248" s="993"/>
      <c r="P248" s="993"/>
      <c r="Q248" s="993"/>
      <c r="R248" s="993"/>
      <c r="S248" s="993"/>
      <c r="T248" s="993"/>
      <c r="U248" s="993"/>
      <c r="V248" s="993"/>
      <c r="W248" s="993"/>
      <c r="X248" s="993"/>
    </row>
    <row r="249" spans="1:24" x14ac:dyDescent="0.3">
      <c r="A249" s="1594"/>
      <c r="B249" s="993"/>
      <c r="C249" s="993"/>
      <c r="D249" s="993"/>
      <c r="E249" s="2412"/>
      <c r="F249" s="2412"/>
      <c r="G249" s="993"/>
      <c r="H249" s="993"/>
      <c r="I249" s="993"/>
      <c r="J249" s="993"/>
      <c r="K249" s="993"/>
      <c r="L249" s="993"/>
      <c r="M249" s="993"/>
      <c r="N249" s="993"/>
      <c r="O249" s="993"/>
      <c r="P249" s="993"/>
      <c r="Q249" s="993"/>
      <c r="R249" s="993"/>
      <c r="S249" s="993"/>
      <c r="T249" s="993"/>
      <c r="U249" s="993"/>
      <c r="V249" s="993"/>
      <c r="W249" s="993"/>
      <c r="X249" s="993"/>
    </row>
    <row r="250" spans="1:24" x14ac:dyDescent="0.3">
      <c r="A250" s="1594"/>
      <c r="B250" s="993"/>
      <c r="C250" s="993"/>
      <c r="D250" s="993"/>
      <c r="E250" s="2412"/>
      <c r="F250" s="2412"/>
      <c r="G250" s="993"/>
      <c r="H250" s="993"/>
      <c r="I250" s="993"/>
      <c r="J250" s="993"/>
      <c r="K250" s="993"/>
      <c r="L250" s="993"/>
      <c r="M250" s="993"/>
      <c r="N250" s="993"/>
      <c r="O250" s="993"/>
      <c r="P250" s="993"/>
      <c r="Q250" s="993"/>
      <c r="R250" s="993"/>
      <c r="S250" s="993"/>
      <c r="T250" s="993"/>
      <c r="U250" s="993"/>
      <c r="V250" s="993"/>
      <c r="W250" s="993"/>
      <c r="X250" s="993"/>
    </row>
    <row r="251" spans="1:24" x14ac:dyDescent="0.3">
      <c r="A251" s="1594"/>
      <c r="B251" s="993"/>
      <c r="C251" s="993"/>
      <c r="D251" s="993"/>
      <c r="E251" s="2412"/>
      <c r="F251" s="2412"/>
      <c r="G251" s="993"/>
      <c r="H251" s="993"/>
      <c r="I251" s="993"/>
      <c r="J251" s="993"/>
      <c r="K251" s="993"/>
      <c r="L251" s="993"/>
      <c r="M251" s="993"/>
      <c r="N251" s="993"/>
      <c r="O251" s="993"/>
      <c r="P251" s="993"/>
      <c r="Q251" s="993"/>
      <c r="R251" s="993"/>
      <c r="S251" s="993"/>
      <c r="T251" s="993"/>
      <c r="U251" s="993"/>
      <c r="V251" s="993"/>
      <c r="W251" s="993"/>
      <c r="X251" s="993"/>
    </row>
    <row r="252" spans="1:24" x14ac:dyDescent="0.3">
      <c r="A252" s="1594"/>
      <c r="B252" s="993"/>
      <c r="C252" s="993"/>
      <c r="D252" s="993"/>
      <c r="E252" s="2412"/>
      <c r="F252" s="2412"/>
      <c r="G252" s="993"/>
      <c r="H252" s="993"/>
      <c r="I252" s="993"/>
      <c r="J252" s="993"/>
      <c r="K252" s="993"/>
      <c r="L252" s="993"/>
      <c r="M252" s="993"/>
      <c r="N252" s="993"/>
      <c r="O252" s="993"/>
      <c r="P252" s="993"/>
      <c r="Q252" s="993"/>
      <c r="R252" s="993"/>
      <c r="S252" s="993"/>
      <c r="T252" s="993"/>
      <c r="U252" s="993"/>
      <c r="V252" s="993"/>
      <c r="W252" s="993"/>
      <c r="X252" s="993"/>
    </row>
    <row r="253" spans="1:24" x14ac:dyDescent="0.3">
      <c r="A253" s="1594"/>
      <c r="B253" s="993"/>
      <c r="C253" s="993"/>
      <c r="D253" s="993"/>
      <c r="E253" s="2412"/>
      <c r="F253" s="2412"/>
      <c r="G253" s="993"/>
      <c r="H253" s="993"/>
      <c r="I253" s="993"/>
      <c r="J253" s="993"/>
      <c r="K253" s="993"/>
      <c r="L253" s="993"/>
      <c r="M253" s="993"/>
      <c r="N253" s="993"/>
      <c r="O253" s="993"/>
      <c r="P253" s="993"/>
      <c r="Q253" s="993"/>
      <c r="R253" s="993"/>
      <c r="S253" s="993"/>
      <c r="T253" s="993"/>
      <c r="U253" s="993"/>
      <c r="V253" s="993"/>
      <c r="W253" s="993"/>
      <c r="X253" s="993"/>
    </row>
    <row r="254" spans="1:24" x14ac:dyDescent="0.3">
      <c r="A254" s="1594"/>
      <c r="B254" s="993"/>
      <c r="C254" s="993"/>
      <c r="D254" s="993"/>
      <c r="E254" s="2412"/>
      <c r="F254" s="2412"/>
      <c r="G254" s="993"/>
      <c r="H254" s="993"/>
      <c r="I254" s="993"/>
      <c r="J254" s="993"/>
      <c r="K254" s="993"/>
      <c r="L254" s="993"/>
      <c r="M254" s="993"/>
      <c r="N254" s="993"/>
      <c r="O254" s="993"/>
      <c r="P254" s="993"/>
      <c r="Q254" s="993"/>
      <c r="R254" s="993"/>
      <c r="S254" s="993"/>
      <c r="T254" s="993"/>
      <c r="U254" s="993"/>
      <c r="V254" s="993"/>
      <c r="W254" s="993"/>
      <c r="X254" s="993"/>
    </row>
    <row r="255" spans="1:24" x14ac:dyDescent="0.3">
      <c r="A255" s="1594"/>
      <c r="B255" s="993"/>
      <c r="C255" s="993"/>
      <c r="D255" s="993"/>
      <c r="E255" s="2412"/>
      <c r="F255" s="2412"/>
      <c r="G255" s="993"/>
      <c r="H255" s="993"/>
      <c r="I255" s="993"/>
      <c r="J255" s="993"/>
      <c r="K255" s="993"/>
      <c r="L255" s="993"/>
      <c r="M255" s="993"/>
      <c r="N255" s="993"/>
      <c r="O255" s="993"/>
      <c r="P255" s="993"/>
      <c r="Q255" s="993"/>
      <c r="R255" s="993"/>
      <c r="S255" s="993"/>
      <c r="T255" s="993"/>
      <c r="U255" s="993"/>
      <c r="V255" s="993"/>
      <c r="W255" s="993"/>
      <c r="X255" s="993"/>
    </row>
    <row r="256" spans="1:24" x14ac:dyDescent="0.3">
      <c r="A256" s="1594"/>
      <c r="B256" s="993"/>
      <c r="C256" s="993"/>
      <c r="D256" s="993"/>
      <c r="E256" s="2412"/>
      <c r="F256" s="2412"/>
      <c r="G256" s="993"/>
      <c r="H256" s="993"/>
      <c r="I256" s="993"/>
      <c r="J256" s="993"/>
      <c r="K256" s="993"/>
      <c r="L256" s="993"/>
      <c r="M256" s="993"/>
      <c r="N256" s="993"/>
      <c r="O256" s="993"/>
      <c r="P256" s="993"/>
      <c r="Q256" s="993"/>
      <c r="R256" s="993"/>
      <c r="S256" s="993"/>
      <c r="T256" s="993"/>
      <c r="U256" s="993"/>
      <c r="V256" s="993"/>
      <c r="W256" s="993"/>
      <c r="X256" s="993"/>
    </row>
    <row r="257" spans="1:24" x14ac:dyDescent="0.3">
      <c r="A257" s="1594"/>
      <c r="B257" s="993"/>
      <c r="C257" s="993"/>
      <c r="D257" s="993"/>
      <c r="E257" s="2412"/>
      <c r="F257" s="2412"/>
      <c r="G257" s="993"/>
      <c r="H257" s="993"/>
      <c r="I257" s="993"/>
      <c r="J257" s="993"/>
      <c r="K257" s="993"/>
      <c r="L257" s="993"/>
      <c r="M257" s="993"/>
      <c r="N257" s="993"/>
      <c r="O257" s="993"/>
      <c r="P257" s="993"/>
      <c r="Q257" s="993"/>
      <c r="R257" s="993"/>
      <c r="S257" s="993"/>
      <c r="T257" s="993"/>
      <c r="U257" s="993"/>
      <c r="V257" s="993"/>
      <c r="W257" s="993"/>
      <c r="X257" s="993"/>
    </row>
    <row r="258" spans="1:24" x14ac:dyDescent="0.3">
      <c r="A258" s="1594"/>
      <c r="B258" s="993"/>
      <c r="C258" s="993"/>
      <c r="D258" s="993"/>
      <c r="E258" s="2412"/>
      <c r="F258" s="2412"/>
      <c r="G258" s="993"/>
      <c r="H258" s="993"/>
      <c r="I258" s="993"/>
      <c r="J258" s="993"/>
      <c r="K258" s="993"/>
      <c r="L258" s="993"/>
      <c r="M258" s="993"/>
      <c r="N258" s="993"/>
      <c r="O258" s="993"/>
      <c r="P258" s="993"/>
      <c r="Q258" s="993"/>
      <c r="R258" s="993"/>
      <c r="S258" s="993"/>
      <c r="T258" s="993"/>
      <c r="U258" s="993"/>
      <c r="V258" s="993"/>
      <c r="W258" s="993"/>
      <c r="X258" s="993"/>
    </row>
    <row r="259" spans="1:24" x14ac:dyDescent="0.3">
      <c r="A259" s="1594"/>
      <c r="B259" s="993"/>
      <c r="C259" s="993"/>
      <c r="D259" s="993"/>
      <c r="E259" s="2412"/>
      <c r="F259" s="2412"/>
      <c r="G259" s="993"/>
      <c r="H259" s="993"/>
      <c r="I259" s="993"/>
      <c r="J259" s="993"/>
      <c r="K259" s="993"/>
      <c r="L259" s="993"/>
      <c r="M259" s="993"/>
      <c r="N259" s="993"/>
      <c r="O259" s="993"/>
      <c r="P259" s="993"/>
      <c r="Q259" s="993"/>
      <c r="R259" s="993"/>
      <c r="S259" s="993"/>
      <c r="T259" s="993"/>
      <c r="U259" s="993"/>
      <c r="V259" s="993"/>
      <c r="W259" s="993"/>
      <c r="X259" s="993"/>
    </row>
    <row r="260" spans="1:24" x14ac:dyDescent="0.3">
      <c r="A260" s="1594"/>
      <c r="B260" s="993"/>
      <c r="C260" s="993"/>
      <c r="D260" s="993"/>
      <c r="E260" s="2412"/>
      <c r="F260" s="2412"/>
      <c r="G260" s="993"/>
      <c r="H260" s="993"/>
      <c r="I260" s="993"/>
      <c r="J260" s="993"/>
      <c r="K260" s="993"/>
      <c r="L260" s="993"/>
      <c r="M260" s="993"/>
      <c r="N260" s="993"/>
      <c r="O260" s="993"/>
      <c r="P260" s="993"/>
      <c r="Q260" s="993"/>
      <c r="R260" s="993"/>
      <c r="S260" s="993"/>
      <c r="T260" s="993"/>
      <c r="U260" s="993"/>
      <c r="V260" s="993"/>
      <c r="W260" s="993"/>
      <c r="X260" s="993"/>
    </row>
    <row r="261" spans="1:24" x14ac:dyDescent="0.3">
      <c r="A261" s="1594"/>
      <c r="B261" s="993"/>
      <c r="C261" s="993"/>
      <c r="D261" s="993"/>
      <c r="E261" s="2412"/>
      <c r="F261" s="2412"/>
      <c r="G261" s="993"/>
      <c r="H261" s="993"/>
      <c r="I261" s="993"/>
      <c r="J261" s="993"/>
      <c r="K261" s="993"/>
      <c r="L261" s="993"/>
      <c r="M261" s="993"/>
      <c r="N261" s="993"/>
      <c r="O261" s="993"/>
      <c r="P261" s="993"/>
      <c r="Q261" s="993"/>
      <c r="R261" s="993"/>
      <c r="S261" s="993"/>
      <c r="T261" s="993"/>
      <c r="U261" s="993"/>
      <c r="V261" s="993"/>
      <c r="W261" s="993"/>
      <c r="X261" s="993"/>
    </row>
    <row r="262" spans="1:24" x14ac:dyDescent="0.3">
      <c r="A262" s="1594"/>
      <c r="B262" s="993"/>
      <c r="C262" s="993"/>
      <c r="D262" s="993"/>
      <c r="E262" s="2412"/>
      <c r="F262" s="2412"/>
      <c r="G262" s="993"/>
      <c r="H262" s="993"/>
      <c r="I262" s="993"/>
      <c r="J262" s="993"/>
      <c r="K262" s="993"/>
      <c r="L262" s="993"/>
      <c r="M262" s="993"/>
      <c r="N262" s="993"/>
      <c r="O262" s="993"/>
      <c r="P262" s="993"/>
      <c r="Q262" s="993"/>
      <c r="R262" s="993"/>
      <c r="S262" s="993"/>
      <c r="T262" s="993"/>
      <c r="U262" s="993"/>
      <c r="V262" s="993"/>
      <c r="W262" s="993"/>
      <c r="X262" s="993"/>
    </row>
    <row r="263" spans="1:24" x14ac:dyDescent="0.3">
      <c r="A263" s="1594"/>
      <c r="B263" s="993"/>
      <c r="C263" s="993"/>
      <c r="D263" s="993"/>
      <c r="E263" s="2412"/>
      <c r="F263" s="2412"/>
      <c r="G263" s="993"/>
      <c r="H263" s="993"/>
      <c r="I263" s="993"/>
      <c r="J263" s="993"/>
      <c r="K263" s="993"/>
      <c r="L263" s="993"/>
      <c r="M263" s="993"/>
      <c r="N263" s="993"/>
      <c r="O263" s="993"/>
      <c r="P263" s="993"/>
      <c r="Q263" s="993"/>
      <c r="R263" s="993"/>
      <c r="S263" s="993"/>
      <c r="T263" s="993"/>
      <c r="U263" s="993"/>
      <c r="V263" s="993"/>
      <c r="W263" s="993"/>
      <c r="X263" s="993"/>
    </row>
    <row r="264" spans="1:24" x14ac:dyDescent="0.3">
      <c r="A264" s="1594"/>
      <c r="B264" s="993"/>
      <c r="C264" s="993"/>
      <c r="D264" s="993"/>
      <c r="E264" s="2412"/>
      <c r="F264" s="2412"/>
      <c r="G264" s="993"/>
      <c r="H264" s="993"/>
      <c r="I264" s="993"/>
      <c r="J264" s="993"/>
      <c r="K264" s="993"/>
      <c r="L264" s="993"/>
      <c r="M264" s="993"/>
      <c r="N264" s="993"/>
      <c r="O264" s="993"/>
      <c r="P264" s="993"/>
      <c r="Q264" s="993"/>
      <c r="R264" s="993"/>
      <c r="S264" s="993"/>
      <c r="T264" s="993"/>
      <c r="U264" s="993"/>
      <c r="V264" s="993"/>
      <c r="W264" s="993"/>
      <c r="X264" s="993"/>
    </row>
    <row r="265" spans="1:24" x14ac:dyDescent="0.3">
      <c r="A265" s="1594"/>
      <c r="B265" s="993"/>
      <c r="C265" s="993"/>
      <c r="D265" s="993"/>
      <c r="E265" s="2412"/>
      <c r="F265" s="2412"/>
      <c r="G265" s="993"/>
      <c r="H265" s="993"/>
      <c r="I265" s="993"/>
      <c r="J265" s="993"/>
      <c r="K265" s="993"/>
      <c r="L265" s="993"/>
      <c r="M265" s="993"/>
      <c r="N265" s="993"/>
      <c r="O265" s="993"/>
      <c r="P265" s="993"/>
      <c r="Q265" s="993"/>
      <c r="R265" s="993"/>
      <c r="S265" s="993"/>
      <c r="T265" s="993"/>
      <c r="U265" s="993"/>
      <c r="V265" s="993"/>
      <c r="W265" s="993"/>
      <c r="X265" s="993"/>
    </row>
    <row r="266" spans="1:24" x14ac:dyDescent="0.3">
      <c r="A266" s="1594"/>
      <c r="B266" s="993"/>
      <c r="C266" s="993"/>
      <c r="D266" s="993"/>
      <c r="E266" s="2412"/>
      <c r="F266" s="2412"/>
      <c r="G266" s="993"/>
      <c r="H266" s="993"/>
      <c r="I266" s="993"/>
      <c r="J266" s="993"/>
      <c r="K266" s="993"/>
      <c r="L266" s="993"/>
      <c r="M266" s="993"/>
      <c r="N266" s="993"/>
      <c r="O266" s="993"/>
      <c r="P266" s="993"/>
      <c r="Q266" s="993"/>
      <c r="R266" s="993"/>
      <c r="S266" s="993"/>
      <c r="T266" s="993"/>
      <c r="U266" s="993"/>
      <c r="V266" s="993"/>
      <c r="W266" s="993"/>
      <c r="X266" s="993"/>
    </row>
    <row r="267" spans="1:24" x14ac:dyDescent="0.3">
      <c r="A267" s="1594"/>
      <c r="B267" s="993"/>
      <c r="C267" s="993"/>
      <c r="D267" s="993"/>
      <c r="E267" s="2412"/>
      <c r="F267" s="2412"/>
      <c r="G267" s="993"/>
      <c r="H267" s="993"/>
      <c r="I267" s="993"/>
      <c r="J267" s="993"/>
      <c r="K267" s="993"/>
      <c r="L267" s="993"/>
      <c r="M267" s="993"/>
      <c r="N267" s="993"/>
      <c r="O267" s="993"/>
      <c r="P267" s="993"/>
      <c r="Q267" s="993"/>
      <c r="R267" s="993"/>
      <c r="S267" s="993"/>
      <c r="T267" s="993"/>
      <c r="U267" s="993"/>
      <c r="V267" s="993"/>
      <c r="W267" s="993"/>
      <c r="X267" s="993"/>
    </row>
    <row r="268" spans="1:24" x14ac:dyDescent="0.3">
      <c r="A268" s="1594"/>
      <c r="B268" s="993"/>
      <c r="C268" s="993"/>
      <c r="D268" s="993"/>
      <c r="E268" s="2412"/>
      <c r="F268" s="2412"/>
      <c r="G268" s="993"/>
      <c r="H268" s="993"/>
      <c r="I268" s="993"/>
      <c r="J268" s="993"/>
      <c r="K268" s="993"/>
      <c r="L268" s="993"/>
      <c r="M268" s="993"/>
      <c r="N268" s="993"/>
      <c r="O268" s="993"/>
      <c r="P268" s="993"/>
      <c r="Q268" s="993"/>
      <c r="R268" s="993"/>
      <c r="S268" s="993"/>
      <c r="T268" s="993"/>
      <c r="U268" s="993"/>
      <c r="V268" s="993"/>
      <c r="W268" s="993"/>
      <c r="X268" s="993"/>
    </row>
    <row r="269" spans="1:24" x14ac:dyDescent="0.3">
      <c r="A269" s="1594"/>
      <c r="B269" s="993"/>
      <c r="C269" s="993"/>
      <c r="D269" s="993"/>
      <c r="E269" s="2412"/>
      <c r="F269" s="2412"/>
      <c r="G269" s="993"/>
      <c r="H269" s="993"/>
      <c r="I269" s="993"/>
      <c r="J269" s="993"/>
      <c r="K269" s="993"/>
      <c r="L269" s="993"/>
      <c r="M269" s="993"/>
      <c r="N269" s="993"/>
      <c r="O269" s="993"/>
      <c r="P269" s="993"/>
      <c r="Q269" s="993"/>
      <c r="R269" s="993"/>
      <c r="S269" s="993"/>
      <c r="T269" s="993"/>
      <c r="U269" s="993"/>
      <c r="V269" s="993"/>
      <c r="W269" s="993"/>
      <c r="X269" s="993"/>
    </row>
    <row r="270" spans="1:24" x14ac:dyDescent="0.3">
      <c r="A270" s="1594"/>
      <c r="B270" s="993"/>
      <c r="C270" s="993"/>
      <c r="D270" s="993"/>
      <c r="E270" s="2412"/>
      <c r="F270" s="2412"/>
      <c r="G270" s="993"/>
      <c r="H270" s="993"/>
      <c r="I270" s="993"/>
      <c r="J270" s="993"/>
      <c r="K270" s="993"/>
      <c r="L270" s="993"/>
      <c r="M270" s="993"/>
      <c r="N270" s="993"/>
      <c r="O270" s="993"/>
      <c r="P270" s="993"/>
      <c r="Q270" s="993"/>
      <c r="R270" s="993"/>
      <c r="S270" s="993"/>
      <c r="T270" s="993"/>
      <c r="U270" s="993"/>
      <c r="V270" s="993"/>
      <c r="W270" s="993"/>
      <c r="X270" s="993"/>
    </row>
    <row r="271" spans="1:24" x14ac:dyDescent="0.3">
      <c r="A271" s="1594"/>
      <c r="B271" s="993"/>
      <c r="C271" s="993"/>
      <c r="D271" s="993"/>
      <c r="E271" s="2412"/>
      <c r="F271" s="2412"/>
      <c r="G271" s="993"/>
      <c r="H271" s="993"/>
      <c r="I271" s="993"/>
      <c r="J271" s="993"/>
      <c r="K271" s="993"/>
      <c r="L271" s="993"/>
      <c r="M271" s="993"/>
      <c r="N271" s="993"/>
      <c r="O271" s="993"/>
      <c r="P271" s="993"/>
      <c r="Q271" s="993"/>
      <c r="R271" s="993"/>
      <c r="S271" s="993"/>
      <c r="T271" s="993"/>
      <c r="U271" s="993"/>
      <c r="V271" s="993"/>
      <c r="W271" s="993"/>
      <c r="X271" s="993"/>
    </row>
    <row r="272" spans="1:24" x14ac:dyDescent="0.3">
      <c r="A272" s="1594"/>
      <c r="B272" s="993"/>
      <c r="C272" s="993"/>
      <c r="D272" s="993"/>
      <c r="E272" s="2412"/>
      <c r="F272" s="2412"/>
      <c r="G272" s="993"/>
      <c r="H272" s="993"/>
      <c r="I272" s="993"/>
      <c r="J272" s="993"/>
      <c r="K272" s="993"/>
      <c r="L272" s="993"/>
      <c r="M272" s="993"/>
      <c r="N272" s="993"/>
      <c r="O272" s="993"/>
      <c r="P272" s="993"/>
      <c r="Q272" s="993"/>
      <c r="R272" s="993"/>
      <c r="S272" s="993"/>
      <c r="T272" s="993"/>
      <c r="U272" s="993"/>
      <c r="V272" s="993"/>
      <c r="W272" s="993"/>
      <c r="X272" s="993"/>
    </row>
    <row r="273" spans="1:24" x14ac:dyDescent="0.3">
      <c r="A273" s="1594"/>
      <c r="B273" s="993"/>
      <c r="C273" s="993"/>
      <c r="D273" s="993"/>
      <c r="E273" s="2412"/>
      <c r="F273" s="2412"/>
      <c r="G273" s="993"/>
      <c r="H273" s="993"/>
      <c r="I273" s="993"/>
      <c r="J273" s="993"/>
      <c r="K273" s="993"/>
      <c r="L273" s="993"/>
      <c r="M273" s="993"/>
      <c r="N273" s="993"/>
      <c r="O273" s="993"/>
      <c r="P273" s="993"/>
      <c r="Q273" s="993"/>
      <c r="R273" s="993"/>
      <c r="S273" s="993"/>
      <c r="T273" s="993"/>
      <c r="U273" s="993"/>
      <c r="V273" s="993"/>
      <c r="W273" s="993"/>
      <c r="X273" s="993"/>
    </row>
    <row r="274" spans="1:24" x14ac:dyDescent="0.3">
      <c r="A274" s="1594"/>
      <c r="B274" s="993"/>
      <c r="C274" s="993"/>
      <c r="D274" s="993"/>
      <c r="E274" s="2412"/>
      <c r="F274" s="2412"/>
      <c r="G274" s="993"/>
      <c r="H274" s="993"/>
      <c r="I274" s="993"/>
      <c r="J274" s="993"/>
      <c r="K274" s="993"/>
      <c r="L274" s="993"/>
      <c r="M274" s="993"/>
      <c r="N274" s="993"/>
      <c r="O274" s="993"/>
      <c r="P274" s="993"/>
      <c r="Q274" s="993"/>
      <c r="R274" s="993"/>
      <c r="S274" s="993"/>
      <c r="T274" s="993"/>
      <c r="U274" s="993"/>
      <c r="V274" s="993"/>
      <c r="W274" s="993"/>
      <c r="X274" s="993"/>
    </row>
    <row r="275" spans="1:24" x14ac:dyDescent="0.3">
      <c r="A275" s="1594"/>
      <c r="B275" s="993"/>
      <c r="C275" s="993"/>
      <c r="D275" s="993"/>
      <c r="E275" s="2412"/>
      <c r="F275" s="2412"/>
      <c r="G275" s="993"/>
      <c r="H275" s="993"/>
      <c r="I275" s="993"/>
      <c r="J275" s="993"/>
      <c r="K275" s="993"/>
      <c r="L275" s="993"/>
      <c r="M275" s="993"/>
      <c r="N275" s="993"/>
      <c r="O275" s="993"/>
      <c r="P275" s="993"/>
      <c r="Q275" s="993"/>
      <c r="R275" s="993"/>
      <c r="S275" s="993"/>
      <c r="T275" s="993"/>
      <c r="U275" s="993"/>
      <c r="V275" s="993"/>
      <c r="W275" s="993"/>
      <c r="X275" s="993"/>
    </row>
    <row r="276" spans="1:24" x14ac:dyDescent="0.3">
      <c r="A276" s="1594"/>
      <c r="B276" s="993"/>
      <c r="C276" s="993"/>
      <c r="D276" s="993"/>
      <c r="E276" s="2412"/>
      <c r="F276" s="2412"/>
      <c r="G276" s="993"/>
      <c r="H276" s="993"/>
      <c r="I276" s="993"/>
      <c r="J276" s="993"/>
      <c r="K276" s="993"/>
      <c r="L276" s="993"/>
      <c r="M276" s="993"/>
      <c r="N276" s="993"/>
      <c r="O276" s="993"/>
      <c r="P276" s="993"/>
      <c r="Q276" s="993"/>
      <c r="R276" s="993"/>
      <c r="S276" s="993"/>
      <c r="T276" s="993"/>
      <c r="U276" s="993"/>
      <c r="V276" s="993"/>
      <c r="W276" s="993"/>
      <c r="X276" s="993"/>
    </row>
    <row r="277" spans="1:24" x14ac:dyDescent="0.3">
      <c r="A277" s="1594"/>
      <c r="B277" s="993"/>
      <c r="C277" s="993"/>
      <c r="D277" s="993"/>
      <c r="E277" s="2412"/>
      <c r="F277" s="2412"/>
      <c r="G277" s="993"/>
      <c r="H277" s="993"/>
      <c r="I277" s="993"/>
      <c r="J277" s="993"/>
      <c r="K277" s="993"/>
      <c r="L277" s="993"/>
      <c r="M277" s="993"/>
      <c r="N277" s="993"/>
      <c r="O277" s="993"/>
      <c r="P277" s="993"/>
      <c r="Q277" s="993"/>
      <c r="R277" s="993"/>
      <c r="S277" s="993"/>
      <c r="T277" s="993"/>
      <c r="U277" s="993"/>
      <c r="V277" s="993"/>
      <c r="W277" s="993"/>
      <c r="X277" s="993"/>
    </row>
    <row r="278" spans="1:24" x14ac:dyDescent="0.3">
      <c r="A278" s="1594"/>
      <c r="B278" s="993"/>
      <c r="C278" s="993"/>
      <c r="D278" s="993"/>
      <c r="E278" s="2412"/>
      <c r="F278" s="2412"/>
      <c r="G278" s="993"/>
      <c r="H278" s="993"/>
      <c r="I278" s="993"/>
      <c r="J278" s="993"/>
      <c r="K278" s="993"/>
      <c r="L278" s="993"/>
      <c r="M278" s="993"/>
      <c r="N278" s="993"/>
      <c r="O278" s="993"/>
      <c r="P278" s="993"/>
      <c r="Q278" s="993"/>
      <c r="R278" s="993"/>
      <c r="S278" s="993"/>
      <c r="T278" s="993"/>
      <c r="U278" s="993"/>
      <c r="V278" s="993"/>
      <c r="W278" s="993"/>
      <c r="X278" s="993"/>
    </row>
    <row r="279" spans="1:24" x14ac:dyDescent="0.3">
      <c r="A279" s="1594"/>
      <c r="B279" s="993"/>
      <c r="C279" s="993"/>
      <c r="D279" s="993"/>
      <c r="E279" s="2412"/>
      <c r="F279" s="2412"/>
      <c r="G279" s="993"/>
      <c r="H279" s="993"/>
      <c r="I279" s="993"/>
      <c r="J279" s="993"/>
      <c r="K279" s="993"/>
      <c r="L279" s="993"/>
      <c r="M279" s="993"/>
      <c r="N279" s="993"/>
      <c r="O279" s="993"/>
      <c r="P279" s="993"/>
      <c r="Q279" s="993"/>
      <c r="R279" s="993"/>
      <c r="S279" s="993"/>
      <c r="T279" s="993"/>
      <c r="U279" s="993"/>
      <c r="V279" s="993"/>
      <c r="W279" s="993"/>
      <c r="X279" s="993"/>
    </row>
    <row r="280" spans="1:24" x14ac:dyDescent="0.3">
      <c r="A280" s="1594"/>
      <c r="B280" s="993"/>
      <c r="C280" s="993"/>
      <c r="D280" s="993"/>
      <c r="E280" s="2412"/>
      <c r="F280" s="2412"/>
      <c r="G280" s="993"/>
      <c r="H280" s="993"/>
      <c r="I280" s="993"/>
      <c r="J280" s="993"/>
      <c r="K280" s="993"/>
      <c r="L280" s="993"/>
      <c r="M280" s="993"/>
      <c r="N280" s="993"/>
      <c r="O280" s="993"/>
      <c r="P280" s="993"/>
      <c r="Q280" s="993"/>
      <c r="R280" s="993"/>
      <c r="S280" s="993"/>
      <c r="T280" s="993"/>
      <c r="U280" s="993"/>
      <c r="V280" s="993"/>
      <c r="W280" s="993"/>
      <c r="X280" s="993"/>
    </row>
    <row r="281" spans="1:24" x14ac:dyDescent="0.3">
      <c r="A281" s="1594"/>
      <c r="B281" s="993"/>
      <c r="C281" s="993"/>
      <c r="D281" s="993"/>
      <c r="E281" s="2412"/>
      <c r="F281" s="2412"/>
      <c r="G281" s="993"/>
      <c r="H281" s="993"/>
      <c r="I281" s="993"/>
      <c r="J281" s="993"/>
      <c r="K281" s="993"/>
      <c r="L281" s="993"/>
      <c r="M281" s="993"/>
      <c r="N281" s="993"/>
      <c r="O281" s="993"/>
      <c r="P281" s="993"/>
      <c r="Q281" s="993"/>
      <c r="R281" s="993"/>
      <c r="S281" s="993"/>
      <c r="T281" s="993"/>
      <c r="U281" s="993"/>
      <c r="V281" s="993"/>
      <c r="W281" s="993"/>
      <c r="X281" s="993"/>
    </row>
    <row r="282" spans="1:24" x14ac:dyDescent="0.3">
      <c r="A282" s="1594"/>
      <c r="B282" s="993"/>
      <c r="C282" s="993"/>
      <c r="D282" s="993"/>
      <c r="E282" s="2412"/>
      <c r="F282" s="2412"/>
      <c r="G282" s="993"/>
      <c r="H282" s="993"/>
      <c r="I282" s="993"/>
      <c r="J282" s="993"/>
      <c r="K282" s="993"/>
      <c r="L282" s="993"/>
      <c r="M282" s="993"/>
      <c r="N282" s="993"/>
      <c r="O282" s="993"/>
      <c r="P282" s="993"/>
      <c r="Q282" s="993"/>
      <c r="R282" s="993"/>
      <c r="S282" s="993"/>
      <c r="T282" s="993"/>
      <c r="U282" s="993"/>
      <c r="V282" s="993"/>
      <c r="W282" s="993"/>
      <c r="X282" s="993"/>
    </row>
    <row r="283" spans="1:24" x14ac:dyDescent="0.3">
      <c r="A283" s="1594"/>
      <c r="B283" s="993"/>
      <c r="C283" s="993"/>
      <c r="D283" s="993"/>
      <c r="E283" s="2412"/>
      <c r="F283" s="2412"/>
      <c r="G283" s="993"/>
      <c r="H283" s="993"/>
      <c r="I283" s="993"/>
      <c r="J283" s="993"/>
      <c r="K283" s="993"/>
      <c r="L283" s="993"/>
      <c r="M283" s="993"/>
      <c r="N283" s="993"/>
      <c r="O283" s="993"/>
      <c r="P283" s="993"/>
      <c r="Q283" s="993"/>
      <c r="R283" s="993"/>
      <c r="S283" s="993"/>
      <c r="T283" s="993"/>
      <c r="U283" s="993"/>
      <c r="V283" s="993"/>
      <c r="W283" s="993"/>
      <c r="X283" s="993"/>
    </row>
    <row r="284" spans="1:24" x14ac:dyDescent="0.3">
      <c r="A284" s="1594"/>
      <c r="B284" s="993"/>
      <c r="C284" s="993"/>
      <c r="D284" s="993"/>
      <c r="E284" s="2412"/>
      <c r="F284" s="2412"/>
      <c r="G284" s="993"/>
      <c r="H284" s="993"/>
      <c r="I284" s="993"/>
      <c r="J284" s="993"/>
      <c r="K284" s="993"/>
      <c r="L284" s="993"/>
      <c r="M284" s="993"/>
      <c r="N284" s="993"/>
      <c r="O284" s="993"/>
      <c r="P284" s="993"/>
      <c r="Q284" s="993"/>
      <c r="R284" s="993"/>
      <c r="S284" s="993"/>
      <c r="T284" s="993"/>
      <c r="U284" s="993"/>
      <c r="V284" s="993"/>
      <c r="W284" s="993"/>
      <c r="X284" s="993"/>
    </row>
    <row r="285" spans="1:24" x14ac:dyDescent="0.3">
      <c r="A285" s="1594"/>
      <c r="B285" s="993"/>
      <c r="C285" s="993"/>
      <c r="D285" s="993"/>
      <c r="E285" s="2412"/>
      <c r="F285" s="2412"/>
      <c r="G285" s="993"/>
      <c r="H285" s="993"/>
      <c r="I285" s="993"/>
      <c r="J285" s="993"/>
      <c r="K285" s="993"/>
      <c r="L285" s="993"/>
      <c r="M285" s="993"/>
      <c r="N285" s="993"/>
      <c r="O285" s="993"/>
      <c r="P285" s="993"/>
      <c r="Q285" s="993"/>
      <c r="R285" s="993"/>
      <c r="S285" s="993"/>
      <c r="T285" s="993"/>
      <c r="U285" s="993"/>
      <c r="V285" s="993"/>
      <c r="W285" s="993"/>
      <c r="X285" s="993"/>
    </row>
    <row r="286" spans="1:24" x14ac:dyDescent="0.3">
      <c r="A286" s="1594"/>
      <c r="B286" s="993"/>
      <c r="C286" s="993"/>
      <c r="D286" s="993"/>
      <c r="E286" s="2412"/>
      <c r="F286" s="2412"/>
      <c r="G286" s="993"/>
      <c r="H286" s="993"/>
      <c r="I286" s="993"/>
      <c r="J286" s="993"/>
      <c r="K286" s="993"/>
      <c r="L286" s="993"/>
      <c r="M286" s="993"/>
      <c r="N286" s="993"/>
      <c r="O286" s="993"/>
      <c r="P286" s="993"/>
      <c r="Q286" s="993"/>
      <c r="R286" s="993"/>
      <c r="S286" s="993"/>
      <c r="T286" s="993"/>
      <c r="U286" s="993"/>
      <c r="V286" s="993"/>
      <c r="W286" s="993"/>
      <c r="X286" s="993"/>
    </row>
    <row r="287" spans="1:24" x14ac:dyDescent="0.3">
      <c r="A287" s="1594"/>
      <c r="B287" s="993"/>
      <c r="C287" s="993"/>
      <c r="D287" s="993"/>
      <c r="E287" s="2412"/>
      <c r="F287" s="2412"/>
      <c r="G287" s="993"/>
      <c r="H287" s="993"/>
      <c r="I287" s="993"/>
      <c r="J287" s="993"/>
      <c r="K287" s="993"/>
      <c r="L287" s="993"/>
      <c r="M287" s="993"/>
      <c r="N287" s="993"/>
      <c r="O287" s="993"/>
      <c r="P287" s="993"/>
      <c r="Q287" s="993"/>
      <c r="R287" s="993"/>
      <c r="S287" s="993"/>
      <c r="T287" s="993"/>
      <c r="U287" s="993"/>
      <c r="V287" s="993"/>
      <c r="W287" s="993"/>
      <c r="X287" s="993"/>
    </row>
    <row r="288" spans="1:24" x14ac:dyDescent="0.3">
      <c r="A288" s="1594"/>
      <c r="B288" s="993"/>
      <c r="C288" s="993"/>
      <c r="D288" s="993"/>
      <c r="E288" s="2412"/>
      <c r="F288" s="2412"/>
      <c r="G288" s="993"/>
      <c r="H288" s="993"/>
      <c r="I288" s="993"/>
      <c r="J288" s="993"/>
      <c r="K288" s="993"/>
      <c r="L288" s="993"/>
      <c r="M288" s="993"/>
      <c r="N288" s="993"/>
      <c r="O288" s="993"/>
      <c r="P288" s="993"/>
      <c r="Q288" s="993"/>
      <c r="R288" s="993"/>
      <c r="S288" s="993"/>
      <c r="T288" s="993"/>
      <c r="U288" s="993"/>
      <c r="V288" s="993"/>
      <c r="W288" s="993"/>
      <c r="X288" s="993"/>
    </row>
    <row r="289" spans="1:24" x14ac:dyDescent="0.3">
      <c r="A289" s="1594"/>
      <c r="B289" s="993"/>
      <c r="C289" s="993"/>
      <c r="D289" s="993"/>
      <c r="E289" s="2412"/>
      <c r="F289" s="2412"/>
      <c r="G289" s="993"/>
      <c r="H289" s="993"/>
      <c r="I289" s="993"/>
      <c r="J289" s="993"/>
      <c r="K289" s="993"/>
      <c r="L289" s="993"/>
      <c r="M289" s="993"/>
      <c r="N289" s="993"/>
      <c r="O289" s="993"/>
      <c r="P289" s="993"/>
      <c r="Q289" s="993"/>
      <c r="R289" s="993"/>
      <c r="S289" s="993"/>
      <c r="T289" s="993"/>
      <c r="U289" s="993"/>
      <c r="V289" s="993"/>
      <c r="W289" s="993"/>
      <c r="X289" s="993"/>
    </row>
    <row r="290" spans="1:24" x14ac:dyDescent="0.3">
      <c r="A290" s="1594"/>
      <c r="B290" s="993"/>
      <c r="C290" s="993"/>
      <c r="D290" s="993"/>
      <c r="E290" s="2412"/>
      <c r="F290" s="2412"/>
      <c r="G290" s="993"/>
      <c r="H290" s="993"/>
      <c r="I290" s="993"/>
      <c r="J290" s="993"/>
      <c r="K290" s="993"/>
      <c r="L290" s="993"/>
      <c r="M290" s="993"/>
      <c r="N290" s="993"/>
      <c r="O290" s="993"/>
      <c r="P290" s="993"/>
      <c r="Q290" s="993"/>
      <c r="R290" s="993"/>
      <c r="S290" s="993"/>
      <c r="T290" s="993"/>
      <c r="U290" s="993"/>
      <c r="V290" s="993"/>
      <c r="W290" s="993"/>
      <c r="X290" s="993"/>
    </row>
    <row r="291" spans="1:24" x14ac:dyDescent="0.3">
      <c r="A291" s="1594"/>
      <c r="B291" s="993"/>
      <c r="C291" s="993"/>
      <c r="D291" s="993"/>
      <c r="E291" s="2412"/>
      <c r="F291" s="2412"/>
      <c r="G291" s="993"/>
      <c r="H291" s="993"/>
      <c r="I291" s="993"/>
      <c r="J291" s="993"/>
      <c r="K291" s="993"/>
      <c r="L291" s="993"/>
      <c r="M291" s="993"/>
      <c r="N291" s="993"/>
      <c r="O291" s="993"/>
      <c r="P291" s="993"/>
      <c r="Q291" s="993"/>
      <c r="R291" s="993"/>
      <c r="S291" s="993"/>
      <c r="T291" s="993"/>
      <c r="U291" s="993"/>
      <c r="V291" s="993"/>
      <c r="W291" s="993"/>
      <c r="X291" s="993"/>
    </row>
    <row r="292" spans="1:24" x14ac:dyDescent="0.3">
      <c r="A292" s="1594"/>
      <c r="B292" s="993"/>
      <c r="C292" s="993"/>
      <c r="D292" s="993"/>
      <c r="E292" s="2412"/>
      <c r="F292" s="2412"/>
      <c r="G292" s="993"/>
      <c r="H292" s="993"/>
      <c r="I292" s="993"/>
      <c r="J292" s="993"/>
      <c r="K292" s="993"/>
      <c r="L292" s="993"/>
      <c r="M292" s="993"/>
      <c r="N292" s="993"/>
      <c r="O292" s="993"/>
      <c r="P292" s="993"/>
      <c r="Q292" s="993"/>
      <c r="R292" s="993"/>
      <c r="S292" s="993"/>
      <c r="T292" s="993"/>
      <c r="U292" s="993"/>
      <c r="V292" s="993"/>
      <c r="W292" s="993"/>
      <c r="X292" s="993"/>
    </row>
    <row r="293" spans="1:24" x14ac:dyDescent="0.3">
      <c r="A293" s="1594"/>
      <c r="B293" s="993"/>
      <c r="C293" s="993"/>
      <c r="D293" s="993"/>
      <c r="E293" s="2412"/>
      <c r="F293" s="2412"/>
      <c r="G293" s="993"/>
      <c r="H293" s="993"/>
      <c r="I293" s="993"/>
      <c r="J293" s="993"/>
      <c r="K293" s="993"/>
      <c r="L293" s="993"/>
      <c r="M293" s="993"/>
      <c r="N293" s="993"/>
      <c r="O293" s="993"/>
      <c r="P293" s="993"/>
      <c r="Q293" s="993"/>
      <c r="R293" s="993"/>
      <c r="S293" s="993"/>
      <c r="T293" s="993"/>
      <c r="U293" s="993"/>
      <c r="V293" s="993"/>
      <c r="W293" s="993"/>
      <c r="X293" s="993"/>
    </row>
    <row r="294" spans="1:24" x14ac:dyDescent="0.3">
      <c r="A294" s="1594"/>
      <c r="B294" s="993"/>
      <c r="C294" s="993"/>
      <c r="D294" s="993"/>
      <c r="E294" s="2412"/>
      <c r="F294" s="2412"/>
      <c r="G294" s="993"/>
      <c r="H294" s="993"/>
      <c r="I294" s="993"/>
      <c r="J294" s="993"/>
      <c r="K294" s="993"/>
      <c r="L294" s="993"/>
      <c r="M294" s="993"/>
      <c r="N294" s="993"/>
      <c r="O294" s="993"/>
      <c r="P294" s="993"/>
      <c r="Q294" s="993"/>
      <c r="R294" s="993"/>
      <c r="S294" s="993"/>
      <c r="T294" s="993"/>
      <c r="U294" s="993"/>
      <c r="V294" s="993"/>
      <c r="W294" s="993"/>
      <c r="X294" s="993"/>
    </row>
    <row r="295" spans="1:24" x14ac:dyDescent="0.3">
      <c r="A295" s="1594"/>
      <c r="B295" s="993"/>
      <c r="C295" s="993"/>
      <c r="D295" s="993"/>
      <c r="E295" s="2412"/>
      <c r="F295" s="2412"/>
      <c r="G295" s="993"/>
      <c r="H295" s="993"/>
      <c r="I295" s="993"/>
      <c r="J295" s="993"/>
      <c r="K295" s="993"/>
      <c r="L295" s="993"/>
      <c r="M295" s="993"/>
      <c r="N295" s="993"/>
      <c r="O295" s="993"/>
      <c r="P295" s="993"/>
      <c r="Q295" s="993"/>
      <c r="R295" s="993"/>
      <c r="S295" s="993"/>
      <c r="T295" s="993"/>
      <c r="U295" s="993"/>
      <c r="V295" s="993"/>
      <c r="W295" s="993"/>
      <c r="X295" s="993"/>
    </row>
    <row r="296" spans="1:24" x14ac:dyDescent="0.3">
      <c r="A296" s="1594"/>
      <c r="B296" s="993"/>
      <c r="C296" s="993"/>
      <c r="D296" s="993"/>
      <c r="E296" s="2412"/>
      <c r="F296" s="2412"/>
      <c r="G296" s="993"/>
      <c r="H296" s="993"/>
      <c r="I296" s="993"/>
      <c r="J296" s="993"/>
      <c r="K296" s="993"/>
      <c r="L296" s="993"/>
      <c r="M296" s="993"/>
      <c r="N296" s="993"/>
      <c r="O296" s="993"/>
      <c r="P296" s="993"/>
      <c r="Q296" s="993"/>
      <c r="R296" s="993"/>
      <c r="S296" s="993"/>
      <c r="T296" s="993"/>
      <c r="U296" s="993"/>
      <c r="V296" s="993"/>
      <c r="W296" s="993"/>
      <c r="X296" s="993"/>
    </row>
    <row r="297" spans="1:24" x14ac:dyDescent="0.3">
      <c r="A297" s="1594"/>
      <c r="B297" s="993"/>
      <c r="C297" s="993"/>
      <c r="D297" s="993"/>
      <c r="E297" s="2412"/>
      <c r="F297" s="2412"/>
      <c r="G297" s="993"/>
      <c r="H297" s="993"/>
      <c r="I297" s="993"/>
      <c r="J297" s="993"/>
      <c r="K297" s="993"/>
      <c r="L297" s="993"/>
      <c r="M297" s="993"/>
      <c r="N297" s="993"/>
      <c r="O297" s="993"/>
      <c r="P297" s="993"/>
      <c r="Q297" s="993"/>
      <c r="R297" s="993"/>
      <c r="S297" s="993"/>
      <c r="T297" s="993"/>
      <c r="U297" s="993"/>
      <c r="V297" s="993"/>
      <c r="W297" s="993"/>
      <c r="X297" s="993"/>
    </row>
    <row r="298" spans="1:24" x14ac:dyDescent="0.3">
      <c r="A298" s="1594"/>
      <c r="B298" s="993"/>
      <c r="C298" s="993"/>
      <c r="D298" s="993"/>
      <c r="E298" s="2412"/>
      <c r="F298" s="2412"/>
      <c r="G298" s="993"/>
      <c r="H298" s="993"/>
      <c r="I298" s="993"/>
      <c r="J298" s="993"/>
      <c r="K298" s="993"/>
      <c r="L298" s="993"/>
      <c r="M298" s="993"/>
      <c r="N298" s="993"/>
      <c r="O298" s="993"/>
      <c r="P298" s="993"/>
      <c r="Q298" s="993"/>
      <c r="R298" s="993"/>
      <c r="S298" s="993"/>
      <c r="T298" s="993"/>
      <c r="U298" s="993"/>
      <c r="V298" s="993"/>
      <c r="W298" s="993"/>
      <c r="X298" s="993"/>
    </row>
    <row r="299" spans="1:24" x14ac:dyDescent="0.3">
      <c r="A299" s="1594"/>
      <c r="B299" s="993"/>
      <c r="C299" s="993"/>
      <c r="D299" s="993"/>
      <c r="E299" s="2412"/>
      <c r="F299" s="2412"/>
      <c r="G299" s="993"/>
      <c r="H299" s="993"/>
      <c r="I299" s="993"/>
      <c r="J299" s="993"/>
      <c r="K299" s="993"/>
      <c r="L299" s="993"/>
      <c r="M299" s="993"/>
      <c r="N299" s="993"/>
      <c r="O299" s="993"/>
      <c r="P299" s="993"/>
      <c r="Q299" s="993"/>
      <c r="R299" s="993"/>
      <c r="S299" s="993"/>
      <c r="T299" s="993"/>
      <c r="U299" s="993"/>
      <c r="V299" s="993"/>
      <c r="W299" s="993"/>
      <c r="X299" s="993"/>
    </row>
    <row r="300" spans="1:24" x14ac:dyDescent="0.3">
      <c r="A300" s="1594"/>
      <c r="B300" s="993"/>
      <c r="C300" s="993"/>
      <c r="D300" s="993"/>
      <c r="E300" s="2412"/>
      <c r="F300" s="2412"/>
      <c r="G300" s="993"/>
      <c r="H300" s="993"/>
      <c r="I300" s="993"/>
      <c r="J300" s="993"/>
      <c r="K300" s="993"/>
      <c r="L300" s="993"/>
      <c r="M300" s="993"/>
      <c r="N300" s="993"/>
      <c r="O300" s="993"/>
      <c r="P300" s="993"/>
      <c r="Q300" s="993"/>
      <c r="R300" s="993"/>
      <c r="S300" s="993"/>
      <c r="T300" s="993"/>
      <c r="U300" s="993"/>
      <c r="V300" s="993"/>
      <c r="W300" s="993"/>
      <c r="X300" s="993"/>
    </row>
    <row r="301" spans="1:24" x14ac:dyDescent="0.3">
      <c r="A301" s="1594"/>
      <c r="B301" s="993"/>
      <c r="C301" s="993"/>
      <c r="D301" s="993"/>
      <c r="E301" s="2412"/>
      <c r="F301" s="2412"/>
      <c r="G301" s="993"/>
      <c r="H301" s="993"/>
      <c r="I301" s="993"/>
      <c r="J301" s="993"/>
      <c r="K301" s="993"/>
      <c r="L301" s="993"/>
      <c r="M301" s="993"/>
      <c r="N301" s="993"/>
      <c r="O301" s="993"/>
      <c r="P301" s="993"/>
      <c r="Q301" s="993"/>
      <c r="R301" s="993"/>
      <c r="S301" s="993"/>
      <c r="T301" s="993"/>
      <c r="U301" s="993"/>
      <c r="V301" s="993"/>
      <c r="W301" s="993"/>
      <c r="X301" s="993"/>
    </row>
    <row r="302" spans="1:24" x14ac:dyDescent="0.3">
      <c r="A302" s="1594"/>
      <c r="B302" s="993"/>
      <c r="C302" s="993"/>
      <c r="D302" s="993"/>
      <c r="E302" s="2412"/>
      <c r="F302" s="2412"/>
      <c r="G302" s="993"/>
      <c r="H302" s="993"/>
      <c r="I302" s="993"/>
      <c r="J302" s="993"/>
      <c r="K302" s="993"/>
      <c r="L302" s="993"/>
      <c r="M302" s="993"/>
      <c r="N302" s="993"/>
      <c r="O302" s="993"/>
      <c r="P302" s="993"/>
      <c r="Q302" s="993"/>
      <c r="R302" s="993"/>
      <c r="S302" s="993"/>
      <c r="T302" s="993"/>
      <c r="U302" s="993"/>
      <c r="V302" s="993"/>
      <c r="W302" s="993"/>
      <c r="X302" s="993"/>
    </row>
    <row r="303" spans="1:24" x14ac:dyDescent="0.3">
      <c r="A303" s="1594"/>
      <c r="B303" s="993"/>
      <c r="C303" s="993"/>
      <c r="D303" s="993"/>
      <c r="E303" s="2412"/>
      <c r="F303" s="2412"/>
      <c r="G303" s="993"/>
      <c r="H303" s="993"/>
      <c r="I303" s="993"/>
      <c r="J303" s="993"/>
      <c r="K303" s="993"/>
      <c r="L303" s="993"/>
      <c r="M303" s="993"/>
      <c r="N303" s="993"/>
      <c r="O303" s="993"/>
      <c r="P303" s="993"/>
      <c r="Q303" s="993"/>
      <c r="R303" s="993"/>
      <c r="S303" s="993"/>
      <c r="T303" s="993"/>
      <c r="U303" s="993"/>
      <c r="V303" s="993"/>
      <c r="W303" s="993"/>
      <c r="X303" s="993"/>
    </row>
    <row r="304" spans="1:24" x14ac:dyDescent="0.3">
      <c r="A304" s="1594"/>
      <c r="B304" s="993"/>
      <c r="C304" s="993"/>
      <c r="D304" s="993"/>
      <c r="E304" s="2412"/>
      <c r="F304" s="2412"/>
      <c r="G304" s="993"/>
      <c r="H304" s="993"/>
      <c r="I304" s="993"/>
      <c r="J304" s="993"/>
      <c r="K304" s="993"/>
      <c r="L304" s="993"/>
      <c r="M304" s="993"/>
      <c r="N304" s="993"/>
      <c r="O304" s="993"/>
      <c r="P304" s="993"/>
      <c r="Q304" s="993"/>
      <c r="R304" s="993"/>
      <c r="S304" s="993"/>
      <c r="T304" s="993"/>
      <c r="U304" s="993"/>
      <c r="V304" s="993"/>
      <c r="W304" s="993"/>
      <c r="X304" s="993"/>
    </row>
    <row r="305" spans="1:24" x14ac:dyDescent="0.3">
      <c r="A305" s="1594"/>
      <c r="B305" s="993"/>
      <c r="C305" s="993"/>
      <c r="D305" s="993"/>
      <c r="E305" s="2412"/>
      <c r="F305" s="2412"/>
      <c r="G305" s="993"/>
      <c r="H305" s="993"/>
      <c r="I305" s="993"/>
      <c r="J305" s="993"/>
      <c r="K305" s="993"/>
      <c r="L305" s="993"/>
      <c r="M305" s="993"/>
      <c r="N305" s="993"/>
      <c r="O305" s="993"/>
      <c r="P305" s="993"/>
      <c r="Q305" s="993"/>
      <c r="R305" s="993"/>
      <c r="S305" s="993"/>
      <c r="T305" s="993"/>
      <c r="U305" s="993"/>
      <c r="V305" s="993"/>
      <c r="W305" s="993"/>
      <c r="X305" s="993"/>
    </row>
    <row r="306" spans="1:24" x14ac:dyDescent="0.3">
      <c r="A306" s="1594"/>
      <c r="B306" s="993"/>
      <c r="C306" s="993"/>
      <c r="D306" s="993"/>
      <c r="E306" s="2412"/>
      <c r="F306" s="2412"/>
      <c r="G306" s="993"/>
      <c r="H306" s="993"/>
      <c r="I306" s="993"/>
      <c r="J306" s="993"/>
      <c r="K306" s="993"/>
      <c r="L306" s="993"/>
      <c r="M306" s="993"/>
      <c r="N306" s="993"/>
      <c r="O306" s="993"/>
      <c r="P306" s="993"/>
      <c r="Q306" s="993"/>
      <c r="R306" s="993"/>
      <c r="S306" s="993"/>
      <c r="T306" s="993"/>
      <c r="U306" s="993"/>
      <c r="V306" s="993"/>
      <c r="W306" s="993"/>
      <c r="X306" s="993"/>
    </row>
    <row r="307" spans="1:24" x14ac:dyDescent="0.3">
      <c r="A307" s="1594"/>
      <c r="B307" s="993"/>
      <c r="C307" s="993"/>
      <c r="D307" s="993"/>
      <c r="E307" s="2412"/>
      <c r="F307" s="2412"/>
      <c r="G307" s="993"/>
      <c r="H307" s="993"/>
      <c r="I307" s="993"/>
      <c r="J307" s="993"/>
      <c r="K307" s="993"/>
      <c r="L307" s="993"/>
      <c r="M307" s="993"/>
      <c r="N307" s="993"/>
      <c r="O307" s="993"/>
      <c r="P307" s="993"/>
      <c r="Q307" s="993"/>
      <c r="R307" s="993"/>
      <c r="S307" s="993"/>
      <c r="T307" s="993"/>
      <c r="U307" s="993"/>
      <c r="V307" s="993"/>
      <c r="W307" s="993"/>
      <c r="X307" s="993"/>
    </row>
    <row r="308" spans="1:24" x14ac:dyDescent="0.3">
      <c r="A308" s="1594"/>
      <c r="B308" s="993"/>
      <c r="C308" s="993"/>
      <c r="D308" s="993"/>
      <c r="E308" s="2412"/>
      <c r="F308" s="2412"/>
      <c r="G308" s="993"/>
      <c r="H308" s="993"/>
      <c r="I308" s="993"/>
      <c r="J308" s="993"/>
      <c r="K308" s="993"/>
      <c r="L308" s="993"/>
      <c r="M308" s="993"/>
      <c r="N308" s="993"/>
      <c r="O308" s="993"/>
      <c r="P308" s="993"/>
      <c r="Q308" s="993"/>
      <c r="R308" s="993"/>
      <c r="S308" s="993"/>
      <c r="T308" s="993"/>
      <c r="U308" s="993"/>
      <c r="V308" s="993"/>
      <c r="W308" s="993"/>
      <c r="X308" s="993"/>
    </row>
    <row r="309" spans="1:24" x14ac:dyDescent="0.3">
      <c r="A309" s="1594"/>
      <c r="B309" s="993"/>
      <c r="C309" s="993"/>
      <c r="D309" s="993"/>
      <c r="E309" s="2412"/>
      <c r="F309" s="2412"/>
      <c r="G309" s="993"/>
      <c r="H309" s="993"/>
      <c r="I309" s="993"/>
      <c r="J309" s="993"/>
      <c r="K309" s="993"/>
      <c r="L309" s="993"/>
      <c r="M309" s="993"/>
      <c r="N309" s="993"/>
      <c r="O309" s="993"/>
      <c r="P309" s="993"/>
      <c r="Q309" s="993"/>
      <c r="R309" s="993"/>
      <c r="S309" s="993"/>
      <c r="T309" s="993"/>
      <c r="U309" s="993"/>
      <c r="V309" s="993"/>
      <c r="W309" s="993"/>
      <c r="X309" s="993"/>
    </row>
    <row r="310" spans="1:24" x14ac:dyDescent="0.3">
      <c r="A310" s="1594"/>
      <c r="B310" s="993"/>
      <c r="C310" s="993"/>
      <c r="D310" s="993"/>
      <c r="E310" s="2412"/>
      <c r="F310" s="2412"/>
      <c r="G310" s="993"/>
      <c r="H310" s="993"/>
      <c r="I310" s="993"/>
      <c r="J310" s="993"/>
      <c r="K310" s="993"/>
      <c r="L310" s="993"/>
      <c r="M310" s="993"/>
      <c r="N310" s="993"/>
      <c r="O310" s="993"/>
      <c r="P310" s="993"/>
      <c r="Q310" s="993"/>
      <c r="R310" s="993"/>
      <c r="S310" s="993"/>
      <c r="T310" s="993"/>
      <c r="U310" s="993"/>
      <c r="V310" s="993"/>
      <c r="W310" s="993"/>
      <c r="X310" s="993"/>
    </row>
    <row r="311" spans="1:24" x14ac:dyDescent="0.3">
      <c r="A311" s="1594"/>
      <c r="B311" s="993"/>
      <c r="C311" s="993"/>
      <c r="D311" s="993"/>
      <c r="E311" s="2412"/>
      <c r="F311" s="2412"/>
      <c r="G311" s="993"/>
      <c r="H311" s="993"/>
      <c r="I311" s="993"/>
      <c r="J311" s="993"/>
      <c r="K311" s="993"/>
      <c r="L311" s="993"/>
      <c r="M311" s="993"/>
      <c r="N311" s="993"/>
      <c r="O311" s="993"/>
      <c r="P311" s="993"/>
      <c r="Q311" s="993"/>
      <c r="R311" s="993"/>
      <c r="S311" s="993"/>
      <c r="T311" s="993"/>
      <c r="U311" s="993"/>
      <c r="V311" s="993"/>
      <c r="W311" s="993"/>
      <c r="X311" s="993"/>
    </row>
    <row r="312" spans="1:24" x14ac:dyDescent="0.3">
      <c r="A312" s="1594"/>
      <c r="B312" s="993"/>
      <c r="C312" s="993"/>
      <c r="D312" s="993"/>
      <c r="E312" s="2412"/>
      <c r="F312" s="2412"/>
      <c r="G312" s="993"/>
      <c r="H312" s="993"/>
      <c r="I312" s="993"/>
      <c r="J312" s="993"/>
      <c r="K312" s="993"/>
      <c r="L312" s="993"/>
      <c r="M312" s="993"/>
      <c r="N312" s="993"/>
      <c r="O312" s="993"/>
      <c r="P312" s="993"/>
      <c r="Q312" s="993"/>
      <c r="R312" s="993"/>
      <c r="S312" s="993"/>
      <c r="T312" s="993"/>
      <c r="U312" s="993"/>
      <c r="V312" s="993"/>
      <c r="W312" s="993"/>
      <c r="X312" s="993"/>
    </row>
    <row r="313" spans="1:24" x14ac:dyDescent="0.3">
      <c r="A313" s="1594"/>
      <c r="B313" s="993"/>
      <c r="C313" s="993"/>
      <c r="D313" s="993"/>
      <c r="E313" s="2412"/>
      <c r="F313" s="2412"/>
      <c r="G313" s="993"/>
      <c r="H313" s="993"/>
      <c r="I313" s="993"/>
      <c r="J313" s="993"/>
      <c r="K313" s="993"/>
      <c r="L313" s="993"/>
      <c r="M313" s="993"/>
      <c r="N313" s="993"/>
      <c r="O313" s="993"/>
      <c r="P313" s="993"/>
      <c r="Q313" s="993"/>
      <c r="R313" s="993"/>
      <c r="S313" s="993"/>
      <c r="T313" s="993"/>
      <c r="U313" s="993"/>
      <c r="V313" s="993"/>
      <c r="W313" s="993"/>
      <c r="X313" s="993"/>
    </row>
    <row r="314" spans="1:24" x14ac:dyDescent="0.3">
      <c r="A314" s="1594"/>
      <c r="B314" s="993"/>
      <c r="C314" s="993"/>
      <c r="D314" s="993"/>
      <c r="E314" s="2412"/>
      <c r="F314" s="2412"/>
      <c r="G314" s="993"/>
      <c r="H314" s="993"/>
      <c r="I314" s="993"/>
      <c r="J314" s="993"/>
      <c r="K314" s="993"/>
      <c r="L314" s="993"/>
      <c r="M314" s="993"/>
      <c r="N314" s="993"/>
      <c r="O314" s="993"/>
      <c r="P314" s="993"/>
      <c r="Q314" s="993"/>
      <c r="R314" s="993"/>
      <c r="S314" s="993"/>
      <c r="T314" s="993"/>
      <c r="U314" s="993"/>
      <c r="V314" s="993"/>
      <c r="W314" s="993"/>
      <c r="X314" s="993"/>
    </row>
    <row r="315" spans="1:24" x14ac:dyDescent="0.3">
      <c r="A315" s="1594"/>
      <c r="B315" s="993"/>
      <c r="C315" s="993"/>
      <c r="D315" s="993"/>
      <c r="E315" s="2412"/>
      <c r="F315" s="2412"/>
      <c r="G315" s="993"/>
      <c r="H315" s="993"/>
      <c r="I315" s="993"/>
      <c r="J315" s="993"/>
      <c r="K315" s="993"/>
      <c r="L315" s="993"/>
      <c r="M315" s="993"/>
      <c r="N315" s="993"/>
      <c r="O315" s="993"/>
      <c r="P315" s="993"/>
      <c r="Q315" s="993"/>
      <c r="R315" s="993"/>
      <c r="S315" s="993"/>
      <c r="T315" s="993"/>
      <c r="U315" s="993"/>
      <c r="V315" s="993"/>
      <c r="W315" s="993"/>
      <c r="X315" s="993"/>
    </row>
    <row r="316" spans="1:24" x14ac:dyDescent="0.3">
      <c r="A316" s="1594"/>
      <c r="B316" s="993"/>
      <c r="C316" s="993"/>
      <c r="D316" s="993"/>
      <c r="E316" s="2412"/>
      <c r="F316" s="2412"/>
      <c r="G316" s="993"/>
      <c r="H316" s="993"/>
      <c r="I316" s="993"/>
      <c r="J316" s="993"/>
      <c r="K316" s="993"/>
      <c r="L316" s="993"/>
      <c r="M316" s="993"/>
      <c r="N316" s="993"/>
      <c r="O316" s="993"/>
      <c r="P316" s="993"/>
      <c r="Q316" s="993"/>
      <c r="R316" s="993"/>
      <c r="S316" s="993"/>
      <c r="T316" s="993"/>
      <c r="U316" s="993"/>
      <c r="V316" s="993"/>
      <c r="W316" s="993"/>
      <c r="X316" s="993"/>
    </row>
    <row r="317" spans="1:24" x14ac:dyDescent="0.3">
      <c r="A317" s="1594"/>
      <c r="B317" s="993"/>
      <c r="C317" s="993"/>
      <c r="D317" s="993"/>
      <c r="E317" s="2412"/>
      <c r="F317" s="2412"/>
      <c r="G317" s="993"/>
      <c r="H317" s="993"/>
      <c r="I317" s="993"/>
      <c r="J317" s="993"/>
      <c r="K317" s="993"/>
      <c r="L317" s="993"/>
      <c r="M317" s="993"/>
      <c r="N317" s="993"/>
      <c r="O317" s="993"/>
      <c r="P317" s="993"/>
      <c r="Q317" s="993"/>
      <c r="R317" s="993"/>
      <c r="S317" s="993"/>
      <c r="T317" s="993"/>
      <c r="U317" s="993"/>
      <c r="V317" s="993"/>
      <c r="W317" s="993"/>
      <c r="X317" s="993"/>
    </row>
    <row r="318" spans="1:24" x14ac:dyDescent="0.3">
      <c r="A318" s="1594"/>
      <c r="B318" s="993"/>
      <c r="C318" s="993"/>
      <c r="D318" s="993"/>
      <c r="E318" s="2412"/>
      <c r="F318" s="2412"/>
      <c r="G318" s="993"/>
      <c r="H318" s="993"/>
      <c r="I318" s="993"/>
      <c r="J318" s="993"/>
      <c r="K318" s="993"/>
      <c r="L318" s="993"/>
      <c r="M318" s="993"/>
      <c r="N318" s="993"/>
      <c r="O318" s="993"/>
      <c r="P318" s="993"/>
      <c r="Q318" s="993"/>
      <c r="R318" s="993"/>
      <c r="S318" s="993"/>
      <c r="T318" s="993"/>
      <c r="U318" s="993"/>
      <c r="V318" s="993"/>
      <c r="W318" s="993"/>
      <c r="X318" s="993"/>
    </row>
    <row r="319" spans="1:24" x14ac:dyDescent="0.3">
      <c r="A319" s="1594"/>
      <c r="B319" s="993"/>
      <c r="C319" s="993"/>
      <c r="D319" s="993"/>
      <c r="E319" s="2412"/>
      <c r="F319" s="2412"/>
      <c r="G319" s="993"/>
      <c r="H319" s="993"/>
      <c r="I319" s="993"/>
      <c r="J319" s="993"/>
      <c r="K319" s="993"/>
      <c r="L319" s="993"/>
      <c r="M319" s="993"/>
      <c r="N319" s="993"/>
      <c r="O319" s="993"/>
      <c r="P319" s="993"/>
      <c r="Q319" s="993"/>
      <c r="R319" s="993"/>
      <c r="S319" s="993"/>
      <c r="T319" s="993"/>
      <c r="U319" s="993"/>
      <c r="V319" s="993"/>
      <c r="W319" s="993"/>
      <c r="X319" s="993"/>
    </row>
    <row r="320" spans="1:24" x14ac:dyDescent="0.3">
      <c r="A320" s="1594"/>
      <c r="B320" s="993"/>
      <c r="C320" s="993"/>
      <c r="D320" s="993"/>
      <c r="E320" s="2412"/>
      <c r="F320" s="2412"/>
      <c r="G320" s="993"/>
      <c r="H320" s="993"/>
      <c r="I320" s="993"/>
      <c r="J320" s="993"/>
      <c r="K320" s="993"/>
      <c r="L320" s="993"/>
      <c r="M320" s="993"/>
      <c r="N320" s="993"/>
      <c r="O320" s="993"/>
      <c r="P320" s="993"/>
      <c r="Q320" s="993"/>
      <c r="R320" s="993"/>
      <c r="S320" s="993"/>
      <c r="T320" s="993"/>
      <c r="U320" s="993"/>
      <c r="V320" s="993"/>
      <c r="W320" s="993"/>
      <c r="X320" s="993"/>
    </row>
    <row r="321" spans="1:24" x14ac:dyDescent="0.3">
      <c r="A321" s="1594"/>
      <c r="B321" s="993"/>
      <c r="C321" s="993"/>
      <c r="D321" s="993"/>
      <c r="E321" s="2412"/>
      <c r="F321" s="2412"/>
      <c r="G321" s="993"/>
      <c r="H321" s="993"/>
      <c r="I321" s="993"/>
      <c r="J321" s="993"/>
      <c r="K321" s="993"/>
      <c r="L321" s="993"/>
      <c r="M321" s="993"/>
      <c r="N321" s="993"/>
      <c r="O321" s="993"/>
      <c r="P321" s="993"/>
      <c r="Q321" s="993"/>
      <c r="R321" s="993"/>
      <c r="S321" s="993"/>
      <c r="T321" s="993"/>
      <c r="U321" s="993"/>
      <c r="V321" s="993"/>
      <c r="W321" s="993"/>
      <c r="X321" s="993"/>
    </row>
    <row r="322" spans="1:24" x14ac:dyDescent="0.3">
      <c r="A322" s="1594"/>
      <c r="B322" s="993"/>
      <c r="C322" s="993"/>
      <c r="D322" s="993"/>
      <c r="E322" s="2412"/>
      <c r="F322" s="2412"/>
      <c r="G322" s="993"/>
      <c r="H322" s="993"/>
      <c r="I322" s="993"/>
      <c r="J322" s="993"/>
      <c r="K322" s="993"/>
      <c r="L322" s="993"/>
      <c r="M322" s="993"/>
      <c r="N322" s="993"/>
      <c r="O322" s="993"/>
      <c r="P322" s="993"/>
      <c r="Q322" s="993"/>
      <c r="R322" s="993"/>
      <c r="S322" s="993"/>
      <c r="T322" s="993"/>
      <c r="U322" s="993"/>
      <c r="V322" s="993"/>
      <c r="W322" s="993"/>
      <c r="X322" s="993"/>
    </row>
    <row r="323" spans="1:24" x14ac:dyDescent="0.3">
      <c r="A323" s="1594"/>
      <c r="B323" s="993"/>
      <c r="C323" s="993"/>
      <c r="D323" s="993"/>
      <c r="E323" s="2412"/>
      <c r="F323" s="2412"/>
      <c r="G323" s="993"/>
      <c r="H323" s="993"/>
      <c r="I323" s="993"/>
      <c r="J323" s="993"/>
      <c r="K323" s="993"/>
      <c r="L323" s="993"/>
      <c r="M323" s="993"/>
      <c r="N323" s="993"/>
      <c r="O323" s="993"/>
      <c r="P323" s="993"/>
      <c r="Q323" s="993"/>
      <c r="R323" s="993"/>
      <c r="S323" s="993"/>
      <c r="T323" s="993"/>
      <c r="U323" s="993"/>
      <c r="V323" s="993"/>
      <c r="W323" s="993"/>
      <c r="X323" s="993"/>
    </row>
    <row r="324" spans="1:24" x14ac:dyDescent="0.3">
      <c r="A324" s="1594"/>
      <c r="B324" s="993"/>
      <c r="C324" s="993"/>
      <c r="D324" s="993"/>
      <c r="E324" s="2412"/>
      <c r="F324" s="2412"/>
      <c r="G324" s="993"/>
      <c r="H324" s="993"/>
      <c r="I324" s="993"/>
      <c r="J324" s="993"/>
      <c r="K324" s="993"/>
      <c r="L324" s="993"/>
      <c r="M324" s="993"/>
      <c r="N324" s="993"/>
      <c r="O324" s="993"/>
      <c r="P324" s="993"/>
      <c r="Q324" s="993"/>
      <c r="R324" s="993"/>
      <c r="S324" s="993"/>
      <c r="T324" s="993"/>
      <c r="U324" s="993"/>
      <c r="V324" s="993"/>
      <c r="W324" s="993"/>
      <c r="X324" s="993"/>
    </row>
    <row r="325" spans="1:24" x14ac:dyDescent="0.3">
      <c r="A325" s="1594"/>
      <c r="B325" s="993"/>
      <c r="C325" s="993"/>
      <c r="D325" s="993"/>
      <c r="E325" s="2412"/>
      <c r="F325" s="2412"/>
      <c r="G325" s="993"/>
      <c r="H325" s="993"/>
      <c r="I325" s="993"/>
      <c r="J325" s="993"/>
      <c r="K325" s="993"/>
      <c r="L325" s="993"/>
      <c r="M325" s="993"/>
      <c r="N325" s="993"/>
      <c r="O325" s="993"/>
      <c r="P325" s="993"/>
      <c r="Q325" s="993"/>
      <c r="R325" s="993"/>
      <c r="S325" s="993"/>
      <c r="T325" s="993"/>
      <c r="U325" s="993"/>
      <c r="V325" s="993"/>
      <c r="W325" s="993"/>
      <c r="X325" s="993"/>
    </row>
    <row r="326" spans="1:24" x14ac:dyDescent="0.3">
      <c r="A326" s="1594"/>
      <c r="B326" s="993"/>
      <c r="C326" s="993"/>
      <c r="D326" s="993"/>
      <c r="E326" s="2412"/>
      <c r="F326" s="2412"/>
      <c r="G326" s="993"/>
      <c r="H326" s="993"/>
      <c r="I326" s="993"/>
      <c r="J326" s="993"/>
      <c r="K326" s="993"/>
      <c r="L326" s="993"/>
      <c r="M326" s="993"/>
      <c r="N326" s="993"/>
      <c r="O326" s="993"/>
      <c r="P326" s="993"/>
      <c r="Q326" s="993"/>
      <c r="R326" s="993"/>
      <c r="S326" s="993"/>
      <c r="T326" s="993"/>
      <c r="U326" s="993"/>
      <c r="V326" s="993"/>
      <c r="W326" s="993"/>
      <c r="X326" s="993"/>
    </row>
    <row r="327" spans="1:24" x14ac:dyDescent="0.3">
      <c r="A327" s="1594"/>
      <c r="B327" s="993"/>
      <c r="C327" s="993"/>
      <c r="D327" s="993"/>
      <c r="E327" s="2412"/>
      <c r="F327" s="2412"/>
      <c r="G327" s="993"/>
      <c r="H327" s="993"/>
      <c r="I327" s="993"/>
      <c r="J327" s="993"/>
      <c r="K327" s="993"/>
      <c r="L327" s="993"/>
      <c r="M327" s="993"/>
      <c r="N327" s="993"/>
      <c r="O327" s="993"/>
      <c r="P327" s="993"/>
      <c r="Q327" s="993"/>
      <c r="R327" s="993"/>
      <c r="S327" s="993"/>
      <c r="T327" s="993"/>
      <c r="U327" s="993"/>
      <c r="V327" s="993"/>
      <c r="W327" s="993"/>
      <c r="X327" s="993"/>
    </row>
    <row r="328" spans="1:24" x14ac:dyDescent="0.3">
      <c r="A328" s="1594"/>
      <c r="B328" s="993"/>
      <c r="C328" s="993"/>
      <c r="D328" s="993"/>
      <c r="E328" s="2412"/>
      <c r="F328" s="2412"/>
      <c r="G328" s="993"/>
      <c r="H328" s="993"/>
      <c r="I328" s="993"/>
      <c r="J328" s="993"/>
      <c r="K328" s="993"/>
      <c r="L328" s="993"/>
      <c r="M328" s="993"/>
      <c r="N328" s="993"/>
      <c r="O328" s="993"/>
      <c r="P328" s="993"/>
      <c r="Q328" s="993"/>
      <c r="R328" s="993"/>
      <c r="S328" s="993"/>
      <c r="T328" s="993"/>
      <c r="U328" s="993"/>
      <c r="V328" s="993"/>
      <c r="W328" s="993"/>
      <c r="X328" s="993"/>
    </row>
    <row r="329" spans="1:24" x14ac:dyDescent="0.3">
      <c r="A329" s="1594"/>
      <c r="B329" s="993"/>
      <c r="C329" s="993"/>
      <c r="D329" s="993"/>
      <c r="E329" s="2412"/>
      <c r="F329" s="2412"/>
      <c r="G329" s="993"/>
      <c r="H329" s="993"/>
      <c r="I329" s="993"/>
      <c r="J329" s="993"/>
      <c r="K329" s="993"/>
      <c r="L329" s="993"/>
      <c r="M329" s="993"/>
      <c r="N329" s="993"/>
      <c r="O329" s="993"/>
      <c r="P329" s="993"/>
      <c r="Q329" s="993"/>
      <c r="R329" s="993"/>
      <c r="S329" s="993"/>
      <c r="T329" s="993"/>
      <c r="U329" s="993"/>
      <c r="V329" s="993"/>
      <c r="W329" s="993"/>
      <c r="X329" s="993"/>
    </row>
    <row r="330" spans="1:24" x14ac:dyDescent="0.3">
      <c r="A330" s="1594"/>
      <c r="B330" s="993"/>
      <c r="C330" s="993"/>
      <c r="D330" s="993"/>
      <c r="E330" s="2412"/>
      <c r="F330" s="2412"/>
      <c r="G330" s="993"/>
      <c r="H330" s="993"/>
      <c r="I330" s="993"/>
      <c r="J330" s="993"/>
      <c r="K330" s="993"/>
      <c r="L330" s="993"/>
      <c r="M330" s="993"/>
      <c r="N330" s="993"/>
      <c r="O330" s="993"/>
      <c r="P330" s="993"/>
      <c r="Q330" s="993"/>
      <c r="R330" s="993"/>
      <c r="S330" s="993"/>
      <c r="T330" s="993"/>
      <c r="U330" s="993"/>
      <c r="V330" s="993"/>
      <c r="W330" s="993"/>
      <c r="X330" s="993"/>
    </row>
    <row r="331" spans="1:24" x14ac:dyDescent="0.3">
      <c r="A331" s="1594"/>
      <c r="B331" s="993"/>
      <c r="C331" s="993"/>
      <c r="D331" s="993"/>
      <c r="E331" s="2412"/>
      <c r="F331" s="2412"/>
      <c r="G331" s="993"/>
      <c r="H331" s="993"/>
      <c r="I331" s="993"/>
      <c r="J331" s="993"/>
      <c r="K331" s="993"/>
      <c r="L331" s="993"/>
      <c r="M331" s="993"/>
      <c r="N331" s="993"/>
      <c r="O331" s="993"/>
      <c r="P331" s="993"/>
      <c r="Q331" s="993"/>
      <c r="R331" s="993"/>
      <c r="S331" s="993"/>
      <c r="T331" s="993"/>
      <c r="U331" s="993"/>
      <c r="V331" s="993"/>
      <c r="W331" s="993"/>
      <c r="X331" s="993"/>
    </row>
    <row r="332" spans="1:24" x14ac:dyDescent="0.3">
      <c r="A332" s="1594"/>
      <c r="B332" s="993"/>
      <c r="C332" s="993"/>
      <c r="D332" s="993"/>
      <c r="E332" s="2412"/>
      <c r="F332" s="2412"/>
      <c r="G332" s="993"/>
      <c r="H332" s="993"/>
      <c r="I332" s="993"/>
      <c r="J332" s="993"/>
      <c r="K332" s="993"/>
      <c r="L332" s="993"/>
      <c r="M332" s="993"/>
      <c r="N332" s="993"/>
      <c r="O332" s="993"/>
      <c r="P332" s="993"/>
      <c r="Q332" s="993"/>
      <c r="R332" s="993"/>
      <c r="S332" s="993"/>
      <c r="T332" s="993"/>
      <c r="U332" s="993"/>
      <c r="V332" s="993"/>
      <c r="W332" s="993"/>
      <c r="X332" s="993"/>
    </row>
    <row r="333" spans="1:24" x14ac:dyDescent="0.3">
      <c r="A333" s="1594"/>
      <c r="B333" s="993"/>
      <c r="C333" s="993"/>
      <c r="D333" s="993"/>
      <c r="E333" s="2412"/>
      <c r="F333" s="2412"/>
      <c r="G333" s="993"/>
      <c r="H333" s="993"/>
      <c r="I333" s="993"/>
      <c r="J333" s="993"/>
      <c r="K333" s="993"/>
      <c r="L333" s="993"/>
      <c r="M333" s="993"/>
      <c r="N333" s="993"/>
      <c r="O333" s="993"/>
      <c r="P333" s="993"/>
      <c r="Q333" s="993"/>
      <c r="R333" s="993"/>
      <c r="S333" s="993"/>
      <c r="T333" s="993"/>
      <c r="U333" s="993"/>
      <c r="V333" s="993"/>
      <c r="W333" s="993"/>
      <c r="X333" s="993"/>
    </row>
    <row r="334" spans="1:24" x14ac:dyDescent="0.3">
      <c r="A334" s="1594"/>
      <c r="B334" s="993"/>
      <c r="C334" s="993"/>
      <c r="D334" s="993"/>
      <c r="E334" s="2412"/>
      <c r="F334" s="2412"/>
      <c r="G334" s="993"/>
      <c r="H334" s="993"/>
      <c r="I334" s="993"/>
      <c r="J334" s="993"/>
      <c r="K334" s="993"/>
      <c r="L334" s="993"/>
      <c r="M334" s="993"/>
      <c r="N334" s="993"/>
      <c r="O334" s="993"/>
      <c r="P334" s="993"/>
      <c r="Q334" s="993"/>
      <c r="R334" s="993"/>
      <c r="S334" s="993"/>
      <c r="T334" s="993"/>
      <c r="U334" s="993"/>
      <c r="V334" s="993"/>
      <c r="W334" s="993"/>
      <c r="X334" s="993"/>
    </row>
    <row r="335" spans="1:24" x14ac:dyDescent="0.3">
      <c r="A335" s="1594"/>
      <c r="B335" s="993"/>
      <c r="C335" s="993"/>
      <c r="D335" s="993"/>
      <c r="E335" s="2412"/>
      <c r="F335" s="2412"/>
      <c r="G335" s="993"/>
      <c r="H335" s="993"/>
      <c r="I335" s="993"/>
      <c r="J335" s="993"/>
      <c r="K335" s="993"/>
      <c r="L335" s="993"/>
      <c r="M335" s="993"/>
      <c r="N335" s="993"/>
      <c r="O335" s="993"/>
      <c r="P335" s="993"/>
      <c r="Q335" s="993"/>
      <c r="R335" s="993"/>
      <c r="S335" s="993"/>
      <c r="T335" s="993"/>
      <c r="U335" s="993"/>
      <c r="V335" s="993"/>
      <c r="W335" s="993"/>
      <c r="X335" s="993"/>
    </row>
    <row r="336" spans="1:24" x14ac:dyDescent="0.3">
      <c r="A336" s="1594"/>
      <c r="B336" s="993"/>
      <c r="C336" s="993"/>
      <c r="D336" s="993"/>
      <c r="E336" s="2412"/>
      <c r="F336" s="2412"/>
      <c r="G336" s="993"/>
      <c r="H336" s="993"/>
      <c r="I336" s="993"/>
      <c r="J336" s="993"/>
      <c r="K336" s="993"/>
      <c r="L336" s="993"/>
      <c r="M336" s="993"/>
      <c r="N336" s="993"/>
      <c r="O336" s="993"/>
      <c r="P336" s="993"/>
      <c r="Q336" s="993"/>
      <c r="R336" s="993"/>
      <c r="S336" s="993"/>
      <c r="T336" s="993"/>
      <c r="U336" s="993"/>
      <c r="V336" s="993"/>
      <c r="W336" s="993"/>
      <c r="X336" s="993"/>
    </row>
    <row r="337" spans="1:24" x14ac:dyDescent="0.3">
      <c r="A337" s="1594"/>
      <c r="B337" s="993"/>
      <c r="C337" s="993"/>
      <c r="D337" s="993"/>
      <c r="E337" s="2412"/>
      <c r="F337" s="2412"/>
      <c r="G337" s="993"/>
      <c r="H337" s="993"/>
      <c r="I337" s="993"/>
      <c r="J337" s="993"/>
      <c r="K337" s="993"/>
      <c r="L337" s="993"/>
      <c r="M337" s="993"/>
      <c r="N337" s="993"/>
      <c r="O337" s="993"/>
      <c r="P337" s="993"/>
      <c r="Q337" s="993"/>
      <c r="R337" s="993"/>
      <c r="S337" s="993"/>
      <c r="T337" s="993"/>
      <c r="U337" s="993"/>
      <c r="V337" s="993"/>
      <c r="W337" s="993"/>
      <c r="X337" s="993"/>
    </row>
    <row r="338" spans="1:24" x14ac:dyDescent="0.3">
      <c r="A338" s="1594"/>
      <c r="B338" s="993"/>
      <c r="C338" s="993"/>
      <c r="D338" s="993"/>
      <c r="E338" s="2412"/>
      <c r="F338" s="2412"/>
      <c r="G338" s="993"/>
      <c r="H338" s="993"/>
      <c r="I338" s="993"/>
      <c r="J338" s="993"/>
      <c r="K338" s="993"/>
      <c r="L338" s="993"/>
      <c r="M338" s="993"/>
      <c r="N338" s="993"/>
      <c r="O338" s="993"/>
      <c r="P338" s="993"/>
      <c r="Q338" s="993"/>
      <c r="R338" s="993"/>
      <c r="S338" s="993"/>
      <c r="T338" s="993"/>
      <c r="U338" s="993"/>
      <c r="V338" s="993"/>
      <c r="W338" s="993"/>
      <c r="X338" s="993"/>
    </row>
    <row r="339" spans="1:24" x14ac:dyDescent="0.3">
      <c r="A339" s="1594"/>
      <c r="B339" s="993"/>
      <c r="C339" s="993"/>
      <c r="D339" s="993"/>
      <c r="E339" s="2412"/>
      <c r="F339" s="2412"/>
      <c r="G339" s="993"/>
      <c r="H339" s="993"/>
      <c r="I339" s="993"/>
      <c r="J339" s="993"/>
      <c r="K339" s="993"/>
      <c r="L339" s="993"/>
      <c r="M339" s="993"/>
      <c r="N339" s="993"/>
      <c r="O339" s="993"/>
      <c r="P339" s="993"/>
      <c r="Q339" s="993"/>
      <c r="R339" s="993"/>
      <c r="S339" s="993"/>
      <c r="T339" s="993"/>
      <c r="U339" s="993"/>
      <c r="V339" s="993"/>
      <c r="W339" s="993"/>
      <c r="X339" s="993"/>
    </row>
    <row r="340" spans="1:24" x14ac:dyDescent="0.3">
      <c r="A340" s="1594"/>
      <c r="B340" s="993"/>
      <c r="C340" s="993"/>
      <c r="D340" s="993"/>
      <c r="E340" s="2412"/>
      <c r="F340" s="2412"/>
      <c r="G340" s="993"/>
      <c r="H340" s="993"/>
      <c r="I340" s="993"/>
      <c r="J340" s="993"/>
      <c r="K340" s="993"/>
      <c r="L340" s="993"/>
      <c r="M340" s="993"/>
      <c r="N340" s="993"/>
      <c r="O340" s="993"/>
      <c r="P340" s="993"/>
      <c r="Q340" s="993"/>
      <c r="R340" s="993"/>
      <c r="S340" s="993"/>
      <c r="T340" s="993"/>
      <c r="U340" s="993"/>
      <c r="V340" s="993"/>
      <c r="W340" s="993"/>
      <c r="X340" s="993"/>
    </row>
    <row r="341" spans="1:24" x14ac:dyDescent="0.3">
      <c r="A341" s="1594"/>
      <c r="B341" s="993"/>
      <c r="C341" s="993"/>
      <c r="D341" s="993"/>
      <c r="E341" s="2412"/>
      <c r="F341" s="2412"/>
      <c r="G341" s="993"/>
      <c r="H341" s="993"/>
      <c r="I341" s="993"/>
      <c r="J341" s="993"/>
      <c r="K341" s="993"/>
      <c r="L341" s="993"/>
      <c r="M341" s="993"/>
      <c r="N341" s="993"/>
      <c r="O341" s="993"/>
      <c r="P341" s="993"/>
      <c r="Q341" s="993"/>
      <c r="R341" s="993"/>
      <c r="S341" s="993"/>
      <c r="T341" s="993"/>
      <c r="U341" s="993"/>
      <c r="V341" s="993"/>
      <c r="W341" s="993"/>
      <c r="X341" s="993"/>
    </row>
    <row r="342" spans="1:24" x14ac:dyDescent="0.3">
      <c r="A342" s="1594"/>
      <c r="B342" s="993"/>
      <c r="C342" s="993"/>
      <c r="D342" s="993"/>
      <c r="E342" s="2412"/>
      <c r="F342" s="2412"/>
      <c r="G342" s="993"/>
      <c r="H342" s="993"/>
      <c r="I342" s="993"/>
      <c r="J342" s="993"/>
      <c r="K342" s="993"/>
      <c r="L342" s="993"/>
      <c r="M342" s="993"/>
      <c r="N342" s="993"/>
      <c r="O342" s="993"/>
      <c r="P342" s="993"/>
      <c r="Q342" s="993"/>
      <c r="R342" s="993"/>
      <c r="S342" s="993"/>
      <c r="T342" s="993"/>
      <c r="U342" s="993"/>
      <c r="V342" s="993"/>
      <c r="W342" s="993"/>
      <c r="X342" s="993"/>
    </row>
    <row r="343" spans="1:24" x14ac:dyDescent="0.3">
      <c r="A343" s="1594"/>
      <c r="B343" s="993"/>
      <c r="C343" s="993"/>
      <c r="D343" s="993"/>
      <c r="E343" s="2412"/>
      <c r="F343" s="2412"/>
      <c r="G343" s="993"/>
      <c r="H343" s="993"/>
      <c r="I343" s="993"/>
      <c r="J343" s="993"/>
      <c r="K343" s="993"/>
      <c r="L343" s="993"/>
      <c r="M343" s="993"/>
      <c r="N343" s="993"/>
      <c r="O343" s="993"/>
      <c r="P343" s="993"/>
      <c r="Q343" s="993"/>
      <c r="R343" s="993"/>
      <c r="S343" s="993"/>
      <c r="T343" s="993"/>
      <c r="U343" s="993"/>
      <c r="V343" s="993"/>
      <c r="W343" s="993"/>
      <c r="X343" s="993"/>
    </row>
    <row r="344" spans="1:24" x14ac:dyDescent="0.3">
      <c r="A344" s="1594"/>
      <c r="B344" s="993"/>
      <c r="C344" s="993"/>
      <c r="D344" s="993"/>
      <c r="E344" s="2412"/>
      <c r="F344" s="2412"/>
      <c r="G344" s="993"/>
      <c r="H344" s="993"/>
      <c r="I344" s="993"/>
      <c r="J344" s="993"/>
      <c r="K344" s="993"/>
      <c r="L344" s="993"/>
      <c r="M344" s="993"/>
      <c r="N344" s="993"/>
      <c r="O344" s="993"/>
      <c r="P344" s="993"/>
      <c r="Q344" s="993"/>
      <c r="R344" s="993"/>
      <c r="S344" s="993"/>
      <c r="T344" s="993"/>
      <c r="U344" s="993"/>
      <c r="V344" s="993"/>
      <c r="W344" s="993"/>
      <c r="X344" s="993"/>
    </row>
    <row r="345" spans="1:24" x14ac:dyDescent="0.3">
      <c r="A345" s="1594"/>
      <c r="B345" s="993"/>
      <c r="C345" s="993"/>
      <c r="D345" s="993"/>
      <c r="E345" s="2412"/>
      <c r="F345" s="2412"/>
      <c r="G345" s="993"/>
      <c r="H345" s="993"/>
      <c r="I345" s="993"/>
      <c r="J345" s="993"/>
      <c r="K345" s="993"/>
      <c r="L345" s="993"/>
      <c r="M345" s="993"/>
      <c r="N345" s="993"/>
      <c r="O345" s="993"/>
      <c r="P345" s="993"/>
      <c r="Q345" s="993"/>
      <c r="R345" s="993"/>
      <c r="S345" s="993"/>
      <c r="T345" s="993"/>
      <c r="U345" s="993"/>
      <c r="V345" s="993"/>
      <c r="W345" s="993"/>
      <c r="X345" s="993"/>
    </row>
    <row r="346" spans="1:24" x14ac:dyDescent="0.3">
      <c r="A346" s="1594"/>
      <c r="B346" s="993"/>
      <c r="C346" s="993"/>
      <c r="D346" s="993"/>
      <c r="E346" s="2412"/>
      <c r="F346" s="2412"/>
      <c r="G346" s="993"/>
      <c r="H346" s="993"/>
      <c r="I346" s="993"/>
      <c r="J346" s="993"/>
      <c r="K346" s="993"/>
      <c r="L346" s="993"/>
      <c r="M346" s="993"/>
      <c r="N346" s="993"/>
      <c r="O346" s="993"/>
      <c r="P346" s="993"/>
      <c r="Q346" s="993"/>
      <c r="R346" s="993"/>
      <c r="S346" s="993"/>
      <c r="T346" s="993"/>
      <c r="U346" s="993"/>
      <c r="V346" s="993"/>
      <c r="W346" s="993"/>
      <c r="X346" s="993"/>
    </row>
    <row r="347" spans="1:24" x14ac:dyDescent="0.3">
      <c r="A347" s="1594"/>
      <c r="B347" s="993"/>
      <c r="C347" s="993"/>
      <c r="D347" s="993"/>
      <c r="E347" s="2412"/>
      <c r="F347" s="2412"/>
      <c r="G347" s="993"/>
      <c r="H347" s="993"/>
      <c r="I347" s="993"/>
      <c r="J347" s="993"/>
      <c r="K347" s="993"/>
      <c r="L347" s="993"/>
      <c r="M347" s="993"/>
      <c r="N347" s="993"/>
      <c r="O347" s="993"/>
      <c r="P347" s="993"/>
      <c r="Q347" s="993"/>
      <c r="R347" s="993"/>
      <c r="S347" s="993"/>
      <c r="T347" s="993"/>
      <c r="U347" s="993"/>
      <c r="V347" s="993"/>
      <c r="W347" s="993"/>
      <c r="X347" s="993"/>
    </row>
    <row r="348" spans="1:24" x14ac:dyDescent="0.3">
      <c r="A348" s="1594"/>
      <c r="B348" s="993"/>
      <c r="C348" s="993"/>
      <c r="D348" s="993"/>
      <c r="E348" s="2412"/>
      <c r="F348" s="2412"/>
      <c r="G348" s="993"/>
      <c r="H348" s="993"/>
      <c r="I348" s="993"/>
      <c r="J348" s="993"/>
      <c r="K348" s="993"/>
      <c r="L348" s="993"/>
      <c r="M348" s="993"/>
      <c r="N348" s="993"/>
      <c r="O348" s="993"/>
      <c r="P348" s="993"/>
      <c r="Q348" s="993"/>
      <c r="R348" s="993"/>
      <c r="S348" s="993"/>
      <c r="T348" s="993"/>
      <c r="U348" s="993"/>
      <c r="V348" s="993"/>
      <c r="W348" s="993"/>
      <c r="X348" s="993"/>
    </row>
    <row r="349" spans="1:24" x14ac:dyDescent="0.3">
      <c r="A349" s="1594"/>
      <c r="B349" s="993"/>
      <c r="C349" s="993"/>
      <c r="D349" s="993"/>
      <c r="E349" s="2412"/>
      <c r="F349" s="2412"/>
      <c r="G349" s="993"/>
      <c r="H349" s="993"/>
      <c r="I349" s="993"/>
      <c r="J349" s="993"/>
      <c r="K349" s="993"/>
      <c r="L349" s="993"/>
      <c r="M349" s="993"/>
      <c r="N349" s="993"/>
      <c r="O349" s="993"/>
      <c r="P349" s="993"/>
      <c r="Q349" s="993"/>
      <c r="R349" s="993"/>
      <c r="S349" s="993"/>
      <c r="T349" s="993"/>
      <c r="U349" s="993"/>
      <c r="V349" s="993"/>
      <c r="W349" s="993"/>
      <c r="X349" s="993"/>
    </row>
    <row r="350" spans="1:24" x14ac:dyDescent="0.3">
      <c r="A350" s="1594"/>
      <c r="B350" s="993"/>
      <c r="C350" s="993"/>
      <c r="D350" s="993"/>
      <c r="E350" s="2412"/>
      <c r="F350" s="2412"/>
      <c r="G350" s="993"/>
      <c r="H350" s="993"/>
      <c r="I350" s="993"/>
      <c r="J350" s="993"/>
      <c r="K350" s="993"/>
      <c r="L350" s="993"/>
      <c r="M350" s="993"/>
      <c r="N350" s="993"/>
      <c r="O350" s="993"/>
      <c r="P350" s="993"/>
      <c r="Q350" s="993"/>
      <c r="R350" s="993"/>
      <c r="S350" s="993"/>
      <c r="T350" s="993"/>
      <c r="U350" s="993"/>
      <c r="V350" s="993"/>
      <c r="W350" s="993"/>
      <c r="X350" s="993"/>
    </row>
    <row r="351" spans="1:24" x14ac:dyDescent="0.3">
      <c r="A351" s="1594"/>
      <c r="B351" s="993"/>
      <c r="C351" s="993"/>
      <c r="D351" s="993"/>
      <c r="E351" s="2412"/>
      <c r="F351" s="2412"/>
      <c r="G351" s="993"/>
      <c r="H351" s="993"/>
      <c r="I351" s="993"/>
      <c r="J351" s="993"/>
      <c r="K351" s="993"/>
      <c r="L351" s="993"/>
      <c r="M351" s="993"/>
      <c r="N351" s="993"/>
      <c r="O351" s="993"/>
      <c r="P351" s="993"/>
      <c r="Q351" s="993"/>
      <c r="R351" s="993"/>
      <c r="S351" s="993"/>
      <c r="T351" s="993"/>
      <c r="U351" s="993"/>
      <c r="V351" s="993"/>
      <c r="W351" s="993"/>
      <c r="X351" s="993"/>
    </row>
    <row r="352" spans="1:24" x14ac:dyDescent="0.3">
      <c r="A352" s="1594"/>
      <c r="B352" s="993"/>
      <c r="C352" s="993"/>
      <c r="D352" s="993"/>
      <c r="E352" s="2412"/>
      <c r="F352" s="2412"/>
      <c r="G352" s="993"/>
      <c r="H352" s="993"/>
      <c r="I352" s="993"/>
      <c r="J352" s="993"/>
      <c r="K352" s="993"/>
      <c r="L352" s="993"/>
      <c r="M352" s="993"/>
      <c r="N352" s="993"/>
      <c r="O352" s="993"/>
      <c r="P352" s="993"/>
      <c r="Q352" s="993"/>
      <c r="R352" s="993"/>
      <c r="S352" s="993"/>
      <c r="T352" s="993"/>
      <c r="U352" s="993"/>
      <c r="V352" s="993"/>
      <c r="W352" s="993"/>
      <c r="X352" s="993"/>
    </row>
    <row r="353" spans="1:24" x14ac:dyDescent="0.3">
      <c r="A353" s="1594"/>
      <c r="B353" s="993"/>
      <c r="C353" s="993"/>
      <c r="D353" s="993"/>
      <c r="E353" s="2412"/>
      <c r="F353" s="2412"/>
      <c r="G353" s="993"/>
      <c r="H353" s="993"/>
      <c r="I353" s="993"/>
      <c r="J353" s="993"/>
      <c r="K353" s="993"/>
      <c r="L353" s="993"/>
      <c r="M353" s="993"/>
      <c r="N353" s="993"/>
      <c r="O353" s="993"/>
      <c r="P353" s="993"/>
      <c r="Q353" s="993"/>
      <c r="R353" s="993"/>
      <c r="S353" s="993"/>
      <c r="T353" s="993"/>
      <c r="U353" s="993"/>
      <c r="V353" s="993"/>
      <c r="W353" s="993"/>
      <c r="X353" s="993"/>
    </row>
    <row r="354" spans="1:24" x14ac:dyDescent="0.3">
      <c r="A354" s="1594"/>
      <c r="B354" s="993"/>
      <c r="C354" s="993"/>
      <c r="D354" s="993"/>
      <c r="E354" s="2412"/>
      <c r="F354" s="2412"/>
      <c r="G354" s="993"/>
      <c r="H354" s="993"/>
      <c r="I354" s="993"/>
      <c r="J354" s="993"/>
      <c r="K354" s="993"/>
      <c r="L354" s="993"/>
      <c r="M354" s="993"/>
      <c r="N354" s="993"/>
      <c r="O354" s="993"/>
      <c r="P354" s="993"/>
      <c r="Q354" s="993"/>
      <c r="R354" s="993"/>
      <c r="S354" s="993"/>
      <c r="T354" s="993"/>
      <c r="U354" s="993"/>
      <c r="V354" s="993"/>
      <c r="W354" s="993"/>
      <c r="X354" s="993"/>
    </row>
    <row r="355" spans="1:24" x14ac:dyDescent="0.3">
      <c r="A355" s="1594"/>
      <c r="B355" s="993"/>
      <c r="C355" s="993"/>
      <c r="D355" s="993"/>
      <c r="E355" s="2412"/>
      <c r="F355" s="2412"/>
      <c r="G355" s="993"/>
      <c r="H355" s="993"/>
      <c r="I355" s="993"/>
      <c r="J355" s="993"/>
      <c r="K355" s="993"/>
      <c r="L355" s="993"/>
      <c r="M355" s="993"/>
      <c r="N355" s="993"/>
      <c r="O355" s="993"/>
      <c r="P355" s="993"/>
      <c r="Q355" s="993"/>
      <c r="R355" s="993"/>
      <c r="S355" s="993"/>
      <c r="T355" s="993"/>
      <c r="U355" s="993"/>
      <c r="V355" s="993"/>
      <c r="W355" s="993"/>
      <c r="X355" s="993"/>
    </row>
    <row r="356" spans="1:24" x14ac:dyDescent="0.3">
      <c r="A356" s="1594"/>
      <c r="B356" s="993"/>
      <c r="C356" s="993"/>
      <c r="D356" s="993"/>
      <c r="E356" s="2412"/>
      <c r="F356" s="2412"/>
      <c r="G356" s="993"/>
      <c r="H356" s="993"/>
      <c r="I356" s="993"/>
      <c r="J356" s="993"/>
      <c r="K356" s="993"/>
      <c r="L356" s="993"/>
      <c r="M356" s="993"/>
      <c r="N356" s="993"/>
      <c r="O356" s="993"/>
      <c r="P356" s="993"/>
      <c r="Q356" s="993"/>
      <c r="R356" s="993"/>
      <c r="S356" s="993"/>
      <c r="T356" s="993"/>
      <c r="U356" s="993"/>
      <c r="V356" s="993"/>
      <c r="W356" s="993"/>
      <c r="X356" s="993"/>
    </row>
    <row r="357" spans="1:24" x14ac:dyDescent="0.3">
      <c r="A357" s="1594"/>
      <c r="B357" s="993"/>
      <c r="C357" s="993"/>
      <c r="D357" s="993"/>
      <c r="E357" s="2412"/>
      <c r="F357" s="2412"/>
      <c r="G357" s="993"/>
      <c r="H357" s="993"/>
      <c r="I357" s="993"/>
      <c r="J357" s="993"/>
      <c r="K357" s="993"/>
      <c r="L357" s="993"/>
      <c r="M357" s="993"/>
      <c r="N357" s="993"/>
      <c r="O357" s="993"/>
      <c r="P357" s="993"/>
      <c r="Q357" s="993"/>
      <c r="R357" s="993"/>
      <c r="S357" s="993"/>
      <c r="T357" s="993"/>
      <c r="U357" s="993"/>
      <c r="V357" s="993"/>
      <c r="W357" s="993"/>
      <c r="X357" s="993"/>
    </row>
    <row r="358" spans="1:24" x14ac:dyDescent="0.3">
      <c r="A358" s="1594"/>
      <c r="B358" s="993"/>
      <c r="C358" s="993"/>
      <c r="D358" s="993"/>
      <c r="E358" s="2412"/>
      <c r="F358" s="2412"/>
      <c r="G358" s="993"/>
      <c r="H358" s="993"/>
      <c r="I358" s="993"/>
      <c r="J358" s="993"/>
      <c r="K358" s="993"/>
      <c r="L358" s="993"/>
      <c r="M358" s="993"/>
      <c r="N358" s="993"/>
      <c r="O358" s="993"/>
      <c r="P358" s="993"/>
      <c r="Q358" s="993"/>
      <c r="R358" s="993"/>
      <c r="S358" s="993"/>
      <c r="T358" s="993"/>
      <c r="U358" s="993"/>
      <c r="V358" s="993"/>
      <c r="W358" s="993"/>
      <c r="X358" s="993"/>
    </row>
    <row r="359" spans="1:24" x14ac:dyDescent="0.3">
      <c r="A359" s="1594"/>
      <c r="B359" s="993"/>
      <c r="C359" s="993"/>
      <c r="D359" s="993"/>
      <c r="E359" s="2412"/>
      <c r="F359" s="2412"/>
      <c r="G359" s="993"/>
      <c r="H359" s="993"/>
      <c r="I359" s="993"/>
      <c r="J359" s="993"/>
      <c r="K359" s="993"/>
      <c r="L359" s="993"/>
      <c r="M359" s="993"/>
      <c r="N359" s="993"/>
      <c r="O359" s="993"/>
      <c r="P359" s="993"/>
      <c r="Q359" s="993"/>
      <c r="R359" s="993"/>
      <c r="S359" s="993"/>
      <c r="T359" s="993"/>
      <c r="U359" s="993"/>
      <c r="V359" s="993"/>
      <c r="W359" s="993"/>
      <c r="X359" s="993"/>
    </row>
    <row r="360" spans="1:24" x14ac:dyDescent="0.3">
      <c r="A360" s="1594"/>
      <c r="B360" s="993"/>
      <c r="C360" s="993"/>
      <c r="D360" s="993"/>
      <c r="E360" s="2412"/>
      <c r="F360" s="2412"/>
      <c r="G360" s="993"/>
      <c r="H360" s="993"/>
      <c r="I360" s="993"/>
      <c r="J360" s="993"/>
      <c r="K360" s="993"/>
      <c r="L360" s="993"/>
      <c r="M360" s="993"/>
      <c r="N360" s="993"/>
      <c r="O360" s="993"/>
      <c r="P360" s="993"/>
      <c r="Q360" s="993"/>
      <c r="R360" s="993"/>
      <c r="S360" s="993"/>
      <c r="T360" s="993"/>
      <c r="U360" s="993"/>
      <c r="V360" s="993"/>
      <c r="W360" s="993"/>
      <c r="X360" s="993"/>
    </row>
    <row r="361" spans="1:24" x14ac:dyDescent="0.3">
      <c r="A361" s="1594"/>
      <c r="B361" s="993"/>
      <c r="C361" s="993"/>
      <c r="D361" s="993"/>
      <c r="E361" s="2412"/>
      <c r="F361" s="2412"/>
      <c r="G361" s="993"/>
      <c r="H361" s="993"/>
      <c r="I361" s="993"/>
      <c r="J361" s="993"/>
      <c r="K361" s="993"/>
      <c r="L361" s="993"/>
      <c r="M361" s="993"/>
      <c r="N361" s="993"/>
      <c r="O361" s="993"/>
      <c r="P361" s="993"/>
      <c r="Q361" s="993"/>
      <c r="R361" s="993"/>
      <c r="S361" s="993"/>
      <c r="T361" s="993"/>
      <c r="U361" s="993"/>
      <c r="V361" s="993"/>
      <c r="W361" s="993"/>
      <c r="X361" s="993"/>
    </row>
    <row r="362" spans="1:24" x14ac:dyDescent="0.3">
      <c r="A362" s="1594"/>
      <c r="B362" s="993"/>
      <c r="C362" s="993"/>
      <c r="D362" s="993"/>
      <c r="E362" s="2412"/>
      <c r="F362" s="2412"/>
      <c r="G362" s="993"/>
      <c r="H362" s="993"/>
      <c r="I362" s="993"/>
      <c r="J362" s="993"/>
      <c r="K362" s="993"/>
      <c r="L362" s="993"/>
      <c r="M362" s="993"/>
      <c r="N362" s="993"/>
      <c r="O362" s="993"/>
      <c r="P362" s="993"/>
      <c r="Q362" s="993"/>
      <c r="R362" s="993"/>
      <c r="S362" s="993"/>
      <c r="T362" s="993"/>
      <c r="U362" s="993"/>
      <c r="V362" s="993"/>
      <c r="W362" s="993"/>
      <c r="X362" s="993"/>
    </row>
    <row r="363" spans="1:24" x14ac:dyDescent="0.3">
      <c r="A363" s="1594"/>
      <c r="B363" s="993"/>
      <c r="C363" s="993"/>
      <c r="D363" s="993"/>
      <c r="E363" s="2412"/>
      <c r="F363" s="2412"/>
      <c r="G363" s="993"/>
      <c r="H363" s="993"/>
      <c r="I363" s="993"/>
      <c r="J363" s="993"/>
      <c r="K363" s="993"/>
      <c r="L363" s="993"/>
      <c r="M363" s="993"/>
      <c r="N363" s="993"/>
      <c r="O363" s="993"/>
      <c r="P363" s="993"/>
      <c r="Q363" s="993"/>
      <c r="R363" s="993"/>
      <c r="S363" s="993"/>
      <c r="T363" s="993"/>
      <c r="U363" s="993"/>
      <c r="V363" s="993"/>
      <c r="W363" s="993"/>
      <c r="X363" s="993"/>
    </row>
    <row r="364" spans="1:24" x14ac:dyDescent="0.3">
      <c r="A364" s="1594"/>
      <c r="B364" s="993"/>
      <c r="C364" s="993"/>
      <c r="D364" s="993"/>
      <c r="E364" s="2412"/>
      <c r="F364" s="2412"/>
      <c r="G364" s="993"/>
      <c r="H364" s="993"/>
      <c r="I364" s="993"/>
      <c r="J364" s="993"/>
      <c r="K364" s="993"/>
      <c r="L364" s="993"/>
      <c r="M364" s="993"/>
      <c r="N364" s="993"/>
      <c r="O364" s="993"/>
      <c r="P364" s="993"/>
      <c r="Q364" s="993"/>
      <c r="R364" s="993"/>
      <c r="S364" s="993"/>
      <c r="T364" s="993"/>
      <c r="U364" s="993"/>
      <c r="V364" s="993"/>
      <c r="W364" s="993"/>
      <c r="X364" s="993"/>
    </row>
  </sheetData>
  <mergeCells count="1">
    <mergeCell ref="G67:H68"/>
  </mergeCells>
  <hyperlinks>
    <hyperlink ref="A1" location="Inhoudsopgave!A1" display="Inhoudsopgave!A1" xr:uid="{992D14AE-E497-4EB7-9817-FB8F05E353B7}"/>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BF369-6F65-4A2F-B2B0-593EAB6A4DB6}">
  <dimension ref="A1:X176"/>
  <sheetViews>
    <sheetView showGridLines="0" view="pageBreakPreview" topLeftCell="A31" zoomScaleNormal="100" zoomScaleSheetLayoutView="100" workbookViewId="0">
      <selection activeCell="T25" sqref="T25"/>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1" width="11.6640625" style="863" customWidth="1"/>
    <col min="12" max="12" width="14.33203125" style="863" bestFit="1" customWidth="1"/>
    <col min="13" max="15" width="11.6640625" style="863" customWidth="1"/>
    <col min="16" max="16" width="10.109375" style="863" customWidth="1"/>
    <col min="17" max="17" width="12.109375" style="863" customWidth="1"/>
    <col min="18" max="18" width="9.109375" style="863"/>
    <col min="19" max="19" width="10.33203125" style="863" bestFit="1" customWidth="1"/>
    <col min="20"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4457</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E6" s="870" t="s">
        <v>4458</v>
      </c>
    </row>
    <row r="36" spans="4:18" ht="12.75" customHeight="1" x14ac:dyDescent="0.25">
      <c r="D36" s="870" t="s">
        <v>507</v>
      </c>
      <c r="E36" s="864"/>
      <c r="F36" s="864"/>
    </row>
    <row r="37" spans="4:18" ht="12.75" customHeight="1" x14ac:dyDescent="0.25">
      <c r="E37" s="864"/>
      <c r="F37" s="864"/>
    </row>
    <row r="38" spans="4:18" ht="12.75" customHeight="1" x14ac:dyDescent="0.25">
      <c r="D38" s="2310" t="s">
        <v>508</v>
      </c>
      <c r="E38" s="2311"/>
      <c r="F38" s="2311"/>
      <c r="G38" s="2312"/>
      <c r="H38" s="2312"/>
      <c r="I38" s="2313"/>
      <c r="J38" s="2313">
        <v>2025</v>
      </c>
      <c r="K38" s="2313">
        <v>2026</v>
      </c>
      <c r="L38" s="2313">
        <v>2027</v>
      </c>
      <c r="M38" s="2313">
        <v>2028</v>
      </c>
      <c r="N38" s="2313">
        <v>2029</v>
      </c>
      <c r="O38" s="2313">
        <v>2030</v>
      </c>
    </row>
    <row r="39" spans="4:18" ht="12.75" customHeight="1" x14ac:dyDescent="0.25">
      <c r="D39" s="871" t="str">
        <f>G66</f>
        <v>Jeugdhulp begeleiding regionaal</v>
      </c>
      <c r="E39" s="2463"/>
      <c r="F39" s="2463"/>
      <c r="I39" s="879"/>
      <c r="J39" s="880">
        <v>2616317</v>
      </c>
      <c r="K39" s="880">
        <f t="shared" ref="K39:O39" si="0">K69</f>
        <v>3749240</v>
      </c>
      <c r="L39" s="880">
        <f t="shared" si="0"/>
        <v>2645500</v>
      </c>
      <c r="M39" s="880">
        <f t="shared" si="0"/>
        <v>2228700</v>
      </c>
      <c r="N39" s="880">
        <f t="shared" si="0"/>
        <v>2245090</v>
      </c>
      <c r="O39" s="880">
        <f t="shared" si="0"/>
        <v>2285430</v>
      </c>
    </row>
    <row r="40" spans="4:18" ht="12.75" customHeight="1" x14ac:dyDescent="0.25">
      <c r="D40" s="871" t="str">
        <f>G71</f>
        <v>Jeugdhulp behandeling regionaal</v>
      </c>
      <c r="E40" s="2463"/>
      <c r="F40" s="2463"/>
      <c r="I40" s="879"/>
      <c r="J40" s="880">
        <v>1589000</v>
      </c>
      <c r="K40" s="880">
        <f t="shared" ref="K40:O40" si="1">K74</f>
        <v>2828000</v>
      </c>
      <c r="L40" s="880">
        <f t="shared" si="1"/>
        <v>1771000</v>
      </c>
      <c r="M40" s="880">
        <f t="shared" si="1"/>
        <v>1846000</v>
      </c>
      <c r="N40" s="880">
        <f t="shared" si="1"/>
        <v>1924000</v>
      </c>
      <c r="O40" s="880">
        <f t="shared" si="1"/>
        <v>2004000</v>
      </c>
    </row>
    <row r="41" spans="4:18" ht="12.75" customHeight="1" x14ac:dyDescent="0.25">
      <c r="D41" s="871" t="str">
        <f>G76</f>
        <v>Jeugdhulp dagbesteding regionaal</v>
      </c>
      <c r="E41" s="2463"/>
      <c r="F41" s="2463"/>
      <c r="I41" s="879"/>
      <c r="J41" s="880">
        <v>662000</v>
      </c>
      <c r="K41" s="880">
        <f t="shared" ref="K41:O41" si="2">K79</f>
        <v>41000</v>
      </c>
      <c r="L41" s="880">
        <f t="shared" si="2"/>
        <v>156000</v>
      </c>
      <c r="M41" s="880">
        <f t="shared" si="2"/>
        <v>162000</v>
      </c>
      <c r="N41" s="880">
        <f t="shared" si="2"/>
        <v>169000</v>
      </c>
      <c r="O41" s="880">
        <f t="shared" si="2"/>
        <v>176000</v>
      </c>
    </row>
    <row r="42" spans="4:18" ht="12.75" customHeight="1" x14ac:dyDescent="0.25">
      <c r="D42" s="871" t="str">
        <f>G81</f>
        <v>Overige jeugdhulp zonder verblijf regionaal</v>
      </c>
      <c r="E42" s="2463"/>
      <c r="F42" s="2463"/>
      <c r="I42" s="879"/>
      <c r="J42" s="880">
        <v>66000</v>
      </c>
      <c r="K42" s="880">
        <f t="shared" ref="K42:O42" si="3">K84</f>
        <v>118000</v>
      </c>
      <c r="L42" s="880">
        <f t="shared" si="3"/>
        <v>146000</v>
      </c>
      <c r="M42" s="880">
        <f t="shared" si="3"/>
        <v>152000</v>
      </c>
      <c r="N42" s="880">
        <f t="shared" si="3"/>
        <v>158000</v>
      </c>
      <c r="O42" s="880">
        <f t="shared" si="3"/>
        <v>164000</v>
      </c>
    </row>
    <row r="43" spans="4:18" ht="12.75" customHeight="1" x14ac:dyDescent="0.25">
      <c r="D43" s="871" t="str">
        <f>G86</f>
        <v>Jeugdhulp GGZ zonder verblijf regionaal</v>
      </c>
      <c r="E43" s="2463"/>
      <c r="F43" s="2463"/>
      <c r="I43" s="879"/>
      <c r="J43" s="880">
        <v>762000</v>
      </c>
      <c r="K43" s="880">
        <f t="shared" ref="K43:O43" si="4">K89</f>
        <v>941000</v>
      </c>
      <c r="L43" s="880">
        <f t="shared" si="4"/>
        <v>1459000</v>
      </c>
      <c r="M43" s="880">
        <f t="shared" si="4"/>
        <v>1521000</v>
      </c>
      <c r="N43" s="880">
        <f t="shared" si="4"/>
        <v>1585000</v>
      </c>
      <c r="O43" s="880">
        <f t="shared" si="4"/>
        <v>1652000</v>
      </c>
    </row>
    <row r="44" spans="4:18" ht="12.75" customHeight="1" x14ac:dyDescent="0.3">
      <c r="D44" s="876" t="str">
        <f>G91</f>
        <v>Directe toerekening jeugdhulp ambulant regionaal</v>
      </c>
      <c r="E44" s="2464"/>
      <c r="F44" s="878"/>
      <c r="I44" s="879"/>
      <c r="J44" s="274">
        <v>28317</v>
      </c>
      <c r="K44" s="274">
        <f t="shared" ref="K44:O44" si="5">K95</f>
        <v>29047</v>
      </c>
      <c r="L44" s="274">
        <f t="shared" si="5"/>
        <v>29417</v>
      </c>
      <c r="M44" s="274">
        <f t="shared" si="5"/>
        <v>30094</v>
      </c>
      <c r="N44" s="274">
        <f t="shared" si="5"/>
        <v>30786</v>
      </c>
      <c r="O44" s="274">
        <f t="shared" si="5"/>
        <v>31494</v>
      </c>
    </row>
    <row r="45" spans="4:18" ht="12.75" customHeight="1" x14ac:dyDescent="0.25">
      <c r="D45" s="876"/>
      <c r="E45" s="877"/>
      <c r="F45" s="878"/>
      <c r="I45" s="879"/>
      <c r="J45" s="274"/>
      <c r="K45" s="274"/>
      <c r="L45" s="274"/>
      <c r="M45" s="274"/>
      <c r="N45" s="274"/>
      <c r="O45" s="274"/>
    </row>
    <row r="46" spans="4:18" ht="12.75" customHeight="1" x14ac:dyDescent="0.25">
      <c r="D46" s="876"/>
      <c r="E46" s="877"/>
      <c r="F46" s="878"/>
      <c r="I46" s="879"/>
      <c r="J46" s="275"/>
      <c r="K46" s="275"/>
      <c r="L46" s="275"/>
      <c r="M46" s="275"/>
      <c r="N46" s="275"/>
      <c r="O46" s="275"/>
      <c r="P46" s="885"/>
      <c r="Q46" s="885"/>
      <c r="R46" s="885"/>
    </row>
    <row r="47" spans="4:18" ht="12.75" customHeight="1" x14ac:dyDescent="0.25">
      <c r="D47" s="2316" t="s">
        <v>525</v>
      </c>
      <c r="E47" s="2317"/>
      <c r="F47" s="2318"/>
      <c r="G47" s="2319"/>
      <c r="H47" s="2319"/>
      <c r="I47" s="2320"/>
      <c r="J47" s="2321">
        <v>5723634</v>
      </c>
      <c r="K47" s="2321">
        <f>SUM(K39:K46)</f>
        <v>7706287</v>
      </c>
      <c r="L47" s="2321">
        <f>SUM(L39:L46)</f>
        <v>6206917</v>
      </c>
      <c r="M47" s="2321">
        <f>SUM(M39:M46)</f>
        <v>5939794</v>
      </c>
      <c r="N47" s="2321">
        <f>SUM(N39:N46)</f>
        <v>6111876</v>
      </c>
      <c r="O47" s="2321">
        <f>SUM(O39:O46)</f>
        <v>6312924</v>
      </c>
    </row>
    <row r="48" spans="4:18" ht="12.75" customHeight="1" x14ac:dyDescent="0.25">
      <c r="E48" s="877"/>
      <c r="F48" s="878"/>
    </row>
    <row r="49" spans="1:15" ht="12.75" customHeight="1" x14ac:dyDescent="0.25">
      <c r="D49" s="2310" t="s">
        <v>526</v>
      </c>
      <c r="E49" s="2311"/>
      <c r="F49" s="2311"/>
      <c r="G49" s="2312"/>
      <c r="H49" s="2312"/>
      <c r="I49" s="2313"/>
      <c r="J49" s="2313">
        <v>2025</v>
      </c>
      <c r="K49" s="2313">
        <v>2026</v>
      </c>
      <c r="L49" s="2313">
        <v>2027</v>
      </c>
      <c r="M49" s="2313">
        <v>2028</v>
      </c>
      <c r="N49" s="2313">
        <v>2029</v>
      </c>
      <c r="O49" s="2313">
        <v>2030</v>
      </c>
    </row>
    <row r="50" spans="1:15" ht="12.75" customHeight="1" x14ac:dyDescent="0.25">
      <c r="D50" s="2389"/>
      <c r="E50" s="2390"/>
      <c r="F50" s="2391"/>
      <c r="G50" s="889"/>
      <c r="H50" s="889"/>
      <c r="I50" s="879"/>
      <c r="J50" s="875"/>
      <c r="K50" s="875"/>
      <c r="L50" s="875"/>
      <c r="M50" s="875"/>
      <c r="N50" s="875"/>
      <c r="O50" s="875"/>
    </row>
    <row r="51" spans="1:15" ht="12.75" customHeight="1" x14ac:dyDescent="0.25">
      <c r="D51" s="876"/>
      <c r="E51" s="877"/>
      <c r="F51" s="878"/>
      <c r="I51" s="879"/>
      <c r="J51" s="875"/>
      <c r="K51" s="875"/>
      <c r="L51" s="875"/>
      <c r="M51" s="875"/>
      <c r="N51" s="875"/>
      <c r="O51" s="875"/>
    </row>
    <row r="52" spans="1:15" ht="12.75" customHeight="1" x14ac:dyDescent="0.25">
      <c r="D52" s="876"/>
      <c r="E52" s="877"/>
      <c r="F52" s="878"/>
      <c r="I52" s="879"/>
      <c r="J52" s="875"/>
      <c r="K52" s="875"/>
      <c r="L52" s="875"/>
      <c r="M52" s="875"/>
      <c r="N52" s="875"/>
      <c r="O52" s="875"/>
    </row>
    <row r="53" spans="1:15" ht="12.75" customHeight="1" x14ac:dyDescent="0.25">
      <c r="D53" s="876"/>
      <c r="E53" s="877"/>
      <c r="F53" s="878"/>
      <c r="I53" s="879"/>
      <c r="J53" s="880"/>
      <c r="K53" s="880"/>
      <c r="L53" s="880"/>
      <c r="M53" s="880"/>
      <c r="N53" s="880"/>
      <c r="O53" s="880"/>
    </row>
    <row r="54" spans="1:15" ht="12.75" customHeight="1" x14ac:dyDescent="0.25">
      <c r="D54" s="876"/>
      <c r="E54" s="877"/>
      <c r="F54" s="878"/>
      <c r="I54" s="879"/>
      <c r="J54" s="880"/>
      <c r="K54" s="880"/>
      <c r="L54" s="880"/>
      <c r="M54" s="880"/>
      <c r="N54" s="880"/>
      <c r="O54" s="880"/>
    </row>
    <row r="55" spans="1:15" ht="12.75" customHeight="1" x14ac:dyDescent="0.25">
      <c r="D55" s="881"/>
      <c r="E55" s="882"/>
      <c r="F55" s="883"/>
      <c r="G55" s="884"/>
      <c r="H55" s="884"/>
      <c r="I55" s="879"/>
      <c r="J55" s="880"/>
      <c r="K55" s="880"/>
      <c r="L55" s="880"/>
      <c r="M55" s="880"/>
      <c r="N55" s="880"/>
      <c r="O55" s="880"/>
    </row>
    <row r="56" spans="1:15" ht="12.75" customHeight="1" x14ac:dyDescent="0.25">
      <c r="D56" s="2316" t="s">
        <v>328</v>
      </c>
      <c r="E56" s="2317"/>
      <c r="F56" s="2318"/>
      <c r="G56" s="2319"/>
      <c r="H56" s="2319"/>
      <c r="I56" s="2320"/>
      <c r="J56" s="2321">
        <v>0</v>
      </c>
      <c r="K56" s="2321">
        <f>SUM(K50:K55)</f>
        <v>0</v>
      </c>
      <c r="L56" s="2321">
        <f>SUM(L50:L55)</f>
        <v>0</v>
      </c>
      <c r="M56" s="2321">
        <f>SUM(M50:M55)</f>
        <v>0</v>
      </c>
      <c r="N56" s="2321">
        <f>SUM(N50:N55)</f>
        <v>0</v>
      </c>
      <c r="O56" s="2321">
        <f>SUM(O50:O55)</f>
        <v>0</v>
      </c>
    </row>
    <row r="57" spans="1:15" ht="12.75" customHeight="1" x14ac:dyDescent="0.25">
      <c r="E57" s="877"/>
      <c r="F57" s="878"/>
      <c r="J57" s="885"/>
      <c r="K57" s="885"/>
      <c r="L57" s="885"/>
      <c r="M57" s="885"/>
      <c r="N57" s="885"/>
      <c r="O57" s="885"/>
    </row>
    <row r="58" spans="1:15" ht="12.75" customHeight="1" x14ac:dyDescent="0.3">
      <c r="D58" s="2322" t="s">
        <v>976</v>
      </c>
      <c r="E58" s="2323"/>
      <c r="F58" s="2323"/>
      <c r="G58" s="2319"/>
      <c r="H58" s="2319"/>
      <c r="I58" s="2320"/>
      <c r="J58" s="2324">
        <v>5723634</v>
      </c>
      <c r="K58" s="2324">
        <f>K47+K56</f>
        <v>7706287</v>
      </c>
      <c r="L58" s="2324">
        <f>L47+L56</f>
        <v>6206917</v>
      </c>
      <c r="M58" s="2324">
        <f>M47+M56</f>
        <v>5939794</v>
      </c>
      <c r="N58" s="2324">
        <f>N47+N56</f>
        <v>6111876</v>
      </c>
      <c r="O58" s="2324">
        <f>O47+O56</f>
        <v>6312924</v>
      </c>
    </row>
    <row r="59" spans="1:15" ht="12.75" customHeight="1" x14ac:dyDescent="0.25">
      <c r="E59" s="877"/>
      <c r="F59" s="878"/>
      <c r="J59" s="885"/>
      <c r="K59" s="885"/>
      <c r="L59" s="885"/>
      <c r="M59" s="885"/>
      <c r="N59" s="885"/>
      <c r="O59" s="885"/>
    </row>
    <row r="60" spans="1:15" ht="12.75" customHeight="1" x14ac:dyDescent="0.25">
      <c r="E60" s="864"/>
      <c r="F60" s="864"/>
      <c r="J60" s="885"/>
      <c r="K60" s="885"/>
      <c r="L60" s="885"/>
      <c r="M60" s="885"/>
      <c r="N60" s="885"/>
      <c r="O60" s="885"/>
    </row>
    <row r="61" spans="1:15" ht="12.75" customHeight="1" x14ac:dyDescent="0.25">
      <c r="D61" s="870" t="s">
        <v>528</v>
      </c>
      <c r="E61" s="886"/>
      <c r="F61" s="886"/>
    </row>
    <row r="63" spans="1:15" ht="12.75" customHeight="1" x14ac:dyDescent="0.25">
      <c r="A63" s="862"/>
      <c r="D63" s="2613" t="s">
        <v>529</v>
      </c>
      <c r="E63" s="2325" t="s">
        <v>530</v>
      </c>
      <c r="F63" s="2585" t="s">
        <v>531</v>
      </c>
      <c r="G63" s="2587" t="s">
        <v>206</v>
      </c>
      <c r="H63" s="2588"/>
      <c r="I63" s="2326"/>
      <c r="J63" s="2320"/>
      <c r="K63" s="2320"/>
      <c r="L63" s="2320"/>
      <c r="M63" s="2320"/>
      <c r="N63" s="2320"/>
      <c r="O63" s="2320"/>
    </row>
    <row r="64" spans="1:15" ht="12.75" customHeight="1" x14ac:dyDescent="0.25">
      <c r="A64" s="862"/>
      <c r="D64" s="2614"/>
      <c r="E64" s="887" t="s">
        <v>532</v>
      </c>
      <c r="F64" s="2586"/>
      <c r="G64" s="2589"/>
      <c r="H64" s="2590"/>
      <c r="I64" s="276"/>
      <c r="J64" s="2327">
        <v>2025</v>
      </c>
      <c r="K64" s="2327">
        <v>2026</v>
      </c>
      <c r="L64" s="2327">
        <v>2027</v>
      </c>
      <c r="M64" s="2327">
        <v>2028</v>
      </c>
      <c r="N64" s="2327">
        <v>2029</v>
      </c>
      <c r="O64" s="2327">
        <v>2030</v>
      </c>
    </row>
    <row r="65" spans="1:15" ht="12.75" customHeight="1" x14ac:dyDescent="0.25">
      <c r="A65" s="862"/>
      <c r="D65" s="2465"/>
      <c r="E65" s="2466"/>
      <c r="F65" s="2467"/>
      <c r="G65" s="2468"/>
      <c r="H65" s="2469"/>
      <c r="I65" s="2470"/>
      <c r="J65" s="2470"/>
      <c r="K65" s="2470"/>
      <c r="L65" s="2470"/>
      <c r="M65" s="2470"/>
      <c r="N65" s="2470"/>
      <c r="O65" s="2470"/>
    </row>
    <row r="66" spans="1:15" ht="12.75" customHeight="1" x14ac:dyDescent="0.25">
      <c r="A66" s="862"/>
      <c r="D66" s="890">
        <f>D106</f>
        <v>688001</v>
      </c>
      <c r="E66" s="891"/>
      <c r="F66" s="891"/>
      <c r="G66" s="868" t="str">
        <f>E106</f>
        <v>Jeugdhulp begeleiding regionaal</v>
      </c>
      <c r="J66" s="2346"/>
      <c r="K66" s="2346"/>
      <c r="L66" s="2346"/>
      <c r="M66" s="2346"/>
      <c r="N66" s="2346"/>
      <c r="O66" s="2346"/>
    </row>
    <row r="67" spans="1:15" ht="12.75" customHeight="1" x14ac:dyDescent="0.25">
      <c r="A67" s="862"/>
      <c r="D67" s="890"/>
      <c r="E67" s="891"/>
      <c r="F67" s="891"/>
      <c r="G67" s="873" t="s">
        <v>533</v>
      </c>
      <c r="J67" s="2346"/>
      <c r="K67" s="2346"/>
      <c r="L67" s="2346"/>
      <c r="M67" s="2346"/>
      <c r="N67" s="2346"/>
      <c r="O67" s="2346"/>
    </row>
    <row r="68" spans="1:15" ht="12.75" customHeight="1" x14ac:dyDescent="0.25">
      <c r="A68" s="896">
        <f>D66</f>
        <v>688001</v>
      </c>
      <c r="B68" s="863" t="str">
        <f>G66</f>
        <v>Jeugdhulp begeleiding regionaal</v>
      </c>
      <c r="D68" s="893">
        <v>43410</v>
      </c>
      <c r="E68" s="893"/>
      <c r="F68" s="893"/>
      <c r="G68" s="895" t="s">
        <v>3341</v>
      </c>
      <c r="I68" s="885"/>
      <c r="J68" s="875">
        <v>2616317</v>
      </c>
      <c r="K68" s="875">
        <f t="shared" ref="K68:O68" si="6">K129</f>
        <v>3749240</v>
      </c>
      <c r="L68" s="875">
        <f t="shared" si="6"/>
        <v>2645500</v>
      </c>
      <c r="M68" s="875">
        <f t="shared" si="6"/>
        <v>2228700</v>
      </c>
      <c r="N68" s="875">
        <f t="shared" si="6"/>
        <v>2245090</v>
      </c>
      <c r="O68" s="875">
        <f t="shared" si="6"/>
        <v>2285430</v>
      </c>
    </row>
    <row r="69" spans="1:15" ht="12.75" customHeight="1" thickBot="1" x14ac:dyDescent="0.3">
      <c r="A69" s="862"/>
      <c r="D69" s="2331"/>
      <c r="E69" s="2331"/>
      <c r="F69" s="2331"/>
      <c r="G69" s="863" t="s">
        <v>536</v>
      </c>
      <c r="I69" s="885"/>
      <c r="J69" s="2333">
        <v>2616317</v>
      </c>
      <c r="K69" s="2333">
        <f>SUM(K67:K68)</f>
        <v>3749240</v>
      </c>
      <c r="L69" s="2333">
        <f>SUM(L67:L68)</f>
        <v>2645500</v>
      </c>
      <c r="M69" s="2333">
        <f>SUM(M67:M68)</f>
        <v>2228700</v>
      </c>
      <c r="N69" s="2333">
        <f>SUM(N67:N68)</f>
        <v>2245090</v>
      </c>
      <c r="O69" s="2333">
        <f>SUM(O67:O68)</f>
        <v>2285430</v>
      </c>
    </row>
    <row r="70" spans="1:15" ht="12.75" customHeight="1" thickTop="1" x14ac:dyDescent="0.25">
      <c r="A70" s="862"/>
      <c r="D70" s="2331"/>
      <c r="E70" s="2331"/>
      <c r="F70" s="2331"/>
      <c r="I70" s="885"/>
      <c r="J70" s="2395"/>
      <c r="K70" s="2395"/>
      <c r="L70" s="2395"/>
      <c r="M70" s="2395"/>
      <c r="N70" s="2395"/>
      <c r="O70" s="2395"/>
    </row>
    <row r="71" spans="1:15" ht="12.75" customHeight="1" x14ac:dyDescent="0.25">
      <c r="A71" s="862"/>
      <c r="D71" s="890">
        <f>D131</f>
        <v>688002</v>
      </c>
      <c r="E71" s="891"/>
      <c r="F71" s="891"/>
      <c r="G71" s="868" t="str">
        <f>E131</f>
        <v>Jeugdhulp behandeling regionaal</v>
      </c>
      <c r="J71" s="2346"/>
      <c r="K71" s="2346"/>
      <c r="L71" s="2346"/>
      <c r="M71" s="2346"/>
      <c r="N71" s="2346"/>
      <c r="O71" s="2346"/>
    </row>
    <row r="72" spans="1:15" ht="12.75" customHeight="1" x14ac:dyDescent="0.25">
      <c r="A72" s="862"/>
      <c r="D72" s="890"/>
      <c r="E72" s="891"/>
      <c r="F72" s="891"/>
      <c r="G72" s="873" t="s">
        <v>533</v>
      </c>
      <c r="J72" s="2346"/>
      <c r="K72" s="2346"/>
      <c r="L72" s="2346"/>
      <c r="M72" s="2346"/>
      <c r="N72" s="2346"/>
      <c r="O72" s="2346"/>
    </row>
    <row r="73" spans="1:15" ht="12.75" customHeight="1" x14ac:dyDescent="0.25">
      <c r="A73" s="896">
        <f>D71</f>
        <v>688002</v>
      </c>
      <c r="B73" s="863" t="str">
        <f>G71</f>
        <v>Jeugdhulp behandeling regionaal</v>
      </c>
      <c r="D73" s="893">
        <v>43410</v>
      </c>
      <c r="E73" s="893"/>
      <c r="F73" s="893"/>
      <c r="G73" s="895" t="s">
        <v>3341</v>
      </c>
      <c r="I73" s="885"/>
      <c r="J73" s="875">
        <v>1589000</v>
      </c>
      <c r="K73" s="875">
        <f t="shared" ref="K73:O73" si="7">K136</f>
        <v>2828000</v>
      </c>
      <c r="L73" s="875">
        <f t="shared" si="7"/>
        <v>1771000</v>
      </c>
      <c r="M73" s="875">
        <f t="shared" si="7"/>
        <v>1846000</v>
      </c>
      <c r="N73" s="875">
        <f t="shared" si="7"/>
        <v>1924000</v>
      </c>
      <c r="O73" s="875">
        <f t="shared" si="7"/>
        <v>2004000</v>
      </c>
    </row>
    <row r="74" spans="1:15" ht="12.75" customHeight="1" thickBot="1" x14ac:dyDescent="0.3">
      <c r="A74" s="862"/>
      <c r="D74" s="2331"/>
      <c r="E74" s="2331"/>
      <c r="F74" s="2331"/>
      <c r="G74" s="863" t="s">
        <v>536</v>
      </c>
      <c r="I74" s="885"/>
      <c r="J74" s="2333">
        <v>1589000</v>
      </c>
      <c r="K74" s="2333">
        <f>SUM(K72:K73)</f>
        <v>2828000</v>
      </c>
      <c r="L74" s="2333">
        <f>SUM(L72:L73)</f>
        <v>1771000</v>
      </c>
      <c r="M74" s="2333">
        <f>SUM(M72:M73)</f>
        <v>1846000</v>
      </c>
      <c r="N74" s="2333">
        <f>SUM(N72:N73)</f>
        <v>1924000</v>
      </c>
      <c r="O74" s="2333">
        <f>SUM(O72:O73)</f>
        <v>2004000</v>
      </c>
    </row>
    <row r="75" spans="1:15" ht="12.75" customHeight="1" thickTop="1" x14ac:dyDescent="0.25">
      <c r="A75" s="862"/>
      <c r="D75" s="2331"/>
      <c r="E75" s="2331"/>
      <c r="F75" s="2331"/>
      <c r="I75" s="885"/>
      <c r="J75" s="2395"/>
      <c r="K75" s="2395"/>
      <c r="L75" s="2395"/>
      <c r="M75" s="2395"/>
      <c r="N75" s="2395"/>
      <c r="O75" s="2395"/>
    </row>
    <row r="76" spans="1:15" ht="12.75" customHeight="1" x14ac:dyDescent="0.25">
      <c r="A76" s="862"/>
      <c r="D76" s="890">
        <f>D138</f>
        <v>688003</v>
      </c>
      <c r="E76" s="891"/>
      <c r="F76" s="891"/>
      <c r="G76" s="868" t="str">
        <f>E138</f>
        <v>Jeugdhulp dagbesteding regionaal</v>
      </c>
      <c r="J76" s="2346"/>
      <c r="K76" s="2346"/>
      <c r="L76" s="2346"/>
      <c r="M76" s="2346"/>
      <c r="N76" s="2346"/>
      <c r="O76" s="2346"/>
    </row>
    <row r="77" spans="1:15" ht="12.75" customHeight="1" x14ac:dyDescent="0.25">
      <c r="A77" s="862"/>
      <c r="D77" s="890"/>
      <c r="E77" s="891"/>
      <c r="F77" s="891"/>
      <c r="G77" s="873" t="s">
        <v>533</v>
      </c>
      <c r="J77" s="2346"/>
      <c r="K77" s="2346"/>
      <c r="L77" s="2346"/>
      <c r="M77" s="2346"/>
      <c r="N77" s="2346"/>
      <c r="O77" s="2346"/>
    </row>
    <row r="78" spans="1:15" ht="12.75" customHeight="1" x14ac:dyDescent="0.25">
      <c r="A78" s="896">
        <f>D76</f>
        <v>688003</v>
      </c>
      <c r="B78" s="863" t="str">
        <f>G76</f>
        <v>Jeugdhulp dagbesteding regionaal</v>
      </c>
      <c r="D78" s="893">
        <v>43410</v>
      </c>
      <c r="E78" s="893"/>
      <c r="F78" s="893"/>
      <c r="G78" s="895" t="s">
        <v>3341</v>
      </c>
      <c r="I78" s="885"/>
      <c r="J78" s="875">
        <v>662000</v>
      </c>
      <c r="K78" s="875">
        <f t="shared" ref="K78:O78" si="8">K143</f>
        <v>41000</v>
      </c>
      <c r="L78" s="875">
        <f t="shared" si="8"/>
        <v>156000</v>
      </c>
      <c r="M78" s="875">
        <f t="shared" si="8"/>
        <v>162000</v>
      </c>
      <c r="N78" s="875">
        <f t="shared" si="8"/>
        <v>169000</v>
      </c>
      <c r="O78" s="875">
        <f t="shared" si="8"/>
        <v>176000</v>
      </c>
    </row>
    <row r="79" spans="1:15" ht="12.75" customHeight="1" thickBot="1" x14ac:dyDescent="0.3">
      <c r="A79" s="862"/>
      <c r="D79" s="2331"/>
      <c r="E79" s="2331"/>
      <c r="F79" s="2331"/>
      <c r="G79" s="863" t="s">
        <v>536</v>
      </c>
      <c r="I79" s="885"/>
      <c r="J79" s="2333">
        <v>662000</v>
      </c>
      <c r="K79" s="2333">
        <f>SUM(K77:K78)</f>
        <v>41000</v>
      </c>
      <c r="L79" s="2333">
        <f>SUM(L77:L78)</f>
        <v>156000</v>
      </c>
      <c r="M79" s="2333">
        <f>SUM(M77:M78)</f>
        <v>162000</v>
      </c>
      <c r="N79" s="2333">
        <f>SUM(N77:N78)</f>
        <v>169000</v>
      </c>
      <c r="O79" s="2333">
        <f>SUM(O77:O78)</f>
        <v>176000</v>
      </c>
    </row>
    <row r="80" spans="1:15" ht="12.75" customHeight="1" thickTop="1" x14ac:dyDescent="0.25">
      <c r="A80" s="862"/>
      <c r="D80" s="2331"/>
      <c r="E80" s="2331"/>
      <c r="F80" s="2331"/>
      <c r="I80" s="885"/>
      <c r="J80" s="2395"/>
      <c r="K80" s="2395"/>
      <c r="L80" s="2395"/>
      <c r="M80" s="2395"/>
      <c r="N80" s="2395"/>
      <c r="O80" s="2395"/>
    </row>
    <row r="81" spans="1:15" ht="12.75" customHeight="1" x14ac:dyDescent="0.25">
      <c r="A81" s="862"/>
      <c r="D81" s="890">
        <f>D145</f>
        <v>688004</v>
      </c>
      <c r="E81" s="2471"/>
      <c r="F81" s="891"/>
      <c r="G81" s="868" t="str">
        <f>E145</f>
        <v>Overige jeugdhulp zonder verblijf regionaal</v>
      </c>
      <c r="J81" s="2346"/>
      <c r="K81" s="2346"/>
      <c r="L81" s="2346"/>
      <c r="M81" s="2346"/>
      <c r="N81" s="2346"/>
      <c r="O81" s="2346"/>
    </row>
    <row r="82" spans="1:15" ht="12.75" customHeight="1" x14ac:dyDescent="0.25">
      <c r="A82" s="862"/>
      <c r="D82" s="890"/>
      <c r="E82" s="2471"/>
      <c r="F82" s="891"/>
      <c r="G82" s="873" t="s">
        <v>533</v>
      </c>
      <c r="J82" s="2346"/>
      <c r="K82" s="2346"/>
      <c r="L82" s="2346"/>
      <c r="M82" s="2346"/>
      <c r="N82" s="2346"/>
      <c r="O82" s="2346"/>
    </row>
    <row r="83" spans="1:15" ht="12.75" customHeight="1" x14ac:dyDescent="0.25">
      <c r="A83" s="896">
        <f>D81</f>
        <v>688004</v>
      </c>
      <c r="B83" s="863" t="str">
        <f>G81</f>
        <v>Overige jeugdhulp zonder verblijf regionaal</v>
      </c>
      <c r="D83" s="893">
        <v>43410</v>
      </c>
      <c r="E83" s="2472"/>
      <c r="F83" s="893"/>
      <c r="G83" s="895" t="s">
        <v>3341</v>
      </c>
      <c r="I83" s="885"/>
      <c r="J83" s="875">
        <v>66000</v>
      </c>
      <c r="K83" s="875">
        <f t="shared" ref="K83:O83" si="9">K150</f>
        <v>118000</v>
      </c>
      <c r="L83" s="875">
        <f t="shared" si="9"/>
        <v>146000</v>
      </c>
      <c r="M83" s="875">
        <f t="shared" si="9"/>
        <v>152000</v>
      </c>
      <c r="N83" s="875">
        <f t="shared" si="9"/>
        <v>158000</v>
      </c>
      <c r="O83" s="875">
        <f t="shared" si="9"/>
        <v>164000</v>
      </c>
    </row>
    <row r="84" spans="1:15" ht="12.75" customHeight="1" thickBot="1" x14ac:dyDescent="0.3">
      <c r="A84" s="862"/>
      <c r="D84" s="2331"/>
      <c r="E84" s="2473"/>
      <c r="F84" s="2331"/>
      <c r="G84" s="863" t="s">
        <v>536</v>
      </c>
      <c r="I84" s="885"/>
      <c r="J84" s="2333">
        <v>66000</v>
      </c>
      <c r="K84" s="2333">
        <f>SUM(K82:K83)</f>
        <v>118000</v>
      </c>
      <c r="L84" s="2333">
        <f>SUM(L82:L83)</f>
        <v>146000</v>
      </c>
      <c r="M84" s="2333">
        <f>SUM(M82:M83)</f>
        <v>152000</v>
      </c>
      <c r="N84" s="2333">
        <f>SUM(N82:N83)</f>
        <v>158000</v>
      </c>
      <c r="O84" s="2333">
        <f>SUM(O82:O83)</f>
        <v>164000</v>
      </c>
    </row>
    <row r="85" spans="1:15" ht="12.75" customHeight="1" thickTop="1" x14ac:dyDescent="0.25">
      <c r="A85" s="862"/>
      <c r="D85" s="2331"/>
      <c r="E85" s="2473"/>
      <c r="F85" s="2331"/>
      <c r="I85" s="885"/>
      <c r="J85" s="2395"/>
      <c r="K85" s="2395"/>
      <c r="L85" s="2395"/>
      <c r="M85" s="2395"/>
      <c r="N85" s="2395"/>
      <c r="O85" s="2395"/>
    </row>
    <row r="86" spans="1:15" ht="12.75" customHeight="1" x14ac:dyDescent="0.25">
      <c r="A86" s="862"/>
      <c r="D86" s="890">
        <f>D152</f>
        <v>688005</v>
      </c>
      <c r="E86" s="2471"/>
      <c r="F86" s="891"/>
      <c r="G86" s="868" t="str">
        <f>E152</f>
        <v>Jeugdhulp GGZ zonder verblijf regionaal</v>
      </c>
      <c r="J86" s="2346"/>
      <c r="K86" s="2346"/>
      <c r="L86" s="2346"/>
      <c r="M86" s="2346"/>
      <c r="N86" s="2346"/>
      <c r="O86" s="2346"/>
    </row>
    <row r="87" spans="1:15" ht="12.75" customHeight="1" x14ac:dyDescent="0.25">
      <c r="A87" s="862"/>
      <c r="D87" s="890"/>
      <c r="E87" s="2471"/>
      <c r="F87" s="891"/>
      <c r="G87" s="873" t="s">
        <v>533</v>
      </c>
      <c r="J87" s="2346"/>
      <c r="K87" s="2346"/>
      <c r="L87" s="2346"/>
      <c r="M87" s="2346"/>
      <c r="N87" s="2346"/>
      <c r="O87" s="2346"/>
    </row>
    <row r="88" spans="1:15" ht="12.75" customHeight="1" x14ac:dyDescent="0.25">
      <c r="A88" s="896">
        <f>D86</f>
        <v>688005</v>
      </c>
      <c r="B88" s="863" t="str">
        <f>G86</f>
        <v>Jeugdhulp GGZ zonder verblijf regionaal</v>
      </c>
      <c r="D88" s="893">
        <v>43410</v>
      </c>
      <c r="E88" s="2472"/>
      <c r="F88" s="893"/>
      <c r="G88" s="895" t="s">
        <v>3341</v>
      </c>
      <c r="I88" s="885"/>
      <c r="J88" s="875">
        <v>762000</v>
      </c>
      <c r="K88" s="875">
        <f t="shared" ref="K88:O88" si="10">K159</f>
        <v>941000</v>
      </c>
      <c r="L88" s="875">
        <f t="shared" si="10"/>
        <v>1459000</v>
      </c>
      <c r="M88" s="875">
        <f t="shared" si="10"/>
        <v>1521000</v>
      </c>
      <c r="N88" s="875">
        <f t="shared" si="10"/>
        <v>1585000</v>
      </c>
      <c r="O88" s="875">
        <f t="shared" si="10"/>
        <v>1652000</v>
      </c>
    </row>
    <row r="89" spans="1:15" ht="12.75" customHeight="1" thickBot="1" x14ac:dyDescent="0.3">
      <c r="A89" s="862"/>
      <c r="D89" s="2331"/>
      <c r="E89" s="2473"/>
      <c r="F89" s="2331"/>
      <c r="G89" s="863" t="s">
        <v>536</v>
      </c>
      <c r="I89" s="885"/>
      <c r="J89" s="2333">
        <v>762000</v>
      </c>
      <c r="K89" s="2333">
        <f>SUM(K87:K88)</f>
        <v>941000</v>
      </c>
      <c r="L89" s="2333">
        <f>SUM(L87:L88)</f>
        <v>1459000</v>
      </c>
      <c r="M89" s="2333">
        <f>SUM(M87:M88)</f>
        <v>1521000</v>
      </c>
      <c r="N89" s="2333">
        <f>SUM(N87:N88)</f>
        <v>1585000</v>
      </c>
      <c r="O89" s="2333">
        <f>SUM(O87:O88)</f>
        <v>1652000</v>
      </c>
    </row>
    <row r="90" spans="1:15" ht="12.75" customHeight="1" thickTop="1" x14ac:dyDescent="0.25">
      <c r="A90" s="862"/>
      <c r="D90" s="2331"/>
      <c r="E90" s="2473"/>
      <c r="F90" s="2331"/>
      <c r="I90" s="885"/>
      <c r="J90" s="2395"/>
      <c r="K90" s="2395"/>
      <c r="L90" s="2395"/>
      <c r="M90" s="2395"/>
      <c r="N90" s="2395"/>
      <c r="O90" s="2395"/>
    </row>
    <row r="91" spans="1:15" ht="12.75" customHeight="1" x14ac:dyDescent="0.25">
      <c r="A91" s="862"/>
      <c r="D91" s="890">
        <f>D161</f>
        <v>688901</v>
      </c>
      <c r="E91" s="2471"/>
      <c r="F91" s="891"/>
      <c r="G91" s="2372" t="str">
        <f>E161</f>
        <v>Directe toerekening jeugdhulp ambulant regionaal</v>
      </c>
      <c r="I91" s="885"/>
      <c r="J91" s="875"/>
      <c r="K91" s="875"/>
      <c r="L91" s="875"/>
      <c r="M91" s="875"/>
      <c r="N91" s="875"/>
      <c r="O91" s="875"/>
    </row>
    <row r="92" spans="1:15" ht="12.75" customHeight="1" x14ac:dyDescent="0.25">
      <c r="A92" s="862"/>
      <c r="D92" s="890"/>
      <c r="E92" s="2471"/>
      <c r="F92" s="891"/>
      <c r="G92" s="873" t="s">
        <v>533</v>
      </c>
      <c r="I92" s="885"/>
      <c r="J92" s="890" t="s">
        <v>923</v>
      </c>
      <c r="K92" s="875" t="s">
        <v>923</v>
      </c>
      <c r="L92" s="875" t="s">
        <v>923</v>
      </c>
      <c r="M92" s="875" t="s">
        <v>923</v>
      </c>
      <c r="N92" s="875" t="s">
        <v>923</v>
      </c>
      <c r="O92" s="875" t="s">
        <v>923</v>
      </c>
    </row>
    <row r="93" spans="1:15" ht="12.75" customHeight="1" x14ac:dyDescent="0.25">
      <c r="A93" s="862">
        <f>D91</f>
        <v>688901</v>
      </c>
      <c r="B93" s="885" t="str">
        <f>G91</f>
        <v>Directe toerekening jeugdhulp ambulant regionaal</v>
      </c>
      <c r="D93" s="893">
        <v>43812</v>
      </c>
      <c r="E93" s="2472"/>
      <c r="F93" s="893"/>
      <c r="G93" s="863" t="s">
        <v>535</v>
      </c>
      <c r="I93" s="885"/>
      <c r="J93" s="875">
        <v>28082</v>
      </c>
      <c r="K93" s="875">
        <f t="shared" ref="K93:O93" si="11">K164</f>
        <v>28812</v>
      </c>
      <c r="L93" s="875">
        <f t="shared" si="11"/>
        <v>29417</v>
      </c>
      <c r="M93" s="875">
        <f t="shared" si="11"/>
        <v>30094</v>
      </c>
      <c r="N93" s="875">
        <f t="shared" si="11"/>
        <v>30786</v>
      </c>
      <c r="O93" s="875">
        <f t="shared" si="11"/>
        <v>31494</v>
      </c>
    </row>
    <row r="94" spans="1:15" ht="12.75" customHeight="1" x14ac:dyDescent="0.25">
      <c r="A94" s="862">
        <v>688901</v>
      </c>
      <c r="B94" s="885" t="s">
        <v>4459</v>
      </c>
      <c r="D94" s="893">
        <v>47300</v>
      </c>
      <c r="E94" s="2472"/>
      <c r="F94" s="893"/>
      <c r="G94" s="863" t="s">
        <v>1033</v>
      </c>
      <c r="I94" s="885"/>
      <c r="J94" s="875">
        <v>235</v>
      </c>
      <c r="K94" s="875">
        <v>235</v>
      </c>
      <c r="L94" s="875">
        <v>0</v>
      </c>
      <c r="M94" s="875">
        <v>0</v>
      </c>
      <c r="N94" s="875">
        <v>0</v>
      </c>
      <c r="O94" s="875">
        <v>0</v>
      </c>
    </row>
    <row r="95" spans="1:15" ht="12.75" customHeight="1" thickBot="1" x14ac:dyDescent="0.3">
      <c r="A95" s="862"/>
      <c r="D95" s="2331"/>
      <c r="E95" s="2473"/>
      <c r="F95" s="2331"/>
      <c r="G95" s="863" t="s">
        <v>536</v>
      </c>
      <c r="I95" s="885"/>
      <c r="J95" s="2333">
        <v>28317</v>
      </c>
      <c r="K95" s="2333">
        <f>SUM(K93:K94)</f>
        <v>29047</v>
      </c>
      <c r="L95" s="2333">
        <f>SUM(L93:L94)</f>
        <v>29417</v>
      </c>
      <c r="M95" s="2333">
        <f>SUM(M93:M94)</f>
        <v>30094</v>
      </c>
      <c r="N95" s="2333">
        <f>SUM(N93:N94)</f>
        <v>30786</v>
      </c>
      <c r="O95" s="2333">
        <f>SUM(O93:O94)</f>
        <v>31494</v>
      </c>
    </row>
    <row r="96" spans="1:15" ht="12.75" customHeight="1" thickTop="1" x14ac:dyDescent="0.25">
      <c r="A96" s="862"/>
      <c r="D96" s="2331"/>
      <c r="E96" s="2473"/>
      <c r="F96" s="2331"/>
      <c r="I96" s="885"/>
      <c r="J96" s="875"/>
      <c r="K96" s="875"/>
      <c r="L96" s="875"/>
      <c r="M96" s="875"/>
      <c r="N96" s="875"/>
      <c r="O96" s="875"/>
    </row>
    <row r="97" spans="1:24" ht="12.75" customHeight="1" x14ac:dyDescent="0.25">
      <c r="D97" s="2337"/>
      <c r="E97" s="2474"/>
      <c r="F97" s="2337"/>
      <c r="G97" s="899"/>
      <c r="H97" s="884"/>
      <c r="I97" s="900"/>
      <c r="J97" s="901"/>
      <c r="K97" s="901"/>
      <c r="L97" s="901"/>
      <c r="M97" s="901"/>
      <c r="N97" s="901"/>
      <c r="O97" s="901"/>
    </row>
    <row r="98" spans="1:24" ht="12.75" customHeight="1" x14ac:dyDescent="0.25">
      <c r="D98" s="903"/>
      <c r="E98" s="903"/>
      <c r="F98" s="903"/>
      <c r="I98" s="885"/>
      <c r="J98" s="885"/>
      <c r="K98" s="885"/>
      <c r="L98" s="885"/>
      <c r="M98" s="885"/>
      <c r="N98" s="885"/>
      <c r="O98" s="885"/>
      <c r="P98" s="885"/>
    </row>
    <row r="99" spans="1:24" ht="12.75" customHeight="1" x14ac:dyDescent="0.25">
      <c r="D99" s="903"/>
      <c r="E99" s="903"/>
      <c r="F99" s="903"/>
      <c r="I99" s="885"/>
      <c r="J99" s="885"/>
      <c r="K99" s="885"/>
      <c r="L99" s="885"/>
      <c r="M99" s="885"/>
      <c r="N99" s="885"/>
      <c r="O99" s="885"/>
      <c r="P99" s="885"/>
    </row>
    <row r="100" spans="1:24" ht="12.75" customHeight="1" x14ac:dyDescent="0.25">
      <c r="D100" s="903"/>
      <c r="E100" s="903"/>
      <c r="F100" s="903"/>
      <c r="I100" s="885"/>
      <c r="J100" s="885"/>
      <c r="K100" s="885"/>
      <c r="L100" s="885"/>
      <c r="M100" s="885"/>
      <c r="N100" s="885"/>
      <c r="O100" s="885"/>
      <c r="P100" s="885"/>
    </row>
    <row r="101" spans="1:24" ht="12.75" customHeight="1" x14ac:dyDescent="0.25">
      <c r="D101" s="903"/>
      <c r="E101" s="903"/>
      <c r="F101" s="903"/>
      <c r="I101" s="885"/>
      <c r="J101" s="885"/>
      <c r="K101" s="885"/>
      <c r="L101" s="885"/>
      <c r="M101" s="885"/>
      <c r="N101" s="885"/>
      <c r="O101" s="885"/>
      <c r="P101" s="885"/>
    </row>
    <row r="102" spans="1:24" ht="12.75" customHeight="1" x14ac:dyDescent="0.25">
      <c r="D102" s="903"/>
      <c r="E102" s="903"/>
      <c r="F102" s="903"/>
      <c r="I102" s="885"/>
      <c r="J102" s="885"/>
      <c r="K102" s="885"/>
      <c r="L102" s="885"/>
      <c r="M102" s="885"/>
      <c r="N102" s="885"/>
      <c r="O102" s="885"/>
      <c r="P102" s="885"/>
    </row>
    <row r="103" spans="1:24" ht="12.75" customHeight="1" x14ac:dyDescent="0.25">
      <c r="A103" s="862"/>
      <c r="D103" s="902" t="s">
        <v>561</v>
      </c>
      <c r="E103" s="903"/>
      <c r="F103" s="903"/>
      <c r="G103" s="868"/>
      <c r="I103" s="885"/>
      <c r="J103" s="885"/>
      <c r="K103" s="885"/>
      <c r="L103" s="885"/>
      <c r="M103" s="885"/>
      <c r="N103" s="885"/>
      <c r="O103" s="885"/>
      <c r="P103" s="885"/>
    </row>
    <row r="104" spans="1:24" ht="12.75" customHeight="1" x14ac:dyDescent="0.25">
      <c r="A104" s="862"/>
      <c r="D104" s="903"/>
      <c r="E104" s="903"/>
      <c r="F104" s="903"/>
      <c r="I104" s="885"/>
      <c r="J104" s="885"/>
      <c r="K104" s="885"/>
      <c r="L104" s="885"/>
      <c r="M104" s="885"/>
      <c r="N104" s="885"/>
      <c r="O104" s="885"/>
      <c r="P104" s="885"/>
    </row>
    <row r="106" spans="1:24" ht="12.75" customHeight="1" x14ac:dyDescent="0.25">
      <c r="A106" s="862"/>
      <c r="D106" s="905">
        <v>688001</v>
      </c>
      <c r="E106" s="868" t="s">
        <v>4460</v>
      </c>
      <c r="F106" s="886"/>
      <c r="I106" s="885"/>
      <c r="J106" s="2475">
        <v>2025</v>
      </c>
      <c r="K106" s="2475">
        <v>2026</v>
      </c>
      <c r="L106" s="2475">
        <v>2027</v>
      </c>
      <c r="M106" s="2475">
        <v>2028</v>
      </c>
      <c r="N106" s="2475">
        <v>2029</v>
      </c>
      <c r="O106" s="2475">
        <v>2030</v>
      </c>
      <c r="U106" s="873"/>
      <c r="V106" s="873"/>
      <c r="W106" s="873"/>
      <c r="X106" s="873"/>
    </row>
    <row r="107" spans="1:24" ht="12.75" customHeight="1" x14ac:dyDescent="0.25">
      <c r="A107" s="862"/>
      <c r="D107" s="863"/>
      <c r="E107" s="2377" t="s">
        <v>533</v>
      </c>
      <c r="F107" s="2400"/>
      <c r="I107" s="885"/>
      <c r="J107" s="885"/>
      <c r="K107" s="885"/>
      <c r="L107" s="885"/>
      <c r="M107" s="885"/>
      <c r="N107" s="885"/>
      <c r="O107" s="885"/>
      <c r="U107" s="885"/>
      <c r="V107" s="885"/>
      <c r="W107" s="885"/>
      <c r="X107" s="885"/>
    </row>
    <row r="108" spans="1:24" ht="12.75" customHeight="1" x14ac:dyDescent="0.25">
      <c r="A108" s="862"/>
      <c r="D108" s="865">
        <v>43410</v>
      </c>
      <c r="E108" s="869" t="s">
        <v>4461</v>
      </c>
      <c r="I108" s="885"/>
      <c r="J108" s="885">
        <v>1920000</v>
      </c>
      <c r="K108" s="885">
        <f>ROUND(1920000*S$5,-3)</f>
        <v>2008000</v>
      </c>
      <c r="L108" s="885">
        <f>ROUND(K108*T$5,-3)</f>
        <v>2092000</v>
      </c>
      <c r="M108" s="885">
        <f>ROUND(L108*U$5,-3)</f>
        <v>2180000</v>
      </c>
      <c r="N108" s="885">
        <f>ROUND(M108*V$5,-3)</f>
        <v>2272000</v>
      </c>
      <c r="O108" s="885">
        <f>ROUND(N108*W$5,-3)</f>
        <v>2367000</v>
      </c>
    </row>
    <row r="109" spans="1:24" ht="12.75" customHeight="1" x14ac:dyDescent="0.25">
      <c r="A109" s="862"/>
      <c r="D109" s="865"/>
      <c r="E109" s="869" t="s">
        <v>4462</v>
      </c>
      <c r="I109" s="885"/>
      <c r="J109" s="885">
        <v>-33820</v>
      </c>
      <c r="K109" s="885">
        <v>-42750</v>
      </c>
      <c r="L109" s="885">
        <v>-42750</v>
      </c>
      <c r="M109" s="885">
        <v>-42750</v>
      </c>
      <c r="N109" s="885">
        <v>-42750</v>
      </c>
      <c r="O109" s="885">
        <v>-42750</v>
      </c>
    </row>
    <row r="110" spans="1:24" ht="12.75" customHeight="1" x14ac:dyDescent="0.25">
      <c r="A110" s="862"/>
      <c r="D110" s="865"/>
      <c r="E110" s="869" t="s">
        <v>4463</v>
      </c>
      <c r="I110" s="885"/>
      <c r="J110" s="885">
        <v>62400</v>
      </c>
      <c r="K110" s="885">
        <v>65000</v>
      </c>
      <c r="L110" s="885">
        <v>65000</v>
      </c>
      <c r="M110" s="885">
        <v>65000</v>
      </c>
      <c r="N110" s="885">
        <v>65000</v>
      </c>
      <c r="O110" s="885">
        <v>65000</v>
      </c>
    </row>
    <row r="111" spans="1:24" ht="12.75" customHeight="1" x14ac:dyDescent="0.25">
      <c r="A111" s="862"/>
      <c r="D111" s="865"/>
      <c r="E111" s="869" t="s">
        <v>4464</v>
      </c>
      <c r="I111" s="885"/>
      <c r="J111" s="885">
        <v>0</v>
      </c>
      <c r="K111" s="885">
        <v>-357000</v>
      </c>
      <c r="L111" s="885">
        <v>-357000</v>
      </c>
      <c r="M111" s="885">
        <v>-357000</v>
      </c>
      <c r="N111" s="885">
        <v>-357000</v>
      </c>
      <c r="O111" s="885">
        <v>-357000</v>
      </c>
    </row>
    <row r="112" spans="1:24" ht="12.75" customHeight="1" x14ac:dyDescent="0.25">
      <c r="A112" s="862"/>
      <c r="D112" s="865"/>
      <c r="E112" s="869" t="s">
        <v>4465</v>
      </c>
      <c r="I112" s="885"/>
      <c r="J112" s="885">
        <v>-62900</v>
      </c>
      <c r="K112" s="885">
        <v>-66000</v>
      </c>
      <c r="L112" s="885">
        <v>-69200</v>
      </c>
      <c r="M112" s="885">
        <v>-69200</v>
      </c>
      <c r="N112" s="885">
        <v>-69200</v>
      </c>
      <c r="O112" s="885">
        <v>-69200</v>
      </c>
    </row>
    <row r="113" spans="1:15" ht="12.75" customHeight="1" x14ac:dyDescent="0.25">
      <c r="A113" s="862"/>
      <c r="D113" s="865"/>
      <c r="E113" s="869" t="s">
        <v>4466</v>
      </c>
      <c r="I113" s="885"/>
      <c r="J113" s="885">
        <v>-59000</v>
      </c>
      <c r="K113" s="885">
        <v>-446000</v>
      </c>
      <c r="L113" s="885">
        <v>-535000</v>
      </c>
      <c r="M113" s="885">
        <v>-535000</v>
      </c>
      <c r="N113" s="885">
        <v>-535000</v>
      </c>
      <c r="O113" s="885">
        <v>-535000</v>
      </c>
    </row>
    <row r="114" spans="1:15" ht="12.75" customHeight="1" x14ac:dyDescent="0.25">
      <c r="A114" s="862"/>
      <c r="D114" s="865"/>
      <c r="E114" s="869" t="s">
        <v>4467</v>
      </c>
      <c r="I114" s="885"/>
      <c r="J114" s="885">
        <v>60000</v>
      </c>
      <c r="K114" s="885">
        <f>ROUND(J114*S$5,-3)</f>
        <v>63000</v>
      </c>
      <c r="L114" s="885">
        <f>ROUND(K114*T$3,-3)</f>
        <v>66000</v>
      </c>
      <c r="M114" s="885">
        <v>0</v>
      </c>
      <c r="N114" s="885">
        <v>0</v>
      </c>
      <c r="O114" s="885">
        <v>0</v>
      </c>
    </row>
    <row r="115" spans="1:15" ht="12.75" customHeight="1" x14ac:dyDescent="0.25">
      <c r="A115" s="862"/>
      <c r="D115" s="865"/>
      <c r="E115" s="869" t="s">
        <v>4468</v>
      </c>
      <c r="I115" s="885"/>
      <c r="J115" s="885">
        <v>600000</v>
      </c>
      <c r="K115" s="885">
        <v>0</v>
      </c>
      <c r="L115" s="885">
        <v>0</v>
      </c>
      <c r="M115" s="885">
        <v>0</v>
      </c>
      <c r="N115" s="885">
        <v>0</v>
      </c>
      <c r="O115" s="885">
        <v>0</v>
      </c>
    </row>
    <row r="116" spans="1:15" ht="12.75" customHeight="1" x14ac:dyDescent="0.25">
      <c r="A116" s="862"/>
      <c r="D116" s="865"/>
      <c r="E116" s="869" t="s">
        <v>4469</v>
      </c>
      <c r="I116" s="885"/>
      <c r="J116" s="885">
        <v>42000</v>
      </c>
      <c r="K116" s="885">
        <v>41000</v>
      </c>
      <c r="L116" s="885">
        <v>42000</v>
      </c>
      <c r="M116" s="885">
        <v>42000</v>
      </c>
      <c r="N116" s="885">
        <v>42000</v>
      </c>
      <c r="O116" s="885">
        <v>42000</v>
      </c>
    </row>
    <row r="117" spans="1:15" ht="12.75" customHeight="1" x14ac:dyDescent="0.25">
      <c r="A117" s="862"/>
      <c r="D117" s="865"/>
      <c r="E117" s="869" t="s">
        <v>4470</v>
      </c>
      <c r="I117" s="885"/>
      <c r="J117" s="885"/>
      <c r="K117" s="885"/>
      <c r="L117" s="885"/>
      <c r="M117" s="885">
        <v>8600</v>
      </c>
      <c r="N117" s="885">
        <v>8600</v>
      </c>
      <c r="O117" s="885">
        <v>8600</v>
      </c>
    </row>
    <row r="118" spans="1:15" ht="12.75" customHeight="1" x14ac:dyDescent="0.25">
      <c r="A118" s="862"/>
      <c r="D118" s="865"/>
      <c r="E118" s="869" t="s">
        <v>4471</v>
      </c>
      <c r="I118" s="885"/>
      <c r="J118" s="885">
        <v>44000</v>
      </c>
      <c r="K118" s="885">
        <v>42000</v>
      </c>
      <c r="L118" s="885">
        <v>43000</v>
      </c>
      <c r="M118" s="885">
        <v>44000</v>
      </c>
      <c r="N118" s="885">
        <v>44000</v>
      </c>
      <c r="O118" s="885">
        <v>44000</v>
      </c>
    </row>
    <row r="119" spans="1:15" ht="12.75" customHeight="1" x14ac:dyDescent="0.25">
      <c r="A119" s="862"/>
      <c r="D119" s="865"/>
      <c r="E119" s="869" t="s">
        <v>4472</v>
      </c>
      <c r="I119" s="885"/>
      <c r="J119" s="885">
        <v>43637</v>
      </c>
      <c r="K119" s="885">
        <v>-45010</v>
      </c>
      <c r="L119" s="885">
        <v>-51360</v>
      </c>
      <c r="M119" s="885">
        <v>-58510</v>
      </c>
      <c r="N119" s="885">
        <v>-58510</v>
      </c>
      <c r="O119" s="885">
        <v>-58510</v>
      </c>
    </row>
    <row r="120" spans="1:15" ht="12.75" customHeight="1" x14ac:dyDescent="0.25">
      <c r="A120" s="862"/>
      <c r="D120" s="865"/>
      <c r="E120" s="869" t="s">
        <v>4473</v>
      </c>
      <c r="I120" s="885"/>
      <c r="J120" s="885"/>
      <c r="K120" s="885">
        <v>679000</v>
      </c>
      <c r="L120" s="885">
        <v>710000</v>
      </c>
      <c r="M120" s="885">
        <v>725000</v>
      </c>
      <c r="N120" s="885">
        <v>725000</v>
      </c>
      <c r="O120" s="885">
        <v>725000</v>
      </c>
    </row>
    <row r="121" spans="1:15" ht="12.75" customHeight="1" x14ac:dyDescent="0.25">
      <c r="A121" s="862"/>
      <c r="D121" s="865"/>
      <c r="E121" s="869" t="s">
        <v>4473</v>
      </c>
      <c r="I121" s="885"/>
      <c r="J121" s="885"/>
      <c r="K121" s="885">
        <v>15000</v>
      </c>
      <c r="L121" s="885">
        <v>11000</v>
      </c>
      <c r="M121" s="885">
        <v>60000</v>
      </c>
      <c r="N121" s="885">
        <v>60000</v>
      </c>
      <c r="O121" s="885">
        <v>60000</v>
      </c>
    </row>
    <row r="122" spans="1:15" ht="12.75" customHeight="1" x14ac:dyDescent="0.25">
      <c r="A122" s="862"/>
      <c r="D122" s="865"/>
      <c r="E122" s="869" t="s">
        <v>4474</v>
      </c>
      <c r="I122" s="885"/>
      <c r="J122" s="885"/>
      <c r="K122" s="885">
        <v>70000</v>
      </c>
      <c r="L122" s="885">
        <v>183000</v>
      </c>
      <c r="M122" s="885">
        <v>186000</v>
      </c>
      <c r="N122" s="885">
        <v>186000</v>
      </c>
      <c r="O122" s="885">
        <v>186000</v>
      </c>
    </row>
    <row r="123" spans="1:15" ht="12.75" customHeight="1" x14ac:dyDescent="0.25">
      <c r="A123" s="862"/>
      <c r="D123" s="865"/>
      <c r="E123" s="869" t="s">
        <v>4332</v>
      </c>
      <c r="I123" s="885"/>
      <c r="J123" s="885"/>
      <c r="K123" s="885">
        <v>2250000</v>
      </c>
      <c r="L123" s="885">
        <v>2176000</v>
      </c>
      <c r="M123" s="885">
        <v>845000</v>
      </c>
      <c r="N123" s="885">
        <v>903000</v>
      </c>
      <c r="O123" s="2379">
        <v>903000</v>
      </c>
    </row>
    <row r="124" spans="1:15" ht="12.75" customHeight="1" x14ac:dyDescent="0.25">
      <c r="A124" s="862"/>
      <c r="D124" s="865"/>
      <c r="E124" s="869" t="s">
        <v>4475</v>
      </c>
      <c r="I124" s="885"/>
      <c r="J124" s="885"/>
      <c r="K124" s="885">
        <v>50000</v>
      </c>
      <c r="L124" s="885">
        <v>124000</v>
      </c>
      <c r="M124" s="885">
        <v>1455000</v>
      </c>
      <c r="N124" s="885">
        <v>1397000</v>
      </c>
      <c r="O124" s="2379">
        <v>1397000</v>
      </c>
    </row>
    <row r="125" spans="1:15" ht="12.75" customHeight="1" x14ac:dyDescent="0.25">
      <c r="A125" s="862"/>
      <c r="D125" s="865"/>
      <c r="E125" s="869" t="s">
        <v>4476</v>
      </c>
      <c r="I125" s="885"/>
      <c r="J125" s="885"/>
      <c r="K125" s="885">
        <v>-577000</v>
      </c>
      <c r="L125" s="885">
        <v>-600000</v>
      </c>
      <c r="M125" s="885">
        <v>-557000</v>
      </c>
      <c r="N125" s="885">
        <v>-580000</v>
      </c>
      <c r="O125" s="2379">
        <v>-580000</v>
      </c>
    </row>
    <row r="126" spans="1:15" ht="12.75" customHeight="1" x14ac:dyDescent="0.25">
      <c r="A126" s="862"/>
      <c r="D126" s="865"/>
      <c r="E126" s="2476" t="s">
        <v>5397</v>
      </c>
      <c r="F126" s="2477"/>
      <c r="G126" s="2382"/>
      <c r="H126" s="2382"/>
      <c r="I126" s="2385"/>
      <c r="J126" s="2385"/>
      <c r="K126" s="2385"/>
      <c r="L126" s="2385"/>
      <c r="M126" s="2385">
        <v>-1500000</v>
      </c>
      <c r="N126" s="2385">
        <v>-1500000</v>
      </c>
      <c r="O126" s="2478">
        <v>-500000</v>
      </c>
    </row>
    <row r="127" spans="1:15" ht="12.75" customHeight="1" x14ac:dyDescent="0.25">
      <c r="A127" s="862"/>
      <c r="D127" s="865"/>
      <c r="E127" s="2476" t="s">
        <v>5402</v>
      </c>
      <c r="F127" s="2477"/>
      <c r="G127" s="2382"/>
      <c r="H127" s="2382"/>
      <c r="I127" s="2385"/>
      <c r="J127" s="2385"/>
      <c r="K127" s="2385"/>
      <c r="L127" s="2385"/>
      <c r="M127" s="2385">
        <v>1000000</v>
      </c>
      <c r="N127" s="2385">
        <v>1000000</v>
      </c>
      <c r="O127" s="2478">
        <v>0</v>
      </c>
    </row>
    <row r="128" spans="1:15" ht="12.75" customHeight="1" x14ac:dyDescent="0.25">
      <c r="A128" s="862"/>
      <c r="D128" s="865"/>
      <c r="E128" s="2341" t="s">
        <v>5406</v>
      </c>
      <c r="I128" s="885"/>
      <c r="J128" s="885"/>
      <c r="K128" s="885"/>
      <c r="L128" s="2343">
        <v>-1211190</v>
      </c>
      <c r="M128" s="2343">
        <v>-1262440</v>
      </c>
      <c r="N128" s="2343">
        <v>-1315050</v>
      </c>
      <c r="O128" s="2343">
        <v>-1369710</v>
      </c>
    </row>
    <row r="129" spans="1:24" ht="12.75" customHeight="1" thickBot="1" x14ac:dyDescent="0.3">
      <c r="A129" s="862"/>
      <c r="D129" s="905"/>
      <c r="E129" s="2341" t="str">
        <f>"Totaal "&amp;D108</f>
        <v>Totaal 43410</v>
      </c>
      <c r="F129" s="886"/>
      <c r="I129" s="885"/>
      <c r="J129" s="2342">
        <v>2616317</v>
      </c>
      <c r="K129" s="2342">
        <f>SUM(K108:K128)</f>
        <v>3749240</v>
      </c>
      <c r="L129" s="2342">
        <f>SUM(L108:L128)</f>
        <v>2645500</v>
      </c>
      <c r="M129" s="2342">
        <f>SUM(M108:M128)</f>
        <v>2228700</v>
      </c>
      <c r="N129" s="2342">
        <f>SUM(N108:N128)</f>
        <v>2245090</v>
      </c>
      <c r="O129" s="2342">
        <f>SUM(O108:O128)</f>
        <v>2285430</v>
      </c>
      <c r="T129" s="885"/>
      <c r="U129" s="885"/>
      <c r="V129" s="885"/>
      <c r="W129" s="885"/>
      <c r="X129" s="885"/>
    </row>
    <row r="130" spans="1:24" ht="12.75" customHeight="1" thickTop="1" x14ac:dyDescent="0.25">
      <c r="A130" s="862"/>
      <c r="D130" s="905"/>
      <c r="E130" s="863"/>
      <c r="F130" s="886"/>
      <c r="I130" s="885"/>
      <c r="J130" s="885"/>
      <c r="K130" s="885"/>
      <c r="L130" s="495"/>
      <c r="M130" s="495"/>
      <c r="N130" s="885"/>
      <c r="O130" s="885"/>
      <c r="T130" s="885"/>
      <c r="U130" s="885"/>
      <c r="V130" s="885"/>
      <c r="W130" s="885"/>
      <c r="X130" s="885"/>
    </row>
    <row r="131" spans="1:24" ht="12.75" customHeight="1" x14ac:dyDescent="0.25">
      <c r="A131" s="862"/>
      <c r="D131" s="905">
        <v>688002</v>
      </c>
      <c r="E131" s="868" t="s">
        <v>4477</v>
      </c>
      <c r="F131" s="886"/>
      <c r="I131" s="885"/>
      <c r="J131" s="885"/>
      <c r="K131" s="885"/>
      <c r="L131" s="885"/>
      <c r="M131" s="885"/>
      <c r="N131" s="885"/>
      <c r="O131" s="885"/>
      <c r="U131" s="873"/>
      <c r="V131" s="873"/>
      <c r="W131" s="873"/>
      <c r="X131" s="873"/>
    </row>
    <row r="132" spans="1:24" ht="12.75" customHeight="1" x14ac:dyDescent="0.25">
      <c r="A132" s="862"/>
      <c r="D132" s="863"/>
      <c r="E132" s="2377" t="s">
        <v>533</v>
      </c>
      <c r="F132" s="2400"/>
      <c r="I132" s="885"/>
      <c r="J132" s="885"/>
      <c r="K132" s="885"/>
      <c r="L132" s="885"/>
      <c r="M132" s="885"/>
      <c r="N132" s="885"/>
      <c r="O132" s="885"/>
      <c r="U132" s="885"/>
      <c r="V132" s="885"/>
      <c r="W132" s="885"/>
      <c r="X132" s="885"/>
    </row>
    <row r="133" spans="1:24" ht="12.75" customHeight="1" x14ac:dyDescent="0.25">
      <c r="A133" s="862"/>
      <c r="D133" s="865">
        <v>43410</v>
      </c>
      <c r="E133" s="869" t="s">
        <v>4478</v>
      </c>
      <c r="I133" s="885"/>
      <c r="J133" s="885">
        <v>1589000</v>
      </c>
      <c r="K133" s="885">
        <f>ROUND(1589000*S$5,-3)</f>
        <v>1662000</v>
      </c>
      <c r="L133" s="885">
        <f t="shared" ref="L133:O135" si="12">ROUND(K133*T$5,-3)</f>
        <v>1732000</v>
      </c>
      <c r="M133" s="885">
        <f t="shared" si="12"/>
        <v>1805000</v>
      </c>
      <c r="N133" s="885">
        <f t="shared" si="12"/>
        <v>1881000</v>
      </c>
      <c r="O133" s="885">
        <f t="shared" si="12"/>
        <v>1960000</v>
      </c>
    </row>
    <row r="134" spans="1:24" ht="12.75" customHeight="1" x14ac:dyDescent="0.25">
      <c r="A134" s="862"/>
      <c r="D134" s="865"/>
      <c r="E134" s="869" t="s">
        <v>4476</v>
      </c>
      <c r="I134" s="885"/>
      <c r="J134" s="885"/>
      <c r="K134" s="885">
        <v>1166000</v>
      </c>
      <c r="L134" s="885">
        <f t="shared" si="12"/>
        <v>1215000</v>
      </c>
      <c r="M134" s="885">
        <f t="shared" si="12"/>
        <v>1266000</v>
      </c>
      <c r="N134" s="885">
        <f t="shared" si="12"/>
        <v>1319000</v>
      </c>
      <c r="O134" s="885">
        <f t="shared" si="12"/>
        <v>1374000</v>
      </c>
    </row>
    <row r="135" spans="1:24" ht="12.75" customHeight="1" x14ac:dyDescent="0.25">
      <c r="A135" s="862"/>
      <c r="D135" s="865"/>
      <c r="E135" s="869" t="s">
        <v>5417</v>
      </c>
      <c r="I135" s="885"/>
      <c r="J135" s="885"/>
      <c r="K135" s="885"/>
      <c r="L135" s="2343">
        <v>-1176000</v>
      </c>
      <c r="M135" s="2343">
        <f t="shared" si="12"/>
        <v>-1225000</v>
      </c>
      <c r="N135" s="2343">
        <f t="shared" si="12"/>
        <v>-1276000</v>
      </c>
      <c r="O135" s="2343">
        <f t="shared" si="12"/>
        <v>-1330000</v>
      </c>
    </row>
    <row r="136" spans="1:24" ht="12.75" customHeight="1" thickBot="1" x14ac:dyDescent="0.3">
      <c r="A136" s="862"/>
      <c r="D136" s="905"/>
      <c r="E136" s="2341" t="str">
        <f>"Totaal "&amp;D133</f>
        <v>Totaal 43410</v>
      </c>
      <c r="F136" s="886"/>
      <c r="I136" s="885"/>
      <c r="J136" s="2342">
        <v>1589000</v>
      </c>
      <c r="K136" s="2342">
        <f>SUM(K133:K135)</f>
        <v>2828000</v>
      </c>
      <c r="L136" s="2342">
        <f t="shared" ref="L136:O136" si="13">SUM(L133:L135)</f>
        <v>1771000</v>
      </c>
      <c r="M136" s="2342">
        <f t="shared" si="13"/>
        <v>1846000</v>
      </c>
      <c r="N136" s="2342">
        <f t="shared" si="13"/>
        <v>1924000</v>
      </c>
      <c r="O136" s="2342">
        <f t="shared" si="13"/>
        <v>2004000</v>
      </c>
      <c r="T136" s="885"/>
      <c r="U136" s="885"/>
      <c r="V136" s="885"/>
      <c r="W136" s="885"/>
      <c r="X136" s="885"/>
    </row>
    <row r="137" spans="1:24" ht="12.75" customHeight="1" thickTop="1" x14ac:dyDescent="0.25">
      <c r="A137" s="862"/>
      <c r="D137" s="905"/>
      <c r="E137" s="863"/>
      <c r="F137" s="886"/>
      <c r="I137" s="885"/>
      <c r="J137" s="885"/>
      <c r="K137" s="885"/>
      <c r="L137" s="917"/>
      <c r="M137" s="917"/>
      <c r="N137" s="885"/>
      <c r="O137" s="885"/>
      <c r="T137" s="885"/>
      <c r="U137" s="885"/>
      <c r="V137" s="885"/>
      <c r="W137" s="885"/>
      <c r="X137" s="885"/>
    </row>
    <row r="138" spans="1:24" ht="12.75" customHeight="1" x14ac:dyDescent="0.25">
      <c r="A138" s="862"/>
      <c r="D138" s="905">
        <v>688003</v>
      </c>
      <c r="E138" s="868" t="s">
        <v>4479</v>
      </c>
      <c r="F138" s="886"/>
      <c r="I138" s="885"/>
      <c r="J138" s="885"/>
      <c r="K138" s="885"/>
      <c r="L138" s="885"/>
      <c r="M138" s="885"/>
      <c r="N138" s="885"/>
      <c r="O138" s="885"/>
      <c r="P138" s="885"/>
      <c r="U138" s="873"/>
      <c r="V138" s="873"/>
      <c r="W138" s="873"/>
      <c r="X138" s="873"/>
    </row>
    <row r="139" spans="1:24" ht="12.75" customHeight="1" x14ac:dyDescent="0.25">
      <c r="A139" s="862"/>
      <c r="D139" s="863"/>
      <c r="E139" s="2377" t="s">
        <v>533</v>
      </c>
      <c r="F139" s="2400"/>
      <c r="I139" s="885"/>
      <c r="J139" s="885"/>
      <c r="K139" s="885"/>
      <c r="L139" s="885"/>
      <c r="M139" s="885"/>
      <c r="N139" s="885"/>
      <c r="O139" s="885"/>
      <c r="U139" s="885"/>
      <c r="V139" s="885"/>
      <c r="W139" s="885"/>
      <c r="X139" s="885"/>
    </row>
    <row r="140" spans="1:24" ht="12.75" customHeight="1" x14ac:dyDescent="0.25">
      <c r="A140" s="862"/>
      <c r="D140" s="865">
        <v>43410</v>
      </c>
      <c r="E140" s="869" t="s">
        <v>4480</v>
      </c>
      <c r="I140" s="885"/>
      <c r="J140" s="885">
        <v>662000</v>
      </c>
      <c r="K140" s="885">
        <f>ROUND(662000*S$5,-3)</f>
        <v>692000</v>
      </c>
      <c r="L140" s="885">
        <f>ROUND(K140*T$5,-3)</f>
        <v>721000</v>
      </c>
      <c r="M140" s="885">
        <f>ROUND(L140*U$5,-3)</f>
        <v>751000</v>
      </c>
      <c r="N140" s="885">
        <f>ROUND(M140*V$5,-3)</f>
        <v>783000</v>
      </c>
      <c r="O140" s="885">
        <f>ROUND(N140*W$5,-3)</f>
        <v>816000</v>
      </c>
    </row>
    <row r="141" spans="1:24" ht="12.75" customHeight="1" x14ac:dyDescent="0.25">
      <c r="A141" s="862"/>
      <c r="D141" s="865"/>
      <c r="E141" s="869" t="s">
        <v>4476</v>
      </c>
      <c r="I141" s="885"/>
      <c r="J141" s="885"/>
      <c r="K141" s="885">
        <v>-651000</v>
      </c>
      <c r="L141" s="885">
        <v>-681000</v>
      </c>
      <c r="M141" s="885">
        <f>ROUND(L141*U$5,-3)</f>
        <v>-710000</v>
      </c>
      <c r="N141" s="885">
        <f>ROUND(M141*V$5,-3)</f>
        <v>-740000</v>
      </c>
      <c r="O141" s="885">
        <f>ROUND(N141*W$5,-3)</f>
        <v>-771000</v>
      </c>
    </row>
    <row r="142" spans="1:24" ht="12.75" customHeight="1" x14ac:dyDescent="0.25">
      <c r="A142" s="862"/>
      <c r="D142" s="865"/>
      <c r="E142" s="869" t="s">
        <v>5417</v>
      </c>
      <c r="I142" s="885"/>
      <c r="J142" s="885"/>
      <c r="K142" s="885"/>
      <c r="L142" s="2343">
        <v>116000</v>
      </c>
      <c r="M142" s="2343">
        <f>ROUND(L142*U$5,-3)</f>
        <v>121000</v>
      </c>
      <c r="N142" s="2343">
        <f t="shared" ref="N142:O142" si="14">ROUND(M142*V$5,-3)</f>
        <v>126000</v>
      </c>
      <c r="O142" s="2343">
        <f t="shared" si="14"/>
        <v>131000</v>
      </c>
    </row>
    <row r="143" spans="1:24" ht="12.75" customHeight="1" thickBot="1" x14ac:dyDescent="0.3">
      <c r="A143" s="862"/>
      <c r="D143" s="905"/>
      <c r="E143" s="2341" t="str">
        <f>"Totaal "&amp;D140</f>
        <v>Totaal 43410</v>
      </c>
      <c r="F143" s="886"/>
      <c r="I143" s="885"/>
      <c r="J143" s="2342">
        <v>662000</v>
      </c>
      <c r="K143" s="2342">
        <f>SUM(K140:K142)</f>
        <v>41000</v>
      </c>
      <c r="L143" s="2342">
        <f t="shared" ref="L143:O143" si="15">SUM(L140:L142)</f>
        <v>156000</v>
      </c>
      <c r="M143" s="2342">
        <f t="shared" si="15"/>
        <v>162000</v>
      </c>
      <c r="N143" s="2342">
        <f t="shared" si="15"/>
        <v>169000</v>
      </c>
      <c r="O143" s="2342">
        <f t="shared" si="15"/>
        <v>176000</v>
      </c>
      <c r="T143" s="885"/>
      <c r="U143" s="885"/>
      <c r="V143" s="885"/>
      <c r="W143" s="885"/>
      <c r="X143" s="885"/>
    </row>
    <row r="144" spans="1:24" ht="12.75" customHeight="1" thickTop="1" x14ac:dyDescent="0.25">
      <c r="A144" s="862"/>
      <c r="D144" s="905"/>
      <c r="E144" s="863"/>
      <c r="F144" s="886"/>
      <c r="I144" s="885"/>
      <c r="J144" s="885"/>
      <c r="K144" s="885"/>
      <c r="L144" s="885"/>
      <c r="M144" s="885"/>
      <c r="N144" s="885"/>
      <c r="O144" s="885"/>
      <c r="T144" s="885"/>
      <c r="U144" s="885"/>
      <c r="V144" s="885"/>
      <c r="W144" s="885"/>
      <c r="X144" s="885"/>
    </row>
    <row r="145" spans="1:24" ht="12.75" customHeight="1" x14ac:dyDescent="0.25">
      <c r="A145" s="862"/>
      <c r="D145" s="905">
        <v>688004</v>
      </c>
      <c r="E145" s="868" t="s">
        <v>4481</v>
      </c>
      <c r="F145" s="886"/>
      <c r="I145" s="885"/>
      <c r="J145" s="885"/>
      <c r="K145" s="885"/>
      <c r="L145" s="885"/>
      <c r="M145" s="885"/>
      <c r="N145" s="885"/>
      <c r="O145" s="885"/>
      <c r="P145" s="885"/>
      <c r="Q145" s="885"/>
      <c r="U145" s="873"/>
      <c r="V145" s="873"/>
      <c r="W145" s="873"/>
      <c r="X145" s="873"/>
    </row>
    <row r="146" spans="1:24" ht="12.75" customHeight="1" x14ac:dyDescent="0.25">
      <c r="A146" s="862"/>
      <c r="D146" s="863"/>
      <c r="E146" s="2377" t="s">
        <v>533</v>
      </c>
      <c r="F146" s="2400"/>
      <c r="I146" s="885"/>
      <c r="J146" s="885"/>
      <c r="K146" s="885"/>
      <c r="L146" s="885"/>
      <c r="M146" s="885"/>
      <c r="N146" s="885"/>
      <c r="O146" s="885"/>
      <c r="U146" s="885"/>
      <c r="V146" s="885"/>
      <c r="W146" s="885"/>
      <c r="X146" s="885"/>
    </row>
    <row r="147" spans="1:24" ht="12.75" customHeight="1" x14ac:dyDescent="0.25">
      <c r="A147" s="862"/>
      <c r="D147" s="865">
        <v>43410</v>
      </c>
      <c r="E147" s="869" t="s">
        <v>4482</v>
      </c>
      <c r="I147" s="885"/>
      <c r="J147" s="885">
        <v>66000</v>
      </c>
      <c r="K147" s="885">
        <f>ROUND(66000*S$5,-3)</f>
        <v>69000</v>
      </c>
      <c r="L147" s="885">
        <f>ROUND(K147*T$5,-3)</f>
        <v>72000</v>
      </c>
      <c r="M147" s="885">
        <f>ROUND(L147*U$5,-3)</f>
        <v>75000</v>
      </c>
      <c r="N147" s="885">
        <f>ROUND(M147*V$5,-3)</f>
        <v>78000</v>
      </c>
      <c r="O147" s="885">
        <f>ROUND(N147*W$5,-3)</f>
        <v>81000</v>
      </c>
    </row>
    <row r="148" spans="1:24" ht="12.75" customHeight="1" x14ac:dyDescent="0.25">
      <c r="A148" s="862"/>
      <c r="D148" s="865"/>
      <c r="E148" s="869" t="s">
        <v>4476</v>
      </c>
      <c r="I148" s="885"/>
      <c r="J148" s="885"/>
      <c r="K148" s="885">
        <v>49000</v>
      </c>
      <c r="L148" s="885">
        <v>51000</v>
      </c>
      <c r="M148" s="885">
        <f t="shared" ref="M148:O149" si="16">ROUND(L148*U$5,-3)</f>
        <v>53000</v>
      </c>
      <c r="N148" s="885">
        <f t="shared" si="16"/>
        <v>55000</v>
      </c>
      <c r="O148" s="885">
        <f t="shared" si="16"/>
        <v>57000</v>
      </c>
    </row>
    <row r="149" spans="1:24" ht="12.75" customHeight="1" x14ac:dyDescent="0.25">
      <c r="A149" s="862"/>
      <c r="D149" s="865"/>
      <c r="E149" s="869" t="s">
        <v>5417</v>
      </c>
      <c r="I149" s="885"/>
      <c r="J149" s="885"/>
      <c r="K149" s="885"/>
      <c r="L149" s="2343">
        <v>23000</v>
      </c>
      <c r="M149" s="2343">
        <f t="shared" si="16"/>
        <v>24000</v>
      </c>
      <c r="N149" s="2343">
        <f t="shared" si="16"/>
        <v>25000</v>
      </c>
      <c r="O149" s="2343">
        <f t="shared" si="16"/>
        <v>26000</v>
      </c>
    </row>
    <row r="150" spans="1:24" ht="12.75" customHeight="1" thickBot="1" x14ac:dyDescent="0.3">
      <c r="A150" s="862"/>
      <c r="D150" s="905"/>
      <c r="E150" s="2341" t="str">
        <f>"Totaal "&amp;D147</f>
        <v>Totaal 43410</v>
      </c>
      <c r="F150" s="886"/>
      <c r="I150" s="885"/>
      <c r="J150" s="2342">
        <v>66000</v>
      </c>
      <c r="K150" s="2342">
        <f>SUM(K147:K149)</f>
        <v>118000</v>
      </c>
      <c r="L150" s="2342">
        <f t="shared" ref="L150:O150" si="17">SUM(L147:L149)</f>
        <v>146000</v>
      </c>
      <c r="M150" s="2342">
        <f t="shared" si="17"/>
        <v>152000</v>
      </c>
      <c r="N150" s="2342">
        <f t="shared" si="17"/>
        <v>158000</v>
      </c>
      <c r="O150" s="2342">
        <f t="shared" si="17"/>
        <v>164000</v>
      </c>
      <c r="T150" s="885"/>
      <c r="U150" s="885"/>
      <c r="V150" s="885"/>
      <c r="W150" s="885"/>
      <c r="X150" s="885"/>
    </row>
    <row r="151" spans="1:24" ht="12.75" customHeight="1" thickTop="1" x14ac:dyDescent="0.25">
      <c r="A151" s="862"/>
      <c r="D151" s="905"/>
      <c r="E151" s="863"/>
      <c r="F151" s="886"/>
      <c r="I151" s="885"/>
      <c r="J151" s="885"/>
      <c r="K151" s="885"/>
      <c r="L151" s="885"/>
      <c r="M151" s="885"/>
      <c r="N151" s="885"/>
      <c r="O151" s="885"/>
      <c r="T151" s="885"/>
      <c r="U151" s="885"/>
      <c r="V151" s="885"/>
      <c r="W151" s="885"/>
      <c r="X151" s="885"/>
    </row>
    <row r="152" spans="1:24" ht="12.75" customHeight="1" x14ac:dyDescent="0.25">
      <c r="A152" s="862"/>
      <c r="D152" s="905">
        <v>688005</v>
      </c>
      <c r="E152" s="868" t="s">
        <v>4483</v>
      </c>
      <c r="F152" s="886"/>
      <c r="I152" s="885"/>
      <c r="J152" s="885"/>
      <c r="K152" s="885"/>
      <c r="L152" s="885"/>
      <c r="M152" s="885"/>
      <c r="N152" s="885"/>
      <c r="O152" s="885"/>
      <c r="P152" s="885"/>
      <c r="U152" s="873"/>
      <c r="V152" s="873"/>
      <c r="W152" s="873"/>
      <c r="X152" s="873"/>
    </row>
    <row r="153" spans="1:24" ht="12.75" customHeight="1" x14ac:dyDescent="0.25">
      <c r="A153" s="862"/>
      <c r="D153" s="863"/>
      <c r="E153" s="2377" t="s">
        <v>533</v>
      </c>
      <c r="F153" s="2400"/>
      <c r="I153" s="885"/>
      <c r="J153" s="885"/>
      <c r="K153" s="885"/>
      <c r="L153" s="885"/>
      <c r="M153" s="885"/>
      <c r="N153" s="885"/>
      <c r="O153" s="885"/>
      <c r="U153" s="885"/>
      <c r="V153" s="885"/>
      <c r="W153" s="885"/>
      <c r="X153" s="885"/>
    </row>
    <row r="154" spans="1:24" ht="12.75" customHeight="1" x14ac:dyDescent="0.25">
      <c r="A154" s="862"/>
      <c r="D154" s="865">
        <v>43410</v>
      </c>
      <c r="E154" s="869" t="s">
        <v>4484</v>
      </c>
      <c r="I154" s="885"/>
      <c r="J154" s="885">
        <v>662000</v>
      </c>
      <c r="K154" s="885">
        <f>ROUND(662000*S$5,-3)</f>
        <v>692000</v>
      </c>
      <c r="L154" s="885">
        <f>ROUND(K154*T$5,-3)</f>
        <v>721000</v>
      </c>
      <c r="M154" s="885">
        <f>ROUND(L154*U$5,-3)</f>
        <v>751000</v>
      </c>
      <c r="N154" s="885">
        <f>ROUND(M154*V$5,-3)</f>
        <v>783000</v>
      </c>
      <c r="O154" s="885">
        <f>ROUND(N154*W$5,-3)</f>
        <v>816000</v>
      </c>
    </row>
    <row r="155" spans="1:24" ht="12.75" customHeight="1" x14ac:dyDescent="0.25">
      <c r="A155" s="862"/>
      <c r="D155" s="865"/>
      <c r="E155" s="869" t="s">
        <v>4485</v>
      </c>
      <c r="I155" s="885"/>
      <c r="J155" s="885">
        <v>100000</v>
      </c>
      <c r="K155" s="885">
        <f>ROUND(100000*S$5,-3)</f>
        <v>105000</v>
      </c>
      <c r="L155" s="885">
        <f>ROUND(K155*T$3,-3)</f>
        <v>109000</v>
      </c>
      <c r="M155" s="885"/>
      <c r="N155" s="885"/>
      <c r="O155" s="885"/>
    </row>
    <row r="156" spans="1:24" ht="12.75" customHeight="1" x14ac:dyDescent="0.25">
      <c r="A156" s="862"/>
      <c r="D156" s="865"/>
      <c r="E156" s="869" t="s">
        <v>4476</v>
      </c>
      <c r="I156" s="885"/>
      <c r="J156" s="885"/>
      <c r="K156" s="885">
        <v>-105000</v>
      </c>
      <c r="L156" s="885">
        <v>-110000</v>
      </c>
      <c r="M156" s="885"/>
      <c r="N156" s="885"/>
      <c r="O156" s="885"/>
    </row>
    <row r="157" spans="1:24" ht="12.75" customHeight="1" x14ac:dyDescent="0.25">
      <c r="A157" s="862"/>
      <c r="D157" s="865"/>
      <c r="E157" s="869" t="s">
        <v>4476</v>
      </c>
      <c r="I157" s="885"/>
      <c r="J157" s="885"/>
      <c r="K157" s="885">
        <v>249000</v>
      </c>
      <c r="L157" s="885">
        <v>260000</v>
      </c>
      <c r="M157" s="885">
        <f>ROUND(L157*U$5,-3)</f>
        <v>271000</v>
      </c>
      <c r="N157" s="885">
        <f t="shared" ref="N157:O158" si="18">ROUND(M157*V$5,-3)</f>
        <v>282000</v>
      </c>
      <c r="O157" s="885">
        <f t="shared" si="18"/>
        <v>294000</v>
      </c>
    </row>
    <row r="158" spans="1:24" ht="12.75" customHeight="1" x14ac:dyDescent="0.25">
      <c r="A158" s="862"/>
      <c r="D158" s="865"/>
      <c r="E158" s="869" t="s">
        <v>5417</v>
      </c>
      <c r="I158" s="885"/>
      <c r="J158" s="885"/>
      <c r="K158" s="885"/>
      <c r="L158" s="2343">
        <v>479000</v>
      </c>
      <c r="M158" s="2343">
        <f>ROUND(L158*U$5,-3)</f>
        <v>499000</v>
      </c>
      <c r="N158" s="2343">
        <f t="shared" si="18"/>
        <v>520000</v>
      </c>
      <c r="O158" s="2343">
        <f t="shared" si="18"/>
        <v>542000</v>
      </c>
    </row>
    <row r="159" spans="1:24" ht="12.75" customHeight="1" thickBot="1" x14ac:dyDescent="0.3">
      <c r="A159" s="862"/>
      <c r="D159" s="905"/>
      <c r="E159" s="2341" t="str">
        <f>"Totaal "&amp;D154</f>
        <v>Totaal 43410</v>
      </c>
      <c r="F159" s="886"/>
      <c r="I159" s="885"/>
      <c r="J159" s="2342">
        <v>762000</v>
      </c>
      <c r="K159" s="2342">
        <f>SUM(K154:K158)</f>
        <v>941000</v>
      </c>
      <c r="L159" s="2342">
        <f t="shared" ref="L159:O159" si="19">SUM(L154:L158)</f>
        <v>1459000</v>
      </c>
      <c r="M159" s="2342">
        <f t="shared" si="19"/>
        <v>1521000</v>
      </c>
      <c r="N159" s="2342">
        <f t="shared" si="19"/>
        <v>1585000</v>
      </c>
      <c r="O159" s="2342">
        <f t="shared" si="19"/>
        <v>1652000</v>
      </c>
      <c r="P159" s="863">
        <f>1400000*1.042</f>
        <v>1458800</v>
      </c>
      <c r="T159" s="885"/>
      <c r="U159" s="885"/>
      <c r="V159" s="885"/>
      <c r="W159" s="885"/>
      <c r="X159" s="885"/>
    </row>
    <row r="160" spans="1:24" ht="12.75" customHeight="1" thickTop="1" x14ac:dyDescent="0.25">
      <c r="A160" s="862"/>
      <c r="D160" s="905"/>
      <c r="E160" s="863"/>
      <c r="F160" s="886"/>
      <c r="I160" s="885"/>
      <c r="J160" s="885"/>
      <c r="K160" s="885"/>
      <c r="L160" s="885"/>
      <c r="M160" s="885"/>
      <c r="N160" s="885"/>
      <c r="O160" s="885"/>
      <c r="T160" s="885"/>
      <c r="U160" s="885"/>
      <c r="V160" s="885"/>
      <c r="W160" s="885"/>
      <c r="X160" s="885"/>
    </row>
    <row r="161" spans="1:15" ht="12.75" customHeight="1" x14ac:dyDescent="0.25">
      <c r="A161" s="862"/>
      <c r="D161" s="905">
        <v>688901</v>
      </c>
      <c r="E161" s="2372" t="s">
        <v>4459</v>
      </c>
      <c r="F161" s="886"/>
      <c r="I161" s="885"/>
      <c r="J161" s="885"/>
      <c r="K161" s="885"/>
      <c r="L161" s="885"/>
      <c r="M161" s="885"/>
      <c r="N161" s="885"/>
      <c r="O161" s="885"/>
    </row>
    <row r="162" spans="1:15" ht="12.75" customHeight="1" x14ac:dyDescent="0.25">
      <c r="A162" s="862"/>
      <c r="D162" s="905"/>
      <c r="E162" s="2377" t="s">
        <v>533</v>
      </c>
      <c r="F162" s="886"/>
      <c r="I162" s="2357"/>
      <c r="J162" s="2357"/>
      <c r="K162" s="2357"/>
      <c r="L162" s="2357"/>
      <c r="M162" s="2357"/>
      <c r="N162" s="2357"/>
      <c r="O162" s="2357"/>
    </row>
    <row r="163" spans="1:15" ht="12.75" customHeight="1" x14ac:dyDescent="0.25">
      <c r="A163" s="862"/>
      <c r="D163" s="865">
        <v>43812</v>
      </c>
      <c r="E163" s="863" t="s">
        <v>4486</v>
      </c>
      <c r="F163" s="886"/>
      <c r="J163" s="885">
        <v>28082</v>
      </c>
      <c r="K163" s="885">
        <f>ROUND(J163*S$2,)</f>
        <v>28812</v>
      </c>
      <c r="L163" s="885">
        <f>ROUND(K163*T$2,)</f>
        <v>29417</v>
      </c>
      <c r="M163" s="885">
        <f>ROUND(L163*U$2,)</f>
        <v>30094</v>
      </c>
      <c r="N163" s="885">
        <f>ROUND(M163*V$2,)</f>
        <v>30786</v>
      </c>
      <c r="O163" s="885">
        <f>ROUND(N163*W$2,)</f>
        <v>31494</v>
      </c>
    </row>
    <row r="164" spans="1:15" ht="12.75" customHeight="1" thickBot="1" x14ac:dyDescent="0.3">
      <c r="A164" s="862"/>
      <c r="D164" s="905"/>
      <c r="E164" s="2341" t="str">
        <f>"Totaal "&amp;D163</f>
        <v>Totaal 43812</v>
      </c>
      <c r="F164" s="886"/>
      <c r="J164" s="2479">
        <v>28082</v>
      </c>
      <c r="K164" s="2479">
        <f t="shared" ref="K164:O164" si="20">SUM(K163)</f>
        <v>28812</v>
      </c>
      <c r="L164" s="2479">
        <f t="shared" si="20"/>
        <v>29417</v>
      </c>
      <c r="M164" s="2479">
        <f t="shared" si="20"/>
        <v>30094</v>
      </c>
      <c r="N164" s="2479">
        <f t="shared" si="20"/>
        <v>30786</v>
      </c>
      <c r="O164" s="2479">
        <f t="shared" si="20"/>
        <v>31494</v>
      </c>
    </row>
    <row r="165" spans="1:15" ht="12.75" customHeight="1" thickTop="1" x14ac:dyDescent="0.25">
      <c r="A165" s="862"/>
      <c r="D165" s="905"/>
      <c r="E165" s="2341"/>
      <c r="F165" s="886"/>
      <c r="J165" s="2358"/>
      <c r="K165" s="2358"/>
      <c r="L165" s="2358"/>
      <c r="M165" s="2358"/>
      <c r="N165" s="2358"/>
      <c r="O165" s="2358"/>
    </row>
    <row r="166" spans="1:15" ht="12.75" customHeight="1" x14ac:dyDescent="0.25">
      <c r="A166" s="862"/>
      <c r="D166" s="905"/>
      <c r="E166" s="2341"/>
      <c r="F166" s="886"/>
      <c r="J166" s="2358"/>
      <c r="K166" s="2358"/>
      <c r="L166" s="2358"/>
      <c r="M166" s="2358"/>
      <c r="N166" s="2358"/>
      <c r="O166" s="2358"/>
    </row>
    <row r="168" spans="1:15" ht="12.75" customHeight="1" x14ac:dyDescent="0.25">
      <c r="D168" s="905"/>
      <c r="E168" s="886"/>
      <c r="F168" s="886"/>
      <c r="G168" s="868"/>
      <c r="I168" s="885"/>
      <c r="J168" s="2357"/>
      <c r="K168" s="2357"/>
      <c r="L168" s="2357"/>
      <c r="M168" s="2357"/>
      <c r="N168" s="2357"/>
      <c r="O168" s="2357"/>
    </row>
    <row r="169" spans="1:15" ht="12.75" customHeight="1" x14ac:dyDescent="0.25">
      <c r="D169" s="903"/>
      <c r="E169" s="903"/>
      <c r="F169" s="903"/>
      <c r="G169" s="873"/>
      <c r="I169" s="885"/>
      <c r="J169" s="885"/>
      <c r="K169" s="885"/>
      <c r="L169" s="885"/>
      <c r="M169" s="885"/>
      <c r="N169" s="885"/>
      <c r="O169" s="885"/>
    </row>
    <row r="170" spans="1:15" ht="12.75" customHeight="1" x14ac:dyDescent="0.25">
      <c r="D170" s="865"/>
      <c r="I170" s="885"/>
      <c r="J170" s="885"/>
      <c r="K170" s="885"/>
      <c r="L170" s="885"/>
      <c r="M170" s="885"/>
      <c r="N170" s="885"/>
      <c r="O170" s="885"/>
    </row>
    <row r="171" spans="1:15" ht="12.75" customHeight="1" x14ac:dyDescent="0.25">
      <c r="D171" s="903"/>
      <c r="E171" s="903"/>
      <c r="F171" s="903"/>
      <c r="I171" s="885"/>
      <c r="J171" s="885"/>
      <c r="K171" s="885"/>
      <c r="L171" s="885"/>
      <c r="M171" s="885"/>
      <c r="N171" s="885"/>
      <c r="O171" s="885"/>
    </row>
    <row r="172" spans="1:15" ht="12.75" customHeight="1" x14ac:dyDescent="0.25">
      <c r="D172" s="865"/>
      <c r="G172" s="2480"/>
      <c r="I172" s="885"/>
      <c r="J172" s="885"/>
      <c r="K172" s="885"/>
      <c r="L172" s="885"/>
      <c r="M172" s="885"/>
      <c r="N172" s="885"/>
      <c r="O172" s="885"/>
    </row>
    <row r="173" spans="1:15" ht="12.75" customHeight="1" x14ac:dyDescent="0.25">
      <c r="A173" s="862"/>
    </row>
    <row r="174" spans="1:15" ht="12.75" customHeight="1" x14ac:dyDescent="0.25">
      <c r="A174" s="862"/>
    </row>
    <row r="175" spans="1:15" ht="12.75" customHeight="1" x14ac:dyDescent="0.25">
      <c r="A175" s="862"/>
    </row>
    <row r="176" spans="1:15" ht="12.75" customHeight="1" x14ac:dyDescent="0.25">
      <c r="A176" s="862"/>
    </row>
  </sheetData>
  <mergeCells count="3">
    <mergeCell ref="D63:D64"/>
    <mergeCell ref="F63:F64"/>
    <mergeCell ref="G63:H64"/>
  </mergeCells>
  <hyperlinks>
    <hyperlink ref="A1" location="Inhoudsopgave!A1" display="Inhoudsopgave" xr:uid="{824031FE-4ADF-488A-8B6E-1DCFDBF43723}"/>
  </hyperlinks>
  <pageMargins left="0.59055118110236227" right="0.39370078740157483" top="0.39370078740157483" bottom="0.39370078740157483" header="0.51181102362204722" footer="0.51181102362204722"/>
  <pageSetup paperSize="9" scale="66" orientation="portrait" useFirstPageNumber="1" r:id="rId1"/>
  <headerFooter alignWithMargins="0"/>
  <rowBreaks count="2" manualBreakCount="2">
    <brk id="60" min="3" max="14" man="1"/>
    <brk id="101" min="3" max="14"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356E-3BE3-4882-8078-51785BD2C5FF}">
  <dimension ref="A1:X90"/>
  <sheetViews>
    <sheetView showGridLines="0" view="pageBreakPreview" topLeftCell="A22" zoomScaleNormal="100" zoomScaleSheetLayoutView="100" workbookViewId="0">
      <selection activeCell="Q23" sqref="Q23"/>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1" width="11.6640625" style="863" customWidth="1"/>
    <col min="12" max="12" width="13.44140625" style="863" bestFit="1" customWidth="1"/>
    <col min="13" max="15" width="11.6640625" style="863" customWidth="1"/>
    <col min="16" max="16" width="10.109375" style="863" customWidth="1"/>
    <col min="17" max="17" width="12.109375" style="863" customWidth="1"/>
    <col min="18" max="18" width="9.109375" style="863"/>
    <col min="19" max="19" width="10.33203125" style="863" bestFit="1" customWidth="1"/>
    <col min="20"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5418</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E6" s="870" t="s">
        <v>5419</v>
      </c>
    </row>
    <row r="36" spans="4:18" ht="12.75" customHeight="1" x14ac:dyDescent="0.25">
      <c r="D36" s="870" t="s">
        <v>507</v>
      </c>
      <c r="E36" s="864"/>
      <c r="F36" s="864"/>
    </row>
    <row r="37" spans="4:18" ht="12.75" customHeight="1" x14ac:dyDescent="0.25">
      <c r="E37" s="864"/>
      <c r="F37" s="864"/>
    </row>
    <row r="38" spans="4:18" ht="12.75" customHeight="1" x14ac:dyDescent="0.25">
      <c r="D38" s="2310" t="s">
        <v>508</v>
      </c>
      <c r="E38" s="2311"/>
      <c r="F38" s="2311"/>
      <c r="G38" s="2312"/>
      <c r="H38" s="2312"/>
      <c r="I38" s="2313"/>
      <c r="J38" s="2313">
        <v>2025</v>
      </c>
      <c r="K38" s="2313">
        <v>2026</v>
      </c>
      <c r="L38" s="2313">
        <v>2027</v>
      </c>
      <c r="M38" s="2313">
        <v>2028</v>
      </c>
      <c r="N38" s="2313">
        <v>2029</v>
      </c>
      <c r="O38" s="2313">
        <v>2030</v>
      </c>
    </row>
    <row r="39" spans="4:18" ht="12.75" customHeight="1" x14ac:dyDescent="0.25">
      <c r="D39" s="871" t="str">
        <f>G61</f>
        <v>Jeugdhulp behandeling landelijk</v>
      </c>
      <c r="E39" s="2463"/>
      <c r="F39" s="2463"/>
      <c r="I39" s="879"/>
      <c r="J39" s="880">
        <v>0</v>
      </c>
      <c r="K39" s="880">
        <f t="shared" ref="K39:O39" si="0">K64</f>
        <v>0</v>
      </c>
      <c r="L39" s="880">
        <f t="shared" si="0"/>
        <v>834000</v>
      </c>
      <c r="M39" s="880">
        <f t="shared" si="0"/>
        <v>869000</v>
      </c>
      <c r="N39" s="880">
        <f t="shared" si="0"/>
        <v>905000</v>
      </c>
      <c r="O39" s="880">
        <f t="shared" si="0"/>
        <v>943000</v>
      </c>
    </row>
    <row r="40" spans="4:18" ht="12.75" customHeight="1" x14ac:dyDescent="0.25">
      <c r="D40" s="876"/>
      <c r="E40" s="877"/>
      <c r="F40" s="878"/>
      <c r="I40" s="879"/>
      <c r="J40" s="274"/>
      <c r="K40" s="274"/>
      <c r="L40" s="274"/>
      <c r="M40" s="274"/>
      <c r="N40" s="274"/>
      <c r="O40" s="274"/>
    </row>
    <row r="41" spans="4:18" ht="12.75" customHeight="1" x14ac:dyDescent="0.25">
      <c r="D41" s="876"/>
      <c r="E41" s="877"/>
      <c r="F41" s="878"/>
      <c r="I41" s="879"/>
      <c r="J41" s="275"/>
      <c r="K41" s="275"/>
      <c r="L41" s="275"/>
      <c r="M41" s="275"/>
      <c r="N41" s="275"/>
      <c r="O41" s="275"/>
      <c r="P41" s="885"/>
      <c r="Q41" s="885"/>
      <c r="R41" s="885"/>
    </row>
    <row r="42" spans="4:18" ht="12.75" customHeight="1" x14ac:dyDescent="0.25">
      <c r="D42" s="2316" t="s">
        <v>525</v>
      </c>
      <c r="E42" s="2317"/>
      <c r="F42" s="2318"/>
      <c r="G42" s="2319"/>
      <c r="H42" s="2319"/>
      <c r="I42" s="2320"/>
      <c r="J42" s="2321">
        <v>0</v>
      </c>
      <c r="K42" s="2321">
        <v>0</v>
      </c>
      <c r="L42" s="2321">
        <f>SUM(L39:L41)</f>
        <v>834000</v>
      </c>
      <c r="M42" s="2321">
        <f>SUM(M39:M41)</f>
        <v>869000</v>
      </c>
      <c r="N42" s="2321">
        <f>SUM(N39:N41)</f>
        <v>905000</v>
      </c>
      <c r="O42" s="2321">
        <f>SUM(O39:O41)</f>
        <v>943000</v>
      </c>
    </row>
    <row r="43" spans="4:18" ht="12.75" customHeight="1" x14ac:dyDescent="0.25">
      <c r="E43" s="877"/>
      <c r="F43" s="878"/>
    </row>
    <row r="44" spans="4:18" ht="12.75" customHeight="1" x14ac:dyDescent="0.25">
      <c r="D44" s="2310" t="s">
        <v>526</v>
      </c>
      <c r="E44" s="2311"/>
      <c r="F44" s="2311"/>
      <c r="G44" s="2312"/>
      <c r="H44" s="2312"/>
      <c r="I44" s="2313"/>
      <c r="J44" s="2313">
        <v>2025</v>
      </c>
      <c r="K44" s="2313">
        <v>2026</v>
      </c>
      <c r="L44" s="2313">
        <v>2027</v>
      </c>
      <c r="M44" s="2313">
        <v>2028</v>
      </c>
      <c r="N44" s="2313">
        <v>2029</v>
      </c>
      <c r="O44" s="2313">
        <v>2030</v>
      </c>
    </row>
    <row r="45" spans="4:18" ht="12.75" customHeight="1" x14ac:dyDescent="0.25">
      <c r="D45" s="2389"/>
      <c r="E45" s="2390"/>
      <c r="F45" s="2391"/>
      <c r="G45" s="889"/>
      <c r="H45" s="889"/>
      <c r="I45" s="879"/>
      <c r="J45" s="875"/>
      <c r="K45" s="875"/>
      <c r="L45" s="875"/>
      <c r="M45" s="875"/>
      <c r="N45" s="875"/>
      <c r="O45" s="875"/>
    </row>
    <row r="46" spans="4:18" ht="12.75" customHeight="1" x14ac:dyDescent="0.25">
      <c r="D46" s="876"/>
      <c r="E46" s="877"/>
      <c r="F46" s="878"/>
      <c r="I46" s="879"/>
      <c r="J46" s="875"/>
      <c r="K46" s="875"/>
      <c r="L46" s="875"/>
      <c r="M46" s="875"/>
      <c r="N46" s="875"/>
      <c r="O46" s="875"/>
    </row>
    <row r="47" spans="4:18" ht="12.75" customHeight="1" x14ac:dyDescent="0.25">
      <c r="D47" s="876"/>
      <c r="E47" s="877"/>
      <c r="F47" s="878"/>
      <c r="I47" s="879"/>
      <c r="J47" s="875"/>
      <c r="K47" s="875"/>
      <c r="L47" s="875"/>
      <c r="M47" s="875"/>
      <c r="N47" s="875"/>
      <c r="O47" s="875"/>
    </row>
    <row r="48" spans="4:18" ht="12.75" customHeight="1" x14ac:dyDescent="0.25">
      <c r="D48" s="876"/>
      <c r="E48" s="877"/>
      <c r="F48" s="878"/>
      <c r="I48" s="879"/>
      <c r="J48" s="880"/>
      <c r="K48" s="880"/>
      <c r="L48" s="880"/>
      <c r="M48" s="880"/>
      <c r="N48" s="880"/>
      <c r="O48" s="880"/>
    </row>
    <row r="49" spans="1:15" ht="12.75" customHeight="1" x14ac:dyDescent="0.25">
      <c r="D49" s="876"/>
      <c r="E49" s="877"/>
      <c r="F49" s="878"/>
      <c r="I49" s="879"/>
      <c r="J49" s="880"/>
      <c r="K49" s="880"/>
      <c r="L49" s="880"/>
      <c r="M49" s="880"/>
      <c r="N49" s="880"/>
      <c r="O49" s="880"/>
    </row>
    <row r="50" spans="1:15" ht="12.75" customHeight="1" x14ac:dyDescent="0.25">
      <c r="D50" s="881"/>
      <c r="E50" s="882"/>
      <c r="F50" s="883"/>
      <c r="G50" s="884"/>
      <c r="H50" s="884"/>
      <c r="I50" s="879"/>
      <c r="J50" s="880"/>
      <c r="K50" s="880"/>
      <c r="L50" s="880"/>
      <c r="M50" s="880"/>
      <c r="N50" s="880"/>
      <c r="O50" s="880"/>
    </row>
    <row r="51" spans="1:15" ht="12.75" customHeight="1" x14ac:dyDescent="0.25">
      <c r="D51" s="2316" t="s">
        <v>328</v>
      </c>
      <c r="E51" s="2317"/>
      <c r="F51" s="2318"/>
      <c r="G51" s="2319"/>
      <c r="H51" s="2319"/>
      <c r="I51" s="2320"/>
      <c r="J51" s="2321">
        <v>0</v>
      </c>
      <c r="K51" s="2321">
        <v>0</v>
      </c>
      <c r="L51" s="2321">
        <f>SUM(L45:L50)</f>
        <v>0</v>
      </c>
      <c r="M51" s="2321">
        <f>SUM(M45:M50)</f>
        <v>0</v>
      </c>
      <c r="N51" s="2321">
        <f>SUM(N45:N50)</f>
        <v>0</v>
      </c>
      <c r="O51" s="2321">
        <f>SUM(O45:O50)</f>
        <v>0</v>
      </c>
    </row>
    <row r="52" spans="1:15" ht="12.75" customHeight="1" x14ac:dyDescent="0.25">
      <c r="E52" s="877"/>
      <c r="F52" s="878"/>
      <c r="J52" s="885"/>
      <c r="K52" s="885"/>
      <c r="L52" s="885"/>
      <c r="M52" s="885"/>
      <c r="N52" s="885"/>
      <c r="O52" s="885"/>
    </row>
    <row r="53" spans="1:15" ht="12.75" customHeight="1" x14ac:dyDescent="0.3">
      <c r="D53" s="2322" t="s">
        <v>976</v>
      </c>
      <c r="E53" s="2323"/>
      <c r="F53" s="2323"/>
      <c r="G53" s="2319"/>
      <c r="H53" s="2319"/>
      <c r="I53" s="2320"/>
      <c r="J53" s="2324">
        <v>0</v>
      </c>
      <c r="K53" s="2324">
        <v>0</v>
      </c>
      <c r="L53" s="2324">
        <f>L42+L51</f>
        <v>834000</v>
      </c>
      <c r="M53" s="2324">
        <f>M42+M51</f>
        <v>869000</v>
      </c>
      <c r="N53" s="2324">
        <f>N42+N51</f>
        <v>905000</v>
      </c>
      <c r="O53" s="2324">
        <f>O42+O51</f>
        <v>943000</v>
      </c>
    </row>
    <row r="54" spans="1:15" ht="12.75" customHeight="1" x14ac:dyDescent="0.25">
      <c r="E54" s="877"/>
      <c r="F54" s="878"/>
      <c r="J54" s="885"/>
      <c r="K54" s="885"/>
      <c r="L54" s="885"/>
      <c r="M54" s="885"/>
      <c r="N54" s="885"/>
      <c r="O54" s="885"/>
    </row>
    <row r="55" spans="1:15" ht="12.75" customHeight="1" x14ac:dyDescent="0.25">
      <c r="E55" s="864"/>
      <c r="F55" s="864"/>
      <c r="J55" s="885"/>
      <c r="K55" s="885"/>
      <c r="L55" s="885"/>
      <c r="M55" s="885"/>
      <c r="N55" s="885"/>
      <c r="O55" s="885"/>
    </row>
    <row r="56" spans="1:15" ht="12.75" customHeight="1" x14ac:dyDescent="0.25">
      <c r="D56" s="870" t="s">
        <v>528</v>
      </c>
      <c r="E56" s="886"/>
      <c r="F56" s="886"/>
    </row>
    <row r="58" spans="1:15" ht="12.75" customHeight="1" x14ac:dyDescent="0.25">
      <c r="A58" s="862"/>
      <c r="D58" s="2613" t="s">
        <v>529</v>
      </c>
      <c r="E58" s="2325" t="s">
        <v>530</v>
      </c>
      <c r="F58" s="2585" t="s">
        <v>531</v>
      </c>
      <c r="G58" s="2587" t="s">
        <v>206</v>
      </c>
      <c r="H58" s="2588"/>
      <c r="I58" s="2326"/>
      <c r="J58" s="2320"/>
      <c r="K58" s="2320"/>
      <c r="L58" s="2320"/>
      <c r="M58" s="2320"/>
      <c r="N58" s="2320"/>
      <c r="O58" s="2320"/>
    </row>
    <row r="59" spans="1:15" ht="12.75" customHeight="1" x14ac:dyDescent="0.25">
      <c r="A59" s="862"/>
      <c r="D59" s="2614"/>
      <c r="E59" s="887" t="s">
        <v>532</v>
      </c>
      <c r="F59" s="2586"/>
      <c r="G59" s="2589"/>
      <c r="H59" s="2590"/>
      <c r="I59" s="276"/>
      <c r="J59" s="2327">
        <v>2025</v>
      </c>
      <c r="K59" s="2327">
        <v>2026</v>
      </c>
      <c r="L59" s="2327">
        <v>2027</v>
      </c>
      <c r="M59" s="2327">
        <v>2028</v>
      </c>
      <c r="N59" s="2327">
        <v>2029</v>
      </c>
      <c r="O59" s="2327">
        <v>2030</v>
      </c>
    </row>
    <row r="60" spans="1:15" ht="12.75" customHeight="1" x14ac:dyDescent="0.25">
      <c r="A60" s="862"/>
      <c r="D60" s="2465"/>
      <c r="E60" s="2466"/>
      <c r="F60" s="2467"/>
      <c r="G60" s="2468"/>
      <c r="H60" s="2469"/>
      <c r="I60" s="2470"/>
      <c r="J60" s="2470"/>
      <c r="K60" s="2470"/>
      <c r="L60" s="2470"/>
      <c r="M60" s="2470"/>
      <c r="N60" s="2470"/>
      <c r="O60" s="2470"/>
    </row>
    <row r="61" spans="1:15" ht="12.75" customHeight="1" x14ac:dyDescent="0.25">
      <c r="A61" s="862"/>
      <c r="D61" s="890">
        <f>D76</f>
        <v>689002</v>
      </c>
      <c r="E61" s="891"/>
      <c r="F61" s="891"/>
      <c r="G61" s="868" t="str">
        <f>E76</f>
        <v>Jeugdhulp behandeling landelijk</v>
      </c>
      <c r="J61" s="2346"/>
      <c r="K61" s="2346"/>
      <c r="L61" s="2346"/>
      <c r="M61" s="2346"/>
      <c r="N61" s="2346"/>
      <c r="O61" s="2346"/>
    </row>
    <row r="62" spans="1:15" ht="12.75" customHeight="1" x14ac:dyDescent="0.25">
      <c r="A62" s="862"/>
      <c r="D62" s="890"/>
      <c r="E62" s="891"/>
      <c r="F62" s="891"/>
      <c r="G62" s="873" t="s">
        <v>533</v>
      </c>
      <c r="J62" s="2346"/>
      <c r="K62" s="2346"/>
      <c r="L62" s="2346"/>
      <c r="M62" s="2346"/>
      <c r="N62" s="2346"/>
      <c r="O62" s="2346"/>
    </row>
    <row r="63" spans="1:15" ht="12.75" customHeight="1" x14ac:dyDescent="0.25">
      <c r="A63" s="896">
        <f>D61</f>
        <v>689002</v>
      </c>
      <c r="B63" s="863" t="str">
        <f>G61</f>
        <v>Jeugdhulp behandeling landelijk</v>
      </c>
      <c r="D63" s="893">
        <v>43410</v>
      </c>
      <c r="E63" s="893"/>
      <c r="F63" s="893"/>
      <c r="G63" s="895" t="s">
        <v>3341</v>
      </c>
      <c r="I63" s="885"/>
      <c r="J63" s="875">
        <v>0</v>
      </c>
      <c r="K63" s="875">
        <v>0</v>
      </c>
      <c r="L63" s="875">
        <f>L79</f>
        <v>834000</v>
      </c>
      <c r="M63" s="875">
        <f>M79</f>
        <v>869000</v>
      </c>
      <c r="N63" s="875">
        <f>N79</f>
        <v>905000</v>
      </c>
      <c r="O63" s="875">
        <f>O79</f>
        <v>943000</v>
      </c>
    </row>
    <row r="64" spans="1:15" ht="12.75" customHeight="1" thickBot="1" x14ac:dyDescent="0.3">
      <c r="A64" s="862"/>
      <c r="D64" s="2331"/>
      <c r="E64" s="2331"/>
      <c r="F64" s="2331"/>
      <c r="G64" s="863" t="s">
        <v>536</v>
      </c>
      <c r="I64" s="885"/>
      <c r="J64" s="2333">
        <v>0</v>
      </c>
      <c r="K64" s="2333">
        <v>0</v>
      </c>
      <c r="L64" s="2333">
        <f>SUM(L62:L63)</f>
        <v>834000</v>
      </c>
      <c r="M64" s="2333">
        <f>SUM(M62:M63)</f>
        <v>869000</v>
      </c>
      <c r="N64" s="2333">
        <f>SUM(N62:N63)</f>
        <v>905000</v>
      </c>
      <c r="O64" s="2333">
        <f>SUM(O62:O63)</f>
        <v>943000</v>
      </c>
    </row>
    <row r="65" spans="1:24" ht="12.75" customHeight="1" thickTop="1" x14ac:dyDescent="0.25">
      <c r="A65" s="862"/>
      <c r="D65" s="2331"/>
      <c r="E65" s="2331"/>
      <c r="F65" s="2331"/>
      <c r="I65" s="885"/>
      <c r="J65" s="2395"/>
      <c r="K65" s="2395"/>
      <c r="L65" s="2395"/>
      <c r="M65" s="2395"/>
      <c r="N65" s="2395"/>
      <c r="O65" s="2395"/>
    </row>
    <row r="66" spans="1:24" ht="12.75" customHeight="1" x14ac:dyDescent="0.25">
      <c r="A66" s="862"/>
      <c r="D66" s="2331"/>
      <c r="E66" s="2473"/>
      <c r="F66" s="2331"/>
      <c r="I66" s="885"/>
      <c r="J66" s="875"/>
      <c r="K66" s="875"/>
      <c r="L66" s="875"/>
      <c r="M66" s="875"/>
      <c r="N66" s="875"/>
      <c r="O66" s="875"/>
    </row>
    <row r="67" spans="1:24" ht="12.75" customHeight="1" x14ac:dyDescent="0.25">
      <c r="D67" s="2337"/>
      <c r="E67" s="2474"/>
      <c r="F67" s="2337"/>
      <c r="G67" s="899"/>
      <c r="H67" s="884"/>
      <c r="I67" s="900"/>
      <c r="J67" s="901"/>
      <c r="K67" s="901"/>
      <c r="L67" s="901"/>
      <c r="M67" s="901"/>
      <c r="N67" s="901"/>
      <c r="O67" s="901"/>
    </row>
    <row r="68" spans="1:24" ht="12.75" customHeight="1" x14ac:dyDescent="0.25">
      <c r="D68" s="903"/>
      <c r="E68" s="903"/>
      <c r="F68" s="903"/>
      <c r="I68" s="885"/>
      <c r="J68" s="885"/>
      <c r="K68" s="885"/>
      <c r="L68" s="885"/>
      <c r="M68" s="885"/>
      <c r="N68" s="885"/>
      <c r="O68" s="885"/>
      <c r="P68" s="885"/>
    </row>
    <row r="69" spans="1:24" ht="12.75" customHeight="1" x14ac:dyDescent="0.25">
      <c r="D69" s="903"/>
      <c r="E69" s="903"/>
      <c r="F69" s="903"/>
      <c r="I69" s="885"/>
      <c r="J69" s="885"/>
      <c r="K69" s="885"/>
      <c r="L69" s="885"/>
      <c r="M69" s="885"/>
      <c r="N69" s="885"/>
      <c r="O69" s="885"/>
      <c r="P69" s="885"/>
    </row>
    <row r="70" spans="1:24" ht="12.75" customHeight="1" x14ac:dyDescent="0.25">
      <c r="D70" s="903"/>
      <c r="E70" s="903"/>
      <c r="F70" s="903"/>
      <c r="I70" s="885"/>
      <c r="J70" s="885"/>
      <c r="K70" s="885"/>
      <c r="L70" s="885"/>
      <c r="M70" s="885"/>
      <c r="N70" s="885"/>
      <c r="O70" s="885"/>
      <c r="P70" s="885"/>
    </row>
    <row r="71" spans="1:24" ht="12.75" customHeight="1" x14ac:dyDescent="0.25">
      <c r="D71" s="903"/>
      <c r="E71" s="903"/>
      <c r="F71" s="903"/>
      <c r="I71" s="885"/>
      <c r="J71" s="885"/>
      <c r="K71" s="885"/>
      <c r="L71" s="885"/>
      <c r="M71" s="885"/>
      <c r="N71" s="885"/>
      <c r="O71" s="885"/>
      <c r="P71" s="885"/>
    </row>
    <row r="72" spans="1:24" ht="12.75" customHeight="1" x14ac:dyDescent="0.25">
      <c r="D72" s="903"/>
      <c r="E72" s="903"/>
      <c r="F72" s="903"/>
      <c r="I72" s="885"/>
      <c r="J72" s="885"/>
      <c r="K72" s="885"/>
      <c r="L72" s="885"/>
      <c r="M72" s="885"/>
      <c r="N72" s="885"/>
      <c r="O72" s="885"/>
      <c r="P72" s="885"/>
    </row>
    <row r="73" spans="1:24" ht="12.75" customHeight="1" x14ac:dyDescent="0.25">
      <c r="A73" s="862"/>
      <c r="D73" s="902" t="s">
        <v>561</v>
      </c>
      <c r="E73" s="903"/>
      <c r="F73" s="903"/>
      <c r="G73" s="868"/>
      <c r="I73" s="885"/>
      <c r="J73" s="885"/>
      <c r="K73" s="885"/>
      <c r="L73" s="885"/>
      <c r="M73" s="885"/>
      <c r="N73" s="885"/>
      <c r="O73" s="885"/>
      <c r="P73" s="885"/>
    </row>
    <row r="74" spans="1:24" ht="12.75" customHeight="1" x14ac:dyDescent="0.25">
      <c r="A74" s="862"/>
      <c r="D74" s="903"/>
      <c r="E74" s="903"/>
      <c r="F74" s="903"/>
      <c r="I74" s="885"/>
      <c r="J74" s="885"/>
      <c r="K74" s="885"/>
      <c r="L74" s="885"/>
      <c r="M74" s="885"/>
      <c r="N74" s="885"/>
      <c r="O74" s="885"/>
      <c r="P74" s="885"/>
    </row>
    <row r="76" spans="1:24" ht="12.75" customHeight="1" x14ac:dyDescent="0.25">
      <c r="A76" s="862"/>
      <c r="D76" s="905">
        <v>689002</v>
      </c>
      <c r="E76" s="868" t="s">
        <v>5420</v>
      </c>
      <c r="F76" s="886"/>
      <c r="I76" s="885"/>
      <c r="J76" s="2475">
        <v>2025</v>
      </c>
      <c r="K76" s="2475">
        <v>2026</v>
      </c>
      <c r="L76" s="2475">
        <v>2027</v>
      </c>
      <c r="M76" s="2475">
        <v>2028</v>
      </c>
      <c r="N76" s="2475">
        <v>2029</v>
      </c>
      <c r="O76" s="2475">
        <v>2030</v>
      </c>
      <c r="U76" s="873"/>
      <c r="V76" s="873"/>
      <c r="W76" s="873"/>
      <c r="X76" s="873"/>
    </row>
    <row r="77" spans="1:24" ht="12.75" customHeight="1" x14ac:dyDescent="0.25">
      <c r="A77" s="862"/>
      <c r="D77" s="863"/>
      <c r="E77" s="2377" t="s">
        <v>533</v>
      </c>
      <c r="F77" s="2400"/>
      <c r="I77" s="885"/>
      <c r="J77" s="885"/>
      <c r="K77" s="885"/>
      <c r="L77" s="885"/>
      <c r="M77" s="885"/>
      <c r="N77" s="885"/>
      <c r="O77" s="885"/>
      <c r="U77" s="885"/>
      <c r="V77" s="885"/>
      <c r="W77" s="885"/>
      <c r="X77" s="885"/>
    </row>
    <row r="78" spans="1:24" ht="12.75" customHeight="1" x14ac:dyDescent="0.25">
      <c r="A78" s="862"/>
      <c r="D78" s="865">
        <v>43410</v>
      </c>
      <c r="E78" s="869" t="s">
        <v>4478</v>
      </c>
      <c r="I78" s="885"/>
      <c r="J78" s="885"/>
      <c r="K78" s="885"/>
      <c r="L78" s="2343">
        <v>834000</v>
      </c>
      <c r="M78" s="2343">
        <f>ROUND(L78*U$5,-3)</f>
        <v>869000</v>
      </c>
      <c r="N78" s="2343">
        <f>ROUND(M78*V$5,-3)</f>
        <v>905000</v>
      </c>
      <c r="O78" s="2343">
        <f>ROUND(N78*W$5,-3)</f>
        <v>943000</v>
      </c>
    </row>
    <row r="79" spans="1:24" ht="12.75" customHeight="1" thickBot="1" x14ac:dyDescent="0.3">
      <c r="A79" s="862"/>
      <c r="D79" s="905"/>
      <c r="E79" s="2341" t="str">
        <f>"Totaal "&amp;D78</f>
        <v>Totaal 43410</v>
      </c>
      <c r="F79" s="886"/>
      <c r="I79" s="885"/>
      <c r="J79" s="2342">
        <v>0</v>
      </c>
      <c r="K79" s="2342">
        <v>0</v>
      </c>
      <c r="L79" s="2342">
        <f>SUM(L78:L78)</f>
        <v>834000</v>
      </c>
      <c r="M79" s="2342">
        <f>SUM(M78:M78)</f>
        <v>869000</v>
      </c>
      <c r="N79" s="2342">
        <f>SUM(N78:N78)</f>
        <v>905000</v>
      </c>
      <c r="O79" s="2342">
        <f>SUM(O78:O78)</f>
        <v>943000</v>
      </c>
      <c r="T79" s="885"/>
      <c r="U79" s="885"/>
      <c r="V79" s="885"/>
      <c r="W79" s="885"/>
      <c r="X79" s="885"/>
    </row>
    <row r="80" spans="1:24" ht="12.75" customHeight="1" thickTop="1" x14ac:dyDescent="0.25">
      <c r="A80" s="862"/>
      <c r="D80" s="905"/>
      <c r="E80" s="2341"/>
      <c r="F80" s="886"/>
      <c r="J80" s="2358"/>
      <c r="K80" s="2358"/>
      <c r="L80" s="2358"/>
      <c r="M80" s="2358"/>
      <c r="N80" s="2358"/>
      <c r="O80" s="2358"/>
    </row>
    <row r="82" spans="1:15" ht="12.75" customHeight="1" x14ac:dyDescent="0.25">
      <c r="D82" s="905"/>
      <c r="E82" s="886"/>
      <c r="F82" s="886"/>
      <c r="G82" s="868"/>
      <c r="I82" s="885"/>
      <c r="J82" s="2357"/>
      <c r="K82" s="2357"/>
      <c r="L82" s="2357"/>
      <c r="M82" s="2357"/>
      <c r="N82" s="2357"/>
      <c r="O82" s="2357"/>
    </row>
    <row r="83" spans="1:15" ht="12.75" customHeight="1" x14ac:dyDescent="0.25">
      <c r="D83" s="903"/>
      <c r="E83" s="903"/>
      <c r="F83" s="903"/>
      <c r="G83" s="873"/>
      <c r="I83" s="885"/>
      <c r="J83" s="885"/>
      <c r="K83" s="885"/>
      <c r="L83" s="885"/>
      <c r="M83" s="885"/>
      <c r="N83" s="885"/>
      <c r="O83" s="885"/>
    </row>
    <row r="84" spans="1:15" ht="12.75" customHeight="1" x14ac:dyDescent="0.25">
      <c r="D84" s="865"/>
      <c r="I84" s="885"/>
      <c r="J84" s="885"/>
      <c r="K84" s="885"/>
      <c r="L84" s="885"/>
      <c r="M84" s="885"/>
      <c r="N84" s="885"/>
      <c r="O84" s="885"/>
    </row>
    <row r="85" spans="1:15" ht="12.75" customHeight="1" x14ac:dyDescent="0.25">
      <c r="D85" s="903"/>
      <c r="E85" s="903"/>
      <c r="F85" s="903"/>
      <c r="I85" s="885"/>
      <c r="J85" s="885"/>
      <c r="K85" s="885"/>
      <c r="L85" s="885"/>
      <c r="M85" s="885"/>
      <c r="N85" s="885"/>
      <c r="O85" s="885"/>
    </row>
    <row r="86" spans="1:15" ht="12.75" customHeight="1" x14ac:dyDescent="0.25">
      <c r="D86" s="865"/>
      <c r="G86" s="2480"/>
      <c r="I86" s="885"/>
      <c r="J86" s="885"/>
      <c r="K86" s="885"/>
      <c r="L86" s="885"/>
      <c r="M86" s="885"/>
      <c r="N86" s="885"/>
      <c r="O86" s="885"/>
    </row>
    <row r="87" spans="1:15" ht="12.75" customHeight="1" x14ac:dyDescent="0.25">
      <c r="A87" s="862"/>
    </row>
    <row r="88" spans="1:15" ht="12.75" customHeight="1" x14ac:dyDescent="0.25">
      <c r="A88" s="862"/>
    </row>
    <row r="89" spans="1:15" ht="12.75" customHeight="1" x14ac:dyDescent="0.25">
      <c r="A89" s="862"/>
    </row>
    <row r="90" spans="1:15" ht="12.75" customHeight="1" x14ac:dyDescent="0.25">
      <c r="A90" s="862"/>
    </row>
  </sheetData>
  <mergeCells count="3">
    <mergeCell ref="D58:D59"/>
    <mergeCell ref="F58:F59"/>
    <mergeCell ref="G58:H59"/>
  </mergeCells>
  <hyperlinks>
    <hyperlink ref="A1" location="Inhoudsopgave!A1" display="Inhoudsopgave" xr:uid="{AA575A91-30E7-413A-A201-D2C3B806C8DF}"/>
  </hyperlinks>
  <pageMargins left="0.59055118110236227" right="0.39370078740157483" top="0.39370078740157483" bottom="0.39370078740157483" header="0.51181102362204722" footer="0.51181102362204722"/>
  <pageSetup paperSize="9" scale="66" orientation="portrait" useFirstPageNumber="1" r:id="rId1"/>
  <headerFooter alignWithMargins="0"/>
  <rowBreaks count="2" manualBreakCount="2">
    <brk id="55" min="3" max="14" man="1"/>
    <brk id="71" min="3" max="14"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7423A-AC16-4FBD-86CE-385B3E4174EE}">
  <dimension ref="A1:X82"/>
  <sheetViews>
    <sheetView showGridLines="0" view="pageBreakPreview" topLeftCell="A19" zoomScaleNormal="100" zoomScaleSheetLayoutView="100" workbookViewId="0">
      <selection activeCell="U8" sqref="U8"/>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1" width="11.6640625" style="863" customWidth="1"/>
    <col min="12" max="12" width="13.44140625" style="863" bestFit="1" customWidth="1"/>
    <col min="13" max="15" width="11.6640625" style="863" customWidth="1"/>
    <col min="16" max="16" width="10.109375" style="863" customWidth="1"/>
    <col min="17" max="17" width="12.109375" style="863" customWidth="1"/>
    <col min="18" max="18" width="9.109375" style="863"/>
    <col min="19" max="19" width="10.33203125" style="863" bestFit="1" customWidth="1"/>
    <col min="20"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5421</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E6" s="870" t="s">
        <v>5422</v>
      </c>
    </row>
    <row r="28" spans="4:15" ht="12.75" customHeight="1" x14ac:dyDescent="0.25">
      <c r="D28" s="870" t="s">
        <v>507</v>
      </c>
      <c r="E28" s="864"/>
      <c r="F28" s="864"/>
    </row>
    <row r="29" spans="4:15" ht="12.75" customHeight="1" x14ac:dyDescent="0.25">
      <c r="E29" s="864"/>
      <c r="F29" s="864"/>
    </row>
    <row r="30" spans="4:15" ht="12.75" customHeight="1" x14ac:dyDescent="0.25">
      <c r="D30" s="2310" t="s">
        <v>508</v>
      </c>
      <c r="E30" s="2311"/>
      <c r="F30" s="2311"/>
      <c r="G30" s="2312"/>
      <c r="H30" s="2312"/>
      <c r="I30" s="2313"/>
      <c r="J30" s="2313">
        <v>2025</v>
      </c>
      <c r="K30" s="2313">
        <v>2026</v>
      </c>
      <c r="L30" s="2313">
        <v>2027</v>
      </c>
      <c r="M30" s="2313">
        <v>2028</v>
      </c>
      <c r="N30" s="2313">
        <v>2029</v>
      </c>
      <c r="O30" s="2313">
        <v>2030</v>
      </c>
    </row>
    <row r="31" spans="4:15" ht="12.75" customHeight="1" x14ac:dyDescent="0.25">
      <c r="D31" s="871" t="str">
        <f>G53</f>
        <v>Overige jeugdhulp met verblijf lokaal</v>
      </c>
      <c r="E31" s="2463"/>
      <c r="F31" s="2463"/>
      <c r="I31" s="879"/>
      <c r="J31" s="880">
        <v>0</v>
      </c>
      <c r="K31" s="880">
        <v>0</v>
      </c>
      <c r="L31" s="880">
        <f t="shared" ref="L31:O31" si="0">L56</f>
        <v>5210</v>
      </c>
      <c r="M31" s="880">
        <f t="shared" si="0"/>
        <v>5430</v>
      </c>
      <c r="N31" s="880">
        <f t="shared" si="0"/>
        <v>5660</v>
      </c>
      <c r="O31" s="880">
        <f t="shared" si="0"/>
        <v>5900</v>
      </c>
    </row>
    <row r="32" spans="4:15" ht="12.75" customHeight="1" x14ac:dyDescent="0.25">
      <c r="D32" s="876"/>
      <c r="E32" s="877"/>
      <c r="F32" s="878"/>
      <c r="I32" s="879"/>
      <c r="J32" s="274"/>
      <c r="K32" s="274"/>
      <c r="L32" s="274"/>
      <c r="M32" s="274"/>
      <c r="N32" s="274"/>
      <c r="O32" s="274"/>
    </row>
    <row r="33" spans="4:18" ht="12.75" customHeight="1" x14ac:dyDescent="0.25">
      <c r="D33" s="876"/>
      <c r="E33" s="877"/>
      <c r="F33" s="878"/>
      <c r="I33" s="879"/>
      <c r="J33" s="275"/>
      <c r="K33" s="275"/>
      <c r="L33" s="275"/>
      <c r="M33" s="275"/>
      <c r="N33" s="275"/>
      <c r="O33" s="275"/>
      <c r="P33" s="885"/>
      <c r="Q33" s="885"/>
      <c r="R33" s="885"/>
    </row>
    <row r="34" spans="4:18" ht="12.75" customHeight="1" x14ac:dyDescent="0.25">
      <c r="D34" s="2316" t="s">
        <v>525</v>
      </c>
      <c r="E34" s="2317"/>
      <c r="F34" s="2318"/>
      <c r="G34" s="2319"/>
      <c r="H34" s="2319"/>
      <c r="I34" s="2320"/>
      <c r="J34" s="2321">
        <v>0</v>
      </c>
      <c r="K34" s="2321">
        <v>0</v>
      </c>
      <c r="L34" s="2321">
        <f>SUM(L31:L33)</f>
        <v>5210</v>
      </c>
      <c r="M34" s="2321">
        <f>SUM(M31:M33)</f>
        <v>5430</v>
      </c>
      <c r="N34" s="2321">
        <f>SUM(N31:N33)</f>
        <v>5660</v>
      </c>
      <c r="O34" s="2321">
        <f>SUM(O31:O33)</f>
        <v>5900</v>
      </c>
    </row>
    <row r="35" spans="4:18" ht="12.75" customHeight="1" x14ac:dyDescent="0.25">
      <c r="E35" s="877"/>
      <c r="F35" s="878"/>
    </row>
    <row r="36" spans="4:18" ht="12.75" customHeight="1" x14ac:dyDescent="0.25">
      <c r="D36" s="2310" t="s">
        <v>526</v>
      </c>
      <c r="E36" s="2311"/>
      <c r="F36" s="2311"/>
      <c r="G36" s="2312"/>
      <c r="H36" s="2312"/>
      <c r="I36" s="2313"/>
      <c r="J36" s="2313">
        <v>2025</v>
      </c>
      <c r="K36" s="2313">
        <v>2026</v>
      </c>
      <c r="L36" s="2313">
        <v>2027</v>
      </c>
      <c r="M36" s="2313">
        <v>2028</v>
      </c>
      <c r="N36" s="2313">
        <v>2029</v>
      </c>
      <c r="O36" s="2313">
        <v>2030</v>
      </c>
    </row>
    <row r="37" spans="4:18" ht="12.75" customHeight="1" x14ac:dyDescent="0.25">
      <c r="D37" s="2389"/>
      <c r="E37" s="2390"/>
      <c r="F37" s="2391"/>
      <c r="G37" s="889"/>
      <c r="H37" s="889"/>
      <c r="I37" s="879"/>
      <c r="J37" s="875"/>
      <c r="K37" s="875"/>
      <c r="L37" s="875"/>
      <c r="M37" s="875"/>
      <c r="N37" s="875"/>
      <c r="O37" s="875"/>
    </row>
    <row r="38" spans="4:18" ht="12.75" customHeight="1" x14ac:dyDescent="0.25">
      <c r="D38" s="876"/>
      <c r="E38" s="877"/>
      <c r="F38" s="878"/>
      <c r="I38" s="879"/>
      <c r="J38" s="875"/>
      <c r="K38" s="875"/>
      <c r="L38" s="875"/>
      <c r="M38" s="875"/>
      <c r="N38" s="875"/>
      <c r="O38" s="875"/>
    </row>
    <row r="39" spans="4:18" ht="12.75" customHeight="1" x14ac:dyDescent="0.25">
      <c r="D39" s="876"/>
      <c r="E39" s="877"/>
      <c r="F39" s="878"/>
      <c r="I39" s="879"/>
      <c r="J39" s="875"/>
      <c r="K39" s="875"/>
      <c r="L39" s="875"/>
      <c r="M39" s="875"/>
      <c r="N39" s="875"/>
      <c r="O39" s="875"/>
    </row>
    <row r="40" spans="4:18" ht="12.75" customHeight="1" x14ac:dyDescent="0.25">
      <c r="D40" s="876"/>
      <c r="E40" s="877"/>
      <c r="F40" s="878"/>
      <c r="I40" s="879"/>
      <c r="J40" s="880"/>
      <c r="K40" s="880"/>
      <c r="L40" s="880"/>
      <c r="M40" s="880"/>
      <c r="N40" s="880"/>
      <c r="O40" s="880"/>
    </row>
    <row r="41" spans="4:18" ht="12.75" customHeight="1" x14ac:dyDescent="0.25">
      <c r="D41" s="876"/>
      <c r="E41" s="877"/>
      <c r="F41" s="878"/>
      <c r="I41" s="879"/>
      <c r="J41" s="880"/>
      <c r="K41" s="880"/>
      <c r="L41" s="880"/>
      <c r="M41" s="880"/>
      <c r="N41" s="880"/>
      <c r="O41" s="880"/>
    </row>
    <row r="42" spans="4:18" ht="12.75" customHeight="1" x14ac:dyDescent="0.25">
      <c r="D42" s="881"/>
      <c r="E42" s="882"/>
      <c r="F42" s="883"/>
      <c r="G42" s="884"/>
      <c r="H42" s="884"/>
      <c r="I42" s="879"/>
      <c r="J42" s="880"/>
      <c r="K42" s="880"/>
      <c r="L42" s="880"/>
      <c r="M42" s="880"/>
      <c r="N42" s="880"/>
      <c r="O42" s="880"/>
    </row>
    <row r="43" spans="4:18" ht="12.75" customHeight="1" x14ac:dyDescent="0.25">
      <c r="D43" s="2316" t="s">
        <v>328</v>
      </c>
      <c r="E43" s="2317"/>
      <c r="F43" s="2318"/>
      <c r="G43" s="2319"/>
      <c r="H43" s="2319"/>
      <c r="I43" s="2320"/>
      <c r="J43" s="2321">
        <v>0</v>
      </c>
      <c r="K43" s="2321">
        <f>SUM(K37:K42)</f>
        <v>0</v>
      </c>
      <c r="L43" s="2321">
        <f>SUM(L37:L42)</f>
        <v>0</v>
      </c>
      <c r="M43" s="2321">
        <f>SUM(M37:M42)</f>
        <v>0</v>
      </c>
      <c r="N43" s="2321">
        <f>SUM(N37:N42)</f>
        <v>0</v>
      </c>
      <c r="O43" s="2321">
        <f>SUM(O37:O42)</f>
        <v>0</v>
      </c>
    </row>
    <row r="44" spans="4:18" ht="12.75" customHeight="1" x14ac:dyDescent="0.25">
      <c r="E44" s="877"/>
      <c r="F44" s="878"/>
      <c r="J44" s="885"/>
      <c r="K44" s="885"/>
      <c r="L44" s="885"/>
      <c r="M44" s="885"/>
      <c r="N44" s="885"/>
      <c r="O44" s="885"/>
    </row>
    <row r="45" spans="4:18" ht="12.75" customHeight="1" x14ac:dyDescent="0.3">
      <c r="D45" s="2322" t="s">
        <v>976</v>
      </c>
      <c r="E45" s="2323"/>
      <c r="F45" s="2323"/>
      <c r="G45" s="2319"/>
      <c r="H45" s="2319"/>
      <c r="I45" s="2320"/>
      <c r="J45" s="2324">
        <v>0</v>
      </c>
      <c r="K45" s="2324">
        <v>0</v>
      </c>
      <c r="L45" s="2324">
        <f>L34+L43</f>
        <v>5210</v>
      </c>
      <c r="M45" s="2324">
        <f>M34+M43</f>
        <v>5430</v>
      </c>
      <c r="N45" s="2324">
        <f>N34+N43</f>
        <v>5660</v>
      </c>
      <c r="O45" s="2324">
        <f>O34+O43</f>
        <v>5900</v>
      </c>
    </row>
    <row r="46" spans="4:18" ht="12.75" customHeight="1" x14ac:dyDescent="0.25">
      <c r="E46" s="877"/>
      <c r="F46" s="878"/>
      <c r="J46" s="885"/>
      <c r="K46" s="885"/>
      <c r="L46" s="885"/>
      <c r="M46" s="885"/>
      <c r="N46" s="885"/>
      <c r="O46" s="885"/>
    </row>
    <row r="47" spans="4:18" ht="12.75" customHeight="1" x14ac:dyDescent="0.25">
      <c r="E47" s="864"/>
      <c r="F47" s="864"/>
      <c r="J47" s="885"/>
      <c r="K47" s="885"/>
      <c r="L47" s="885"/>
      <c r="M47" s="885"/>
      <c r="N47" s="885"/>
      <c r="O47" s="885"/>
    </row>
    <row r="48" spans="4:18" ht="12.75" customHeight="1" x14ac:dyDescent="0.25">
      <c r="D48" s="870" t="s">
        <v>528</v>
      </c>
      <c r="E48" s="886"/>
      <c r="F48" s="886"/>
    </row>
    <row r="50" spans="1:16" ht="12.75" customHeight="1" x14ac:dyDescent="0.25">
      <c r="A50" s="862"/>
      <c r="D50" s="2613" t="s">
        <v>529</v>
      </c>
      <c r="E50" s="2325" t="s">
        <v>530</v>
      </c>
      <c r="F50" s="2585" t="s">
        <v>531</v>
      </c>
      <c r="G50" s="2587" t="s">
        <v>206</v>
      </c>
      <c r="H50" s="2588"/>
      <c r="I50" s="2326"/>
      <c r="J50" s="2320"/>
      <c r="K50" s="2320"/>
      <c r="L50" s="2320"/>
      <c r="M50" s="2320"/>
      <c r="N50" s="2320"/>
      <c r="O50" s="2320"/>
    </row>
    <row r="51" spans="1:16" ht="12.75" customHeight="1" x14ac:dyDescent="0.25">
      <c r="A51" s="862"/>
      <c r="D51" s="2614"/>
      <c r="E51" s="887" t="s">
        <v>532</v>
      </c>
      <c r="F51" s="2586"/>
      <c r="G51" s="2589"/>
      <c r="H51" s="2590"/>
      <c r="I51" s="276"/>
      <c r="J51" s="2327">
        <v>2025</v>
      </c>
      <c r="K51" s="2327">
        <v>2026</v>
      </c>
      <c r="L51" s="2327">
        <v>2027</v>
      </c>
      <c r="M51" s="2327">
        <v>2028</v>
      </c>
      <c r="N51" s="2327">
        <v>2029</v>
      </c>
      <c r="O51" s="2327">
        <v>2030</v>
      </c>
    </row>
    <row r="52" spans="1:16" ht="12.75" customHeight="1" x14ac:dyDescent="0.25">
      <c r="A52" s="862"/>
      <c r="D52" s="2465"/>
      <c r="E52" s="2466"/>
      <c r="F52" s="2467"/>
      <c r="G52" s="2468"/>
      <c r="H52" s="2469"/>
      <c r="I52" s="2470"/>
      <c r="J52" s="2470"/>
      <c r="K52" s="2470"/>
      <c r="L52" s="2470"/>
      <c r="M52" s="2470"/>
      <c r="N52" s="2470"/>
      <c r="O52" s="2470"/>
    </row>
    <row r="53" spans="1:16" ht="12.75" customHeight="1" x14ac:dyDescent="0.25">
      <c r="A53" s="862"/>
      <c r="D53" s="890">
        <f>D68</f>
        <v>690003</v>
      </c>
      <c r="E53" s="891"/>
      <c r="F53" s="891"/>
      <c r="G53" s="868" t="str">
        <f>E68</f>
        <v>Overige jeugdhulp met verblijf lokaal</v>
      </c>
      <c r="J53" s="2346"/>
      <c r="K53" s="2346"/>
      <c r="L53" s="2346"/>
      <c r="M53" s="2346"/>
      <c r="N53" s="2346"/>
      <c r="O53" s="2346"/>
    </row>
    <row r="54" spans="1:16" ht="12.75" customHeight="1" x14ac:dyDescent="0.25">
      <c r="A54" s="862"/>
      <c r="D54" s="890"/>
      <c r="E54" s="891"/>
      <c r="F54" s="891"/>
      <c r="G54" s="873" t="s">
        <v>533</v>
      </c>
      <c r="J54" s="2346"/>
      <c r="K54" s="2346"/>
      <c r="L54" s="2346"/>
      <c r="M54" s="2346"/>
      <c r="N54" s="2346"/>
      <c r="O54" s="2346"/>
    </row>
    <row r="55" spans="1:16" ht="12.75" customHeight="1" x14ac:dyDescent="0.25">
      <c r="A55" s="896">
        <f>D53</f>
        <v>690003</v>
      </c>
      <c r="B55" s="863" t="str">
        <f>G53</f>
        <v>Overige jeugdhulp met verblijf lokaal</v>
      </c>
      <c r="D55" s="893">
        <v>43410</v>
      </c>
      <c r="E55" s="893"/>
      <c r="F55" s="893"/>
      <c r="G55" s="895" t="s">
        <v>3341</v>
      </c>
      <c r="I55" s="885"/>
      <c r="J55" s="875">
        <v>0</v>
      </c>
      <c r="K55" s="875">
        <v>0</v>
      </c>
      <c r="L55" s="875">
        <f>L71</f>
        <v>5210</v>
      </c>
      <c r="M55" s="875">
        <f>M71</f>
        <v>5430</v>
      </c>
      <c r="N55" s="875">
        <f>N71</f>
        <v>5660</v>
      </c>
      <c r="O55" s="875">
        <f>O71</f>
        <v>5900</v>
      </c>
    </row>
    <row r="56" spans="1:16" ht="12.75" customHeight="1" thickBot="1" x14ac:dyDescent="0.3">
      <c r="A56" s="862"/>
      <c r="D56" s="2331"/>
      <c r="E56" s="2331"/>
      <c r="F56" s="2331"/>
      <c r="G56" s="863" t="s">
        <v>536</v>
      </c>
      <c r="I56" s="885"/>
      <c r="J56" s="2333">
        <v>0</v>
      </c>
      <c r="K56" s="2333">
        <v>0</v>
      </c>
      <c r="L56" s="2333">
        <f>SUM(L54:L55)</f>
        <v>5210</v>
      </c>
      <c r="M56" s="2333">
        <f>SUM(M54:M55)</f>
        <v>5430</v>
      </c>
      <c r="N56" s="2333">
        <f>SUM(N54:N55)</f>
        <v>5660</v>
      </c>
      <c r="O56" s="2333">
        <f>SUM(O54:O55)</f>
        <v>5900</v>
      </c>
    </row>
    <row r="57" spans="1:16" ht="12.75" customHeight="1" thickTop="1" x14ac:dyDescent="0.25">
      <c r="A57" s="862"/>
      <c r="D57" s="2331"/>
      <c r="E57" s="2331"/>
      <c r="F57" s="2331"/>
      <c r="I57" s="885"/>
      <c r="J57" s="2395"/>
      <c r="K57" s="2395"/>
      <c r="L57" s="2395"/>
      <c r="M57" s="2395"/>
      <c r="N57" s="2395"/>
      <c r="O57" s="2395"/>
    </row>
    <row r="58" spans="1:16" ht="12.75" customHeight="1" x14ac:dyDescent="0.25">
      <c r="A58" s="862"/>
      <c r="D58" s="2331"/>
      <c r="E58" s="2473"/>
      <c r="F58" s="2331"/>
      <c r="I58" s="885"/>
      <c r="J58" s="875"/>
      <c r="K58" s="875"/>
      <c r="L58" s="875"/>
      <c r="M58" s="875"/>
      <c r="N58" s="875"/>
      <c r="O58" s="875"/>
    </row>
    <row r="59" spans="1:16" ht="12.75" customHeight="1" x14ac:dyDescent="0.25">
      <c r="D59" s="2337"/>
      <c r="E59" s="2474"/>
      <c r="F59" s="2337"/>
      <c r="G59" s="899"/>
      <c r="H59" s="884"/>
      <c r="I59" s="900"/>
      <c r="J59" s="901"/>
      <c r="K59" s="901"/>
      <c r="L59" s="901"/>
      <c r="M59" s="901"/>
      <c r="N59" s="901"/>
      <c r="O59" s="901"/>
    </row>
    <row r="60" spans="1:16" ht="12.75" customHeight="1" x14ac:dyDescent="0.25">
      <c r="D60" s="903"/>
      <c r="E60" s="903"/>
      <c r="F60" s="903"/>
      <c r="I60" s="885"/>
      <c r="J60" s="885"/>
      <c r="K60" s="885"/>
      <c r="L60" s="885"/>
      <c r="M60" s="885"/>
      <c r="N60" s="885"/>
      <c r="O60" s="885"/>
      <c r="P60" s="885"/>
    </row>
    <row r="61" spans="1:16" ht="12.75" customHeight="1" x14ac:dyDescent="0.25">
      <c r="D61" s="903"/>
      <c r="E61" s="903"/>
      <c r="F61" s="903"/>
      <c r="I61" s="885"/>
      <c r="J61" s="885"/>
      <c r="K61" s="885"/>
      <c r="L61" s="885"/>
      <c r="M61" s="885"/>
      <c r="N61" s="885"/>
      <c r="O61" s="885"/>
      <c r="P61" s="885"/>
    </row>
    <row r="62" spans="1:16" ht="12.75" customHeight="1" x14ac:dyDescent="0.25">
      <c r="D62" s="903"/>
      <c r="E62" s="903"/>
      <c r="F62" s="903"/>
      <c r="I62" s="885"/>
      <c r="J62" s="885"/>
      <c r="K62" s="885"/>
      <c r="L62" s="885"/>
      <c r="M62" s="885"/>
      <c r="N62" s="885"/>
      <c r="O62" s="885"/>
      <c r="P62" s="885"/>
    </row>
    <row r="63" spans="1:16" ht="12.75" customHeight="1" x14ac:dyDescent="0.25">
      <c r="D63" s="903"/>
      <c r="E63" s="903"/>
      <c r="F63" s="903"/>
      <c r="I63" s="885"/>
      <c r="J63" s="885"/>
      <c r="K63" s="885"/>
      <c r="L63" s="885"/>
      <c r="M63" s="885"/>
      <c r="N63" s="885"/>
      <c r="O63" s="885"/>
      <c r="P63" s="885"/>
    </row>
    <row r="64" spans="1:16" ht="12.75" customHeight="1" x14ac:dyDescent="0.25">
      <c r="D64" s="903"/>
      <c r="E64" s="903"/>
      <c r="F64" s="903"/>
      <c r="I64" s="885"/>
      <c r="J64" s="885"/>
      <c r="K64" s="885"/>
      <c r="L64" s="885"/>
      <c r="M64" s="885"/>
      <c r="N64" s="885"/>
      <c r="O64" s="885"/>
      <c r="P64" s="885"/>
    </row>
    <row r="65" spans="1:24" ht="12.75" customHeight="1" x14ac:dyDescent="0.25">
      <c r="A65" s="862"/>
      <c r="D65" s="902" t="s">
        <v>561</v>
      </c>
      <c r="E65" s="903"/>
      <c r="F65" s="903"/>
      <c r="G65" s="868"/>
      <c r="I65" s="885"/>
      <c r="J65" s="885"/>
      <c r="K65" s="885"/>
      <c r="L65" s="885"/>
      <c r="M65" s="885"/>
      <c r="N65" s="885"/>
      <c r="O65" s="885"/>
      <c r="P65" s="885"/>
    </row>
    <row r="66" spans="1:24" ht="12.75" customHeight="1" x14ac:dyDescent="0.25">
      <c r="A66" s="862"/>
      <c r="D66" s="903"/>
      <c r="E66" s="903"/>
      <c r="F66" s="903"/>
      <c r="I66" s="885"/>
      <c r="J66" s="885"/>
      <c r="K66" s="885"/>
      <c r="L66" s="885"/>
      <c r="M66" s="885"/>
      <c r="N66" s="885"/>
      <c r="O66" s="885"/>
      <c r="P66" s="885"/>
    </row>
    <row r="68" spans="1:24" ht="12.75" customHeight="1" x14ac:dyDescent="0.25">
      <c r="A68" s="862"/>
      <c r="D68" s="905">
        <v>690003</v>
      </c>
      <c r="E68" s="868" t="s">
        <v>5423</v>
      </c>
      <c r="F68" s="886"/>
      <c r="I68" s="885"/>
      <c r="J68" s="2475">
        <v>2025</v>
      </c>
      <c r="K68" s="2475">
        <v>2026</v>
      </c>
      <c r="L68" s="2475">
        <v>2027</v>
      </c>
      <c r="M68" s="2475">
        <v>2028</v>
      </c>
      <c r="N68" s="2475">
        <v>2029</v>
      </c>
      <c r="O68" s="2475">
        <v>2030</v>
      </c>
      <c r="U68" s="873"/>
      <c r="V68" s="873"/>
      <c r="W68" s="873"/>
      <c r="X68" s="873"/>
    </row>
    <row r="69" spans="1:24" ht="12.75" customHeight="1" x14ac:dyDescent="0.25">
      <c r="A69" s="862"/>
      <c r="D69" s="863"/>
      <c r="E69" s="2377" t="s">
        <v>533</v>
      </c>
      <c r="F69" s="2400"/>
      <c r="I69" s="885"/>
      <c r="J69" s="885"/>
      <c r="K69" s="885"/>
      <c r="L69" s="885"/>
      <c r="M69" s="885"/>
      <c r="N69" s="885"/>
      <c r="O69" s="885"/>
      <c r="U69" s="885"/>
      <c r="V69" s="885"/>
      <c r="W69" s="885"/>
      <c r="X69" s="885"/>
    </row>
    <row r="70" spans="1:24" ht="12.75" customHeight="1" x14ac:dyDescent="0.25">
      <c r="A70" s="862"/>
      <c r="D70" s="865">
        <v>43410</v>
      </c>
      <c r="E70" s="869" t="s">
        <v>5424</v>
      </c>
      <c r="I70" s="885"/>
      <c r="J70" s="885"/>
      <c r="K70" s="885"/>
      <c r="L70" s="2343">
        <v>5210</v>
      </c>
      <c r="M70" s="2343">
        <f>ROUND(L70*U$5,-1)</f>
        <v>5430</v>
      </c>
      <c r="N70" s="2343">
        <f t="shared" ref="N70:O70" si="1">ROUND(M70*V$5,-1)</f>
        <v>5660</v>
      </c>
      <c r="O70" s="2343">
        <f t="shared" si="1"/>
        <v>5900</v>
      </c>
    </row>
    <row r="71" spans="1:24" ht="12.75" customHeight="1" thickBot="1" x14ac:dyDescent="0.3">
      <c r="A71" s="862"/>
      <c r="D71" s="905"/>
      <c r="E71" s="2341" t="str">
        <f>"Totaal "&amp;D70</f>
        <v>Totaal 43410</v>
      </c>
      <c r="F71" s="886"/>
      <c r="I71" s="885"/>
      <c r="J71" s="2342">
        <v>0</v>
      </c>
      <c r="K71" s="2342">
        <v>0</v>
      </c>
      <c r="L71" s="2342">
        <f>SUM(L70:L70)</f>
        <v>5210</v>
      </c>
      <c r="M71" s="2342">
        <f>SUM(M70:M70)</f>
        <v>5430</v>
      </c>
      <c r="N71" s="2342">
        <f>SUM(N70:N70)</f>
        <v>5660</v>
      </c>
      <c r="O71" s="2342">
        <f>SUM(O70:O70)</f>
        <v>5900</v>
      </c>
      <c r="T71" s="885"/>
      <c r="U71" s="885"/>
      <c r="V71" s="885"/>
      <c r="W71" s="885"/>
      <c r="X71" s="885"/>
    </row>
    <row r="72" spans="1:24" ht="12.75" customHeight="1" thickTop="1" x14ac:dyDescent="0.25">
      <c r="A72" s="862"/>
      <c r="D72" s="905"/>
      <c r="E72" s="2341"/>
      <c r="F72" s="886"/>
      <c r="J72" s="2358"/>
      <c r="K72" s="2358"/>
      <c r="L72" s="2358"/>
      <c r="M72" s="2358"/>
      <c r="N72" s="2358"/>
      <c r="O72" s="2358"/>
    </row>
    <row r="74" spans="1:24" ht="12.75" customHeight="1" x14ac:dyDescent="0.25">
      <c r="D74" s="905"/>
      <c r="E74" s="886"/>
      <c r="F74" s="886"/>
      <c r="G74" s="868"/>
      <c r="I74" s="885"/>
      <c r="J74" s="2357"/>
      <c r="K74" s="2357"/>
      <c r="L74" s="2357"/>
      <c r="M74" s="2357"/>
      <c r="N74" s="2357"/>
      <c r="O74" s="2357"/>
    </row>
    <row r="75" spans="1:24" ht="12.75" customHeight="1" x14ac:dyDescent="0.25">
      <c r="D75" s="903"/>
      <c r="E75" s="903"/>
      <c r="F75" s="903"/>
      <c r="G75" s="873"/>
      <c r="I75" s="885"/>
      <c r="J75" s="885"/>
      <c r="K75" s="885"/>
      <c r="L75" s="885"/>
      <c r="M75" s="885"/>
      <c r="N75" s="885"/>
      <c r="O75" s="885"/>
    </row>
    <row r="76" spans="1:24" ht="12.75" customHeight="1" x14ac:dyDescent="0.25">
      <c r="D76" s="865"/>
      <c r="I76" s="885"/>
      <c r="J76" s="885"/>
      <c r="K76" s="885"/>
      <c r="L76" s="885"/>
      <c r="M76" s="885"/>
      <c r="N76" s="885"/>
      <c r="O76" s="885"/>
    </row>
    <row r="77" spans="1:24" ht="12.75" customHeight="1" x14ac:dyDescent="0.25">
      <c r="D77" s="903"/>
      <c r="E77" s="903"/>
      <c r="F77" s="903"/>
      <c r="I77" s="885"/>
      <c r="J77" s="885"/>
      <c r="K77" s="885"/>
      <c r="L77" s="885"/>
      <c r="M77" s="885"/>
      <c r="N77" s="885"/>
      <c r="O77" s="885"/>
    </row>
    <row r="78" spans="1:24" ht="12.75" customHeight="1" x14ac:dyDescent="0.25">
      <c r="D78" s="865"/>
      <c r="G78" s="2480"/>
      <c r="I78" s="885"/>
      <c r="J78" s="885"/>
      <c r="K78" s="885"/>
      <c r="L78" s="885"/>
      <c r="M78" s="885"/>
      <c r="N78" s="885"/>
      <c r="O78" s="885"/>
    </row>
    <row r="79" spans="1:24" ht="12.75" customHeight="1" x14ac:dyDescent="0.25">
      <c r="A79" s="862"/>
    </row>
    <row r="80" spans="1:24" ht="12.75" customHeight="1" x14ac:dyDescent="0.25">
      <c r="A80" s="862"/>
    </row>
    <row r="81" spans="1:1" ht="12.75" customHeight="1" x14ac:dyDescent="0.25">
      <c r="A81" s="862"/>
    </row>
    <row r="82" spans="1:1" ht="12.75" customHeight="1" x14ac:dyDescent="0.25">
      <c r="A82" s="862"/>
    </row>
  </sheetData>
  <mergeCells count="3">
    <mergeCell ref="D50:D51"/>
    <mergeCell ref="F50:F51"/>
    <mergeCell ref="G50:H51"/>
  </mergeCells>
  <hyperlinks>
    <hyperlink ref="A1" location="Inhoudsopgave!A1" display="Inhoudsopgave" xr:uid="{CBFFF6DA-85E4-466D-9814-67B1D9BF5D55}"/>
  </hyperlinks>
  <pageMargins left="0.59055118110236227" right="0.39370078740157483" top="0.39370078740157483" bottom="0.39370078740157483" header="0.51181102362204722" footer="0.51181102362204722"/>
  <pageSetup paperSize="9" scale="66" orientation="portrait" useFirstPageNumber="1" r:id="rId1"/>
  <headerFooter alignWithMargins="0"/>
  <rowBreaks count="2" manualBreakCount="2">
    <brk id="47" min="3" max="14" man="1"/>
    <brk id="63" min="3" max="14" man="1"/>
  </rowBreaks>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BE415-E4C8-4FE7-99D8-00341432FEB7}">
  <dimension ref="A1:X137"/>
  <sheetViews>
    <sheetView showGridLines="0" view="pageBreakPreview" topLeftCell="A22" zoomScaleNormal="100" zoomScaleSheetLayoutView="100" workbookViewId="0">
      <selection activeCell="U49" sqref="U49"/>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5" width="11.6640625" style="863" customWidth="1"/>
    <col min="16" max="16" width="10.109375" style="863" customWidth="1"/>
    <col min="17" max="17" width="12.109375" style="863" customWidth="1"/>
    <col min="18"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4487</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E5" s="870" t="s">
        <v>4488</v>
      </c>
      <c r="P5" s="863" t="s">
        <v>3334</v>
      </c>
      <c r="S5" s="495">
        <v>1.046</v>
      </c>
      <c r="T5" s="2345">
        <f>Indexering!J7</f>
        <v>1.042</v>
      </c>
      <c r="U5" s="2345">
        <f>Indexering!K7</f>
        <v>1.042</v>
      </c>
      <c r="V5" s="2345">
        <f>Indexering!L7</f>
        <v>1.042</v>
      </c>
      <c r="W5" s="2345">
        <f>Indexering!M7</f>
        <v>1.042</v>
      </c>
    </row>
    <row r="25" spans="4:15" ht="12.75" customHeight="1" x14ac:dyDescent="0.25">
      <c r="D25" s="870" t="s">
        <v>507</v>
      </c>
      <c r="E25" s="864"/>
      <c r="F25" s="864"/>
    </row>
    <row r="26" spans="4:15" ht="12.75" customHeight="1" x14ac:dyDescent="0.25">
      <c r="E26" s="864"/>
      <c r="F26" s="864"/>
    </row>
    <row r="27" spans="4:15" ht="12.75" customHeight="1" x14ac:dyDescent="0.25">
      <c r="D27" s="2310" t="s">
        <v>508</v>
      </c>
      <c r="E27" s="2311"/>
      <c r="F27" s="2311"/>
      <c r="G27" s="2312"/>
      <c r="H27" s="2312"/>
      <c r="I27" s="2313"/>
      <c r="J27" s="2313">
        <v>2025</v>
      </c>
      <c r="K27" s="2313">
        <v>2026</v>
      </c>
      <c r="L27" s="2313">
        <v>2027</v>
      </c>
      <c r="M27" s="2313">
        <v>2028</v>
      </c>
      <c r="N27" s="2313">
        <v>2029</v>
      </c>
      <c r="O27" s="2313">
        <v>2030</v>
      </c>
    </row>
    <row r="28" spans="4:15" ht="12.75" customHeight="1" x14ac:dyDescent="0.25">
      <c r="D28" s="871" t="str">
        <f>G51</f>
        <v>Pleegzorg verblijf regionaal</v>
      </c>
      <c r="E28" s="2463"/>
      <c r="F28" s="2463"/>
      <c r="I28" s="879"/>
      <c r="J28" s="880">
        <v>331000</v>
      </c>
      <c r="K28" s="880">
        <f t="shared" ref="K28:O28" si="0">K54</f>
        <v>262000</v>
      </c>
      <c r="L28" s="880">
        <f t="shared" si="0"/>
        <v>302000</v>
      </c>
      <c r="M28" s="880">
        <f t="shared" si="0"/>
        <v>314000</v>
      </c>
      <c r="N28" s="880">
        <f t="shared" si="0"/>
        <v>327000</v>
      </c>
      <c r="O28" s="880">
        <f t="shared" si="0"/>
        <v>340000</v>
      </c>
    </row>
    <row r="29" spans="4:15" ht="12.75" customHeight="1" x14ac:dyDescent="0.25">
      <c r="D29" s="871" t="str">
        <f>G56</f>
        <v>Gezinsgerichte jeugdhulp regionaal</v>
      </c>
      <c r="E29" s="2463"/>
      <c r="F29" s="2463"/>
      <c r="I29" s="879"/>
      <c r="J29" s="880">
        <v>66000</v>
      </c>
      <c r="K29" s="880">
        <f t="shared" ref="K29:O29" si="1">K59</f>
        <v>34000</v>
      </c>
      <c r="L29" s="880">
        <f t="shared" si="1"/>
        <v>5210</v>
      </c>
      <c r="M29" s="880">
        <f t="shared" si="1"/>
        <v>5430</v>
      </c>
      <c r="N29" s="880">
        <f t="shared" si="1"/>
        <v>5660</v>
      </c>
      <c r="O29" s="880">
        <f t="shared" si="1"/>
        <v>5900</v>
      </c>
    </row>
    <row r="30" spans="4:15" ht="12.75" customHeight="1" x14ac:dyDescent="0.25">
      <c r="D30" s="871" t="str">
        <f>G61</f>
        <v>Overige jeugdhulp met verblijf regionaal</v>
      </c>
      <c r="E30" s="2463"/>
      <c r="F30" s="2463"/>
      <c r="I30" s="879"/>
      <c r="J30" s="880">
        <v>993000</v>
      </c>
      <c r="K30" s="880">
        <f t="shared" ref="K30:O30" si="2">K64</f>
        <v>1506000</v>
      </c>
      <c r="L30" s="880">
        <f t="shared" si="2"/>
        <v>1959000</v>
      </c>
      <c r="M30" s="880">
        <f t="shared" si="2"/>
        <v>2040000</v>
      </c>
      <c r="N30" s="880">
        <f t="shared" si="2"/>
        <v>2125000</v>
      </c>
      <c r="O30" s="880">
        <f t="shared" si="2"/>
        <v>2214000</v>
      </c>
    </row>
    <row r="31" spans="4:15" ht="12.75" customHeight="1" x14ac:dyDescent="0.25">
      <c r="D31" s="871" t="str">
        <f>G66</f>
        <v>Crisis jeugdhulp regionaal</v>
      </c>
      <c r="E31" s="2463"/>
      <c r="F31" s="2463"/>
      <c r="I31" s="879"/>
      <c r="J31" s="880">
        <v>110000</v>
      </c>
      <c r="K31" s="880">
        <f t="shared" ref="K31:O31" si="3">K69</f>
        <v>42000</v>
      </c>
      <c r="L31" s="880">
        <f t="shared" si="3"/>
        <v>188000</v>
      </c>
      <c r="M31" s="880">
        <f t="shared" si="3"/>
        <v>196000</v>
      </c>
      <c r="N31" s="880">
        <f t="shared" si="3"/>
        <v>204000</v>
      </c>
      <c r="O31" s="880">
        <f t="shared" si="3"/>
        <v>213000</v>
      </c>
    </row>
    <row r="32" spans="4:15" ht="12.75" customHeight="1" x14ac:dyDescent="0.25">
      <c r="D32" s="871" t="str">
        <f>G71</f>
        <v>Jeugdhulp GGZ met verblijf regionaal</v>
      </c>
      <c r="E32" s="2463"/>
      <c r="F32" s="2463"/>
      <c r="I32" s="879"/>
      <c r="J32" s="880">
        <v>220000</v>
      </c>
      <c r="K32" s="880">
        <f t="shared" ref="K32:O32" si="4">K74</f>
        <v>31000</v>
      </c>
      <c r="L32" s="880">
        <f t="shared" si="4"/>
        <v>26000</v>
      </c>
      <c r="M32" s="880">
        <f t="shared" si="4"/>
        <v>27000</v>
      </c>
      <c r="N32" s="880">
        <f t="shared" si="4"/>
        <v>29000</v>
      </c>
      <c r="O32" s="880">
        <f t="shared" si="4"/>
        <v>31000</v>
      </c>
    </row>
    <row r="33" spans="1:18" ht="12.75" customHeight="1" x14ac:dyDescent="0.25">
      <c r="D33" s="871" t="str">
        <f>G76</f>
        <v>Jeugdhulp gesloten plaatsing regionaal</v>
      </c>
      <c r="E33" s="2463"/>
      <c r="F33" s="2463"/>
      <c r="I33" s="879"/>
      <c r="J33" s="880">
        <v>217000</v>
      </c>
      <c r="K33" s="880">
        <f t="shared" ref="K33:O33" si="5">K79</f>
        <v>10000</v>
      </c>
      <c r="L33" s="880">
        <f t="shared" si="5"/>
        <v>11000</v>
      </c>
      <c r="M33" s="880">
        <f t="shared" si="5"/>
        <v>12000</v>
      </c>
      <c r="N33" s="880">
        <f t="shared" si="5"/>
        <v>12000</v>
      </c>
      <c r="O33" s="880">
        <f t="shared" si="5"/>
        <v>13000</v>
      </c>
    </row>
    <row r="34" spans="1:18" ht="12.75" customHeight="1" x14ac:dyDescent="0.25">
      <c r="D34" s="876"/>
      <c r="E34" s="877"/>
      <c r="F34" s="878"/>
      <c r="I34" s="879"/>
      <c r="J34" s="275"/>
      <c r="K34" s="275"/>
      <c r="L34" s="275"/>
      <c r="M34" s="275"/>
      <c r="N34" s="275"/>
      <c r="O34" s="275"/>
      <c r="P34" s="885"/>
      <c r="Q34" s="885"/>
      <c r="R34" s="885"/>
    </row>
    <row r="35" spans="1:18" ht="12.75" customHeight="1" x14ac:dyDescent="0.25">
      <c r="D35" s="2316" t="s">
        <v>525</v>
      </c>
      <c r="E35" s="2317"/>
      <c r="F35" s="2318"/>
      <c r="G35" s="2319"/>
      <c r="H35" s="2319"/>
      <c r="I35" s="2320"/>
      <c r="J35" s="2321">
        <v>1937000</v>
      </c>
      <c r="K35" s="2321">
        <f>SUM(K28:K34)</f>
        <v>1885000</v>
      </c>
      <c r="L35" s="2321">
        <f>SUM(L28:L34)</f>
        <v>2491210</v>
      </c>
      <c r="M35" s="2321">
        <f>SUM(M28:M34)</f>
        <v>2594430</v>
      </c>
      <c r="N35" s="2321">
        <f>SUM(N28:N34)</f>
        <v>2702660</v>
      </c>
      <c r="O35" s="2321">
        <f>SUM(O28:O34)</f>
        <v>2816900</v>
      </c>
    </row>
    <row r="36" spans="1:18" ht="12.75" customHeight="1" x14ac:dyDescent="0.25">
      <c r="E36" s="877"/>
      <c r="F36" s="878"/>
    </row>
    <row r="37" spans="1:18" ht="12.75" customHeight="1" x14ac:dyDescent="0.25">
      <c r="D37" s="2310" t="s">
        <v>526</v>
      </c>
      <c r="E37" s="2311"/>
      <c r="F37" s="2311"/>
      <c r="G37" s="2312"/>
      <c r="H37" s="2312"/>
      <c r="I37" s="2313"/>
      <c r="J37" s="2313">
        <v>2025</v>
      </c>
      <c r="K37" s="2313">
        <v>2026</v>
      </c>
      <c r="L37" s="2313">
        <v>2027</v>
      </c>
      <c r="M37" s="2313">
        <v>2028</v>
      </c>
      <c r="N37" s="2313">
        <v>2029</v>
      </c>
      <c r="O37" s="2313">
        <v>2030</v>
      </c>
    </row>
    <row r="38" spans="1:18" ht="12.75" customHeight="1" x14ac:dyDescent="0.25">
      <c r="D38" s="2389"/>
      <c r="E38" s="2390"/>
      <c r="F38" s="2391"/>
      <c r="G38" s="889"/>
      <c r="H38" s="889"/>
      <c r="I38" s="879"/>
      <c r="J38" s="875"/>
      <c r="K38" s="875"/>
      <c r="L38" s="875"/>
      <c r="M38" s="875"/>
      <c r="N38" s="875"/>
      <c r="O38" s="875"/>
    </row>
    <row r="39" spans="1:18" ht="12.75" customHeight="1" x14ac:dyDescent="0.25">
      <c r="D39" s="876"/>
      <c r="E39" s="877"/>
      <c r="F39" s="878"/>
      <c r="I39" s="879"/>
      <c r="J39" s="875"/>
      <c r="K39" s="875"/>
      <c r="L39" s="875"/>
      <c r="M39" s="875"/>
      <c r="N39" s="875"/>
      <c r="O39" s="875"/>
    </row>
    <row r="40" spans="1:18" ht="12.75" customHeight="1" x14ac:dyDescent="0.25">
      <c r="D40" s="881"/>
      <c r="E40" s="882"/>
      <c r="F40" s="883"/>
      <c r="G40" s="884"/>
      <c r="H40" s="884"/>
      <c r="I40" s="879"/>
      <c r="J40" s="880"/>
      <c r="K40" s="880"/>
      <c r="L40" s="880"/>
      <c r="M40" s="880"/>
      <c r="N40" s="880"/>
      <c r="O40" s="880"/>
    </row>
    <row r="41" spans="1:18" ht="12.75" customHeight="1" x14ac:dyDescent="0.25">
      <c r="D41" s="2316" t="s">
        <v>328</v>
      </c>
      <c r="E41" s="2317"/>
      <c r="F41" s="2318"/>
      <c r="G41" s="2319"/>
      <c r="H41" s="2319"/>
      <c r="I41" s="2320"/>
      <c r="J41" s="2321">
        <v>0</v>
      </c>
      <c r="K41" s="2321">
        <f>SUM(K38:K40)</f>
        <v>0</v>
      </c>
      <c r="L41" s="2321">
        <f>SUM(L38:L40)</f>
        <v>0</v>
      </c>
      <c r="M41" s="2321">
        <f>SUM(M38:M40)</f>
        <v>0</v>
      </c>
      <c r="N41" s="2321">
        <f>SUM(N38:N40)</f>
        <v>0</v>
      </c>
      <c r="O41" s="2321">
        <f>SUM(O38:O40)</f>
        <v>0</v>
      </c>
    </row>
    <row r="42" spans="1:18" ht="12.75" customHeight="1" x14ac:dyDescent="0.25">
      <c r="E42" s="877"/>
      <c r="F42" s="878"/>
      <c r="J42" s="885"/>
      <c r="K42" s="885"/>
      <c r="L42" s="885"/>
      <c r="M42" s="885"/>
      <c r="N42" s="885"/>
      <c r="O42" s="885"/>
    </row>
    <row r="43" spans="1:18" ht="12.75" customHeight="1" x14ac:dyDescent="0.3">
      <c r="D43" s="2322" t="s">
        <v>976</v>
      </c>
      <c r="E43" s="2323"/>
      <c r="F43" s="2323"/>
      <c r="G43" s="2319"/>
      <c r="H43" s="2319"/>
      <c r="I43" s="2320"/>
      <c r="J43" s="2324">
        <v>1937000</v>
      </c>
      <c r="K43" s="2324">
        <f>K35+K41</f>
        <v>1885000</v>
      </c>
      <c r="L43" s="2324">
        <f>L35+L41</f>
        <v>2491210</v>
      </c>
      <c r="M43" s="2324">
        <f>M35+M41</f>
        <v>2594430</v>
      </c>
      <c r="N43" s="2324">
        <f>N35+N41</f>
        <v>2702660</v>
      </c>
      <c r="O43" s="2324">
        <f>O35+O41</f>
        <v>2816900</v>
      </c>
    </row>
    <row r="44" spans="1:18" ht="12.75" customHeight="1" x14ac:dyDescent="0.25">
      <c r="E44" s="877"/>
      <c r="F44" s="878"/>
      <c r="J44" s="885"/>
      <c r="K44" s="885"/>
      <c r="L44" s="885"/>
      <c r="M44" s="885"/>
      <c r="N44" s="885"/>
      <c r="O44" s="885"/>
    </row>
    <row r="45" spans="1:18" ht="12.75" customHeight="1" x14ac:dyDescent="0.25">
      <c r="E45" s="864"/>
      <c r="F45" s="864"/>
      <c r="J45" s="885"/>
      <c r="K45" s="885"/>
      <c r="L45" s="885"/>
      <c r="M45" s="885"/>
      <c r="N45" s="885"/>
      <c r="O45" s="885"/>
    </row>
    <row r="46" spans="1:18" ht="12.75" customHeight="1" x14ac:dyDescent="0.25">
      <c r="D46" s="870" t="s">
        <v>528</v>
      </c>
      <c r="E46" s="886"/>
      <c r="F46" s="886"/>
    </row>
    <row r="48" spans="1:18" ht="12.75" customHeight="1" x14ac:dyDescent="0.25">
      <c r="A48" s="862"/>
      <c r="D48" s="2613" t="s">
        <v>529</v>
      </c>
      <c r="E48" s="2325" t="s">
        <v>530</v>
      </c>
      <c r="F48" s="2585" t="s">
        <v>531</v>
      </c>
      <c r="G48" s="2587" t="s">
        <v>206</v>
      </c>
      <c r="H48" s="2588"/>
      <c r="I48" s="2326"/>
      <c r="J48" s="2320"/>
      <c r="K48" s="2320"/>
      <c r="L48" s="2320"/>
      <c r="M48" s="2320"/>
      <c r="N48" s="2320"/>
      <c r="O48" s="2320"/>
    </row>
    <row r="49" spans="1:15" ht="12.75" customHeight="1" x14ac:dyDescent="0.25">
      <c r="A49" s="862"/>
      <c r="D49" s="2614"/>
      <c r="E49" s="887" t="s">
        <v>532</v>
      </c>
      <c r="F49" s="2586"/>
      <c r="G49" s="2589"/>
      <c r="H49" s="2590"/>
      <c r="I49" s="276"/>
      <c r="J49" s="2327">
        <v>2025</v>
      </c>
      <c r="K49" s="2327">
        <v>2026</v>
      </c>
      <c r="L49" s="2327">
        <v>2027</v>
      </c>
      <c r="M49" s="2327">
        <v>2028</v>
      </c>
      <c r="N49" s="2327">
        <v>2029</v>
      </c>
      <c r="O49" s="2327">
        <v>2030</v>
      </c>
    </row>
    <row r="50" spans="1:15" ht="12.75" customHeight="1" x14ac:dyDescent="0.25">
      <c r="A50" s="862"/>
      <c r="D50" s="2465"/>
      <c r="E50" s="2466"/>
      <c r="F50" s="2467"/>
      <c r="G50" s="2468"/>
      <c r="H50" s="2469"/>
      <c r="I50" s="2470"/>
      <c r="J50" s="2470"/>
      <c r="K50" s="2470"/>
      <c r="L50" s="2470"/>
      <c r="M50" s="2470"/>
      <c r="N50" s="2470"/>
      <c r="O50" s="2470"/>
    </row>
    <row r="51" spans="1:15" ht="12.75" customHeight="1" x14ac:dyDescent="0.25">
      <c r="A51" s="862"/>
      <c r="D51" s="890">
        <f>D86</f>
        <v>691001</v>
      </c>
      <c r="E51" s="891"/>
      <c r="F51" s="891"/>
      <c r="G51" s="868" t="str">
        <f>E86</f>
        <v>Pleegzorg verblijf regionaal</v>
      </c>
      <c r="J51" s="2346"/>
      <c r="K51" s="2346"/>
      <c r="L51" s="2346"/>
      <c r="M51" s="2346"/>
      <c r="N51" s="2346"/>
      <c r="O51" s="2346"/>
    </row>
    <row r="52" spans="1:15" ht="12.75" customHeight="1" x14ac:dyDescent="0.25">
      <c r="A52" s="862"/>
      <c r="D52" s="890"/>
      <c r="E52" s="891"/>
      <c r="F52" s="891"/>
      <c r="G52" s="873" t="s">
        <v>533</v>
      </c>
      <c r="J52" s="2346"/>
      <c r="K52" s="2346"/>
      <c r="L52" s="2346"/>
      <c r="M52" s="2346"/>
      <c r="N52" s="2346"/>
      <c r="O52" s="2346"/>
    </row>
    <row r="53" spans="1:15" ht="12.75" customHeight="1" x14ac:dyDescent="0.25">
      <c r="A53" s="896">
        <f>D51</f>
        <v>691001</v>
      </c>
      <c r="B53" s="863" t="str">
        <f>G51</f>
        <v>Pleegzorg verblijf regionaal</v>
      </c>
      <c r="D53" s="893">
        <v>43410</v>
      </c>
      <c r="E53" s="893"/>
      <c r="F53" s="893"/>
      <c r="G53" s="895" t="s">
        <v>3341</v>
      </c>
      <c r="I53" s="885"/>
      <c r="J53" s="875">
        <v>331000</v>
      </c>
      <c r="K53" s="875">
        <f t="shared" ref="K53:O53" si="6">K91</f>
        <v>262000</v>
      </c>
      <c r="L53" s="875">
        <f t="shared" si="6"/>
        <v>302000</v>
      </c>
      <c r="M53" s="875">
        <f t="shared" si="6"/>
        <v>314000</v>
      </c>
      <c r="N53" s="875">
        <f t="shared" si="6"/>
        <v>327000</v>
      </c>
      <c r="O53" s="875">
        <f t="shared" si="6"/>
        <v>340000</v>
      </c>
    </row>
    <row r="54" spans="1:15" ht="12.75" customHeight="1" thickBot="1" x14ac:dyDescent="0.3">
      <c r="A54" s="862"/>
      <c r="D54" s="2331"/>
      <c r="E54" s="2331"/>
      <c r="F54" s="2331"/>
      <c r="G54" s="863" t="s">
        <v>536</v>
      </c>
      <c r="I54" s="885"/>
      <c r="J54" s="2333">
        <v>331000</v>
      </c>
      <c r="K54" s="2333">
        <f>SUM(K52:K53)</f>
        <v>262000</v>
      </c>
      <c r="L54" s="2333">
        <f>SUM(L52:L53)</f>
        <v>302000</v>
      </c>
      <c r="M54" s="2333">
        <f>SUM(M52:M53)</f>
        <v>314000</v>
      </c>
      <c r="N54" s="2333">
        <f>SUM(N52:N53)</f>
        <v>327000</v>
      </c>
      <c r="O54" s="2333">
        <f>SUM(O52:O53)</f>
        <v>340000</v>
      </c>
    </row>
    <row r="55" spans="1:15" ht="12.75" customHeight="1" thickTop="1" x14ac:dyDescent="0.25">
      <c r="A55" s="862"/>
      <c r="D55" s="2331"/>
      <c r="E55" s="2331"/>
      <c r="F55" s="2331"/>
      <c r="I55" s="885"/>
      <c r="J55" s="2395"/>
      <c r="K55" s="2395"/>
      <c r="L55" s="2395"/>
      <c r="M55" s="2395"/>
      <c r="N55" s="2395"/>
      <c r="O55" s="2395"/>
    </row>
    <row r="56" spans="1:15" ht="12.75" customHeight="1" x14ac:dyDescent="0.25">
      <c r="A56" s="862"/>
      <c r="D56" s="890">
        <f>D93</f>
        <v>691002</v>
      </c>
      <c r="E56" s="891"/>
      <c r="F56" s="891"/>
      <c r="G56" s="868" t="str">
        <f>E93</f>
        <v>Gezinsgerichte jeugdhulp regionaal</v>
      </c>
      <c r="J56" s="2346"/>
      <c r="K56" s="2346"/>
      <c r="L56" s="2346"/>
      <c r="M56" s="2346"/>
      <c r="N56" s="2346"/>
      <c r="O56" s="2346"/>
    </row>
    <row r="57" spans="1:15" ht="12.75" customHeight="1" x14ac:dyDescent="0.25">
      <c r="A57" s="862"/>
      <c r="D57" s="890"/>
      <c r="E57" s="891"/>
      <c r="F57" s="891"/>
      <c r="G57" s="873" t="s">
        <v>533</v>
      </c>
      <c r="J57" s="2346"/>
      <c r="K57" s="2346"/>
      <c r="L57" s="2346"/>
      <c r="M57" s="2346"/>
      <c r="N57" s="2346"/>
      <c r="O57" s="2346"/>
    </row>
    <row r="58" spans="1:15" ht="12.75" customHeight="1" x14ac:dyDescent="0.25">
      <c r="A58" s="896">
        <f>D56</f>
        <v>691002</v>
      </c>
      <c r="B58" s="863" t="str">
        <f>G56</f>
        <v>Gezinsgerichte jeugdhulp regionaal</v>
      </c>
      <c r="D58" s="893">
        <v>43410</v>
      </c>
      <c r="E58" s="893"/>
      <c r="F58" s="893"/>
      <c r="G58" s="895" t="s">
        <v>3341</v>
      </c>
      <c r="I58" s="885"/>
      <c r="J58" s="875">
        <v>66000</v>
      </c>
      <c r="K58" s="875">
        <f t="shared" ref="K58:O58" si="7">K98</f>
        <v>34000</v>
      </c>
      <c r="L58" s="875">
        <f t="shared" si="7"/>
        <v>5210</v>
      </c>
      <c r="M58" s="875">
        <f t="shared" si="7"/>
        <v>5430</v>
      </c>
      <c r="N58" s="875">
        <f t="shared" si="7"/>
        <v>5660</v>
      </c>
      <c r="O58" s="875">
        <f t="shared" si="7"/>
        <v>5900</v>
      </c>
    </row>
    <row r="59" spans="1:15" ht="12.75" customHeight="1" thickBot="1" x14ac:dyDescent="0.3">
      <c r="A59" s="862"/>
      <c r="D59" s="2331"/>
      <c r="E59" s="2331"/>
      <c r="F59" s="2331"/>
      <c r="G59" s="863" t="s">
        <v>536</v>
      </c>
      <c r="I59" s="885"/>
      <c r="J59" s="2333">
        <v>66000</v>
      </c>
      <c r="K59" s="2333">
        <f>SUM(K57:K58)</f>
        <v>34000</v>
      </c>
      <c r="L59" s="2333">
        <f>SUM(L57:L58)</f>
        <v>5210</v>
      </c>
      <c r="M59" s="2333">
        <f>SUM(M57:M58)</f>
        <v>5430</v>
      </c>
      <c r="N59" s="2333">
        <f>SUM(N57:N58)</f>
        <v>5660</v>
      </c>
      <c r="O59" s="2333">
        <f>SUM(O57:O58)</f>
        <v>5900</v>
      </c>
    </row>
    <row r="60" spans="1:15" ht="12.75" customHeight="1" thickTop="1" x14ac:dyDescent="0.25">
      <c r="A60" s="862"/>
      <c r="D60" s="2331"/>
      <c r="E60" s="2331"/>
      <c r="F60" s="2331"/>
      <c r="I60" s="885"/>
      <c r="J60" s="2395"/>
      <c r="K60" s="2395"/>
      <c r="L60" s="2395"/>
      <c r="M60" s="2395"/>
      <c r="N60" s="2395"/>
      <c r="O60" s="2395"/>
    </row>
    <row r="61" spans="1:15" ht="12.75" customHeight="1" x14ac:dyDescent="0.25">
      <c r="A61" s="862"/>
      <c r="D61" s="890">
        <f>D100</f>
        <v>691003</v>
      </c>
      <c r="E61" s="891"/>
      <c r="F61" s="891"/>
      <c r="G61" s="868" t="str">
        <f>E100</f>
        <v>Overige jeugdhulp met verblijf regionaal</v>
      </c>
      <c r="J61" s="2346"/>
      <c r="K61" s="2346"/>
      <c r="L61" s="2346"/>
      <c r="M61" s="2346"/>
      <c r="N61" s="2346"/>
      <c r="O61" s="2346"/>
    </row>
    <row r="62" spans="1:15" ht="12.75" customHeight="1" x14ac:dyDescent="0.25">
      <c r="A62" s="862"/>
      <c r="D62" s="890"/>
      <c r="E62" s="891"/>
      <c r="F62" s="891"/>
      <c r="G62" s="873" t="s">
        <v>533</v>
      </c>
      <c r="J62" s="2346"/>
      <c r="K62" s="2346"/>
      <c r="L62" s="2346"/>
      <c r="M62" s="2346"/>
      <c r="N62" s="2346"/>
      <c r="O62" s="2346"/>
    </row>
    <row r="63" spans="1:15" ht="12.75" customHeight="1" x14ac:dyDescent="0.25">
      <c r="A63" s="896">
        <f>D61</f>
        <v>691003</v>
      </c>
      <c r="B63" s="863" t="str">
        <f>G61</f>
        <v>Overige jeugdhulp met verblijf regionaal</v>
      </c>
      <c r="D63" s="893">
        <v>43410</v>
      </c>
      <c r="E63" s="893"/>
      <c r="F63" s="893"/>
      <c r="G63" s="895" t="s">
        <v>3341</v>
      </c>
      <c r="I63" s="885"/>
      <c r="J63" s="875">
        <v>993000</v>
      </c>
      <c r="K63" s="875">
        <f t="shared" ref="K63:O63" si="8">K105</f>
        <v>1506000</v>
      </c>
      <c r="L63" s="875">
        <f t="shared" si="8"/>
        <v>1959000</v>
      </c>
      <c r="M63" s="875">
        <f t="shared" si="8"/>
        <v>2040000</v>
      </c>
      <c r="N63" s="875">
        <f t="shared" si="8"/>
        <v>2125000</v>
      </c>
      <c r="O63" s="875">
        <f t="shared" si="8"/>
        <v>2214000</v>
      </c>
    </row>
    <row r="64" spans="1:15" ht="12.75" customHeight="1" thickBot="1" x14ac:dyDescent="0.3">
      <c r="A64" s="862"/>
      <c r="D64" s="2331"/>
      <c r="E64" s="2331"/>
      <c r="F64" s="2331"/>
      <c r="G64" s="863" t="s">
        <v>536</v>
      </c>
      <c r="I64" s="885"/>
      <c r="J64" s="2333">
        <v>993000</v>
      </c>
      <c r="K64" s="2333">
        <f>SUM(K62:K63)</f>
        <v>1506000</v>
      </c>
      <c r="L64" s="2333">
        <f>SUM(L62:L63)</f>
        <v>1959000</v>
      </c>
      <c r="M64" s="2333">
        <f>SUM(M62:M63)</f>
        <v>2040000</v>
      </c>
      <c r="N64" s="2333">
        <f>SUM(N62:N63)</f>
        <v>2125000</v>
      </c>
      <c r="O64" s="2333">
        <f>SUM(O62:O63)</f>
        <v>2214000</v>
      </c>
    </row>
    <row r="65" spans="1:15" ht="12.75" customHeight="1" thickTop="1" x14ac:dyDescent="0.25">
      <c r="A65" s="862"/>
      <c r="D65" s="2331"/>
      <c r="E65" s="2331"/>
      <c r="F65" s="2331"/>
      <c r="I65" s="885"/>
      <c r="J65" s="2395"/>
      <c r="K65" s="2395"/>
      <c r="L65" s="2395"/>
      <c r="M65" s="2395"/>
      <c r="N65" s="2395"/>
      <c r="O65" s="2395"/>
    </row>
    <row r="66" spans="1:15" ht="12.75" customHeight="1" x14ac:dyDescent="0.25">
      <c r="A66" s="862"/>
      <c r="D66" s="890">
        <f>D107</f>
        <v>691004</v>
      </c>
      <c r="E66" s="891"/>
      <c r="F66" s="891"/>
      <c r="G66" s="868" t="str">
        <f>E107</f>
        <v>Crisis jeugdhulp regionaal</v>
      </c>
      <c r="J66" s="2346"/>
      <c r="K66" s="2346"/>
      <c r="L66" s="2346"/>
      <c r="M66" s="2346"/>
      <c r="N66" s="2346"/>
      <c r="O66" s="2346"/>
    </row>
    <row r="67" spans="1:15" ht="12.75" customHeight="1" x14ac:dyDescent="0.25">
      <c r="A67" s="862"/>
      <c r="D67" s="890"/>
      <c r="E67" s="891"/>
      <c r="F67" s="891"/>
      <c r="G67" s="873" t="s">
        <v>533</v>
      </c>
      <c r="J67" s="2346"/>
      <c r="K67" s="2346"/>
      <c r="L67" s="2346"/>
      <c r="M67" s="2346"/>
      <c r="N67" s="2346"/>
      <c r="O67" s="2346"/>
    </row>
    <row r="68" spans="1:15" ht="12.75" customHeight="1" x14ac:dyDescent="0.25">
      <c r="A68" s="896">
        <f>D66</f>
        <v>691004</v>
      </c>
      <c r="B68" s="863" t="str">
        <f>G66</f>
        <v>Crisis jeugdhulp regionaal</v>
      </c>
      <c r="D68" s="893">
        <v>43410</v>
      </c>
      <c r="E68" s="893"/>
      <c r="F68" s="893"/>
      <c r="G68" s="895" t="s">
        <v>3341</v>
      </c>
      <c r="I68" s="885"/>
      <c r="J68" s="875">
        <v>110000</v>
      </c>
      <c r="K68" s="875">
        <f t="shared" ref="K68:O68" si="9">K112</f>
        <v>42000</v>
      </c>
      <c r="L68" s="875">
        <f t="shared" si="9"/>
        <v>188000</v>
      </c>
      <c r="M68" s="875">
        <f t="shared" si="9"/>
        <v>196000</v>
      </c>
      <c r="N68" s="875">
        <f t="shared" si="9"/>
        <v>204000</v>
      </c>
      <c r="O68" s="875">
        <f t="shared" si="9"/>
        <v>213000</v>
      </c>
    </row>
    <row r="69" spans="1:15" ht="12.75" customHeight="1" thickBot="1" x14ac:dyDescent="0.3">
      <c r="A69" s="862"/>
      <c r="D69" s="2331"/>
      <c r="E69" s="2331"/>
      <c r="F69" s="2331"/>
      <c r="G69" s="863" t="s">
        <v>536</v>
      </c>
      <c r="I69" s="885"/>
      <c r="J69" s="2333">
        <v>110000</v>
      </c>
      <c r="K69" s="2333">
        <f>SUM(K67:K68)</f>
        <v>42000</v>
      </c>
      <c r="L69" s="2333">
        <f>SUM(L67:L68)</f>
        <v>188000</v>
      </c>
      <c r="M69" s="2333">
        <f>SUM(M67:M68)</f>
        <v>196000</v>
      </c>
      <c r="N69" s="2333">
        <f>SUM(N67:N68)</f>
        <v>204000</v>
      </c>
      <c r="O69" s="2333">
        <f>SUM(O67:O68)</f>
        <v>213000</v>
      </c>
    </row>
    <row r="70" spans="1:15" ht="12.75" customHeight="1" thickTop="1" x14ac:dyDescent="0.25">
      <c r="A70" s="862"/>
      <c r="D70" s="2331"/>
      <c r="E70" s="2331"/>
      <c r="F70" s="2331"/>
      <c r="I70" s="885"/>
      <c r="J70" s="2395"/>
      <c r="K70" s="2395"/>
      <c r="L70" s="2395"/>
      <c r="M70" s="2395"/>
      <c r="N70" s="2395"/>
      <c r="O70" s="2395"/>
    </row>
    <row r="71" spans="1:15" ht="12.75" customHeight="1" x14ac:dyDescent="0.25">
      <c r="A71" s="862"/>
      <c r="D71" s="890">
        <f>D114</f>
        <v>691005</v>
      </c>
      <c r="E71" s="891"/>
      <c r="F71" s="891"/>
      <c r="G71" s="868" t="str">
        <f>E114</f>
        <v>Jeugdhulp GGZ met verblijf regionaal</v>
      </c>
      <c r="J71" s="2346"/>
      <c r="K71" s="2346"/>
      <c r="L71" s="2346"/>
      <c r="M71" s="2346"/>
      <c r="N71" s="2346"/>
      <c r="O71" s="2346"/>
    </row>
    <row r="72" spans="1:15" ht="12.75" customHeight="1" x14ac:dyDescent="0.25">
      <c r="A72" s="862"/>
      <c r="D72" s="890"/>
      <c r="E72" s="891"/>
      <c r="F72" s="891"/>
      <c r="G72" s="873" t="s">
        <v>533</v>
      </c>
      <c r="J72" s="2346"/>
      <c r="K72" s="2346"/>
      <c r="L72" s="2346"/>
      <c r="M72" s="2346"/>
      <c r="N72" s="2346"/>
      <c r="O72" s="2346"/>
    </row>
    <row r="73" spans="1:15" ht="12.75" customHeight="1" x14ac:dyDescent="0.25">
      <c r="A73" s="896">
        <f>D71</f>
        <v>691005</v>
      </c>
      <c r="B73" s="863" t="str">
        <f>G71</f>
        <v>Jeugdhulp GGZ met verblijf regionaal</v>
      </c>
      <c r="D73" s="893">
        <v>43410</v>
      </c>
      <c r="E73" s="893"/>
      <c r="F73" s="893"/>
      <c r="G73" s="895" t="s">
        <v>3341</v>
      </c>
      <c r="I73" s="885"/>
      <c r="J73" s="875">
        <v>220000</v>
      </c>
      <c r="K73" s="875">
        <f t="shared" ref="K73:O73" si="10">K119</f>
        <v>31000</v>
      </c>
      <c r="L73" s="875">
        <f t="shared" si="10"/>
        <v>26000</v>
      </c>
      <c r="M73" s="875">
        <f t="shared" si="10"/>
        <v>27000</v>
      </c>
      <c r="N73" s="875">
        <f t="shared" si="10"/>
        <v>29000</v>
      </c>
      <c r="O73" s="875">
        <f t="shared" si="10"/>
        <v>31000</v>
      </c>
    </row>
    <row r="74" spans="1:15" ht="12.75" customHeight="1" thickBot="1" x14ac:dyDescent="0.3">
      <c r="A74" s="862"/>
      <c r="D74" s="2331"/>
      <c r="E74" s="2331"/>
      <c r="F74" s="2331"/>
      <c r="G74" s="863" t="s">
        <v>536</v>
      </c>
      <c r="I74" s="885"/>
      <c r="J74" s="2333">
        <v>220000</v>
      </c>
      <c r="K74" s="2333">
        <f>SUM(K72:K73)</f>
        <v>31000</v>
      </c>
      <c r="L74" s="2333">
        <f>SUM(L72:L73)</f>
        <v>26000</v>
      </c>
      <c r="M74" s="2333">
        <f>SUM(M72:M73)</f>
        <v>27000</v>
      </c>
      <c r="N74" s="2333">
        <f>SUM(N72:N73)</f>
        <v>29000</v>
      </c>
      <c r="O74" s="2333">
        <f>SUM(O72:O73)</f>
        <v>31000</v>
      </c>
    </row>
    <row r="75" spans="1:15" ht="12.75" customHeight="1" thickTop="1" x14ac:dyDescent="0.25">
      <c r="A75" s="862"/>
      <c r="D75" s="2331"/>
      <c r="E75" s="2331"/>
      <c r="F75" s="2331"/>
      <c r="I75" s="885"/>
      <c r="J75" s="2395"/>
      <c r="K75" s="2395"/>
      <c r="L75" s="2395"/>
      <c r="M75" s="2395"/>
      <c r="N75" s="2395"/>
      <c r="O75" s="2395"/>
    </row>
    <row r="76" spans="1:15" ht="12.75" customHeight="1" x14ac:dyDescent="0.25">
      <c r="A76" s="862"/>
      <c r="D76" s="890">
        <f>D121</f>
        <v>691006</v>
      </c>
      <c r="E76" s="891"/>
      <c r="F76" s="891"/>
      <c r="G76" s="868" t="str">
        <f>E121</f>
        <v>Jeugdhulp gesloten plaatsing regionaal</v>
      </c>
      <c r="J76" s="2346"/>
      <c r="K76" s="2346"/>
      <c r="L76" s="2346"/>
      <c r="M76" s="2346"/>
      <c r="N76" s="2346"/>
      <c r="O76" s="2346"/>
    </row>
    <row r="77" spans="1:15" ht="12.75" customHeight="1" x14ac:dyDescent="0.25">
      <c r="A77" s="862"/>
      <c r="D77" s="890"/>
      <c r="E77" s="891"/>
      <c r="F77" s="891"/>
      <c r="G77" s="873" t="s">
        <v>533</v>
      </c>
      <c r="J77" s="2346"/>
      <c r="K77" s="2346"/>
      <c r="L77" s="2346"/>
      <c r="M77" s="2346"/>
      <c r="N77" s="2346"/>
      <c r="O77" s="2346"/>
    </row>
    <row r="78" spans="1:15" ht="12.75" customHeight="1" x14ac:dyDescent="0.25">
      <c r="A78" s="896">
        <f>D76</f>
        <v>691006</v>
      </c>
      <c r="B78" s="863" t="str">
        <f>G76</f>
        <v>Jeugdhulp gesloten plaatsing regionaal</v>
      </c>
      <c r="D78" s="893">
        <v>43410</v>
      </c>
      <c r="E78" s="893"/>
      <c r="F78" s="893"/>
      <c r="G78" s="895" t="s">
        <v>3341</v>
      </c>
      <c r="I78" s="885"/>
      <c r="J78" s="875">
        <v>217000</v>
      </c>
      <c r="K78" s="875">
        <f t="shared" ref="K78:O78" si="11">K125</f>
        <v>10000</v>
      </c>
      <c r="L78" s="875">
        <f t="shared" si="11"/>
        <v>11000</v>
      </c>
      <c r="M78" s="875">
        <f t="shared" si="11"/>
        <v>12000</v>
      </c>
      <c r="N78" s="875">
        <f t="shared" si="11"/>
        <v>12000</v>
      </c>
      <c r="O78" s="875">
        <f t="shared" si="11"/>
        <v>13000</v>
      </c>
    </row>
    <row r="79" spans="1:15" ht="12.75" customHeight="1" thickBot="1" x14ac:dyDescent="0.3">
      <c r="A79" s="862"/>
      <c r="D79" s="2331"/>
      <c r="E79" s="2331"/>
      <c r="F79" s="2331"/>
      <c r="G79" s="863" t="s">
        <v>536</v>
      </c>
      <c r="I79" s="885"/>
      <c r="J79" s="2370">
        <v>217000</v>
      </c>
      <c r="K79" s="2370">
        <f>SUM(K77:K78)</f>
        <v>10000</v>
      </c>
      <c r="L79" s="2370">
        <f>SUM(L77:L78)</f>
        <v>11000</v>
      </c>
      <c r="M79" s="2370">
        <f>SUM(M77:M78)</f>
        <v>12000</v>
      </c>
      <c r="N79" s="2370">
        <f>SUM(N77:N78)</f>
        <v>12000</v>
      </c>
      <c r="O79" s="2370">
        <f>SUM(O77:O78)</f>
        <v>13000</v>
      </c>
    </row>
    <row r="80" spans="1:15" ht="12.75" customHeight="1" thickTop="1" x14ac:dyDescent="0.25">
      <c r="A80" s="862"/>
      <c r="D80" s="2337"/>
      <c r="E80" s="2337"/>
      <c r="F80" s="2337"/>
      <c r="G80" s="884"/>
      <c r="H80" s="884"/>
      <c r="I80" s="2409"/>
      <c r="J80" s="2481"/>
      <c r="K80" s="2481"/>
      <c r="L80" s="2481"/>
      <c r="M80" s="2481"/>
      <c r="N80" s="2481"/>
      <c r="O80" s="2481"/>
    </row>
    <row r="81" spans="1:24" ht="12.75" customHeight="1" x14ac:dyDescent="0.25">
      <c r="D81" s="903"/>
      <c r="E81" s="903"/>
      <c r="F81" s="903"/>
      <c r="I81" s="885"/>
      <c r="J81" s="885"/>
      <c r="K81" s="885"/>
      <c r="L81" s="885"/>
      <c r="M81" s="885"/>
      <c r="N81" s="885"/>
      <c r="O81" s="885"/>
      <c r="P81" s="885"/>
    </row>
    <row r="82" spans="1:24" ht="12.75" customHeight="1" x14ac:dyDescent="0.25">
      <c r="D82" s="903"/>
      <c r="E82" s="903"/>
      <c r="F82" s="903"/>
      <c r="I82" s="885"/>
      <c r="J82" s="885"/>
      <c r="K82" s="885"/>
      <c r="L82" s="885"/>
      <c r="M82" s="885"/>
      <c r="N82" s="885"/>
      <c r="O82" s="885"/>
      <c r="P82" s="885"/>
    </row>
    <row r="83" spans="1:24" ht="12.75" customHeight="1" x14ac:dyDescent="0.25">
      <c r="A83" s="862"/>
      <c r="D83" s="902" t="s">
        <v>561</v>
      </c>
      <c r="E83" s="903"/>
      <c r="F83" s="903"/>
      <c r="G83" s="868"/>
      <c r="I83" s="885"/>
      <c r="J83" s="885"/>
      <c r="K83" s="885"/>
      <c r="L83" s="885"/>
      <c r="M83" s="885"/>
      <c r="N83" s="885"/>
      <c r="O83" s="885"/>
      <c r="P83" s="885"/>
    </row>
    <row r="84" spans="1:24" ht="12.75" customHeight="1" x14ac:dyDescent="0.25">
      <c r="A84" s="862"/>
      <c r="D84" s="903"/>
      <c r="E84" s="903"/>
      <c r="F84" s="903"/>
      <c r="I84" s="885"/>
      <c r="J84" s="885"/>
      <c r="K84" s="885"/>
      <c r="L84" s="885"/>
      <c r="M84" s="885"/>
      <c r="N84" s="885"/>
      <c r="O84" s="885"/>
      <c r="P84" s="885"/>
    </row>
    <row r="86" spans="1:24" ht="12.75" customHeight="1" x14ac:dyDescent="0.25">
      <c r="A86" s="862"/>
      <c r="D86" s="905">
        <v>691001</v>
      </c>
      <c r="E86" s="868" t="s">
        <v>4489</v>
      </c>
      <c r="F86" s="886"/>
      <c r="I86" s="885"/>
      <c r="J86" s="2475">
        <v>2025</v>
      </c>
      <c r="K86" s="2475">
        <v>2026</v>
      </c>
      <c r="L86" s="2475">
        <v>2027</v>
      </c>
      <c r="M86" s="2475">
        <v>2028</v>
      </c>
      <c r="N86" s="2475">
        <v>2029</v>
      </c>
      <c r="O86" s="2475">
        <v>2030</v>
      </c>
      <c r="U86" s="873"/>
      <c r="V86" s="873"/>
      <c r="W86" s="873"/>
      <c r="X86" s="873"/>
    </row>
    <row r="87" spans="1:24" ht="12.75" customHeight="1" x14ac:dyDescent="0.25">
      <c r="A87" s="862"/>
      <c r="D87" s="863"/>
      <c r="E87" s="2377" t="s">
        <v>533</v>
      </c>
      <c r="F87" s="2400"/>
      <c r="I87" s="885"/>
      <c r="J87" s="885"/>
      <c r="K87" s="885"/>
      <c r="L87" s="885"/>
      <c r="M87" s="885"/>
      <c r="N87" s="885"/>
      <c r="O87" s="885"/>
      <c r="U87" s="885"/>
      <c r="V87" s="885"/>
      <c r="W87" s="885"/>
      <c r="X87" s="885"/>
    </row>
    <row r="88" spans="1:24" ht="12.75" customHeight="1" x14ac:dyDescent="0.25">
      <c r="A88" s="862"/>
      <c r="D88" s="865">
        <v>43410</v>
      </c>
      <c r="E88" s="869" t="s">
        <v>4490</v>
      </c>
      <c r="I88" s="885"/>
      <c r="J88" s="885">
        <v>331000</v>
      </c>
      <c r="K88" s="885">
        <f>ROUND(J88*S$5,-3)</f>
        <v>346000</v>
      </c>
      <c r="L88" s="885">
        <f>ROUND(346000*T$5,-3)</f>
        <v>361000</v>
      </c>
      <c r="M88" s="885">
        <f>ROUND(L88*U$5,-3)</f>
        <v>376000</v>
      </c>
      <c r="N88" s="885">
        <f>ROUND(M88*V$5,-3)</f>
        <v>392000</v>
      </c>
      <c r="O88" s="885">
        <f>ROUND(N88*W$5,-3)</f>
        <v>408000</v>
      </c>
    </row>
    <row r="89" spans="1:24" ht="12.75" customHeight="1" x14ac:dyDescent="0.25">
      <c r="A89" s="862"/>
      <c r="D89" s="865"/>
      <c r="E89" s="869" t="s">
        <v>4476</v>
      </c>
      <c r="I89" s="885"/>
      <c r="J89" s="885"/>
      <c r="K89" s="885">
        <v>-84000</v>
      </c>
      <c r="L89" s="885">
        <f>ROUND(-84000*T$5,-3)</f>
        <v>-88000</v>
      </c>
      <c r="M89" s="885">
        <f t="shared" ref="M89:O90" si="12">ROUND(L89*U$5,-3)</f>
        <v>-92000</v>
      </c>
      <c r="N89" s="885">
        <f t="shared" si="12"/>
        <v>-96000</v>
      </c>
      <c r="O89" s="885">
        <f t="shared" si="12"/>
        <v>-100000</v>
      </c>
    </row>
    <row r="90" spans="1:24" ht="12.75" customHeight="1" x14ac:dyDescent="0.25">
      <c r="A90" s="862"/>
      <c r="D90" s="865"/>
      <c r="E90" s="869" t="s">
        <v>5417</v>
      </c>
      <c r="I90" s="885"/>
      <c r="J90" s="885"/>
      <c r="K90" s="885"/>
      <c r="L90" s="2343">
        <v>29000</v>
      </c>
      <c r="M90" s="2343">
        <f t="shared" si="12"/>
        <v>30000</v>
      </c>
      <c r="N90" s="2343">
        <f t="shared" si="12"/>
        <v>31000</v>
      </c>
      <c r="O90" s="2343">
        <f t="shared" si="12"/>
        <v>32000</v>
      </c>
    </row>
    <row r="91" spans="1:24" ht="12.75" customHeight="1" thickBot="1" x14ac:dyDescent="0.3">
      <c r="A91" s="862"/>
      <c r="D91" s="905"/>
      <c r="E91" s="2341" t="str">
        <f>"Totaal "&amp;D88</f>
        <v>Totaal 43410</v>
      </c>
      <c r="F91" s="886"/>
      <c r="I91" s="885"/>
      <c r="J91" s="2342">
        <v>331000</v>
      </c>
      <c r="K91" s="2342">
        <f>SUM(K88:K90)</f>
        <v>262000</v>
      </c>
      <c r="L91" s="2342">
        <f t="shared" ref="L91:O91" si="13">SUM(L88:L90)</f>
        <v>302000</v>
      </c>
      <c r="M91" s="2342">
        <f t="shared" si="13"/>
        <v>314000</v>
      </c>
      <c r="N91" s="2342">
        <f t="shared" si="13"/>
        <v>327000</v>
      </c>
      <c r="O91" s="2342">
        <f t="shared" si="13"/>
        <v>340000</v>
      </c>
      <c r="T91" s="885"/>
      <c r="U91" s="885"/>
      <c r="V91" s="885"/>
      <c r="W91" s="885"/>
      <c r="X91" s="885"/>
    </row>
    <row r="92" spans="1:24" ht="12.75" customHeight="1" thickTop="1" x14ac:dyDescent="0.25">
      <c r="A92" s="862"/>
      <c r="D92" s="905"/>
      <c r="E92" s="863"/>
      <c r="F92" s="886"/>
      <c r="I92" s="885"/>
      <c r="J92" s="885"/>
      <c r="K92" s="885"/>
      <c r="L92" s="885"/>
      <c r="M92" s="885"/>
      <c r="N92" s="885"/>
      <c r="O92" s="885"/>
      <c r="T92" s="885"/>
      <c r="U92" s="885"/>
      <c r="V92" s="885"/>
      <c r="W92" s="885"/>
      <c r="X92" s="885"/>
    </row>
    <row r="93" spans="1:24" ht="12.75" customHeight="1" x14ac:dyDescent="0.25">
      <c r="A93" s="862"/>
      <c r="D93" s="905">
        <v>691002</v>
      </c>
      <c r="E93" s="868" t="s">
        <v>4491</v>
      </c>
      <c r="F93" s="886"/>
      <c r="I93" s="885"/>
      <c r="J93" s="885"/>
      <c r="K93" s="885"/>
      <c r="L93" s="885"/>
      <c r="M93" s="885"/>
      <c r="N93" s="885"/>
      <c r="O93" s="885"/>
      <c r="P93" s="885"/>
      <c r="U93" s="873"/>
      <c r="V93" s="873"/>
      <c r="W93" s="873"/>
      <c r="X93" s="873"/>
    </row>
    <row r="94" spans="1:24" ht="12.75" customHeight="1" x14ac:dyDescent="0.25">
      <c r="A94" s="862"/>
      <c r="D94" s="863"/>
      <c r="E94" s="2377" t="s">
        <v>533</v>
      </c>
      <c r="F94" s="2400"/>
      <c r="I94" s="885"/>
      <c r="J94" s="885"/>
      <c r="K94" s="885"/>
      <c r="L94" s="885"/>
      <c r="M94" s="885"/>
      <c r="N94" s="885"/>
      <c r="O94" s="885"/>
      <c r="U94" s="885"/>
      <c r="V94" s="885"/>
      <c r="W94" s="885"/>
      <c r="X94" s="885"/>
    </row>
    <row r="95" spans="1:24" ht="12.75" customHeight="1" x14ac:dyDescent="0.25">
      <c r="A95" s="862"/>
      <c r="D95" s="865">
        <v>43410</v>
      </c>
      <c r="E95" s="869" t="s">
        <v>4492</v>
      </c>
      <c r="I95" s="885"/>
      <c r="J95" s="885">
        <v>66000</v>
      </c>
      <c r="K95" s="885">
        <f>ROUND(J95*S$5,-3)</f>
        <v>69000</v>
      </c>
      <c r="L95" s="885">
        <f>ROUND(69000*T$5,-1)</f>
        <v>71900</v>
      </c>
      <c r="M95" s="885">
        <f>ROUND(L95*U$5,-1)</f>
        <v>74920</v>
      </c>
      <c r="N95" s="885">
        <f t="shared" ref="N95:O97" si="14">ROUND(M95*V$5,-1)</f>
        <v>78070</v>
      </c>
      <c r="O95" s="885">
        <f t="shared" si="14"/>
        <v>81350</v>
      </c>
    </row>
    <row r="96" spans="1:24" ht="12.75" customHeight="1" x14ac:dyDescent="0.25">
      <c r="A96" s="862"/>
      <c r="D96" s="865"/>
      <c r="E96" s="869" t="s">
        <v>4476</v>
      </c>
      <c r="I96" s="885"/>
      <c r="J96" s="885"/>
      <c r="K96" s="885">
        <v>-35000</v>
      </c>
      <c r="L96" s="885">
        <f>ROUND(-35000*T$5,-1)</f>
        <v>-36470</v>
      </c>
      <c r="M96" s="885">
        <f>ROUND(L96*U$5,-1)</f>
        <v>-38000</v>
      </c>
      <c r="N96" s="885">
        <f t="shared" si="14"/>
        <v>-39600</v>
      </c>
      <c r="O96" s="885">
        <f t="shared" si="14"/>
        <v>-41260</v>
      </c>
    </row>
    <row r="97" spans="1:24" ht="12.75" customHeight="1" x14ac:dyDescent="0.25">
      <c r="A97" s="862"/>
      <c r="D97" s="865"/>
      <c r="E97" s="869" t="s">
        <v>5417</v>
      </c>
      <c r="I97" s="885"/>
      <c r="J97" s="885"/>
      <c r="K97" s="885"/>
      <c r="L97" s="2343">
        <v>-30220</v>
      </c>
      <c r="M97" s="2343">
        <f>ROUND(L97*U$5,-1)</f>
        <v>-31490</v>
      </c>
      <c r="N97" s="2343">
        <f t="shared" si="14"/>
        <v>-32810</v>
      </c>
      <c r="O97" s="2343">
        <f t="shared" si="14"/>
        <v>-34190</v>
      </c>
    </row>
    <row r="98" spans="1:24" ht="12.75" customHeight="1" thickBot="1" x14ac:dyDescent="0.3">
      <c r="A98" s="862"/>
      <c r="D98" s="905"/>
      <c r="E98" s="2341" t="str">
        <f>"Totaal "&amp;D95</f>
        <v>Totaal 43410</v>
      </c>
      <c r="F98" s="886"/>
      <c r="I98" s="885"/>
      <c r="J98" s="2342">
        <v>66000</v>
      </c>
      <c r="K98" s="2342">
        <f>SUM(K95:K97)</f>
        <v>34000</v>
      </c>
      <c r="L98" s="2342">
        <f t="shared" ref="L98:O98" si="15">SUM(L95:L97)</f>
        <v>5210</v>
      </c>
      <c r="M98" s="2342">
        <f t="shared" si="15"/>
        <v>5430</v>
      </c>
      <c r="N98" s="2342">
        <f t="shared" si="15"/>
        <v>5660</v>
      </c>
      <c r="O98" s="2342">
        <f t="shared" si="15"/>
        <v>5900</v>
      </c>
      <c r="T98" s="885"/>
      <c r="U98" s="885"/>
      <c r="V98" s="885"/>
      <c r="W98" s="885"/>
      <c r="X98" s="885"/>
    </row>
    <row r="99" spans="1:24" ht="12.75" customHeight="1" thickTop="1" x14ac:dyDescent="0.25">
      <c r="A99" s="862"/>
      <c r="D99" s="905"/>
      <c r="E99" s="863"/>
      <c r="F99" s="886"/>
      <c r="I99" s="885"/>
      <c r="J99" s="885"/>
      <c r="K99" s="885"/>
      <c r="L99" s="885"/>
      <c r="M99" s="885"/>
      <c r="N99" s="885"/>
      <c r="O99" s="885"/>
      <c r="T99" s="885"/>
      <c r="U99" s="885"/>
      <c r="V99" s="885"/>
      <c r="W99" s="885"/>
      <c r="X99" s="885"/>
    </row>
    <row r="100" spans="1:24" ht="12.75" customHeight="1" x14ac:dyDescent="0.25">
      <c r="A100" s="862"/>
      <c r="D100" s="905">
        <v>691003</v>
      </c>
      <c r="E100" s="868" t="s">
        <v>4493</v>
      </c>
      <c r="F100" s="886"/>
      <c r="I100" s="885"/>
      <c r="J100" s="885"/>
      <c r="K100" s="885"/>
      <c r="L100" s="885"/>
      <c r="M100" s="885"/>
      <c r="N100" s="885"/>
      <c r="O100" s="885"/>
      <c r="U100" s="873"/>
      <c r="V100" s="873"/>
      <c r="W100" s="873"/>
      <c r="X100" s="873"/>
    </row>
    <row r="101" spans="1:24" ht="12.75" customHeight="1" x14ac:dyDescent="0.25">
      <c r="A101" s="862"/>
      <c r="D101" s="863"/>
      <c r="E101" s="2377" t="s">
        <v>533</v>
      </c>
      <c r="F101" s="2400"/>
      <c r="I101" s="885"/>
      <c r="J101" s="885"/>
      <c r="K101" s="885"/>
      <c r="L101" s="885"/>
      <c r="M101" s="885"/>
      <c r="N101" s="885"/>
      <c r="O101" s="885"/>
      <c r="U101" s="885"/>
      <c r="V101" s="885"/>
      <c r="W101" s="885"/>
      <c r="X101" s="885"/>
    </row>
    <row r="102" spans="1:24" ht="12.75" customHeight="1" x14ac:dyDescent="0.25">
      <c r="A102" s="862"/>
      <c r="D102" s="865">
        <v>43410</v>
      </c>
      <c r="E102" s="869" t="s">
        <v>4494</v>
      </c>
      <c r="I102" s="885"/>
      <c r="J102" s="885">
        <v>993000</v>
      </c>
      <c r="K102" s="885">
        <f>ROUND(J102*S$5,-3)</f>
        <v>1039000</v>
      </c>
      <c r="L102" s="885">
        <f>ROUND(1039000*T$5,-3)</f>
        <v>1083000</v>
      </c>
      <c r="M102" s="885">
        <f>ROUND(L102*U$5,-3)</f>
        <v>1128000</v>
      </c>
      <c r="N102" s="885">
        <f t="shared" ref="N102:O104" si="16">ROUND(M102*V$5,-3)</f>
        <v>1175000</v>
      </c>
      <c r="O102" s="885">
        <f t="shared" si="16"/>
        <v>1224000</v>
      </c>
    </row>
    <row r="103" spans="1:24" ht="12.75" customHeight="1" x14ac:dyDescent="0.25">
      <c r="A103" s="862"/>
      <c r="D103" s="865"/>
      <c r="E103" s="869" t="s">
        <v>4476</v>
      </c>
      <c r="I103" s="885"/>
      <c r="J103" s="885"/>
      <c r="K103" s="885">
        <v>467000</v>
      </c>
      <c r="L103" s="885">
        <f>ROUND(467000*T$5,-3)</f>
        <v>487000</v>
      </c>
      <c r="M103" s="885">
        <f t="shared" ref="M103:M104" si="17">ROUND(L103*U$5,-3)</f>
        <v>507000</v>
      </c>
      <c r="N103" s="885">
        <f t="shared" si="16"/>
        <v>528000</v>
      </c>
      <c r="O103" s="885">
        <f t="shared" si="16"/>
        <v>550000</v>
      </c>
    </row>
    <row r="104" spans="1:24" ht="12.75" customHeight="1" x14ac:dyDescent="0.25">
      <c r="A104" s="862"/>
      <c r="D104" s="865"/>
      <c r="E104" s="869" t="s">
        <v>5417</v>
      </c>
      <c r="I104" s="885"/>
      <c r="J104" s="885"/>
      <c r="K104" s="885"/>
      <c r="L104" s="2343">
        <v>389000</v>
      </c>
      <c r="M104" s="2343">
        <f t="shared" si="17"/>
        <v>405000</v>
      </c>
      <c r="N104" s="2343">
        <f t="shared" si="16"/>
        <v>422000</v>
      </c>
      <c r="O104" s="2343">
        <f t="shared" si="16"/>
        <v>440000</v>
      </c>
    </row>
    <row r="105" spans="1:24" ht="12.75" customHeight="1" thickBot="1" x14ac:dyDescent="0.3">
      <c r="A105" s="862"/>
      <c r="D105" s="905"/>
      <c r="E105" s="2341" t="str">
        <f>"Totaal "&amp;D102</f>
        <v>Totaal 43410</v>
      </c>
      <c r="F105" s="886"/>
      <c r="I105" s="885"/>
      <c r="J105" s="2342">
        <v>993000</v>
      </c>
      <c r="K105" s="2342">
        <f>SUM(K102:K104)</f>
        <v>1506000</v>
      </c>
      <c r="L105" s="2342">
        <f t="shared" ref="L105:O105" si="18">SUM(L102:L104)</f>
        <v>1959000</v>
      </c>
      <c r="M105" s="2342">
        <f t="shared" si="18"/>
        <v>2040000</v>
      </c>
      <c r="N105" s="2342">
        <f t="shared" si="18"/>
        <v>2125000</v>
      </c>
      <c r="O105" s="2342">
        <f t="shared" si="18"/>
        <v>2214000</v>
      </c>
      <c r="T105" s="885"/>
      <c r="U105" s="885"/>
      <c r="V105" s="885"/>
      <c r="W105" s="885"/>
      <c r="X105" s="885"/>
    </row>
    <row r="106" spans="1:24" ht="12.75" customHeight="1" thickTop="1" x14ac:dyDescent="0.25">
      <c r="A106" s="862"/>
      <c r="D106" s="905"/>
      <c r="E106" s="863"/>
      <c r="F106" s="886"/>
      <c r="I106" s="885"/>
      <c r="J106" s="885"/>
      <c r="K106" s="885"/>
      <c r="L106" s="885"/>
      <c r="M106" s="885"/>
      <c r="N106" s="885"/>
      <c r="O106" s="885"/>
      <c r="T106" s="885"/>
      <c r="U106" s="885"/>
      <c r="V106" s="885"/>
      <c r="W106" s="885"/>
      <c r="X106" s="885"/>
    </row>
    <row r="107" spans="1:24" ht="12.75" customHeight="1" x14ac:dyDescent="0.25">
      <c r="A107" s="862"/>
      <c r="D107" s="905">
        <v>691004</v>
      </c>
      <c r="E107" s="868" t="s">
        <v>4495</v>
      </c>
      <c r="F107" s="886"/>
      <c r="I107" s="885"/>
      <c r="J107" s="885"/>
      <c r="K107" s="885"/>
      <c r="L107" s="885"/>
      <c r="M107" s="885"/>
      <c r="N107" s="885"/>
      <c r="O107" s="885"/>
      <c r="U107" s="873"/>
      <c r="V107" s="873"/>
      <c r="W107" s="873"/>
      <c r="X107" s="873"/>
    </row>
    <row r="108" spans="1:24" ht="12.75" customHeight="1" x14ac:dyDescent="0.25">
      <c r="A108" s="862"/>
      <c r="D108" s="863"/>
      <c r="E108" s="2377" t="s">
        <v>533</v>
      </c>
      <c r="F108" s="2400"/>
      <c r="I108" s="885"/>
      <c r="J108" s="885"/>
      <c r="K108" s="885"/>
      <c r="L108" s="885"/>
      <c r="M108" s="885"/>
      <c r="N108" s="885"/>
      <c r="O108" s="885"/>
      <c r="U108" s="885"/>
      <c r="V108" s="885"/>
      <c r="W108" s="885"/>
      <c r="X108" s="885"/>
    </row>
    <row r="109" spans="1:24" ht="12.75" customHeight="1" x14ac:dyDescent="0.25">
      <c r="A109" s="862"/>
      <c r="D109" s="865">
        <v>43410</v>
      </c>
      <c r="E109" s="869" t="s">
        <v>4496</v>
      </c>
      <c r="I109" s="885"/>
      <c r="J109" s="885">
        <v>110000</v>
      </c>
      <c r="K109" s="885">
        <f>ROUND(J109*S$5,-3)</f>
        <v>115000</v>
      </c>
      <c r="L109" s="885">
        <f>ROUND(115000*T$5,-3)</f>
        <v>120000</v>
      </c>
      <c r="M109" s="885">
        <f>ROUND(L109*U$5,-3)</f>
        <v>125000</v>
      </c>
      <c r="N109" s="885">
        <f t="shared" ref="N109:O111" si="19">ROUND(M109*V$5,-3)</f>
        <v>130000</v>
      </c>
      <c r="O109" s="885">
        <f t="shared" si="19"/>
        <v>135000</v>
      </c>
    </row>
    <row r="110" spans="1:24" ht="12.75" customHeight="1" x14ac:dyDescent="0.25">
      <c r="A110" s="862"/>
      <c r="D110" s="865"/>
      <c r="E110" s="869" t="s">
        <v>4476</v>
      </c>
      <c r="I110" s="885"/>
      <c r="J110" s="885"/>
      <c r="K110" s="885">
        <v>-73000</v>
      </c>
      <c r="L110" s="885">
        <f>ROUND(-73000*T$5,-3)</f>
        <v>-76000</v>
      </c>
      <c r="M110" s="885">
        <f t="shared" ref="M110:M111" si="20">ROUND(L110*U$5,-3)</f>
        <v>-79000</v>
      </c>
      <c r="N110" s="885">
        <f t="shared" si="19"/>
        <v>-82000</v>
      </c>
      <c r="O110" s="885">
        <f t="shared" si="19"/>
        <v>-85000</v>
      </c>
    </row>
    <row r="111" spans="1:24" ht="12.75" customHeight="1" x14ac:dyDescent="0.25">
      <c r="A111" s="862"/>
      <c r="D111" s="865"/>
      <c r="E111" s="869" t="s">
        <v>5417</v>
      </c>
      <c r="I111" s="885"/>
      <c r="J111" s="885"/>
      <c r="K111" s="885"/>
      <c r="L111" s="2343">
        <v>144000</v>
      </c>
      <c r="M111" s="2343">
        <f t="shared" si="20"/>
        <v>150000</v>
      </c>
      <c r="N111" s="2343">
        <f t="shared" si="19"/>
        <v>156000</v>
      </c>
      <c r="O111" s="2343">
        <f t="shared" si="19"/>
        <v>163000</v>
      </c>
    </row>
    <row r="112" spans="1:24" ht="12.75" customHeight="1" thickBot="1" x14ac:dyDescent="0.3">
      <c r="A112" s="862"/>
      <c r="D112" s="905"/>
      <c r="E112" s="2341" t="str">
        <f>"Totaal "&amp;D109</f>
        <v>Totaal 43410</v>
      </c>
      <c r="F112" s="886"/>
      <c r="I112" s="885"/>
      <c r="J112" s="2342">
        <v>110000</v>
      </c>
      <c r="K112" s="2342">
        <f>SUM(K109:K111)</f>
        <v>42000</v>
      </c>
      <c r="L112" s="2342">
        <f t="shared" ref="L112:O112" si="21">SUM(L109:L111)</f>
        <v>188000</v>
      </c>
      <c r="M112" s="2342">
        <f t="shared" si="21"/>
        <v>196000</v>
      </c>
      <c r="N112" s="2342">
        <f t="shared" si="21"/>
        <v>204000</v>
      </c>
      <c r="O112" s="2342">
        <f t="shared" si="21"/>
        <v>213000</v>
      </c>
      <c r="T112" s="885"/>
      <c r="U112" s="885"/>
      <c r="V112" s="885"/>
      <c r="W112" s="885"/>
      <c r="X112" s="885"/>
    </row>
    <row r="113" spans="1:24" ht="12.75" customHeight="1" thickTop="1" x14ac:dyDescent="0.25">
      <c r="A113" s="862"/>
      <c r="D113" s="905"/>
      <c r="E113" s="863"/>
      <c r="F113" s="886"/>
      <c r="I113" s="885"/>
      <c r="J113" s="885"/>
      <c r="K113" s="885"/>
      <c r="L113" s="885"/>
      <c r="M113" s="885"/>
      <c r="N113" s="885"/>
      <c r="O113" s="885"/>
      <c r="T113" s="885"/>
      <c r="U113" s="885"/>
      <c r="V113" s="885"/>
      <c r="W113" s="885"/>
      <c r="X113" s="885"/>
    </row>
    <row r="114" spans="1:24" ht="12.75" customHeight="1" x14ac:dyDescent="0.25">
      <c r="A114" s="862"/>
      <c r="D114" s="905">
        <v>691005</v>
      </c>
      <c r="E114" s="868" t="s">
        <v>4497</v>
      </c>
      <c r="F114" s="886"/>
      <c r="I114" s="885"/>
      <c r="J114" s="885"/>
      <c r="K114" s="885"/>
      <c r="L114" s="885"/>
      <c r="M114" s="885"/>
      <c r="N114" s="885"/>
      <c r="O114" s="885"/>
      <c r="U114" s="873"/>
      <c r="V114" s="873"/>
      <c r="W114" s="873"/>
      <c r="X114" s="873"/>
    </row>
    <row r="115" spans="1:24" ht="12.75" customHeight="1" x14ac:dyDescent="0.25">
      <c r="A115" s="862"/>
      <c r="D115" s="863"/>
      <c r="E115" s="2377" t="s">
        <v>533</v>
      </c>
      <c r="F115" s="2400"/>
      <c r="I115" s="885"/>
      <c r="J115" s="885"/>
      <c r="K115" s="885"/>
      <c r="L115" s="885"/>
      <c r="M115" s="885"/>
      <c r="N115" s="885"/>
      <c r="O115" s="885"/>
      <c r="U115" s="885"/>
      <c r="V115" s="885"/>
      <c r="W115" s="885"/>
      <c r="X115" s="885"/>
    </row>
    <row r="116" spans="1:24" ht="12.75" customHeight="1" x14ac:dyDescent="0.25">
      <c r="A116" s="862"/>
      <c r="D116" s="865">
        <v>43410</v>
      </c>
      <c r="E116" s="869" t="s">
        <v>4498</v>
      </c>
      <c r="I116" s="885"/>
      <c r="J116" s="885">
        <v>220000</v>
      </c>
      <c r="K116" s="885">
        <f>ROUND(J116*S$5,-3)</f>
        <v>230000</v>
      </c>
      <c r="L116" s="885">
        <f>ROUND(230000*T$5,-3)</f>
        <v>240000</v>
      </c>
      <c r="M116" s="885">
        <f>ROUND(L116*U$5,-3)</f>
        <v>250000</v>
      </c>
      <c r="N116" s="885">
        <f t="shared" ref="N116:O118" si="22">ROUND(M116*V$5,-3)</f>
        <v>261000</v>
      </c>
      <c r="O116" s="885">
        <f t="shared" si="22"/>
        <v>272000</v>
      </c>
    </row>
    <row r="117" spans="1:24" ht="12.75" customHeight="1" x14ac:dyDescent="0.25">
      <c r="A117" s="862"/>
      <c r="D117" s="865"/>
      <c r="E117" s="869" t="s">
        <v>4476</v>
      </c>
      <c r="I117" s="885"/>
      <c r="J117" s="885"/>
      <c r="K117" s="885">
        <v>-199000</v>
      </c>
      <c r="L117" s="885">
        <f>ROUND(-199000*T$5,-3)</f>
        <v>-207000</v>
      </c>
      <c r="M117" s="885">
        <f t="shared" ref="M117:M118" si="23">ROUND(L117*U$5,-3)</f>
        <v>-216000</v>
      </c>
      <c r="N117" s="885">
        <f t="shared" si="22"/>
        <v>-225000</v>
      </c>
      <c r="O117" s="885">
        <f t="shared" si="22"/>
        <v>-234000</v>
      </c>
    </row>
    <row r="118" spans="1:24" ht="12.75" customHeight="1" x14ac:dyDescent="0.25">
      <c r="A118" s="862"/>
      <c r="D118" s="865"/>
      <c r="E118" s="869" t="s">
        <v>5417</v>
      </c>
      <c r="I118" s="885"/>
      <c r="J118" s="885"/>
      <c r="K118" s="885"/>
      <c r="L118" s="2343">
        <v>-7000</v>
      </c>
      <c r="M118" s="2343">
        <f t="shared" si="23"/>
        <v>-7000</v>
      </c>
      <c r="N118" s="2343">
        <f t="shared" si="22"/>
        <v>-7000</v>
      </c>
      <c r="O118" s="2343">
        <f t="shared" si="22"/>
        <v>-7000</v>
      </c>
    </row>
    <row r="119" spans="1:24" ht="12.75" customHeight="1" thickBot="1" x14ac:dyDescent="0.3">
      <c r="A119" s="862"/>
      <c r="D119" s="905"/>
      <c r="E119" s="2341" t="str">
        <f>"Totaal "&amp;D116</f>
        <v>Totaal 43410</v>
      </c>
      <c r="F119" s="886"/>
      <c r="I119" s="885"/>
      <c r="J119" s="2342">
        <v>220000</v>
      </c>
      <c r="K119" s="2342">
        <f>SUM(K116:K118)</f>
        <v>31000</v>
      </c>
      <c r="L119" s="2342">
        <f t="shared" ref="L119:O119" si="24">SUM(L116:L118)</f>
        <v>26000</v>
      </c>
      <c r="M119" s="2342">
        <f t="shared" si="24"/>
        <v>27000</v>
      </c>
      <c r="N119" s="2342">
        <f t="shared" si="24"/>
        <v>29000</v>
      </c>
      <c r="O119" s="2342">
        <f t="shared" si="24"/>
        <v>31000</v>
      </c>
      <c r="T119" s="885"/>
      <c r="U119" s="885"/>
      <c r="V119" s="885"/>
      <c r="W119" s="885"/>
      <c r="X119" s="885"/>
    </row>
    <row r="120" spans="1:24" ht="12.75" customHeight="1" thickTop="1" x14ac:dyDescent="0.25">
      <c r="A120" s="862"/>
      <c r="D120" s="905"/>
      <c r="E120" s="863"/>
      <c r="F120" s="886"/>
      <c r="I120" s="885"/>
      <c r="J120" s="885"/>
      <c r="K120" s="885"/>
      <c r="L120" s="885"/>
      <c r="M120" s="885"/>
      <c r="N120" s="885"/>
      <c r="O120" s="885"/>
      <c r="T120" s="885"/>
      <c r="U120" s="885"/>
      <c r="V120" s="885"/>
      <c r="W120" s="885"/>
      <c r="X120" s="885"/>
    </row>
    <row r="121" spans="1:24" ht="12.75" customHeight="1" x14ac:dyDescent="0.25">
      <c r="A121" s="862"/>
      <c r="D121" s="905">
        <v>691006</v>
      </c>
      <c r="E121" s="868" t="s">
        <v>4499</v>
      </c>
      <c r="F121" s="886"/>
      <c r="I121" s="885"/>
      <c r="J121" s="885"/>
      <c r="K121" s="885"/>
      <c r="L121" s="885"/>
      <c r="M121" s="885"/>
      <c r="N121" s="885"/>
      <c r="O121" s="885"/>
      <c r="U121" s="873"/>
      <c r="V121" s="873"/>
      <c r="W121" s="873"/>
      <c r="X121" s="873"/>
    </row>
    <row r="122" spans="1:24" ht="12.75" customHeight="1" x14ac:dyDescent="0.25">
      <c r="A122" s="862"/>
      <c r="D122" s="863"/>
      <c r="E122" s="2377" t="s">
        <v>533</v>
      </c>
      <c r="F122" s="2400"/>
      <c r="I122" s="885"/>
      <c r="J122" s="885"/>
      <c r="K122" s="885"/>
      <c r="L122" s="885"/>
      <c r="M122" s="885"/>
      <c r="N122" s="885"/>
      <c r="O122" s="885"/>
      <c r="U122" s="885"/>
      <c r="V122" s="885"/>
      <c r="W122" s="885"/>
      <c r="X122" s="885"/>
    </row>
    <row r="123" spans="1:24" ht="12.75" customHeight="1" x14ac:dyDescent="0.25">
      <c r="A123" s="862"/>
      <c r="D123" s="865">
        <v>43410</v>
      </c>
      <c r="E123" s="869" t="s">
        <v>4500</v>
      </c>
      <c r="I123" s="885"/>
      <c r="J123" s="885">
        <v>217000</v>
      </c>
      <c r="K123" s="885">
        <f>ROUND(J123*S$5,-3)</f>
        <v>227000</v>
      </c>
      <c r="L123" s="885">
        <f>ROUND(227000*T$5,-3)</f>
        <v>237000</v>
      </c>
      <c r="M123" s="885">
        <f t="shared" ref="M123:O124" si="25">ROUND(L123*U$5,-3)</f>
        <v>247000</v>
      </c>
      <c r="N123" s="885">
        <f t="shared" si="25"/>
        <v>257000</v>
      </c>
      <c r="O123" s="885">
        <f t="shared" si="25"/>
        <v>268000</v>
      </c>
    </row>
    <row r="124" spans="1:24" ht="12.75" customHeight="1" x14ac:dyDescent="0.25">
      <c r="A124" s="862"/>
      <c r="D124" s="865"/>
      <c r="E124" s="869" t="s">
        <v>4476</v>
      </c>
      <c r="I124" s="885"/>
      <c r="J124" s="885"/>
      <c r="K124" s="885">
        <v>-217000</v>
      </c>
      <c r="L124" s="885">
        <f>ROUND(2-217000*T$5,-3)</f>
        <v>-226000</v>
      </c>
      <c r="M124" s="885">
        <f t="shared" si="25"/>
        <v>-235000</v>
      </c>
      <c r="N124" s="885">
        <f t="shared" si="25"/>
        <v>-245000</v>
      </c>
      <c r="O124" s="885">
        <f t="shared" si="25"/>
        <v>-255000</v>
      </c>
    </row>
    <row r="125" spans="1:24" ht="12.75" customHeight="1" thickBot="1" x14ac:dyDescent="0.3">
      <c r="A125" s="862"/>
      <c r="D125" s="905"/>
      <c r="E125" s="2341" t="str">
        <f>"Totaal "&amp;D123</f>
        <v>Totaal 43410</v>
      </c>
      <c r="F125" s="886"/>
      <c r="I125" s="885"/>
      <c r="J125" s="2342">
        <v>217000</v>
      </c>
      <c r="K125" s="2342">
        <f>SUM(K123:K124)</f>
        <v>10000</v>
      </c>
      <c r="L125" s="2342">
        <f>SUM(L123:L124)</f>
        <v>11000</v>
      </c>
      <c r="M125" s="2342">
        <f>SUM(M123:M124)</f>
        <v>12000</v>
      </c>
      <c r="N125" s="2342">
        <f>SUM(N123:N124)</f>
        <v>12000</v>
      </c>
      <c r="O125" s="2342">
        <f>SUM(O123:O124)</f>
        <v>13000</v>
      </c>
      <c r="T125" s="885"/>
      <c r="U125" s="885"/>
      <c r="V125" s="885"/>
      <c r="W125" s="885"/>
      <c r="X125" s="885"/>
    </row>
    <row r="126" spans="1:24" ht="12.75" customHeight="1" thickTop="1" x14ac:dyDescent="0.25">
      <c r="A126" s="862"/>
      <c r="D126" s="905"/>
      <c r="E126" s="863"/>
      <c r="F126" s="886"/>
      <c r="I126" s="885"/>
      <c r="J126" s="885"/>
      <c r="K126" s="885"/>
      <c r="L126" s="885"/>
      <c r="M126" s="885"/>
      <c r="N126" s="885"/>
      <c r="O126" s="885"/>
      <c r="T126" s="885"/>
      <c r="U126" s="885"/>
      <c r="V126" s="885"/>
      <c r="W126" s="885"/>
      <c r="X126" s="885"/>
    </row>
    <row r="127" spans="1:24" ht="12.75" customHeight="1" x14ac:dyDescent="0.25">
      <c r="A127" s="862"/>
      <c r="D127" s="905"/>
      <c r="E127" s="2341"/>
      <c r="F127" s="886"/>
      <c r="J127" s="2358"/>
      <c r="K127" s="2358"/>
      <c r="L127" s="2358"/>
      <c r="M127" s="2358"/>
      <c r="N127" s="2358"/>
      <c r="O127" s="2358"/>
    </row>
    <row r="129" spans="1:15" ht="12.75" customHeight="1" x14ac:dyDescent="0.25">
      <c r="D129" s="905"/>
      <c r="E129" s="886"/>
      <c r="F129" s="886"/>
      <c r="G129" s="868"/>
      <c r="I129" s="885"/>
      <c r="J129" s="2357"/>
      <c r="K129" s="2357"/>
      <c r="L129" s="2357"/>
      <c r="M129" s="2357"/>
      <c r="N129" s="2357"/>
      <c r="O129" s="2357"/>
    </row>
    <row r="130" spans="1:15" ht="12.75" customHeight="1" x14ac:dyDescent="0.25">
      <c r="D130" s="903"/>
      <c r="E130" s="903"/>
      <c r="F130" s="903"/>
      <c r="G130" s="873"/>
      <c r="I130" s="885"/>
      <c r="J130" s="885"/>
      <c r="K130" s="885"/>
      <c r="L130" s="885"/>
      <c r="M130" s="885"/>
      <c r="N130" s="885"/>
      <c r="O130" s="885"/>
    </row>
    <row r="131" spans="1:15" ht="12.75" customHeight="1" x14ac:dyDescent="0.25">
      <c r="D131" s="865"/>
      <c r="I131" s="885"/>
      <c r="J131" s="885"/>
      <c r="K131" s="885"/>
      <c r="L131" s="885"/>
      <c r="M131" s="885"/>
      <c r="N131" s="885"/>
      <c r="O131" s="885"/>
    </row>
    <row r="132" spans="1:15" ht="12.75" customHeight="1" x14ac:dyDescent="0.25">
      <c r="D132" s="903"/>
      <c r="E132" s="903"/>
      <c r="F132" s="903"/>
      <c r="I132" s="885"/>
      <c r="J132" s="885"/>
      <c r="K132" s="885"/>
      <c r="L132" s="885"/>
      <c r="M132" s="885"/>
      <c r="N132" s="885"/>
      <c r="O132" s="885"/>
    </row>
    <row r="133" spans="1:15" ht="12.75" customHeight="1" x14ac:dyDescent="0.25">
      <c r="D133" s="865"/>
      <c r="G133" s="2480"/>
      <c r="I133" s="885"/>
      <c r="J133" s="885"/>
      <c r="K133" s="885"/>
      <c r="L133" s="885"/>
      <c r="M133" s="885"/>
      <c r="N133" s="885"/>
      <c r="O133" s="885"/>
    </row>
    <row r="134" spans="1:15" ht="12.75" customHeight="1" x14ac:dyDescent="0.25">
      <c r="A134" s="862"/>
    </row>
    <row r="135" spans="1:15" ht="12.75" customHeight="1" x14ac:dyDescent="0.25">
      <c r="A135" s="862"/>
    </row>
    <row r="136" spans="1:15" ht="12.75" customHeight="1" x14ac:dyDescent="0.25">
      <c r="A136" s="862"/>
    </row>
    <row r="137" spans="1:15" ht="12.75" customHeight="1" x14ac:dyDescent="0.25">
      <c r="A137" s="862"/>
    </row>
  </sheetData>
  <mergeCells count="3">
    <mergeCell ref="D48:D49"/>
    <mergeCell ref="F48:F49"/>
    <mergeCell ref="G48:H49"/>
  </mergeCells>
  <hyperlinks>
    <hyperlink ref="A1" location="Inhoudsopgave!A1" display="Inhoudsopgave" xr:uid="{3A6C1584-1F48-46DF-A55D-23B29B4C4BA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80" min="3" max="14"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FC24-E070-44BF-A144-68E44C7C5D8C}">
  <dimension ref="A1:V66"/>
  <sheetViews>
    <sheetView showGridLines="0" view="pageBreakPreview" topLeftCell="A9" zoomScaleNormal="100" zoomScaleSheetLayoutView="100" workbookViewId="0">
      <selection activeCell="R28" sqref="R28"/>
    </sheetView>
  </sheetViews>
  <sheetFormatPr defaultColWidth="9.109375" defaultRowHeight="13.2"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384" width="9.109375" style="863"/>
  </cols>
  <sheetData>
    <row r="1" spans="4:22" x14ac:dyDescent="0.25">
      <c r="N1" s="866"/>
      <c r="O1" s="866"/>
      <c r="P1" s="794">
        <v>2024</v>
      </c>
      <c r="Q1" s="794">
        <v>2025</v>
      </c>
      <c r="R1" s="794">
        <v>2026</v>
      </c>
      <c r="S1" s="794">
        <v>2027</v>
      </c>
      <c r="T1" s="794">
        <v>2028</v>
      </c>
      <c r="U1" s="794">
        <v>2029</v>
      </c>
      <c r="V1" s="794">
        <v>2030</v>
      </c>
    </row>
    <row r="2" spans="4:22" ht="14.4" x14ac:dyDescent="0.3">
      <c r="D2" s="864" t="s">
        <v>504</v>
      </c>
      <c r="H2" s="863" t="s">
        <v>4142</v>
      </c>
      <c r="N2" s="867" t="s">
        <v>969</v>
      </c>
      <c r="O2" s="867" t="s">
        <v>969</v>
      </c>
      <c r="P2" s="99">
        <f>+[2]Indexering!G4</f>
        <v>1.0369999999999999</v>
      </c>
      <c r="Q2" s="99">
        <f>+[2]Indexering!H4</f>
        <v>1.028</v>
      </c>
      <c r="R2" s="99">
        <f>+[2]Indexering!I4</f>
        <v>1.026</v>
      </c>
      <c r="S2" s="99">
        <f>+[2]Indexering!J4</f>
        <v>1.0209999999999999</v>
      </c>
      <c r="T2" s="99">
        <f>+[2]Indexering!K4</f>
        <v>1.0229999999999999</v>
      </c>
      <c r="U2" s="99">
        <f>+[2]Indexering!L4</f>
        <v>1.0229999999999999</v>
      </c>
      <c r="V2" s="99">
        <f>+[2]Indexering!M4</f>
        <v>1.0229999999999999</v>
      </c>
    </row>
    <row r="3" spans="4:22" ht="14.4" x14ac:dyDescent="0.3">
      <c r="N3" s="867" t="s">
        <v>970</v>
      </c>
      <c r="O3" s="867" t="s">
        <v>970</v>
      </c>
      <c r="P3" s="99">
        <f>+[2]Indexering!G5</f>
        <v>1.052</v>
      </c>
      <c r="Q3" s="99">
        <f>+[2]Indexering!H5</f>
        <v>1.0489999999999999</v>
      </c>
      <c r="R3" s="99">
        <f>+[2]Indexering!I5</f>
        <v>1.02</v>
      </c>
      <c r="S3" s="99">
        <f>+[2]Indexering!J5</f>
        <v>1.042</v>
      </c>
      <c r="T3" s="99">
        <f>+[2]Indexering!K5</f>
        <v>1.0369999999999999</v>
      </c>
      <c r="U3" s="99">
        <f>+[2]Indexering!L5</f>
        <v>1.0369999999999999</v>
      </c>
      <c r="V3" s="99">
        <f>+[2]Indexering!M5</f>
        <v>1.0369999999999999</v>
      </c>
    </row>
    <row r="4" spans="4:22" ht="14.4" x14ac:dyDescent="0.3">
      <c r="N4" s="868" t="s">
        <v>3194</v>
      </c>
      <c r="O4" s="868" t="s">
        <v>3194</v>
      </c>
      <c r="P4" s="99">
        <f>+[2]Indexering!G6</f>
        <v>1.0445</v>
      </c>
      <c r="Q4" s="99">
        <f>+[2]Indexering!H6</f>
        <v>1.036</v>
      </c>
      <c r="R4" s="99">
        <f>+[2]Indexering!I6</f>
        <v>1.0228200000000001</v>
      </c>
      <c r="S4" s="99">
        <f>+[2]Indexering!J6</f>
        <v>1.03213</v>
      </c>
      <c r="T4" s="99">
        <f>+[2]Indexering!K6</f>
        <v>1.0304199999999999</v>
      </c>
      <c r="U4" s="99">
        <f>+[2]Indexering!L6</f>
        <v>1.0304199999999999</v>
      </c>
      <c r="V4" s="99">
        <f>+[2]Indexering!M6</f>
        <v>1.0304199999999999</v>
      </c>
    </row>
    <row r="5" spans="4:22" x14ac:dyDescent="0.25">
      <c r="N5" s="868" t="s">
        <v>3334</v>
      </c>
      <c r="O5" s="868" t="s">
        <v>3334</v>
      </c>
      <c r="R5" s="495">
        <v>1.046</v>
      </c>
      <c r="S5" s="2345">
        <f>Indexering!J7</f>
        <v>1.042</v>
      </c>
      <c r="T5" s="2345">
        <f>Indexering!K7</f>
        <v>1.042</v>
      </c>
      <c r="U5" s="2345">
        <f>Indexering!L7</f>
        <v>1.042</v>
      </c>
      <c r="V5" s="2345">
        <f>Indexering!M7</f>
        <v>1.042</v>
      </c>
    </row>
    <row r="6" spans="4:22" x14ac:dyDescent="0.25">
      <c r="D6" s="864" t="s">
        <v>66</v>
      </c>
      <c r="H6" s="869" t="s">
        <v>47</v>
      </c>
    </row>
    <row r="9" spans="4:22" x14ac:dyDescent="0.25">
      <c r="E9" s="870" t="s">
        <v>4501</v>
      </c>
      <c r="F9" s="863"/>
    </row>
    <row r="17" spans="4:15" x14ac:dyDescent="0.25">
      <c r="D17" s="870" t="s">
        <v>507</v>
      </c>
      <c r="E17" s="864"/>
      <c r="F17" s="864"/>
    </row>
    <row r="18" spans="4:15" x14ac:dyDescent="0.25">
      <c r="E18" s="864"/>
      <c r="F18" s="864"/>
    </row>
    <row r="19" spans="4:15" x14ac:dyDescent="0.25">
      <c r="D19" s="2310" t="s">
        <v>508</v>
      </c>
      <c r="E19" s="2311"/>
      <c r="F19" s="2311"/>
      <c r="G19" s="2312"/>
      <c r="H19" s="2312"/>
      <c r="I19" s="2313"/>
      <c r="J19" s="2313">
        <v>2025</v>
      </c>
      <c r="K19" s="2313">
        <v>2026</v>
      </c>
      <c r="L19" s="2313">
        <v>2027</v>
      </c>
      <c r="M19" s="2313">
        <v>2028</v>
      </c>
      <c r="N19" s="2313">
        <v>2029</v>
      </c>
      <c r="O19" s="2313">
        <v>2030</v>
      </c>
    </row>
    <row r="20" spans="4:15" x14ac:dyDescent="0.25">
      <c r="D20" s="871" t="str">
        <f>G45</f>
        <v>PGB's op grond van de Wmo</v>
      </c>
      <c r="E20" s="872"/>
      <c r="F20" s="872"/>
      <c r="G20" s="873"/>
      <c r="H20" s="873"/>
      <c r="I20" s="874"/>
      <c r="J20" s="875">
        <v>0</v>
      </c>
      <c r="K20" s="875">
        <f>K48</f>
        <v>382000</v>
      </c>
      <c r="L20" s="875">
        <f t="shared" ref="L20:O20" si="0">L48</f>
        <v>472000</v>
      </c>
      <c r="M20" s="875">
        <f t="shared" si="0"/>
        <v>492000</v>
      </c>
      <c r="N20" s="875">
        <f t="shared" si="0"/>
        <v>512000</v>
      </c>
      <c r="O20" s="875">
        <f t="shared" si="0"/>
        <v>533000</v>
      </c>
    </row>
    <row r="21" spans="4:15" x14ac:dyDescent="0.25">
      <c r="D21" s="876"/>
      <c r="E21" s="877"/>
      <c r="F21" s="878"/>
      <c r="I21" s="879"/>
      <c r="J21" s="274"/>
      <c r="K21" s="274"/>
      <c r="L21" s="274"/>
      <c r="M21" s="274"/>
      <c r="N21" s="274"/>
      <c r="O21" s="274"/>
    </row>
    <row r="22" spans="4:15" x14ac:dyDescent="0.25">
      <c r="D22" s="876"/>
      <c r="E22" s="877"/>
      <c r="F22" s="878"/>
      <c r="I22" s="879"/>
      <c r="J22" s="274"/>
      <c r="K22" s="274"/>
      <c r="L22" s="274"/>
      <c r="M22" s="274"/>
      <c r="N22" s="274"/>
      <c r="O22" s="274"/>
    </row>
    <row r="23" spans="4:15" x14ac:dyDescent="0.25">
      <c r="D23" s="876"/>
      <c r="E23" s="877"/>
      <c r="F23" s="878"/>
      <c r="I23" s="879"/>
      <c r="J23" s="275"/>
      <c r="K23" s="275"/>
      <c r="L23" s="275"/>
      <c r="M23" s="275"/>
      <c r="N23" s="275"/>
      <c r="O23" s="275"/>
    </row>
    <row r="24" spans="4:15" x14ac:dyDescent="0.25">
      <c r="D24" s="2316" t="s">
        <v>525</v>
      </c>
      <c r="E24" s="2317"/>
      <c r="F24" s="2318"/>
      <c r="G24" s="2319"/>
      <c r="H24" s="2319"/>
      <c r="I24" s="2320"/>
      <c r="J24" s="2321">
        <v>0</v>
      </c>
      <c r="K24" s="2321">
        <f>SUM(K20:K23)</f>
        <v>382000</v>
      </c>
      <c r="L24" s="2321">
        <f>SUM(L20:L23)</f>
        <v>472000</v>
      </c>
      <c r="M24" s="2321">
        <f>SUM(M20:M23)</f>
        <v>492000</v>
      </c>
      <c r="N24" s="2321">
        <f>SUM(N20:N23)</f>
        <v>512000</v>
      </c>
      <c r="O24" s="2321">
        <f>SUM(O20:O23)</f>
        <v>533000</v>
      </c>
    </row>
    <row r="25" spans="4:15" x14ac:dyDescent="0.25">
      <c r="E25" s="877"/>
      <c r="F25" s="878"/>
    </row>
    <row r="26" spans="4:15" x14ac:dyDescent="0.25">
      <c r="D26" s="2310" t="s">
        <v>526</v>
      </c>
      <c r="E26" s="2311"/>
      <c r="F26" s="2311"/>
      <c r="G26" s="2312"/>
      <c r="H26" s="2312"/>
      <c r="I26" s="2313"/>
      <c r="J26" s="2313">
        <v>2025</v>
      </c>
      <c r="K26" s="2313">
        <v>2026</v>
      </c>
      <c r="L26" s="2313">
        <v>2027</v>
      </c>
      <c r="M26" s="2313">
        <v>2028</v>
      </c>
      <c r="N26" s="2313">
        <v>2028</v>
      </c>
      <c r="O26" s="2313">
        <v>2028</v>
      </c>
    </row>
    <row r="27" spans="4:15" x14ac:dyDescent="0.25">
      <c r="D27" s="876"/>
      <c r="E27" s="877"/>
      <c r="F27" s="878"/>
      <c r="I27" s="879"/>
      <c r="J27" s="875"/>
      <c r="K27" s="875"/>
      <c r="L27" s="875"/>
      <c r="M27" s="875"/>
      <c r="N27" s="875"/>
      <c r="O27" s="875"/>
    </row>
    <row r="28" spans="4:15" x14ac:dyDescent="0.25">
      <c r="D28" s="876"/>
      <c r="E28" s="877"/>
      <c r="F28" s="878"/>
      <c r="I28" s="879"/>
      <c r="J28" s="875"/>
      <c r="K28" s="875"/>
      <c r="L28" s="875"/>
      <c r="M28" s="875"/>
      <c r="N28" s="875"/>
      <c r="O28" s="875"/>
    </row>
    <row r="29" spans="4:15" x14ac:dyDescent="0.25">
      <c r="D29" s="876"/>
      <c r="E29" s="877"/>
      <c r="F29" s="878"/>
      <c r="I29" s="879"/>
      <c r="J29" s="880"/>
      <c r="K29" s="880"/>
      <c r="L29" s="880"/>
      <c r="M29" s="880"/>
      <c r="N29" s="880"/>
      <c r="O29" s="880"/>
    </row>
    <row r="30" spans="4:15" x14ac:dyDescent="0.25">
      <c r="D30" s="876"/>
      <c r="E30" s="877"/>
      <c r="F30" s="878"/>
      <c r="I30" s="879"/>
      <c r="J30" s="880"/>
      <c r="K30" s="880"/>
      <c r="L30" s="880"/>
      <c r="M30" s="880"/>
      <c r="N30" s="880"/>
      <c r="O30" s="880"/>
    </row>
    <row r="31" spans="4:15" x14ac:dyDescent="0.25">
      <c r="D31" s="876"/>
      <c r="E31" s="877"/>
      <c r="F31" s="878"/>
      <c r="I31" s="879"/>
      <c r="J31" s="880"/>
      <c r="K31" s="880"/>
      <c r="L31" s="880"/>
      <c r="M31" s="880"/>
      <c r="N31" s="880"/>
      <c r="O31" s="880"/>
    </row>
    <row r="32" spans="4:15" x14ac:dyDescent="0.25">
      <c r="D32" s="876"/>
      <c r="E32" s="877"/>
      <c r="F32" s="878"/>
      <c r="I32" s="879"/>
      <c r="J32" s="880"/>
      <c r="K32" s="880"/>
      <c r="L32" s="880"/>
      <c r="M32" s="880"/>
      <c r="N32" s="880"/>
      <c r="O32" s="880"/>
    </row>
    <row r="33" spans="1:15" x14ac:dyDescent="0.25">
      <c r="D33" s="876"/>
      <c r="E33" s="877"/>
      <c r="F33" s="878"/>
      <c r="I33" s="879"/>
      <c r="J33" s="880"/>
      <c r="K33" s="880"/>
      <c r="L33" s="880"/>
      <c r="M33" s="880"/>
      <c r="N33" s="880"/>
      <c r="O33" s="880"/>
    </row>
    <row r="34" spans="1:15" x14ac:dyDescent="0.25">
      <c r="D34" s="881"/>
      <c r="E34" s="882"/>
      <c r="F34" s="883"/>
      <c r="G34" s="884"/>
      <c r="H34" s="884"/>
      <c r="I34" s="879"/>
      <c r="J34" s="880"/>
      <c r="K34" s="880"/>
      <c r="L34" s="880"/>
      <c r="M34" s="880"/>
      <c r="N34" s="880"/>
      <c r="O34" s="880"/>
    </row>
    <row r="35" spans="1:15" x14ac:dyDescent="0.25">
      <c r="D35" s="2316" t="s">
        <v>328</v>
      </c>
      <c r="E35" s="2317"/>
      <c r="F35" s="2318"/>
      <c r="G35" s="2319"/>
      <c r="H35" s="2319"/>
      <c r="I35" s="2320"/>
      <c r="J35" s="2321">
        <v>0</v>
      </c>
      <c r="K35" s="2321">
        <f t="shared" ref="K35:O35" si="1">SUM(K27:K34)</f>
        <v>0</v>
      </c>
      <c r="L35" s="2321">
        <f t="shared" si="1"/>
        <v>0</v>
      </c>
      <c r="M35" s="2321">
        <f t="shared" si="1"/>
        <v>0</v>
      </c>
      <c r="N35" s="2321">
        <f t="shared" si="1"/>
        <v>0</v>
      </c>
      <c r="O35" s="2321">
        <f t="shared" si="1"/>
        <v>0</v>
      </c>
    </row>
    <row r="36" spans="1:15" x14ac:dyDescent="0.25">
      <c r="E36" s="877"/>
      <c r="F36" s="878"/>
      <c r="J36" s="885"/>
      <c r="K36" s="885"/>
      <c r="L36" s="885"/>
      <c r="M36" s="885"/>
      <c r="N36" s="885"/>
      <c r="O36" s="885"/>
    </row>
    <row r="37" spans="1:15" ht="14.4" x14ac:dyDescent="0.3">
      <c r="D37" s="2322" t="s">
        <v>976</v>
      </c>
      <c r="E37" s="2323"/>
      <c r="F37" s="2323"/>
      <c r="G37" s="2319"/>
      <c r="H37" s="2319"/>
      <c r="I37" s="2319"/>
      <c r="J37" s="2482">
        <v>0</v>
      </c>
      <c r="K37" s="2324">
        <f>K24+K35</f>
        <v>382000</v>
      </c>
      <c r="L37" s="2324">
        <f>L24+L35</f>
        <v>472000</v>
      </c>
      <c r="M37" s="2324">
        <f>M24+M35</f>
        <v>492000</v>
      </c>
      <c r="N37" s="2324">
        <f>N24+N35</f>
        <v>512000</v>
      </c>
      <c r="O37" s="2324">
        <f>O24+O35</f>
        <v>533000</v>
      </c>
    </row>
    <row r="38" spans="1:15" x14ac:dyDescent="0.25">
      <c r="E38" s="877"/>
      <c r="F38" s="878"/>
      <c r="J38" s="885"/>
      <c r="K38" s="885"/>
      <c r="L38" s="885"/>
      <c r="M38" s="885"/>
    </row>
    <row r="39" spans="1:15" x14ac:dyDescent="0.25">
      <c r="E39" s="864"/>
      <c r="F39" s="864"/>
      <c r="J39" s="885"/>
      <c r="K39" s="885"/>
      <c r="L39" s="885"/>
      <c r="M39" s="885"/>
    </row>
    <row r="40" spans="1:15" x14ac:dyDescent="0.25">
      <c r="D40" s="870" t="s">
        <v>528</v>
      </c>
      <c r="E40" s="886"/>
      <c r="F40" s="886"/>
      <c r="I40" s="885"/>
      <c r="J40" s="885"/>
      <c r="K40" s="885"/>
      <c r="L40" s="885"/>
      <c r="M40" s="885"/>
    </row>
    <row r="42" spans="1:15" ht="12.75" customHeight="1" x14ac:dyDescent="0.25">
      <c r="D42" s="2585" t="s">
        <v>531</v>
      </c>
      <c r="E42" s="2325" t="s">
        <v>530</v>
      </c>
      <c r="F42" s="2585" t="s">
        <v>531</v>
      </c>
      <c r="G42" s="2587" t="s">
        <v>206</v>
      </c>
      <c r="H42" s="2588"/>
      <c r="I42" s="2326"/>
      <c r="J42" s="2320"/>
      <c r="K42" s="2320"/>
      <c r="L42" s="2320"/>
      <c r="M42" s="2320"/>
      <c r="N42" s="2320"/>
      <c r="O42" s="2320"/>
    </row>
    <row r="43" spans="1:15" x14ac:dyDescent="0.25">
      <c r="D43" s="2586"/>
      <c r="E43" s="887" t="s">
        <v>532</v>
      </c>
      <c r="F43" s="2586"/>
      <c r="G43" s="2589"/>
      <c r="H43" s="2590"/>
      <c r="I43" s="276"/>
      <c r="J43" s="2327">
        <v>2025</v>
      </c>
      <c r="K43" s="2327">
        <v>2026</v>
      </c>
      <c r="L43" s="2327">
        <v>2027</v>
      </c>
      <c r="M43" s="2327">
        <v>2028</v>
      </c>
      <c r="N43" s="2327">
        <v>2029</v>
      </c>
      <c r="O43" s="2327">
        <v>2030</v>
      </c>
    </row>
    <row r="44" spans="1:15" x14ac:dyDescent="0.25">
      <c r="D44" s="2328"/>
      <c r="E44" s="888"/>
      <c r="F44" s="888"/>
      <c r="G44" s="2329"/>
      <c r="H44" s="889"/>
      <c r="I44" s="2326"/>
      <c r="J44" s="2328"/>
      <c r="K44" s="2328"/>
      <c r="L44" s="2328"/>
      <c r="M44" s="2328"/>
      <c r="N44" s="2328"/>
      <c r="O44" s="2328"/>
    </row>
    <row r="45" spans="1:15" x14ac:dyDescent="0.25">
      <c r="D45" s="890">
        <f>D56</f>
        <v>683001</v>
      </c>
      <c r="E45" s="891"/>
      <c r="F45" s="891"/>
      <c r="G45" s="892" t="str">
        <f>E56</f>
        <v>PGB's op grond van de Wmo</v>
      </c>
      <c r="I45" s="880"/>
      <c r="J45" s="875"/>
      <c r="K45" s="875"/>
      <c r="L45" s="875"/>
      <c r="M45" s="875"/>
      <c r="N45" s="875"/>
      <c r="O45" s="875"/>
    </row>
    <row r="46" spans="1:15" x14ac:dyDescent="0.25">
      <c r="D46" s="893"/>
      <c r="E46" s="893"/>
      <c r="F46" s="893"/>
      <c r="G46" s="894" t="s">
        <v>533</v>
      </c>
      <c r="I46" s="880"/>
      <c r="J46" s="875"/>
      <c r="K46" s="875"/>
      <c r="L46" s="875"/>
      <c r="M46" s="875"/>
      <c r="N46" s="875"/>
      <c r="O46" s="875"/>
    </row>
    <row r="47" spans="1:15" x14ac:dyDescent="0.25">
      <c r="A47" s="862">
        <f>D45</f>
        <v>683001</v>
      </c>
      <c r="B47" s="863" t="str">
        <f>G45</f>
        <v>PGB's op grond van de Wmo</v>
      </c>
      <c r="D47" s="893">
        <f>D58</f>
        <v>43410</v>
      </c>
      <c r="E47" s="893"/>
      <c r="F47" s="893"/>
      <c r="G47" s="895" t="s">
        <v>3341</v>
      </c>
      <c r="I47" s="880"/>
      <c r="J47" s="875">
        <v>0</v>
      </c>
      <c r="K47" s="875">
        <f>K60</f>
        <v>382000</v>
      </c>
      <c r="L47" s="875">
        <f t="shared" ref="L47:O47" si="2">L60</f>
        <v>472000</v>
      </c>
      <c r="M47" s="875">
        <f t="shared" si="2"/>
        <v>492000</v>
      </c>
      <c r="N47" s="875">
        <f t="shared" si="2"/>
        <v>512000</v>
      </c>
      <c r="O47" s="875">
        <f t="shared" si="2"/>
        <v>533000</v>
      </c>
    </row>
    <row r="48" spans="1:15" ht="13.8" thickBot="1" x14ac:dyDescent="0.3">
      <c r="A48" s="896"/>
      <c r="D48" s="893"/>
      <c r="E48" s="893"/>
      <c r="F48" s="893"/>
      <c r="G48" s="895" t="s">
        <v>536</v>
      </c>
      <c r="I48" s="880"/>
      <c r="J48" s="897">
        <v>0</v>
      </c>
      <c r="K48" s="897">
        <f t="shared" ref="K48:O48" si="3">SUM(K47:K47)</f>
        <v>382000</v>
      </c>
      <c r="L48" s="897">
        <f t="shared" si="3"/>
        <v>472000</v>
      </c>
      <c r="M48" s="897">
        <f t="shared" si="3"/>
        <v>492000</v>
      </c>
      <c r="N48" s="897">
        <f t="shared" si="3"/>
        <v>512000</v>
      </c>
      <c r="O48" s="897">
        <f t="shared" si="3"/>
        <v>533000</v>
      </c>
    </row>
    <row r="49" spans="1:18" ht="13.8" thickTop="1" x14ac:dyDescent="0.25">
      <c r="D49" s="893"/>
      <c r="E49" s="893"/>
      <c r="F49" s="893"/>
      <c r="G49" s="895"/>
      <c r="I49" s="880"/>
      <c r="J49" s="875"/>
      <c r="K49" s="875"/>
      <c r="L49" s="875"/>
      <c r="M49" s="875"/>
      <c r="N49" s="875"/>
      <c r="O49" s="875"/>
    </row>
    <row r="50" spans="1:18" x14ac:dyDescent="0.25">
      <c r="D50" s="898"/>
      <c r="E50" s="898"/>
      <c r="F50" s="898"/>
      <c r="G50" s="899"/>
      <c r="H50" s="884"/>
      <c r="I50" s="900"/>
      <c r="J50" s="901"/>
      <c r="K50" s="901"/>
      <c r="L50" s="901"/>
      <c r="M50" s="901"/>
      <c r="N50" s="901"/>
      <c r="O50" s="901"/>
    </row>
    <row r="51" spans="1:18" x14ac:dyDescent="0.25">
      <c r="D51" s="865"/>
      <c r="I51" s="885"/>
      <c r="J51" s="885"/>
      <c r="K51" s="885"/>
      <c r="L51" s="885"/>
      <c r="M51" s="885"/>
      <c r="N51" s="885"/>
      <c r="O51" s="885"/>
    </row>
    <row r="52" spans="1:18" x14ac:dyDescent="0.25">
      <c r="D52" s="865"/>
      <c r="I52" s="885"/>
      <c r="J52" s="885"/>
      <c r="K52" s="885"/>
      <c r="L52" s="885"/>
      <c r="M52" s="885"/>
    </row>
    <row r="53" spans="1:18" x14ac:dyDescent="0.25">
      <c r="D53" s="865"/>
      <c r="I53" s="885"/>
      <c r="J53" s="885"/>
      <c r="K53" s="885"/>
      <c r="L53" s="885"/>
      <c r="M53" s="885"/>
    </row>
    <row r="54" spans="1:18" x14ac:dyDescent="0.25">
      <c r="D54" s="902" t="s">
        <v>561</v>
      </c>
      <c r="E54" s="903"/>
      <c r="F54" s="903"/>
      <c r="H54" s="885"/>
    </row>
    <row r="55" spans="1:18" x14ac:dyDescent="0.25">
      <c r="D55" s="903"/>
      <c r="E55" s="903"/>
      <c r="F55" s="903"/>
      <c r="G55" s="868"/>
      <c r="H55" s="885"/>
    </row>
    <row r="56" spans="1:18" x14ac:dyDescent="0.25">
      <c r="A56" s="904"/>
      <c r="D56" s="905">
        <v>683001</v>
      </c>
      <c r="E56" s="906" t="s">
        <v>4502</v>
      </c>
      <c r="F56" s="886"/>
      <c r="I56" s="907"/>
      <c r="J56" s="908">
        <v>2025</v>
      </c>
      <c r="K56" s="908">
        <v>2026</v>
      </c>
      <c r="L56" s="908">
        <v>2027</v>
      </c>
      <c r="M56" s="908">
        <v>2028</v>
      </c>
      <c r="N56" s="908">
        <v>2029</v>
      </c>
      <c r="O56" s="908">
        <v>2030</v>
      </c>
    </row>
    <row r="57" spans="1:18" x14ac:dyDescent="0.25">
      <c r="A57" s="904"/>
      <c r="D57" s="905"/>
      <c r="E57" s="909" t="s">
        <v>533</v>
      </c>
      <c r="F57" s="886"/>
      <c r="I57" s="907"/>
      <c r="J57" s="873"/>
      <c r="K57" s="873"/>
      <c r="L57" s="873"/>
      <c r="M57" s="873"/>
      <c r="N57" s="873"/>
      <c r="O57" s="873"/>
    </row>
    <row r="58" spans="1:18" x14ac:dyDescent="0.25">
      <c r="A58" s="904"/>
      <c r="D58" s="910">
        <v>43410</v>
      </c>
      <c r="E58" s="863" t="s">
        <v>4503</v>
      </c>
      <c r="F58" s="910"/>
      <c r="I58" s="907"/>
      <c r="J58" s="885">
        <v>0</v>
      </c>
      <c r="K58" s="885">
        <f>ROUND(365000*R$5,-3)</f>
        <v>382000</v>
      </c>
      <c r="L58" s="885">
        <f>ROUND(K58*S$5,-3)</f>
        <v>398000</v>
      </c>
      <c r="M58" s="885">
        <f>ROUND(L58*T$5,-3)</f>
        <v>415000</v>
      </c>
      <c r="N58" s="885">
        <f>ROUND(M58*U$5,-3)</f>
        <v>432000</v>
      </c>
      <c r="O58" s="885">
        <f>ROUND(N58*V$5,-3)</f>
        <v>450000</v>
      </c>
    </row>
    <row r="59" spans="1:18" x14ac:dyDescent="0.25">
      <c r="A59" s="904"/>
      <c r="D59" s="910"/>
      <c r="E59" s="863" t="s">
        <v>5417</v>
      </c>
      <c r="F59" s="910"/>
      <c r="I59" s="907"/>
      <c r="J59" s="885"/>
      <c r="K59" s="2409"/>
      <c r="L59" s="2343">
        <v>74000</v>
      </c>
      <c r="M59" s="2343">
        <f>ROUND(L59*T$5,-3)</f>
        <v>77000</v>
      </c>
      <c r="N59" s="2343">
        <f>ROUND(M59*U$5,-3)</f>
        <v>80000</v>
      </c>
      <c r="O59" s="2343">
        <f>ROUND(N59*V$5,-3)</f>
        <v>83000</v>
      </c>
    </row>
    <row r="60" spans="1:18" ht="13.8" thickBot="1" x14ac:dyDescent="0.3">
      <c r="A60" s="904"/>
      <c r="E60" s="869" t="str">
        <f>"Totaal "&amp;D58</f>
        <v>Totaal 43410</v>
      </c>
      <c r="I60" s="907"/>
      <c r="J60" s="2342">
        <v>0</v>
      </c>
      <c r="K60" s="2342">
        <f>SUM(K58:K59)</f>
        <v>382000</v>
      </c>
      <c r="L60" s="2342">
        <f t="shared" ref="L60:O60" si="4">SUM(L58:L59)</f>
        <v>472000</v>
      </c>
      <c r="M60" s="2342">
        <f t="shared" si="4"/>
        <v>492000</v>
      </c>
      <c r="N60" s="2342">
        <f t="shared" si="4"/>
        <v>512000</v>
      </c>
      <c r="O60" s="2342">
        <f t="shared" si="4"/>
        <v>533000</v>
      </c>
    </row>
    <row r="61" spans="1:18" ht="13.8" thickTop="1" x14ac:dyDescent="0.25">
      <c r="A61" s="904"/>
      <c r="I61" s="907"/>
      <c r="J61" s="907"/>
      <c r="K61" s="907"/>
      <c r="L61" s="907"/>
      <c r="M61" s="907"/>
      <c r="N61" s="907"/>
      <c r="O61" s="907"/>
    </row>
    <row r="62" spans="1:18" ht="12.75" customHeight="1" x14ac:dyDescent="0.25">
      <c r="A62" s="904"/>
      <c r="E62" s="2606" t="s">
        <v>4427</v>
      </c>
      <c r="F62" s="2606"/>
      <c r="G62" s="2606"/>
      <c r="H62" s="2606"/>
      <c r="I62" s="2606"/>
      <c r="J62" s="2606"/>
      <c r="K62" s="2606"/>
      <c r="L62" s="2606"/>
      <c r="M62" s="300"/>
      <c r="N62" s="300"/>
      <c r="O62" s="300"/>
      <c r="R62" s="885"/>
    </row>
    <row r="63" spans="1:18" x14ac:dyDescent="0.25">
      <c r="A63" s="904"/>
      <c r="E63" s="2606"/>
      <c r="F63" s="2606"/>
      <c r="G63" s="2606"/>
      <c r="H63" s="2606"/>
      <c r="I63" s="2606"/>
      <c r="J63" s="2606"/>
      <c r="K63" s="2606"/>
      <c r="L63" s="2606"/>
      <c r="M63" s="300"/>
      <c r="N63" s="300"/>
      <c r="O63" s="300"/>
    </row>
    <row r="64" spans="1:18" x14ac:dyDescent="0.25">
      <c r="A64" s="904"/>
      <c r="E64" s="2606"/>
      <c r="F64" s="2606"/>
      <c r="G64" s="2606"/>
      <c r="H64" s="2606"/>
      <c r="I64" s="2606"/>
      <c r="J64" s="2606"/>
      <c r="K64" s="2606"/>
      <c r="L64" s="2606"/>
      <c r="M64" s="300"/>
      <c r="N64" s="300"/>
      <c r="O64" s="300"/>
    </row>
    <row r="65" spans="1:15" x14ac:dyDescent="0.25">
      <c r="A65" s="904"/>
      <c r="E65" s="2606"/>
      <c r="F65" s="2606"/>
      <c r="G65" s="2606"/>
      <c r="H65" s="2606"/>
      <c r="I65" s="2606"/>
      <c r="J65" s="2606"/>
      <c r="K65" s="2606"/>
      <c r="L65" s="2606"/>
      <c r="M65" s="300"/>
      <c r="N65" s="300"/>
      <c r="O65" s="300"/>
    </row>
    <row r="66" spans="1:15" x14ac:dyDescent="0.25">
      <c r="A66" s="904"/>
      <c r="I66" s="885"/>
      <c r="J66" s="885"/>
      <c r="K66" s="885"/>
      <c r="L66" s="885"/>
      <c r="M66" s="885"/>
      <c r="N66" s="885"/>
      <c r="O66" s="885"/>
    </row>
  </sheetData>
  <mergeCells count="4">
    <mergeCell ref="D42:D43"/>
    <mergeCell ref="F42:F43"/>
    <mergeCell ref="G42:H43"/>
    <mergeCell ref="E62:L65"/>
  </mergeCell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CFB3-B8B3-4521-9C9E-817CD66D589C}">
  <dimension ref="A1:W62"/>
  <sheetViews>
    <sheetView showGridLines="0" view="pageBreakPreview" topLeftCell="A12" zoomScaleNormal="100" zoomScaleSheetLayoutView="100" workbookViewId="0">
      <selection activeCell="R31" sqref="R31"/>
    </sheetView>
  </sheetViews>
  <sheetFormatPr defaultColWidth="9.109375" defaultRowHeight="13.2"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4:23" x14ac:dyDescent="0.25">
      <c r="P1" s="866"/>
      <c r="Q1" s="794">
        <v>2024</v>
      </c>
      <c r="R1" s="794">
        <v>2025</v>
      </c>
      <c r="S1" s="794">
        <v>2026</v>
      </c>
      <c r="T1" s="794">
        <v>2027</v>
      </c>
      <c r="U1" s="794">
        <v>2028</v>
      </c>
      <c r="V1" s="794">
        <v>2029</v>
      </c>
      <c r="W1" s="794">
        <v>2030</v>
      </c>
    </row>
    <row r="2" spans="4:23" ht="14.4" x14ac:dyDescent="0.3">
      <c r="D2" s="864" t="s">
        <v>504</v>
      </c>
      <c r="H2" s="863" t="s">
        <v>4142</v>
      </c>
      <c r="P2" s="867"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4:23" ht="14.4" x14ac:dyDescent="0.3">
      <c r="P3" s="867"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4:23" ht="14.4" x14ac:dyDescent="0.3">
      <c r="P4" s="868"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4:23" x14ac:dyDescent="0.25">
      <c r="P5" s="868" t="s">
        <v>3334</v>
      </c>
      <c r="S5" s="495">
        <v>1.046</v>
      </c>
      <c r="T5" s="2345">
        <f>Indexering!J7</f>
        <v>1.042</v>
      </c>
      <c r="U5" s="2345">
        <f>Indexering!K7</f>
        <v>1.042</v>
      </c>
      <c r="V5" s="2345">
        <f>Indexering!L7</f>
        <v>1.042</v>
      </c>
      <c r="W5" s="2345">
        <f>Indexering!M7</f>
        <v>1.042</v>
      </c>
    </row>
    <row r="6" spans="4:23" x14ac:dyDescent="0.25">
      <c r="D6" s="864" t="s">
        <v>66</v>
      </c>
      <c r="H6" s="869" t="s">
        <v>48</v>
      </c>
    </row>
    <row r="9" spans="4:23" x14ac:dyDescent="0.25">
      <c r="E9" s="870" t="s">
        <v>4504</v>
      </c>
      <c r="F9" s="863"/>
    </row>
    <row r="17" spans="4:15" x14ac:dyDescent="0.25">
      <c r="D17" s="870" t="s">
        <v>507</v>
      </c>
      <c r="E17" s="864"/>
      <c r="F17" s="864"/>
    </row>
    <row r="18" spans="4:15" x14ac:dyDescent="0.25">
      <c r="E18" s="864"/>
      <c r="F18" s="864"/>
    </row>
    <row r="19" spans="4:15" x14ac:dyDescent="0.25">
      <c r="D19" s="2310" t="s">
        <v>508</v>
      </c>
      <c r="E19" s="2311"/>
      <c r="F19" s="2311"/>
      <c r="G19" s="2312"/>
      <c r="H19" s="2312"/>
      <c r="I19" s="2313"/>
      <c r="J19" s="2313">
        <v>2025</v>
      </c>
      <c r="K19" s="2313">
        <v>2026</v>
      </c>
      <c r="L19" s="2313">
        <v>2027</v>
      </c>
      <c r="M19" s="2313">
        <v>2028</v>
      </c>
      <c r="N19" s="2313">
        <v>2029</v>
      </c>
      <c r="O19" s="2313">
        <v>2030</v>
      </c>
    </row>
    <row r="20" spans="4:15" x14ac:dyDescent="0.25">
      <c r="D20" s="871" t="str">
        <f>G45</f>
        <v>PGB's op grond van de Jeugdwet</v>
      </c>
      <c r="E20" s="872"/>
      <c r="F20" s="872"/>
      <c r="G20" s="873"/>
      <c r="H20" s="873"/>
      <c r="I20" s="874"/>
      <c r="J20" s="875">
        <v>0</v>
      </c>
      <c r="K20" s="875">
        <f t="shared" ref="K20:O20" si="0">K48</f>
        <v>554000</v>
      </c>
      <c r="L20" s="875">
        <f t="shared" si="0"/>
        <v>521000</v>
      </c>
      <c r="M20" s="875">
        <f t="shared" si="0"/>
        <v>543000</v>
      </c>
      <c r="N20" s="875">
        <f t="shared" si="0"/>
        <v>566000</v>
      </c>
      <c r="O20" s="875">
        <f t="shared" si="0"/>
        <v>589000</v>
      </c>
    </row>
    <row r="21" spans="4:15" x14ac:dyDescent="0.25">
      <c r="D21" s="876"/>
      <c r="E21" s="877"/>
      <c r="F21" s="878"/>
      <c r="I21" s="879"/>
      <c r="J21" s="274"/>
      <c r="K21" s="274"/>
      <c r="L21" s="274"/>
      <c r="M21" s="274"/>
      <c r="N21" s="274"/>
      <c r="O21" s="274"/>
    </row>
    <row r="22" spans="4:15" x14ac:dyDescent="0.25">
      <c r="D22" s="876"/>
      <c r="E22" s="877"/>
      <c r="F22" s="878"/>
      <c r="I22" s="879"/>
      <c r="J22" s="274"/>
      <c r="K22" s="274"/>
      <c r="L22" s="274"/>
      <c r="M22" s="274"/>
      <c r="N22" s="274"/>
      <c r="O22" s="274"/>
    </row>
    <row r="23" spans="4:15" x14ac:dyDescent="0.25">
      <c r="D23" s="876"/>
      <c r="E23" s="877"/>
      <c r="F23" s="878"/>
      <c r="I23" s="879"/>
      <c r="J23" s="275"/>
      <c r="K23" s="275"/>
      <c r="L23" s="275"/>
      <c r="M23" s="275"/>
      <c r="N23" s="275"/>
      <c r="O23" s="275"/>
    </row>
    <row r="24" spans="4:15" x14ac:dyDescent="0.25">
      <c r="D24" s="2316" t="s">
        <v>525</v>
      </c>
      <c r="E24" s="2317"/>
      <c r="F24" s="2318"/>
      <c r="G24" s="2319"/>
      <c r="H24" s="2319"/>
      <c r="I24" s="2320"/>
      <c r="J24" s="2321">
        <v>0</v>
      </c>
      <c r="K24" s="2321">
        <f>SUM(K20:K23)</f>
        <v>554000</v>
      </c>
      <c r="L24" s="2321">
        <f>SUM(L20:L23)</f>
        <v>521000</v>
      </c>
      <c r="M24" s="2321">
        <f>SUM(M20:M23)</f>
        <v>543000</v>
      </c>
      <c r="N24" s="2321">
        <f>SUM(N20:N23)</f>
        <v>566000</v>
      </c>
      <c r="O24" s="2321">
        <f>SUM(O20:O23)</f>
        <v>589000</v>
      </c>
    </row>
    <row r="25" spans="4:15" x14ac:dyDescent="0.25">
      <c r="E25" s="877"/>
      <c r="F25" s="878"/>
    </row>
    <row r="26" spans="4:15" x14ac:dyDescent="0.25">
      <c r="D26" s="2310" t="s">
        <v>526</v>
      </c>
      <c r="E26" s="2311"/>
      <c r="F26" s="2311"/>
      <c r="G26" s="2312"/>
      <c r="H26" s="2312"/>
      <c r="I26" s="2313"/>
      <c r="J26" s="2313">
        <v>2025</v>
      </c>
      <c r="K26" s="2313">
        <v>2026</v>
      </c>
      <c r="L26" s="2313">
        <v>2027</v>
      </c>
      <c r="M26" s="2313">
        <v>2028</v>
      </c>
      <c r="N26" s="2313">
        <v>2029</v>
      </c>
      <c r="O26" s="2313">
        <v>2030</v>
      </c>
    </row>
    <row r="27" spans="4:15" x14ac:dyDescent="0.25">
      <c r="D27" s="876"/>
      <c r="E27" s="877"/>
      <c r="F27" s="878"/>
      <c r="I27" s="879"/>
      <c r="J27" s="875"/>
      <c r="K27" s="875"/>
      <c r="L27" s="875"/>
      <c r="M27" s="875"/>
      <c r="N27" s="875"/>
      <c r="O27" s="875"/>
    </row>
    <row r="28" spans="4:15" x14ac:dyDescent="0.25">
      <c r="D28" s="876"/>
      <c r="E28" s="877"/>
      <c r="F28" s="878"/>
      <c r="I28" s="879"/>
      <c r="J28" s="875"/>
      <c r="K28" s="875"/>
      <c r="L28" s="875"/>
      <c r="M28" s="875"/>
      <c r="N28" s="875"/>
      <c r="O28" s="875"/>
    </row>
    <row r="29" spans="4:15" x14ac:dyDescent="0.25">
      <c r="D29" s="876"/>
      <c r="E29" s="877"/>
      <c r="F29" s="878"/>
      <c r="I29" s="879"/>
      <c r="J29" s="880"/>
      <c r="K29" s="880"/>
      <c r="L29" s="880"/>
      <c r="M29" s="880"/>
      <c r="N29" s="880"/>
      <c r="O29" s="880"/>
    </row>
    <row r="30" spans="4:15" x14ac:dyDescent="0.25">
      <c r="D30" s="876"/>
      <c r="E30" s="877"/>
      <c r="F30" s="878"/>
      <c r="I30" s="879"/>
      <c r="J30" s="880"/>
      <c r="K30" s="880"/>
      <c r="L30" s="880"/>
      <c r="M30" s="880"/>
      <c r="N30" s="880"/>
      <c r="O30" s="880"/>
    </row>
    <row r="31" spans="4:15" x14ac:dyDescent="0.25">
      <c r="D31" s="876"/>
      <c r="E31" s="877"/>
      <c r="F31" s="878"/>
      <c r="I31" s="879"/>
      <c r="J31" s="880"/>
      <c r="K31" s="880"/>
      <c r="L31" s="880"/>
      <c r="M31" s="880"/>
      <c r="N31" s="880"/>
      <c r="O31" s="880"/>
    </row>
    <row r="32" spans="4:15" x14ac:dyDescent="0.25">
      <c r="D32" s="876"/>
      <c r="E32" s="877"/>
      <c r="F32" s="878"/>
      <c r="I32" s="879"/>
      <c r="J32" s="880"/>
      <c r="K32" s="880"/>
      <c r="L32" s="880"/>
      <c r="M32" s="880"/>
      <c r="N32" s="880"/>
      <c r="O32" s="880"/>
    </row>
    <row r="33" spans="1:15" x14ac:dyDescent="0.25">
      <c r="D33" s="876"/>
      <c r="E33" s="877"/>
      <c r="F33" s="878"/>
      <c r="I33" s="879"/>
      <c r="J33" s="880"/>
      <c r="K33" s="880"/>
      <c r="L33" s="880"/>
      <c r="M33" s="880"/>
      <c r="N33" s="880"/>
      <c r="O33" s="880"/>
    </row>
    <row r="34" spans="1:15" x14ac:dyDescent="0.25">
      <c r="D34" s="881"/>
      <c r="E34" s="882"/>
      <c r="F34" s="883"/>
      <c r="G34" s="884"/>
      <c r="H34" s="884"/>
      <c r="I34" s="879"/>
      <c r="J34" s="880"/>
      <c r="K34" s="880"/>
      <c r="L34" s="880"/>
      <c r="M34" s="880"/>
      <c r="N34" s="880"/>
      <c r="O34" s="880"/>
    </row>
    <row r="35" spans="1:15" x14ac:dyDescent="0.25">
      <c r="D35" s="2316" t="s">
        <v>328</v>
      </c>
      <c r="E35" s="2317"/>
      <c r="F35" s="2318"/>
      <c r="G35" s="2319"/>
      <c r="H35" s="2319"/>
      <c r="I35" s="2320"/>
      <c r="J35" s="2321">
        <v>0</v>
      </c>
      <c r="K35" s="2321">
        <f t="shared" ref="K35:O35" si="1">SUM(K27:K34)</f>
        <v>0</v>
      </c>
      <c r="L35" s="2321">
        <f t="shared" si="1"/>
        <v>0</v>
      </c>
      <c r="M35" s="2321">
        <f t="shared" si="1"/>
        <v>0</v>
      </c>
      <c r="N35" s="2321">
        <f t="shared" si="1"/>
        <v>0</v>
      </c>
      <c r="O35" s="2321">
        <f t="shared" si="1"/>
        <v>0</v>
      </c>
    </row>
    <row r="36" spans="1:15" x14ac:dyDescent="0.25">
      <c r="E36" s="877"/>
      <c r="F36" s="878"/>
      <c r="J36" s="885"/>
      <c r="K36" s="885"/>
      <c r="L36" s="885"/>
      <c r="M36" s="885"/>
      <c r="N36" s="885"/>
      <c r="O36" s="885"/>
    </row>
    <row r="37" spans="1:15" ht="14.4" x14ac:dyDescent="0.3">
      <c r="D37" s="2322" t="s">
        <v>976</v>
      </c>
      <c r="E37" s="2323"/>
      <c r="F37" s="2323"/>
      <c r="G37" s="2319"/>
      <c r="H37" s="2319"/>
      <c r="I37" s="2319"/>
      <c r="J37" s="2482">
        <v>0</v>
      </c>
      <c r="K37" s="2324">
        <f>K24+K35</f>
        <v>554000</v>
      </c>
      <c r="L37" s="2324">
        <f>L24+L35</f>
        <v>521000</v>
      </c>
      <c r="M37" s="2324">
        <f>M24+M35</f>
        <v>543000</v>
      </c>
      <c r="N37" s="2324">
        <f>N24+N35</f>
        <v>566000</v>
      </c>
      <c r="O37" s="2324">
        <f>O24+O35</f>
        <v>589000</v>
      </c>
    </row>
    <row r="38" spans="1:15" x14ac:dyDescent="0.25">
      <c r="E38" s="877"/>
      <c r="F38" s="878"/>
      <c r="J38" s="885"/>
      <c r="K38" s="885"/>
      <c r="L38" s="885"/>
      <c r="M38" s="885"/>
      <c r="N38" s="885"/>
      <c r="O38" s="885"/>
    </row>
    <row r="39" spans="1:15" x14ac:dyDescent="0.25">
      <c r="E39" s="864"/>
      <c r="F39" s="864"/>
      <c r="J39" s="885"/>
      <c r="K39" s="885"/>
      <c r="L39" s="885"/>
      <c r="M39" s="885"/>
      <c r="N39" s="885"/>
      <c r="O39" s="885"/>
    </row>
    <row r="40" spans="1:15" x14ac:dyDescent="0.25">
      <c r="D40" s="870" t="s">
        <v>528</v>
      </c>
      <c r="E40" s="886"/>
      <c r="F40" s="886"/>
      <c r="I40" s="885"/>
      <c r="J40" s="885"/>
      <c r="K40" s="885"/>
      <c r="L40" s="885"/>
      <c r="M40" s="885"/>
      <c r="N40" s="885"/>
      <c r="O40" s="885"/>
    </row>
    <row r="42" spans="1:15" ht="12.75" customHeight="1" x14ac:dyDescent="0.25">
      <c r="D42" s="2585" t="s">
        <v>531</v>
      </c>
      <c r="E42" s="2325" t="s">
        <v>530</v>
      </c>
      <c r="F42" s="2585" t="s">
        <v>531</v>
      </c>
      <c r="G42" s="2587" t="s">
        <v>206</v>
      </c>
      <c r="H42" s="2588"/>
      <c r="I42" s="2326"/>
      <c r="J42" s="2320"/>
      <c r="K42" s="2320"/>
      <c r="L42" s="2320"/>
      <c r="M42" s="2320"/>
      <c r="N42" s="2320"/>
      <c r="O42" s="2320"/>
    </row>
    <row r="43" spans="1:15" x14ac:dyDescent="0.25">
      <c r="D43" s="2586"/>
      <c r="E43" s="887" t="s">
        <v>532</v>
      </c>
      <c r="F43" s="2586"/>
      <c r="G43" s="2589"/>
      <c r="H43" s="2590"/>
      <c r="I43" s="276"/>
      <c r="J43" s="2327">
        <v>2025</v>
      </c>
      <c r="K43" s="2327">
        <v>2026</v>
      </c>
      <c r="L43" s="2327">
        <v>2027</v>
      </c>
      <c r="M43" s="2327">
        <v>2028</v>
      </c>
      <c r="N43" s="2327">
        <v>2029</v>
      </c>
      <c r="O43" s="2327">
        <v>2030</v>
      </c>
    </row>
    <row r="44" spans="1:15" x14ac:dyDescent="0.25">
      <c r="D44" s="2328"/>
      <c r="E44" s="888"/>
      <c r="F44" s="888"/>
      <c r="G44" s="2329"/>
      <c r="H44" s="889"/>
      <c r="I44" s="2326"/>
      <c r="J44" s="2328"/>
      <c r="K44" s="2328"/>
      <c r="L44" s="2328"/>
      <c r="M44" s="2328"/>
      <c r="N44" s="2328"/>
      <c r="O44" s="2328"/>
    </row>
    <row r="45" spans="1:15" x14ac:dyDescent="0.25">
      <c r="D45" s="890">
        <f>D57</f>
        <v>693001</v>
      </c>
      <c r="E45" s="891"/>
      <c r="F45" s="891"/>
      <c r="G45" s="892" t="str">
        <f>E57</f>
        <v>PGB's op grond van de Jeugdwet</v>
      </c>
      <c r="I45" s="880"/>
      <c r="J45" s="875"/>
      <c r="K45" s="875"/>
      <c r="L45" s="875"/>
      <c r="M45" s="875"/>
      <c r="N45" s="875"/>
      <c r="O45" s="875"/>
    </row>
    <row r="46" spans="1:15" x14ac:dyDescent="0.25">
      <c r="D46" s="893"/>
      <c r="E46" s="893"/>
      <c r="F46" s="893"/>
      <c r="G46" s="894" t="s">
        <v>533</v>
      </c>
      <c r="I46" s="880"/>
      <c r="J46" s="875"/>
      <c r="K46" s="875"/>
      <c r="L46" s="875"/>
      <c r="M46" s="875"/>
      <c r="N46" s="875"/>
      <c r="O46" s="875"/>
    </row>
    <row r="47" spans="1:15" x14ac:dyDescent="0.25">
      <c r="A47" s="862">
        <f>D45</f>
        <v>693001</v>
      </c>
      <c r="B47" s="863" t="str">
        <f>G45</f>
        <v>PGB's op grond van de Jeugdwet</v>
      </c>
      <c r="D47" s="893">
        <f>D59</f>
        <v>43410</v>
      </c>
      <c r="E47" s="893"/>
      <c r="F47" s="893"/>
      <c r="G47" s="895" t="s">
        <v>3341</v>
      </c>
      <c r="I47" s="880"/>
      <c r="J47" s="875">
        <v>0</v>
      </c>
      <c r="K47" s="875">
        <f t="shared" ref="K47:O47" si="2">K61</f>
        <v>554000</v>
      </c>
      <c r="L47" s="875">
        <f t="shared" si="2"/>
        <v>521000</v>
      </c>
      <c r="M47" s="875">
        <f t="shared" si="2"/>
        <v>543000</v>
      </c>
      <c r="N47" s="875">
        <f t="shared" si="2"/>
        <v>566000</v>
      </c>
      <c r="O47" s="875">
        <f t="shared" si="2"/>
        <v>589000</v>
      </c>
    </row>
    <row r="48" spans="1:15" ht="13.8" thickBot="1" x14ac:dyDescent="0.3">
      <c r="A48" s="896"/>
      <c r="D48" s="893"/>
      <c r="E48" s="893"/>
      <c r="F48" s="893"/>
      <c r="G48" s="895" t="s">
        <v>536</v>
      </c>
      <c r="I48" s="880"/>
      <c r="J48" s="897">
        <v>0</v>
      </c>
      <c r="K48" s="897">
        <f t="shared" ref="K48:O48" si="3">SUM(K47:K47)</f>
        <v>554000</v>
      </c>
      <c r="L48" s="897">
        <f t="shared" si="3"/>
        <v>521000</v>
      </c>
      <c r="M48" s="897">
        <f t="shared" si="3"/>
        <v>543000</v>
      </c>
      <c r="N48" s="897">
        <f t="shared" si="3"/>
        <v>566000</v>
      </c>
      <c r="O48" s="897">
        <f t="shared" si="3"/>
        <v>589000</v>
      </c>
    </row>
    <row r="49" spans="1:16" ht="13.8" thickTop="1" x14ac:dyDescent="0.25">
      <c r="D49" s="898"/>
      <c r="E49" s="898"/>
      <c r="F49" s="898"/>
      <c r="G49" s="899"/>
      <c r="H49" s="884"/>
      <c r="I49" s="900"/>
      <c r="J49" s="901"/>
      <c r="K49" s="901"/>
      <c r="L49" s="901"/>
      <c r="M49" s="901"/>
      <c r="N49" s="901"/>
      <c r="O49" s="901"/>
    </row>
    <row r="50" spans="1:16" x14ac:dyDescent="0.25">
      <c r="D50" s="865"/>
      <c r="I50" s="885"/>
      <c r="J50" s="885"/>
      <c r="K50" s="885"/>
      <c r="L50" s="885"/>
      <c r="M50" s="885"/>
      <c r="N50" s="885"/>
      <c r="O50" s="885"/>
    </row>
    <row r="51" spans="1:16" x14ac:dyDescent="0.25">
      <c r="D51" s="865"/>
      <c r="I51" s="885"/>
      <c r="J51" s="885"/>
      <c r="K51" s="885"/>
      <c r="L51" s="885"/>
      <c r="M51" s="885"/>
      <c r="N51" s="885"/>
      <c r="O51" s="885"/>
    </row>
    <row r="52" spans="1:16" x14ac:dyDescent="0.25">
      <c r="D52" s="865"/>
      <c r="I52" s="885"/>
      <c r="J52" s="885"/>
      <c r="K52" s="885"/>
      <c r="L52" s="885"/>
      <c r="M52" s="885"/>
      <c r="N52" s="885"/>
      <c r="O52" s="885"/>
    </row>
    <row r="53" spans="1:16" x14ac:dyDescent="0.25">
      <c r="D53" s="865"/>
      <c r="I53" s="885"/>
      <c r="J53" s="885"/>
      <c r="K53" s="885"/>
      <c r="L53" s="885"/>
      <c r="M53" s="885"/>
      <c r="N53" s="885"/>
      <c r="O53" s="885"/>
    </row>
    <row r="54" spans="1:16" x14ac:dyDescent="0.25">
      <c r="D54" s="865"/>
      <c r="I54" s="885"/>
      <c r="J54" s="885"/>
      <c r="K54" s="885"/>
      <c r="L54" s="885"/>
      <c r="M54" s="885"/>
      <c r="N54" s="885"/>
      <c r="O54" s="885"/>
    </row>
    <row r="55" spans="1:16" x14ac:dyDescent="0.25">
      <c r="D55" s="902" t="s">
        <v>561</v>
      </c>
      <c r="E55" s="903"/>
      <c r="F55" s="903"/>
      <c r="H55" s="885"/>
    </row>
    <row r="56" spans="1:16" x14ac:dyDescent="0.25">
      <c r="D56" s="903"/>
      <c r="E56" s="903"/>
      <c r="F56" s="903"/>
      <c r="G56" s="868"/>
      <c r="H56" s="885"/>
    </row>
    <row r="57" spans="1:16" x14ac:dyDescent="0.25">
      <c r="A57" s="904"/>
      <c r="D57" s="905">
        <v>693001</v>
      </c>
      <c r="E57" s="906" t="s">
        <v>4505</v>
      </c>
      <c r="F57" s="886"/>
      <c r="I57" s="907"/>
      <c r="J57" s="908">
        <v>2025</v>
      </c>
      <c r="K57" s="908">
        <v>2026</v>
      </c>
      <c r="L57" s="908">
        <v>2027</v>
      </c>
      <c r="M57" s="908">
        <v>2028</v>
      </c>
      <c r="N57" s="908">
        <v>2029</v>
      </c>
      <c r="O57" s="908">
        <v>2030</v>
      </c>
    </row>
    <row r="58" spans="1:16" x14ac:dyDescent="0.25">
      <c r="A58" s="904"/>
      <c r="D58" s="905"/>
      <c r="E58" s="909" t="s">
        <v>533</v>
      </c>
      <c r="F58" s="886"/>
      <c r="I58" s="907"/>
      <c r="J58" s="873"/>
      <c r="K58" s="873"/>
      <c r="L58" s="873"/>
      <c r="M58" s="873"/>
      <c r="N58" s="873"/>
      <c r="O58" s="873"/>
    </row>
    <row r="59" spans="1:16" x14ac:dyDescent="0.25">
      <c r="A59" s="904"/>
      <c r="D59" s="910">
        <v>43410</v>
      </c>
      <c r="E59" s="863" t="s">
        <v>4506</v>
      </c>
      <c r="F59" s="910"/>
      <c r="I59" s="907"/>
      <c r="J59" s="885">
        <v>0</v>
      </c>
      <c r="K59" s="885">
        <f>ROUND(530000*S$5,-3)</f>
        <v>554000</v>
      </c>
      <c r="L59" s="885">
        <f>ROUND(554000*T$5,-3)</f>
        <v>577000</v>
      </c>
      <c r="M59" s="885">
        <f>ROUND(L59*U$5,-3)</f>
        <v>601000</v>
      </c>
      <c r="N59" s="885">
        <f t="shared" ref="N59:O60" si="4">ROUND(M59*V$5,-3)</f>
        <v>626000</v>
      </c>
      <c r="O59" s="885">
        <f t="shared" si="4"/>
        <v>652000</v>
      </c>
    </row>
    <row r="60" spans="1:16" x14ac:dyDescent="0.25">
      <c r="A60" s="904"/>
      <c r="D60" s="910"/>
      <c r="E60" s="863" t="s">
        <v>5417</v>
      </c>
      <c r="F60" s="910"/>
      <c r="I60" s="907"/>
      <c r="J60" s="885"/>
      <c r="K60" s="885"/>
      <c r="L60" s="2343">
        <v>-56000</v>
      </c>
      <c r="M60" s="2343">
        <f>ROUND(L60*U$5,-3)</f>
        <v>-58000</v>
      </c>
      <c r="N60" s="2343">
        <f t="shared" si="4"/>
        <v>-60000</v>
      </c>
      <c r="O60" s="2343">
        <f t="shared" si="4"/>
        <v>-63000</v>
      </c>
    </row>
    <row r="61" spans="1:16" ht="13.8" thickBot="1" x14ac:dyDescent="0.3">
      <c r="A61" s="904"/>
      <c r="E61" s="869" t="str">
        <f>"Totaal "&amp;D59</f>
        <v>Totaal 43410</v>
      </c>
      <c r="I61" s="907"/>
      <c r="J61" s="2342">
        <v>0</v>
      </c>
      <c r="K61" s="2342">
        <f>SUM(K59:K60)</f>
        <v>554000</v>
      </c>
      <c r="L61" s="2342">
        <f t="shared" ref="L61:O61" si="5">SUM(L59:L60)</f>
        <v>521000</v>
      </c>
      <c r="M61" s="2342">
        <f t="shared" si="5"/>
        <v>543000</v>
      </c>
      <c r="N61" s="2342">
        <f t="shared" si="5"/>
        <v>566000</v>
      </c>
      <c r="O61" s="2342">
        <f t="shared" si="5"/>
        <v>589000</v>
      </c>
    </row>
    <row r="62" spans="1:16" ht="13.8" thickTop="1" x14ac:dyDescent="0.25">
      <c r="A62" s="904"/>
      <c r="I62" s="885"/>
      <c r="J62" s="885"/>
      <c r="K62" s="885"/>
      <c r="L62" s="885"/>
      <c r="M62" s="885"/>
      <c r="N62" s="885"/>
      <c r="O62" s="885"/>
      <c r="P62" s="885"/>
    </row>
  </sheetData>
  <mergeCells count="3">
    <mergeCell ref="D42:D43"/>
    <mergeCell ref="F42:F43"/>
    <mergeCell ref="G42:H43"/>
  </mergeCell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8F3E-F6D3-4129-A586-5203F55AB17B}">
  <dimension ref="A1:W72"/>
  <sheetViews>
    <sheetView showGridLines="0" topLeftCell="A31" workbookViewId="0">
      <selection activeCell="U8" sqref="U8"/>
    </sheetView>
  </sheetViews>
  <sheetFormatPr defaultRowHeight="14.4" x14ac:dyDescent="0.3"/>
  <sheetData>
    <row r="1" spans="1:23" x14ac:dyDescent="0.3">
      <c r="A1" s="1594"/>
      <c r="B1" s="993"/>
      <c r="C1" s="993"/>
      <c r="D1" s="993"/>
      <c r="E1" s="2412"/>
      <c r="F1" s="2412"/>
      <c r="G1" s="993"/>
      <c r="H1" s="993"/>
      <c r="I1" s="993"/>
      <c r="J1" s="993"/>
      <c r="K1" s="993"/>
      <c r="L1" s="993"/>
      <c r="M1" s="993"/>
      <c r="N1" s="993"/>
      <c r="O1" s="993"/>
      <c r="P1" s="993"/>
      <c r="Q1" s="794">
        <v>2024</v>
      </c>
      <c r="R1" s="794">
        <v>2025</v>
      </c>
      <c r="S1" s="794">
        <v>2026</v>
      </c>
      <c r="T1" s="794">
        <v>2027</v>
      </c>
      <c r="U1" s="794">
        <v>2028</v>
      </c>
      <c r="V1" s="794">
        <v>2029</v>
      </c>
      <c r="W1" s="794">
        <v>2030</v>
      </c>
    </row>
    <row r="2" spans="1:23" x14ac:dyDescent="0.3">
      <c r="A2" s="1594"/>
      <c r="B2" s="993"/>
      <c r="C2" s="993"/>
      <c r="D2" s="993" t="s">
        <v>504</v>
      </c>
      <c r="E2" s="2412"/>
      <c r="F2" s="2412"/>
      <c r="G2" s="993"/>
      <c r="H2" s="993" t="s">
        <v>4142</v>
      </c>
      <c r="I2" s="993"/>
      <c r="J2" s="993"/>
      <c r="K2" s="993"/>
      <c r="L2" s="993"/>
      <c r="M2" s="993"/>
      <c r="N2" s="993"/>
      <c r="O2" s="993"/>
      <c r="P2" s="549" t="s">
        <v>969</v>
      </c>
      <c r="Q2" s="2413">
        <v>1.0369999999999999</v>
      </c>
      <c r="R2" s="2413">
        <v>1.028</v>
      </c>
      <c r="S2" s="2413">
        <v>1.026</v>
      </c>
      <c r="T2" s="2413">
        <v>1.0209999999999999</v>
      </c>
      <c r="U2" s="2413">
        <v>1.0229999999999999</v>
      </c>
      <c r="V2" s="2413">
        <v>1.0229999999999999</v>
      </c>
      <c r="W2" s="2413">
        <v>1.0229999999999999</v>
      </c>
    </row>
    <row r="3" spans="1:23" x14ac:dyDescent="0.3">
      <c r="A3" s="1594"/>
      <c r="B3" s="993"/>
      <c r="C3" s="993"/>
      <c r="D3" s="993"/>
      <c r="E3" s="2412"/>
      <c r="F3" s="2412"/>
      <c r="G3" s="993"/>
      <c r="H3" s="993"/>
      <c r="I3" s="993"/>
      <c r="J3" s="993"/>
      <c r="K3" s="993"/>
      <c r="L3" s="993"/>
      <c r="M3" s="993"/>
      <c r="N3" s="993"/>
      <c r="O3" s="993"/>
      <c r="P3" s="549" t="s">
        <v>970</v>
      </c>
      <c r="Q3" s="2413">
        <v>1.052</v>
      </c>
      <c r="R3" s="2413">
        <v>1.0489999999999999</v>
      </c>
      <c r="S3" s="2413">
        <v>1.02</v>
      </c>
      <c r="T3" s="2413">
        <v>1.042</v>
      </c>
      <c r="U3" s="2413">
        <v>1.0369999999999999</v>
      </c>
      <c r="V3" s="2413">
        <v>1.0369999999999999</v>
      </c>
      <c r="W3" s="2413">
        <v>1.0369999999999999</v>
      </c>
    </row>
    <row r="4" spans="1:23" x14ac:dyDescent="0.3">
      <c r="A4" s="1594"/>
      <c r="B4" s="993"/>
      <c r="C4" s="993"/>
      <c r="D4" s="993"/>
      <c r="E4" s="2412"/>
      <c r="F4" s="2412"/>
      <c r="G4" s="993"/>
      <c r="H4" s="993"/>
      <c r="I4" s="993"/>
      <c r="J4" s="993"/>
      <c r="K4" s="993"/>
      <c r="L4" s="993"/>
      <c r="M4" s="993"/>
      <c r="N4" s="993"/>
      <c r="O4" s="993"/>
      <c r="P4" s="549" t="s">
        <v>3194</v>
      </c>
      <c r="Q4" s="2413">
        <v>1.0445</v>
      </c>
      <c r="R4" s="2413">
        <v>1.036</v>
      </c>
      <c r="S4" s="2413">
        <v>1.0227999999999999</v>
      </c>
      <c r="T4" s="2413">
        <v>1.0321</v>
      </c>
      <c r="U4" s="2413">
        <v>1.0304</v>
      </c>
      <c r="V4" s="2413">
        <v>1.0304</v>
      </c>
      <c r="W4" s="2413">
        <v>1.0304</v>
      </c>
    </row>
    <row r="5" spans="1:23" x14ac:dyDescent="0.3">
      <c r="A5" s="1594"/>
      <c r="B5" s="993"/>
      <c r="C5" s="993"/>
      <c r="D5" s="993"/>
      <c r="E5" s="2412"/>
      <c r="F5" s="2412"/>
      <c r="G5" s="993"/>
      <c r="H5" s="993"/>
      <c r="I5" s="993"/>
      <c r="J5" s="993"/>
      <c r="K5" s="993"/>
      <c r="L5" s="993"/>
      <c r="M5" s="993"/>
      <c r="N5" s="993"/>
      <c r="O5" s="993"/>
      <c r="P5" s="549" t="s">
        <v>3334</v>
      </c>
      <c r="Q5" s="993"/>
      <c r="R5" s="993"/>
      <c r="S5" s="2414">
        <v>1.046</v>
      </c>
      <c r="T5" s="2414">
        <f>Indexering!J7</f>
        <v>1.042</v>
      </c>
      <c r="U5" s="2414">
        <f>Indexering!K7</f>
        <v>1.042</v>
      </c>
      <c r="V5" s="2414">
        <f>Indexering!L7</f>
        <v>1.042</v>
      </c>
      <c r="W5" s="2414">
        <f>Indexering!M7</f>
        <v>1.042</v>
      </c>
    </row>
    <row r="6" spans="1:23" x14ac:dyDescent="0.3">
      <c r="A6" s="1594"/>
      <c r="B6" s="993"/>
      <c r="C6" s="993"/>
      <c r="D6" s="993" t="s">
        <v>66</v>
      </c>
      <c r="E6" s="2412"/>
      <c r="F6" s="2412"/>
      <c r="G6" s="993"/>
      <c r="H6" s="993" t="s">
        <v>48</v>
      </c>
      <c r="I6" s="993"/>
      <c r="J6" s="993"/>
      <c r="K6" s="993"/>
      <c r="L6" s="993"/>
      <c r="M6" s="993"/>
      <c r="N6" s="993"/>
      <c r="O6" s="993"/>
      <c r="P6" s="993"/>
      <c r="Q6" s="993"/>
      <c r="R6" s="993"/>
      <c r="S6" s="993"/>
      <c r="T6" s="993"/>
      <c r="U6" s="993"/>
      <c r="V6" s="993"/>
      <c r="W6" s="993"/>
    </row>
    <row r="7" spans="1:23" x14ac:dyDescent="0.3">
      <c r="A7" s="1594"/>
      <c r="B7" s="993"/>
      <c r="C7" s="993"/>
      <c r="D7" s="993"/>
      <c r="E7" s="2412"/>
      <c r="F7" s="2412"/>
      <c r="G7" s="993"/>
      <c r="H7" s="993"/>
      <c r="I7" s="993"/>
      <c r="J7" s="993"/>
      <c r="K7" s="993"/>
      <c r="L7" s="993"/>
      <c r="M7" s="993"/>
      <c r="N7" s="993"/>
      <c r="O7" s="993"/>
      <c r="P7" s="993"/>
      <c r="Q7" s="993"/>
      <c r="R7" s="993"/>
      <c r="S7" s="993"/>
      <c r="T7" s="993"/>
      <c r="U7" s="993"/>
      <c r="V7" s="993"/>
      <c r="W7" s="993"/>
    </row>
    <row r="8" spans="1:23" x14ac:dyDescent="0.3">
      <c r="A8" s="1594"/>
      <c r="B8" s="993"/>
      <c r="C8" s="993"/>
      <c r="D8" s="993"/>
      <c r="E8" s="2412"/>
      <c r="F8" s="2412"/>
      <c r="G8" s="993"/>
      <c r="H8" s="993"/>
      <c r="I8" s="993"/>
      <c r="J8" s="993"/>
      <c r="K8" s="993"/>
      <c r="L8" s="993"/>
      <c r="M8" s="993"/>
      <c r="N8" s="993"/>
      <c r="O8" s="993"/>
      <c r="P8" s="993"/>
      <c r="Q8" s="993"/>
      <c r="R8" s="993"/>
      <c r="S8" s="993"/>
      <c r="T8" s="993"/>
      <c r="U8" s="993"/>
      <c r="V8" s="993"/>
      <c r="W8" s="993"/>
    </row>
    <row r="9" spans="1:23" x14ac:dyDescent="0.3">
      <c r="A9" s="1594"/>
      <c r="B9" s="993"/>
      <c r="C9" s="993"/>
      <c r="D9" s="993"/>
      <c r="E9" s="549" t="s">
        <v>5425</v>
      </c>
      <c r="F9" s="993"/>
      <c r="G9" s="993"/>
      <c r="H9" s="993"/>
      <c r="I9" s="993"/>
      <c r="J9" s="993"/>
      <c r="K9" s="993"/>
      <c r="L9" s="993"/>
      <c r="M9" s="993"/>
      <c r="N9" s="993"/>
      <c r="O9" s="993"/>
      <c r="P9" s="993"/>
      <c r="Q9" s="993"/>
      <c r="R9" s="993"/>
      <c r="S9" s="993"/>
      <c r="T9" s="993"/>
      <c r="U9" s="993"/>
      <c r="V9" s="993"/>
      <c r="W9" s="993"/>
    </row>
    <row r="10" spans="1:23" x14ac:dyDescent="0.3">
      <c r="A10" s="1594"/>
      <c r="B10" s="993"/>
      <c r="C10" s="993"/>
      <c r="D10" s="993"/>
      <c r="E10" s="2412"/>
      <c r="F10" s="2412"/>
      <c r="G10" s="993"/>
      <c r="H10" s="993"/>
      <c r="I10" s="993"/>
      <c r="J10" s="993"/>
      <c r="K10" s="993"/>
      <c r="L10" s="993"/>
      <c r="M10" s="993"/>
      <c r="N10" s="993"/>
      <c r="O10" s="993"/>
      <c r="P10" s="993"/>
      <c r="Q10" s="993"/>
      <c r="R10" s="993"/>
      <c r="S10" s="993"/>
      <c r="T10" s="993"/>
      <c r="U10" s="993"/>
      <c r="V10" s="993"/>
      <c r="W10" s="993"/>
    </row>
    <row r="11" spans="1:23" x14ac:dyDescent="0.3">
      <c r="A11" s="1594"/>
      <c r="B11" s="993"/>
      <c r="C11" s="993"/>
      <c r="D11" s="993"/>
      <c r="E11" s="2412"/>
      <c r="F11" s="2412"/>
      <c r="G11" s="993"/>
      <c r="H11" s="993"/>
      <c r="I11" s="993"/>
      <c r="J11" s="993"/>
      <c r="K11" s="993"/>
      <c r="L11" s="993"/>
      <c r="M11" s="993"/>
      <c r="N11" s="993"/>
      <c r="O11" s="993"/>
      <c r="P11" s="993"/>
      <c r="Q11" s="993"/>
      <c r="R11" s="993"/>
      <c r="S11" s="993"/>
      <c r="T11" s="993"/>
      <c r="U11" s="993"/>
      <c r="V11" s="993"/>
      <c r="W11" s="993"/>
    </row>
    <row r="12" spans="1:23" x14ac:dyDescent="0.3">
      <c r="A12" s="1594"/>
      <c r="B12" s="993"/>
      <c r="C12" s="993"/>
      <c r="D12" s="993"/>
      <c r="E12" s="2412"/>
      <c r="F12" s="2412"/>
      <c r="G12" s="993"/>
      <c r="H12" s="993"/>
      <c r="I12" s="993"/>
      <c r="J12" s="993"/>
      <c r="K12" s="993"/>
      <c r="L12" s="993"/>
      <c r="M12" s="993"/>
      <c r="N12" s="993"/>
      <c r="O12" s="993"/>
      <c r="P12" s="993"/>
      <c r="Q12" s="993"/>
      <c r="R12" s="993"/>
      <c r="S12" s="993"/>
      <c r="T12" s="993"/>
      <c r="U12" s="993"/>
      <c r="V12" s="993"/>
      <c r="W12" s="993"/>
    </row>
    <row r="13" spans="1:23" x14ac:dyDescent="0.3">
      <c r="A13" s="1594"/>
      <c r="B13" s="993"/>
      <c r="C13" s="993"/>
      <c r="D13" s="993"/>
      <c r="E13" s="2412"/>
      <c r="F13" s="2412"/>
      <c r="G13" s="993"/>
      <c r="H13" s="993"/>
      <c r="I13" s="993"/>
      <c r="J13" s="993"/>
      <c r="K13" s="993"/>
      <c r="L13" s="993"/>
      <c r="M13" s="993"/>
      <c r="N13" s="993"/>
      <c r="O13" s="993"/>
      <c r="P13" s="993"/>
      <c r="Q13" s="993"/>
      <c r="R13" s="993"/>
      <c r="S13" s="993"/>
      <c r="T13" s="993"/>
      <c r="U13" s="993"/>
      <c r="V13" s="993"/>
      <c r="W13" s="993"/>
    </row>
    <row r="14" spans="1:23" x14ac:dyDescent="0.3">
      <c r="A14" s="1594"/>
      <c r="B14" s="993"/>
      <c r="C14" s="993"/>
      <c r="D14" s="993"/>
      <c r="E14" s="2412"/>
      <c r="F14" s="2412"/>
      <c r="G14" s="993"/>
      <c r="H14" s="993"/>
      <c r="I14" s="993"/>
      <c r="J14" s="993"/>
      <c r="K14" s="993"/>
      <c r="L14" s="993"/>
      <c r="M14" s="993"/>
      <c r="N14" s="993"/>
      <c r="O14" s="993"/>
      <c r="P14" s="993"/>
      <c r="Q14" s="993"/>
      <c r="R14" s="993"/>
      <c r="S14" s="993"/>
      <c r="T14" s="993"/>
      <c r="U14" s="993"/>
      <c r="V14" s="993"/>
      <c r="W14" s="993"/>
    </row>
    <row r="15" spans="1:23" x14ac:dyDescent="0.3">
      <c r="A15" s="1594"/>
      <c r="B15" s="993"/>
      <c r="C15" s="993"/>
      <c r="D15" s="993"/>
      <c r="E15" s="2412"/>
      <c r="F15" s="2412"/>
      <c r="G15" s="993"/>
      <c r="H15" s="993"/>
      <c r="I15" s="993"/>
      <c r="J15" s="993"/>
      <c r="K15" s="993"/>
      <c r="L15" s="993"/>
      <c r="M15" s="993"/>
      <c r="N15" s="993"/>
      <c r="O15" s="993"/>
      <c r="P15" s="993"/>
      <c r="Q15" s="993"/>
      <c r="R15" s="993"/>
      <c r="S15" s="993"/>
      <c r="T15" s="993"/>
      <c r="U15" s="993"/>
      <c r="V15" s="993"/>
      <c r="W15" s="993"/>
    </row>
    <row r="16" spans="1:23" x14ac:dyDescent="0.3">
      <c r="A16" s="1594"/>
      <c r="B16" s="993"/>
      <c r="C16" s="993"/>
      <c r="D16" s="993"/>
      <c r="E16" s="2412"/>
      <c r="F16" s="2412"/>
      <c r="G16" s="993"/>
      <c r="H16" s="993"/>
      <c r="I16" s="993"/>
      <c r="J16" s="993"/>
      <c r="K16" s="993"/>
      <c r="L16" s="993"/>
      <c r="M16" s="993"/>
      <c r="N16" s="993"/>
      <c r="O16" s="993"/>
      <c r="P16" s="993"/>
      <c r="Q16" s="993"/>
      <c r="R16" s="993"/>
      <c r="S16" s="993"/>
      <c r="T16" s="993"/>
      <c r="U16" s="993"/>
      <c r="V16" s="993"/>
      <c r="W16" s="993"/>
    </row>
    <row r="17" spans="1:23" x14ac:dyDescent="0.3">
      <c r="A17" s="1594"/>
      <c r="B17" s="993"/>
      <c r="C17" s="993"/>
      <c r="D17" s="993"/>
      <c r="E17" s="2412"/>
      <c r="F17" s="2412"/>
      <c r="G17" s="993"/>
      <c r="H17" s="993"/>
      <c r="I17" s="993"/>
      <c r="J17" s="993"/>
      <c r="K17" s="993"/>
      <c r="L17" s="993"/>
      <c r="M17" s="993"/>
      <c r="N17" s="993"/>
      <c r="O17" s="993"/>
      <c r="P17" s="993"/>
      <c r="Q17" s="993"/>
      <c r="R17" s="993"/>
      <c r="S17" s="993"/>
      <c r="T17" s="993"/>
      <c r="U17" s="993"/>
      <c r="V17" s="993"/>
      <c r="W17" s="993"/>
    </row>
    <row r="18" spans="1:23" x14ac:dyDescent="0.3">
      <c r="A18" s="1594"/>
      <c r="B18" s="993"/>
      <c r="C18" s="993"/>
      <c r="D18" s="993"/>
      <c r="E18" s="2412"/>
      <c r="F18" s="2412"/>
      <c r="G18" s="993"/>
      <c r="H18" s="993"/>
      <c r="I18" s="993"/>
      <c r="J18" s="993"/>
      <c r="K18" s="993"/>
      <c r="L18" s="993"/>
      <c r="M18" s="993"/>
      <c r="N18" s="993"/>
      <c r="O18" s="993"/>
      <c r="P18" s="993"/>
      <c r="Q18" s="993"/>
      <c r="R18" s="993"/>
      <c r="S18" s="993"/>
      <c r="T18" s="993"/>
      <c r="U18" s="993"/>
      <c r="V18" s="993"/>
      <c r="W18" s="993"/>
    </row>
    <row r="19" spans="1:23" x14ac:dyDescent="0.3">
      <c r="A19" s="1594"/>
      <c r="B19" s="993"/>
      <c r="C19" s="993"/>
      <c r="D19" s="993"/>
      <c r="E19" s="2412"/>
      <c r="F19" s="2412"/>
      <c r="G19" s="993"/>
      <c r="H19" s="993"/>
      <c r="I19" s="993"/>
      <c r="J19" s="993"/>
      <c r="K19" s="993"/>
      <c r="L19" s="993"/>
      <c r="M19" s="993"/>
      <c r="N19" s="993"/>
      <c r="O19" s="993"/>
      <c r="P19" s="993"/>
      <c r="Q19" s="993"/>
      <c r="R19" s="993"/>
      <c r="S19" s="993"/>
      <c r="T19" s="993"/>
      <c r="U19" s="993"/>
      <c r="V19" s="993"/>
      <c r="W19" s="993"/>
    </row>
    <row r="20" spans="1:23" x14ac:dyDescent="0.3">
      <c r="A20" s="1594"/>
      <c r="B20" s="993"/>
      <c r="C20" s="993"/>
      <c r="D20" s="993"/>
      <c r="E20" s="2412"/>
      <c r="F20" s="2412"/>
      <c r="G20" s="993"/>
      <c r="H20" s="993"/>
      <c r="I20" s="993"/>
      <c r="J20" s="993"/>
      <c r="K20" s="993"/>
      <c r="L20" s="993"/>
      <c r="M20" s="993"/>
      <c r="N20" s="993"/>
      <c r="O20" s="993"/>
      <c r="P20" s="993"/>
      <c r="Q20" s="993"/>
      <c r="R20" s="993"/>
      <c r="S20" s="993"/>
      <c r="T20" s="993"/>
      <c r="U20" s="993"/>
      <c r="V20" s="993"/>
      <c r="W20" s="993"/>
    </row>
    <row r="21" spans="1:23" x14ac:dyDescent="0.3">
      <c r="A21" s="1594"/>
      <c r="B21" s="993"/>
      <c r="C21" s="993"/>
      <c r="D21" s="993"/>
      <c r="E21" s="2412"/>
      <c r="F21" s="2412"/>
      <c r="G21" s="993"/>
      <c r="H21" s="993"/>
      <c r="I21" s="993"/>
      <c r="J21" s="993"/>
      <c r="K21" s="993"/>
      <c r="L21" s="993"/>
      <c r="M21" s="993"/>
      <c r="N21" s="993"/>
      <c r="O21" s="993"/>
      <c r="P21" s="993"/>
      <c r="Q21" s="993"/>
      <c r="R21" s="993"/>
      <c r="S21" s="993"/>
      <c r="T21" s="993"/>
      <c r="U21" s="993"/>
      <c r="V21" s="993"/>
      <c r="W21" s="993"/>
    </row>
    <row r="22" spans="1:23" x14ac:dyDescent="0.3">
      <c r="A22" s="1594"/>
      <c r="B22" s="993"/>
      <c r="C22" s="993"/>
      <c r="D22" s="993"/>
      <c r="E22" s="2412"/>
      <c r="F22" s="2412"/>
      <c r="G22" s="993"/>
      <c r="H22" s="993"/>
      <c r="I22" s="993"/>
      <c r="J22" s="993"/>
      <c r="K22" s="993"/>
      <c r="L22" s="993"/>
      <c r="M22" s="993"/>
      <c r="N22" s="993"/>
      <c r="O22" s="993"/>
      <c r="P22" s="993"/>
      <c r="Q22" s="993"/>
      <c r="R22" s="993"/>
      <c r="S22" s="993"/>
      <c r="T22" s="993"/>
      <c r="U22" s="993"/>
      <c r="V22" s="993"/>
      <c r="W22" s="993"/>
    </row>
    <row r="23" spans="1:23" x14ac:dyDescent="0.3">
      <c r="A23" s="1594"/>
      <c r="B23" s="993"/>
      <c r="C23" s="993"/>
      <c r="D23" s="993"/>
      <c r="E23" s="2412"/>
      <c r="F23" s="2412"/>
      <c r="G23" s="993"/>
      <c r="H23" s="993"/>
      <c r="I23" s="993"/>
      <c r="J23" s="993"/>
      <c r="K23" s="993"/>
      <c r="L23" s="993"/>
      <c r="M23" s="993"/>
      <c r="N23" s="993"/>
      <c r="O23" s="993"/>
      <c r="P23" s="993"/>
      <c r="Q23" s="993"/>
      <c r="R23" s="993"/>
      <c r="S23" s="993"/>
      <c r="T23" s="993"/>
      <c r="U23" s="993"/>
      <c r="V23" s="993"/>
      <c r="W23" s="993"/>
    </row>
    <row r="24" spans="1:23" x14ac:dyDescent="0.3">
      <c r="A24" s="1594"/>
      <c r="B24" s="993"/>
      <c r="C24" s="993"/>
      <c r="D24" s="993"/>
      <c r="E24" s="2412"/>
      <c r="F24" s="2412"/>
      <c r="G24" s="993"/>
      <c r="H24" s="993"/>
      <c r="I24" s="993"/>
      <c r="J24" s="993"/>
      <c r="K24" s="993"/>
      <c r="L24" s="993"/>
      <c r="M24" s="993"/>
      <c r="N24" s="993"/>
      <c r="O24" s="993"/>
      <c r="P24" s="993"/>
      <c r="Q24" s="993"/>
      <c r="R24" s="993"/>
      <c r="S24" s="993"/>
      <c r="T24" s="993"/>
      <c r="U24" s="993"/>
      <c r="V24" s="993"/>
      <c r="W24" s="993"/>
    </row>
    <row r="25" spans="1:23" x14ac:dyDescent="0.3">
      <c r="A25" s="1594"/>
      <c r="B25" s="993"/>
      <c r="C25" s="993"/>
      <c r="D25" s="993"/>
      <c r="E25" s="2412"/>
      <c r="F25" s="2412"/>
      <c r="G25" s="993"/>
      <c r="H25" s="993"/>
      <c r="I25" s="993"/>
      <c r="J25" s="993"/>
      <c r="K25" s="993"/>
      <c r="L25" s="993"/>
      <c r="M25" s="993"/>
      <c r="N25" s="993"/>
      <c r="O25" s="993"/>
      <c r="P25" s="993"/>
      <c r="Q25" s="993"/>
      <c r="R25" s="993"/>
      <c r="S25" s="993"/>
      <c r="T25" s="993"/>
      <c r="U25" s="993"/>
      <c r="V25" s="993"/>
      <c r="W25" s="993"/>
    </row>
    <row r="26" spans="1:23" x14ac:dyDescent="0.3">
      <c r="A26" s="1594"/>
      <c r="B26" s="993"/>
      <c r="C26" s="993"/>
      <c r="D26" s="993"/>
      <c r="E26" s="2412"/>
      <c r="F26" s="2412"/>
      <c r="G26" s="993"/>
      <c r="H26" s="993"/>
      <c r="I26" s="993"/>
      <c r="J26" s="993"/>
      <c r="K26" s="993"/>
      <c r="L26" s="993"/>
      <c r="M26" s="993"/>
      <c r="N26" s="993"/>
      <c r="O26" s="993"/>
      <c r="P26" s="993"/>
      <c r="Q26" s="993"/>
      <c r="R26" s="993"/>
      <c r="S26" s="993"/>
      <c r="T26" s="993"/>
      <c r="U26" s="993"/>
      <c r="V26" s="993"/>
      <c r="W26" s="993"/>
    </row>
    <row r="27" spans="1:23" x14ac:dyDescent="0.3">
      <c r="A27" s="1594"/>
      <c r="B27" s="993"/>
      <c r="C27" s="993"/>
      <c r="D27" s="993"/>
      <c r="E27" s="2412"/>
      <c r="F27" s="2412"/>
      <c r="G27" s="993"/>
      <c r="H27" s="993"/>
      <c r="I27" s="993"/>
      <c r="J27" s="993"/>
      <c r="K27" s="993"/>
      <c r="L27" s="993"/>
      <c r="M27" s="993"/>
      <c r="N27" s="993"/>
      <c r="O27" s="993"/>
      <c r="P27" s="993"/>
      <c r="Q27" s="993"/>
      <c r="R27" s="993"/>
      <c r="S27" s="993"/>
      <c r="T27" s="993"/>
      <c r="U27" s="993"/>
      <c r="V27" s="993"/>
      <c r="W27" s="993"/>
    </row>
    <row r="28" spans="1:23" x14ac:dyDescent="0.3">
      <c r="A28" s="1594"/>
      <c r="B28" s="993"/>
      <c r="C28" s="993"/>
      <c r="D28" s="993"/>
      <c r="E28" s="2412"/>
      <c r="F28" s="2412"/>
      <c r="G28" s="993"/>
      <c r="H28" s="993"/>
      <c r="I28" s="993"/>
      <c r="J28" s="993"/>
      <c r="K28" s="993"/>
      <c r="L28" s="993"/>
      <c r="M28" s="993"/>
      <c r="N28" s="993"/>
      <c r="O28" s="993"/>
      <c r="P28" s="993"/>
      <c r="Q28" s="993"/>
      <c r="R28" s="993"/>
      <c r="S28" s="993"/>
      <c r="T28" s="993"/>
      <c r="U28" s="993"/>
      <c r="V28" s="993"/>
      <c r="W28" s="993"/>
    </row>
    <row r="29" spans="1:23" x14ac:dyDescent="0.3">
      <c r="A29" s="1594"/>
      <c r="B29" s="993"/>
      <c r="C29" s="993"/>
      <c r="D29" s="549" t="s">
        <v>507</v>
      </c>
      <c r="E29" s="993"/>
      <c r="F29" s="993"/>
      <c r="G29" s="993"/>
      <c r="H29" s="993"/>
      <c r="I29" s="993"/>
      <c r="J29" s="993"/>
      <c r="K29" s="993"/>
      <c r="L29" s="993"/>
      <c r="M29" s="993"/>
      <c r="N29" s="993"/>
      <c r="O29" s="993"/>
      <c r="P29" s="993"/>
      <c r="Q29" s="993"/>
      <c r="R29" s="993"/>
      <c r="S29" s="993"/>
      <c r="T29" s="993"/>
      <c r="U29" s="993"/>
      <c r="V29" s="993"/>
      <c r="W29" s="993"/>
    </row>
    <row r="30" spans="1:23" x14ac:dyDescent="0.3">
      <c r="A30" s="1594"/>
      <c r="B30" s="993"/>
      <c r="C30" s="993"/>
      <c r="D30" s="993"/>
      <c r="E30" s="993"/>
      <c r="F30" s="993"/>
      <c r="G30" s="993"/>
      <c r="H30" s="993"/>
      <c r="I30" s="993"/>
      <c r="J30" s="993"/>
      <c r="K30" s="993"/>
      <c r="L30" s="993"/>
      <c r="M30" s="993"/>
      <c r="N30" s="993"/>
      <c r="O30" s="993"/>
      <c r="P30" s="993"/>
      <c r="Q30" s="993"/>
      <c r="R30" s="993"/>
      <c r="S30" s="993"/>
      <c r="T30" s="993"/>
      <c r="U30" s="993"/>
      <c r="V30" s="993"/>
      <c r="W30" s="993"/>
    </row>
    <row r="31" spans="1:23" x14ac:dyDescent="0.3">
      <c r="A31" s="1594"/>
      <c r="B31" s="993"/>
      <c r="C31" s="993"/>
      <c r="D31" s="2415" t="s">
        <v>508</v>
      </c>
      <c r="E31" s="2416"/>
      <c r="F31" s="2416"/>
      <c r="G31" s="2417"/>
      <c r="H31" s="2417"/>
      <c r="I31" s="2418"/>
      <c r="J31" s="2418">
        <v>2025</v>
      </c>
      <c r="K31" s="2418">
        <v>2026</v>
      </c>
      <c r="L31" s="2418">
        <v>2027</v>
      </c>
      <c r="M31" s="2418">
        <v>2028</v>
      </c>
      <c r="N31" s="2418">
        <v>2029</v>
      </c>
      <c r="O31" s="2418">
        <v>2030</v>
      </c>
      <c r="P31" s="993"/>
      <c r="Q31" s="993"/>
      <c r="R31" s="993"/>
      <c r="S31" s="993"/>
      <c r="T31" s="993"/>
      <c r="U31" s="993"/>
      <c r="V31" s="993"/>
      <c r="W31" s="993"/>
    </row>
    <row r="32" spans="1:23" x14ac:dyDescent="0.3">
      <c r="A32" s="1594"/>
      <c r="B32" s="993"/>
      <c r="C32" s="993"/>
      <c r="D32" s="1590"/>
      <c r="E32" s="2412"/>
      <c r="F32" s="2412"/>
      <c r="G32" s="993"/>
      <c r="H32" s="993"/>
      <c r="I32" s="2421"/>
      <c r="J32" s="2421"/>
      <c r="K32" s="2421"/>
      <c r="L32" s="2421"/>
      <c r="M32" s="2421"/>
      <c r="N32" s="2421"/>
      <c r="O32" s="2421"/>
      <c r="P32" s="993"/>
      <c r="Q32" s="993"/>
      <c r="R32" s="993"/>
      <c r="S32" s="993"/>
      <c r="T32" s="993"/>
      <c r="U32" s="993"/>
      <c r="V32" s="993"/>
      <c r="W32" s="993"/>
    </row>
    <row r="33" spans="1:23" x14ac:dyDescent="0.3">
      <c r="A33" s="1594"/>
      <c r="B33" s="993"/>
      <c r="C33" s="993"/>
      <c r="D33" s="1590"/>
      <c r="E33" s="2412"/>
      <c r="F33" s="2412"/>
      <c r="G33" s="993"/>
      <c r="H33" s="993"/>
      <c r="I33" s="2421"/>
      <c r="J33" s="2421"/>
      <c r="K33" s="2421"/>
      <c r="L33" s="2421"/>
      <c r="M33" s="2421"/>
      <c r="N33" s="2421"/>
      <c r="O33" s="2421"/>
      <c r="P33" s="993"/>
      <c r="Q33" s="993"/>
      <c r="R33" s="993"/>
      <c r="S33" s="993"/>
      <c r="T33" s="993"/>
      <c r="U33" s="993"/>
      <c r="V33" s="993"/>
      <c r="W33" s="993"/>
    </row>
    <row r="34" spans="1:23" x14ac:dyDescent="0.3">
      <c r="A34" s="1594"/>
      <c r="B34" s="993"/>
      <c r="C34" s="993"/>
      <c r="D34" s="1590"/>
      <c r="E34" s="2412"/>
      <c r="F34" s="2412"/>
      <c r="G34" s="993"/>
      <c r="H34" s="993"/>
      <c r="I34" s="2421"/>
      <c r="J34" s="2422"/>
      <c r="K34" s="2422"/>
      <c r="L34" s="2422"/>
      <c r="M34" s="2422"/>
      <c r="N34" s="2422"/>
      <c r="O34" s="2422"/>
      <c r="P34" s="993"/>
      <c r="Q34" s="993"/>
      <c r="R34" s="993"/>
      <c r="S34" s="993"/>
      <c r="T34" s="993"/>
      <c r="U34" s="993"/>
      <c r="V34" s="993"/>
      <c r="W34" s="993"/>
    </row>
    <row r="35" spans="1:23" x14ac:dyDescent="0.3">
      <c r="A35" s="1594"/>
      <c r="B35" s="993"/>
      <c r="C35" s="993"/>
      <c r="D35" s="2423" t="s">
        <v>525</v>
      </c>
      <c r="E35" s="2424"/>
      <c r="F35" s="2424"/>
      <c r="G35" s="2425"/>
      <c r="H35" s="2425"/>
      <c r="I35" s="2426"/>
      <c r="J35" s="2427">
        <v>0</v>
      </c>
      <c r="K35" s="2427">
        <v>0</v>
      </c>
      <c r="L35" s="2427">
        <v>0</v>
      </c>
      <c r="M35" s="2427">
        <v>0</v>
      </c>
      <c r="N35" s="2427">
        <v>0</v>
      </c>
      <c r="O35" s="2427">
        <v>0</v>
      </c>
      <c r="P35" s="993"/>
      <c r="Q35" s="993"/>
      <c r="R35" s="993"/>
      <c r="S35" s="993"/>
      <c r="T35" s="993"/>
      <c r="U35" s="993"/>
      <c r="V35" s="993"/>
      <c r="W35" s="993"/>
    </row>
    <row r="36" spans="1:23" x14ac:dyDescent="0.3">
      <c r="A36" s="1594"/>
      <c r="B36" s="993"/>
      <c r="C36" s="993"/>
      <c r="D36" s="993"/>
      <c r="E36" s="2412"/>
      <c r="F36" s="2412"/>
      <c r="G36" s="993"/>
      <c r="H36" s="993"/>
      <c r="I36" s="993"/>
      <c r="J36" s="993"/>
      <c r="K36" s="993"/>
      <c r="L36" s="993"/>
      <c r="M36" s="993"/>
      <c r="N36" s="993"/>
      <c r="O36" s="993"/>
      <c r="P36" s="993"/>
      <c r="Q36" s="993"/>
      <c r="R36" s="993"/>
      <c r="S36" s="993"/>
      <c r="T36" s="993"/>
      <c r="U36" s="993"/>
      <c r="V36" s="993"/>
      <c r="W36" s="993"/>
    </row>
    <row r="37" spans="1:23" x14ac:dyDescent="0.3">
      <c r="A37" s="1594"/>
      <c r="B37" s="993"/>
      <c r="C37" s="993"/>
      <c r="D37" s="2415" t="s">
        <v>526</v>
      </c>
      <c r="E37" s="2416"/>
      <c r="F37" s="2416"/>
      <c r="G37" s="2417"/>
      <c r="H37" s="2417"/>
      <c r="I37" s="2418"/>
      <c r="J37" s="2418">
        <v>2025</v>
      </c>
      <c r="K37" s="2418">
        <v>2026</v>
      </c>
      <c r="L37" s="2418">
        <v>2027</v>
      </c>
      <c r="M37" s="2418">
        <v>2028</v>
      </c>
      <c r="N37" s="2418">
        <v>2029</v>
      </c>
      <c r="O37" s="2418">
        <v>2030</v>
      </c>
      <c r="P37" s="993"/>
      <c r="Q37" s="993"/>
      <c r="R37" s="993"/>
      <c r="S37" s="993"/>
      <c r="T37" s="993"/>
      <c r="U37" s="993"/>
      <c r="V37" s="993"/>
      <c r="W37" s="993"/>
    </row>
    <row r="38" spans="1:23" x14ac:dyDescent="0.3">
      <c r="A38" s="1594"/>
      <c r="B38" s="993"/>
      <c r="C38" s="993"/>
      <c r="D38" s="1590" t="s">
        <v>5426</v>
      </c>
      <c r="E38" s="2412"/>
      <c r="F38" s="2412"/>
      <c r="G38" s="993"/>
      <c r="H38" s="993"/>
      <c r="I38" s="2421"/>
      <c r="J38" s="1496">
        <v>0</v>
      </c>
      <c r="K38" s="1496">
        <v>0</v>
      </c>
      <c r="L38" s="1486">
        <v>-26100</v>
      </c>
      <c r="M38" s="1486">
        <v>-27200</v>
      </c>
      <c r="N38" s="1486">
        <v>-28300</v>
      </c>
      <c r="O38" s="1486">
        <v>-29500</v>
      </c>
      <c r="P38" s="993"/>
      <c r="Q38" s="993"/>
      <c r="R38" s="993"/>
      <c r="S38" s="993"/>
      <c r="T38" s="993"/>
      <c r="U38" s="993"/>
      <c r="V38" s="993"/>
      <c r="W38" s="993"/>
    </row>
    <row r="39" spans="1:23" x14ac:dyDescent="0.3">
      <c r="A39" s="1594"/>
      <c r="B39" s="993"/>
      <c r="C39" s="993"/>
      <c r="D39" s="1590"/>
      <c r="E39" s="2412"/>
      <c r="F39" s="2412"/>
      <c r="G39" s="993"/>
      <c r="H39" s="993"/>
      <c r="I39" s="2421"/>
      <c r="J39" s="1496"/>
      <c r="K39" s="1496"/>
      <c r="L39" s="1496"/>
      <c r="M39" s="1496"/>
      <c r="N39" s="1496"/>
      <c r="O39" s="1496"/>
      <c r="P39" s="993"/>
      <c r="Q39" s="993"/>
      <c r="R39" s="993"/>
      <c r="S39" s="993"/>
      <c r="T39" s="993"/>
      <c r="U39" s="993"/>
      <c r="V39" s="993"/>
      <c r="W39" s="993"/>
    </row>
    <row r="40" spans="1:23" x14ac:dyDescent="0.3">
      <c r="A40" s="1594"/>
      <c r="B40" s="993"/>
      <c r="C40" s="993"/>
      <c r="D40" s="1590"/>
      <c r="E40" s="2412"/>
      <c r="F40" s="2412"/>
      <c r="G40" s="993"/>
      <c r="H40" s="993"/>
      <c r="I40" s="2421"/>
      <c r="J40" s="2421"/>
      <c r="K40" s="2421"/>
      <c r="L40" s="2421"/>
      <c r="M40" s="2421"/>
      <c r="N40" s="2421"/>
      <c r="O40" s="2421"/>
      <c r="P40" s="993"/>
      <c r="Q40" s="993"/>
      <c r="R40" s="993"/>
      <c r="S40" s="993"/>
      <c r="T40" s="993"/>
      <c r="U40" s="993"/>
      <c r="V40" s="993"/>
      <c r="W40" s="993"/>
    </row>
    <row r="41" spans="1:23" x14ac:dyDescent="0.3">
      <c r="A41" s="1594"/>
      <c r="B41" s="993"/>
      <c r="C41" s="993"/>
      <c r="D41" s="1590"/>
      <c r="E41" s="2412"/>
      <c r="F41" s="2412"/>
      <c r="G41" s="993"/>
      <c r="H41" s="993"/>
      <c r="I41" s="2421"/>
      <c r="J41" s="2421"/>
      <c r="K41" s="2421"/>
      <c r="L41" s="2421"/>
      <c r="M41" s="2421"/>
      <c r="N41" s="2421"/>
      <c r="O41" s="2421"/>
      <c r="P41" s="993"/>
      <c r="Q41" s="993"/>
      <c r="R41" s="993"/>
      <c r="S41" s="993"/>
      <c r="T41" s="993"/>
      <c r="U41" s="993"/>
      <c r="V41" s="993"/>
      <c r="W41" s="993"/>
    </row>
    <row r="42" spans="1:23" x14ac:dyDescent="0.3">
      <c r="A42" s="1594"/>
      <c r="B42" s="993"/>
      <c r="C42" s="993"/>
      <c r="D42" s="1590"/>
      <c r="E42" s="2412"/>
      <c r="F42" s="2412"/>
      <c r="G42" s="993"/>
      <c r="H42" s="993"/>
      <c r="I42" s="2421"/>
      <c r="J42" s="2421"/>
      <c r="K42" s="2421"/>
      <c r="L42" s="2421"/>
      <c r="M42" s="2421"/>
      <c r="N42" s="2421"/>
      <c r="O42" s="2421"/>
      <c r="P42" s="993"/>
      <c r="Q42" s="993"/>
      <c r="R42" s="993"/>
      <c r="S42" s="993"/>
      <c r="T42" s="993"/>
      <c r="U42" s="993"/>
      <c r="V42" s="993"/>
      <c r="W42" s="993"/>
    </row>
    <row r="43" spans="1:23" x14ac:dyDescent="0.3">
      <c r="A43" s="1594"/>
      <c r="B43" s="993"/>
      <c r="C43" s="993"/>
      <c r="D43" s="1590"/>
      <c r="E43" s="2412"/>
      <c r="F43" s="2412"/>
      <c r="G43" s="993"/>
      <c r="H43" s="993"/>
      <c r="I43" s="2421"/>
      <c r="J43" s="2421"/>
      <c r="K43" s="2421"/>
      <c r="L43" s="2421"/>
      <c r="M43" s="2421"/>
      <c r="N43" s="2421"/>
      <c r="O43" s="2421"/>
      <c r="P43" s="993"/>
      <c r="Q43" s="993"/>
      <c r="R43" s="993"/>
      <c r="S43" s="993"/>
      <c r="T43" s="993"/>
      <c r="U43" s="993"/>
      <c r="V43" s="993"/>
      <c r="W43" s="993"/>
    </row>
    <row r="44" spans="1:23" x14ac:dyDescent="0.3">
      <c r="A44" s="1594"/>
      <c r="B44" s="993"/>
      <c r="C44" s="993"/>
      <c r="D44" s="1590"/>
      <c r="E44" s="2412"/>
      <c r="F44" s="2412"/>
      <c r="G44" s="993"/>
      <c r="H44" s="993"/>
      <c r="I44" s="2421"/>
      <c r="J44" s="2421"/>
      <c r="K44" s="2421"/>
      <c r="L44" s="2421"/>
      <c r="M44" s="2421"/>
      <c r="N44" s="2421"/>
      <c r="O44" s="2421"/>
      <c r="P44" s="993"/>
      <c r="Q44" s="993"/>
      <c r="R44" s="993"/>
      <c r="S44" s="993"/>
      <c r="T44" s="993"/>
      <c r="U44" s="993"/>
      <c r="V44" s="993"/>
      <c r="W44" s="993"/>
    </row>
    <row r="45" spans="1:23" x14ac:dyDescent="0.3">
      <c r="A45" s="1594"/>
      <c r="B45" s="993"/>
      <c r="C45" s="993"/>
      <c r="D45" s="2432"/>
      <c r="E45" s="2433"/>
      <c r="F45" s="2433"/>
      <c r="G45" s="2434"/>
      <c r="H45" s="2434"/>
      <c r="I45" s="2421"/>
      <c r="J45" s="2421"/>
      <c r="K45" s="2421"/>
      <c r="L45" s="2421"/>
      <c r="M45" s="2421"/>
      <c r="N45" s="2421"/>
      <c r="O45" s="2421"/>
      <c r="P45" s="993"/>
      <c r="Q45" s="993"/>
      <c r="R45" s="993"/>
      <c r="S45" s="993"/>
      <c r="T45" s="993"/>
      <c r="U45" s="993"/>
      <c r="V45" s="993"/>
      <c r="W45" s="993"/>
    </row>
    <row r="46" spans="1:23" x14ac:dyDescent="0.3">
      <c r="A46" s="1594"/>
      <c r="B46" s="993"/>
      <c r="C46" s="993"/>
      <c r="D46" s="2423" t="s">
        <v>328</v>
      </c>
      <c r="E46" s="2424"/>
      <c r="F46" s="2424"/>
      <c r="G46" s="2425"/>
      <c r="H46" s="2425"/>
      <c r="I46" s="2426"/>
      <c r="J46" s="2427">
        <v>0</v>
      </c>
      <c r="K46" s="2427">
        <v>0</v>
      </c>
      <c r="L46" s="2428">
        <v>-26100</v>
      </c>
      <c r="M46" s="2428">
        <v>-27200</v>
      </c>
      <c r="N46" s="2428">
        <v>-28300</v>
      </c>
      <c r="O46" s="2428">
        <v>-29500</v>
      </c>
      <c r="P46" s="993"/>
      <c r="Q46" s="993"/>
      <c r="R46" s="993"/>
      <c r="S46" s="993"/>
      <c r="T46" s="993"/>
      <c r="U46" s="993"/>
      <c r="V46" s="993"/>
      <c r="W46" s="993"/>
    </row>
    <row r="47" spans="1:23" x14ac:dyDescent="0.3">
      <c r="A47" s="1594"/>
      <c r="B47" s="993"/>
      <c r="C47" s="993"/>
      <c r="D47" s="993"/>
      <c r="E47" s="2412"/>
      <c r="F47" s="2412"/>
      <c r="G47" s="993"/>
      <c r="H47" s="993"/>
      <c r="I47" s="993"/>
      <c r="J47" s="993"/>
      <c r="K47" s="993"/>
      <c r="L47" s="993"/>
      <c r="M47" s="993"/>
      <c r="N47" s="993"/>
      <c r="O47" s="993"/>
      <c r="P47" s="993"/>
      <c r="Q47" s="993"/>
      <c r="R47" s="993"/>
      <c r="S47" s="993"/>
      <c r="T47" s="993"/>
      <c r="U47" s="993"/>
      <c r="V47" s="993"/>
      <c r="W47" s="993"/>
    </row>
    <row r="48" spans="1:23" x14ac:dyDescent="0.3">
      <c r="A48" s="1594"/>
      <c r="B48" s="993"/>
      <c r="C48" s="993"/>
      <c r="D48" s="2435" t="s">
        <v>976</v>
      </c>
      <c r="E48" s="2425"/>
      <c r="F48" s="2425"/>
      <c r="G48" s="2425"/>
      <c r="H48" s="2425"/>
      <c r="I48" s="2425"/>
      <c r="J48" s="2427">
        <v>0</v>
      </c>
      <c r="K48" s="2426">
        <v>0</v>
      </c>
      <c r="L48" s="2436">
        <v>-26100</v>
      </c>
      <c r="M48" s="2436">
        <v>-27200</v>
      </c>
      <c r="N48" s="2436">
        <v>-28300</v>
      </c>
      <c r="O48" s="2436">
        <v>-29500</v>
      </c>
      <c r="P48" s="993"/>
      <c r="Q48" s="993"/>
      <c r="R48" s="993"/>
      <c r="S48" s="993"/>
      <c r="T48" s="993"/>
      <c r="U48" s="993"/>
      <c r="V48" s="993"/>
      <c r="W48" s="993"/>
    </row>
    <row r="49" spans="1:23" x14ac:dyDescent="0.3">
      <c r="A49" s="1594"/>
      <c r="B49" s="993"/>
      <c r="C49" s="993"/>
      <c r="D49" s="993"/>
      <c r="E49" s="2412"/>
      <c r="F49" s="2412"/>
      <c r="G49" s="993"/>
      <c r="H49" s="993"/>
      <c r="I49" s="993"/>
      <c r="J49" s="993"/>
      <c r="K49" s="993"/>
      <c r="L49" s="993"/>
      <c r="M49" s="993"/>
      <c r="N49" s="993"/>
      <c r="O49" s="993"/>
      <c r="P49" s="993"/>
      <c r="Q49" s="993"/>
      <c r="R49" s="993"/>
      <c r="S49" s="993"/>
      <c r="T49" s="993"/>
      <c r="U49" s="993"/>
      <c r="V49" s="993"/>
      <c r="W49" s="993"/>
    </row>
    <row r="50" spans="1:23" x14ac:dyDescent="0.3">
      <c r="A50" s="1594"/>
      <c r="B50" s="993"/>
      <c r="C50" s="993"/>
      <c r="D50" s="993"/>
      <c r="E50" s="993"/>
      <c r="F50" s="993"/>
      <c r="G50" s="993"/>
      <c r="H50" s="993"/>
      <c r="I50" s="993"/>
      <c r="J50" s="993"/>
      <c r="K50" s="993"/>
      <c r="L50" s="993"/>
      <c r="M50" s="993"/>
      <c r="N50" s="993"/>
      <c r="O50" s="993"/>
      <c r="P50" s="993"/>
      <c r="Q50" s="993"/>
      <c r="R50" s="993"/>
      <c r="S50" s="993"/>
      <c r="T50" s="993"/>
      <c r="U50" s="993"/>
      <c r="V50" s="993"/>
      <c r="W50" s="993"/>
    </row>
    <row r="51" spans="1:23" x14ac:dyDescent="0.3">
      <c r="A51" s="1594"/>
      <c r="B51" s="993"/>
      <c r="C51" s="993"/>
      <c r="D51" s="549" t="s">
        <v>528</v>
      </c>
      <c r="E51" s="2437"/>
      <c r="F51" s="2437"/>
      <c r="G51" s="993"/>
      <c r="H51" s="993"/>
      <c r="I51" s="993"/>
      <c r="J51" s="993"/>
      <c r="K51" s="993"/>
      <c r="L51" s="993"/>
      <c r="M51" s="993"/>
      <c r="N51" s="993"/>
      <c r="O51" s="993"/>
      <c r="P51" s="993"/>
      <c r="Q51" s="993"/>
      <c r="R51" s="993"/>
      <c r="S51" s="993"/>
      <c r="T51" s="993"/>
      <c r="U51" s="993"/>
      <c r="V51" s="993"/>
      <c r="W51" s="993"/>
    </row>
    <row r="52" spans="1:23" x14ac:dyDescent="0.3">
      <c r="A52" s="1594"/>
      <c r="B52" s="993"/>
      <c r="C52" s="993"/>
      <c r="D52" s="993"/>
      <c r="E52" s="2412"/>
      <c r="F52" s="2412"/>
      <c r="G52" s="993"/>
      <c r="H52" s="993"/>
      <c r="I52" s="993"/>
      <c r="J52" s="993"/>
      <c r="K52" s="993"/>
      <c r="L52" s="993"/>
      <c r="M52" s="993"/>
      <c r="N52" s="993"/>
      <c r="O52" s="993"/>
      <c r="P52" s="993"/>
      <c r="Q52" s="993"/>
      <c r="R52" s="993"/>
      <c r="S52" s="993"/>
      <c r="T52" s="993"/>
      <c r="U52" s="993"/>
      <c r="V52" s="993"/>
      <c r="W52" s="993"/>
    </row>
    <row r="53" spans="1:23" ht="26.4" x14ac:dyDescent="0.3">
      <c r="A53" s="1594"/>
      <c r="B53" s="993"/>
      <c r="C53" s="993"/>
      <c r="D53" s="2439" t="s">
        <v>3099</v>
      </c>
      <c r="E53" s="2439" t="s">
        <v>530</v>
      </c>
      <c r="F53" s="2439" t="s">
        <v>3099</v>
      </c>
      <c r="G53" s="2609" t="s">
        <v>206</v>
      </c>
      <c r="H53" s="2610"/>
      <c r="I53" s="2440"/>
      <c r="J53" s="2426"/>
      <c r="K53" s="2426"/>
      <c r="L53" s="2426"/>
      <c r="M53" s="2426"/>
      <c r="N53" s="2426"/>
      <c r="O53" s="2426"/>
      <c r="P53" s="993"/>
      <c r="Q53" s="993"/>
      <c r="R53" s="993"/>
      <c r="S53" s="993"/>
      <c r="T53" s="993"/>
      <c r="U53" s="993"/>
      <c r="V53" s="993"/>
      <c r="W53" s="993"/>
    </row>
    <row r="54" spans="1:23" x14ac:dyDescent="0.3">
      <c r="A54" s="1594"/>
      <c r="B54" s="993"/>
      <c r="C54" s="993"/>
      <c r="D54" s="2443" t="s">
        <v>5414</v>
      </c>
      <c r="E54" s="2442" t="s">
        <v>532</v>
      </c>
      <c r="F54" s="2443" t="s">
        <v>5414</v>
      </c>
      <c r="G54" s="2615"/>
      <c r="H54" s="2616"/>
      <c r="I54" s="2422"/>
      <c r="J54" s="2426">
        <v>2025</v>
      </c>
      <c r="K54" s="2426">
        <v>2026</v>
      </c>
      <c r="L54" s="2426">
        <v>2027</v>
      </c>
      <c r="M54" s="2426">
        <v>2028</v>
      </c>
      <c r="N54" s="2426">
        <v>2029</v>
      </c>
      <c r="O54" s="2426">
        <v>2030</v>
      </c>
      <c r="P54" s="993"/>
      <c r="Q54" s="993"/>
      <c r="R54" s="993"/>
      <c r="S54" s="993"/>
      <c r="T54" s="993"/>
      <c r="U54" s="993"/>
      <c r="V54" s="993"/>
      <c r="W54" s="993"/>
    </row>
    <row r="55" spans="1:23" x14ac:dyDescent="0.3">
      <c r="A55" s="1594"/>
      <c r="B55" s="993"/>
      <c r="C55" s="993"/>
      <c r="D55" s="2483"/>
      <c r="E55" s="2450"/>
      <c r="F55" s="2450"/>
      <c r="G55" s="2429"/>
      <c r="H55" s="2431"/>
      <c r="I55" s="2440"/>
      <c r="J55" s="2483"/>
      <c r="K55" s="2483"/>
      <c r="L55" s="2483"/>
      <c r="M55" s="2483"/>
      <c r="N55" s="2483"/>
      <c r="O55" s="2483"/>
      <c r="P55" s="993"/>
      <c r="Q55" s="993"/>
      <c r="R55" s="993"/>
      <c r="S55" s="993"/>
      <c r="T55" s="993"/>
      <c r="U55" s="993"/>
      <c r="V55" s="993"/>
      <c r="W55" s="993"/>
    </row>
    <row r="56" spans="1:23" x14ac:dyDescent="0.3">
      <c r="A56" s="1594"/>
      <c r="B56" s="993"/>
      <c r="C56" s="993"/>
      <c r="D56" s="2447">
        <v>685001</v>
      </c>
      <c r="E56" s="2448"/>
      <c r="F56" s="2448"/>
      <c r="G56" s="1453" t="s">
        <v>5426</v>
      </c>
      <c r="H56" s="993"/>
      <c r="I56" s="2421"/>
      <c r="J56" s="1496"/>
      <c r="K56" s="1496"/>
      <c r="L56" s="1496"/>
      <c r="M56" s="1496"/>
      <c r="N56" s="1496"/>
      <c r="O56" s="1496"/>
      <c r="P56" s="993"/>
      <c r="Q56" s="993"/>
      <c r="R56" s="993"/>
      <c r="S56" s="993"/>
      <c r="T56" s="993"/>
      <c r="U56" s="993"/>
      <c r="V56" s="993"/>
      <c r="W56" s="993"/>
    </row>
    <row r="57" spans="1:23" x14ac:dyDescent="0.3">
      <c r="A57" s="1594"/>
      <c r="B57" s="993"/>
      <c r="C57" s="993"/>
      <c r="D57" s="2450"/>
      <c r="E57" s="2450"/>
      <c r="F57" s="2450"/>
      <c r="G57" s="1456" t="s">
        <v>554</v>
      </c>
      <c r="H57" s="993"/>
      <c r="I57" s="2421"/>
      <c r="J57" s="1496"/>
      <c r="K57" s="1496"/>
      <c r="L57" s="1496"/>
      <c r="M57" s="1496"/>
      <c r="N57" s="1496"/>
      <c r="O57" s="1496"/>
      <c r="P57" s="993"/>
      <c r="Q57" s="993"/>
      <c r="R57" s="993"/>
      <c r="S57" s="993"/>
      <c r="T57" s="993"/>
      <c r="U57" s="993"/>
      <c r="V57" s="993"/>
      <c r="W57" s="993"/>
    </row>
    <row r="58" spans="1:23" x14ac:dyDescent="0.3">
      <c r="A58" s="1594">
        <v>685001</v>
      </c>
      <c r="B58" s="993" t="s">
        <v>5426</v>
      </c>
      <c r="C58" s="993"/>
      <c r="D58" s="2450">
        <v>84320</v>
      </c>
      <c r="E58" s="2450"/>
      <c r="F58" s="2450"/>
      <c r="G58" s="1590" t="s">
        <v>5427</v>
      </c>
      <c r="H58" s="993"/>
      <c r="I58" s="2421"/>
      <c r="J58" s="1496">
        <v>0</v>
      </c>
      <c r="K58" s="1496">
        <v>0</v>
      </c>
      <c r="L58" s="1486">
        <v>-26100</v>
      </c>
      <c r="M58" s="1486">
        <v>-27200</v>
      </c>
      <c r="N58" s="1486">
        <v>-28300</v>
      </c>
      <c r="O58" s="1486">
        <v>-29500</v>
      </c>
      <c r="P58" s="993"/>
      <c r="Q58" s="993"/>
      <c r="R58" s="993"/>
      <c r="S58" s="993"/>
      <c r="T58" s="993"/>
      <c r="U58" s="993"/>
      <c r="V58" s="993"/>
      <c r="W58" s="993"/>
    </row>
    <row r="59" spans="1:23" ht="15" thickBot="1" x14ac:dyDescent="0.35">
      <c r="A59" s="2449"/>
      <c r="B59" s="993"/>
      <c r="C59" s="993"/>
      <c r="D59" s="2450"/>
      <c r="E59" s="2450"/>
      <c r="F59" s="2450"/>
      <c r="G59" s="1590" t="s">
        <v>536</v>
      </c>
      <c r="H59" s="993"/>
      <c r="I59" s="2421"/>
      <c r="J59" s="2484">
        <v>0</v>
      </c>
      <c r="K59" s="2484">
        <v>0</v>
      </c>
      <c r="L59" s="2485">
        <v>-26100</v>
      </c>
      <c r="M59" s="2485">
        <v>-27200</v>
      </c>
      <c r="N59" s="2485">
        <v>-28300</v>
      </c>
      <c r="O59" s="2485">
        <v>-29500</v>
      </c>
      <c r="P59" s="993"/>
      <c r="Q59" s="993"/>
      <c r="R59" s="993"/>
      <c r="S59" s="993"/>
      <c r="T59" s="993"/>
      <c r="U59" s="993"/>
      <c r="V59" s="993"/>
      <c r="W59" s="993"/>
    </row>
    <row r="60" spans="1:23" ht="15" thickTop="1" x14ac:dyDescent="0.3">
      <c r="A60" s="1594"/>
      <c r="B60" s="993"/>
      <c r="C60" s="993"/>
      <c r="D60" s="2456"/>
      <c r="E60" s="2456"/>
      <c r="F60" s="2456"/>
      <c r="G60" s="2432"/>
      <c r="H60" s="2434"/>
      <c r="I60" s="2422"/>
      <c r="J60" s="2458"/>
      <c r="K60" s="2458"/>
      <c r="L60" s="2458"/>
      <c r="M60" s="2458"/>
      <c r="N60" s="2458"/>
      <c r="O60" s="2458"/>
      <c r="P60" s="993"/>
      <c r="Q60" s="993"/>
      <c r="R60" s="993"/>
      <c r="S60" s="993"/>
      <c r="T60" s="993"/>
      <c r="U60" s="993"/>
      <c r="V60" s="993"/>
      <c r="W60" s="993"/>
    </row>
    <row r="61" spans="1:23" x14ac:dyDescent="0.3">
      <c r="A61" s="1594"/>
      <c r="B61" s="993"/>
      <c r="C61" s="993"/>
      <c r="D61" s="2412"/>
      <c r="E61" s="2412"/>
      <c r="F61" s="2412"/>
      <c r="G61" s="993"/>
      <c r="H61" s="993"/>
      <c r="I61" s="993"/>
      <c r="J61" s="993"/>
      <c r="K61" s="993"/>
      <c r="L61" s="993"/>
      <c r="M61" s="993"/>
      <c r="N61" s="993"/>
      <c r="O61" s="993"/>
      <c r="P61" s="993"/>
      <c r="Q61" s="993"/>
      <c r="R61" s="993"/>
      <c r="S61" s="993"/>
      <c r="T61" s="993"/>
      <c r="U61" s="993"/>
      <c r="V61" s="993"/>
      <c r="W61" s="993"/>
    </row>
    <row r="62" spans="1:23" x14ac:dyDescent="0.3">
      <c r="A62" s="1594"/>
      <c r="B62" s="993"/>
      <c r="C62" s="993"/>
      <c r="D62" s="2412"/>
      <c r="E62" s="2412"/>
      <c r="F62" s="2412"/>
      <c r="G62" s="993"/>
      <c r="H62" s="993"/>
      <c r="I62" s="993"/>
      <c r="J62" s="993"/>
      <c r="K62" s="993"/>
      <c r="L62" s="993"/>
      <c r="M62" s="993"/>
      <c r="N62" s="993"/>
      <c r="O62" s="993"/>
      <c r="P62" s="993"/>
      <c r="Q62" s="993"/>
      <c r="R62" s="993"/>
      <c r="S62" s="993"/>
      <c r="T62" s="993"/>
      <c r="U62" s="993"/>
      <c r="V62" s="993"/>
      <c r="W62" s="993"/>
    </row>
    <row r="63" spans="1:23" x14ac:dyDescent="0.3">
      <c r="A63" s="1594"/>
      <c r="B63" s="993"/>
      <c r="C63" s="993"/>
      <c r="D63" s="2412"/>
      <c r="E63" s="2412"/>
      <c r="F63" s="2412"/>
      <c r="G63" s="993"/>
      <c r="H63" s="993"/>
      <c r="I63" s="993"/>
      <c r="J63" s="993"/>
      <c r="K63" s="993"/>
      <c r="L63" s="993"/>
      <c r="M63" s="993"/>
      <c r="N63" s="993"/>
      <c r="O63" s="993"/>
      <c r="P63" s="993"/>
      <c r="Q63" s="993"/>
      <c r="R63" s="993"/>
      <c r="S63" s="993"/>
      <c r="T63" s="993"/>
      <c r="U63" s="993"/>
      <c r="V63" s="993"/>
      <c r="W63" s="993"/>
    </row>
    <row r="64" spans="1:23" x14ac:dyDescent="0.3">
      <c r="A64" s="1594"/>
      <c r="B64" s="993"/>
      <c r="C64" s="993"/>
      <c r="D64" s="2412"/>
      <c r="E64" s="2412"/>
      <c r="F64" s="2412"/>
      <c r="G64" s="993"/>
      <c r="H64" s="993"/>
      <c r="I64" s="993"/>
      <c r="J64" s="993"/>
      <c r="K64" s="993"/>
      <c r="L64" s="993"/>
      <c r="M64" s="993"/>
      <c r="N64" s="993"/>
      <c r="O64" s="993"/>
      <c r="P64" s="993"/>
      <c r="Q64" s="993"/>
      <c r="R64" s="993"/>
      <c r="S64" s="993"/>
      <c r="T64" s="993"/>
      <c r="U64" s="993"/>
      <c r="V64" s="993"/>
      <c r="W64" s="993"/>
    </row>
    <row r="65" spans="1:23" x14ac:dyDescent="0.3">
      <c r="A65" s="1594"/>
      <c r="B65" s="993"/>
      <c r="C65" s="993"/>
      <c r="D65" s="2412"/>
      <c r="E65" s="2412"/>
      <c r="F65" s="2412"/>
      <c r="G65" s="993"/>
      <c r="H65" s="993"/>
      <c r="I65" s="993"/>
      <c r="J65" s="993"/>
      <c r="K65" s="993"/>
      <c r="L65" s="993"/>
      <c r="M65" s="993"/>
      <c r="N65" s="993"/>
      <c r="O65" s="993"/>
      <c r="P65" s="993"/>
      <c r="Q65" s="993"/>
      <c r="R65" s="993"/>
      <c r="S65" s="993"/>
      <c r="T65" s="993"/>
      <c r="U65" s="993"/>
      <c r="V65" s="993"/>
      <c r="W65" s="993"/>
    </row>
    <row r="66" spans="1:23" x14ac:dyDescent="0.3">
      <c r="A66" s="1594"/>
      <c r="B66" s="993"/>
      <c r="C66" s="993"/>
      <c r="D66" s="549" t="s">
        <v>561</v>
      </c>
      <c r="E66" s="2412"/>
      <c r="F66" s="2412"/>
      <c r="G66" s="993"/>
      <c r="H66" s="993"/>
      <c r="I66" s="993"/>
      <c r="J66" s="993"/>
      <c r="K66" s="993"/>
      <c r="L66" s="993"/>
      <c r="M66" s="993"/>
      <c r="N66" s="993"/>
      <c r="O66" s="993"/>
      <c r="P66" s="993"/>
      <c r="Q66" s="993"/>
      <c r="R66" s="993"/>
      <c r="S66" s="993"/>
      <c r="T66" s="993"/>
      <c r="U66" s="993"/>
      <c r="V66" s="993"/>
      <c r="W66" s="993"/>
    </row>
    <row r="67" spans="1:23" x14ac:dyDescent="0.3">
      <c r="A67" s="1594"/>
      <c r="B67" s="993"/>
      <c r="C67" s="993"/>
      <c r="D67" s="2412"/>
      <c r="E67" s="2412"/>
      <c r="F67" s="2412"/>
      <c r="G67" s="549"/>
      <c r="H67" s="993"/>
      <c r="I67" s="993"/>
      <c r="J67" s="993"/>
      <c r="K67" s="993"/>
      <c r="L67" s="993"/>
      <c r="M67" s="993"/>
      <c r="N67" s="993"/>
      <c r="O67" s="993"/>
      <c r="P67" s="993"/>
      <c r="Q67" s="993"/>
      <c r="R67" s="993"/>
      <c r="S67" s="993"/>
      <c r="T67" s="993"/>
      <c r="U67" s="993"/>
      <c r="V67" s="993"/>
      <c r="W67" s="993"/>
    </row>
    <row r="68" spans="1:23" x14ac:dyDescent="0.3">
      <c r="A68" s="1594"/>
      <c r="B68" s="993"/>
      <c r="C68" s="993"/>
      <c r="D68" s="1562">
        <v>685001</v>
      </c>
      <c r="E68" s="1562" t="s">
        <v>5426</v>
      </c>
      <c r="F68" s="2437"/>
      <c r="G68" s="993"/>
      <c r="H68" s="993"/>
      <c r="I68" s="2486"/>
      <c r="J68" s="1713">
        <v>2025</v>
      </c>
      <c r="K68" s="1713">
        <v>2026</v>
      </c>
      <c r="L68" s="1713">
        <v>2027</v>
      </c>
      <c r="M68" s="1713">
        <v>2028</v>
      </c>
      <c r="N68" s="1713">
        <v>2029</v>
      </c>
      <c r="O68" s="1713">
        <v>2030</v>
      </c>
      <c r="P68" s="993"/>
      <c r="Q68" s="993"/>
      <c r="R68" s="993"/>
      <c r="S68" s="993"/>
      <c r="T68" s="993"/>
      <c r="U68" s="993"/>
      <c r="V68" s="993"/>
      <c r="W68" s="993"/>
    </row>
    <row r="69" spans="1:23" x14ac:dyDescent="0.3">
      <c r="A69" s="1594"/>
      <c r="B69" s="993"/>
      <c r="C69" s="993"/>
      <c r="D69" s="1562"/>
      <c r="E69" s="1521" t="s">
        <v>554</v>
      </c>
      <c r="F69" s="2437"/>
      <c r="G69" s="993"/>
      <c r="H69" s="993"/>
      <c r="I69" s="2486"/>
      <c r="J69" s="1502"/>
      <c r="K69" s="1502"/>
      <c r="L69" s="1502"/>
      <c r="M69" s="1502"/>
      <c r="N69" s="1502"/>
      <c r="O69" s="1502"/>
      <c r="P69" s="993"/>
      <c r="Q69" s="993"/>
      <c r="R69" s="993"/>
      <c r="S69" s="993"/>
      <c r="T69" s="993"/>
      <c r="U69" s="993"/>
      <c r="V69" s="993"/>
      <c r="W69" s="993"/>
    </row>
    <row r="70" spans="1:23" x14ac:dyDescent="0.3">
      <c r="A70" s="1594"/>
      <c r="B70" s="993"/>
      <c r="C70" s="993"/>
      <c r="D70" s="2487">
        <v>84320</v>
      </c>
      <c r="E70" s="993" t="s">
        <v>5428</v>
      </c>
      <c r="F70" s="2487"/>
      <c r="G70" s="993"/>
      <c r="H70" s="993"/>
      <c r="I70" s="2486"/>
      <c r="J70" s="993">
        <v>0</v>
      </c>
      <c r="K70" s="993">
        <v>0</v>
      </c>
      <c r="L70" s="2459">
        <v>-26100</v>
      </c>
      <c r="M70" s="2459">
        <f>ROUND(L70*U5,-2)</f>
        <v>-27200</v>
      </c>
      <c r="N70" s="2459">
        <f t="shared" ref="N70:O70" si="0">ROUND(M70*V5,-2)</f>
        <v>-28300</v>
      </c>
      <c r="O70" s="2459">
        <f t="shared" si="0"/>
        <v>-29500</v>
      </c>
      <c r="P70" s="993"/>
      <c r="Q70" s="993"/>
      <c r="R70" s="993"/>
      <c r="S70" s="993"/>
      <c r="T70" s="993"/>
      <c r="U70" s="993"/>
      <c r="V70" s="993"/>
      <c r="W70" s="993"/>
    </row>
    <row r="71" spans="1:23" ht="15" thickBot="1" x14ac:dyDescent="0.35">
      <c r="A71" s="1594"/>
      <c r="B71" s="993"/>
      <c r="C71" s="993"/>
      <c r="D71" s="993"/>
      <c r="E71" s="993" t="s">
        <v>5429</v>
      </c>
      <c r="F71" s="2412"/>
      <c r="G71" s="993"/>
      <c r="H71" s="993"/>
      <c r="I71" s="2486"/>
      <c r="J71" s="2460">
        <v>0</v>
      </c>
      <c r="K71" s="2460">
        <v>0</v>
      </c>
      <c r="L71" s="2461">
        <f>SUM(L70:L70)</f>
        <v>-26100</v>
      </c>
      <c r="M71" s="2461">
        <f>SUM(M70:M70)</f>
        <v>-27200</v>
      </c>
      <c r="N71" s="2461">
        <f>SUM(N70:N70)</f>
        <v>-28300</v>
      </c>
      <c r="O71" s="2461">
        <f>SUM(O70:O70)</f>
        <v>-29500</v>
      </c>
      <c r="P71" s="993"/>
      <c r="Q71" s="993"/>
      <c r="R71" s="993"/>
      <c r="S71" s="993"/>
      <c r="T71" s="993"/>
      <c r="U71" s="993"/>
      <c r="V71" s="993"/>
      <c r="W71" s="993"/>
    </row>
    <row r="72" spans="1:23" ht="15" thickTop="1" x14ac:dyDescent="0.3">
      <c r="A72" s="1594"/>
      <c r="B72" s="993"/>
      <c r="C72" s="993"/>
      <c r="D72" s="993"/>
      <c r="E72" s="2412"/>
      <c r="F72" s="2412"/>
      <c r="G72" s="993"/>
      <c r="H72" s="993"/>
      <c r="I72" s="993"/>
      <c r="J72" s="993"/>
      <c r="K72" s="993"/>
      <c r="L72" s="993"/>
      <c r="M72" s="993"/>
      <c r="N72" s="993"/>
      <c r="O72" s="993"/>
      <c r="P72" s="993"/>
      <c r="Q72" s="993"/>
      <c r="R72" s="993"/>
      <c r="S72" s="993"/>
      <c r="T72" s="993"/>
      <c r="U72" s="993"/>
      <c r="V72" s="993"/>
      <c r="W72" s="993"/>
    </row>
  </sheetData>
  <mergeCells count="1">
    <mergeCell ref="G53:H5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19D7B-62E1-40FA-A898-D8A3E739A08F}">
  <dimension ref="A1:X89"/>
  <sheetViews>
    <sheetView showGridLines="0" view="pageBreakPreview" topLeftCell="A40" zoomScaleNormal="100" zoomScaleSheetLayoutView="100" workbookViewId="0">
      <selection activeCell="R72" sqref="R72"/>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5" width="11.6640625" style="863" customWidth="1"/>
    <col min="16" max="16" width="10.109375" style="863" customWidth="1"/>
    <col min="17" max="17" width="12.109375" style="863" customWidth="1"/>
    <col min="18"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4507</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7" spans="1:23" ht="12.75" customHeight="1" x14ac:dyDescent="0.25">
      <c r="E7" s="870" t="s">
        <v>4508</v>
      </c>
    </row>
    <row r="33" spans="4:18" ht="12.75" customHeight="1" x14ac:dyDescent="0.25">
      <c r="D33" s="870" t="s">
        <v>507</v>
      </c>
      <c r="E33" s="864"/>
      <c r="F33" s="864"/>
    </row>
    <row r="34" spans="4:18" ht="12.75" customHeight="1" x14ac:dyDescent="0.25">
      <c r="E34" s="864"/>
      <c r="F34" s="864"/>
    </row>
    <row r="35" spans="4:18" ht="12.75" customHeight="1" x14ac:dyDescent="0.25">
      <c r="D35" s="2310" t="s">
        <v>508</v>
      </c>
      <c r="E35" s="2311"/>
      <c r="F35" s="2311"/>
      <c r="G35" s="2312"/>
      <c r="H35" s="2312"/>
      <c r="I35" s="2313"/>
      <c r="J35" s="2313">
        <v>2025</v>
      </c>
      <c r="K35" s="2313">
        <v>2026</v>
      </c>
      <c r="L35" s="2313">
        <v>2027</v>
      </c>
      <c r="M35" s="2313">
        <v>2028</v>
      </c>
      <c r="N35" s="2313">
        <v>2029</v>
      </c>
      <c r="O35" s="2313">
        <v>2030</v>
      </c>
    </row>
    <row r="36" spans="4:18" ht="12.75" customHeight="1" x14ac:dyDescent="0.25">
      <c r="D36" s="871" t="str">
        <f>G55</f>
        <v>Jeugdbescherming</v>
      </c>
      <c r="E36" s="2463"/>
      <c r="F36" s="2463"/>
      <c r="I36" s="879"/>
      <c r="J36" s="880">
        <v>596000</v>
      </c>
      <c r="K36" s="880">
        <f t="shared" ref="K36:O36" si="0">K59</f>
        <v>429000</v>
      </c>
      <c r="L36" s="880">
        <f t="shared" si="0"/>
        <v>490000</v>
      </c>
      <c r="M36" s="880">
        <f t="shared" si="0"/>
        <v>511000</v>
      </c>
      <c r="N36" s="880">
        <f t="shared" si="0"/>
        <v>533000</v>
      </c>
      <c r="O36" s="880">
        <f t="shared" si="0"/>
        <v>555000</v>
      </c>
    </row>
    <row r="37" spans="4:18" ht="12.75" customHeight="1" x14ac:dyDescent="0.25">
      <c r="D37" s="876"/>
      <c r="E37" s="877"/>
      <c r="F37" s="878"/>
      <c r="I37" s="879"/>
      <c r="J37" s="274"/>
      <c r="K37" s="274"/>
      <c r="L37" s="274"/>
      <c r="M37" s="274"/>
      <c r="N37" s="274"/>
      <c r="O37" s="274"/>
    </row>
    <row r="38" spans="4:18" ht="12.75" customHeight="1" x14ac:dyDescent="0.25">
      <c r="D38" s="876"/>
      <c r="E38" s="877"/>
      <c r="F38" s="878"/>
      <c r="I38" s="879"/>
      <c r="J38" s="275"/>
      <c r="K38" s="275"/>
      <c r="L38" s="275"/>
      <c r="M38" s="275"/>
      <c r="N38" s="275"/>
      <c r="O38" s="275"/>
      <c r="P38" s="885"/>
      <c r="Q38" s="885"/>
      <c r="R38" s="885"/>
    </row>
    <row r="39" spans="4:18" ht="12.75" customHeight="1" x14ac:dyDescent="0.25">
      <c r="D39" s="2316" t="s">
        <v>525</v>
      </c>
      <c r="E39" s="2317"/>
      <c r="F39" s="2318"/>
      <c r="G39" s="2319"/>
      <c r="H39" s="2319"/>
      <c r="I39" s="2320"/>
      <c r="J39" s="2321">
        <v>596000</v>
      </c>
      <c r="K39" s="2321">
        <f>SUM(K36:K38)</f>
        <v>429000</v>
      </c>
      <c r="L39" s="2321">
        <f>SUM(L36:L38)</f>
        <v>490000</v>
      </c>
      <c r="M39" s="2321">
        <f>SUM(M36:M38)</f>
        <v>511000</v>
      </c>
      <c r="N39" s="2321">
        <f>SUM(N36:N38)</f>
        <v>533000</v>
      </c>
      <c r="O39" s="2321">
        <f>SUM(O36:O38)</f>
        <v>555000</v>
      </c>
    </row>
    <row r="40" spans="4:18" ht="12.75" customHeight="1" x14ac:dyDescent="0.25">
      <c r="E40" s="877"/>
      <c r="F40" s="878"/>
    </row>
    <row r="41" spans="4:18" ht="12.75" customHeight="1" x14ac:dyDescent="0.25">
      <c r="D41" s="2310" t="s">
        <v>526</v>
      </c>
      <c r="E41" s="2311"/>
      <c r="F41" s="2311"/>
      <c r="G41" s="2312"/>
      <c r="H41" s="2312"/>
      <c r="I41" s="2313"/>
      <c r="J41" s="2313">
        <v>2025</v>
      </c>
      <c r="K41" s="2313">
        <v>2026</v>
      </c>
      <c r="L41" s="2313">
        <v>2027</v>
      </c>
      <c r="M41" s="2313">
        <v>2028</v>
      </c>
      <c r="N41" s="2313">
        <v>2029</v>
      </c>
      <c r="O41" s="2313">
        <v>2030</v>
      </c>
    </row>
    <row r="42" spans="4:18" ht="12.75" customHeight="1" x14ac:dyDescent="0.25">
      <c r="D42" s="2389"/>
      <c r="E42" s="2390"/>
      <c r="F42" s="2391"/>
      <c r="G42" s="889"/>
      <c r="H42" s="889"/>
      <c r="I42" s="879"/>
      <c r="J42" s="875"/>
      <c r="K42" s="875"/>
      <c r="L42" s="875"/>
      <c r="M42" s="875"/>
      <c r="N42" s="875"/>
      <c r="O42" s="875"/>
    </row>
    <row r="43" spans="4:18" ht="12.75" customHeight="1" x14ac:dyDescent="0.25">
      <c r="D43" s="876"/>
      <c r="E43" s="877"/>
      <c r="F43" s="878"/>
      <c r="I43" s="879"/>
      <c r="J43" s="875"/>
      <c r="K43" s="875"/>
      <c r="L43" s="875"/>
      <c r="M43" s="875"/>
      <c r="N43" s="875"/>
      <c r="O43" s="875"/>
    </row>
    <row r="44" spans="4:18" ht="12.75" customHeight="1" x14ac:dyDescent="0.25">
      <c r="D44" s="881"/>
      <c r="E44" s="882"/>
      <c r="F44" s="883"/>
      <c r="G44" s="884"/>
      <c r="H44" s="884"/>
      <c r="I44" s="879"/>
      <c r="J44" s="880"/>
      <c r="K44" s="880"/>
      <c r="L44" s="880"/>
      <c r="M44" s="880"/>
      <c r="N44" s="880"/>
      <c r="O44" s="880"/>
    </row>
    <row r="45" spans="4:18" ht="12.75" customHeight="1" x14ac:dyDescent="0.25">
      <c r="D45" s="2316" t="s">
        <v>328</v>
      </c>
      <c r="E45" s="2317"/>
      <c r="F45" s="2318"/>
      <c r="G45" s="2319"/>
      <c r="H45" s="2319"/>
      <c r="I45" s="2320"/>
      <c r="J45" s="2321">
        <v>0</v>
      </c>
      <c r="K45" s="2321">
        <f>SUM(K42:K44)</f>
        <v>0</v>
      </c>
      <c r="L45" s="2321">
        <f>SUM(L42:L44)</f>
        <v>0</v>
      </c>
      <c r="M45" s="2321">
        <f>SUM(M42:M44)</f>
        <v>0</v>
      </c>
      <c r="N45" s="2321">
        <f>SUM(N42:N44)</f>
        <v>0</v>
      </c>
      <c r="O45" s="2321">
        <f>SUM(O42:O44)</f>
        <v>0</v>
      </c>
    </row>
    <row r="46" spans="4:18" ht="12.75" customHeight="1" x14ac:dyDescent="0.25">
      <c r="E46" s="877"/>
      <c r="F46" s="878"/>
      <c r="J46" s="885"/>
      <c r="K46" s="885"/>
      <c r="L46" s="885"/>
      <c r="M46" s="885"/>
      <c r="N46" s="885"/>
      <c r="O46" s="885"/>
    </row>
    <row r="47" spans="4:18" ht="12.75" customHeight="1" x14ac:dyDescent="0.3">
      <c r="D47" s="2322" t="s">
        <v>976</v>
      </c>
      <c r="E47" s="2323"/>
      <c r="F47" s="2323"/>
      <c r="G47" s="2319"/>
      <c r="H47" s="2319"/>
      <c r="I47" s="2320"/>
      <c r="J47" s="2324">
        <v>596000</v>
      </c>
      <c r="K47" s="2324">
        <f>K39+K45</f>
        <v>429000</v>
      </c>
      <c r="L47" s="2324">
        <f>L39+L45</f>
        <v>490000</v>
      </c>
      <c r="M47" s="2324">
        <f>M39+M45</f>
        <v>511000</v>
      </c>
      <c r="N47" s="2324">
        <f>N39+N45</f>
        <v>533000</v>
      </c>
      <c r="O47" s="2324">
        <f>O39+O45</f>
        <v>555000</v>
      </c>
    </row>
    <row r="48" spans="4:18" ht="12.75" customHeight="1" x14ac:dyDescent="0.25">
      <c r="E48" s="877"/>
      <c r="F48" s="878"/>
      <c r="J48" s="885"/>
      <c r="K48" s="885"/>
      <c r="L48" s="885"/>
      <c r="M48" s="885"/>
      <c r="N48" s="885"/>
      <c r="O48" s="885"/>
    </row>
    <row r="49" spans="1:16" ht="12.75" customHeight="1" x14ac:dyDescent="0.25">
      <c r="E49" s="864"/>
      <c r="F49" s="864"/>
      <c r="J49" s="885"/>
      <c r="K49" s="885"/>
      <c r="L49" s="885"/>
      <c r="M49" s="885"/>
      <c r="N49" s="885"/>
      <c r="O49" s="885"/>
    </row>
    <row r="50" spans="1:16" ht="12.75" customHeight="1" x14ac:dyDescent="0.25">
      <c r="D50" s="870" t="s">
        <v>528</v>
      </c>
      <c r="E50" s="886"/>
      <c r="F50" s="886"/>
    </row>
    <row r="52" spans="1:16" ht="12.75" customHeight="1" x14ac:dyDescent="0.25">
      <c r="A52" s="862"/>
      <c r="D52" s="2613" t="s">
        <v>529</v>
      </c>
      <c r="E52" s="2325" t="s">
        <v>530</v>
      </c>
      <c r="F52" s="2585" t="s">
        <v>531</v>
      </c>
      <c r="G52" s="2587" t="s">
        <v>206</v>
      </c>
      <c r="H52" s="2588"/>
      <c r="I52" s="2326"/>
      <c r="J52" s="2320"/>
      <c r="K52" s="2320"/>
      <c r="L52" s="2320"/>
      <c r="M52" s="2320"/>
      <c r="N52" s="2320"/>
      <c r="O52" s="2320"/>
    </row>
    <row r="53" spans="1:16" ht="12.75" customHeight="1" x14ac:dyDescent="0.25">
      <c r="A53" s="862"/>
      <c r="D53" s="2614"/>
      <c r="E53" s="887" t="s">
        <v>532</v>
      </c>
      <c r="F53" s="2586"/>
      <c r="G53" s="2589"/>
      <c r="H53" s="2590"/>
      <c r="I53" s="276"/>
      <c r="J53" s="2327">
        <v>2025</v>
      </c>
      <c r="K53" s="2327">
        <v>2026</v>
      </c>
      <c r="L53" s="2327">
        <v>2027</v>
      </c>
      <c r="M53" s="2327">
        <v>2028</v>
      </c>
      <c r="N53" s="2327">
        <v>2029</v>
      </c>
      <c r="O53" s="2327">
        <v>2030</v>
      </c>
    </row>
    <row r="54" spans="1:16" ht="12.75" customHeight="1" x14ac:dyDescent="0.25">
      <c r="A54" s="862"/>
      <c r="D54" s="2465"/>
      <c r="E54" s="2466"/>
      <c r="F54" s="2467"/>
      <c r="G54" s="2468"/>
      <c r="H54" s="2469"/>
      <c r="I54" s="2470"/>
      <c r="J54" s="2470"/>
      <c r="K54" s="2470"/>
      <c r="L54" s="2470"/>
      <c r="M54" s="2488"/>
      <c r="N54" s="2488"/>
      <c r="O54" s="2488"/>
    </row>
    <row r="55" spans="1:16" ht="12.75" customHeight="1" x14ac:dyDescent="0.25">
      <c r="A55" s="862"/>
      <c r="D55" s="890">
        <f>D66</f>
        <v>695001</v>
      </c>
      <c r="E55" s="891"/>
      <c r="F55" s="891"/>
      <c r="G55" s="868" t="str">
        <f>E66</f>
        <v>Jeugdbescherming</v>
      </c>
      <c r="J55" s="2346"/>
      <c r="K55" s="2346"/>
      <c r="L55" s="2346"/>
      <c r="M55" s="2346"/>
      <c r="N55" s="2346"/>
      <c r="O55" s="2346"/>
    </row>
    <row r="56" spans="1:16" ht="12.75" customHeight="1" x14ac:dyDescent="0.25">
      <c r="A56" s="862"/>
      <c r="D56" s="890"/>
      <c r="E56" s="891"/>
      <c r="F56" s="891"/>
      <c r="G56" s="873" t="s">
        <v>533</v>
      </c>
      <c r="J56" s="2346"/>
      <c r="K56" s="2346"/>
      <c r="L56" s="2346"/>
      <c r="M56" s="2346"/>
      <c r="N56" s="2346"/>
      <c r="O56" s="2346"/>
    </row>
    <row r="57" spans="1:16" ht="12.75" customHeight="1" x14ac:dyDescent="0.25">
      <c r="A57" s="896">
        <f>D55</f>
        <v>695001</v>
      </c>
      <c r="B57" s="863" t="str">
        <f>G55</f>
        <v>Jeugdbescherming</v>
      </c>
      <c r="D57" s="893">
        <v>43410</v>
      </c>
      <c r="E57" s="893"/>
      <c r="F57" s="893"/>
      <c r="G57" s="895" t="s">
        <v>3341</v>
      </c>
      <c r="I57" s="885"/>
      <c r="J57" s="875">
        <v>331000</v>
      </c>
      <c r="K57" s="875">
        <f t="shared" ref="K57:O57" si="1">K71</f>
        <v>152000</v>
      </c>
      <c r="L57" s="875">
        <f t="shared" si="1"/>
        <v>250000</v>
      </c>
      <c r="M57" s="875">
        <f t="shared" si="1"/>
        <v>261000</v>
      </c>
      <c r="N57" s="875">
        <f t="shared" si="1"/>
        <v>272000</v>
      </c>
      <c r="O57" s="875">
        <f t="shared" si="1"/>
        <v>283000</v>
      </c>
    </row>
    <row r="58" spans="1:16" ht="12.75" customHeight="1" x14ac:dyDescent="0.25">
      <c r="A58" s="896">
        <f>D55</f>
        <v>695001</v>
      </c>
      <c r="B58" s="863" t="str">
        <f>G55</f>
        <v>Jeugdbescherming</v>
      </c>
      <c r="D58" s="893">
        <v>44360</v>
      </c>
      <c r="E58" s="893"/>
      <c r="F58" s="893"/>
      <c r="G58" s="863" t="s">
        <v>4509</v>
      </c>
      <c r="I58" s="885"/>
      <c r="J58" s="875">
        <v>265000</v>
      </c>
      <c r="K58" s="875">
        <f t="shared" ref="K58:O58" si="2">K75</f>
        <v>277000</v>
      </c>
      <c r="L58" s="875">
        <f t="shared" si="2"/>
        <v>240000</v>
      </c>
      <c r="M58" s="875">
        <f t="shared" si="2"/>
        <v>250000</v>
      </c>
      <c r="N58" s="875">
        <f t="shared" si="2"/>
        <v>261000</v>
      </c>
      <c r="O58" s="875">
        <f t="shared" si="2"/>
        <v>272000</v>
      </c>
    </row>
    <row r="59" spans="1:16" ht="12.75" customHeight="1" thickBot="1" x14ac:dyDescent="0.3">
      <c r="A59" s="862"/>
      <c r="D59" s="2331"/>
      <c r="E59" s="2331"/>
      <c r="F59" s="2331"/>
      <c r="G59" s="863" t="s">
        <v>536</v>
      </c>
      <c r="I59" s="885"/>
      <c r="J59" s="2333">
        <v>596000</v>
      </c>
      <c r="K59" s="2333">
        <f t="shared" ref="K59:O59" si="3">SUM(K56:K58)</f>
        <v>429000</v>
      </c>
      <c r="L59" s="2333">
        <f t="shared" si="3"/>
        <v>490000</v>
      </c>
      <c r="M59" s="2333">
        <f t="shared" si="3"/>
        <v>511000</v>
      </c>
      <c r="N59" s="2333">
        <f t="shared" si="3"/>
        <v>533000</v>
      </c>
      <c r="O59" s="2333">
        <f t="shared" si="3"/>
        <v>555000</v>
      </c>
    </row>
    <row r="60" spans="1:16" ht="12.75" customHeight="1" thickTop="1" x14ac:dyDescent="0.25">
      <c r="A60" s="862"/>
      <c r="D60" s="2331"/>
      <c r="E60" s="2331"/>
      <c r="F60" s="2331"/>
      <c r="I60" s="885"/>
      <c r="J60" s="2395"/>
      <c r="K60" s="2395"/>
      <c r="L60" s="2395"/>
      <c r="M60" s="2395"/>
      <c r="N60" s="2395"/>
      <c r="O60" s="2395"/>
    </row>
    <row r="61" spans="1:16" ht="12.75" customHeight="1" x14ac:dyDescent="0.25">
      <c r="D61" s="2375"/>
      <c r="E61" s="2337"/>
      <c r="F61" s="2337"/>
      <c r="G61" s="899"/>
      <c r="H61" s="884"/>
      <c r="I61" s="900"/>
      <c r="J61" s="901"/>
      <c r="K61" s="901"/>
      <c r="L61" s="901"/>
      <c r="M61" s="901"/>
      <c r="N61" s="901"/>
      <c r="O61" s="901"/>
    </row>
    <row r="62" spans="1:16" ht="12.75" customHeight="1" x14ac:dyDescent="0.25">
      <c r="D62" s="903"/>
      <c r="E62" s="903"/>
      <c r="F62" s="903"/>
      <c r="I62" s="885"/>
      <c r="J62" s="885"/>
      <c r="K62" s="885"/>
      <c r="L62" s="885"/>
      <c r="M62" s="885"/>
      <c r="N62" s="885"/>
      <c r="O62" s="885"/>
      <c r="P62" s="885"/>
    </row>
    <row r="63" spans="1:16" ht="12.75" customHeight="1" x14ac:dyDescent="0.25">
      <c r="A63" s="862"/>
      <c r="D63" s="902" t="s">
        <v>561</v>
      </c>
      <c r="E63" s="903"/>
      <c r="F63" s="903"/>
      <c r="G63" s="868"/>
      <c r="I63" s="885"/>
      <c r="J63" s="885"/>
      <c r="K63" s="885"/>
      <c r="L63" s="885"/>
      <c r="M63" s="885"/>
      <c r="N63" s="885"/>
      <c r="O63" s="885"/>
      <c r="P63" s="885"/>
    </row>
    <row r="64" spans="1:16" ht="12.75" customHeight="1" x14ac:dyDescent="0.25">
      <c r="A64" s="862"/>
      <c r="D64" s="903"/>
      <c r="E64" s="903"/>
      <c r="F64" s="903"/>
      <c r="I64" s="885"/>
      <c r="J64" s="885"/>
      <c r="K64" s="885"/>
      <c r="L64" s="885"/>
      <c r="M64" s="885"/>
      <c r="N64" s="885"/>
      <c r="O64" s="885"/>
      <c r="P64" s="885"/>
    </row>
    <row r="66" spans="1:24" ht="12.75" customHeight="1" x14ac:dyDescent="0.25">
      <c r="A66" s="862"/>
      <c r="D66" s="905">
        <v>695001</v>
      </c>
      <c r="E66" s="868" t="s">
        <v>301</v>
      </c>
      <c r="F66" s="886"/>
      <c r="I66" s="885"/>
      <c r="J66" s="2475">
        <v>2025</v>
      </c>
      <c r="K66" s="2475">
        <v>2026</v>
      </c>
      <c r="L66" s="2475">
        <v>2027</v>
      </c>
      <c r="M66" s="2475">
        <v>2028</v>
      </c>
      <c r="N66" s="2475">
        <v>2029</v>
      </c>
      <c r="O66" s="2475">
        <v>2030</v>
      </c>
      <c r="U66" s="873"/>
      <c r="V66" s="873"/>
      <c r="W66" s="873"/>
      <c r="X66" s="873"/>
    </row>
    <row r="67" spans="1:24" ht="12.75" customHeight="1" x14ac:dyDescent="0.25">
      <c r="A67" s="862"/>
      <c r="D67" s="863"/>
      <c r="E67" s="2377" t="s">
        <v>533</v>
      </c>
      <c r="F67" s="2400"/>
      <c r="I67" s="885"/>
      <c r="J67" s="885"/>
      <c r="K67" s="885"/>
      <c r="L67" s="885"/>
      <c r="M67" s="885"/>
      <c r="N67" s="885"/>
      <c r="O67" s="885"/>
      <c r="U67" s="885"/>
      <c r="V67" s="885"/>
      <c r="W67" s="885"/>
      <c r="X67" s="885"/>
    </row>
    <row r="68" spans="1:24" ht="12.75" customHeight="1" x14ac:dyDescent="0.25">
      <c r="A68" s="862"/>
      <c r="D68" s="865">
        <v>43410</v>
      </c>
      <c r="E68" s="869" t="s">
        <v>4510</v>
      </c>
      <c r="I68" s="885"/>
      <c r="J68" s="885">
        <v>331000</v>
      </c>
      <c r="K68" s="885">
        <f>ROUND(J68*S$5,-3)</f>
        <v>346000</v>
      </c>
      <c r="L68" s="885">
        <f>ROUND(346000*T$5,-3)</f>
        <v>361000</v>
      </c>
      <c r="M68" s="885">
        <f>ROUND(L68*U$5,-3)</f>
        <v>376000</v>
      </c>
      <c r="N68" s="885">
        <f t="shared" ref="N68:O70" si="4">ROUND(M68*V$5,-3)</f>
        <v>392000</v>
      </c>
      <c r="O68" s="885">
        <f t="shared" si="4"/>
        <v>408000</v>
      </c>
    </row>
    <row r="69" spans="1:24" ht="12.75" customHeight="1" x14ac:dyDescent="0.25">
      <c r="A69" s="862"/>
      <c r="D69" s="865"/>
      <c r="E69" s="869" t="s">
        <v>4476</v>
      </c>
      <c r="I69" s="885"/>
      <c r="J69" s="885"/>
      <c r="K69" s="885">
        <v>-194000</v>
      </c>
      <c r="L69" s="885">
        <f>ROUND(-194000*T$5,-3)</f>
        <v>-202000</v>
      </c>
      <c r="M69" s="885">
        <f t="shared" ref="M69:M70" si="5">ROUND(L69*U$5,-3)</f>
        <v>-210000</v>
      </c>
      <c r="N69" s="885">
        <f t="shared" si="4"/>
        <v>-219000</v>
      </c>
      <c r="O69" s="885">
        <f t="shared" si="4"/>
        <v>-228000</v>
      </c>
    </row>
    <row r="70" spans="1:24" ht="12.75" customHeight="1" x14ac:dyDescent="0.25">
      <c r="A70" s="862"/>
      <c r="D70" s="865"/>
      <c r="E70" s="863" t="s">
        <v>5417</v>
      </c>
      <c r="I70" s="885"/>
      <c r="J70" s="885"/>
      <c r="K70" s="885"/>
      <c r="L70" s="2343">
        <v>91000</v>
      </c>
      <c r="M70" s="2343">
        <f t="shared" si="5"/>
        <v>95000</v>
      </c>
      <c r="N70" s="2343">
        <f t="shared" si="4"/>
        <v>99000</v>
      </c>
      <c r="O70" s="2343">
        <f t="shared" si="4"/>
        <v>103000</v>
      </c>
    </row>
    <row r="71" spans="1:24" ht="12.75" customHeight="1" thickBot="1" x14ac:dyDescent="0.3">
      <c r="A71" s="862"/>
      <c r="D71" s="905"/>
      <c r="E71" s="2341" t="str">
        <f>"Totaal "&amp;D68</f>
        <v>Totaal 43410</v>
      </c>
      <c r="F71" s="886"/>
      <c r="I71" s="885"/>
      <c r="J71" s="2342">
        <v>331000</v>
      </c>
      <c r="K71" s="2342">
        <f>SUM(K68:K70)</f>
        <v>152000</v>
      </c>
      <c r="L71" s="2342">
        <f t="shared" ref="L71:O71" si="6">SUM(L68:L70)</f>
        <v>250000</v>
      </c>
      <c r="M71" s="2342">
        <f t="shared" si="6"/>
        <v>261000</v>
      </c>
      <c r="N71" s="2342">
        <f t="shared" si="6"/>
        <v>272000</v>
      </c>
      <c r="O71" s="2342">
        <f t="shared" si="6"/>
        <v>283000</v>
      </c>
      <c r="T71" s="885"/>
      <c r="U71" s="885"/>
      <c r="V71" s="885"/>
      <c r="W71" s="885"/>
      <c r="X71" s="885"/>
    </row>
    <row r="72" spans="1:24" ht="12.75" customHeight="1" thickTop="1" x14ac:dyDescent="0.25">
      <c r="A72" s="862"/>
      <c r="D72" s="905"/>
      <c r="E72" s="863"/>
      <c r="F72" s="886"/>
      <c r="I72" s="885"/>
      <c r="J72" s="885"/>
      <c r="K72" s="885"/>
      <c r="L72" s="885"/>
      <c r="M72" s="885"/>
      <c r="N72" s="885"/>
      <c r="O72" s="885"/>
      <c r="T72" s="885"/>
      <c r="U72" s="885"/>
      <c r="V72" s="885"/>
      <c r="W72" s="885"/>
      <c r="X72" s="885"/>
    </row>
    <row r="73" spans="1:24" ht="12.75" customHeight="1" x14ac:dyDescent="0.25">
      <c r="A73" s="862"/>
      <c r="D73" s="865">
        <v>44360</v>
      </c>
      <c r="E73" s="863" t="s">
        <v>301</v>
      </c>
      <c r="F73" s="886"/>
      <c r="I73" s="885"/>
      <c r="J73" s="885">
        <v>265000</v>
      </c>
      <c r="K73" s="885">
        <f>ROUND(J73*S$5,-3)</f>
        <v>277000</v>
      </c>
      <c r="L73" s="885">
        <f>ROUND(277000*T$5,-3)</f>
        <v>289000</v>
      </c>
      <c r="M73" s="885">
        <f>ROUND(L73*U$5,-3)</f>
        <v>301000</v>
      </c>
      <c r="N73" s="885">
        <f t="shared" ref="N73:O74" si="7">ROUND(M73*V$5,-3)</f>
        <v>314000</v>
      </c>
      <c r="O73" s="885">
        <f t="shared" si="7"/>
        <v>327000</v>
      </c>
      <c r="T73" s="885"/>
      <c r="U73" s="885"/>
      <c r="V73" s="885"/>
      <c r="W73" s="885"/>
      <c r="X73" s="885"/>
    </row>
    <row r="74" spans="1:24" ht="12.75" customHeight="1" x14ac:dyDescent="0.25">
      <c r="A74" s="862"/>
      <c r="D74" s="865"/>
      <c r="E74" s="863" t="s">
        <v>5417</v>
      </c>
      <c r="F74" s="886"/>
      <c r="I74" s="885"/>
      <c r="J74" s="885"/>
      <c r="K74" s="885"/>
      <c r="L74" s="2343">
        <v>-49000</v>
      </c>
      <c r="M74" s="2343">
        <f>ROUND(L74*U$5,-3)</f>
        <v>-51000</v>
      </c>
      <c r="N74" s="2343">
        <f t="shared" si="7"/>
        <v>-53000</v>
      </c>
      <c r="O74" s="2343">
        <f t="shared" si="7"/>
        <v>-55000</v>
      </c>
      <c r="T74" s="885"/>
      <c r="U74" s="885"/>
      <c r="V74" s="885"/>
      <c r="W74" s="885"/>
      <c r="X74" s="885"/>
    </row>
    <row r="75" spans="1:24" ht="12.75" customHeight="1" thickBot="1" x14ac:dyDescent="0.3">
      <c r="A75" s="862"/>
      <c r="D75" s="865"/>
      <c r="E75" s="2341" t="str">
        <f>"Totaal "&amp;D73</f>
        <v>Totaal 44360</v>
      </c>
      <c r="F75" s="886"/>
      <c r="I75" s="885"/>
      <c r="J75" s="2342">
        <v>265000</v>
      </c>
      <c r="K75" s="2342">
        <f>SUM(K73:K74)</f>
        <v>277000</v>
      </c>
      <c r="L75" s="2342">
        <f t="shared" ref="L75:O75" si="8">SUM(L73:L74)</f>
        <v>240000</v>
      </c>
      <c r="M75" s="2342">
        <f t="shared" si="8"/>
        <v>250000</v>
      </c>
      <c r="N75" s="2342">
        <f t="shared" si="8"/>
        <v>261000</v>
      </c>
      <c r="O75" s="2342">
        <f t="shared" si="8"/>
        <v>272000</v>
      </c>
      <c r="T75" s="885"/>
      <c r="U75" s="885"/>
      <c r="V75" s="885"/>
      <c r="W75" s="885"/>
      <c r="X75" s="885"/>
    </row>
    <row r="76" spans="1:24" ht="12.75" customHeight="1" thickTop="1" x14ac:dyDescent="0.25">
      <c r="A76" s="862"/>
      <c r="D76" s="905"/>
      <c r="E76" s="863"/>
      <c r="F76" s="886"/>
      <c r="I76" s="885"/>
      <c r="J76" s="885"/>
      <c r="K76" s="885"/>
      <c r="L76" s="885"/>
      <c r="M76" s="885"/>
      <c r="N76" s="885"/>
      <c r="O76" s="885"/>
      <c r="T76" s="885"/>
      <c r="U76" s="885"/>
      <c r="V76" s="885"/>
      <c r="W76" s="885"/>
      <c r="X76" s="885"/>
    </row>
    <row r="77" spans="1:24" ht="12.75" customHeight="1" x14ac:dyDescent="0.25">
      <c r="A77" s="862"/>
      <c r="D77" s="905"/>
      <c r="E77" s="863"/>
      <c r="F77" s="886"/>
      <c r="I77" s="885"/>
      <c r="J77" s="885"/>
      <c r="K77" s="885"/>
      <c r="L77" s="885"/>
      <c r="M77" s="885"/>
      <c r="N77" s="885"/>
      <c r="O77" s="885"/>
      <c r="T77" s="885"/>
      <c r="U77" s="885"/>
      <c r="V77" s="885"/>
      <c r="W77" s="885"/>
      <c r="X77" s="885"/>
    </row>
    <row r="78" spans="1:24" ht="12.75" customHeight="1" x14ac:dyDescent="0.25">
      <c r="A78" s="862"/>
      <c r="D78" s="905"/>
      <c r="E78" s="2341"/>
      <c r="F78" s="886"/>
      <c r="J78" s="2358"/>
      <c r="K78" s="2358"/>
      <c r="L78" s="2358"/>
      <c r="M78" s="2358"/>
      <c r="N78" s="2358"/>
      <c r="O78" s="2358"/>
    </row>
    <row r="79" spans="1:24" ht="12.75" customHeight="1" x14ac:dyDescent="0.25">
      <c r="E79" s="863"/>
    </row>
    <row r="81" spans="1:15" ht="12.75" customHeight="1" x14ac:dyDescent="0.25">
      <c r="D81" s="905"/>
      <c r="E81" s="886"/>
      <c r="F81" s="886"/>
      <c r="G81" s="868"/>
      <c r="I81" s="885"/>
      <c r="J81" s="2357"/>
      <c r="K81" s="2357"/>
      <c r="L81" s="2357"/>
      <c r="M81" s="2357"/>
      <c r="N81" s="2357"/>
      <c r="O81" s="2357"/>
    </row>
    <row r="82" spans="1:15" ht="12.75" customHeight="1" x14ac:dyDescent="0.25">
      <c r="D82" s="903"/>
      <c r="E82" s="903"/>
      <c r="F82" s="903"/>
      <c r="G82" s="873"/>
      <c r="I82" s="885"/>
      <c r="J82" s="885"/>
      <c r="K82" s="885"/>
      <c r="L82" s="885"/>
      <c r="M82" s="885"/>
      <c r="N82" s="885"/>
      <c r="O82" s="885"/>
    </row>
    <row r="83" spans="1:15" ht="12.75" customHeight="1" x14ac:dyDescent="0.25">
      <c r="D83" s="865"/>
      <c r="I83" s="885"/>
      <c r="J83" s="885"/>
      <c r="K83" s="885"/>
      <c r="L83" s="885"/>
      <c r="M83" s="885"/>
      <c r="N83" s="885"/>
      <c r="O83" s="885"/>
    </row>
    <row r="84" spans="1:15" ht="12.75" customHeight="1" x14ac:dyDescent="0.25">
      <c r="D84" s="903"/>
      <c r="E84" s="903"/>
      <c r="F84" s="903"/>
      <c r="I84" s="885"/>
      <c r="J84" s="885"/>
      <c r="K84" s="885"/>
      <c r="L84" s="885"/>
      <c r="M84" s="885"/>
      <c r="N84" s="885"/>
      <c r="O84" s="885"/>
    </row>
    <row r="85" spans="1:15" ht="12.75" customHeight="1" x14ac:dyDescent="0.25">
      <c r="D85" s="865"/>
      <c r="G85" s="2480"/>
      <c r="I85" s="885"/>
      <c r="J85" s="885"/>
      <c r="K85" s="885"/>
      <c r="L85" s="885"/>
      <c r="M85" s="885"/>
      <c r="N85" s="885"/>
      <c r="O85" s="885"/>
    </row>
    <row r="86" spans="1:15" ht="12.75" customHeight="1" x14ac:dyDescent="0.25">
      <c r="A86" s="862"/>
    </row>
    <row r="87" spans="1:15" ht="12.75" customHeight="1" x14ac:dyDescent="0.25">
      <c r="A87" s="862"/>
    </row>
    <row r="88" spans="1:15" ht="12.75" customHeight="1" x14ac:dyDescent="0.25">
      <c r="A88" s="862"/>
    </row>
    <row r="89" spans="1:15" ht="12.75" customHeight="1" x14ac:dyDescent="0.25">
      <c r="A89" s="862"/>
    </row>
  </sheetData>
  <mergeCells count="3">
    <mergeCell ref="D52:D53"/>
    <mergeCell ref="F52:F53"/>
    <mergeCell ref="G52:H53"/>
  </mergeCells>
  <hyperlinks>
    <hyperlink ref="A1" location="Inhoudsopgave!A1" display="Inhoudsopgave" xr:uid="{18D7A1A3-079C-412C-9897-CAEE1D4D2E4A}"/>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8935-B0AC-4F83-B265-136888773743}">
  <dimension ref="A1:X86"/>
  <sheetViews>
    <sheetView showGridLines="0" view="pageBreakPreview" zoomScaleNormal="100" zoomScaleSheetLayoutView="100" workbookViewId="0">
      <selection activeCell="S34" sqref="S34"/>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5" width="11.6640625" style="863" customWidth="1"/>
    <col min="16" max="16" width="10.109375" style="863" customWidth="1"/>
    <col min="17" max="17" width="12.109375" style="863" customWidth="1"/>
    <col min="18"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4511</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9" spans="1:23" ht="12.75" customHeight="1" x14ac:dyDescent="0.25">
      <c r="E9" s="870" t="s">
        <v>4512</v>
      </c>
    </row>
    <row r="30" spans="4:15" ht="12.75" customHeight="1" x14ac:dyDescent="0.25">
      <c r="D30" s="870" t="s">
        <v>507</v>
      </c>
      <c r="E30" s="864"/>
      <c r="F30" s="864"/>
    </row>
    <row r="31" spans="4:15" ht="12.75" customHeight="1" x14ac:dyDescent="0.25">
      <c r="E31" s="864"/>
      <c r="F31" s="864"/>
    </row>
    <row r="32" spans="4:15" ht="12.75" customHeight="1" x14ac:dyDescent="0.25">
      <c r="D32" s="2310" t="s">
        <v>508</v>
      </c>
      <c r="E32" s="2311"/>
      <c r="F32" s="2311"/>
      <c r="G32" s="2312"/>
      <c r="H32" s="2312"/>
      <c r="I32" s="2313"/>
      <c r="J32" s="2313">
        <v>2025</v>
      </c>
      <c r="K32" s="2313">
        <v>2026</v>
      </c>
      <c r="L32" s="2313">
        <v>2027</v>
      </c>
      <c r="M32" s="2313">
        <v>2028</v>
      </c>
      <c r="N32" s="2313">
        <v>2029</v>
      </c>
      <c r="O32" s="2313">
        <v>2030</v>
      </c>
    </row>
    <row r="33" spans="4:18" ht="12.75" customHeight="1" x14ac:dyDescent="0.25">
      <c r="D33" s="871" t="str">
        <f>G56</f>
        <v>Jeugdreclassering</v>
      </c>
      <c r="E33" s="2463"/>
      <c r="F33" s="2463"/>
      <c r="I33" s="879"/>
      <c r="J33" s="880">
        <v>56000</v>
      </c>
      <c r="K33" s="880">
        <f t="shared" ref="K33:O33" si="0">K59</f>
        <v>85000</v>
      </c>
      <c r="L33" s="880">
        <f t="shared" si="0"/>
        <v>48000</v>
      </c>
      <c r="M33" s="880">
        <f t="shared" si="0"/>
        <v>50000</v>
      </c>
      <c r="N33" s="880">
        <f t="shared" si="0"/>
        <v>52000</v>
      </c>
      <c r="O33" s="880">
        <f t="shared" si="0"/>
        <v>54000</v>
      </c>
    </row>
    <row r="34" spans="4:18" ht="12.75" customHeight="1" x14ac:dyDescent="0.25">
      <c r="D34" s="876"/>
      <c r="E34" s="877"/>
      <c r="F34" s="878"/>
      <c r="I34" s="879"/>
      <c r="J34" s="274"/>
      <c r="K34" s="274"/>
      <c r="L34" s="274"/>
      <c r="M34" s="274"/>
      <c r="N34" s="274"/>
      <c r="O34" s="274"/>
    </row>
    <row r="35" spans="4:18" ht="12.75" customHeight="1" x14ac:dyDescent="0.25">
      <c r="D35" s="876"/>
      <c r="E35" s="877"/>
      <c r="F35" s="878"/>
      <c r="I35" s="879"/>
      <c r="J35" s="274"/>
      <c r="K35" s="274"/>
      <c r="L35" s="274"/>
      <c r="M35" s="274"/>
      <c r="N35" s="274"/>
      <c r="O35" s="274"/>
    </row>
    <row r="36" spans="4:18" ht="12.75" customHeight="1" x14ac:dyDescent="0.25">
      <c r="D36" s="876"/>
      <c r="E36" s="877"/>
      <c r="F36" s="878"/>
      <c r="I36" s="879"/>
      <c r="J36" s="274"/>
      <c r="K36" s="274"/>
      <c r="L36" s="274"/>
      <c r="M36" s="274"/>
      <c r="N36" s="274"/>
      <c r="O36" s="274"/>
    </row>
    <row r="37" spans="4:18" ht="12.75" customHeight="1" x14ac:dyDescent="0.25">
      <c r="D37" s="876"/>
      <c r="E37" s="877"/>
      <c r="F37" s="878"/>
      <c r="I37" s="879"/>
      <c r="J37" s="274"/>
      <c r="K37" s="274"/>
      <c r="L37" s="274"/>
      <c r="M37" s="274"/>
      <c r="N37" s="274"/>
      <c r="O37" s="274"/>
    </row>
    <row r="38" spans="4:18" ht="12.75" customHeight="1" x14ac:dyDescent="0.25">
      <c r="D38" s="876"/>
      <c r="E38" s="877"/>
      <c r="F38" s="878"/>
      <c r="I38" s="879"/>
      <c r="J38" s="275"/>
      <c r="K38" s="275"/>
      <c r="L38" s="275"/>
      <c r="M38" s="275"/>
      <c r="N38" s="275"/>
      <c r="O38" s="275"/>
      <c r="P38" s="885"/>
      <c r="Q38" s="885"/>
      <c r="R38" s="885"/>
    </row>
    <row r="39" spans="4:18" ht="12.75" customHeight="1" x14ac:dyDescent="0.25">
      <c r="D39" s="2316" t="s">
        <v>525</v>
      </c>
      <c r="E39" s="2317"/>
      <c r="F39" s="2318"/>
      <c r="G39" s="2319"/>
      <c r="H39" s="2319"/>
      <c r="I39" s="2320"/>
      <c r="J39" s="2321">
        <v>56000</v>
      </c>
      <c r="K39" s="2321">
        <f>SUM(K33:K38)</f>
        <v>85000</v>
      </c>
      <c r="L39" s="2321">
        <f>SUM(L33:L38)</f>
        <v>48000</v>
      </c>
      <c r="M39" s="2321">
        <f>SUM(M33:M38)</f>
        <v>50000</v>
      </c>
      <c r="N39" s="2321">
        <f>SUM(N33:N38)</f>
        <v>52000</v>
      </c>
      <c r="O39" s="2321">
        <f>SUM(O33:O38)</f>
        <v>54000</v>
      </c>
    </row>
    <row r="40" spans="4:18" ht="12.75" customHeight="1" x14ac:dyDescent="0.25">
      <c r="E40" s="877"/>
      <c r="F40" s="878"/>
    </row>
    <row r="41" spans="4:18" ht="12.75" customHeight="1" x14ac:dyDescent="0.25">
      <c r="D41" s="2310" t="s">
        <v>526</v>
      </c>
      <c r="E41" s="2311"/>
      <c r="F41" s="2311"/>
      <c r="G41" s="2312"/>
      <c r="H41" s="2312"/>
      <c r="I41" s="2313"/>
      <c r="J41" s="2313">
        <v>2025</v>
      </c>
      <c r="K41" s="2313">
        <v>2026</v>
      </c>
      <c r="L41" s="2313">
        <v>2027</v>
      </c>
      <c r="M41" s="2313">
        <v>2028</v>
      </c>
      <c r="N41" s="2313">
        <v>2029</v>
      </c>
      <c r="O41" s="2313">
        <v>2030</v>
      </c>
    </row>
    <row r="42" spans="4:18" ht="12.75" customHeight="1" x14ac:dyDescent="0.25">
      <c r="D42" s="2389"/>
      <c r="E42" s="2390"/>
      <c r="F42" s="2391"/>
      <c r="G42" s="889"/>
      <c r="H42" s="889"/>
      <c r="I42" s="879"/>
      <c r="J42" s="875"/>
      <c r="K42" s="875"/>
      <c r="L42" s="875"/>
      <c r="M42" s="875"/>
      <c r="N42" s="875"/>
      <c r="O42" s="875"/>
    </row>
    <row r="43" spans="4:18" ht="12.75" customHeight="1" x14ac:dyDescent="0.25">
      <c r="D43" s="876"/>
      <c r="E43" s="877"/>
      <c r="F43" s="878"/>
      <c r="I43" s="879"/>
      <c r="J43" s="875"/>
      <c r="K43" s="875"/>
      <c r="L43" s="875"/>
      <c r="M43" s="875"/>
      <c r="N43" s="875"/>
      <c r="O43" s="875"/>
    </row>
    <row r="44" spans="4:18" ht="12.75" customHeight="1" x14ac:dyDescent="0.25">
      <c r="D44" s="876"/>
      <c r="E44" s="877"/>
      <c r="F44" s="878"/>
      <c r="I44" s="879"/>
      <c r="J44" s="880"/>
      <c r="K44" s="880"/>
      <c r="L44" s="880"/>
      <c r="M44" s="880"/>
      <c r="N44" s="880"/>
      <c r="O44" s="880"/>
    </row>
    <row r="45" spans="4:18" ht="12.75" customHeight="1" x14ac:dyDescent="0.25">
      <c r="D45" s="881"/>
      <c r="E45" s="882"/>
      <c r="F45" s="883"/>
      <c r="G45" s="884"/>
      <c r="H45" s="884"/>
      <c r="I45" s="879"/>
      <c r="J45" s="880"/>
      <c r="K45" s="880"/>
      <c r="L45" s="880"/>
      <c r="M45" s="880"/>
      <c r="N45" s="880"/>
      <c r="O45" s="880"/>
    </row>
    <row r="46" spans="4:18" ht="12.75" customHeight="1" x14ac:dyDescent="0.25">
      <c r="D46" s="2316" t="s">
        <v>328</v>
      </c>
      <c r="E46" s="2317"/>
      <c r="F46" s="2318"/>
      <c r="G46" s="2319"/>
      <c r="H46" s="2319"/>
      <c r="I46" s="2320"/>
      <c r="J46" s="2321">
        <v>0</v>
      </c>
      <c r="K46" s="2321">
        <f>SUM(K42:K45)</f>
        <v>0</v>
      </c>
      <c r="L46" s="2321">
        <f>SUM(L42:L45)</f>
        <v>0</v>
      </c>
      <c r="M46" s="2321">
        <f>SUM(M42:M45)</f>
        <v>0</v>
      </c>
      <c r="N46" s="2321">
        <f>SUM(N42:N45)</f>
        <v>0</v>
      </c>
      <c r="O46" s="2321">
        <f>SUM(O42:O45)</f>
        <v>0</v>
      </c>
    </row>
    <row r="47" spans="4:18" ht="12.75" customHeight="1" x14ac:dyDescent="0.25">
      <c r="E47" s="877"/>
      <c r="F47" s="878"/>
      <c r="J47" s="885"/>
      <c r="K47" s="885"/>
      <c r="L47" s="885"/>
      <c r="M47" s="885"/>
      <c r="N47" s="885"/>
      <c r="O47" s="885"/>
    </row>
    <row r="48" spans="4:18" ht="12.75" customHeight="1" x14ac:dyDescent="0.3">
      <c r="D48" s="2322" t="s">
        <v>976</v>
      </c>
      <c r="E48" s="2323"/>
      <c r="F48" s="2323"/>
      <c r="G48" s="2319"/>
      <c r="H48" s="2319"/>
      <c r="I48" s="2320"/>
      <c r="J48" s="2324">
        <v>56000</v>
      </c>
      <c r="K48" s="2324">
        <f>K39+K46</f>
        <v>85000</v>
      </c>
      <c r="L48" s="2324">
        <f>L39+L46</f>
        <v>48000</v>
      </c>
      <c r="M48" s="2324">
        <f>M39+M46</f>
        <v>50000</v>
      </c>
      <c r="N48" s="2324">
        <f>N39+N46</f>
        <v>52000</v>
      </c>
      <c r="O48" s="2324">
        <f>O39+O46</f>
        <v>54000</v>
      </c>
    </row>
    <row r="49" spans="1:16" ht="12.75" customHeight="1" x14ac:dyDescent="0.25">
      <c r="E49" s="877"/>
      <c r="F49" s="878"/>
      <c r="J49" s="885"/>
      <c r="K49" s="885"/>
      <c r="L49" s="885"/>
      <c r="M49" s="885"/>
      <c r="N49" s="885"/>
      <c r="O49" s="885"/>
    </row>
    <row r="50" spans="1:16" ht="12.75" customHeight="1" x14ac:dyDescent="0.25">
      <c r="E50" s="864"/>
      <c r="F50" s="864"/>
      <c r="J50" s="885"/>
      <c r="K50" s="885"/>
      <c r="L50" s="885"/>
      <c r="M50" s="885"/>
      <c r="N50" s="885"/>
      <c r="O50" s="885"/>
    </row>
    <row r="51" spans="1:16" ht="12.75" customHeight="1" x14ac:dyDescent="0.25">
      <c r="D51" s="870" t="s">
        <v>528</v>
      </c>
      <c r="E51" s="886"/>
      <c r="F51" s="886"/>
    </row>
    <row r="53" spans="1:16" ht="12.75" customHeight="1" x14ac:dyDescent="0.25">
      <c r="A53" s="862"/>
      <c r="D53" s="2613" t="s">
        <v>529</v>
      </c>
      <c r="E53" s="2325" t="s">
        <v>530</v>
      </c>
      <c r="F53" s="2585" t="s">
        <v>531</v>
      </c>
      <c r="G53" s="2587" t="s">
        <v>206</v>
      </c>
      <c r="H53" s="2588"/>
      <c r="I53" s="2326"/>
      <c r="J53" s="2320"/>
      <c r="K53" s="2320"/>
      <c r="L53" s="2320"/>
      <c r="M53" s="2320"/>
      <c r="N53" s="2320"/>
      <c r="O53" s="2320"/>
    </row>
    <row r="54" spans="1:16" ht="12.75" customHeight="1" x14ac:dyDescent="0.25">
      <c r="A54" s="862"/>
      <c r="D54" s="2614"/>
      <c r="E54" s="887" t="s">
        <v>532</v>
      </c>
      <c r="F54" s="2586"/>
      <c r="G54" s="2589"/>
      <c r="H54" s="2590"/>
      <c r="I54" s="276"/>
      <c r="J54" s="2327">
        <v>2025</v>
      </c>
      <c r="K54" s="2327">
        <v>2026</v>
      </c>
      <c r="L54" s="2327">
        <v>2027</v>
      </c>
      <c r="M54" s="2327">
        <v>2028</v>
      </c>
      <c r="N54" s="2327">
        <v>2029</v>
      </c>
      <c r="O54" s="2327">
        <v>2030</v>
      </c>
    </row>
    <row r="55" spans="1:16" ht="12.75" customHeight="1" x14ac:dyDescent="0.25">
      <c r="A55" s="862"/>
      <c r="D55" s="2465"/>
      <c r="E55" s="2466"/>
      <c r="F55" s="2467"/>
      <c r="G55" s="2468"/>
      <c r="H55" s="2469"/>
      <c r="I55" s="2470"/>
      <c r="J55" s="2470"/>
      <c r="K55" s="2470"/>
      <c r="L55" s="2470"/>
      <c r="M55" s="2470"/>
      <c r="N55" s="2470"/>
      <c r="O55" s="2470"/>
    </row>
    <row r="56" spans="1:16" ht="12.75" customHeight="1" x14ac:dyDescent="0.25">
      <c r="A56" s="862"/>
      <c r="D56" s="890">
        <f>D68</f>
        <v>696001</v>
      </c>
      <c r="E56" s="891"/>
      <c r="F56" s="891"/>
      <c r="G56" s="868" t="str">
        <f>E68</f>
        <v>Jeugdreclassering</v>
      </c>
      <c r="J56" s="2346"/>
      <c r="K56" s="2346"/>
      <c r="L56" s="2346"/>
      <c r="M56" s="2346"/>
      <c r="N56" s="2346"/>
      <c r="O56" s="2346"/>
    </row>
    <row r="57" spans="1:16" ht="12.75" customHeight="1" x14ac:dyDescent="0.25">
      <c r="A57" s="862"/>
      <c r="D57" s="890"/>
      <c r="E57" s="891"/>
      <c r="F57" s="891"/>
      <c r="G57" s="873" t="s">
        <v>533</v>
      </c>
      <c r="J57" s="2346"/>
      <c r="K57" s="2346"/>
      <c r="L57" s="2346"/>
      <c r="M57" s="2346"/>
      <c r="N57" s="2346"/>
      <c r="O57" s="2346"/>
    </row>
    <row r="58" spans="1:16" ht="12.75" customHeight="1" x14ac:dyDescent="0.25">
      <c r="A58" s="896">
        <f>D56</f>
        <v>696001</v>
      </c>
      <c r="B58" s="863" t="str">
        <f>G56</f>
        <v>Jeugdreclassering</v>
      </c>
      <c r="D58" s="893">
        <v>43410</v>
      </c>
      <c r="E58" s="893"/>
      <c r="F58" s="893"/>
      <c r="G58" s="895" t="s">
        <v>3341</v>
      </c>
      <c r="I58" s="885"/>
      <c r="J58" s="875">
        <v>56000</v>
      </c>
      <c r="K58" s="875">
        <f t="shared" ref="K58:O58" si="1">K73</f>
        <v>85000</v>
      </c>
      <c r="L58" s="875">
        <f t="shared" si="1"/>
        <v>48000</v>
      </c>
      <c r="M58" s="875">
        <f t="shared" si="1"/>
        <v>50000</v>
      </c>
      <c r="N58" s="875">
        <f t="shared" si="1"/>
        <v>52000</v>
      </c>
      <c r="O58" s="875">
        <f t="shared" si="1"/>
        <v>54000</v>
      </c>
    </row>
    <row r="59" spans="1:16" ht="12.75" customHeight="1" thickBot="1" x14ac:dyDescent="0.3">
      <c r="A59" s="862"/>
      <c r="D59" s="2331"/>
      <c r="E59" s="2331"/>
      <c r="F59" s="2331"/>
      <c r="G59" s="863" t="s">
        <v>536</v>
      </c>
      <c r="I59" s="885"/>
      <c r="J59" s="2333">
        <v>56000</v>
      </c>
      <c r="K59" s="2333">
        <f>SUM(K57:K58)</f>
        <v>85000</v>
      </c>
      <c r="L59" s="2333">
        <f>SUM(L57:L58)</f>
        <v>48000</v>
      </c>
      <c r="M59" s="2333">
        <f>SUM(M57:M58)</f>
        <v>50000</v>
      </c>
      <c r="N59" s="2333">
        <f>SUM(N57:N58)</f>
        <v>52000</v>
      </c>
      <c r="O59" s="2333">
        <f>SUM(O57:O58)</f>
        <v>54000</v>
      </c>
    </row>
    <row r="60" spans="1:16" ht="12.75" customHeight="1" thickTop="1" x14ac:dyDescent="0.25">
      <c r="A60" s="862"/>
      <c r="D60" s="2331"/>
      <c r="E60" s="2331"/>
      <c r="F60" s="2331"/>
      <c r="I60" s="885"/>
      <c r="J60" s="2395"/>
      <c r="K60" s="2395"/>
      <c r="L60" s="2395"/>
      <c r="M60" s="2395"/>
      <c r="N60" s="2395"/>
      <c r="O60" s="2395"/>
    </row>
    <row r="61" spans="1:16" ht="12.75" customHeight="1" x14ac:dyDescent="0.25">
      <c r="D61" s="2375"/>
      <c r="E61" s="2337"/>
      <c r="F61" s="2337"/>
      <c r="G61" s="899"/>
      <c r="H61" s="884"/>
      <c r="I61" s="900"/>
      <c r="J61" s="901"/>
      <c r="K61" s="901"/>
      <c r="L61" s="901"/>
      <c r="M61" s="901"/>
      <c r="N61" s="901"/>
      <c r="O61" s="901"/>
    </row>
    <row r="62" spans="1:16" ht="12.75" customHeight="1" x14ac:dyDescent="0.25">
      <c r="D62" s="903"/>
      <c r="E62" s="903"/>
      <c r="F62" s="903"/>
      <c r="I62" s="885"/>
      <c r="J62" s="885"/>
      <c r="K62" s="885"/>
      <c r="L62" s="885"/>
      <c r="M62" s="885"/>
      <c r="N62" s="885"/>
      <c r="O62" s="885"/>
      <c r="P62" s="885"/>
    </row>
    <row r="63" spans="1:16" ht="12.75" customHeight="1" x14ac:dyDescent="0.25">
      <c r="D63" s="903"/>
      <c r="E63" s="903"/>
      <c r="F63" s="903"/>
      <c r="I63" s="885"/>
      <c r="J63" s="885"/>
      <c r="K63" s="885"/>
      <c r="L63" s="885"/>
      <c r="M63" s="885"/>
      <c r="N63" s="885"/>
      <c r="O63" s="885"/>
      <c r="P63" s="885"/>
    </row>
    <row r="64" spans="1:16" ht="12.75" customHeight="1" x14ac:dyDescent="0.25">
      <c r="D64" s="903"/>
      <c r="E64" s="903"/>
      <c r="F64" s="903"/>
      <c r="I64" s="885"/>
      <c r="J64" s="885"/>
      <c r="K64" s="885"/>
      <c r="L64" s="885"/>
      <c r="M64" s="885"/>
      <c r="N64" s="885"/>
      <c r="O64" s="885"/>
      <c r="P64" s="885"/>
    </row>
    <row r="65" spans="1:24" ht="12.75" customHeight="1" x14ac:dyDescent="0.25">
      <c r="A65" s="862"/>
      <c r="D65" s="902" t="s">
        <v>561</v>
      </c>
      <c r="E65" s="903"/>
      <c r="F65" s="903"/>
      <c r="G65" s="868"/>
      <c r="I65" s="885"/>
      <c r="J65" s="885"/>
      <c r="K65" s="885"/>
      <c r="L65" s="885"/>
      <c r="M65" s="885"/>
      <c r="N65" s="885"/>
      <c r="O65" s="885"/>
      <c r="P65" s="885"/>
    </row>
    <row r="66" spans="1:24" ht="12.75" customHeight="1" x14ac:dyDescent="0.25">
      <c r="A66" s="862"/>
      <c r="D66" s="903"/>
      <c r="E66" s="903"/>
      <c r="F66" s="903"/>
      <c r="I66" s="885"/>
      <c r="J66" s="885"/>
      <c r="K66" s="885"/>
      <c r="L66" s="885"/>
      <c r="M66" s="885"/>
      <c r="N66" s="885"/>
      <c r="O66" s="885"/>
      <c r="P66" s="885"/>
    </row>
    <row r="68" spans="1:24" ht="12.75" customHeight="1" x14ac:dyDescent="0.25">
      <c r="A68" s="862"/>
      <c r="D68" s="905">
        <v>696001</v>
      </c>
      <c r="E68" s="868" t="s">
        <v>303</v>
      </c>
      <c r="F68" s="886"/>
      <c r="I68" s="885"/>
      <c r="J68" s="2475">
        <v>2025</v>
      </c>
      <c r="K68" s="2475">
        <v>2026</v>
      </c>
      <c r="L68" s="2475">
        <v>2027</v>
      </c>
      <c r="M68" s="2475">
        <v>2028</v>
      </c>
      <c r="N68" s="2475">
        <v>2029</v>
      </c>
      <c r="O68" s="2475">
        <v>2030</v>
      </c>
      <c r="U68" s="873"/>
      <c r="V68" s="873"/>
      <c r="W68" s="873"/>
      <c r="X68" s="873"/>
    </row>
    <row r="69" spans="1:24" ht="12.75" customHeight="1" x14ac:dyDescent="0.25">
      <c r="A69" s="862"/>
      <c r="D69" s="863"/>
      <c r="E69" s="2377" t="s">
        <v>533</v>
      </c>
      <c r="F69" s="2400"/>
      <c r="I69" s="885"/>
      <c r="J69" s="885"/>
      <c r="K69" s="885"/>
      <c r="L69" s="885"/>
      <c r="M69" s="885"/>
      <c r="N69" s="885"/>
      <c r="O69" s="885"/>
      <c r="U69" s="885"/>
      <c r="V69" s="885"/>
      <c r="W69" s="885"/>
      <c r="X69" s="885"/>
    </row>
    <row r="70" spans="1:24" ht="12.75" customHeight="1" x14ac:dyDescent="0.25">
      <c r="A70" s="862"/>
      <c r="D70" s="865">
        <v>43410</v>
      </c>
      <c r="E70" s="869" t="s">
        <v>4513</v>
      </c>
      <c r="I70" s="885"/>
      <c r="J70" s="885">
        <v>56000</v>
      </c>
      <c r="K70" s="885">
        <f>ROUND(56000*S$5,-3)</f>
        <v>59000</v>
      </c>
      <c r="L70" s="885">
        <f>ROUND(59000*T$5,-3)</f>
        <v>61000</v>
      </c>
      <c r="M70" s="885">
        <f>ROUND(L70*U$5,-3)</f>
        <v>64000</v>
      </c>
      <c r="N70" s="885">
        <f t="shared" ref="N70:O72" si="2">ROUND(M70*V$5,-3)</f>
        <v>67000</v>
      </c>
      <c r="O70" s="885">
        <f t="shared" si="2"/>
        <v>70000</v>
      </c>
    </row>
    <row r="71" spans="1:24" ht="12.75" customHeight="1" x14ac:dyDescent="0.25">
      <c r="A71" s="862"/>
      <c r="D71" s="865"/>
      <c r="E71" s="869" t="s">
        <v>4476</v>
      </c>
      <c r="I71" s="885"/>
      <c r="J71" s="885"/>
      <c r="K71" s="885">
        <v>26000</v>
      </c>
      <c r="L71" s="885">
        <f>ROUND(26000*T$5,-3)</f>
        <v>27000</v>
      </c>
      <c r="M71" s="885">
        <f t="shared" ref="M71:M72" si="3">ROUND(L71*U$5,-3)</f>
        <v>28000</v>
      </c>
      <c r="N71" s="885">
        <f t="shared" si="2"/>
        <v>29000</v>
      </c>
      <c r="O71" s="885">
        <f t="shared" si="2"/>
        <v>30000</v>
      </c>
    </row>
    <row r="72" spans="1:24" ht="12.75" customHeight="1" x14ac:dyDescent="0.25">
      <c r="A72" s="862"/>
      <c r="D72" s="865"/>
      <c r="E72" s="869" t="s">
        <v>5417</v>
      </c>
      <c r="I72" s="885"/>
      <c r="J72" s="885"/>
      <c r="K72" s="885"/>
      <c r="L72" s="2343">
        <v>-40000</v>
      </c>
      <c r="M72" s="2343">
        <f t="shared" si="3"/>
        <v>-42000</v>
      </c>
      <c r="N72" s="2343">
        <f t="shared" si="2"/>
        <v>-44000</v>
      </c>
      <c r="O72" s="2343">
        <f t="shared" si="2"/>
        <v>-46000</v>
      </c>
    </row>
    <row r="73" spans="1:24" ht="12.75" customHeight="1" thickBot="1" x14ac:dyDescent="0.3">
      <c r="A73" s="862"/>
      <c r="D73" s="905"/>
      <c r="E73" s="2341" t="str">
        <f>"Totaal "&amp;D70</f>
        <v>Totaal 43410</v>
      </c>
      <c r="F73" s="886"/>
      <c r="I73" s="885"/>
      <c r="J73" s="2342">
        <v>56000</v>
      </c>
      <c r="K73" s="2342">
        <f>SUM(K70:K72)</f>
        <v>85000</v>
      </c>
      <c r="L73" s="2342">
        <f t="shared" ref="L73:O73" si="4">SUM(L70:L72)</f>
        <v>48000</v>
      </c>
      <c r="M73" s="2342">
        <f t="shared" si="4"/>
        <v>50000</v>
      </c>
      <c r="N73" s="2342">
        <f t="shared" si="4"/>
        <v>52000</v>
      </c>
      <c r="O73" s="2342">
        <f t="shared" si="4"/>
        <v>54000</v>
      </c>
      <c r="T73" s="885"/>
      <c r="U73" s="885"/>
      <c r="V73" s="885"/>
      <c r="W73" s="885"/>
      <c r="X73" s="885"/>
    </row>
    <row r="74" spans="1:24" ht="12.75" customHeight="1" thickTop="1" x14ac:dyDescent="0.25">
      <c r="A74" s="862"/>
      <c r="D74" s="905"/>
      <c r="E74" s="863"/>
      <c r="F74" s="886"/>
      <c r="I74" s="885"/>
      <c r="J74" s="885"/>
      <c r="K74" s="885"/>
      <c r="L74" s="885"/>
      <c r="M74" s="885"/>
      <c r="N74" s="885"/>
      <c r="O74" s="885"/>
      <c r="T74" s="885"/>
      <c r="U74" s="885"/>
      <c r="V74" s="885"/>
      <c r="W74" s="885"/>
      <c r="X74" s="885"/>
    </row>
    <row r="75" spans="1:24" ht="12.75" customHeight="1" x14ac:dyDescent="0.25">
      <c r="A75" s="862"/>
      <c r="D75" s="905"/>
      <c r="E75" s="2341"/>
      <c r="F75" s="886"/>
      <c r="J75" s="2358"/>
      <c r="K75" s="2358"/>
      <c r="L75" s="2358"/>
      <c r="M75" s="2358"/>
      <c r="N75" s="2358"/>
      <c r="O75" s="2358"/>
    </row>
    <row r="76" spans="1:24" ht="12.75" customHeight="1" x14ac:dyDescent="0.25">
      <c r="E76" s="863"/>
    </row>
    <row r="78" spans="1:24" ht="12.75" customHeight="1" x14ac:dyDescent="0.25">
      <c r="D78" s="905"/>
      <c r="E78" s="886"/>
      <c r="F78" s="886"/>
      <c r="G78" s="868"/>
      <c r="I78" s="885"/>
      <c r="J78" s="2357"/>
      <c r="K78" s="2357"/>
      <c r="L78" s="2357"/>
      <c r="M78" s="2357"/>
      <c r="N78" s="2357"/>
      <c r="O78" s="2357"/>
    </row>
    <row r="79" spans="1:24" ht="12.75" customHeight="1" x14ac:dyDescent="0.25">
      <c r="D79" s="903"/>
      <c r="E79" s="903"/>
      <c r="F79" s="903"/>
      <c r="G79" s="873"/>
      <c r="I79" s="885"/>
      <c r="J79" s="885"/>
      <c r="K79" s="885"/>
      <c r="L79" s="885"/>
      <c r="M79" s="885"/>
      <c r="N79" s="885"/>
      <c r="O79" s="885"/>
    </row>
    <row r="80" spans="1:24" ht="12.75" customHeight="1" x14ac:dyDescent="0.25">
      <c r="D80" s="865"/>
      <c r="I80" s="885"/>
      <c r="J80" s="885"/>
      <c r="K80" s="885"/>
      <c r="L80" s="885"/>
      <c r="M80" s="885"/>
      <c r="N80" s="885"/>
      <c r="O80" s="885"/>
    </row>
    <row r="81" spans="1:15" ht="12.75" customHeight="1" x14ac:dyDescent="0.25">
      <c r="D81" s="903"/>
      <c r="E81" s="903"/>
      <c r="F81" s="903"/>
      <c r="I81" s="885"/>
      <c r="J81" s="885"/>
      <c r="K81" s="885"/>
      <c r="L81" s="885"/>
      <c r="M81" s="885"/>
      <c r="N81" s="885"/>
      <c r="O81" s="885"/>
    </row>
    <row r="82" spans="1:15" ht="12.75" customHeight="1" x14ac:dyDescent="0.25">
      <c r="D82" s="865"/>
      <c r="G82" s="2480"/>
      <c r="I82" s="885"/>
      <c r="J82" s="885"/>
      <c r="K82" s="885"/>
      <c r="L82" s="885"/>
      <c r="M82" s="885"/>
      <c r="N82" s="885"/>
      <c r="O82" s="885"/>
    </row>
    <row r="83" spans="1:15" ht="12.75" customHeight="1" x14ac:dyDescent="0.25">
      <c r="A83" s="862"/>
    </row>
    <row r="84" spans="1:15" ht="12.75" customHeight="1" x14ac:dyDescent="0.25">
      <c r="A84" s="862"/>
    </row>
    <row r="85" spans="1:15" ht="12.75" customHeight="1" x14ac:dyDescent="0.25">
      <c r="A85" s="862"/>
    </row>
    <row r="86" spans="1:15" ht="12.75" customHeight="1" x14ac:dyDescent="0.25">
      <c r="A86" s="862"/>
    </row>
  </sheetData>
  <mergeCells count="3">
    <mergeCell ref="D53:D54"/>
    <mergeCell ref="F53:F54"/>
    <mergeCell ref="G53:H54"/>
  </mergeCells>
  <hyperlinks>
    <hyperlink ref="A1" location="Inhoudsopgave!A1" display="Inhoudsopgave" xr:uid="{C83C2354-C285-4434-8A50-FE3E1A975AF6}"/>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87F82-472E-4979-B185-0A32DA0177C8}">
  <sheetPr codeName="Blad60"/>
  <dimension ref="A1:W395"/>
  <sheetViews>
    <sheetView showGridLines="0" view="pageBreakPreview" topLeftCell="A46" zoomScaleNormal="100" zoomScaleSheetLayoutView="100" workbookViewId="0"/>
  </sheetViews>
  <sheetFormatPr defaultColWidth="9.109375" defaultRowHeight="12.75" customHeight="1" x14ac:dyDescent="0.25"/>
  <cols>
    <col min="1" max="1" width="9.109375" style="795"/>
    <col min="2" max="3" width="9.109375" style="791"/>
    <col min="4" max="4" width="9.6640625" style="792" customWidth="1"/>
    <col min="5" max="6" width="9.6640625" style="793" customWidth="1"/>
    <col min="7" max="9" width="12.6640625" style="791" customWidth="1"/>
    <col min="10" max="15" width="11.6640625" style="791" customWidth="1"/>
    <col min="16" max="16" width="10.109375" style="791" customWidth="1"/>
    <col min="17" max="16384" width="9.109375" style="791"/>
  </cols>
  <sheetData>
    <row r="1" spans="1:23" ht="12.75" customHeight="1" x14ac:dyDescent="0.3">
      <c r="A1" s="157" t="s">
        <v>0</v>
      </c>
      <c r="P1" s="515"/>
      <c r="Q1" s="794">
        <v>2024</v>
      </c>
      <c r="R1" s="794">
        <v>2025</v>
      </c>
      <c r="S1" s="794">
        <v>2026</v>
      </c>
      <c r="T1" s="794">
        <v>2027</v>
      </c>
      <c r="U1" s="794">
        <v>2028</v>
      </c>
      <c r="V1" s="794">
        <v>2029</v>
      </c>
      <c r="W1" s="794">
        <v>2030</v>
      </c>
    </row>
    <row r="2" spans="1:23" ht="12.75" customHeight="1" x14ac:dyDescent="0.3">
      <c r="D2" s="792" t="s">
        <v>504</v>
      </c>
      <c r="H2" s="791" t="s">
        <v>4142</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792" t="s">
        <v>66</v>
      </c>
      <c r="H6" s="796" t="s">
        <v>4514</v>
      </c>
    </row>
    <row r="9" spans="1:23" ht="12.75" customHeight="1" x14ac:dyDescent="0.25">
      <c r="E9" s="797" t="s">
        <v>4515</v>
      </c>
      <c r="F9" s="791"/>
    </row>
    <row r="26" spans="4:15" ht="12.75" customHeight="1" x14ac:dyDescent="0.25">
      <c r="D26" s="797" t="s">
        <v>507</v>
      </c>
      <c r="E26" s="792"/>
      <c r="F26" s="792"/>
    </row>
    <row r="27" spans="4:15" ht="12.75" customHeight="1" x14ac:dyDescent="0.25">
      <c r="E27" s="792"/>
      <c r="F27" s="792"/>
    </row>
    <row r="28" spans="4:15" ht="12.75" customHeight="1" x14ac:dyDescent="0.25">
      <c r="D28" s="1913" t="s">
        <v>508</v>
      </c>
      <c r="E28" s="1914"/>
      <c r="F28" s="1914"/>
      <c r="G28" s="1915"/>
      <c r="H28" s="1915"/>
      <c r="I28" s="1916"/>
      <c r="J28" s="1916">
        <v>2025</v>
      </c>
      <c r="K28" s="1916">
        <v>2026</v>
      </c>
      <c r="L28" s="1916">
        <v>2027</v>
      </c>
      <c r="M28" s="1916">
        <v>2028</v>
      </c>
      <c r="N28" s="1916">
        <v>2029</v>
      </c>
      <c r="O28" s="1916">
        <v>2030</v>
      </c>
    </row>
    <row r="29" spans="4:15" ht="12.75" customHeight="1" x14ac:dyDescent="0.25">
      <c r="D29" s="798" t="str">
        <f>G50</f>
        <v>Directe toerekening personeelslkosten Wmo</v>
      </c>
      <c r="E29" s="799"/>
      <c r="F29" s="799"/>
      <c r="G29" s="800"/>
      <c r="H29" s="800"/>
      <c r="I29" s="801"/>
      <c r="J29" s="802">
        <v>1205235.5900000001</v>
      </c>
      <c r="K29" s="802">
        <f>K53</f>
        <v>1051284.8700000001</v>
      </c>
      <c r="L29" s="802">
        <f t="shared" ref="L29:N29" si="0">L53</f>
        <v>976024.90354000009</v>
      </c>
      <c r="M29" s="802">
        <f t="shared" si="0"/>
        <v>1012137.4409709801</v>
      </c>
      <c r="N29" s="802">
        <f t="shared" si="0"/>
        <v>1049587.1222869062</v>
      </c>
      <c r="O29" s="802">
        <f t="shared" ref="O29" si="1">O53</f>
        <v>1088422.1728115217</v>
      </c>
    </row>
    <row r="30" spans="4:15" ht="12.75" customHeight="1" x14ac:dyDescent="0.25">
      <c r="D30" s="803"/>
      <c r="E30" s="804"/>
      <c r="F30" s="805"/>
      <c r="I30" s="806"/>
      <c r="J30" s="67"/>
      <c r="K30" s="67"/>
      <c r="L30" s="67"/>
      <c r="M30" s="67"/>
      <c r="N30" s="67"/>
      <c r="O30" s="67"/>
    </row>
    <row r="31" spans="4:15" ht="12.75" customHeight="1" x14ac:dyDescent="0.25">
      <c r="D31" s="803"/>
      <c r="E31" s="804"/>
      <c r="F31" s="805"/>
      <c r="I31" s="806"/>
      <c r="J31" s="67"/>
      <c r="K31" s="67"/>
      <c r="L31" s="67"/>
      <c r="M31" s="67"/>
      <c r="N31" s="67"/>
      <c r="O31" s="67"/>
    </row>
    <row r="32" spans="4:15" ht="12.75" customHeight="1" x14ac:dyDescent="0.25">
      <c r="D32" s="803"/>
      <c r="E32" s="804"/>
      <c r="F32" s="805"/>
      <c r="I32" s="806"/>
      <c r="J32" s="68"/>
      <c r="K32" s="68"/>
      <c r="L32" s="68"/>
      <c r="M32" s="68"/>
      <c r="N32" s="68"/>
      <c r="O32" s="68"/>
    </row>
    <row r="33" spans="4:15" ht="12.75" customHeight="1" x14ac:dyDescent="0.25">
      <c r="D33" s="1917" t="s">
        <v>525</v>
      </c>
      <c r="E33" s="1918"/>
      <c r="F33" s="1919"/>
      <c r="G33" s="1920"/>
      <c r="H33" s="1920"/>
      <c r="I33" s="1921"/>
      <c r="J33" s="1949">
        <v>1205235.5900000001</v>
      </c>
      <c r="K33" s="1949">
        <f>SUM(K29:K32)</f>
        <v>1051284.8700000001</v>
      </c>
      <c r="L33" s="1949">
        <f>SUM(L29:L32)</f>
        <v>976024.90354000009</v>
      </c>
      <c r="M33" s="1949">
        <f>SUM(M29:M32)</f>
        <v>1012137.4409709801</v>
      </c>
      <c r="N33" s="1949">
        <f>SUM(N29:N32)</f>
        <v>1049587.1222869062</v>
      </c>
      <c r="O33" s="1949">
        <f>SUM(O29:O32)</f>
        <v>1088422.1728115217</v>
      </c>
    </row>
    <row r="34" spans="4:15" ht="12.75" customHeight="1" x14ac:dyDescent="0.25">
      <c r="E34" s="804"/>
      <c r="F34" s="805"/>
    </row>
    <row r="35" spans="4:15" ht="12.75" customHeight="1" x14ac:dyDescent="0.25">
      <c r="D35" s="1913" t="s">
        <v>526</v>
      </c>
      <c r="E35" s="1914"/>
      <c r="F35" s="1914"/>
      <c r="G35" s="1915"/>
      <c r="H35" s="1915"/>
      <c r="I35" s="1916"/>
      <c r="J35" s="1916">
        <v>2025</v>
      </c>
      <c r="K35" s="1916">
        <v>2026</v>
      </c>
      <c r="L35" s="1916">
        <v>2027</v>
      </c>
      <c r="M35" s="1916">
        <v>2028</v>
      </c>
      <c r="N35" s="1916">
        <v>2028</v>
      </c>
      <c r="O35" s="1916">
        <v>2028</v>
      </c>
    </row>
    <row r="36" spans="4:15" ht="12.75" customHeight="1" x14ac:dyDescent="0.25">
      <c r="D36" s="803"/>
      <c r="E36" s="804"/>
      <c r="F36" s="805"/>
      <c r="I36" s="806"/>
      <c r="J36" s="802"/>
      <c r="K36" s="802"/>
      <c r="L36" s="802"/>
      <c r="M36" s="802"/>
      <c r="N36" s="802"/>
      <c r="O36" s="802"/>
    </row>
    <row r="37" spans="4:15" ht="12.75" customHeight="1" x14ac:dyDescent="0.25">
      <c r="D37" s="803"/>
      <c r="E37" s="804"/>
      <c r="F37" s="805"/>
      <c r="I37" s="806"/>
      <c r="J37" s="802"/>
      <c r="K37" s="802"/>
      <c r="L37" s="802"/>
      <c r="M37" s="802"/>
      <c r="N37" s="802"/>
      <c r="O37" s="802"/>
    </row>
    <row r="38" spans="4:15" ht="12.75" customHeight="1" x14ac:dyDescent="0.25">
      <c r="D38" s="803"/>
      <c r="E38" s="804"/>
      <c r="F38" s="805"/>
      <c r="I38" s="806"/>
      <c r="J38" s="807"/>
      <c r="K38" s="807"/>
      <c r="L38" s="807"/>
      <c r="M38" s="807"/>
      <c r="N38" s="807"/>
      <c r="O38" s="807"/>
    </row>
    <row r="39" spans="4:15" ht="12.75" customHeight="1" x14ac:dyDescent="0.25">
      <c r="D39" s="808"/>
      <c r="E39" s="809"/>
      <c r="F39" s="810"/>
      <c r="G39" s="811"/>
      <c r="H39" s="811"/>
      <c r="I39" s="806"/>
      <c r="J39" s="807"/>
      <c r="K39" s="807"/>
      <c r="L39" s="807"/>
      <c r="M39" s="807"/>
      <c r="N39" s="807"/>
      <c r="O39" s="807"/>
    </row>
    <row r="40" spans="4:15" ht="12.75" customHeight="1" x14ac:dyDescent="0.25">
      <c r="D40" s="1917" t="s">
        <v>328</v>
      </c>
      <c r="E40" s="1918"/>
      <c r="F40" s="1919"/>
      <c r="G40" s="1920"/>
      <c r="H40" s="1920"/>
      <c r="I40" s="1921"/>
      <c r="J40" s="1949">
        <v>0</v>
      </c>
      <c r="K40" s="1949">
        <f>SUM(K36:K39)</f>
        <v>0</v>
      </c>
      <c r="L40" s="1949">
        <f>SUM(L36:L39)</f>
        <v>0</v>
      </c>
      <c r="M40" s="1949">
        <f>SUM(M36:M39)</f>
        <v>0</v>
      </c>
      <c r="N40" s="1949">
        <f>SUM(N36:N39)</f>
        <v>0</v>
      </c>
      <c r="O40" s="1949">
        <f>SUM(O36:O39)</f>
        <v>0</v>
      </c>
    </row>
    <row r="41" spans="4:15" ht="12.75" customHeight="1" x14ac:dyDescent="0.25">
      <c r="E41" s="804"/>
      <c r="F41" s="805"/>
      <c r="J41" s="812"/>
      <c r="K41" s="812"/>
      <c r="L41" s="812"/>
      <c r="M41" s="812"/>
      <c r="N41" s="812"/>
      <c r="O41" s="812"/>
    </row>
    <row r="42" spans="4:15" ht="12.75" customHeight="1" x14ac:dyDescent="0.3">
      <c r="D42" s="1940" t="s">
        <v>976</v>
      </c>
      <c r="E42" s="1923"/>
      <c r="F42" s="1923"/>
      <c r="G42" s="1920"/>
      <c r="H42" s="1920"/>
      <c r="I42" s="1920"/>
      <c r="J42" s="1924">
        <v>1205235.5900000001</v>
      </c>
      <c r="K42" s="1924">
        <f>K33+K40</f>
        <v>1051284.8700000001</v>
      </c>
      <c r="L42" s="1924">
        <f>L33+L40</f>
        <v>976024.90354000009</v>
      </c>
      <c r="M42" s="1924">
        <f>M33+M40</f>
        <v>1012137.4409709801</v>
      </c>
      <c r="N42" s="1924">
        <f>N33+N40</f>
        <v>1049587.1222869062</v>
      </c>
      <c r="O42" s="1924">
        <f>O33+O40</f>
        <v>1088422.1728115217</v>
      </c>
    </row>
    <row r="43" spans="4:15" ht="12.75" customHeight="1" x14ac:dyDescent="0.25">
      <c r="E43" s="804"/>
      <c r="F43" s="805"/>
      <c r="J43" s="812"/>
      <c r="K43" s="812"/>
      <c r="L43" s="812"/>
      <c r="M43" s="812"/>
      <c r="N43" s="812"/>
      <c r="O43" s="812"/>
    </row>
    <row r="44" spans="4:15" ht="12.75" customHeight="1" x14ac:dyDescent="0.25">
      <c r="E44" s="792"/>
      <c r="F44" s="792"/>
      <c r="J44" s="812"/>
      <c r="K44" s="812"/>
      <c r="L44" s="812"/>
      <c r="M44" s="812"/>
      <c r="N44" s="812"/>
      <c r="O44" s="812"/>
    </row>
    <row r="45" spans="4:15" ht="12.75" customHeight="1" x14ac:dyDescent="0.25">
      <c r="D45" s="797" t="s">
        <v>528</v>
      </c>
      <c r="E45" s="813"/>
      <c r="F45" s="813"/>
      <c r="I45" s="812"/>
      <c r="J45" s="812"/>
      <c r="K45" s="812"/>
      <c r="L45" s="812"/>
      <c r="M45" s="812"/>
      <c r="N45" s="812"/>
      <c r="O45" s="812"/>
    </row>
    <row r="47" spans="4:15" ht="12.75" customHeight="1" x14ac:dyDescent="0.25">
      <c r="D47" s="2495" t="s">
        <v>531</v>
      </c>
      <c r="E47" s="1925" t="s">
        <v>530</v>
      </c>
      <c r="F47" s="2495" t="s">
        <v>531</v>
      </c>
      <c r="G47" s="2497" t="s">
        <v>206</v>
      </c>
      <c r="H47" s="2599"/>
      <c r="I47" s="1928"/>
      <c r="J47" s="1921"/>
      <c r="K47" s="1921"/>
      <c r="L47" s="1921"/>
      <c r="M47" s="1921"/>
      <c r="N47" s="1921"/>
      <c r="O47" s="1921"/>
    </row>
    <row r="48" spans="4:15" ht="12.75" customHeight="1" x14ac:dyDescent="0.25">
      <c r="D48" s="2598"/>
      <c r="E48" s="815" t="s">
        <v>532</v>
      </c>
      <c r="F48" s="2598"/>
      <c r="G48" s="2600"/>
      <c r="H48" s="2601"/>
      <c r="I48" s="69"/>
      <c r="J48" s="1950">
        <v>2025</v>
      </c>
      <c r="K48" s="1950">
        <v>2026</v>
      </c>
      <c r="L48" s="1950">
        <v>2027</v>
      </c>
      <c r="M48" s="1950">
        <v>2028</v>
      </c>
      <c r="N48" s="1950">
        <v>2029</v>
      </c>
      <c r="O48" s="1950">
        <v>2030</v>
      </c>
    </row>
    <row r="49" spans="1:15" ht="12.75" customHeight="1" x14ac:dyDescent="0.25">
      <c r="D49" s="1930"/>
      <c r="E49" s="816"/>
      <c r="F49" s="816"/>
      <c r="G49" s="1932"/>
      <c r="H49" s="817"/>
      <c r="I49" s="1928"/>
      <c r="J49" s="1930"/>
      <c r="K49" s="1930"/>
      <c r="L49" s="1930"/>
      <c r="M49" s="1930"/>
      <c r="N49" s="1930"/>
      <c r="O49" s="1930"/>
    </row>
    <row r="50" spans="1:15" ht="12.75" customHeight="1" x14ac:dyDescent="0.25">
      <c r="D50" s="818">
        <f>D62</f>
        <v>684901</v>
      </c>
      <c r="E50" s="819"/>
      <c r="F50" s="819"/>
      <c r="G50" s="820" t="str">
        <f>E62</f>
        <v>Directe toerekening personeelslkosten Wmo</v>
      </c>
      <c r="I50" s="807"/>
      <c r="J50" s="802"/>
      <c r="K50" s="802"/>
      <c r="L50" s="802"/>
      <c r="M50" s="802"/>
      <c r="N50" s="802"/>
      <c r="O50" s="802"/>
    </row>
    <row r="51" spans="1:15" ht="12.75" customHeight="1" x14ac:dyDescent="0.25">
      <c r="D51" s="821"/>
      <c r="E51" s="821"/>
      <c r="F51" s="821"/>
      <c r="G51" s="822" t="s">
        <v>533</v>
      </c>
      <c r="I51" s="807"/>
      <c r="J51" s="802"/>
      <c r="K51" s="802"/>
      <c r="L51" s="802"/>
      <c r="M51" s="802"/>
      <c r="N51" s="802"/>
      <c r="O51" s="802"/>
    </row>
    <row r="52" spans="1:15" ht="12.75" customHeight="1" x14ac:dyDescent="0.25">
      <c r="A52" s="795">
        <f>D50</f>
        <v>684901</v>
      </c>
      <c r="B52" s="791" t="str">
        <f>G50</f>
        <v>Directe toerekening personeelslkosten Wmo</v>
      </c>
      <c r="D52" s="821">
        <f>D64</f>
        <v>41100</v>
      </c>
      <c r="E52" s="821"/>
      <c r="F52" s="821"/>
      <c r="G52" s="823" t="s">
        <v>700</v>
      </c>
      <c r="I52" s="807"/>
      <c r="J52" s="802">
        <v>718676.59000000008</v>
      </c>
      <c r="K52" s="802">
        <f>K68+K74+K78</f>
        <v>1051284.8700000001</v>
      </c>
      <c r="L52" s="802">
        <f t="shared" ref="L52:N52" si="2">L68+L74+L78</f>
        <v>976024.90354000009</v>
      </c>
      <c r="M52" s="802">
        <f t="shared" si="2"/>
        <v>1012137.4409709801</v>
      </c>
      <c r="N52" s="802">
        <f t="shared" si="2"/>
        <v>1049587.1222869062</v>
      </c>
      <c r="O52" s="802">
        <f t="shared" ref="O52" si="3">O68+O74+O78</f>
        <v>1088422.1728115217</v>
      </c>
    </row>
    <row r="53" spans="1:15" ht="12.75" customHeight="1" thickBot="1" x14ac:dyDescent="0.3">
      <c r="A53" s="824"/>
      <c r="D53" s="821"/>
      <c r="E53" s="821"/>
      <c r="F53" s="821"/>
      <c r="G53" s="823" t="s">
        <v>536</v>
      </c>
      <c r="I53" s="807"/>
      <c r="J53" s="825">
        <v>718676.59000000008</v>
      </c>
      <c r="K53" s="825">
        <f>SUM(K52:K52)</f>
        <v>1051284.8700000001</v>
      </c>
      <c r="L53" s="825">
        <f>SUM(L52:L52)</f>
        <v>976024.90354000009</v>
      </c>
      <c r="M53" s="825">
        <f>SUM(M52:M52)</f>
        <v>1012137.4409709801</v>
      </c>
      <c r="N53" s="825">
        <f>SUM(N52:N52)</f>
        <v>1049587.1222869062</v>
      </c>
      <c r="O53" s="825">
        <f>SUM(O52:O52)</f>
        <v>1088422.1728115217</v>
      </c>
    </row>
    <row r="54" spans="1:15" ht="12.75" customHeight="1" thickTop="1" x14ac:dyDescent="0.25">
      <c r="D54" s="826"/>
      <c r="E54" s="826"/>
      <c r="F54" s="826"/>
      <c r="G54" s="827"/>
      <c r="H54" s="811"/>
      <c r="I54" s="828"/>
      <c r="J54" s="829"/>
      <c r="K54" s="829"/>
      <c r="L54" s="829"/>
      <c r="M54" s="829"/>
      <c r="N54" s="829"/>
      <c r="O54" s="829"/>
    </row>
    <row r="55" spans="1:15" ht="12.75" customHeight="1" x14ac:dyDescent="0.25">
      <c r="D55" s="793"/>
      <c r="I55" s="812"/>
      <c r="J55" s="812"/>
      <c r="K55" s="812"/>
      <c r="L55" s="812"/>
      <c r="M55" s="812"/>
      <c r="N55" s="812"/>
      <c r="O55" s="812"/>
    </row>
    <row r="56" spans="1:15" ht="12.75" customHeight="1" x14ac:dyDescent="0.25">
      <c r="D56" s="793"/>
      <c r="I56" s="812"/>
      <c r="J56" s="812"/>
      <c r="K56" s="812"/>
      <c r="L56" s="812"/>
      <c r="M56" s="812"/>
      <c r="N56" s="812"/>
      <c r="O56" s="812"/>
    </row>
    <row r="57" spans="1:15" ht="12.75" customHeight="1" x14ac:dyDescent="0.25">
      <c r="D57" s="793"/>
      <c r="I57" s="812"/>
      <c r="J57" s="812"/>
      <c r="K57" s="812"/>
      <c r="L57" s="812"/>
      <c r="M57" s="812"/>
      <c r="N57" s="812"/>
      <c r="O57" s="812"/>
    </row>
    <row r="58" spans="1:15" ht="12.75" customHeight="1" x14ac:dyDescent="0.25">
      <c r="D58" s="793"/>
      <c r="I58" s="812"/>
      <c r="J58" s="812"/>
      <c r="K58" s="812"/>
      <c r="L58" s="812"/>
      <c r="M58" s="812"/>
      <c r="N58" s="812"/>
      <c r="O58" s="812"/>
    </row>
    <row r="59" spans="1:15" ht="12.75" customHeight="1" x14ac:dyDescent="0.25">
      <c r="D59" s="793"/>
      <c r="I59" s="812"/>
      <c r="J59" s="812"/>
      <c r="K59" s="812"/>
      <c r="L59" s="812"/>
      <c r="M59" s="812"/>
      <c r="N59" s="812"/>
      <c r="O59" s="812"/>
    </row>
    <row r="60" spans="1:15" ht="12.75" customHeight="1" x14ac:dyDescent="0.25">
      <c r="D60" s="830" t="s">
        <v>561</v>
      </c>
      <c r="E60" s="831"/>
      <c r="F60" s="831"/>
      <c r="H60" s="812"/>
    </row>
    <row r="61" spans="1:15" ht="12.75" customHeight="1" x14ac:dyDescent="0.25">
      <c r="D61" s="831"/>
      <c r="E61" s="831"/>
      <c r="F61" s="831"/>
      <c r="G61" s="832"/>
      <c r="H61" s="812"/>
    </row>
    <row r="62" spans="1:15" ht="12.75" customHeight="1" x14ac:dyDescent="0.25">
      <c r="A62" s="833"/>
      <c r="D62" s="834">
        <v>684901</v>
      </c>
      <c r="E62" s="835" t="s">
        <v>4516</v>
      </c>
      <c r="F62" s="813"/>
      <c r="I62" s="836"/>
      <c r="J62" s="837">
        <v>2025</v>
      </c>
      <c r="K62" s="837">
        <v>2026</v>
      </c>
      <c r="L62" s="837">
        <v>2027</v>
      </c>
      <c r="M62" s="837">
        <v>2028</v>
      </c>
      <c r="N62" s="837">
        <v>2029</v>
      </c>
      <c r="O62" s="837">
        <v>2030</v>
      </c>
    </row>
    <row r="63" spans="1:15" ht="12.75" customHeight="1" x14ac:dyDescent="0.25">
      <c r="A63" s="833"/>
      <c r="D63" s="834"/>
      <c r="E63" s="838" t="s">
        <v>533</v>
      </c>
      <c r="F63" s="813"/>
      <c r="I63" s="836"/>
      <c r="J63" s="800"/>
      <c r="K63" s="800"/>
      <c r="L63" s="800"/>
      <c r="M63" s="800"/>
      <c r="N63" s="800"/>
      <c r="O63" s="800"/>
    </row>
    <row r="64" spans="1:15" ht="12.75" customHeight="1" x14ac:dyDescent="0.25">
      <c r="A64" s="833"/>
      <c r="D64" s="839">
        <v>41100</v>
      </c>
      <c r="E64" s="791" t="s">
        <v>700</v>
      </c>
      <c r="F64" s="839"/>
      <c r="I64" s="836"/>
      <c r="J64" s="812"/>
      <c r="K64" s="812"/>
      <c r="L64" s="812"/>
      <c r="M64" s="812"/>
      <c r="N64" s="812"/>
      <c r="O64" s="812"/>
    </row>
    <row r="65" spans="1:16" ht="12.75" customHeight="1" x14ac:dyDescent="0.25">
      <c r="A65" s="833"/>
      <c r="D65" s="839"/>
      <c r="E65" s="796" t="s">
        <v>1029</v>
      </c>
      <c r="F65" s="839"/>
      <c r="I65" s="836"/>
      <c r="J65" s="812">
        <v>10047</v>
      </c>
      <c r="K65" s="812">
        <v>10033</v>
      </c>
      <c r="L65" s="812">
        <f t="shared" ref="L65:O67" si="4">K65*T$3</f>
        <v>10454.386</v>
      </c>
      <c r="M65" s="812">
        <f t="shared" si="4"/>
        <v>10841.198281999999</v>
      </c>
      <c r="N65" s="812">
        <f t="shared" si="4"/>
        <v>11242.322618433998</v>
      </c>
      <c r="O65" s="812">
        <f t="shared" si="4"/>
        <v>11658.288555316056</v>
      </c>
    </row>
    <row r="66" spans="1:16" ht="12.75" customHeight="1" x14ac:dyDescent="0.25">
      <c r="A66" s="833"/>
      <c r="D66" s="839"/>
      <c r="E66" s="796" t="s">
        <v>4371</v>
      </c>
      <c r="F66" s="839"/>
      <c r="I66" s="836"/>
      <c r="J66" s="812">
        <v>70970.8</v>
      </c>
      <c r="K66" s="812">
        <v>74734.080000000002</v>
      </c>
      <c r="L66" s="812">
        <f t="shared" si="4"/>
        <v>77872.911359999998</v>
      </c>
      <c r="M66" s="812">
        <f t="shared" si="4"/>
        <v>80754.209080319997</v>
      </c>
      <c r="N66" s="812">
        <f t="shared" si="4"/>
        <v>83742.114816291825</v>
      </c>
      <c r="O66" s="812">
        <f t="shared" si="4"/>
        <v>86840.573064494616</v>
      </c>
    </row>
    <row r="67" spans="1:16" ht="12.75" customHeight="1" x14ac:dyDescent="0.25">
      <c r="A67" s="833"/>
      <c r="D67" s="839"/>
      <c r="E67" s="796" t="s">
        <v>2760</v>
      </c>
      <c r="F67" s="839"/>
      <c r="I67" s="836"/>
      <c r="J67" s="812">
        <v>637658.79</v>
      </c>
      <c r="K67" s="812">
        <v>658412.29</v>
      </c>
      <c r="L67" s="812">
        <f t="shared" si="4"/>
        <v>686065.60618000012</v>
      </c>
      <c r="M67" s="812">
        <f t="shared" si="4"/>
        <v>711450.0336086601</v>
      </c>
      <c r="N67" s="812">
        <f t="shared" si="4"/>
        <v>737773.68485218042</v>
      </c>
      <c r="O67" s="812">
        <f t="shared" si="4"/>
        <v>765071.31119171099</v>
      </c>
    </row>
    <row r="68" spans="1:16" ht="12.75" customHeight="1" thickBot="1" x14ac:dyDescent="0.3">
      <c r="A68" s="833"/>
      <c r="E68" s="796" t="str">
        <f>"Totaal "&amp;D64</f>
        <v>Totaal 41100</v>
      </c>
      <c r="I68" s="836"/>
      <c r="J68" s="1935">
        <v>718676.59000000008</v>
      </c>
      <c r="K68" s="1935">
        <f t="shared" ref="K68:M68" si="5">SUM(K65:K67)</f>
        <v>743179.37</v>
      </c>
      <c r="L68" s="1935">
        <f t="shared" si="5"/>
        <v>774392.90354000009</v>
      </c>
      <c r="M68" s="1935">
        <f t="shared" si="5"/>
        <v>803045.4409709801</v>
      </c>
      <c r="N68" s="1935">
        <f t="shared" ref="N68:O68" si="6">SUM(N65:N67)</f>
        <v>832758.12228690623</v>
      </c>
      <c r="O68" s="1935">
        <f t="shared" si="6"/>
        <v>863570.17281152168</v>
      </c>
    </row>
    <row r="69" spans="1:16" ht="12.75" customHeight="1" thickTop="1" x14ac:dyDescent="0.25">
      <c r="A69" s="833"/>
      <c r="E69" s="796"/>
      <c r="I69" s="836"/>
      <c r="J69" s="812"/>
      <c r="K69" s="812"/>
      <c r="L69" s="812"/>
      <c r="M69" s="812"/>
      <c r="N69" s="812"/>
      <c r="O69" s="812"/>
    </row>
    <row r="70" spans="1:16" ht="12.75" customHeight="1" x14ac:dyDescent="0.25">
      <c r="D70" s="793"/>
      <c r="E70" s="800" t="s">
        <v>4517</v>
      </c>
      <c r="J70" s="812"/>
      <c r="K70" s="812"/>
      <c r="L70" s="812"/>
      <c r="M70" s="812"/>
      <c r="N70" s="812"/>
      <c r="O70" s="812"/>
    </row>
    <row r="71" spans="1:16" ht="12.75" customHeight="1" x14ac:dyDescent="0.25">
      <c r="D71" s="793">
        <v>41100</v>
      </c>
      <c r="E71" s="791" t="s">
        <v>700</v>
      </c>
    </row>
    <row r="72" spans="1:16" ht="12.75" customHeight="1" x14ac:dyDescent="0.25">
      <c r="D72" s="793"/>
      <c r="E72" s="796" t="s">
        <v>2760</v>
      </c>
      <c r="J72" s="812">
        <v>181445</v>
      </c>
      <c r="K72" s="812">
        <v>104048.32000000001</v>
      </c>
      <c r="L72" s="812">
        <f t="shared" ref="L72:O73" si="7">ROUND(K72*T$3,0)</f>
        <v>108418</v>
      </c>
      <c r="M72" s="812">
        <f t="shared" si="7"/>
        <v>112429</v>
      </c>
      <c r="N72" s="812">
        <f t="shared" si="7"/>
        <v>116589</v>
      </c>
      <c r="O72" s="812">
        <f t="shared" si="7"/>
        <v>120903</v>
      </c>
    </row>
    <row r="73" spans="1:16" ht="12.75" customHeight="1" x14ac:dyDescent="0.25">
      <c r="D73" s="793"/>
      <c r="E73" s="796" t="s">
        <v>3261</v>
      </c>
      <c r="J73" s="843">
        <v>94814</v>
      </c>
      <c r="K73" s="843">
        <v>89457.18</v>
      </c>
      <c r="L73" s="843">
        <f t="shared" si="7"/>
        <v>93214</v>
      </c>
      <c r="M73" s="843">
        <f t="shared" si="7"/>
        <v>96663</v>
      </c>
      <c r="N73" s="843">
        <f t="shared" si="7"/>
        <v>100240</v>
      </c>
      <c r="O73" s="843">
        <f t="shared" si="7"/>
        <v>103949</v>
      </c>
    </row>
    <row r="74" spans="1:16" ht="12.75" customHeight="1" thickBot="1" x14ac:dyDescent="0.3">
      <c r="D74" s="793"/>
      <c r="E74" s="791" t="str">
        <f>"Totaal "&amp;D71</f>
        <v>Totaal 41100</v>
      </c>
      <c r="J74" s="1935">
        <v>276259</v>
      </c>
      <c r="K74" s="1935">
        <f>SUM(K71:K73)</f>
        <v>193505.5</v>
      </c>
      <c r="L74" s="1935">
        <f>SUM(L71:L73)</f>
        <v>201632</v>
      </c>
      <c r="M74" s="1935">
        <f>SUM(M71:M73)</f>
        <v>209092</v>
      </c>
      <c r="N74" s="1935">
        <f>SUM(N71:N73)</f>
        <v>216829</v>
      </c>
      <c r="O74" s="1935">
        <f>SUM(O71:O73)</f>
        <v>224852</v>
      </c>
    </row>
    <row r="75" spans="1:16" ht="12.75" customHeight="1" thickTop="1" x14ac:dyDescent="0.25">
      <c r="E75" s="791"/>
    </row>
    <row r="76" spans="1:16" ht="12.75" customHeight="1" x14ac:dyDescent="0.25">
      <c r="D76" s="791">
        <v>41100</v>
      </c>
      <c r="E76" s="795" t="s">
        <v>4518</v>
      </c>
      <c r="F76" s="791"/>
      <c r="G76" s="793"/>
      <c r="J76" s="812">
        <v>97900</v>
      </c>
      <c r="K76" s="812">
        <v>0</v>
      </c>
      <c r="L76" s="812">
        <f>ROUND(K76*T$3,-2)</f>
        <v>0</v>
      </c>
      <c r="M76" s="812">
        <f>ROUND(L76*U$3,-2)</f>
        <v>0</v>
      </c>
      <c r="N76" s="812">
        <f>ROUND(M76*V$3,-2)</f>
        <v>0</v>
      </c>
      <c r="O76" s="812">
        <f>ROUND(N76*W$3,-2)</f>
        <v>0</v>
      </c>
      <c r="P76" s="842" t="s">
        <v>4519</v>
      </c>
    </row>
    <row r="77" spans="1:16" ht="12.75" customHeight="1" x14ac:dyDescent="0.25">
      <c r="D77" s="791"/>
      <c r="E77" s="795" t="s">
        <v>4520</v>
      </c>
      <c r="F77" s="791"/>
      <c r="G77" s="793"/>
      <c r="J77" s="843">
        <v>112400</v>
      </c>
      <c r="K77" s="843">
        <f>ROUND(J77*S$3,-2)</f>
        <v>114600</v>
      </c>
      <c r="L77" s="843">
        <v>0</v>
      </c>
      <c r="M77" s="843">
        <v>0</v>
      </c>
      <c r="N77" s="843">
        <v>0</v>
      </c>
      <c r="O77" s="843">
        <v>0</v>
      </c>
      <c r="P77" s="842" t="s">
        <v>4521</v>
      </c>
    </row>
    <row r="78" spans="1:16" ht="12.75" customHeight="1" thickBot="1" x14ac:dyDescent="0.3">
      <c r="E78" s="791" t="str">
        <f>"Totaal "&amp;D76</f>
        <v>Totaal 41100</v>
      </c>
      <c r="J78" s="1935">
        <v>210300</v>
      </c>
      <c r="K78" s="1935">
        <f t="shared" ref="K78:N78" si="8">SUM(K76:K77)</f>
        <v>114600</v>
      </c>
      <c r="L78" s="1935">
        <f t="shared" si="8"/>
        <v>0</v>
      </c>
      <c r="M78" s="1935">
        <f t="shared" si="8"/>
        <v>0</v>
      </c>
      <c r="N78" s="1935">
        <f t="shared" si="8"/>
        <v>0</v>
      </c>
      <c r="O78" s="1935">
        <f t="shared" ref="O78" si="9">SUM(O76:O77)</f>
        <v>0</v>
      </c>
    </row>
    <row r="79" spans="1:16" ht="12.75" customHeight="1" thickTop="1" x14ac:dyDescent="0.25"/>
    <row r="395" spans="9:9" ht="12.75" customHeight="1" x14ac:dyDescent="0.25">
      <c r="I395" s="842"/>
    </row>
  </sheetData>
  <mergeCells count="3">
    <mergeCell ref="D47:D48"/>
    <mergeCell ref="F47:F48"/>
    <mergeCell ref="G47:H48"/>
  </mergeCells>
  <hyperlinks>
    <hyperlink ref="A1" location="Inhoudsopgave!A1" display="Inhoudsopgave" xr:uid="{31A6FF0E-BE69-480D-B885-AD6DC875A839}"/>
  </hyperlinks>
  <pageMargins left="0.59055118110236227" right="0.39370078740157483" top="0.39370078740157483" bottom="0.39370078740157483" header="0.51181102362204722" footer="0.51181102362204722"/>
  <pageSetup paperSize="9" scale="67" orientation="portrait" useFirstPageNumber="1" r:id="rId1"/>
  <headerFooter alignWithMargins="0"/>
  <ignoredErrors>
    <ignoredError sqref="K40:M40" formulaRange="1"/>
  </ignoredError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6F5D-EA4F-4F2A-85BC-592CD1D83928}">
  <sheetPr codeName="Blad61"/>
  <dimension ref="A1:W395"/>
  <sheetViews>
    <sheetView showGridLines="0" view="pageBreakPreview" topLeftCell="A22" zoomScaleNormal="100" zoomScaleSheetLayoutView="100" workbookViewId="0"/>
  </sheetViews>
  <sheetFormatPr defaultColWidth="9.109375" defaultRowHeight="12.75" customHeight="1" x14ac:dyDescent="0.25"/>
  <cols>
    <col min="1" max="1" width="9.109375" style="795"/>
    <col min="2" max="3" width="9.109375" style="791"/>
    <col min="4" max="4" width="9.6640625" style="792" customWidth="1"/>
    <col min="5" max="6" width="9.6640625" style="793" customWidth="1"/>
    <col min="7" max="9" width="12.6640625" style="791" customWidth="1"/>
    <col min="10" max="15" width="11.6640625" style="791" customWidth="1"/>
    <col min="16" max="16" width="10.109375" style="791" customWidth="1"/>
    <col min="17" max="18" width="9.109375" style="791"/>
    <col min="19" max="19" width="24.6640625" style="791" customWidth="1"/>
    <col min="20" max="20" width="9.109375" style="791"/>
    <col min="21" max="21" width="9.6640625" style="791" bestFit="1" customWidth="1"/>
    <col min="22" max="16384" width="9.109375" style="791"/>
  </cols>
  <sheetData>
    <row r="1" spans="1:23" ht="12.75" customHeight="1" x14ac:dyDescent="0.3">
      <c r="A1" s="157" t="s">
        <v>0</v>
      </c>
      <c r="P1" s="515"/>
      <c r="Q1" s="794">
        <v>2024</v>
      </c>
      <c r="R1" s="794">
        <v>2025</v>
      </c>
      <c r="S1" s="794">
        <v>2026</v>
      </c>
      <c r="T1" s="794">
        <v>2027</v>
      </c>
      <c r="U1" s="794">
        <v>2028</v>
      </c>
      <c r="V1" s="794">
        <v>2029</v>
      </c>
      <c r="W1" s="794">
        <v>2030</v>
      </c>
    </row>
    <row r="2" spans="1:23" ht="12.75" customHeight="1" x14ac:dyDescent="0.3">
      <c r="D2" s="792" t="s">
        <v>504</v>
      </c>
      <c r="H2" s="791" t="s">
        <v>4142</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792" t="s">
        <v>66</v>
      </c>
      <c r="H6" s="796" t="s">
        <v>4522</v>
      </c>
    </row>
    <row r="9" spans="1:23" ht="12.75" customHeight="1" x14ac:dyDescent="0.25">
      <c r="E9" s="797" t="s">
        <v>4523</v>
      </c>
      <c r="F9" s="791"/>
    </row>
    <row r="33" spans="4:15" ht="12.75" customHeight="1" x14ac:dyDescent="0.25">
      <c r="D33" s="797" t="s">
        <v>507</v>
      </c>
      <c r="E33" s="792"/>
      <c r="F33" s="792"/>
    </row>
    <row r="34" spans="4:15" ht="12.75" customHeight="1" x14ac:dyDescent="0.25">
      <c r="E34" s="792"/>
      <c r="F34" s="792"/>
    </row>
    <row r="35" spans="4:15" ht="12.75" customHeight="1" x14ac:dyDescent="0.25">
      <c r="D35" s="1913" t="s">
        <v>508</v>
      </c>
      <c r="E35" s="1914"/>
      <c r="F35" s="1914"/>
      <c r="G35" s="1915"/>
      <c r="H35" s="1915"/>
      <c r="I35" s="1916"/>
      <c r="J35" s="1916">
        <v>2025</v>
      </c>
      <c r="K35" s="1916">
        <v>2026</v>
      </c>
      <c r="L35" s="1916">
        <v>2027</v>
      </c>
      <c r="M35" s="1916">
        <v>2028</v>
      </c>
      <c r="N35" s="1916">
        <v>2029</v>
      </c>
      <c r="O35" s="1916">
        <v>2030</v>
      </c>
    </row>
    <row r="36" spans="4:15" ht="12.75" customHeight="1" x14ac:dyDescent="0.25">
      <c r="D36" s="798" t="str">
        <f>G57</f>
        <v>Directe toerekening personeelskosten Jeugd</v>
      </c>
      <c r="E36" s="799"/>
      <c r="F36" s="799"/>
      <c r="G36" s="800"/>
      <c r="H36" s="800"/>
      <c r="I36" s="801"/>
      <c r="J36" s="802">
        <v>1328758.83</v>
      </c>
      <c r="K36" s="802">
        <f t="shared" ref="K36:M36" si="0">K60</f>
        <v>1851945.81</v>
      </c>
      <c r="L36" s="802">
        <f t="shared" si="0"/>
        <v>1929728</v>
      </c>
      <c r="M36" s="802">
        <f t="shared" si="0"/>
        <v>2001127</v>
      </c>
      <c r="N36" s="802">
        <f t="shared" ref="N36:O36" si="1">N60</f>
        <v>2075169</v>
      </c>
      <c r="O36" s="802">
        <f t="shared" si="1"/>
        <v>2151951</v>
      </c>
    </row>
    <row r="37" spans="4:15" ht="12.75" customHeight="1" x14ac:dyDescent="0.25">
      <c r="D37" s="803"/>
      <c r="E37" s="804"/>
      <c r="F37" s="805"/>
      <c r="I37" s="806"/>
      <c r="J37" s="67"/>
      <c r="K37" s="67"/>
      <c r="L37" s="67"/>
      <c r="M37" s="67"/>
      <c r="N37" s="67"/>
      <c r="O37" s="67"/>
    </row>
    <row r="38" spans="4:15" ht="12.75" customHeight="1" x14ac:dyDescent="0.25">
      <c r="D38" s="803"/>
      <c r="E38" s="804"/>
      <c r="F38" s="805"/>
      <c r="I38" s="806"/>
      <c r="J38" s="67"/>
      <c r="K38" s="67"/>
      <c r="L38" s="67"/>
      <c r="M38" s="67"/>
      <c r="N38" s="67"/>
      <c r="O38" s="67"/>
    </row>
    <row r="39" spans="4:15" ht="12.75" customHeight="1" x14ac:dyDescent="0.25">
      <c r="D39" s="803"/>
      <c r="E39" s="804"/>
      <c r="F39" s="805"/>
      <c r="I39" s="806"/>
      <c r="J39" s="68"/>
      <c r="K39" s="68"/>
      <c r="L39" s="68"/>
      <c r="M39" s="68"/>
      <c r="N39" s="68"/>
      <c r="O39" s="68"/>
    </row>
    <row r="40" spans="4:15" ht="12.75" customHeight="1" x14ac:dyDescent="0.25">
      <c r="D40" s="1917" t="s">
        <v>525</v>
      </c>
      <c r="E40" s="1918"/>
      <c r="F40" s="1919"/>
      <c r="G40" s="1920"/>
      <c r="H40" s="1920"/>
      <c r="I40" s="1921"/>
      <c r="J40" s="1949">
        <v>1328758.83</v>
      </c>
      <c r="K40" s="1949">
        <f>SUM(K36:K39)</f>
        <v>1851945.81</v>
      </c>
      <c r="L40" s="1949">
        <f>SUM(L36:L39)</f>
        <v>1929728</v>
      </c>
      <c r="M40" s="1949">
        <f>SUM(M36:M39)</f>
        <v>2001127</v>
      </c>
      <c r="N40" s="1949">
        <f>SUM(N36:N39)</f>
        <v>2075169</v>
      </c>
      <c r="O40" s="1949">
        <f>SUM(O36:O39)</f>
        <v>2151951</v>
      </c>
    </row>
    <row r="41" spans="4:15" ht="12.75" customHeight="1" x14ac:dyDescent="0.25">
      <c r="E41" s="804"/>
      <c r="F41" s="805"/>
    </row>
    <row r="42" spans="4:15" ht="12.75" customHeight="1" x14ac:dyDescent="0.25">
      <c r="D42" s="1913" t="s">
        <v>526</v>
      </c>
      <c r="E42" s="1914"/>
      <c r="F42" s="1914"/>
      <c r="G42" s="1915"/>
      <c r="H42" s="1915"/>
      <c r="I42" s="1916"/>
      <c r="J42" s="1916">
        <v>2025</v>
      </c>
      <c r="K42" s="1916">
        <v>2026</v>
      </c>
      <c r="L42" s="1916">
        <v>2027</v>
      </c>
      <c r="M42" s="1916">
        <v>2028</v>
      </c>
      <c r="N42" s="1916">
        <v>2028</v>
      </c>
      <c r="O42" s="1916">
        <v>2028</v>
      </c>
    </row>
    <row r="43" spans="4:15" ht="12.75" customHeight="1" x14ac:dyDescent="0.25">
      <c r="D43" s="803"/>
      <c r="E43" s="804"/>
      <c r="F43" s="805"/>
      <c r="I43" s="806"/>
      <c r="J43" s="802"/>
      <c r="K43" s="802"/>
      <c r="L43" s="802"/>
      <c r="M43" s="802"/>
      <c r="N43" s="802"/>
      <c r="O43" s="802"/>
    </row>
    <row r="44" spans="4:15" ht="12.75" customHeight="1" x14ac:dyDescent="0.25">
      <c r="D44" s="803"/>
      <c r="E44" s="804"/>
      <c r="F44" s="805"/>
      <c r="I44" s="806"/>
      <c r="J44" s="802"/>
      <c r="K44" s="802"/>
      <c r="L44" s="802"/>
      <c r="M44" s="802"/>
      <c r="N44" s="802"/>
      <c r="O44" s="802"/>
    </row>
    <row r="45" spans="4:15" ht="12.75" customHeight="1" x14ac:dyDescent="0.25">
      <c r="D45" s="803"/>
      <c r="E45" s="804"/>
      <c r="F45" s="805"/>
      <c r="I45" s="806"/>
      <c r="J45" s="807"/>
      <c r="K45" s="807"/>
      <c r="L45" s="807"/>
      <c r="M45" s="807"/>
      <c r="N45" s="807"/>
      <c r="O45" s="807"/>
    </row>
    <row r="46" spans="4:15" ht="12.75" customHeight="1" x14ac:dyDescent="0.25">
      <c r="D46" s="808"/>
      <c r="E46" s="809"/>
      <c r="F46" s="810"/>
      <c r="G46" s="811"/>
      <c r="H46" s="811"/>
      <c r="I46" s="806"/>
      <c r="J46" s="807"/>
      <c r="K46" s="807"/>
      <c r="L46" s="807"/>
      <c r="M46" s="807"/>
      <c r="N46" s="807"/>
      <c r="O46" s="807"/>
    </row>
    <row r="47" spans="4:15" ht="12.75" customHeight="1" x14ac:dyDescent="0.25">
      <c r="D47" s="1917" t="s">
        <v>328</v>
      </c>
      <c r="E47" s="1918"/>
      <c r="F47" s="1919"/>
      <c r="G47" s="1920"/>
      <c r="H47" s="1920"/>
      <c r="I47" s="1921"/>
      <c r="J47" s="1949">
        <v>0</v>
      </c>
      <c r="K47" s="1949">
        <f>SUM(K43:K46)</f>
        <v>0</v>
      </c>
      <c r="L47" s="1949">
        <f>SUM(L43:L46)</f>
        <v>0</v>
      </c>
      <c r="M47" s="1949">
        <f>SUM(M43:M46)</f>
        <v>0</v>
      </c>
      <c r="N47" s="1949">
        <f>SUM(N43:N46)</f>
        <v>0</v>
      </c>
      <c r="O47" s="1949">
        <f>SUM(O43:O46)</f>
        <v>0</v>
      </c>
    </row>
    <row r="48" spans="4:15" ht="12.75" customHeight="1" x14ac:dyDescent="0.25">
      <c r="E48" s="804"/>
      <c r="F48" s="805"/>
      <c r="J48" s="812"/>
      <c r="K48" s="812"/>
      <c r="L48" s="812"/>
      <c r="M48" s="812"/>
      <c r="N48" s="812"/>
      <c r="O48" s="812"/>
    </row>
    <row r="49" spans="1:15" ht="12.75" customHeight="1" x14ac:dyDescent="0.3">
      <c r="D49" s="1940" t="s">
        <v>976</v>
      </c>
      <c r="E49" s="1923"/>
      <c r="F49" s="1923"/>
      <c r="G49" s="1920"/>
      <c r="H49" s="1920"/>
      <c r="I49" s="1920"/>
      <c r="J49" s="1924">
        <v>1328758.83</v>
      </c>
      <c r="K49" s="1924">
        <f>K40+K47</f>
        <v>1851945.81</v>
      </c>
      <c r="L49" s="1924">
        <f>L40+L47</f>
        <v>1929728</v>
      </c>
      <c r="M49" s="1924">
        <f>M40+M47</f>
        <v>2001127</v>
      </c>
      <c r="N49" s="1924">
        <f>N40+N47</f>
        <v>2075169</v>
      </c>
      <c r="O49" s="1924">
        <f>O40+O47</f>
        <v>2151951</v>
      </c>
    </row>
    <row r="50" spans="1:15" ht="12.75" customHeight="1" x14ac:dyDescent="0.25">
      <c r="E50" s="804"/>
      <c r="F50" s="805"/>
      <c r="J50" s="812"/>
      <c r="K50" s="812"/>
      <c r="L50" s="812"/>
      <c r="M50" s="812"/>
      <c r="N50" s="812"/>
      <c r="O50" s="812"/>
    </row>
    <row r="51" spans="1:15" ht="12.75" customHeight="1" x14ac:dyDescent="0.25">
      <c r="E51" s="792"/>
      <c r="F51" s="792"/>
      <c r="J51" s="812"/>
      <c r="K51" s="812"/>
      <c r="L51" s="812"/>
      <c r="M51" s="812"/>
      <c r="N51" s="812"/>
      <c r="O51" s="812"/>
    </row>
    <row r="52" spans="1:15" ht="12.75" customHeight="1" x14ac:dyDescent="0.25">
      <c r="D52" s="797" t="s">
        <v>528</v>
      </c>
      <c r="E52" s="813"/>
      <c r="F52" s="813"/>
      <c r="I52" s="812"/>
      <c r="J52" s="812"/>
      <c r="K52" s="812"/>
      <c r="L52" s="812"/>
      <c r="M52" s="812"/>
      <c r="N52" s="812"/>
      <c r="O52" s="812"/>
    </row>
    <row r="54" spans="1:15" ht="12.75" customHeight="1" x14ac:dyDescent="0.25">
      <c r="D54" s="2495" t="s">
        <v>531</v>
      </c>
      <c r="E54" s="1925" t="s">
        <v>530</v>
      </c>
      <c r="F54" s="2495" t="s">
        <v>531</v>
      </c>
      <c r="G54" s="2497" t="s">
        <v>206</v>
      </c>
      <c r="H54" s="2599"/>
      <c r="I54" s="1928"/>
      <c r="J54" s="1921"/>
      <c r="K54" s="1921"/>
      <c r="L54" s="1921"/>
      <c r="M54" s="1921"/>
      <c r="N54" s="1921"/>
      <c r="O54" s="1921"/>
    </row>
    <row r="55" spans="1:15" ht="12.75" customHeight="1" x14ac:dyDescent="0.25">
      <c r="D55" s="2598"/>
      <c r="E55" s="815" t="s">
        <v>532</v>
      </c>
      <c r="F55" s="2598"/>
      <c r="G55" s="2600"/>
      <c r="H55" s="2601"/>
      <c r="I55" s="69"/>
      <c r="J55" s="1950">
        <v>2025</v>
      </c>
      <c r="K55" s="1950">
        <v>2026</v>
      </c>
      <c r="L55" s="1950">
        <v>2027</v>
      </c>
      <c r="M55" s="1950">
        <v>2028</v>
      </c>
      <c r="N55" s="1950">
        <v>2029</v>
      </c>
      <c r="O55" s="1950">
        <v>2030</v>
      </c>
    </row>
    <row r="56" spans="1:15" ht="12.75" customHeight="1" x14ac:dyDescent="0.25">
      <c r="D56" s="1930"/>
      <c r="E56" s="816"/>
      <c r="F56" s="816"/>
      <c r="G56" s="1932"/>
      <c r="H56" s="817"/>
      <c r="I56" s="1928"/>
      <c r="J56" s="1930"/>
      <c r="K56" s="1930"/>
      <c r="L56" s="1930"/>
      <c r="M56" s="1930"/>
      <c r="N56" s="1930"/>
      <c r="O56" s="1930"/>
    </row>
    <row r="57" spans="1:15" ht="12.75" customHeight="1" x14ac:dyDescent="0.25">
      <c r="D57" s="818">
        <f>D67</f>
        <v>694901</v>
      </c>
      <c r="E57" s="819"/>
      <c r="F57" s="819"/>
      <c r="G57" s="820" t="str">
        <f>E67</f>
        <v>Directe toerekening personeelskosten Jeugd</v>
      </c>
      <c r="I57" s="807"/>
      <c r="J57" s="802"/>
      <c r="K57" s="802"/>
      <c r="L57" s="802"/>
      <c r="M57" s="802"/>
      <c r="N57" s="802"/>
      <c r="O57" s="802"/>
    </row>
    <row r="58" spans="1:15" ht="12.75" customHeight="1" x14ac:dyDescent="0.25">
      <c r="D58" s="821"/>
      <c r="E58" s="821"/>
      <c r="F58" s="821"/>
      <c r="G58" s="822" t="s">
        <v>533</v>
      </c>
      <c r="I58" s="807"/>
      <c r="J58" s="802"/>
      <c r="K58" s="802"/>
      <c r="L58" s="802"/>
      <c r="M58" s="802"/>
      <c r="N58" s="802"/>
      <c r="O58" s="802"/>
    </row>
    <row r="59" spans="1:15" ht="12.75" customHeight="1" x14ac:dyDescent="0.25">
      <c r="A59" s="795">
        <f>D57</f>
        <v>694901</v>
      </c>
      <c r="B59" s="791" t="str">
        <f>G57</f>
        <v>Directe toerekening personeelskosten Jeugd</v>
      </c>
      <c r="D59" s="821">
        <f>D69</f>
        <v>41100</v>
      </c>
      <c r="E59" s="821"/>
      <c r="F59" s="821"/>
      <c r="G59" s="823" t="s">
        <v>700</v>
      </c>
      <c r="I59" s="807"/>
      <c r="J59" s="802">
        <v>1328758.83</v>
      </c>
      <c r="K59" s="802">
        <f t="shared" ref="K59:M59" si="2">K74</f>
        <v>1851945.81</v>
      </c>
      <c r="L59" s="802">
        <f t="shared" si="2"/>
        <v>1929728</v>
      </c>
      <c r="M59" s="802">
        <f t="shared" si="2"/>
        <v>2001127</v>
      </c>
      <c r="N59" s="802">
        <f t="shared" ref="N59:O59" si="3">N74</f>
        <v>2075169</v>
      </c>
      <c r="O59" s="802">
        <f t="shared" si="3"/>
        <v>2151951</v>
      </c>
    </row>
    <row r="60" spans="1:15" ht="12.75" customHeight="1" thickBot="1" x14ac:dyDescent="0.3">
      <c r="A60" s="824"/>
      <c r="D60" s="821"/>
      <c r="E60" s="821"/>
      <c r="F60" s="821"/>
      <c r="G60" s="823" t="s">
        <v>536</v>
      </c>
      <c r="I60" s="807"/>
      <c r="J60" s="825">
        <v>1328758.83</v>
      </c>
      <c r="K60" s="825">
        <f t="shared" ref="K60:M60" si="4">SUM(K59:K59)</f>
        <v>1851945.81</v>
      </c>
      <c r="L60" s="825">
        <f t="shared" si="4"/>
        <v>1929728</v>
      </c>
      <c r="M60" s="825">
        <f t="shared" si="4"/>
        <v>2001127</v>
      </c>
      <c r="N60" s="825">
        <f t="shared" ref="N60:O60" si="5">SUM(N59:N59)</f>
        <v>2075169</v>
      </c>
      <c r="O60" s="825">
        <f t="shared" si="5"/>
        <v>2151951</v>
      </c>
    </row>
    <row r="61" spans="1:15" ht="12.75" customHeight="1" thickTop="1" x14ac:dyDescent="0.25">
      <c r="D61" s="826"/>
      <c r="E61" s="826"/>
      <c r="F61" s="826"/>
      <c r="G61" s="827"/>
      <c r="H61" s="811"/>
      <c r="I61" s="828"/>
      <c r="J61" s="829"/>
      <c r="K61" s="829"/>
      <c r="L61" s="829"/>
      <c r="M61" s="829"/>
      <c r="N61" s="829"/>
      <c r="O61" s="829"/>
    </row>
    <row r="62" spans="1:15" ht="12.75" customHeight="1" x14ac:dyDescent="0.25">
      <c r="D62" s="793"/>
      <c r="I62" s="812"/>
      <c r="J62" s="812"/>
      <c r="K62" s="812"/>
      <c r="L62" s="812"/>
      <c r="M62" s="812"/>
      <c r="N62" s="812"/>
      <c r="O62" s="812"/>
    </row>
    <row r="63" spans="1:15" ht="12.75" customHeight="1" x14ac:dyDescent="0.25">
      <c r="D63" s="793"/>
      <c r="I63" s="812"/>
      <c r="J63" s="812"/>
      <c r="K63" s="812"/>
      <c r="L63" s="812"/>
      <c r="M63" s="812"/>
      <c r="N63" s="812"/>
      <c r="O63" s="812"/>
    </row>
    <row r="64" spans="1:15" ht="12.75" customHeight="1" x14ac:dyDescent="0.25">
      <c r="D64" s="793"/>
      <c r="I64" s="812"/>
      <c r="J64" s="812"/>
      <c r="K64" s="812"/>
      <c r="L64" s="812"/>
      <c r="M64" s="812"/>
      <c r="N64" s="812"/>
      <c r="O64" s="812"/>
    </row>
    <row r="65" spans="1:23" ht="12.75" customHeight="1" x14ac:dyDescent="0.25">
      <c r="D65" s="830" t="s">
        <v>561</v>
      </c>
      <c r="E65" s="831"/>
      <c r="F65" s="831"/>
      <c r="H65" s="812"/>
    </row>
    <row r="66" spans="1:23" ht="12.75" customHeight="1" x14ac:dyDescent="0.25">
      <c r="D66" s="831"/>
      <c r="E66" s="831"/>
      <c r="F66" s="831"/>
      <c r="G66" s="832"/>
      <c r="H66" s="812"/>
    </row>
    <row r="67" spans="1:23" ht="12.75" customHeight="1" x14ac:dyDescent="0.25">
      <c r="A67" s="833"/>
      <c r="D67" s="834">
        <v>694901</v>
      </c>
      <c r="E67" s="835" t="s">
        <v>4524</v>
      </c>
      <c r="F67" s="813"/>
      <c r="I67" s="836"/>
      <c r="J67" s="837">
        <v>2025</v>
      </c>
      <c r="K67" s="837">
        <v>2026</v>
      </c>
      <c r="L67" s="837">
        <v>2027</v>
      </c>
      <c r="M67" s="837">
        <v>2028</v>
      </c>
      <c r="N67" s="837">
        <v>2028</v>
      </c>
      <c r="O67" s="837">
        <v>2028</v>
      </c>
    </row>
    <row r="68" spans="1:23" ht="12.75" customHeight="1" x14ac:dyDescent="0.25">
      <c r="A68" s="833"/>
      <c r="D68" s="834"/>
      <c r="E68" s="838" t="s">
        <v>533</v>
      </c>
      <c r="F68" s="813"/>
      <c r="I68" s="836"/>
      <c r="J68" s="800"/>
      <c r="K68" s="800"/>
      <c r="L68" s="800"/>
      <c r="M68" s="800"/>
      <c r="N68" s="800"/>
      <c r="O68" s="800"/>
    </row>
    <row r="69" spans="1:23" ht="12.75" customHeight="1" x14ac:dyDescent="0.25">
      <c r="A69" s="833"/>
      <c r="D69" s="839">
        <v>41100</v>
      </c>
      <c r="E69" s="791" t="s">
        <v>700</v>
      </c>
      <c r="F69" s="839"/>
      <c r="I69" s="836"/>
      <c r="J69" s="812"/>
      <c r="K69" s="812"/>
      <c r="L69" s="812"/>
      <c r="M69" s="812"/>
      <c r="N69" s="812"/>
      <c r="O69" s="812"/>
    </row>
    <row r="70" spans="1:23" ht="12.75" customHeight="1" x14ac:dyDescent="0.25">
      <c r="A70" s="833"/>
      <c r="D70" s="839"/>
      <c r="E70" s="840" t="s">
        <v>2760</v>
      </c>
      <c r="F70" s="839"/>
      <c r="I70" s="836"/>
      <c r="J70" s="812">
        <v>158552.82999999999</v>
      </c>
      <c r="K70" s="812">
        <v>1365442.16</v>
      </c>
      <c r="L70" s="812">
        <f t="shared" ref="L70:O72" si="6">ROUND(K70*T$3,)</f>
        <v>1422791</v>
      </c>
      <c r="M70" s="812">
        <f t="shared" si="6"/>
        <v>1475434</v>
      </c>
      <c r="N70" s="812">
        <f t="shared" si="6"/>
        <v>1530025</v>
      </c>
      <c r="O70" s="812">
        <f t="shared" si="6"/>
        <v>1586636</v>
      </c>
    </row>
    <row r="71" spans="1:23" ht="12.75" customHeight="1" x14ac:dyDescent="0.25">
      <c r="A71" s="833"/>
      <c r="D71" s="839"/>
      <c r="E71" s="840" t="s">
        <v>4371</v>
      </c>
      <c r="F71" s="839"/>
      <c r="I71" s="836"/>
      <c r="J71" s="812">
        <v>176341</v>
      </c>
      <c r="K71" s="812">
        <v>172470.52</v>
      </c>
      <c r="L71" s="812">
        <f t="shared" si="6"/>
        <v>179714</v>
      </c>
      <c r="M71" s="812">
        <f t="shared" si="6"/>
        <v>186363</v>
      </c>
      <c r="N71" s="812">
        <f t="shared" si="6"/>
        <v>193258</v>
      </c>
      <c r="O71" s="812">
        <f t="shared" si="6"/>
        <v>200409</v>
      </c>
    </row>
    <row r="72" spans="1:23" ht="12.75" customHeight="1" x14ac:dyDescent="0.25">
      <c r="A72" s="833"/>
      <c r="D72" s="839"/>
      <c r="E72" s="840" t="s">
        <v>3261</v>
      </c>
      <c r="F72" s="839"/>
      <c r="I72" s="836"/>
      <c r="J72" s="812">
        <v>208865</v>
      </c>
      <c r="K72" s="812">
        <v>244033.13</v>
      </c>
      <c r="L72" s="812">
        <f t="shared" si="6"/>
        <v>254283</v>
      </c>
      <c r="M72" s="812">
        <f t="shared" si="6"/>
        <v>263691</v>
      </c>
      <c r="N72" s="812">
        <f t="shared" si="6"/>
        <v>273448</v>
      </c>
      <c r="O72" s="812">
        <f t="shared" si="6"/>
        <v>283566</v>
      </c>
    </row>
    <row r="73" spans="1:23" ht="12.75" customHeight="1" x14ac:dyDescent="0.25">
      <c r="A73" s="833"/>
      <c r="D73" s="839"/>
      <c r="E73" s="841" t="s">
        <v>445</v>
      </c>
      <c r="F73" s="839"/>
      <c r="I73" s="836"/>
      <c r="J73" s="812">
        <v>785000</v>
      </c>
      <c r="K73" s="812">
        <v>70000</v>
      </c>
      <c r="L73" s="812">
        <f t="shared" ref="L73" si="7">ROUND(K73*T$3,)</f>
        <v>72940</v>
      </c>
      <c r="M73" s="812">
        <f t="shared" ref="M73" si="8">ROUND(L73*U$3,)</f>
        <v>75639</v>
      </c>
      <c r="N73" s="812">
        <f t="shared" ref="N73:O73" si="9">ROUND(M73*V$3,)</f>
        <v>78438</v>
      </c>
      <c r="O73" s="812">
        <f t="shared" si="9"/>
        <v>81340</v>
      </c>
      <c r="P73" s="842" t="s">
        <v>4525</v>
      </c>
      <c r="T73" s="837">
        <v>2026</v>
      </c>
      <c r="U73" s="837">
        <v>2027</v>
      </c>
      <c r="V73" s="837">
        <v>2028</v>
      </c>
      <c r="W73" s="837">
        <v>2029</v>
      </c>
    </row>
    <row r="74" spans="1:23" ht="12.75" customHeight="1" thickBot="1" x14ac:dyDescent="0.3">
      <c r="A74" s="833"/>
      <c r="E74" s="796" t="str">
        <f>"Totaal "&amp;D69</f>
        <v>Totaal 41100</v>
      </c>
      <c r="I74" s="836"/>
      <c r="J74" s="1935">
        <v>1328758.83</v>
      </c>
      <c r="K74" s="1935">
        <f>SUM(K70:K73)</f>
        <v>1851945.81</v>
      </c>
      <c r="L74" s="1935">
        <f t="shared" ref="L74:N74" si="10">SUM(L70:L73)</f>
        <v>1929728</v>
      </c>
      <c r="M74" s="1935">
        <f t="shared" si="10"/>
        <v>2001127</v>
      </c>
      <c r="N74" s="1935">
        <f t="shared" si="10"/>
        <v>2075169</v>
      </c>
      <c r="O74" s="1935">
        <f t="shared" ref="O74" si="11">SUM(O70:O73)</f>
        <v>2151951</v>
      </c>
      <c r="T74" s="812">
        <v>1270000</v>
      </c>
      <c r="U74" s="812">
        <v>1325000</v>
      </c>
      <c r="V74" s="812">
        <v>1380000</v>
      </c>
      <c r="W74" s="812">
        <v>1380000</v>
      </c>
    </row>
    <row r="75" spans="1:23" ht="12.75" customHeight="1" thickTop="1" x14ac:dyDescent="0.25">
      <c r="A75" s="833"/>
      <c r="I75" s="836"/>
      <c r="J75" s="836"/>
      <c r="K75" s="836"/>
      <c r="L75" s="836"/>
      <c r="M75" s="836"/>
      <c r="N75" s="836"/>
      <c r="O75" s="836"/>
      <c r="S75" s="842" t="s">
        <v>4526</v>
      </c>
      <c r="T75" s="791">
        <v>-1200000</v>
      </c>
      <c r="U75" s="791">
        <v>-1200000</v>
      </c>
      <c r="V75" s="791">
        <v>-1200000</v>
      </c>
      <c r="W75" s="791">
        <v>-1200000</v>
      </c>
    </row>
    <row r="76" spans="1:23" ht="12.75" customHeight="1" x14ac:dyDescent="0.25">
      <c r="T76" s="812">
        <f>SUM(T74:T75)</f>
        <v>70000</v>
      </c>
      <c r="U76" s="812">
        <f t="shared" ref="U76:W76" si="12">SUM(U74:U75)</f>
        <v>125000</v>
      </c>
      <c r="V76" s="812">
        <f t="shared" si="12"/>
        <v>180000</v>
      </c>
      <c r="W76" s="812">
        <f t="shared" si="12"/>
        <v>180000</v>
      </c>
    </row>
    <row r="395" spans="9:9" ht="12.75" customHeight="1" x14ac:dyDescent="0.25">
      <c r="I395" s="842"/>
    </row>
  </sheetData>
  <mergeCells count="3">
    <mergeCell ref="D54:D55"/>
    <mergeCell ref="F54:F55"/>
    <mergeCell ref="G54:H55"/>
  </mergeCells>
  <hyperlinks>
    <hyperlink ref="A1" location="Inhoudsopgave!A1" display="Inhoudsopgave" xr:uid="{89064C5B-D73A-49B1-8B9C-F777D6A23D74}"/>
  </hyperlinks>
  <pageMargins left="0.59055118110236227" right="0.39370078740157483" top="0.39370078740157483" bottom="0.39370078740157483" header="0.51181102362204722" footer="0.51181102362204722"/>
  <pageSetup paperSize="9" scale="67" orientation="portrait" useFirstPageNumber="1" r:id="rId1"/>
  <headerFooter alignWithMargins="0"/>
  <ignoredErrors>
    <ignoredError sqref="K47:M47" formulaRange="1"/>
  </ignoredError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2028-F370-4167-BEA1-5620BDF1CACA}">
  <sheetPr codeName="Blad62"/>
  <dimension ref="A1:W396"/>
  <sheetViews>
    <sheetView showGridLines="0" view="pageBreakPreview" topLeftCell="A175" zoomScaleNormal="100" zoomScaleSheetLayoutView="100" workbookViewId="0">
      <selection activeCell="G204" sqref="G204"/>
    </sheetView>
  </sheetViews>
  <sheetFormatPr defaultColWidth="10.109375" defaultRowHeight="12.75" customHeight="1" x14ac:dyDescent="0.25"/>
  <cols>
    <col min="1" max="1" width="10.6640625" style="516" customWidth="1"/>
    <col min="2" max="2" width="10.6640625" style="438" customWidth="1"/>
    <col min="3" max="3" width="10.109375" style="453"/>
    <col min="4" max="4" width="9.6640625" style="438" customWidth="1"/>
    <col min="5" max="6" width="9.6640625" style="516" customWidth="1"/>
    <col min="7" max="9" width="12.6640625" style="453" customWidth="1"/>
    <col min="10" max="15" width="11.6640625" style="453" customWidth="1"/>
    <col min="16" max="17" width="10.109375" style="453"/>
    <col min="18" max="20" width="12.33203125" style="453" bestFit="1" customWidth="1"/>
    <col min="21" max="16384" width="10.109375" style="453"/>
  </cols>
  <sheetData>
    <row r="1" spans="1:23" ht="12.75" customHeight="1" x14ac:dyDescent="0.3">
      <c r="A1" s="157" t="s">
        <v>0</v>
      </c>
      <c r="P1" s="515"/>
      <c r="Q1" s="451">
        <v>2024</v>
      </c>
      <c r="R1" s="451">
        <v>2025</v>
      </c>
      <c r="S1" s="451">
        <v>2026</v>
      </c>
      <c r="T1" s="451">
        <v>2027</v>
      </c>
      <c r="U1" s="451">
        <v>2028</v>
      </c>
      <c r="V1" s="451">
        <v>2029</v>
      </c>
      <c r="W1" s="451">
        <v>2030</v>
      </c>
    </row>
    <row r="2" spans="1:23" ht="12.75" customHeight="1" x14ac:dyDescent="0.3">
      <c r="D2" s="438" t="s">
        <v>504</v>
      </c>
      <c r="H2" s="453" t="s">
        <v>4142</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P5" s="166" t="s">
        <v>3334</v>
      </c>
      <c r="S5" s="495">
        <v>1.046</v>
      </c>
    </row>
    <row r="6" spans="1:23" ht="12.75" customHeight="1" x14ac:dyDescent="0.25">
      <c r="D6" s="438" t="s">
        <v>66</v>
      </c>
      <c r="H6" s="453" t="s">
        <v>53</v>
      </c>
    </row>
    <row r="22" spans="18:18" ht="12.75" customHeight="1" x14ac:dyDescent="0.25">
      <c r="R22" s="453">
        <f>1502000*1.0347*1.0347</f>
        <v>1608047.3431799999</v>
      </c>
    </row>
    <row r="39" spans="4:17" ht="12.75" customHeight="1" x14ac:dyDescent="0.25">
      <c r="D39" s="452" t="s">
        <v>507</v>
      </c>
      <c r="E39" s="438"/>
      <c r="F39" s="438"/>
    </row>
    <row r="40" spans="4:17" ht="12.75" customHeight="1" x14ac:dyDescent="0.25">
      <c r="E40" s="438"/>
      <c r="F40" s="438"/>
    </row>
    <row r="41" spans="4:17" ht="12.75" customHeight="1" x14ac:dyDescent="0.25">
      <c r="D41" s="1746" t="s">
        <v>508</v>
      </c>
      <c r="E41" s="1747"/>
      <c r="F41" s="1747"/>
      <c r="G41" s="1748"/>
      <c r="H41" s="1748"/>
      <c r="I41" s="1749"/>
      <c r="J41" s="1749">
        <v>2025</v>
      </c>
      <c r="K41" s="1749">
        <v>2026</v>
      </c>
      <c r="L41" s="1749">
        <v>2027</v>
      </c>
      <c r="M41" s="1749">
        <v>2028</v>
      </c>
      <c r="N41" s="1749">
        <v>2029</v>
      </c>
      <c r="O41" s="1749">
        <v>2030</v>
      </c>
    </row>
    <row r="42" spans="4:17" ht="12.75" customHeight="1" x14ac:dyDescent="0.25">
      <c r="D42" s="612" t="str">
        <f>G89</f>
        <v>GGD</v>
      </c>
      <c r="E42" s="613"/>
      <c r="F42" s="613"/>
      <c r="G42" s="527"/>
      <c r="H42" s="527"/>
      <c r="I42" s="614"/>
      <c r="J42" s="457">
        <v>1430857</v>
      </c>
      <c r="K42" s="457">
        <f t="shared" ref="K42:M42" si="0">K92</f>
        <v>1478352</v>
      </c>
      <c r="L42" s="457">
        <f t="shared" si="0"/>
        <v>1539741</v>
      </c>
      <c r="M42" s="457">
        <f t="shared" si="0"/>
        <v>1597099</v>
      </c>
      <c r="N42" s="457">
        <f t="shared" ref="N42:O42" si="1">N92</f>
        <v>1656542</v>
      </c>
      <c r="O42" s="457">
        <f t="shared" si="1"/>
        <v>1717146</v>
      </c>
    </row>
    <row r="43" spans="4:17" ht="12.75" customHeight="1" x14ac:dyDescent="0.25">
      <c r="D43" s="612" t="str">
        <f>G94</f>
        <v>Lokaal gezondheidsbeleid</v>
      </c>
      <c r="E43" s="613"/>
      <c r="F43" s="613"/>
      <c r="G43" s="527"/>
      <c r="H43" s="527"/>
      <c r="I43" s="614"/>
      <c r="J43" s="457">
        <v>23690</v>
      </c>
      <c r="K43" s="457">
        <f t="shared" ref="K43:M43" si="2">K97</f>
        <v>24310</v>
      </c>
      <c r="L43" s="457">
        <f t="shared" si="2"/>
        <v>24820</v>
      </c>
      <c r="M43" s="457">
        <f t="shared" si="2"/>
        <v>25390</v>
      </c>
      <c r="N43" s="457">
        <f t="shared" ref="N43:O43" si="3">N97</f>
        <v>25970</v>
      </c>
      <c r="O43" s="457">
        <f t="shared" si="3"/>
        <v>26570</v>
      </c>
    </row>
    <row r="44" spans="4:17" ht="12.75" customHeight="1" x14ac:dyDescent="0.25">
      <c r="D44" s="454" t="str">
        <f>G99</f>
        <v>Collectieve preventie GGZ</v>
      </c>
      <c r="E44" s="455"/>
      <c r="F44" s="456"/>
      <c r="I44" s="518"/>
      <c r="J44" s="457">
        <v>0</v>
      </c>
      <c r="K44" s="457">
        <f t="shared" ref="K44:M44" si="4">K102</f>
        <v>0</v>
      </c>
      <c r="L44" s="457">
        <f t="shared" si="4"/>
        <v>0</v>
      </c>
      <c r="M44" s="457">
        <f t="shared" si="4"/>
        <v>0</v>
      </c>
      <c r="N44" s="457">
        <f t="shared" ref="N44:O44" si="5">N102</f>
        <v>0</v>
      </c>
      <c r="O44" s="457">
        <f t="shared" si="5"/>
        <v>0</v>
      </c>
    </row>
    <row r="45" spans="4:17" ht="12.75" customHeight="1" x14ac:dyDescent="0.25">
      <c r="D45" s="454" t="str">
        <f>G104</f>
        <v>Directe toerekening gezondheidsbeleid</v>
      </c>
      <c r="E45" s="455"/>
      <c r="F45" s="456"/>
      <c r="I45" s="518"/>
      <c r="J45" s="457">
        <v>36873.93</v>
      </c>
      <c r="K45" s="457">
        <f t="shared" ref="K45:M45" si="6">K107</f>
        <v>37580.25</v>
      </c>
      <c r="L45" s="457">
        <f t="shared" si="6"/>
        <v>39160</v>
      </c>
      <c r="M45" s="457">
        <f t="shared" si="6"/>
        <v>40610</v>
      </c>
      <c r="N45" s="457">
        <f t="shared" ref="N45:O45" si="7">N107</f>
        <v>42110</v>
      </c>
      <c r="O45" s="457">
        <f t="shared" si="7"/>
        <v>43670</v>
      </c>
    </row>
    <row r="46" spans="4:17" ht="12.75" customHeight="1" x14ac:dyDescent="0.25">
      <c r="D46" s="454" t="str">
        <f>G109</f>
        <v>Jeugdgezondheidszorg</v>
      </c>
      <c r="E46" s="455"/>
      <c r="F46" s="456"/>
      <c r="I46" s="518"/>
      <c r="J46" s="44">
        <v>0</v>
      </c>
      <c r="K46" s="44">
        <f t="shared" ref="K46:M46" si="8">K113</f>
        <v>0</v>
      </c>
      <c r="L46" s="44">
        <f t="shared" si="8"/>
        <v>0</v>
      </c>
      <c r="M46" s="44">
        <f t="shared" si="8"/>
        <v>0</v>
      </c>
      <c r="N46" s="44">
        <f t="shared" ref="N46:O46" si="9">N113</f>
        <v>0</v>
      </c>
      <c r="O46" s="44">
        <f t="shared" si="9"/>
        <v>0</v>
      </c>
      <c r="Q46" s="747"/>
    </row>
    <row r="47" spans="4:17" ht="12.75" customHeight="1" x14ac:dyDescent="0.25">
      <c r="D47" s="454" t="str">
        <f>G115</f>
        <v>BS Terugdringen gezondheidsachterstanden</v>
      </c>
      <c r="E47" s="455"/>
      <c r="F47" s="456"/>
      <c r="I47" s="518"/>
      <c r="J47" s="44">
        <v>29858</v>
      </c>
      <c r="K47" s="44">
        <f t="shared" ref="K47:M47" si="10">K118</f>
        <v>31090</v>
      </c>
      <c r="L47" s="44">
        <f t="shared" si="10"/>
        <v>31090</v>
      </c>
      <c r="M47" s="44">
        <f t="shared" si="10"/>
        <v>31090</v>
      </c>
      <c r="N47" s="44">
        <f t="shared" ref="N47:O47" si="11">N118</f>
        <v>31090</v>
      </c>
      <c r="O47" s="44">
        <f t="shared" si="11"/>
        <v>31090</v>
      </c>
    </row>
    <row r="48" spans="4:17" ht="12.75" customHeight="1" x14ac:dyDescent="0.25">
      <c r="D48" s="454" t="str">
        <f>G120</f>
        <v>BS Kansrijke start</v>
      </c>
      <c r="E48" s="455"/>
      <c r="F48" s="456"/>
      <c r="I48" s="518"/>
      <c r="J48" s="457">
        <v>23887</v>
      </c>
      <c r="K48" s="457">
        <f t="shared" ref="K48:M48" si="12">K123</f>
        <v>31090</v>
      </c>
      <c r="L48" s="457">
        <f t="shared" si="12"/>
        <v>31090</v>
      </c>
      <c r="M48" s="457">
        <f t="shared" si="12"/>
        <v>31090</v>
      </c>
      <c r="N48" s="457">
        <f t="shared" ref="N48:O48" si="13">N123</f>
        <v>31090</v>
      </c>
      <c r="O48" s="457">
        <f t="shared" si="13"/>
        <v>31090</v>
      </c>
    </row>
    <row r="49" spans="4:15" ht="12.75" customHeight="1" x14ac:dyDescent="0.25">
      <c r="D49" s="454" t="str">
        <f>G125</f>
        <v>BS Mentale gezondheid</v>
      </c>
      <c r="E49" s="455"/>
      <c r="F49" s="456"/>
      <c r="I49" s="518"/>
      <c r="J49" s="44">
        <v>7465</v>
      </c>
      <c r="K49" s="44">
        <f t="shared" ref="K49:M49" si="14">K128</f>
        <v>0</v>
      </c>
      <c r="L49" s="44">
        <f t="shared" si="14"/>
        <v>0</v>
      </c>
      <c r="M49" s="44">
        <f t="shared" si="14"/>
        <v>0</v>
      </c>
      <c r="N49" s="44">
        <f t="shared" ref="N49:O49" si="15">N128</f>
        <v>0</v>
      </c>
      <c r="O49" s="44">
        <f t="shared" si="15"/>
        <v>0</v>
      </c>
    </row>
    <row r="50" spans="4:15" ht="12.75" customHeight="1" x14ac:dyDescent="0.25">
      <c r="D50" s="454" t="str">
        <f>G130</f>
        <v>BS Aanpak overgewicht en obesitas</v>
      </c>
      <c r="E50" s="455"/>
      <c r="F50" s="456"/>
      <c r="I50" s="518"/>
      <c r="J50" s="41">
        <v>26126</v>
      </c>
      <c r="K50" s="41">
        <f t="shared" ref="K50:M50" si="16">K133</f>
        <v>0</v>
      </c>
      <c r="L50" s="41">
        <f t="shared" si="16"/>
        <v>0</v>
      </c>
      <c r="M50" s="41">
        <f t="shared" si="16"/>
        <v>0</v>
      </c>
      <c r="N50" s="41">
        <f t="shared" ref="N50:O50" si="17">N133</f>
        <v>0</v>
      </c>
      <c r="O50" s="41">
        <f t="shared" si="17"/>
        <v>0</v>
      </c>
    </row>
    <row r="51" spans="4:15" ht="12.75" customHeight="1" x14ac:dyDescent="0.25">
      <c r="D51" s="454" t="str">
        <f>G135</f>
        <v>BS Leefomgeving</v>
      </c>
      <c r="E51" s="455"/>
      <c r="F51" s="456"/>
      <c r="I51" s="518"/>
      <c r="J51" s="41">
        <v>14929</v>
      </c>
      <c r="K51" s="41">
        <f t="shared" ref="K51:M51" si="18">K138</f>
        <v>0</v>
      </c>
      <c r="L51" s="41">
        <f t="shared" si="18"/>
        <v>0</v>
      </c>
      <c r="M51" s="41">
        <f t="shared" si="18"/>
        <v>0</v>
      </c>
      <c r="N51" s="41">
        <f t="shared" ref="N51:O51" si="19">N138</f>
        <v>0</v>
      </c>
      <c r="O51" s="41">
        <f t="shared" si="19"/>
        <v>0</v>
      </c>
    </row>
    <row r="52" spans="4:15" ht="12.75" customHeight="1" x14ac:dyDescent="0.25">
      <c r="D52" s="454" t="str">
        <f>G140</f>
        <v>BS OKO &amp; Vroegsignalering alcoholproblematiek</v>
      </c>
      <c r="E52" s="455"/>
      <c r="F52" s="456"/>
      <c r="I52" s="518"/>
      <c r="J52" s="41">
        <v>3732</v>
      </c>
      <c r="K52" s="41">
        <f t="shared" ref="K52:M52" si="20">K143</f>
        <v>0</v>
      </c>
      <c r="L52" s="41">
        <f t="shared" si="20"/>
        <v>0</v>
      </c>
      <c r="M52" s="41">
        <f t="shared" si="20"/>
        <v>0</v>
      </c>
      <c r="N52" s="41">
        <f t="shared" ref="N52:O52" si="21">N143</f>
        <v>0</v>
      </c>
      <c r="O52" s="41">
        <f t="shared" si="21"/>
        <v>0</v>
      </c>
    </row>
    <row r="53" spans="4:15" ht="12.75" customHeight="1" x14ac:dyDescent="0.25">
      <c r="D53" s="454" t="str">
        <f>G145</f>
        <v>BS Versterken kennis- en adviesfunctie GGD</v>
      </c>
      <c r="E53" s="455"/>
      <c r="F53" s="456"/>
      <c r="I53" s="518"/>
      <c r="J53" s="41">
        <v>3732</v>
      </c>
      <c r="K53" s="41">
        <f t="shared" ref="K53:M53" si="22">K148</f>
        <v>0</v>
      </c>
      <c r="L53" s="41">
        <f t="shared" si="22"/>
        <v>0</v>
      </c>
      <c r="M53" s="41">
        <f t="shared" si="22"/>
        <v>0</v>
      </c>
      <c r="N53" s="41">
        <f t="shared" ref="N53:O53" si="23">N148</f>
        <v>0</v>
      </c>
      <c r="O53" s="41">
        <f t="shared" si="23"/>
        <v>0</v>
      </c>
    </row>
    <row r="54" spans="4:15" ht="12.75" customHeight="1" x14ac:dyDescent="0.25">
      <c r="D54" s="454" t="str">
        <f>G150</f>
        <v>BS Coördinatiekosten regionale aanpak preventie</v>
      </c>
      <c r="E54" s="455"/>
      <c r="F54" s="456"/>
      <c r="I54" s="518"/>
      <c r="J54" s="41">
        <v>10898</v>
      </c>
      <c r="K54" s="41">
        <f t="shared" ref="K54:M54" si="24">K153</f>
        <v>0</v>
      </c>
      <c r="L54" s="41">
        <f t="shared" si="24"/>
        <v>0</v>
      </c>
      <c r="M54" s="41">
        <f t="shared" si="24"/>
        <v>0</v>
      </c>
      <c r="N54" s="41">
        <f t="shared" ref="N54:O54" si="25">N153</f>
        <v>0</v>
      </c>
      <c r="O54" s="41">
        <f t="shared" si="25"/>
        <v>0</v>
      </c>
    </row>
    <row r="55" spans="4:15" ht="12.75" customHeight="1" x14ac:dyDescent="0.25">
      <c r="D55" s="454"/>
      <c r="E55" s="455"/>
      <c r="F55" s="456"/>
      <c r="I55" s="518"/>
      <c r="J55" s="42"/>
      <c r="K55" s="42"/>
      <c r="L55" s="42"/>
      <c r="M55" s="42"/>
      <c r="N55" s="42"/>
      <c r="O55" s="42"/>
    </row>
    <row r="56" spans="4:15" ht="12.75" customHeight="1" x14ac:dyDescent="0.25">
      <c r="D56" s="1751" t="s">
        <v>525</v>
      </c>
      <c r="E56" s="1752"/>
      <c r="F56" s="1753"/>
      <c r="G56" s="1754"/>
      <c r="H56" s="1754"/>
      <c r="I56" s="1757"/>
      <c r="J56" s="1886">
        <v>1612047.93</v>
      </c>
      <c r="K56" s="1886">
        <f>SUM(K42:K55)</f>
        <v>1602422.25</v>
      </c>
      <c r="L56" s="1886">
        <f>SUM(L42:L55)</f>
        <v>1665901</v>
      </c>
      <c r="M56" s="1886">
        <f>SUM(M42:M55)</f>
        <v>1725279</v>
      </c>
      <c r="N56" s="1886">
        <f>SUM(N42:N55)</f>
        <v>1786802</v>
      </c>
      <c r="O56" s="1886">
        <f>SUM(O42:O55)</f>
        <v>1849566</v>
      </c>
    </row>
    <row r="57" spans="4:15" ht="12.75" customHeight="1" x14ac:dyDescent="0.25">
      <c r="E57" s="455"/>
      <c r="F57" s="456"/>
    </row>
    <row r="58" spans="4:15" ht="12.75" customHeight="1" x14ac:dyDescent="0.25">
      <c r="D58" s="1746" t="s">
        <v>526</v>
      </c>
      <c r="E58" s="1747"/>
      <c r="F58" s="1747"/>
      <c r="G58" s="1748"/>
      <c r="H58" s="1748"/>
      <c r="I58" s="1749"/>
      <c r="J58" s="1749">
        <v>2025</v>
      </c>
      <c r="K58" s="1749">
        <v>2026</v>
      </c>
      <c r="L58" s="1749">
        <v>2027</v>
      </c>
      <c r="M58" s="1749">
        <v>2028</v>
      </c>
      <c r="N58" s="1749">
        <v>2029</v>
      </c>
      <c r="O58" s="1749">
        <v>2030</v>
      </c>
    </row>
    <row r="59" spans="4:15" ht="12.75" customHeight="1" x14ac:dyDescent="0.25">
      <c r="D59" s="1808" t="str">
        <f>G155</f>
        <v>BS Terugdringen gezondheidsachterstanden</v>
      </c>
      <c r="E59" s="616"/>
      <c r="F59" s="617"/>
      <c r="G59" s="618"/>
      <c r="H59" s="618"/>
      <c r="I59" s="518"/>
      <c r="J59" s="457">
        <v>-29858</v>
      </c>
      <c r="K59" s="457">
        <f t="shared" ref="K59:M59" si="26">K158</f>
        <v>-31090</v>
      </c>
      <c r="L59" s="457">
        <f t="shared" si="26"/>
        <v>-31090</v>
      </c>
      <c r="M59" s="457">
        <f t="shared" si="26"/>
        <v>-31090</v>
      </c>
      <c r="N59" s="457">
        <f t="shared" ref="N59:O59" si="27">N158</f>
        <v>-31090</v>
      </c>
      <c r="O59" s="457">
        <f t="shared" si="27"/>
        <v>-31090</v>
      </c>
    </row>
    <row r="60" spans="4:15" ht="12.75" customHeight="1" x14ac:dyDescent="0.25">
      <c r="D60" s="454" t="str">
        <f>G160</f>
        <v>BS Kansrijke start</v>
      </c>
      <c r="E60" s="455"/>
      <c r="F60" s="456"/>
      <c r="I60" s="518"/>
      <c r="J60" s="457">
        <v>-23887</v>
      </c>
      <c r="K60" s="457">
        <f t="shared" ref="K60:M60" si="28">K163</f>
        <v>-31090</v>
      </c>
      <c r="L60" s="457">
        <f t="shared" si="28"/>
        <v>-31090</v>
      </c>
      <c r="M60" s="457">
        <f t="shared" si="28"/>
        <v>-31090</v>
      </c>
      <c r="N60" s="457">
        <f t="shared" ref="N60:O60" si="29">N163</f>
        <v>-31090</v>
      </c>
      <c r="O60" s="457">
        <f t="shared" si="29"/>
        <v>-31090</v>
      </c>
    </row>
    <row r="61" spans="4:15" ht="12.75" customHeight="1" x14ac:dyDescent="0.25">
      <c r="D61" s="454" t="str">
        <f>G165</f>
        <v>BS Mentale gezondheid</v>
      </c>
      <c r="E61" s="455"/>
      <c r="F61" s="456"/>
      <c r="I61" s="518"/>
      <c r="J61" s="457">
        <v>-7465</v>
      </c>
      <c r="K61" s="457">
        <f t="shared" ref="K61:M61" si="30">K168</f>
        <v>0</v>
      </c>
      <c r="L61" s="457">
        <f t="shared" si="30"/>
        <v>0</v>
      </c>
      <c r="M61" s="457">
        <f t="shared" si="30"/>
        <v>0</v>
      </c>
      <c r="N61" s="457">
        <f t="shared" ref="N61:O61" si="31">N168</f>
        <v>0</v>
      </c>
      <c r="O61" s="457">
        <f t="shared" si="31"/>
        <v>0</v>
      </c>
    </row>
    <row r="62" spans="4:15" ht="12.75" customHeight="1" x14ac:dyDescent="0.25">
      <c r="D62" s="454" t="str">
        <f>G170</f>
        <v>BS Aanpak overgewicht en obesitas</v>
      </c>
      <c r="E62" s="455"/>
      <c r="F62" s="456"/>
      <c r="I62" s="518"/>
      <c r="J62" s="457">
        <v>-26126</v>
      </c>
      <c r="K62" s="457">
        <f t="shared" ref="K62:M62" si="32">K173</f>
        <v>0</v>
      </c>
      <c r="L62" s="457">
        <f t="shared" si="32"/>
        <v>0</v>
      </c>
      <c r="M62" s="457">
        <f t="shared" si="32"/>
        <v>0</v>
      </c>
      <c r="N62" s="457">
        <f t="shared" ref="N62:O62" si="33">N173</f>
        <v>0</v>
      </c>
      <c r="O62" s="457">
        <f t="shared" si="33"/>
        <v>0</v>
      </c>
    </row>
    <row r="63" spans="4:15" ht="12.75" customHeight="1" x14ac:dyDescent="0.25">
      <c r="D63" s="454" t="str">
        <f>G175</f>
        <v>BS Leefomgeving</v>
      </c>
      <c r="E63" s="455"/>
      <c r="F63" s="456"/>
      <c r="I63" s="518"/>
      <c r="J63" s="457">
        <v>-14929</v>
      </c>
      <c r="K63" s="457">
        <f t="shared" ref="K63:M63" si="34">K178</f>
        <v>0</v>
      </c>
      <c r="L63" s="457">
        <f t="shared" si="34"/>
        <v>0</v>
      </c>
      <c r="M63" s="457">
        <f t="shared" si="34"/>
        <v>0</v>
      </c>
      <c r="N63" s="457">
        <f t="shared" ref="N63:O63" si="35">N178</f>
        <v>0</v>
      </c>
      <c r="O63" s="457">
        <f t="shared" si="35"/>
        <v>0</v>
      </c>
    </row>
    <row r="64" spans="4:15" ht="12.75" customHeight="1" x14ac:dyDescent="0.25">
      <c r="D64" s="454" t="str">
        <f>G180</f>
        <v>BS OKO &amp; Vroegsignalering alcoholproblematiek</v>
      </c>
      <c r="E64" s="455"/>
      <c r="F64" s="456"/>
      <c r="I64" s="518"/>
      <c r="J64" s="457">
        <v>-3732</v>
      </c>
      <c r="K64" s="457">
        <f t="shared" ref="K64:M64" si="36">K183</f>
        <v>0</v>
      </c>
      <c r="L64" s="457">
        <f t="shared" si="36"/>
        <v>0</v>
      </c>
      <c r="M64" s="457">
        <f t="shared" si="36"/>
        <v>0</v>
      </c>
      <c r="N64" s="457">
        <f t="shared" ref="N64:O64" si="37">N183</f>
        <v>0</v>
      </c>
      <c r="O64" s="457">
        <f t="shared" si="37"/>
        <v>0</v>
      </c>
    </row>
    <row r="65" spans="4:15" ht="12.75" customHeight="1" x14ac:dyDescent="0.25">
      <c r="D65" s="454" t="str">
        <f>G185</f>
        <v>BS Versterken kennis- en adviesfunctie GGD</v>
      </c>
      <c r="E65" s="455"/>
      <c r="F65" s="456"/>
      <c r="I65" s="518"/>
      <c r="J65" s="457">
        <v>-3732</v>
      </c>
      <c r="K65" s="457">
        <f t="shared" ref="K65:M65" si="38">K188</f>
        <v>0</v>
      </c>
      <c r="L65" s="457">
        <f t="shared" si="38"/>
        <v>0</v>
      </c>
      <c r="M65" s="457">
        <f t="shared" si="38"/>
        <v>0</v>
      </c>
      <c r="N65" s="457">
        <f t="shared" ref="N65:O65" si="39">N188</f>
        <v>0</v>
      </c>
      <c r="O65" s="457">
        <f t="shared" si="39"/>
        <v>0</v>
      </c>
    </row>
    <row r="66" spans="4:15" ht="12.75" customHeight="1" x14ac:dyDescent="0.25">
      <c r="D66" s="454" t="str">
        <f>G190</f>
        <v>BS Coördinatiekosten regionale aanpak preventie</v>
      </c>
      <c r="E66" s="455"/>
      <c r="F66" s="456"/>
      <c r="I66" s="518"/>
      <c r="J66" s="457">
        <v>-10898</v>
      </c>
      <c r="K66" s="457">
        <f t="shared" ref="K66:M66" si="40">K193</f>
        <v>0</v>
      </c>
      <c r="L66" s="457">
        <f t="shared" si="40"/>
        <v>0</v>
      </c>
      <c r="M66" s="457">
        <f t="shared" si="40"/>
        <v>0</v>
      </c>
      <c r="N66" s="457">
        <f t="shared" ref="N66:O66" si="41">N193</f>
        <v>0</v>
      </c>
      <c r="O66" s="457">
        <f t="shared" si="41"/>
        <v>0</v>
      </c>
    </row>
    <row r="67" spans="4:15" ht="12.75" customHeight="1" x14ac:dyDescent="0.25">
      <c r="D67" s="454"/>
      <c r="E67" s="455"/>
      <c r="F67" s="456"/>
      <c r="I67" s="518"/>
      <c r="J67" s="457"/>
      <c r="K67" s="457"/>
      <c r="L67" s="457"/>
      <c r="M67" s="457"/>
      <c r="N67" s="457"/>
      <c r="O67" s="457"/>
    </row>
    <row r="68" spans="4:15" ht="12.75" customHeight="1" x14ac:dyDescent="0.25">
      <c r="D68" s="454"/>
      <c r="E68" s="455"/>
      <c r="F68" s="456"/>
      <c r="I68" s="518"/>
      <c r="J68" s="457"/>
      <c r="K68" s="457"/>
      <c r="L68" s="457"/>
      <c r="M68" s="457"/>
      <c r="N68" s="457"/>
      <c r="O68" s="457"/>
    </row>
    <row r="69" spans="4:15" ht="12.75" customHeight="1" x14ac:dyDescent="0.25">
      <c r="D69" s="454"/>
      <c r="E69" s="455"/>
      <c r="F69" s="456"/>
      <c r="I69" s="518"/>
      <c r="J69" s="457"/>
      <c r="K69" s="457"/>
      <c r="L69" s="457"/>
      <c r="M69" s="457"/>
      <c r="N69" s="457"/>
      <c r="O69" s="457"/>
    </row>
    <row r="70" spans="4:15" ht="12.75" customHeight="1" x14ac:dyDescent="0.25">
      <c r="D70" s="1751" t="s">
        <v>328</v>
      </c>
      <c r="E70" s="1752"/>
      <c r="F70" s="1753"/>
      <c r="G70" s="1754"/>
      <c r="H70" s="1754"/>
      <c r="I70" s="1757"/>
      <c r="J70" s="1886">
        <v>-120627</v>
      </c>
      <c r="K70" s="1886">
        <f>SUM(K59:K69)</f>
        <v>-62180</v>
      </c>
      <c r="L70" s="1886">
        <f>SUM(L59:L69)</f>
        <v>-62180</v>
      </c>
      <c r="M70" s="1886">
        <f>SUM(M59:M69)</f>
        <v>-62180</v>
      </c>
      <c r="N70" s="1886">
        <f>SUM(N59:N69)</f>
        <v>-62180</v>
      </c>
      <c r="O70" s="1886">
        <f>SUM(O59:O69)</f>
        <v>-62180</v>
      </c>
    </row>
    <row r="71" spans="4:15" ht="12.75" customHeight="1" x14ac:dyDescent="0.25">
      <c r="E71" s="455"/>
      <c r="F71" s="456"/>
      <c r="J71" s="469"/>
      <c r="K71" s="469"/>
      <c r="L71" s="469"/>
      <c r="M71" s="469"/>
      <c r="N71" s="469"/>
      <c r="O71" s="469"/>
    </row>
    <row r="72" spans="4:15" ht="12.75" customHeight="1" x14ac:dyDescent="0.25">
      <c r="D72" s="1751" t="s">
        <v>527</v>
      </c>
      <c r="E72" s="1756"/>
      <c r="F72" s="1756"/>
      <c r="G72" s="1754"/>
      <c r="H72" s="1754"/>
      <c r="I72" s="1754"/>
      <c r="J72" s="1758">
        <v>1491420.93</v>
      </c>
      <c r="K72" s="1758">
        <f>K56+K70</f>
        <v>1540242.25</v>
      </c>
      <c r="L72" s="1758">
        <f>L56+L70</f>
        <v>1603721</v>
      </c>
      <c r="M72" s="1758">
        <f>M56+M70</f>
        <v>1663099</v>
      </c>
      <c r="N72" s="1758">
        <f>N56+N70</f>
        <v>1724622</v>
      </c>
      <c r="O72" s="1758">
        <f>O56+O70</f>
        <v>1787386</v>
      </c>
    </row>
    <row r="73" spans="4:15" ht="12.75" customHeight="1" x14ac:dyDescent="0.25">
      <c r="E73" s="455"/>
      <c r="F73" s="456"/>
      <c r="J73" s="469"/>
      <c r="K73" s="469"/>
      <c r="L73" s="469"/>
      <c r="M73" s="469"/>
      <c r="N73" s="469"/>
      <c r="O73" s="469"/>
    </row>
    <row r="74" spans="4:15" ht="12.75" customHeight="1" x14ac:dyDescent="0.25">
      <c r="E74" s="455"/>
      <c r="F74" s="456"/>
      <c r="J74" s="469"/>
      <c r="K74" s="469"/>
      <c r="L74" s="469"/>
      <c r="M74" s="469"/>
      <c r="N74" s="469"/>
      <c r="O74" s="469"/>
    </row>
    <row r="75" spans="4:15" ht="12.75" customHeight="1" x14ac:dyDescent="0.25">
      <c r="D75" s="1857" t="s">
        <v>2129</v>
      </c>
      <c r="E75" s="748"/>
      <c r="F75" s="748"/>
      <c r="G75" s="618"/>
      <c r="H75" s="618"/>
      <c r="I75" s="1763"/>
      <c r="J75" s="1749">
        <v>2025</v>
      </c>
      <c r="K75" s="1749">
        <v>2026</v>
      </c>
      <c r="L75" s="1749">
        <v>2026</v>
      </c>
      <c r="M75" s="1749">
        <v>2027</v>
      </c>
      <c r="N75" s="1749">
        <v>2027</v>
      </c>
      <c r="O75" s="1749">
        <v>2027</v>
      </c>
    </row>
    <row r="76" spans="4:15" ht="12.75" customHeight="1" x14ac:dyDescent="0.25">
      <c r="D76" s="1808" t="s">
        <v>2130</v>
      </c>
      <c r="E76" s="749"/>
      <c r="F76" s="749"/>
      <c r="G76" s="618"/>
      <c r="H76" s="618"/>
      <c r="I76" s="618"/>
      <c r="J76" s="1869">
        <v>0</v>
      </c>
      <c r="K76" s="1869">
        <v>0</v>
      </c>
      <c r="L76" s="1869">
        <v>0</v>
      </c>
      <c r="M76" s="1869">
        <v>0</v>
      </c>
      <c r="N76" s="1869">
        <v>0</v>
      </c>
      <c r="O76" s="1869">
        <v>0</v>
      </c>
    </row>
    <row r="77" spans="4:15" ht="12.75" customHeight="1" x14ac:dyDescent="0.25">
      <c r="D77" s="464" t="s">
        <v>2131</v>
      </c>
      <c r="E77" s="750"/>
      <c r="F77" s="750"/>
      <c r="G77" s="467"/>
      <c r="H77" s="467"/>
      <c r="I77" s="467"/>
      <c r="J77" s="468">
        <v>0</v>
      </c>
      <c r="K77" s="468">
        <v>0</v>
      </c>
      <c r="L77" s="468">
        <v>0</v>
      </c>
      <c r="M77" s="468">
        <v>0</v>
      </c>
      <c r="N77" s="468">
        <v>0</v>
      </c>
      <c r="O77" s="468">
        <v>0</v>
      </c>
    </row>
    <row r="78" spans="4:15" ht="12.75" customHeight="1" x14ac:dyDescent="0.25">
      <c r="D78" s="749"/>
      <c r="E78" s="749"/>
      <c r="F78" s="749"/>
      <c r="G78" s="618"/>
      <c r="H78" s="618"/>
      <c r="I78" s="618"/>
      <c r="J78" s="751"/>
      <c r="K78" s="469"/>
      <c r="L78" s="469"/>
      <c r="M78" s="469"/>
      <c r="N78" s="469"/>
      <c r="O78" s="469"/>
    </row>
    <row r="79" spans="4:15" ht="12.75" customHeight="1" x14ac:dyDescent="0.25">
      <c r="E79" s="438"/>
      <c r="F79" s="438"/>
      <c r="J79" s="469"/>
      <c r="K79" s="469"/>
      <c r="L79" s="469"/>
      <c r="M79" s="469"/>
      <c r="N79" s="469"/>
      <c r="O79" s="469"/>
    </row>
    <row r="80" spans="4:15" ht="12.75" customHeight="1" x14ac:dyDescent="0.25">
      <c r="D80" s="750"/>
      <c r="E80" s="750"/>
      <c r="F80" s="750"/>
      <c r="G80" s="467"/>
      <c r="H80" s="467"/>
      <c r="I80" s="467"/>
      <c r="J80" s="620"/>
      <c r="K80" s="469"/>
      <c r="L80" s="469"/>
      <c r="M80" s="469"/>
      <c r="N80" s="469"/>
      <c r="O80" s="469"/>
    </row>
    <row r="81" spans="1:20" ht="12.75" customHeight="1" x14ac:dyDescent="0.25">
      <c r="D81" s="1751" t="s">
        <v>2132</v>
      </c>
      <c r="E81" s="1756"/>
      <c r="F81" s="1756"/>
      <c r="G81" s="1754"/>
      <c r="H81" s="1754"/>
      <c r="I81" s="1754"/>
      <c r="J81" s="1759">
        <v>1491420.93</v>
      </c>
      <c r="K81" s="1759">
        <f t="shared" ref="K81:M81" si="42">K72+K76+K77</f>
        <v>1540242.25</v>
      </c>
      <c r="L81" s="1759">
        <f t="shared" si="42"/>
        <v>1603721</v>
      </c>
      <c r="M81" s="1759">
        <f t="shared" si="42"/>
        <v>1663099</v>
      </c>
      <c r="N81" s="1759">
        <f t="shared" ref="N81:O81" si="43">N72+N76+N77</f>
        <v>1724622</v>
      </c>
      <c r="O81" s="1759">
        <f t="shared" si="43"/>
        <v>1787386</v>
      </c>
    </row>
    <row r="82" spans="1:20" ht="12.75" customHeight="1" x14ac:dyDescent="0.25">
      <c r="D82" s="453"/>
      <c r="E82" s="453"/>
      <c r="F82" s="453"/>
      <c r="J82" s="469"/>
      <c r="K82" s="469"/>
      <c r="L82" s="469"/>
      <c r="M82" s="469"/>
      <c r="N82" s="469"/>
      <c r="O82" s="469"/>
    </row>
    <row r="83" spans="1:20" ht="12.75" customHeight="1" x14ac:dyDescent="0.25">
      <c r="E83" s="438"/>
      <c r="F83" s="438"/>
      <c r="J83" s="469"/>
      <c r="K83" s="469"/>
      <c r="L83" s="469"/>
      <c r="M83" s="469"/>
      <c r="N83" s="469"/>
      <c r="O83" s="469"/>
    </row>
    <row r="84" spans="1:20" ht="12.75" customHeight="1" x14ac:dyDescent="0.25">
      <c r="D84" s="452" t="s">
        <v>528</v>
      </c>
      <c r="E84" s="752"/>
      <c r="F84" s="752"/>
      <c r="I84" s="469"/>
      <c r="J84" s="469"/>
      <c r="K84" s="469"/>
      <c r="L84" s="469"/>
      <c r="M84" s="469"/>
      <c r="N84" s="469"/>
      <c r="O84" s="469"/>
    </row>
    <row r="86" spans="1:20" ht="12.75" customHeight="1" x14ac:dyDescent="0.25">
      <c r="D86" s="2617" t="s">
        <v>529</v>
      </c>
      <c r="E86" s="1761" t="s">
        <v>530</v>
      </c>
      <c r="F86" s="2552" t="s">
        <v>531</v>
      </c>
      <c r="G86" s="2525" t="s">
        <v>206</v>
      </c>
      <c r="H86" s="2526"/>
      <c r="I86" s="1763"/>
      <c r="J86" s="1757"/>
      <c r="R86" s="527"/>
      <c r="S86" s="527"/>
      <c r="T86" s="527"/>
    </row>
    <row r="87" spans="1:20" ht="12.75" customHeight="1" x14ac:dyDescent="0.25">
      <c r="D87" s="2618"/>
      <c r="E87" s="472" t="s">
        <v>532</v>
      </c>
      <c r="F87" s="2553"/>
      <c r="G87" s="2527"/>
      <c r="H87" s="2528"/>
      <c r="I87" s="70"/>
      <c r="J87" s="1951">
        <v>2025</v>
      </c>
      <c r="K87" s="1749">
        <v>2026</v>
      </c>
      <c r="L87" s="1749">
        <v>2027</v>
      </c>
      <c r="M87" s="1749">
        <v>2028</v>
      </c>
      <c r="N87" s="1749">
        <v>2029</v>
      </c>
      <c r="O87" s="1749">
        <v>2030</v>
      </c>
    </row>
    <row r="88" spans="1:20" ht="12.75" customHeight="1" x14ac:dyDescent="0.25">
      <c r="D88" s="1767"/>
      <c r="E88" s="524"/>
      <c r="F88" s="524"/>
      <c r="G88" s="1952"/>
      <c r="H88" s="618"/>
      <c r="I88" s="1763"/>
      <c r="J88" s="1767"/>
      <c r="K88" s="1767"/>
      <c r="L88" s="1767"/>
      <c r="M88" s="1767"/>
      <c r="N88" s="1767"/>
      <c r="O88" s="1767"/>
      <c r="R88" s="753"/>
      <c r="S88" s="753"/>
      <c r="T88" s="753"/>
    </row>
    <row r="89" spans="1:20" ht="12.75" customHeight="1" x14ac:dyDescent="0.25">
      <c r="D89" s="754">
        <v>646001</v>
      </c>
      <c r="E89" s="755"/>
      <c r="F89" s="755"/>
      <c r="G89" s="756" t="s">
        <v>4527</v>
      </c>
      <c r="I89" s="463"/>
      <c r="J89" s="457"/>
      <c r="K89" s="457"/>
      <c r="L89" s="457"/>
      <c r="M89" s="457"/>
      <c r="N89" s="457"/>
      <c r="O89" s="457"/>
      <c r="R89" s="753"/>
      <c r="S89" s="753"/>
      <c r="T89" s="753"/>
    </row>
    <row r="90" spans="1:20" ht="12.75" customHeight="1" x14ac:dyDescent="0.25">
      <c r="D90" s="757"/>
      <c r="E90" s="758"/>
      <c r="F90" s="758"/>
      <c r="G90" s="759" t="s">
        <v>533</v>
      </c>
      <c r="I90" s="463"/>
      <c r="J90" s="457"/>
      <c r="K90" s="457"/>
      <c r="L90" s="457"/>
      <c r="M90" s="457"/>
      <c r="N90" s="457"/>
      <c r="O90" s="457"/>
    </row>
    <row r="91" spans="1:20" ht="12.75" customHeight="1" x14ac:dyDescent="0.25">
      <c r="A91" s="760">
        <f>+D89</f>
        <v>646001</v>
      </c>
      <c r="B91" s="470" t="str">
        <f>G89</f>
        <v>GGD</v>
      </c>
      <c r="D91" s="757">
        <v>44330</v>
      </c>
      <c r="E91" s="758"/>
      <c r="F91" s="758"/>
      <c r="G91" s="761" t="s">
        <v>4528</v>
      </c>
      <c r="I91" s="463"/>
      <c r="J91" s="463">
        <v>1430857</v>
      </c>
      <c r="K91" s="463">
        <f t="shared" ref="K91:M91" si="44">K212</f>
        <v>1478352</v>
      </c>
      <c r="L91" s="463">
        <f t="shared" si="44"/>
        <v>1539741</v>
      </c>
      <c r="M91" s="463">
        <f t="shared" si="44"/>
        <v>1597099</v>
      </c>
      <c r="N91" s="463">
        <f t="shared" ref="N91:O91" si="45">N212</f>
        <v>1656542</v>
      </c>
      <c r="O91" s="463">
        <f t="shared" si="45"/>
        <v>1717146</v>
      </c>
      <c r="R91" s="753"/>
      <c r="S91" s="753"/>
      <c r="T91" s="753"/>
    </row>
    <row r="92" spans="1:20" ht="12.75" customHeight="1" thickBot="1" x14ac:dyDescent="0.3">
      <c r="D92" s="757"/>
      <c r="E92" s="758"/>
      <c r="F92" s="758"/>
      <c r="G92" s="761" t="s">
        <v>536</v>
      </c>
      <c r="I92" s="463"/>
      <c r="J92" s="762">
        <v>1430857</v>
      </c>
      <c r="K92" s="762">
        <f t="shared" ref="K92:M92" si="46">SUM(K89:K91)</f>
        <v>1478352</v>
      </c>
      <c r="L92" s="762">
        <f t="shared" si="46"/>
        <v>1539741</v>
      </c>
      <c r="M92" s="762">
        <f t="shared" si="46"/>
        <v>1597099</v>
      </c>
      <c r="N92" s="762">
        <f t="shared" ref="N92:O92" si="47">SUM(N89:N91)</f>
        <v>1656542</v>
      </c>
      <c r="O92" s="762">
        <f t="shared" si="47"/>
        <v>1717146</v>
      </c>
    </row>
    <row r="93" spans="1:20" ht="12.75" customHeight="1" thickTop="1" x14ac:dyDescent="0.25">
      <c r="D93" s="757"/>
      <c r="E93" s="758"/>
      <c r="F93" s="758"/>
      <c r="G93" s="761"/>
      <c r="I93" s="463"/>
      <c r="J93" s="457"/>
      <c r="K93" s="457"/>
      <c r="L93" s="457"/>
      <c r="M93" s="457"/>
      <c r="N93" s="457"/>
      <c r="O93" s="457"/>
    </row>
    <row r="94" spans="1:20" ht="12.75" customHeight="1" x14ac:dyDescent="0.25">
      <c r="D94" s="754">
        <v>646002</v>
      </c>
      <c r="E94" s="755"/>
      <c r="F94" s="755"/>
      <c r="G94" s="756" t="s">
        <v>4529</v>
      </c>
      <c r="I94" s="463"/>
      <c r="J94" s="457"/>
      <c r="K94" s="457"/>
      <c r="L94" s="457"/>
      <c r="M94" s="457"/>
      <c r="N94" s="457"/>
      <c r="O94" s="457"/>
    </row>
    <row r="95" spans="1:20" ht="12.75" customHeight="1" x14ac:dyDescent="0.25">
      <c r="D95" s="757"/>
      <c r="E95" s="758"/>
      <c r="F95" s="758"/>
      <c r="G95" s="759" t="s">
        <v>533</v>
      </c>
      <c r="I95" s="463"/>
      <c r="J95" s="457"/>
      <c r="K95" s="457"/>
      <c r="L95" s="457"/>
      <c r="M95" s="457"/>
      <c r="N95" s="457"/>
      <c r="O95" s="457"/>
    </row>
    <row r="96" spans="1:20" ht="12.75" customHeight="1" x14ac:dyDescent="0.25">
      <c r="A96" s="760">
        <f>+D94</f>
        <v>646002</v>
      </c>
      <c r="B96" s="470" t="str">
        <f>G94</f>
        <v>Lokaal gezondheidsbeleid</v>
      </c>
      <c r="D96" s="760">
        <v>44380</v>
      </c>
      <c r="E96" s="763"/>
      <c r="F96" s="763"/>
      <c r="G96" s="761" t="s">
        <v>4530</v>
      </c>
      <c r="I96" s="463"/>
      <c r="J96" s="463">
        <v>23690</v>
      </c>
      <c r="K96" s="463">
        <f t="shared" ref="K96:M96" si="48">K218</f>
        <v>24310</v>
      </c>
      <c r="L96" s="463">
        <f t="shared" si="48"/>
        <v>24820</v>
      </c>
      <c r="M96" s="463">
        <f t="shared" si="48"/>
        <v>25390</v>
      </c>
      <c r="N96" s="463">
        <f t="shared" ref="N96:O96" si="49">N218</f>
        <v>25970</v>
      </c>
      <c r="O96" s="463">
        <f t="shared" si="49"/>
        <v>26570</v>
      </c>
    </row>
    <row r="97" spans="1:18" ht="12.75" customHeight="1" thickBot="1" x14ac:dyDescent="0.3">
      <c r="A97" s="760"/>
      <c r="B97" s="470"/>
      <c r="D97" s="757"/>
      <c r="E97" s="758"/>
      <c r="F97" s="758"/>
      <c r="G97" s="761" t="s">
        <v>536</v>
      </c>
      <c r="I97" s="463"/>
      <c r="J97" s="762">
        <v>23690</v>
      </c>
      <c r="K97" s="762">
        <f t="shared" ref="K97:M97" si="50">SUM(K94:K96)</f>
        <v>24310</v>
      </c>
      <c r="L97" s="762">
        <f t="shared" si="50"/>
        <v>24820</v>
      </c>
      <c r="M97" s="762">
        <f t="shared" si="50"/>
        <v>25390</v>
      </c>
      <c r="N97" s="762">
        <f t="shared" ref="N97:O97" si="51">SUM(N94:N96)</f>
        <v>25970</v>
      </c>
      <c r="O97" s="762">
        <f t="shared" si="51"/>
        <v>26570</v>
      </c>
    </row>
    <row r="98" spans="1:18" ht="12.75" customHeight="1" thickTop="1" x14ac:dyDescent="0.25">
      <c r="D98" s="757"/>
      <c r="E98" s="758"/>
      <c r="F98" s="758"/>
      <c r="G98" s="761"/>
      <c r="I98" s="463"/>
      <c r="J98" s="457"/>
      <c r="K98" s="457"/>
      <c r="L98" s="457"/>
      <c r="M98" s="457"/>
      <c r="N98" s="457"/>
      <c r="O98" s="457"/>
    </row>
    <row r="99" spans="1:18" ht="12.75" customHeight="1" x14ac:dyDescent="0.25">
      <c r="D99" s="754">
        <v>646003</v>
      </c>
      <c r="E99" s="755"/>
      <c r="F99" s="755"/>
      <c r="G99" s="756" t="s">
        <v>4531</v>
      </c>
      <c r="I99" s="463"/>
      <c r="J99" s="457"/>
      <c r="K99" s="457"/>
      <c r="L99" s="457"/>
      <c r="M99" s="457"/>
      <c r="N99" s="457"/>
      <c r="O99" s="457"/>
    </row>
    <row r="100" spans="1:18" ht="12.75" customHeight="1" x14ac:dyDescent="0.25">
      <c r="D100" s="757"/>
      <c r="E100" s="758"/>
      <c r="F100" s="758"/>
      <c r="G100" s="759" t="s">
        <v>533</v>
      </c>
      <c r="I100" s="463"/>
      <c r="J100" s="457"/>
      <c r="K100" s="457"/>
      <c r="L100" s="457"/>
      <c r="M100" s="457"/>
      <c r="N100" s="457"/>
      <c r="O100" s="457"/>
    </row>
    <row r="101" spans="1:18" ht="12.75" customHeight="1" x14ac:dyDescent="0.25">
      <c r="A101" s="760">
        <f>+D99</f>
        <v>646003</v>
      </c>
      <c r="B101" s="470" t="str">
        <f>G99</f>
        <v>Collectieve preventie GGZ</v>
      </c>
      <c r="D101" s="760">
        <v>44380</v>
      </c>
      <c r="E101" s="763"/>
      <c r="F101" s="763"/>
      <c r="G101" s="761" t="s">
        <v>4530</v>
      </c>
      <c r="I101" s="463"/>
      <c r="J101" s="463">
        <v>0</v>
      </c>
      <c r="K101" s="463">
        <v>0</v>
      </c>
      <c r="L101" s="463">
        <v>0</v>
      </c>
      <c r="M101" s="463">
        <v>0</v>
      </c>
      <c r="N101" s="463">
        <v>0</v>
      </c>
      <c r="O101" s="463">
        <v>0</v>
      </c>
    </row>
    <row r="102" spans="1:18" ht="12.75" customHeight="1" thickBot="1" x14ac:dyDescent="0.3">
      <c r="A102" s="760"/>
      <c r="B102" s="470"/>
      <c r="D102" s="757"/>
      <c r="E102" s="758"/>
      <c r="F102" s="758"/>
      <c r="G102" s="761" t="s">
        <v>536</v>
      </c>
      <c r="I102" s="463"/>
      <c r="J102" s="762">
        <v>0</v>
      </c>
      <c r="K102" s="762">
        <f t="shared" ref="K102:M102" si="52">SUM(K99:K101)</f>
        <v>0</v>
      </c>
      <c r="L102" s="762">
        <f t="shared" si="52"/>
        <v>0</v>
      </c>
      <c r="M102" s="762">
        <f t="shared" si="52"/>
        <v>0</v>
      </c>
      <c r="N102" s="762">
        <f t="shared" ref="N102:O102" si="53">SUM(N99:N101)</f>
        <v>0</v>
      </c>
      <c r="O102" s="762">
        <f t="shared" si="53"/>
        <v>0</v>
      </c>
    </row>
    <row r="103" spans="1:18" ht="12.75" customHeight="1" thickTop="1" x14ac:dyDescent="0.25">
      <c r="D103" s="757"/>
      <c r="E103" s="758"/>
      <c r="F103" s="758"/>
      <c r="G103" s="761"/>
      <c r="I103" s="463"/>
      <c r="J103" s="457"/>
      <c r="K103" s="457"/>
      <c r="L103" s="457"/>
      <c r="M103" s="457"/>
      <c r="N103" s="457"/>
      <c r="O103" s="457"/>
    </row>
    <row r="104" spans="1:18" ht="12.75" customHeight="1" x14ac:dyDescent="0.25">
      <c r="B104" s="470"/>
      <c r="D104" s="754">
        <v>646901</v>
      </c>
      <c r="E104" s="755"/>
      <c r="F104" s="755"/>
      <c r="G104" s="756" t="s">
        <v>4532</v>
      </c>
      <c r="I104" s="463"/>
      <c r="J104" s="457"/>
      <c r="K104" s="457"/>
      <c r="L104" s="457"/>
      <c r="M104" s="457"/>
      <c r="N104" s="457"/>
      <c r="O104" s="457"/>
    </row>
    <row r="105" spans="1:18" ht="12.75" customHeight="1" x14ac:dyDescent="0.25">
      <c r="B105" s="470"/>
      <c r="D105" s="757"/>
      <c r="E105" s="758"/>
      <c r="F105" s="758"/>
      <c r="G105" s="759" t="s">
        <v>533</v>
      </c>
      <c r="I105" s="463"/>
      <c r="J105" s="457"/>
      <c r="K105" s="457"/>
      <c r="L105" s="457"/>
      <c r="M105" s="457"/>
      <c r="N105" s="457"/>
      <c r="O105" s="457"/>
    </row>
    <row r="106" spans="1:18" ht="12.75" customHeight="1" x14ac:dyDescent="0.25">
      <c r="A106" s="760">
        <f>+D104</f>
        <v>646901</v>
      </c>
      <c r="B106" s="470" t="str">
        <f>G104</f>
        <v>Directe toerekening gezondheidsbeleid</v>
      </c>
      <c r="D106" s="760">
        <v>41100</v>
      </c>
      <c r="E106" s="763"/>
      <c r="F106" s="763"/>
      <c r="G106" s="761" t="s">
        <v>541</v>
      </c>
      <c r="I106" s="463"/>
      <c r="J106" s="463">
        <v>36873.93</v>
      </c>
      <c r="K106" s="463">
        <f t="shared" ref="K106:M106" si="54">K265</f>
        <v>37580.25</v>
      </c>
      <c r="L106" s="463">
        <f t="shared" si="54"/>
        <v>39160</v>
      </c>
      <c r="M106" s="463">
        <f t="shared" si="54"/>
        <v>40610</v>
      </c>
      <c r="N106" s="463">
        <f t="shared" ref="N106:O106" si="55">N265</f>
        <v>42110</v>
      </c>
      <c r="O106" s="463">
        <f t="shared" si="55"/>
        <v>43670</v>
      </c>
    </row>
    <row r="107" spans="1:18" ht="12.75" customHeight="1" thickBot="1" x14ac:dyDescent="0.3">
      <c r="A107" s="760"/>
      <c r="B107" s="470"/>
      <c r="D107" s="757"/>
      <c r="E107" s="758"/>
      <c r="F107" s="758"/>
      <c r="G107" s="761" t="s">
        <v>536</v>
      </c>
      <c r="I107" s="463"/>
      <c r="J107" s="762">
        <v>36873.93</v>
      </c>
      <c r="K107" s="762">
        <f t="shared" ref="K107:M107" si="56">SUM(K105:K106)</f>
        <v>37580.25</v>
      </c>
      <c r="L107" s="762">
        <f t="shared" si="56"/>
        <v>39160</v>
      </c>
      <c r="M107" s="762">
        <f t="shared" si="56"/>
        <v>40610</v>
      </c>
      <c r="N107" s="762">
        <f t="shared" ref="N107:O107" si="57">SUM(N105:N106)</f>
        <v>42110</v>
      </c>
      <c r="O107" s="762">
        <f t="shared" si="57"/>
        <v>43670</v>
      </c>
    </row>
    <row r="108" spans="1:18" ht="12.75" customHeight="1" thickTop="1" x14ac:dyDescent="0.25">
      <c r="B108" s="470"/>
      <c r="D108" s="757"/>
      <c r="E108" s="758"/>
      <c r="F108" s="758"/>
      <c r="G108" s="761"/>
      <c r="I108" s="463"/>
      <c r="J108" s="457"/>
      <c r="K108" s="457"/>
      <c r="L108" s="457"/>
      <c r="M108" s="457"/>
      <c r="N108" s="457"/>
      <c r="O108" s="457"/>
    </row>
    <row r="109" spans="1:18" ht="12.75" customHeight="1" x14ac:dyDescent="0.25">
      <c r="B109" s="470"/>
      <c r="D109" s="754">
        <v>646004</v>
      </c>
      <c r="E109" s="755"/>
      <c r="F109" s="755"/>
      <c r="G109" s="756" t="s">
        <v>4533</v>
      </c>
      <c r="I109" s="463"/>
      <c r="J109" s="457"/>
      <c r="K109" s="457"/>
      <c r="L109" s="457"/>
      <c r="M109" s="457"/>
      <c r="N109" s="457"/>
      <c r="O109" s="457"/>
    </row>
    <row r="110" spans="1:18" ht="12.75" customHeight="1" x14ac:dyDescent="0.25">
      <c r="B110" s="470"/>
      <c r="D110" s="757"/>
      <c r="E110" s="758"/>
      <c r="F110" s="758"/>
      <c r="G110" s="759" t="s">
        <v>533</v>
      </c>
      <c r="I110" s="463"/>
      <c r="J110" s="457"/>
      <c r="K110" s="457"/>
      <c r="L110" s="457"/>
      <c r="M110" s="457"/>
      <c r="N110" s="457"/>
      <c r="O110" s="457"/>
    </row>
    <row r="111" spans="1:18" ht="12.75" customHeight="1" x14ac:dyDescent="0.25">
      <c r="A111" s="760">
        <f>+D109</f>
        <v>646004</v>
      </c>
      <c r="B111" s="470" t="str">
        <f>G109</f>
        <v>Jeugdgezondheidszorg</v>
      </c>
      <c r="D111" s="757">
        <v>43812</v>
      </c>
      <c r="E111" s="758"/>
      <c r="F111" s="758"/>
      <c r="G111" s="761" t="s">
        <v>535</v>
      </c>
      <c r="I111" s="463"/>
      <c r="J111" s="463">
        <v>0</v>
      </c>
      <c r="K111" s="463">
        <f t="shared" ref="K111:M111" si="58">K271</f>
        <v>0</v>
      </c>
      <c r="L111" s="463">
        <f t="shared" si="58"/>
        <v>0</v>
      </c>
      <c r="M111" s="463">
        <f t="shared" si="58"/>
        <v>0</v>
      </c>
      <c r="N111" s="463">
        <f t="shared" ref="N111:O111" si="59">N271</f>
        <v>0</v>
      </c>
      <c r="O111" s="463">
        <f t="shared" si="59"/>
        <v>0</v>
      </c>
      <c r="R111" s="453">
        <v>19700</v>
      </c>
    </row>
    <row r="112" spans="1:18" ht="12.75" customHeight="1" x14ac:dyDescent="0.25">
      <c r="A112" s="760">
        <f>+D109</f>
        <v>646004</v>
      </c>
      <c r="B112" s="470" t="str">
        <f>G109</f>
        <v>Jeugdgezondheidszorg</v>
      </c>
      <c r="D112" s="757">
        <v>44380</v>
      </c>
      <c r="E112" s="758"/>
      <c r="F112" s="763"/>
      <c r="G112" s="761" t="s">
        <v>4530</v>
      </c>
      <c r="I112" s="463"/>
      <c r="J112" s="463">
        <v>0</v>
      </c>
      <c r="K112" s="463">
        <f t="shared" ref="K112:M112" si="60">K316</f>
        <v>0</v>
      </c>
      <c r="L112" s="463">
        <f t="shared" si="60"/>
        <v>0</v>
      </c>
      <c r="M112" s="463">
        <f t="shared" si="60"/>
        <v>0</v>
      </c>
      <c r="N112" s="463">
        <f t="shared" ref="N112:O112" si="61">N316</f>
        <v>0</v>
      </c>
      <c r="O112" s="463">
        <f t="shared" si="61"/>
        <v>0</v>
      </c>
      <c r="R112" s="453">
        <v>12200</v>
      </c>
    </row>
    <row r="113" spans="1:18" ht="12.75" customHeight="1" thickBot="1" x14ac:dyDescent="0.3">
      <c r="B113" s="470"/>
      <c r="D113" s="757"/>
      <c r="E113" s="758"/>
      <c r="F113" s="758"/>
      <c r="G113" s="761" t="s">
        <v>536</v>
      </c>
      <c r="I113" s="463"/>
      <c r="J113" s="762">
        <v>0</v>
      </c>
      <c r="K113" s="762">
        <f t="shared" ref="K113:M113" si="62">SUM(K109:K112)</f>
        <v>0</v>
      </c>
      <c r="L113" s="762">
        <f t="shared" si="62"/>
        <v>0</v>
      </c>
      <c r="M113" s="762">
        <f t="shared" si="62"/>
        <v>0</v>
      </c>
      <c r="N113" s="762">
        <f t="shared" ref="N113:O113" si="63">SUM(N109:N112)</f>
        <v>0</v>
      </c>
      <c r="O113" s="762">
        <f t="shared" si="63"/>
        <v>0</v>
      </c>
      <c r="R113" s="453">
        <v>5100</v>
      </c>
    </row>
    <row r="114" spans="1:18" ht="12.75" customHeight="1" thickTop="1" x14ac:dyDescent="0.25">
      <c r="B114" s="470"/>
      <c r="D114" s="757"/>
      <c r="E114" s="758"/>
      <c r="F114" s="758"/>
      <c r="G114" s="761"/>
      <c r="I114" s="463"/>
      <c r="J114" s="457"/>
      <c r="K114" s="457"/>
      <c r="L114" s="457"/>
      <c r="M114" s="457"/>
      <c r="N114" s="457"/>
      <c r="O114" s="457"/>
    </row>
    <row r="115" spans="1:18" ht="12.75" customHeight="1" x14ac:dyDescent="0.25">
      <c r="B115" s="470"/>
      <c r="D115" s="754">
        <v>646008</v>
      </c>
      <c r="E115" s="758"/>
      <c r="F115" s="758"/>
      <c r="G115" s="764" t="s">
        <v>4534</v>
      </c>
      <c r="I115" s="463"/>
      <c r="J115" s="457"/>
      <c r="K115" s="457"/>
      <c r="L115" s="457"/>
      <c r="M115" s="457"/>
      <c r="N115" s="457"/>
      <c r="O115" s="457"/>
    </row>
    <row r="116" spans="1:18" ht="12.75" customHeight="1" x14ac:dyDescent="0.25">
      <c r="B116" s="470"/>
      <c r="D116" s="757"/>
      <c r="E116" s="758"/>
      <c r="F116" s="758"/>
      <c r="G116" s="759" t="s">
        <v>533</v>
      </c>
      <c r="I116" s="463"/>
      <c r="J116" s="457"/>
      <c r="K116" s="457"/>
      <c r="L116" s="457"/>
      <c r="M116" s="457"/>
      <c r="N116" s="457"/>
      <c r="O116" s="457"/>
    </row>
    <row r="117" spans="1:18" ht="12.75" customHeight="1" x14ac:dyDescent="0.25">
      <c r="A117" s="516">
        <f>D115</f>
        <v>646008</v>
      </c>
      <c r="B117" s="470" t="str">
        <f>G115</f>
        <v>BS Terugdringen gezondheidsachterstanden</v>
      </c>
      <c r="D117" s="757">
        <v>44380</v>
      </c>
      <c r="E117" s="758"/>
      <c r="F117" s="763"/>
      <c r="G117" s="761" t="s">
        <v>4530</v>
      </c>
      <c r="I117" s="463"/>
      <c r="J117" s="457">
        <v>29858</v>
      </c>
      <c r="K117" s="457">
        <f t="shared" ref="K117:M117" si="64">K223</f>
        <v>31090</v>
      </c>
      <c r="L117" s="457">
        <f t="shared" si="64"/>
        <v>31090</v>
      </c>
      <c r="M117" s="457">
        <f t="shared" si="64"/>
        <v>31090</v>
      </c>
      <c r="N117" s="457">
        <f t="shared" ref="N117:O117" si="65">N223</f>
        <v>31090</v>
      </c>
      <c r="O117" s="457">
        <f t="shared" si="65"/>
        <v>31090</v>
      </c>
    </row>
    <row r="118" spans="1:18" ht="12.75" customHeight="1" thickBot="1" x14ac:dyDescent="0.3">
      <c r="B118" s="470"/>
      <c r="D118" s="757"/>
      <c r="E118" s="758"/>
      <c r="F118" s="758"/>
      <c r="G118" s="761" t="s">
        <v>536</v>
      </c>
      <c r="I118" s="463"/>
      <c r="J118" s="762">
        <v>29858</v>
      </c>
      <c r="K118" s="762">
        <f t="shared" ref="K118:L118" si="66">SUM(K117)</f>
        <v>31090</v>
      </c>
      <c r="L118" s="762">
        <f t="shared" si="66"/>
        <v>31090</v>
      </c>
      <c r="M118" s="762">
        <f t="shared" ref="M118:N118" si="67">SUM(M117)</f>
        <v>31090</v>
      </c>
      <c r="N118" s="762">
        <f t="shared" si="67"/>
        <v>31090</v>
      </c>
      <c r="O118" s="762">
        <f t="shared" ref="O118" si="68">SUM(O117)</f>
        <v>31090</v>
      </c>
    </row>
    <row r="119" spans="1:18" ht="12.75" customHeight="1" thickTop="1" x14ac:dyDescent="0.25">
      <c r="B119" s="470"/>
      <c r="D119" s="757"/>
      <c r="E119" s="758"/>
      <c r="F119" s="758"/>
      <c r="G119" s="761"/>
      <c r="I119" s="463"/>
      <c r="J119" s="457"/>
      <c r="K119" s="457"/>
      <c r="L119" s="457"/>
      <c r="M119" s="457"/>
      <c r="N119" s="457"/>
      <c r="O119" s="457"/>
    </row>
    <row r="120" spans="1:18" ht="12.75" customHeight="1" x14ac:dyDescent="0.25">
      <c r="B120" s="470"/>
      <c r="D120" s="754">
        <v>646009</v>
      </c>
      <c r="E120" s="758"/>
      <c r="F120" s="758"/>
      <c r="G120" s="764" t="s">
        <v>4535</v>
      </c>
      <c r="I120" s="463"/>
      <c r="J120" s="457"/>
      <c r="K120" s="457"/>
      <c r="L120" s="457"/>
      <c r="M120" s="457"/>
      <c r="N120" s="457"/>
      <c r="O120" s="457"/>
    </row>
    <row r="121" spans="1:18" ht="12.75" customHeight="1" x14ac:dyDescent="0.25">
      <c r="B121" s="470"/>
      <c r="D121" s="754"/>
      <c r="E121" s="758"/>
      <c r="F121" s="758"/>
      <c r="G121" s="759" t="s">
        <v>533</v>
      </c>
      <c r="I121" s="463"/>
      <c r="J121" s="457"/>
      <c r="K121" s="457"/>
      <c r="L121" s="457"/>
      <c r="M121" s="457"/>
      <c r="N121" s="457"/>
      <c r="O121" s="457"/>
    </row>
    <row r="122" spans="1:18" ht="12.75" customHeight="1" x14ac:dyDescent="0.25">
      <c r="A122" s="516">
        <f>D120</f>
        <v>646009</v>
      </c>
      <c r="B122" s="470" t="str">
        <f>G120</f>
        <v>BS Kansrijke start</v>
      </c>
      <c r="D122" s="757">
        <v>44380</v>
      </c>
      <c r="E122" s="758"/>
      <c r="F122" s="758"/>
      <c r="G122" s="761" t="s">
        <v>4530</v>
      </c>
      <c r="I122" s="463"/>
      <c r="J122" s="457">
        <v>23887</v>
      </c>
      <c r="K122" s="457">
        <f t="shared" ref="K122:M122" si="69">K228</f>
        <v>31090</v>
      </c>
      <c r="L122" s="457">
        <f t="shared" si="69"/>
        <v>31090</v>
      </c>
      <c r="M122" s="457">
        <f t="shared" si="69"/>
        <v>31090</v>
      </c>
      <c r="N122" s="457">
        <f t="shared" ref="N122:O122" si="70">N228</f>
        <v>31090</v>
      </c>
      <c r="O122" s="457">
        <f t="shared" si="70"/>
        <v>31090</v>
      </c>
    </row>
    <row r="123" spans="1:18" ht="12.75" customHeight="1" thickBot="1" x14ac:dyDescent="0.3">
      <c r="B123" s="470"/>
      <c r="D123" s="757"/>
      <c r="E123" s="758"/>
      <c r="F123" s="758"/>
      <c r="G123" s="761" t="s">
        <v>536</v>
      </c>
      <c r="I123" s="463"/>
      <c r="J123" s="762">
        <v>23887</v>
      </c>
      <c r="K123" s="762">
        <f t="shared" ref="K123:M123" si="71">SUM(K122)</f>
        <v>31090</v>
      </c>
      <c r="L123" s="762">
        <f t="shared" si="71"/>
        <v>31090</v>
      </c>
      <c r="M123" s="762">
        <f t="shared" si="71"/>
        <v>31090</v>
      </c>
      <c r="N123" s="762">
        <f t="shared" ref="N123:O123" si="72">SUM(N122)</f>
        <v>31090</v>
      </c>
      <c r="O123" s="762">
        <f t="shared" si="72"/>
        <v>31090</v>
      </c>
    </row>
    <row r="124" spans="1:18" ht="12.75" customHeight="1" thickTop="1" x14ac:dyDescent="0.25">
      <c r="B124" s="470"/>
      <c r="D124" s="757"/>
      <c r="E124" s="758"/>
      <c r="F124" s="758"/>
      <c r="I124" s="463"/>
      <c r="J124" s="457"/>
      <c r="K124" s="457"/>
      <c r="L124" s="457"/>
      <c r="M124" s="457"/>
      <c r="N124" s="457"/>
      <c r="O124" s="457"/>
    </row>
    <row r="125" spans="1:18" ht="12.75" customHeight="1" x14ac:dyDescent="0.25">
      <c r="B125" s="470"/>
      <c r="D125" s="754">
        <v>646010</v>
      </c>
      <c r="E125" s="758"/>
      <c r="F125" s="758"/>
      <c r="G125" s="764" t="s">
        <v>4536</v>
      </c>
      <c r="I125" s="463"/>
      <c r="J125" s="457"/>
      <c r="K125" s="457"/>
      <c r="L125" s="457"/>
      <c r="M125" s="457"/>
      <c r="N125" s="457"/>
      <c r="O125" s="457"/>
    </row>
    <row r="126" spans="1:18" ht="12.75" customHeight="1" x14ac:dyDescent="0.25">
      <c r="B126" s="470"/>
      <c r="D126" s="754"/>
      <c r="E126" s="758"/>
      <c r="F126" s="758"/>
      <c r="G126" s="759" t="s">
        <v>533</v>
      </c>
      <c r="I126" s="463"/>
      <c r="J126" s="457"/>
      <c r="K126" s="457"/>
      <c r="L126" s="457"/>
      <c r="M126" s="457"/>
      <c r="N126" s="457"/>
      <c r="O126" s="457"/>
    </row>
    <row r="127" spans="1:18" ht="12.75" customHeight="1" x14ac:dyDescent="0.25">
      <c r="A127" s="516">
        <f>D125</f>
        <v>646010</v>
      </c>
      <c r="B127" s="470" t="str">
        <f>G125</f>
        <v>BS Mentale gezondheid</v>
      </c>
      <c r="D127" s="757">
        <v>44380</v>
      </c>
      <c r="E127" s="758"/>
      <c r="F127" s="758"/>
      <c r="G127" s="761" t="s">
        <v>4530</v>
      </c>
      <c r="I127" s="463"/>
      <c r="J127" s="457">
        <v>7465</v>
      </c>
      <c r="K127" s="457">
        <f t="shared" ref="K127:M127" si="73">K233</f>
        <v>0</v>
      </c>
      <c r="L127" s="457">
        <f t="shared" si="73"/>
        <v>0</v>
      </c>
      <c r="M127" s="457">
        <f t="shared" si="73"/>
        <v>0</v>
      </c>
      <c r="N127" s="457">
        <f t="shared" ref="N127:O127" si="74">N233</f>
        <v>0</v>
      </c>
      <c r="O127" s="457">
        <f t="shared" si="74"/>
        <v>0</v>
      </c>
    </row>
    <row r="128" spans="1:18" ht="12.75" customHeight="1" thickBot="1" x14ac:dyDescent="0.3">
      <c r="B128" s="470"/>
      <c r="D128" s="757"/>
      <c r="E128" s="758"/>
      <c r="F128" s="758"/>
      <c r="G128" s="761" t="s">
        <v>536</v>
      </c>
      <c r="I128" s="463"/>
      <c r="J128" s="762">
        <v>7465</v>
      </c>
      <c r="K128" s="762">
        <f t="shared" ref="K128:M128" si="75">SUM(K127)</f>
        <v>0</v>
      </c>
      <c r="L128" s="762">
        <f t="shared" si="75"/>
        <v>0</v>
      </c>
      <c r="M128" s="762">
        <f t="shared" si="75"/>
        <v>0</v>
      </c>
      <c r="N128" s="762">
        <f t="shared" ref="N128:O128" si="76">SUM(N127)</f>
        <v>0</v>
      </c>
      <c r="O128" s="762">
        <f t="shared" si="76"/>
        <v>0</v>
      </c>
    </row>
    <row r="129" spans="1:15" ht="12.75" customHeight="1" thickTop="1" x14ac:dyDescent="0.25">
      <c r="B129" s="470"/>
      <c r="D129" s="757"/>
      <c r="E129" s="758"/>
      <c r="F129" s="758"/>
      <c r="I129" s="463"/>
      <c r="J129" s="457"/>
      <c r="K129" s="457"/>
      <c r="L129" s="457"/>
      <c r="M129" s="457"/>
      <c r="N129" s="457"/>
      <c r="O129" s="457"/>
    </row>
    <row r="130" spans="1:15" ht="12.75" customHeight="1" x14ac:dyDescent="0.25">
      <c r="B130" s="470"/>
      <c r="D130" s="754">
        <v>646011</v>
      </c>
      <c r="E130" s="758"/>
      <c r="F130" s="758"/>
      <c r="G130" s="764" t="s">
        <v>4537</v>
      </c>
      <c r="I130" s="463"/>
      <c r="J130" s="457"/>
      <c r="K130" s="457"/>
      <c r="L130" s="457"/>
      <c r="M130" s="457"/>
      <c r="N130" s="457"/>
      <c r="O130" s="457"/>
    </row>
    <row r="131" spans="1:15" ht="12.75" customHeight="1" x14ac:dyDescent="0.25">
      <c r="B131" s="470"/>
      <c r="D131" s="754"/>
      <c r="E131" s="758"/>
      <c r="F131" s="758"/>
      <c r="G131" s="759" t="s">
        <v>533</v>
      </c>
      <c r="I131" s="463"/>
      <c r="J131" s="457"/>
      <c r="K131" s="457"/>
      <c r="L131" s="457"/>
      <c r="M131" s="457"/>
      <c r="N131" s="457"/>
      <c r="O131" s="457"/>
    </row>
    <row r="132" spans="1:15" ht="12.75" customHeight="1" x14ac:dyDescent="0.25">
      <c r="A132" s="516">
        <f>D130</f>
        <v>646011</v>
      </c>
      <c r="B132" s="470" t="str">
        <f>G130</f>
        <v>BS Aanpak overgewicht en obesitas</v>
      </c>
      <c r="D132" s="757">
        <v>44380</v>
      </c>
      <c r="E132" s="758"/>
      <c r="F132" s="758"/>
      <c r="G132" s="761" t="s">
        <v>4530</v>
      </c>
      <c r="I132" s="463"/>
      <c r="J132" s="457">
        <v>26126</v>
      </c>
      <c r="K132" s="457">
        <f t="shared" ref="K132:M132" si="77">K238</f>
        <v>0</v>
      </c>
      <c r="L132" s="457">
        <f t="shared" si="77"/>
        <v>0</v>
      </c>
      <c r="M132" s="457">
        <f t="shared" si="77"/>
        <v>0</v>
      </c>
      <c r="N132" s="457">
        <f t="shared" ref="N132:O132" si="78">N238</f>
        <v>0</v>
      </c>
      <c r="O132" s="457">
        <f t="shared" si="78"/>
        <v>0</v>
      </c>
    </row>
    <row r="133" spans="1:15" ht="12.75" customHeight="1" thickBot="1" x14ac:dyDescent="0.3">
      <c r="B133" s="470"/>
      <c r="D133" s="757"/>
      <c r="E133" s="758"/>
      <c r="F133" s="758"/>
      <c r="G133" s="761" t="s">
        <v>536</v>
      </c>
      <c r="I133" s="463"/>
      <c r="J133" s="762">
        <v>26126</v>
      </c>
      <c r="K133" s="762">
        <f t="shared" ref="K133:M133" si="79">SUM(K132)</f>
        <v>0</v>
      </c>
      <c r="L133" s="762">
        <f t="shared" si="79"/>
        <v>0</v>
      </c>
      <c r="M133" s="762">
        <f t="shared" si="79"/>
        <v>0</v>
      </c>
      <c r="N133" s="762">
        <f t="shared" ref="N133:O133" si="80">SUM(N132)</f>
        <v>0</v>
      </c>
      <c r="O133" s="762">
        <f t="shared" si="80"/>
        <v>0</v>
      </c>
    </row>
    <row r="134" spans="1:15" ht="12.75" customHeight="1" thickTop="1" x14ac:dyDescent="0.25">
      <c r="B134" s="470"/>
      <c r="D134" s="757"/>
      <c r="E134" s="758"/>
      <c r="F134" s="758"/>
      <c r="I134" s="463"/>
      <c r="J134" s="457"/>
      <c r="K134" s="457"/>
      <c r="L134" s="457"/>
      <c r="M134" s="457"/>
      <c r="N134" s="457"/>
      <c r="O134" s="457"/>
    </row>
    <row r="135" spans="1:15" ht="12.75" customHeight="1" x14ac:dyDescent="0.25">
      <c r="B135" s="470"/>
      <c r="D135" s="754">
        <v>646012</v>
      </c>
      <c r="E135" s="758"/>
      <c r="F135" s="758"/>
      <c r="G135" s="764" t="s">
        <v>4538</v>
      </c>
      <c r="I135" s="463"/>
      <c r="J135" s="457"/>
      <c r="K135" s="457"/>
      <c r="L135" s="457"/>
      <c r="M135" s="457"/>
      <c r="N135" s="457"/>
      <c r="O135" s="457"/>
    </row>
    <row r="136" spans="1:15" ht="12.75" customHeight="1" x14ac:dyDescent="0.25">
      <c r="B136" s="470"/>
      <c r="D136" s="754"/>
      <c r="E136" s="758"/>
      <c r="F136" s="758"/>
      <c r="G136" s="759" t="s">
        <v>533</v>
      </c>
      <c r="I136" s="463"/>
      <c r="J136" s="457"/>
      <c r="K136" s="457"/>
      <c r="L136" s="457"/>
      <c r="M136" s="457"/>
      <c r="N136" s="457"/>
      <c r="O136" s="457"/>
    </row>
    <row r="137" spans="1:15" ht="12.75" customHeight="1" x14ac:dyDescent="0.25">
      <c r="A137" s="516">
        <f>D135</f>
        <v>646012</v>
      </c>
      <c r="B137" s="470" t="str">
        <f>G135</f>
        <v>BS Leefomgeving</v>
      </c>
      <c r="D137" s="757">
        <v>44380</v>
      </c>
      <c r="E137" s="758"/>
      <c r="F137" s="758"/>
      <c r="G137" s="761" t="s">
        <v>4530</v>
      </c>
      <c r="I137" s="463"/>
      <c r="J137" s="457">
        <v>14929</v>
      </c>
      <c r="K137" s="457">
        <f t="shared" ref="K137:M137" si="81">K243</f>
        <v>0</v>
      </c>
      <c r="L137" s="457">
        <f t="shared" si="81"/>
        <v>0</v>
      </c>
      <c r="M137" s="457">
        <f t="shared" si="81"/>
        <v>0</v>
      </c>
      <c r="N137" s="457">
        <f t="shared" ref="N137:O137" si="82">N243</f>
        <v>0</v>
      </c>
      <c r="O137" s="457">
        <f t="shared" si="82"/>
        <v>0</v>
      </c>
    </row>
    <row r="138" spans="1:15" ht="12.75" customHeight="1" thickBot="1" x14ac:dyDescent="0.3">
      <c r="B138" s="470"/>
      <c r="D138" s="757"/>
      <c r="E138" s="758"/>
      <c r="F138" s="758"/>
      <c r="G138" s="761" t="s">
        <v>536</v>
      </c>
      <c r="I138" s="463"/>
      <c r="J138" s="762">
        <v>14929</v>
      </c>
      <c r="K138" s="762">
        <f t="shared" ref="K138:M138" si="83">SUM(K137)</f>
        <v>0</v>
      </c>
      <c r="L138" s="762">
        <f t="shared" si="83"/>
        <v>0</v>
      </c>
      <c r="M138" s="762">
        <f t="shared" si="83"/>
        <v>0</v>
      </c>
      <c r="N138" s="762">
        <f t="shared" ref="N138:O138" si="84">SUM(N137)</f>
        <v>0</v>
      </c>
      <c r="O138" s="762">
        <f t="shared" si="84"/>
        <v>0</v>
      </c>
    </row>
    <row r="139" spans="1:15" ht="12.75" customHeight="1" thickTop="1" x14ac:dyDescent="0.25">
      <c r="B139" s="470"/>
      <c r="D139" s="757"/>
      <c r="E139" s="758"/>
      <c r="F139" s="758"/>
      <c r="I139" s="463"/>
      <c r="J139" s="457"/>
      <c r="K139" s="457"/>
      <c r="L139" s="457"/>
      <c r="M139" s="457"/>
      <c r="N139" s="457"/>
      <c r="O139" s="457"/>
    </row>
    <row r="140" spans="1:15" ht="12.75" customHeight="1" x14ac:dyDescent="0.25">
      <c r="B140" s="470"/>
      <c r="D140" s="754">
        <v>646013</v>
      </c>
      <c r="E140" s="758"/>
      <c r="F140" s="758"/>
      <c r="G140" s="764" t="s">
        <v>4539</v>
      </c>
      <c r="I140" s="463"/>
      <c r="J140" s="457"/>
      <c r="K140" s="457"/>
      <c r="L140" s="457"/>
      <c r="M140" s="457"/>
      <c r="N140" s="457"/>
      <c r="O140" s="457"/>
    </row>
    <row r="141" spans="1:15" ht="12.75" customHeight="1" x14ac:dyDescent="0.25">
      <c r="B141" s="470"/>
      <c r="D141" s="754"/>
      <c r="E141" s="758"/>
      <c r="F141" s="758"/>
      <c r="G141" s="759" t="s">
        <v>533</v>
      </c>
      <c r="I141" s="463"/>
      <c r="J141" s="457"/>
      <c r="K141" s="457"/>
      <c r="L141" s="457"/>
      <c r="M141" s="457"/>
      <c r="N141" s="457"/>
      <c r="O141" s="457"/>
    </row>
    <row r="142" spans="1:15" ht="12.75" customHeight="1" x14ac:dyDescent="0.25">
      <c r="A142" s="516">
        <f>D140</f>
        <v>646013</v>
      </c>
      <c r="B142" s="470" t="str">
        <f>G140</f>
        <v>BS OKO &amp; Vroegsignalering alcoholproblematiek</v>
      </c>
      <c r="D142" s="757">
        <v>44380</v>
      </c>
      <c r="E142" s="758"/>
      <c r="F142" s="758"/>
      <c r="G142" s="761" t="s">
        <v>4530</v>
      </c>
      <c r="I142" s="463"/>
      <c r="J142" s="457">
        <v>3732</v>
      </c>
      <c r="K142" s="457">
        <f t="shared" ref="K142:M142" si="85">K248</f>
        <v>0</v>
      </c>
      <c r="L142" s="457">
        <f t="shared" si="85"/>
        <v>0</v>
      </c>
      <c r="M142" s="457">
        <f t="shared" si="85"/>
        <v>0</v>
      </c>
      <c r="N142" s="457">
        <f t="shared" ref="N142:O142" si="86">N248</f>
        <v>0</v>
      </c>
      <c r="O142" s="457">
        <f t="shared" si="86"/>
        <v>0</v>
      </c>
    </row>
    <row r="143" spans="1:15" ht="12.75" customHeight="1" thickBot="1" x14ac:dyDescent="0.3">
      <c r="B143" s="470"/>
      <c r="D143" s="757"/>
      <c r="E143" s="758"/>
      <c r="F143" s="758"/>
      <c r="G143" s="761" t="s">
        <v>536</v>
      </c>
      <c r="I143" s="463"/>
      <c r="J143" s="762">
        <v>3732</v>
      </c>
      <c r="K143" s="762">
        <f t="shared" ref="K143:M143" si="87">SUM(K142)</f>
        <v>0</v>
      </c>
      <c r="L143" s="762">
        <f t="shared" si="87"/>
        <v>0</v>
      </c>
      <c r="M143" s="762">
        <f t="shared" si="87"/>
        <v>0</v>
      </c>
      <c r="N143" s="762">
        <f t="shared" ref="N143:O143" si="88">SUM(N142)</f>
        <v>0</v>
      </c>
      <c r="O143" s="762">
        <f t="shared" si="88"/>
        <v>0</v>
      </c>
    </row>
    <row r="144" spans="1:15" ht="12.75" customHeight="1" thickTop="1" x14ac:dyDescent="0.25">
      <c r="B144" s="470"/>
      <c r="D144" s="757"/>
      <c r="E144" s="758"/>
      <c r="F144" s="758"/>
      <c r="I144" s="463"/>
      <c r="J144" s="457"/>
      <c r="K144" s="457"/>
      <c r="L144" s="457"/>
      <c r="M144" s="457"/>
      <c r="N144" s="457"/>
      <c r="O144" s="457"/>
    </row>
    <row r="145" spans="1:15" ht="12.75" customHeight="1" x14ac:dyDescent="0.25">
      <c r="B145" s="470"/>
      <c r="D145" s="754">
        <v>646014</v>
      </c>
      <c r="E145" s="758"/>
      <c r="F145" s="758"/>
      <c r="G145" s="764" t="s">
        <v>4540</v>
      </c>
      <c r="I145" s="463"/>
      <c r="J145" s="457"/>
      <c r="K145" s="457"/>
      <c r="L145" s="457"/>
      <c r="M145" s="457"/>
      <c r="N145" s="457"/>
      <c r="O145" s="457"/>
    </row>
    <row r="146" spans="1:15" ht="12.75" customHeight="1" x14ac:dyDescent="0.25">
      <c r="B146" s="470"/>
      <c r="D146" s="754"/>
      <c r="E146" s="758"/>
      <c r="F146" s="758"/>
      <c r="G146" s="759" t="s">
        <v>533</v>
      </c>
      <c r="I146" s="463"/>
      <c r="J146" s="457"/>
      <c r="K146" s="457"/>
      <c r="L146" s="457"/>
      <c r="M146" s="457"/>
      <c r="N146" s="457"/>
      <c r="O146" s="457"/>
    </row>
    <row r="147" spans="1:15" ht="12.75" customHeight="1" x14ac:dyDescent="0.25">
      <c r="A147" s="516">
        <f>D145</f>
        <v>646014</v>
      </c>
      <c r="B147" s="470" t="str">
        <f>G145</f>
        <v>BS Versterken kennis- en adviesfunctie GGD</v>
      </c>
      <c r="D147" s="757">
        <v>44380</v>
      </c>
      <c r="E147" s="758"/>
      <c r="F147" s="758"/>
      <c r="G147" s="761" t="s">
        <v>4530</v>
      </c>
      <c r="I147" s="463"/>
      <c r="J147" s="457">
        <v>3732</v>
      </c>
      <c r="K147" s="457">
        <f t="shared" ref="K147:M147" si="89">K253</f>
        <v>0</v>
      </c>
      <c r="L147" s="457">
        <f t="shared" si="89"/>
        <v>0</v>
      </c>
      <c r="M147" s="457">
        <f t="shared" si="89"/>
        <v>0</v>
      </c>
      <c r="N147" s="457">
        <f t="shared" ref="N147:O147" si="90">N253</f>
        <v>0</v>
      </c>
      <c r="O147" s="457">
        <f t="shared" si="90"/>
        <v>0</v>
      </c>
    </row>
    <row r="148" spans="1:15" ht="12.75" customHeight="1" thickBot="1" x14ac:dyDescent="0.3">
      <c r="B148" s="470"/>
      <c r="D148" s="757"/>
      <c r="E148" s="758"/>
      <c r="F148" s="758"/>
      <c r="G148" s="761" t="s">
        <v>536</v>
      </c>
      <c r="I148" s="463"/>
      <c r="J148" s="762">
        <v>3732</v>
      </c>
      <c r="K148" s="762">
        <f t="shared" ref="K148:M148" si="91">SUM(K147)</f>
        <v>0</v>
      </c>
      <c r="L148" s="762">
        <f t="shared" si="91"/>
        <v>0</v>
      </c>
      <c r="M148" s="762">
        <f t="shared" si="91"/>
        <v>0</v>
      </c>
      <c r="N148" s="762">
        <f t="shared" ref="N148:O148" si="92">SUM(N147)</f>
        <v>0</v>
      </c>
      <c r="O148" s="762">
        <f t="shared" si="92"/>
        <v>0</v>
      </c>
    </row>
    <row r="149" spans="1:15" ht="12.75" customHeight="1" thickTop="1" x14ac:dyDescent="0.25">
      <c r="B149" s="470"/>
      <c r="D149" s="757"/>
      <c r="E149" s="758"/>
      <c r="F149" s="758"/>
      <c r="I149" s="463"/>
      <c r="J149" s="457"/>
      <c r="K149" s="457"/>
      <c r="L149" s="457"/>
      <c r="M149" s="457"/>
      <c r="N149" s="457"/>
      <c r="O149" s="457"/>
    </row>
    <row r="150" spans="1:15" ht="12.75" customHeight="1" x14ac:dyDescent="0.25">
      <c r="B150" s="470"/>
      <c r="D150" s="754">
        <v>646015</v>
      </c>
      <c r="E150" s="758"/>
      <c r="F150" s="758"/>
      <c r="G150" s="764" t="s">
        <v>4541</v>
      </c>
      <c r="I150" s="463"/>
      <c r="J150" s="457"/>
      <c r="K150" s="457"/>
      <c r="L150" s="457"/>
      <c r="M150" s="457"/>
      <c r="N150" s="457"/>
      <c r="O150" s="457"/>
    </row>
    <row r="151" spans="1:15" ht="12.75" customHeight="1" x14ac:dyDescent="0.25">
      <c r="B151" s="470"/>
      <c r="D151" s="754"/>
      <c r="E151" s="758"/>
      <c r="F151" s="758"/>
      <c r="G151" s="759" t="s">
        <v>533</v>
      </c>
      <c r="I151" s="463"/>
      <c r="J151" s="457"/>
      <c r="K151" s="457"/>
      <c r="L151" s="457"/>
      <c r="M151" s="457"/>
      <c r="N151" s="457"/>
      <c r="O151" s="457"/>
    </row>
    <row r="152" spans="1:15" ht="12.75" customHeight="1" x14ac:dyDescent="0.25">
      <c r="A152" s="516">
        <f>D150</f>
        <v>646015</v>
      </c>
      <c r="B152" s="470" t="str">
        <f>G150</f>
        <v>BS Coördinatiekosten regionale aanpak preventie</v>
      </c>
      <c r="D152" s="757">
        <v>44380</v>
      </c>
      <c r="E152" s="758"/>
      <c r="F152" s="758"/>
      <c r="G152" s="761" t="s">
        <v>4530</v>
      </c>
      <c r="I152" s="463"/>
      <c r="J152" s="457">
        <v>10898</v>
      </c>
      <c r="K152" s="457">
        <f t="shared" ref="K152:M152" si="93">K258</f>
        <v>0</v>
      </c>
      <c r="L152" s="457">
        <f t="shared" si="93"/>
        <v>0</v>
      </c>
      <c r="M152" s="457">
        <f t="shared" si="93"/>
        <v>0</v>
      </c>
      <c r="N152" s="457">
        <f t="shared" ref="N152:O152" si="94">N258</f>
        <v>0</v>
      </c>
      <c r="O152" s="457">
        <f t="shared" si="94"/>
        <v>0</v>
      </c>
    </row>
    <row r="153" spans="1:15" ht="12.75" customHeight="1" thickBot="1" x14ac:dyDescent="0.3">
      <c r="B153" s="470"/>
      <c r="D153" s="757"/>
      <c r="E153" s="758"/>
      <c r="F153" s="758"/>
      <c r="G153" s="761" t="s">
        <v>536</v>
      </c>
      <c r="I153" s="463"/>
      <c r="J153" s="762">
        <v>10898</v>
      </c>
      <c r="K153" s="762">
        <f t="shared" ref="K153:M153" si="95">SUM(K152)</f>
        <v>0</v>
      </c>
      <c r="L153" s="762">
        <f t="shared" si="95"/>
        <v>0</v>
      </c>
      <c r="M153" s="762">
        <f t="shared" si="95"/>
        <v>0</v>
      </c>
      <c r="N153" s="762">
        <f t="shared" ref="N153:O153" si="96">SUM(N152)</f>
        <v>0</v>
      </c>
      <c r="O153" s="762">
        <f t="shared" si="96"/>
        <v>0</v>
      </c>
    </row>
    <row r="154" spans="1:15" ht="12.75" customHeight="1" thickTop="1" x14ac:dyDescent="0.25">
      <c r="B154" s="470"/>
      <c r="D154" s="757"/>
      <c r="E154" s="758"/>
      <c r="F154" s="758"/>
      <c r="I154" s="463"/>
      <c r="J154" s="457"/>
      <c r="K154" s="457"/>
      <c r="L154" s="457"/>
      <c r="M154" s="457"/>
      <c r="N154" s="457"/>
      <c r="O154" s="457"/>
    </row>
    <row r="155" spans="1:15" ht="12.75" customHeight="1" x14ac:dyDescent="0.25">
      <c r="B155" s="470"/>
      <c r="D155" s="754">
        <v>646008</v>
      </c>
      <c r="E155" s="758"/>
      <c r="F155" s="758"/>
      <c r="G155" s="764" t="s">
        <v>4534</v>
      </c>
      <c r="I155" s="463"/>
      <c r="J155" s="457"/>
      <c r="K155" s="457"/>
      <c r="L155" s="457"/>
      <c r="M155" s="457"/>
      <c r="N155" s="457"/>
      <c r="O155" s="457"/>
    </row>
    <row r="156" spans="1:15" ht="12.75" customHeight="1" x14ac:dyDescent="0.25">
      <c r="B156" s="470"/>
      <c r="D156" s="757"/>
      <c r="E156" s="758"/>
      <c r="F156" s="758"/>
      <c r="G156" s="759" t="s">
        <v>554</v>
      </c>
      <c r="I156" s="463"/>
      <c r="J156" s="457"/>
      <c r="K156" s="457"/>
      <c r="L156" s="457"/>
      <c r="M156" s="457"/>
      <c r="N156" s="457"/>
      <c r="O156" s="457"/>
    </row>
    <row r="157" spans="1:15" ht="12.75" customHeight="1" x14ac:dyDescent="0.25">
      <c r="A157" s="516">
        <f>D155</f>
        <v>646008</v>
      </c>
      <c r="B157" s="470" t="str">
        <f>G155</f>
        <v>BS Terugdringen gezondheidsachterstanden</v>
      </c>
      <c r="D157" s="757">
        <v>84310</v>
      </c>
      <c r="E157" s="758"/>
      <c r="F157" s="758"/>
      <c r="G157" s="761" t="s">
        <v>4082</v>
      </c>
      <c r="I157" s="463"/>
      <c r="J157" s="457">
        <v>-29858</v>
      </c>
      <c r="K157" s="457">
        <f t="shared" ref="K157:M157" si="97">K276</f>
        <v>-31090</v>
      </c>
      <c r="L157" s="457">
        <f t="shared" si="97"/>
        <v>-31090</v>
      </c>
      <c r="M157" s="457">
        <f t="shared" si="97"/>
        <v>-31090</v>
      </c>
      <c r="N157" s="457">
        <f t="shared" ref="N157:O157" si="98">N276</f>
        <v>-31090</v>
      </c>
      <c r="O157" s="457">
        <f t="shared" si="98"/>
        <v>-31090</v>
      </c>
    </row>
    <row r="158" spans="1:15" ht="12.75" customHeight="1" thickBot="1" x14ac:dyDescent="0.3">
      <c r="B158" s="470"/>
      <c r="D158" s="757"/>
      <c r="E158" s="758"/>
      <c r="F158" s="758"/>
      <c r="G158" s="761" t="s">
        <v>536</v>
      </c>
      <c r="I158" s="463"/>
      <c r="J158" s="762">
        <v>-29858</v>
      </c>
      <c r="K158" s="762">
        <f t="shared" ref="K158:M158" si="99">SUM(K157)</f>
        <v>-31090</v>
      </c>
      <c r="L158" s="762">
        <f t="shared" si="99"/>
        <v>-31090</v>
      </c>
      <c r="M158" s="762">
        <f t="shared" si="99"/>
        <v>-31090</v>
      </c>
      <c r="N158" s="762">
        <f t="shared" ref="N158:O158" si="100">SUM(N157)</f>
        <v>-31090</v>
      </c>
      <c r="O158" s="762">
        <f t="shared" si="100"/>
        <v>-31090</v>
      </c>
    </row>
    <row r="159" spans="1:15" ht="12.75" customHeight="1" thickTop="1" x14ac:dyDescent="0.25">
      <c r="B159" s="470"/>
      <c r="D159" s="757"/>
      <c r="E159" s="758"/>
      <c r="F159" s="758"/>
      <c r="G159" s="761"/>
      <c r="I159" s="463"/>
      <c r="J159" s="457"/>
      <c r="K159" s="457"/>
      <c r="L159" s="457"/>
      <c r="M159" s="457"/>
      <c r="N159" s="457"/>
      <c r="O159" s="457"/>
    </row>
    <row r="160" spans="1:15" ht="12.75" customHeight="1" x14ac:dyDescent="0.25">
      <c r="B160" s="470"/>
      <c r="D160" s="754">
        <v>646009</v>
      </c>
      <c r="E160" s="758"/>
      <c r="F160" s="758"/>
      <c r="G160" s="764" t="s">
        <v>4535</v>
      </c>
      <c r="I160" s="463"/>
      <c r="J160" s="457"/>
      <c r="K160" s="457"/>
      <c r="L160" s="457"/>
      <c r="M160" s="457"/>
      <c r="N160" s="457"/>
      <c r="O160" s="457"/>
    </row>
    <row r="161" spans="1:15" ht="12.75" customHeight="1" x14ac:dyDescent="0.25">
      <c r="B161" s="470"/>
      <c r="D161" s="757"/>
      <c r="E161" s="758"/>
      <c r="F161" s="758"/>
      <c r="G161" s="759" t="s">
        <v>554</v>
      </c>
      <c r="I161" s="463"/>
      <c r="J161" s="457"/>
      <c r="K161" s="457"/>
      <c r="L161" s="457"/>
      <c r="M161" s="457"/>
      <c r="N161" s="457"/>
      <c r="O161" s="457"/>
    </row>
    <row r="162" spans="1:15" ht="12.75" customHeight="1" x14ac:dyDescent="0.25">
      <c r="A162" s="516">
        <f>D160</f>
        <v>646009</v>
      </c>
      <c r="B162" s="470" t="str">
        <f>G160</f>
        <v>BS Kansrijke start</v>
      </c>
      <c r="D162" s="757">
        <v>84310</v>
      </c>
      <c r="E162" s="758"/>
      <c r="F162" s="758"/>
      <c r="G162" s="761" t="s">
        <v>4082</v>
      </c>
      <c r="I162" s="463"/>
      <c r="J162" s="457">
        <v>-23887</v>
      </c>
      <c r="K162" s="457">
        <f t="shared" ref="K162:M162" si="101">K281</f>
        <v>-31090</v>
      </c>
      <c r="L162" s="457">
        <f t="shared" si="101"/>
        <v>-31090</v>
      </c>
      <c r="M162" s="457">
        <f t="shared" si="101"/>
        <v>-31090</v>
      </c>
      <c r="N162" s="457">
        <f t="shared" ref="N162:O162" si="102">N281</f>
        <v>-31090</v>
      </c>
      <c r="O162" s="457">
        <f t="shared" si="102"/>
        <v>-31090</v>
      </c>
    </row>
    <row r="163" spans="1:15" ht="12.75" customHeight="1" thickBot="1" x14ac:dyDescent="0.3">
      <c r="B163" s="470"/>
      <c r="D163" s="757"/>
      <c r="E163" s="758"/>
      <c r="F163" s="758"/>
      <c r="G163" s="761" t="s">
        <v>536</v>
      </c>
      <c r="I163" s="463"/>
      <c r="J163" s="762">
        <v>-23887</v>
      </c>
      <c r="K163" s="762">
        <f t="shared" ref="K163:M163" si="103">SUM(K162)</f>
        <v>-31090</v>
      </c>
      <c r="L163" s="762">
        <f t="shared" si="103"/>
        <v>-31090</v>
      </c>
      <c r="M163" s="762">
        <f t="shared" si="103"/>
        <v>-31090</v>
      </c>
      <c r="N163" s="762">
        <f t="shared" ref="N163:O163" si="104">SUM(N162)</f>
        <v>-31090</v>
      </c>
      <c r="O163" s="762">
        <f t="shared" si="104"/>
        <v>-31090</v>
      </c>
    </row>
    <row r="164" spans="1:15" ht="12.75" customHeight="1" thickTop="1" x14ac:dyDescent="0.25">
      <c r="B164" s="470"/>
      <c r="D164" s="757"/>
      <c r="E164" s="758"/>
      <c r="F164" s="758"/>
      <c r="G164" s="761"/>
      <c r="I164" s="463"/>
      <c r="J164" s="457"/>
      <c r="K164" s="457"/>
      <c r="L164" s="457"/>
      <c r="M164" s="457"/>
      <c r="N164" s="457"/>
      <c r="O164" s="457"/>
    </row>
    <row r="165" spans="1:15" ht="12.75" customHeight="1" x14ac:dyDescent="0.25">
      <c r="B165" s="470"/>
      <c r="D165" s="754">
        <v>646010</v>
      </c>
      <c r="E165" s="758"/>
      <c r="F165" s="758"/>
      <c r="G165" s="764" t="s">
        <v>4536</v>
      </c>
      <c r="I165" s="463"/>
      <c r="J165" s="457"/>
      <c r="K165" s="457"/>
      <c r="L165" s="457"/>
      <c r="M165" s="457"/>
      <c r="N165" s="457"/>
      <c r="O165" s="457"/>
    </row>
    <row r="166" spans="1:15" ht="12.75" customHeight="1" x14ac:dyDescent="0.25">
      <c r="B166" s="470"/>
      <c r="D166" s="757"/>
      <c r="E166" s="758"/>
      <c r="F166" s="758"/>
      <c r="G166" s="759" t="s">
        <v>554</v>
      </c>
      <c r="I166" s="463"/>
      <c r="J166" s="457"/>
      <c r="K166" s="457"/>
      <c r="L166" s="457"/>
      <c r="M166" s="457"/>
      <c r="N166" s="457"/>
      <c r="O166" s="457"/>
    </row>
    <row r="167" spans="1:15" ht="12.75" customHeight="1" x14ac:dyDescent="0.25">
      <c r="A167" s="516">
        <f>D165</f>
        <v>646010</v>
      </c>
      <c r="B167" s="470" t="str">
        <f>G165</f>
        <v>BS Mentale gezondheid</v>
      </c>
      <c r="D167" s="757">
        <v>84310</v>
      </c>
      <c r="E167" s="758"/>
      <c r="F167" s="758"/>
      <c r="G167" s="761" t="s">
        <v>4082</v>
      </c>
      <c r="I167" s="463"/>
      <c r="J167" s="457">
        <v>-7465</v>
      </c>
      <c r="K167" s="457">
        <f t="shared" ref="K167:M167" si="105">K286</f>
        <v>0</v>
      </c>
      <c r="L167" s="457">
        <f t="shared" si="105"/>
        <v>0</v>
      </c>
      <c r="M167" s="457">
        <f t="shared" si="105"/>
        <v>0</v>
      </c>
      <c r="N167" s="457">
        <f t="shared" ref="N167:O167" si="106">N286</f>
        <v>0</v>
      </c>
      <c r="O167" s="457">
        <f t="shared" si="106"/>
        <v>0</v>
      </c>
    </row>
    <row r="168" spans="1:15" ht="12.75" customHeight="1" thickBot="1" x14ac:dyDescent="0.3">
      <c r="B168" s="470"/>
      <c r="D168" s="757"/>
      <c r="E168" s="758"/>
      <c r="F168" s="758"/>
      <c r="G168" s="761" t="s">
        <v>536</v>
      </c>
      <c r="I168" s="463"/>
      <c r="J168" s="762">
        <v>-7465</v>
      </c>
      <c r="K168" s="762">
        <f t="shared" ref="K168:M168" si="107">SUM(K167)</f>
        <v>0</v>
      </c>
      <c r="L168" s="762">
        <f t="shared" si="107"/>
        <v>0</v>
      </c>
      <c r="M168" s="762">
        <f t="shared" si="107"/>
        <v>0</v>
      </c>
      <c r="N168" s="762">
        <f t="shared" ref="N168:O168" si="108">SUM(N167)</f>
        <v>0</v>
      </c>
      <c r="O168" s="762">
        <f t="shared" si="108"/>
        <v>0</v>
      </c>
    </row>
    <row r="169" spans="1:15" ht="12.75" customHeight="1" thickTop="1" x14ac:dyDescent="0.25">
      <c r="B169" s="470"/>
      <c r="D169" s="757"/>
      <c r="E169" s="758"/>
      <c r="F169" s="758"/>
      <c r="G169" s="761"/>
      <c r="I169" s="463"/>
      <c r="J169" s="457"/>
      <c r="K169" s="457"/>
      <c r="L169" s="457"/>
      <c r="M169" s="457"/>
      <c r="N169" s="457"/>
      <c r="O169" s="457"/>
    </row>
    <row r="170" spans="1:15" ht="12.75" customHeight="1" x14ac:dyDescent="0.25">
      <c r="B170" s="470"/>
      <c r="D170" s="754">
        <v>646011</v>
      </c>
      <c r="E170" s="758"/>
      <c r="F170" s="758"/>
      <c r="G170" s="764" t="s">
        <v>4537</v>
      </c>
      <c r="I170" s="463"/>
      <c r="J170" s="457"/>
      <c r="K170" s="457"/>
      <c r="L170" s="457"/>
      <c r="M170" s="457"/>
      <c r="N170" s="457"/>
      <c r="O170" s="457"/>
    </row>
    <row r="171" spans="1:15" ht="12.75" customHeight="1" x14ac:dyDescent="0.25">
      <c r="B171" s="470"/>
      <c r="D171" s="757"/>
      <c r="E171" s="758"/>
      <c r="F171" s="758"/>
      <c r="G171" s="759" t="s">
        <v>554</v>
      </c>
      <c r="I171" s="463"/>
      <c r="J171" s="457"/>
      <c r="K171" s="457"/>
      <c r="L171" s="457"/>
      <c r="M171" s="457"/>
      <c r="N171" s="457"/>
      <c r="O171" s="457"/>
    </row>
    <row r="172" spans="1:15" ht="12.75" customHeight="1" x14ac:dyDescent="0.25">
      <c r="A172" s="516">
        <f>D170</f>
        <v>646011</v>
      </c>
      <c r="B172" s="470" t="str">
        <f>G170</f>
        <v>BS Aanpak overgewicht en obesitas</v>
      </c>
      <c r="D172" s="757">
        <v>84310</v>
      </c>
      <c r="E172" s="758"/>
      <c r="F172" s="758"/>
      <c r="G172" s="761" t="s">
        <v>4082</v>
      </c>
      <c r="I172" s="463"/>
      <c r="J172" s="457">
        <v>-26126</v>
      </c>
      <c r="K172" s="457">
        <f t="shared" ref="K172:M172" si="109">K291</f>
        <v>0</v>
      </c>
      <c r="L172" s="457">
        <f t="shared" si="109"/>
        <v>0</v>
      </c>
      <c r="M172" s="457">
        <f t="shared" si="109"/>
        <v>0</v>
      </c>
      <c r="N172" s="457">
        <f t="shared" ref="N172:O172" si="110">N291</f>
        <v>0</v>
      </c>
      <c r="O172" s="457">
        <f t="shared" si="110"/>
        <v>0</v>
      </c>
    </row>
    <row r="173" spans="1:15" ht="12.75" customHeight="1" thickBot="1" x14ac:dyDescent="0.3">
      <c r="B173" s="470"/>
      <c r="D173" s="757"/>
      <c r="E173" s="758"/>
      <c r="F173" s="758"/>
      <c r="G173" s="761"/>
      <c r="I173" s="463"/>
      <c r="J173" s="762">
        <v>-26126</v>
      </c>
      <c r="K173" s="762">
        <f t="shared" ref="K173:M173" si="111">SUM(K172)</f>
        <v>0</v>
      </c>
      <c r="L173" s="762">
        <f t="shared" si="111"/>
        <v>0</v>
      </c>
      <c r="M173" s="762">
        <f t="shared" si="111"/>
        <v>0</v>
      </c>
      <c r="N173" s="762">
        <f t="shared" ref="N173:O173" si="112">SUM(N172)</f>
        <v>0</v>
      </c>
      <c r="O173" s="762">
        <f t="shared" si="112"/>
        <v>0</v>
      </c>
    </row>
    <row r="174" spans="1:15" ht="12.75" customHeight="1" thickTop="1" x14ac:dyDescent="0.25">
      <c r="B174" s="470"/>
      <c r="D174" s="757"/>
      <c r="E174" s="758"/>
      <c r="F174" s="758"/>
      <c r="I174" s="463"/>
      <c r="J174" s="457"/>
      <c r="K174" s="457"/>
      <c r="L174" s="457"/>
      <c r="M174" s="457"/>
      <c r="N174" s="457"/>
      <c r="O174" s="457"/>
    </row>
    <row r="175" spans="1:15" ht="12.75" customHeight="1" x14ac:dyDescent="0.25">
      <c r="B175" s="470"/>
      <c r="D175" s="754">
        <v>646012</v>
      </c>
      <c r="E175" s="758"/>
      <c r="F175" s="758"/>
      <c r="G175" s="764" t="s">
        <v>4538</v>
      </c>
      <c r="I175" s="463"/>
      <c r="J175" s="457"/>
      <c r="K175" s="457"/>
      <c r="L175" s="457"/>
      <c r="M175" s="457"/>
      <c r="N175" s="457"/>
      <c r="O175" s="457"/>
    </row>
    <row r="176" spans="1:15" ht="12.75" customHeight="1" x14ac:dyDescent="0.25">
      <c r="B176" s="470"/>
      <c r="D176" s="757"/>
      <c r="E176" s="758"/>
      <c r="F176" s="758"/>
      <c r="G176" s="759" t="s">
        <v>554</v>
      </c>
      <c r="I176" s="463"/>
      <c r="J176" s="457"/>
      <c r="K176" s="457"/>
      <c r="L176" s="457"/>
      <c r="M176" s="457"/>
      <c r="N176" s="457"/>
      <c r="O176" s="457"/>
    </row>
    <row r="177" spans="1:15" ht="12.75" customHeight="1" x14ac:dyDescent="0.25">
      <c r="A177" s="516">
        <f>D175</f>
        <v>646012</v>
      </c>
      <c r="B177" s="470" t="str">
        <f>G175</f>
        <v>BS Leefomgeving</v>
      </c>
      <c r="D177" s="757">
        <v>84310</v>
      </c>
      <c r="E177" s="758"/>
      <c r="F177" s="758"/>
      <c r="G177" s="761" t="s">
        <v>4082</v>
      </c>
      <c r="I177" s="463"/>
      <c r="J177" s="457">
        <v>-14929</v>
      </c>
      <c r="K177" s="457">
        <f t="shared" ref="K177:M177" si="113">K296</f>
        <v>0</v>
      </c>
      <c r="L177" s="457">
        <f t="shared" si="113"/>
        <v>0</v>
      </c>
      <c r="M177" s="457">
        <f t="shared" si="113"/>
        <v>0</v>
      </c>
      <c r="N177" s="457">
        <f t="shared" ref="N177:O177" si="114">N296</f>
        <v>0</v>
      </c>
      <c r="O177" s="457">
        <f t="shared" si="114"/>
        <v>0</v>
      </c>
    </row>
    <row r="178" spans="1:15" ht="12.75" customHeight="1" thickBot="1" x14ac:dyDescent="0.3">
      <c r="B178" s="470"/>
      <c r="D178" s="757"/>
      <c r="E178" s="758"/>
      <c r="F178" s="758"/>
      <c r="G178" s="761" t="s">
        <v>536</v>
      </c>
      <c r="I178" s="463"/>
      <c r="J178" s="762">
        <v>-14929</v>
      </c>
      <c r="K178" s="762">
        <f t="shared" ref="K178:M178" si="115">SUM(K177)</f>
        <v>0</v>
      </c>
      <c r="L178" s="762">
        <f t="shared" si="115"/>
        <v>0</v>
      </c>
      <c r="M178" s="762">
        <f t="shared" si="115"/>
        <v>0</v>
      </c>
      <c r="N178" s="762">
        <f t="shared" ref="N178:O178" si="116">SUM(N177)</f>
        <v>0</v>
      </c>
      <c r="O178" s="762">
        <f t="shared" si="116"/>
        <v>0</v>
      </c>
    </row>
    <row r="179" spans="1:15" ht="12.75" customHeight="1" thickTop="1" x14ac:dyDescent="0.25">
      <c r="B179" s="470"/>
      <c r="D179" s="757"/>
      <c r="E179" s="758"/>
      <c r="F179" s="758"/>
      <c r="I179" s="463"/>
      <c r="J179" s="457"/>
      <c r="K179" s="457"/>
      <c r="L179" s="457"/>
      <c r="M179" s="457"/>
      <c r="N179" s="457"/>
      <c r="O179" s="457"/>
    </row>
    <row r="180" spans="1:15" ht="12.75" customHeight="1" x14ac:dyDescent="0.25">
      <c r="B180" s="470"/>
      <c r="D180" s="754">
        <v>646013</v>
      </c>
      <c r="E180" s="758"/>
      <c r="F180" s="758"/>
      <c r="G180" s="764" t="s">
        <v>4539</v>
      </c>
      <c r="I180" s="463"/>
      <c r="J180" s="457"/>
      <c r="K180" s="457"/>
      <c r="L180" s="457"/>
      <c r="M180" s="457"/>
      <c r="N180" s="457"/>
      <c r="O180" s="457"/>
    </row>
    <row r="181" spans="1:15" ht="12.75" customHeight="1" x14ac:dyDescent="0.25">
      <c r="B181" s="470"/>
      <c r="D181" s="757"/>
      <c r="E181" s="758"/>
      <c r="F181" s="758"/>
      <c r="G181" s="759" t="s">
        <v>554</v>
      </c>
      <c r="I181" s="463"/>
      <c r="J181" s="457"/>
      <c r="K181" s="457"/>
      <c r="L181" s="457"/>
      <c r="M181" s="457"/>
      <c r="N181" s="457"/>
      <c r="O181" s="457"/>
    </row>
    <row r="182" spans="1:15" ht="12.75" customHeight="1" x14ac:dyDescent="0.25">
      <c r="A182" s="516">
        <f>D180</f>
        <v>646013</v>
      </c>
      <c r="B182" s="470" t="str">
        <f>G180</f>
        <v>BS OKO &amp; Vroegsignalering alcoholproblematiek</v>
      </c>
      <c r="D182" s="757">
        <v>84310</v>
      </c>
      <c r="E182" s="758"/>
      <c r="F182" s="758"/>
      <c r="G182" s="761" t="s">
        <v>4082</v>
      </c>
      <c r="I182" s="463"/>
      <c r="J182" s="457">
        <v>-3732</v>
      </c>
      <c r="K182" s="457">
        <f t="shared" ref="K182:M182" si="117">K301</f>
        <v>0</v>
      </c>
      <c r="L182" s="457">
        <f t="shared" si="117"/>
        <v>0</v>
      </c>
      <c r="M182" s="457">
        <f t="shared" si="117"/>
        <v>0</v>
      </c>
      <c r="N182" s="457">
        <f t="shared" ref="N182:O182" si="118">N301</f>
        <v>0</v>
      </c>
      <c r="O182" s="457">
        <f t="shared" si="118"/>
        <v>0</v>
      </c>
    </row>
    <row r="183" spans="1:15" ht="12.75" customHeight="1" thickBot="1" x14ac:dyDescent="0.3">
      <c r="B183" s="470"/>
      <c r="D183" s="757"/>
      <c r="E183" s="758"/>
      <c r="F183" s="758"/>
      <c r="G183" s="761" t="s">
        <v>536</v>
      </c>
      <c r="I183" s="463"/>
      <c r="J183" s="762">
        <v>-3732</v>
      </c>
      <c r="K183" s="762">
        <f t="shared" ref="K183:M183" si="119">SUM(K182)</f>
        <v>0</v>
      </c>
      <c r="L183" s="762">
        <f t="shared" si="119"/>
        <v>0</v>
      </c>
      <c r="M183" s="762">
        <f t="shared" si="119"/>
        <v>0</v>
      </c>
      <c r="N183" s="762">
        <f t="shared" ref="N183:O183" si="120">SUM(N182)</f>
        <v>0</v>
      </c>
      <c r="O183" s="762">
        <f t="shared" si="120"/>
        <v>0</v>
      </c>
    </row>
    <row r="184" spans="1:15" ht="12.75" customHeight="1" thickTop="1" x14ac:dyDescent="0.25">
      <c r="B184" s="470"/>
      <c r="D184" s="757"/>
      <c r="E184" s="758"/>
      <c r="F184" s="758"/>
      <c r="I184" s="463"/>
      <c r="J184" s="457"/>
      <c r="K184" s="457"/>
      <c r="L184" s="457"/>
      <c r="M184" s="457"/>
      <c r="N184" s="457"/>
      <c r="O184" s="457"/>
    </row>
    <row r="185" spans="1:15" ht="12.75" customHeight="1" x14ac:dyDescent="0.25">
      <c r="B185" s="470"/>
      <c r="D185" s="754">
        <v>646014</v>
      </c>
      <c r="E185" s="758"/>
      <c r="F185" s="758"/>
      <c r="G185" s="764" t="s">
        <v>4540</v>
      </c>
      <c r="I185" s="463"/>
      <c r="J185" s="457"/>
      <c r="K185" s="457"/>
      <c r="L185" s="457"/>
      <c r="M185" s="457"/>
      <c r="N185" s="457"/>
      <c r="O185" s="457"/>
    </row>
    <row r="186" spans="1:15" ht="12.75" customHeight="1" x14ac:dyDescent="0.25">
      <c r="B186" s="470"/>
      <c r="D186" s="757"/>
      <c r="E186" s="758"/>
      <c r="F186" s="758"/>
      <c r="G186" s="759" t="s">
        <v>554</v>
      </c>
      <c r="I186" s="463"/>
      <c r="J186" s="457"/>
      <c r="K186" s="457"/>
      <c r="L186" s="457"/>
      <c r="M186" s="457"/>
      <c r="N186" s="457"/>
      <c r="O186" s="457"/>
    </row>
    <row r="187" spans="1:15" ht="12.75" customHeight="1" x14ac:dyDescent="0.25">
      <c r="A187" s="516">
        <f>D185</f>
        <v>646014</v>
      </c>
      <c r="B187" s="470" t="str">
        <f>G185</f>
        <v>BS Versterken kennis- en adviesfunctie GGD</v>
      </c>
      <c r="D187" s="757">
        <v>84310</v>
      </c>
      <c r="E187" s="758"/>
      <c r="F187" s="758"/>
      <c r="G187" s="761" t="s">
        <v>4082</v>
      </c>
      <c r="I187" s="463"/>
      <c r="J187" s="457">
        <v>-3732</v>
      </c>
      <c r="K187" s="457">
        <f t="shared" ref="K187:M187" si="121">K306</f>
        <v>0</v>
      </c>
      <c r="L187" s="457">
        <f t="shared" si="121"/>
        <v>0</v>
      </c>
      <c r="M187" s="457">
        <f t="shared" si="121"/>
        <v>0</v>
      </c>
      <c r="N187" s="457">
        <f t="shared" ref="N187:O187" si="122">N306</f>
        <v>0</v>
      </c>
      <c r="O187" s="457">
        <f t="shared" si="122"/>
        <v>0</v>
      </c>
    </row>
    <row r="188" spans="1:15" ht="12.75" customHeight="1" thickBot="1" x14ac:dyDescent="0.3">
      <c r="B188" s="470"/>
      <c r="D188" s="757"/>
      <c r="E188" s="758"/>
      <c r="F188" s="758"/>
      <c r="G188" s="761" t="s">
        <v>536</v>
      </c>
      <c r="I188" s="463"/>
      <c r="J188" s="762">
        <v>-3732</v>
      </c>
      <c r="K188" s="762">
        <f t="shared" ref="K188:M188" si="123">SUM(K187)</f>
        <v>0</v>
      </c>
      <c r="L188" s="762">
        <f t="shared" si="123"/>
        <v>0</v>
      </c>
      <c r="M188" s="762">
        <f t="shared" si="123"/>
        <v>0</v>
      </c>
      <c r="N188" s="762">
        <f t="shared" ref="N188:O188" si="124">SUM(N187)</f>
        <v>0</v>
      </c>
      <c r="O188" s="762">
        <f t="shared" si="124"/>
        <v>0</v>
      </c>
    </row>
    <row r="189" spans="1:15" ht="12.75" customHeight="1" thickTop="1" x14ac:dyDescent="0.25">
      <c r="B189" s="470"/>
      <c r="D189" s="757"/>
      <c r="E189" s="758"/>
      <c r="F189" s="758"/>
      <c r="I189" s="463"/>
      <c r="J189" s="457"/>
      <c r="K189" s="457"/>
      <c r="L189" s="457"/>
      <c r="M189" s="457"/>
      <c r="N189" s="457"/>
      <c r="O189" s="457"/>
    </row>
    <row r="190" spans="1:15" ht="12.75" customHeight="1" x14ac:dyDescent="0.25">
      <c r="B190" s="470"/>
      <c r="D190" s="754">
        <v>646015</v>
      </c>
      <c r="E190" s="758"/>
      <c r="F190" s="758"/>
      <c r="G190" s="764" t="s">
        <v>4541</v>
      </c>
      <c r="I190" s="463"/>
      <c r="J190" s="457"/>
      <c r="K190" s="457"/>
      <c r="L190" s="457"/>
      <c r="M190" s="457"/>
      <c r="N190" s="457"/>
      <c r="O190" s="457"/>
    </row>
    <row r="191" spans="1:15" ht="12.75" customHeight="1" x14ac:dyDescent="0.25">
      <c r="B191" s="470"/>
      <c r="D191" s="757"/>
      <c r="E191" s="758"/>
      <c r="F191" s="758"/>
      <c r="G191" s="759" t="s">
        <v>554</v>
      </c>
      <c r="I191" s="463"/>
      <c r="J191" s="457"/>
      <c r="K191" s="457"/>
      <c r="L191" s="457"/>
      <c r="M191" s="457"/>
      <c r="N191" s="457"/>
      <c r="O191" s="457"/>
    </row>
    <row r="192" spans="1:15" ht="12.75" customHeight="1" x14ac:dyDescent="0.25">
      <c r="A192" s="516">
        <f>D190</f>
        <v>646015</v>
      </c>
      <c r="B192" s="470" t="str">
        <f>G190</f>
        <v>BS Coördinatiekosten regionale aanpak preventie</v>
      </c>
      <c r="D192" s="757">
        <v>84310</v>
      </c>
      <c r="E192" s="758"/>
      <c r="F192" s="758"/>
      <c r="G192" s="761" t="s">
        <v>4082</v>
      </c>
      <c r="I192" s="463"/>
      <c r="J192" s="457">
        <v>-10898</v>
      </c>
      <c r="K192" s="457">
        <f t="shared" ref="K192:M192" si="125">K311</f>
        <v>0</v>
      </c>
      <c r="L192" s="457">
        <f t="shared" si="125"/>
        <v>0</v>
      </c>
      <c r="M192" s="457">
        <f t="shared" si="125"/>
        <v>0</v>
      </c>
      <c r="N192" s="457">
        <f t="shared" ref="N192:O192" si="126">N311</f>
        <v>0</v>
      </c>
      <c r="O192" s="457">
        <f t="shared" si="126"/>
        <v>0</v>
      </c>
    </row>
    <row r="193" spans="2:18" ht="12.75" customHeight="1" thickBot="1" x14ac:dyDescent="0.3">
      <c r="B193" s="470"/>
      <c r="D193" s="757"/>
      <c r="E193" s="758"/>
      <c r="F193" s="758"/>
      <c r="G193" s="761" t="s">
        <v>536</v>
      </c>
      <c r="I193" s="463"/>
      <c r="J193" s="762">
        <v>-10898</v>
      </c>
      <c r="K193" s="762">
        <f t="shared" ref="K193:M193" si="127">SUM(K192)</f>
        <v>0</v>
      </c>
      <c r="L193" s="762">
        <f t="shared" si="127"/>
        <v>0</v>
      </c>
      <c r="M193" s="762">
        <f t="shared" si="127"/>
        <v>0</v>
      </c>
      <c r="N193" s="762">
        <f t="shared" ref="N193:O193" si="128">SUM(N192)</f>
        <v>0</v>
      </c>
      <c r="O193" s="762">
        <f t="shared" si="128"/>
        <v>0</v>
      </c>
    </row>
    <row r="194" spans="2:18" ht="12.75" customHeight="1" thickTop="1" x14ac:dyDescent="0.25">
      <c r="B194" s="470"/>
      <c r="D194" s="757"/>
      <c r="E194" s="758"/>
      <c r="F194" s="758"/>
      <c r="I194" s="463"/>
      <c r="J194" s="457"/>
      <c r="K194" s="457"/>
      <c r="L194" s="457"/>
      <c r="M194" s="457"/>
      <c r="N194" s="457"/>
      <c r="O194" s="457"/>
    </row>
    <row r="195" spans="2:18" ht="12.75" customHeight="1" x14ac:dyDescent="0.25">
      <c r="B195" s="470"/>
      <c r="D195" s="765"/>
      <c r="E195" s="766"/>
      <c r="F195" s="766"/>
      <c r="G195" s="767"/>
      <c r="H195" s="467"/>
      <c r="I195" s="768"/>
      <c r="J195" s="468"/>
      <c r="K195" s="468"/>
      <c r="L195" s="468"/>
      <c r="M195" s="468"/>
      <c r="N195" s="468"/>
      <c r="O195" s="468"/>
      <c r="R195" s="453">
        <v>-1000</v>
      </c>
    </row>
    <row r="196" spans="2:18" ht="12.75" customHeight="1" x14ac:dyDescent="0.25">
      <c r="B196" s="470"/>
      <c r="D196" s="769"/>
      <c r="E196" s="769"/>
      <c r="F196" s="769"/>
      <c r="I196" s="469"/>
      <c r="J196" s="469"/>
      <c r="K196" s="469"/>
      <c r="L196" s="469"/>
      <c r="M196" s="469"/>
      <c r="N196" s="469"/>
      <c r="O196" s="469"/>
    </row>
    <row r="197" spans="2:18" ht="12.75" customHeight="1" x14ac:dyDescent="0.25">
      <c r="B197" s="470"/>
      <c r="D197" s="769"/>
      <c r="E197" s="769"/>
      <c r="F197" s="769"/>
      <c r="I197" s="469"/>
      <c r="J197" s="469"/>
      <c r="K197" s="469"/>
      <c r="L197" s="469"/>
      <c r="M197" s="469"/>
      <c r="N197" s="469"/>
      <c r="O197" s="469"/>
    </row>
    <row r="198" spans="2:18" ht="12.75" customHeight="1" x14ac:dyDescent="0.25">
      <c r="B198" s="470"/>
      <c r="D198" s="769"/>
      <c r="E198" s="769"/>
      <c r="F198" s="769"/>
      <c r="I198" s="469"/>
      <c r="J198" s="469"/>
      <c r="K198" s="469"/>
      <c r="L198" s="469"/>
      <c r="M198" s="469"/>
      <c r="N198" s="469"/>
      <c r="O198" s="469"/>
    </row>
    <row r="199" spans="2:18" ht="12.75" customHeight="1" x14ac:dyDescent="0.25">
      <c r="B199" s="470"/>
      <c r="D199" s="769"/>
      <c r="E199" s="769"/>
      <c r="F199" s="769"/>
      <c r="I199" s="469"/>
      <c r="J199" s="469"/>
      <c r="K199" s="469"/>
      <c r="L199" s="469"/>
      <c r="M199" s="469"/>
      <c r="N199" s="469"/>
      <c r="O199" s="469"/>
    </row>
    <row r="200" spans="2:18" ht="12.75" customHeight="1" x14ac:dyDescent="0.25">
      <c r="D200" s="516"/>
      <c r="I200" s="469"/>
      <c r="J200" s="469"/>
      <c r="K200" s="469"/>
      <c r="L200" s="469"/>
      <c r="M200" s="469"/>
      <c r="N200" s="469"/>
      <c r="O200" s="469"/>
    </row>
    <row r="201" spans="2:18" ht="12.75" customHeight="1" x14ac:dyDescent="0.25">
      <c r="D201" s="769"/>
      <c r="E201" s="770" t="s">
        <v>561</v>
      </c>
      <c r="F201" s="769"/>
      <c r="H201" s="469"/>
    </row>
    <row r="202" spans="2:18" ht="12.75" customHeight="1" x14ac:dyDescent="0.25">
      <c r="D202" s="769"/>
      <c r="E202" s="769"/>
      <c r="F202" s="769"/>
      <c r="G202" s="770"/>
      <c r="H202" s="469"/>
    </row>
    <row r="204" spans="2:18" ht="12.75" customHeight="1" x14ac:dyDescent="0.25">
      <c r="D204" s="771">
        <v>646001</v>
      </c>
      <c r="E204" s="772" t="s">
        <v>4527</v>
      </c>
      <c r="F204" s="453"/>
      <c r="G204" s="469"/>
      <c r="H204" s="158"/>
      <c r="J204" s="773">
        <v>2025</v>
      </c>
      <c r="K204" s="773">
        <v>2026</v>
      </c>
      <c r="L204" s="773">
        <v>2027</v>
      </c>
      <c r="M204" s="773">
        <v>2028</v>
      </c>
      <c r="N204" s="773">
        <v>2029</v>
      </c>
      <c r="O204" s="773">
        <v>2030</v>
      </c>
    </row>
    <row r="205" spans="2:18" ht="12.75" customHeight="1" x14ac:dyDescent="0.25">
      <c r="D205" s="771"/>
      <c r="E205" s="527" t="s">
        <v>4542</v>
      </c>
      <c r="F205" s="453"/>
      <c r="G205" s="469"/>
      <c r="H205" s="158"/>
      <c r="J205" s="158"/>
      <c r="K205" s="158"/>
      <c r="L205" s="158"/>
      <c r="M205" s="158"/>
      <c r="N205" s="158"/>
      <c r="O205" s="158"/>
    </row>
    <row r="206" spans="2:18" ht="12.75" customHeight="1" x14ac:dyDescent="0.25">
      <c r="D206" s="774">
        <v>44330</v>
      </c>
      <c r="E206" s="775" t="s">
        <v>4543</v>
      </c>
      <c r="F206" s="776"/>
      <c r="G206" s="776"/>
      <c r="H206" s="469"/>
      <c r="J206" s="469">
        <v>746386</v>
      </c>
      <c r="K206" s="469">
        <f>752437+35566</f>
        <v>788003</v>
      </c>
      <c r="L206" s="469">
        <f>ROUND(K206*T$3,0)</f>
        <v>821099</v>
      </c>
      <c r="M206" s="469">
        <f>ROUND(L206*U$3,0)</f>
        <v>851480</v>
      </c>
      <c r="N206" s="469">
        <f>ROUND(M206*V$3,0)</f>
        <v>882985</v>
      </c>
      <c r="O206" s="469">
        <f>ROUND(N206*W$3,0)</f>
        <v>915655</v>
      </c>
    </row>
    <row r="207" spans="2:18" ht="12.75" customHeight="1" x14ac:dyDescent="0.25">
      <c r="D207" s="774"/>
      <c r="E207" s="777" t="s">
        <v>4544</v>
      </c>
      <c r="F207" s="778"/>
      <c r="G207" s="778"/>
      <c r="H207" s="469"/>
      <c r="J207" s="469"/>
      <c r="K207" s="469"/>
      <c r="L207" s="469"/>
      <c r="M207" s="469"/>
      <c r="N207" s="469"/>
      <c r="O207" s="469"/>
    </row>
    <row r="208" spans="2:18" ht="12.75" customHeight="1" x14ac:dyDescent="0.25">
      <c r="D208" s="774"/>
      <c r="E208" s="779" t="s">
        <v>4545</v>
      </c>
      <c r="F208" s="778"/>
      <c r="G208" s="778"/>
      <c r="H208" s="778"/>
      <c r="J208" s="469">
        <v>647344</v>
      </c>
      <c r="K208" s="469">
        <v>672928</v>
      </c>
      <c r="L208" s="469">
        <f>ROUND(K208*T$3,0)</f>
        <v>701191</v>
      </c>
      <c r="M208" s="469">
        <f>ROUND(L208*U$3,0)</f>
        <v>727135</v>
      </c>
      <c r="N208" s="469">
        <f>ROUND(M208*V$3,0)</f>
        <v>754039</v>
      </c>
      <c r="O208" s="469">
        <f>ROUND(N208*W$3,0)</f>
        <v>781938</v>
      </c>
    </row>
    <row r="209" spans="1:19" ht="12.75" customHeight="1" x14ac:dyDescent="0.25">
      <c r="D209" s="774"/>
      <c r="E209" s="776" t="s">
        <v>4546</v>
      </c>
      <c r="F209" s="778"/>
      <c r="G209" s="778"/>
      <c r="J209" s="469">
        <v>37127</v>
      </c>
      <c r="K209" s="469">
        <v>1421</v>
      </c>
      <c r="L209" s="469">
        <f>ROUND(K209*T$2,0)</f>
        <v>1451</v>
      </c>
      <c r="M209" s="469">
        <f>ROUND(L209*U$2,0)</f>
        <v>1484</v>
      </c>
      <c r="N209" s="469">
        <f>ROUND(M209*V$2,0)</f>
        <v>1518</v>
      </c>
      <c r="O209" s="469">
        <f>ROUND(N209*W$2,0)</f>
        <v>1553</v>
      </c>
    </row>
    <row r="210" spans="1:19" s="2162" customFormat="1" ht="12.75" customHeight="1" x14ac:dyDescent="0.25">
      <c r="A210" s="2160"/>
      <c r="B210" s="2161"/>
      <c r="D210" s="2163"/>
      <c r="E210" s="2164" t="s">
        <v>5307</v>
      </c>
      <c r="F210" s="2165"/>
      <c r="G210" s="2165"/>
      <c r="J210" s="2166"/>
      <c r="K210" s="2166">
        <v>16000</v>
      </c>
      <c r="L210" s="2166">
        <v>16000</v>
      </c>
      <c r="M210" s="2166">
        <v>17000</v>
      </c>
      <c r="N210" s="2166">
        <v>18000</v>
      </c>
      <c r="O210" s="2166">
        <v>18000</v>
      </c>
    </row>
    <row r="211" spans="1:19" ht="12.75" customHeight="1" x14ac:dyDescent="0.25">
      <c r="D211" s="774"/>
      <c r="E211" s="776"/>
      <c r="F211" s="778"/>
      <c r="G211" s="778"/>
      <c r="J211" s="469"/>
      <c r="K211" s="469"/>
      <c r="L211" s="469"/>
      <c r="M211" s="469"/>
      <c r="N211" s="469"/>
      <c r="O211" s="469"/>
    </row>
    <row r="212" spans="1:19" ht="12.75" customHeight="1" thickBot="1" x14ac:dyDescent="0.3">
      <c r="D212" s="780"/>
      <c r="E212" s="469" t="str">
        <f>"Totaal "&amp;D206</f>
        <v>Totaal 44330</v>
      </c>
      <c r="F212" s="469"/>
      <c r="G212" s="469"/>
      <c r="H212" s="469"/>
      <c r="J212" s="1888">
        <v>1430857</v>
      </c>
      <c r="K212" s="1888">
        <f>ROUND(SUM(K206:K211),)</f>
        <v>1478352</v>
      </c>
      <c r="L212" s="1888">
        <f>ROUND(SUM(L206:L211),)</f>
        <v>1539741</v>
      </c>
      <c r="M212" s="1888">
        <f>ROUND(SUM(M206:M211),)</f>
        <v>1597099</v>
      </c>
      <c r="N212" s="1888">
        <f>ROUND(SUM(N206:N211),)</f>
        <v>1656542</v>
      </c>
      <c r="O212" s="1888">
        <f>ROUND(SUM(O206:O211),)</f>
        <v>1717146</v>
      </c>
      <c r="P212" s="469"/>
    </row>
    <row r="213" spans="1:19" ht="12.75" customHeight="1" thickTop="1" x14ac:dyDescent="0.25">
      <c r="D213" s="780"/>
      <c r="E213" s="453"/>
      <c r="F213" s="453"/>
      <c r="G213" s="469"/>
      <c r="H213" s="469"/>
      <c r="J213" s="469"/>
      <c r="K213" s="469"/>
      <c r="L213" s="469"/>
      <c r="M213" s="469"/>
      <c r="N213" s="469"/>
      <c r="O213" s="469"/>
      <c r="S213" s="453">
        <f>1712618-1709081</f>
        <v>3537</v>
      </c>
    </row>
    <row r="214" spans="1:19" ht="12.75" customHeight="1" x14ac:dyDescent="0.25">
      <c r="D214" s="771">
        <v>646002</v>
      </c>
      <c r="E214" s="772" t="s">
        <v>4529</v>
      </c>
      <c r="F214" s="453"/>
      <c r="G214" s="469"/>
      <c r="H214" s="158"/>
      <c r="J214" s="166"/>
      <c r="K214" s="166"/>
      <c r="L214" s="166"/>
      <c r="M214" s="166"/>
      <c r="N214" s="166"/>
      <c r="O214" s="166"/>
    </row>
    <row r="215" spans="1:19" ht="12.75" customHeight="1" x14ac:dyDescent="0.25">
      <c r="D215" s="771"/>
      <c r="E215" s="527" t="s">
        <v>533</v>
      </c>
      <c r="F215" s="453"/>
      <c r="G215" s="469"/>
      <c r="H215" s="158"/>
      <c r="J215" s="158"/>
      <c r="K215" s="158"/>
      <c r="L215" s="158"/>
      <c r="M215" s="158"/>
      <c r="N215" s="158"/>
      <c r="O215" s="158"/>
    </row>
    <row r="216" spans="1:19" ht="12.75" customHeight="1" x14ac:dyDescent="0.25">
      <c r="D216" s="771"/>
      <c r="E216" s="781" t="s">
        <v>4084</v>
      </c>
      <c r="F216" s="453"/>
      <c r="G216" s="469"/>
      <c r="H216" s="469"/>
      <c r="J216" s="469"/>
      <c r="K216" s="469"/>
      <c r="L216" s="469"/>
      <c r="M216" s="469"/>
      <c r="N216" s="469"/>
      <c r="O216" s="469"/>
    </row>
    <row r="217" spans="1:19" ht="12.75" customHeight="1" x14ac:dyDescent="0.25">
      <c r="D217" s="774">
        <v>44380</v>
      </c>
      <c r="E217" s="782" t="s">
        <v>4529</v>
      </c>
      <c r="F217" s="453"/>
      <c r="G217" s="469"/>
      <c r="H217" s="469"/>
      <c r="J217" s="469">
        <v>23690</v>
      </c>
      <c r="K217" s="469">
        <f>ROUND(23690*S$2,-1)</f>
        <v>24310</v>
      </c>
      <c r="L217" s="469">
        <f>ROUND(K217*T$2,-1)</f>
        <v>24820</v>
      </c>
      <c r="M217" s="469">
        <f>ROUND(L217*U$2,-1)</f>
        <v>25390</v>
      </c>
      <c r="N217" s="469">
        <f>ROUND(M217*V$2,-1)</f>
        <v>25970</v>
      </c>
      <c r="O217" s="469">
        <f>ROUND(N217*W$2,-1)</f>
        <v>26570</v>
      </c>
    </row>
    <row r="218" spans="1:19" ht="12.75" customHeight="1" thickBot="1" x14ac:dyDescent="0.3">
      <c r="D218" s="771"/>
      <c r="E218" s="469" t="str">
        <f>"Totaal "&amp;D217</f>
        <v>Totaal 44380</v>
      </c>
      <c r="F218" s="453"/>
      <c r="G218" s="469"/>
      <c r="H218" s="469"/>
      <c r="J218" s="1888">
        <v>23690</v>
      </c>
      <c r="K218" s="1888">
        <f>SUM(K217:K217)</f>
        <v>24310</v>
      </c>
      <c r="L218" s="1888">
        <f>SUM(L217:L217)</f>
        <v>24820</v>
      </c>
      <c r="M218" s="1888">
        <f>SUM(M217:M217)</f>
        <v>25390</v>
      </c>
      <c r="N218" s="1888">
        <f>SUM(N217:N217)</f>
        <v>25970</v>
      </c>
      <c r="O218" s="1888">
        <f>SUM(O217:O217)</f>
        <v>26570</v>
      </c>
    </row>
    <row r="219" spans="1:19" ht="12.75" customHeight="1" thickTop="1" x14ac:dyDescent="0.25">
      <c r="D219" s="516"/>
      <c r="E219" s="453"/>
      <c r="F219" s="453"/>
      <c r="G219" s="469"/>
      <c r="H219" s="469"/>
      <c r="J219" s="469"/>
      <c r="K219" s="469"/>
      <c r="L219" s="469"/>
      <c r="M219" s="469"/>
      <c r="N219" s="469"/>
      <c r="O219" s="469"/>
    </row>
    <row r="220" spans="1:19" ht="12.75" customHeight="1" x14ac:dyDescent="0.25">
      <c r="D220" s="783">
        <v>646008</v>
      </c>
      <c r="E220" s="764" t="s">
        <v>4534</v>
      </c>
      <c r="F220" s="784"/>
      <c r="G220" s="784"/>
      <c r="H220" s="784"/>
      <c r="I220" s="784"/>
      <c r="J220" s="273"/>
      <c r="K220" s="273"/>
      <c r="L220" s="273"/>
      <c r="M220" s="273"/>
      <c r="N220" s="273"/>
      <c r="O220" s="273"/>
      <c r="R220" s="453">
        <v>1462353</v>
      </c>
    </row>
    <row r="221" spans="1:19" ht="12.75" customHeight="1" x14ac:dyDescent="0.25">
      <c r="D221" s="774"/>
      <c r="E221" s="527" t="s">
        <v>533</v>
      </c>
      <c r="F221" s="784"/>
      <c r="G221" s="784"/>
      <c r="H221" s="784"/>
      <c r="I221" s="784"/>
      <c r="J221" s="469"/>
      <c r="K221" s="469"/>
      <c r="L221" s="469"/>
      <c r="M221" s="469"/>
      <c r="N221" s="469"/>
      <c r="O221" s="469"/>
      <c r="R221" s="453">
        <v>1435906</v>
      </c>
    </row>
    <row r="222" spans="1:19" ht="12.75" customHeight="1" x14ac:dyDescent="0.25">
      <c r="D222" s="774">
        <v>44380</v>
      </c>
      <c r="E222" s="453" t="s">
        <v>4547</v>
      </c>
      <c r="F222" s="784"/>
      <c r="G222" s="784"/>
      <c r="H222" s="784"/>
      <c r="I222" s="784"/>
      <c r="J222" s="469">
        <v>29858</v>
      </c>
      <c r="K222" s="469">
        <v>31090</v>
      </c>
      <c r="L222" s="469">
        <v>31090</v>
      </c>
      <c r="M222" s="469">
        <v>31090</v>
      </c>
      <c r="N222" s="469">
        <v>31090</v>
      </c>
      <c r="O222" s="469">
        <v>31090</v>
      </c>
    </row>
    <row r="223" spans="1:19" ht="12.75" customHeight="1" thickBot="1" x14ac:dyDescent="0.3">
      <c r="D223" s="774"/>
      <c r="E223" s="469" t="str">
        <f>"Totaal "&amp;D222</f>
        <v>Totaal 44380</v>
      </c>
      <c r="F223" s="784"/>
      <c r="G223" s="784"/>
      <c r="H223" s="784"/>
      <c r="I223" s="784"/>
      <c r="J223" s="1888">
        <v>29858</v>
      </c>
      <c r="K223" s="1888">
        <f t="shared" ref="K223:L223" si="129">SUM(K222)</f>
        <v>31090</v>
      </c>
      <c r="L223" s="1888">
        <f t="shared" si="129"/>
        <v>31090</v>
      </c>
      <c r="M223" s="1888">
        <f t="shared" ref="M223:N223" si="130">SUM(M222)</f>
        <v>31090</v>
      </c>
      <c r="N223" s="1888">
        <f t="shared" si="130"/>
        <v>31090</v>
      </c>
      <c r="O223" s="1888">
        <f t="shared" ref="O223" si="131">SUM(O222)</f>
        <v>31090</v>
      </c>
      <c r="R223" s="453">
        <f>R220-R221</f>
        <v>26447</v>
      </c>
    </row>
    <row r="224" spans="1:19" ht="12.75" customHeight="1" thickTop="1" x14ac:dyDescent="0.25">
      <c r="D224" s="774"/>
      <c r="E224" s="774"/>
      <c r="F224" s="784"/>
      <c r="G224" s="784"/>
      <c r="H224" s="784"/>
      <c r="I224" s="784"/>
      <c r="J224" s="469"/>
      <c r="K224" s="469"/>
      <c r="L224" s="469"/>
      <c r="M224" s="469"/>
      <c r="N224" s="469"/>
      <c r="O224" s="469"/>
    </row>
    <row r="225" spans="4:16" ht="12.75" customHeight="1" x14ac:dyDescent="0.25">
      <c r="D225" s="783">
        <v>646009</v>
      </c>
      <c r="E225" s="764" t="s">
        <v>4535</v>
      </c>
      <c r="F225" s="784"/>
      <c r="G225" s="784"/>
      <c r="H225" s="784"/>
      <c r="I225" s="784"/>
      <c r="J225" s="273"/>
      <c r="K225" s="273"/>
      <c r="L225" s="273"/>
      <c r="M225" s="273"/>
      <c r="N225" s="273"/>
      <c r="O225" s="273"/>
    </row>
    <row r="226" spans="4:16" ht="12.75" customHeight="1" x14ac:dyDescent="0.25">
      <c r="D226" s="774"/>
      <c r="E226" s="527" t="s">
        <v>533</v>
      </c>
      <c r="F226" s="784"/>
      <c r="G226" s="784"/>
      <c r="H226" s="784"/>
      <c r="I226" s="784"/>
      <c r="J226" s="469"/>
      <c r="K226" s="469"/>
      <c r="L226" s="469"/>
      <c r="M226" s="469"/>
      <c r="N226" s="469"/>
      <c r="O226" s="469"/>
    </row>
    <row r="227" spans="4:16" ht="12.75" customHeight="1" x14ac:dyDescent="0.25">
      <c r="D227" s="774">
        <v>44380</v>
      </c>
      <c r="E227" s="453" t="s">
        <v>4548</v>
      </c>
      <c r="F227" s="784"/>
      <c r="G227" s="784"/>
      <c r="H227" s="784"/>
      <c r="J227" s="469">
        <v>23887</v>
      </c>
      <c r="K227" s="469">
        <v>31090</v>
      </c>
      <c r="L227" s="469">
        <v>31090</v>
      </c>
      <c r="M227" s="469">
        <v>31090</v>
      </c>
      <c r="N227" s="469">
        <v>31090</v>
      </c>
      <c r="O227" s="469">
        <v>31090</v>
      </c>
    </row>
    <row r="228" spans="4:16" ht="12.75" customHeight="1" thickBot="1" x14ac:dyDescent="0.3">
      <c r="D228" s="774"/>
      <c r="E228" s="469" t="str">
        <f>"Totaal "&amp;D227</f>
        <v>Totaal 44380</v>
      </c>
      <c r="F228" s="784"/>
      <c r="G228" s="784"/>
      <c r="H228" s="784"/>
      <c r="I228" s="784"/>
      <c r="J228" s="1888">
        <v>23887</v>
      </c>
      <c r="K228" s="1888">
        <f t="shared" ref="K228:M228" si="132">SUM(K227)</f>
        <v>31090</v>
      </c>
      <c r="L228" s="1888">
        <f t="shared" si="132"/>
        <v>31090</v>
      </c>
      <c r="M228" s="1888">
        <f t="shared" si="132"/>
        <v>31090</v>
      </c>
      <c r="N228" s="1888">
        <f t="shared" ref="N228:O228" si="133">SUM(N227)</f>
        <v>31090</v>
      </c>
      <c r="O228" s="1888">
        <f t="shared" si="133"/>
        <v>31090</v>
      </c>
    </row>
    <row r="229" spans="4:16" ht="12.75" customHeight="1" thickTop="1" x14ac:dyDescent="0.25">
      <c r="D229" s="774"/>
      <c r="E229" s="774"/>
      <c r="F229" s="784"/>
      <c r="G229" s="784"/>
      <c r="H229" s="784"/>
      <c r="I229" s="784"/>
      <c r="J229" s="469"/>
      <c r="K229" s="469"/>
      <c r="L229" s="469"/>
      <c r="M229" s="469"/>
      <c r="N229" s="469"/>
      <c r="O229" s="469"/>
    </row>
    <row r="230" spans="4:16" ht="12.75" customHeight="1" x14ac:dyDescent="0.25">
      <c r="D230" s="783">
        <v>646010</v>
      </c>
      <c r="E230" s="764" t="s">
        <v>4536</v>
      </c>
      <c r="F230" s="784"/>
      <c r="G230" s="784"/>
      <c r="H230" s="784"/>
      <c r="I230" s="784"/>
      <c r="J230" s="273"/>
      <c r="K230" s="273"/>
      <c r="L230" s="273"/>
      <c r="M230" s="273"/>
      <c r="N230" s="273"/>
      <c r="O230" s="273"/>
      <c r="P230" s="273"/>
    </row>
    <row r="231" spans="4:16" ht="12.75" customHeight="1" x14ac:dyDescent="0.25">
      <c r="D231" s="774"/>
      <c r="E231" s="527" t="s">
        <v>533</v>
      </c>
      <c r="F231" s="784"/>
      <c r="G231" s="784"/>
      <c r="H231" s="784"/>
      <c r="I231" s="784"/>
      <c r="J231" s="469"/>
      <c r="K231" s="469"/>
      <c r="L231" s="469"/>
      <c r="M231" s="469"/>
      <c r="N231" s="469"/>
      <c r="O231" s="469"/>
    </row>
    <row r="232" spans="4:16" ht="12.75" customHeight="1" x14ac:dyDescent="0.25">
      <c r="D232" s="774">
        <v>44380</v>
      </c>
      <c r="E232" s="453" t="s">
        <v>4549</v>
      </c>
      <c r="F232" s="784"/>
      <c r="G232" s="784"/>
      <c r="H232" s="784"/>
      <c r="I232" s="784"/>
      <c r="J232" s="469">
        <v>7465</v>
      </c>
      <c r="K232" s="469">
        <v>0</v>
      </c>
      <c r="L232" s="469">
        <v>0</v>
      </c>
      <c r="M232" s="469">
        <v>0</v>
      </c>
      <c r="N232" s="469">
        <v>0</v>
      </c>
      <c r="O232" s="469">
        <v>0</v>
      </c>
    </row>
    <row r="233" spans="4:16" ht="12.75" customHeight="1" thickBot="1" x14ac:dyDescent="0.3">
      <c r="D233" s="774"/>
      <c r="E233" s="469" t="str">
        <f>"Totaal "&amp;D232</f>
        <v>Totaal 44380</v>
      </c>
      <c r="F233" s="784"/>
      <c r="G233" s="784"/>
      <c r="H233" s="784"/>
      <c r="I233" s="784"/>
      <c r="J233" s="1888">
        <v>7465</v>
      </c>
      <c r="K233" s="1888">
        <f t="shared" ref="K233:M233" si="134">SUM(K232)</f>
        <v>0</v>
      </c>
      <c r="L233" s="1888">
        <f t="shared" si="134"/>
        <v>0</v>
      </c>
      <c r="M233" s="1888">
        <f t="shared" si="134"/>
        <v>0</v>
      </c>
      <c r="N233" s="1888">
        <f t="shared" ref="N233:O233" si="135">SUM(N232)</f>
        <v>0</v>
      </c>
      <c r="O233" s="1888">
        <f t="shared" si="135"/>
        <v>0</v>
      </c>
    </row>
    <row r="234" spans="4:16" ht="12.75" customHeight="1" thickTop="1" x14ac:dyDescent="0.25">
      <c r="D234" s="774"/>
      <c r="E234" s="774"/>
      <c r="F234" s="784"/>
      <c r="G234" s="784"/>
      <c r="H234" s="784"/>
      <c r="I234" s="784"/>
      <c r="J234" s="469"/>
      <c r="K234" s="469"/>
      <c r="L234" s="469"/>
      <c r="M234" s="469"/>
      <c r="N234" s="469"/>
      <c r="O234" s="469"/>
    </row>
    <row r="235" spans="4:16" ht="12.75" customHeight="1" x14ac:dyDescent="0.25">
      <c r="D235" s="783">
        <v>646011</v>
      </c>
      <c r="E235" s="764" t="s">
        <v>4537</v>
      </c>
      <c r="F235" s="784"/>
      <c r="G235" s="784"/>
      <c r="H235" s="784"/>
      <c r="I235" s="784"/>
      <c r="J235" s="273"/>
      <c r="K235" s="273"/>
      <c r="L235" s="273"/>
      <c r="M235" s="273"/>
      <c r="N235" s="273"/>
      <c r="O235" s="273"/>
    </row>
    <row r="236" spans="4:16" ht="12.75" customHeight="1" x14ac:dyDescent="0.25">
      <c r="D236" s="774"/>
      <c r="E236" s="527" t="s">
        <v>533</v>
      </c>
      <c r="F236" s="784"/>
      <c r="G236" s="784"/>
      <c r="H236" s="784"/>
      <c r="I236" s="784"/>
      <c r="J236" s="469"/>
      <c r="K236" s="469"/>
      <c r="L236" s="469"/>
      <c r="M236" s="469"/>
      <c r="N236" s="469"/>
      <c r="O236" s="469"/>
    </row>
    <row r="237" spans="4:16" ht="12.75" customHeight="1" x14ac:dyDescent="0.25">
      <c r="D237" s="774">
        <v>44380</v>
      </c>
      <c r="E237" s="453" t="s">
        <v>4550</v>
      </c>
      <c r="F237" s="784"/>
      <c r="G237" s="784"/>
      <c r="H237" s="784"/>
      <c r="I237" s="784"/>
      <c r="J237" s="469">
        <v>26126</v>
      </c>
      <c r="K237" s="469">
        <v>0</v>
      </c>
      <c r="L237" s="469">
        <v>0</v>
      </c>
      <c r="M237" s="469">
        <v>0</v>
      </c>
      <c r="N237" s="469">
        <v>0</v>
      </c>
      <c r="O237" s="469">
        <v>0</v>
      </c>
    </row>
    <row r="238" spans="4:16" ht="12.75" customHeight="1" thickBot="1" x14ac:dyDescent="0.3">
      <c r="D238" s="774"/>
      <c r="E238" s="469" t="str">
        <f>"Totaal "&amp;D237</f>
        <v>Totaal 44380</v>
      </c>
      <c r="F238" s="784"/>
      <c r="G238" s="784"/>
      <c r="H238" s="784"/>
      <c r="I238" s="784"/>
      <c r="J238" s="1888">
        <v>26126</v>
      </c>
      <c r="K238" s="1888">
        <f t="shared" ref="K238:M238" si="136">SUM(K237)</f>
        <v>0</v>
      </c>
      <c r="L238" s="1888">
        <f t="shared" si="136"/>
        <v>0</v>
      </c>
      <c r="M238" s="1888">
        <f t="shared" si="136"/>
        <v>0</v>
      </c>
      <c r="N238" s="1888">
        <f t="shared" ref="N238:O238" si="137">SUM(N237)</f>
        <v>0</v>
      </c>
      <c r="O238" s="1888">
        <f t="shared" si="137"/>
        <v>0</v>
      </c>
    </row>
    <row r="239" spans="4:16" ht="12.75" customHeight="1" thickTop="1" x14ac:dyDescent="0.25">
      <c r="D239" s="774"/>
      <c r="E239" s="774"/>
      <c r="F239" s="784"/>
      <c r="G239" s="784"/>
      <c r="H239" s="784"/>
      <c r="I239" s="784"/>
      <c r="J239" s="469"/>
      <c r="K239" s="469"/>
      <c r="L239" s="469"/>
      <c r="M239" s="469"/>
      <c r="N239" s="469"/>
      <c r="O239" s="469"/>
    </row>
    <row r="240" spans="4:16" ht="12.75" customHeight="1" x14ac:dyDescent="0.25">
      <c r="D240" s="783">
        <v>646012</v>
      </c>
      <c r="E240" s="764" t="s">
        <v>4538</v>
      </c>
      <c r="F240" s="784"/>
      <c r="G240" s="784"/>
      <c r="H240" s="784"/>
      <c r="I240" s="784"/>
      <c r="J240" s="273"/>
      <c r="K240" s="273"/>
      <c r="L240" s="273"/>
      <c r="M240" s="273"/>
      <c r="N240" s="273"/>
      <c r="O240" s="273"/>
    </row>
    <row r="241" spans="4:15" ht="12.75" customHeight="1" x14ac:dyDescent="0.25">
      <c r="D241" s="774"/>
      <c r="E241" s="527" t="s">
        <v>533</v>
      </c>
      <c r="F241" s="784"/>
      <c r="G241" s="784"/>
      <c r="H241" s="784"/>
      <c r="I241" s="784"/>
      <c r="J241" s="469"/>
      <c r="K241" s="469"/>
      <c r="L241" s="469"/>
      <c r="M241" s="469"/>
      <c r="N241" s="469"/>
      <c r="O241" s="469"/>
    </row>
    <row r="242" spans="4:15" ht="12.75" customHeight="1" x14ac:dyDescent="0.25">
      <c r="D242" s="774">
        <v>44380</v>
      </c>
      <c r="E242" s="453" t="s">
        <v>4551</v>
      </c>
      <c r="F242" s="784"/>
      <c r="G242" s="784"/>
      <c r="H242" s="784"/>
      <c r="I242" s="784"/>
      <c r="J242" s="469">
        <v>14929</v>
      </c>
      <c r="K242" s="469">
        <v>0</v>
      </c>
      <c r="L242" s="469">
        <v>0</v>
      </c>
      <c r="M242" s="469">
        <v>0</v>
      </c>
      <c r="N242" s="469">
        <v>0</v>
      </c>
      <c r="O242" s="469">
        <v>0</v>
      </c>
    </row>
    <row r="243" spans="4:15" ht="12.75" customHeight="1" thickBot="1" x14ac:dyDescent="0.3">
      <c r="D243" s="774"/>
      <c r="E243" s="469" t="str">
        <f>"Totaal "&amp;D242</f>
        <v>Totaal 44380</v>
      </c>
      <c r="F243" s="784"/>
      <c r="G243" s="784"/>
      <c r="H243" s="784"/>
      <c r="I243" s="784"/>
      <c r="J243" s="1888">
        <v>14929</v>
      </c>
      <c r="K243" s="1888">
        <f t="shared" ref="K243:M243" si="138">SUM(K242)</f>
        <v>0</v>
      </c>
      <c r="L243" s="1888">
        <f t="shared" si="138"/>
        <v>0</v>
      </c>
      <c r="M243" s="1888">
        <f t="shared" si="138"/>
        <v>0</v>
      </c>
      <c r="N243" s="1888">
        <f t="shared" ref="N243:O243" si="139">SUM(N242)</f>
        <v>0</v>
      </c>
      <c r="O243" s="1888">
        <f t="shared" si="139"/>
        <v>0</v>
      </c>
    </row>
    <row r="244" spans="4:15" ht="12.75" customHeight="1" thickTop="1" x14ac:dyDescent="0.25">
      <c r="D244" s="774"/>
      <c r="E244" s="774"/>
      <c r="F244" s="784"/>
      <c r="G244" s="784"/>
      <c r="H244" s="784"/>
      <c r="I244" s="784"/>
      <c r="J244" s="469"/>
      <c r="K244" s="469"/>
      <c r="L244" s="469"/>
      <c r="M244" s="469"/>
      <c r="N244" s="469"/>
      <c r="O244" s="469"/>
    </row>
    <row r="245" spans="4:15" ht="12.75" customHeight="1" x14ac:dyDescent="0.25">
      <c r="D245" s="783">
        <v>646013</v>
      </c>
      <c r="E245" s="764" t="s">
        <v>4539</v>
      </c>
      <c r="F245" s="784"/>
      <c r="G245" s="784"/>
      <c r="H245" s="784"/>
      <c r="I245" s="784"/>
      <c r="J245" s="273"/>
      <c r="K245" s="273"/>
      <c r="L245" s="273"/>
      <c r="M245" s="273"/>
      <c r="N245" s="273"/>
      <c r="O245" s="273"/>
    </row>
    <row r="246" spans="4:15" ht="12.75" customHeight="1" x14ac:dyDescent="0.25">
      <c r="D246" s="774"/>
      <c r="E246" s="527" t="s">
        <v>533</v>
      </c>
      <c r="F246" s="784"/>
      <c r="G246" s="784"/>
      <c r="H246" s="784"/>
      <c r="I246" s="784"/>
      <c r="J246" s="469"/>
      <c r="K246" s="469"/>
      <c r="L246" s="469"/>
      <c r="M246" s="469"/>
      <c r="N246" s="469"/>
      <c r="O246" s="469"/>
    </row>
    <row r="247" spans="4:15" ht="12.75" customHeight="1" x14ac:dyDescent="0.25">
      <c r="D247" s="774">
        <v>44380</v>
      </c>
      <c r="E247" s="2579" t="s">
        <v>4552</v>
      </c>
      <c r="F247" s="2579"/>
      <c r="G247" s="2579"/>
      <c r="H247" s="2579"/>
      <c r="I247" s="2579"/>
      <c r="J247" s="786">
        <v>3732</v>
      </c>
      <c r="K247" s="786">
        <v>0</v>
      </c>
      <c r="L247" s="786">
        <v>0</v>
      </c>
      <c r="M247" s="786">
        <v>0</v>
      </c>
      <c r="N247" s="786">
        <v>0</v>
      </c>
      <c r="O247" s="786">
        <v>0</v>
      </c>
    </row>
    <row r="248" spans="4:15" ht="12.75" customHeight="1" thickBot="1" x14ac:dyDescent="0.3">
      <c r="D248" s="774"/>
      <c r="E248" s="469" t="str">
        <f>"Totaal "&amp;D247</f>
        <v>Totaal 44380</v>
      </c>
      <c r="F248" s="784"/>
      <c r="G248" s="784"/>
      <c r="H248" s="784"/>
      <c r="I248" s="784"/>
      <c r="J248" s="1888">
        <v>3732</v>
      </c>
      <c r="K248" s="1888">
        <f t="shared" ref="K248:M248" si="140">SUM(K247)</f>
        <v>0</v>
      </c>
      <c r="L248" s="1888">
        <f t="shared" si="140"/>
        <v>0</v>
      </c>
      <c r="M248" s="1888">
        <f t="shared" si="140"/>
        <v>0</v>
      </c>
      <c r="N248" s="1888">
        <f t="shared" ref="N248:O248" si="141">SUM(N247)</f>
        <v>0</v>
      </c>
      <c r="O248" s="1888">
        <f t="shared" si="141"/>
        <v>0</v>
      </c>
    </row>
    <row r="249" spans="4:15" ht="12.75" customHeight="1" thickTop="1" x14ac:dyDescent="0.25">
      <c r="D249" s="774"/>
      <c r="E249" s="774"/>
      <c r="F249" s="784"/>
      <c r="G249" s="784"/>
      <c r="H249" s="784"/>
      <c r="I249" s="784"/>
      <c r="J249" s="469"/>
      <c r="K249" s="469"/>
      <c r="L249" s="469"/>
      <c r="M249" s="469"/>
      <c r="N249" s="469"/>
      <c r="O249" s="469"/>
    </row>
    <row r="250" spans="4:15" ht="12.75" customHeight="1" x14ac:dyDescent="0.25">
      <c r="D250" s="783">
        <v>646014</v>
      </c>
      <c r="E250" s="764" t="s">
        <v>4540</v>
      </c>
      <c r="F250" s="784"/>
      <c r="G250" s="784"/>
      <c r="H250" s="784"/>
      <c r="I250" s="784"/>
      <c r="J250" s="273"/>
      <c r="K250" s="273"/>
      <c r="L250" s="273"/>
      <c r="M250" s="273"/>
      <c r="N250" s="273"/>
      <c r="O250" s="273"/>
    </row>
    <row r="251" spans="4:15" ht="12.75" customHeight="1" x14ac:dyDescent="0.25">
      <c r="D251" s="774"/>
      <c r="E251" s="527" t="s">
        <v>533</v>
      </c>
      <c r="F251" s="784"/>
      <c r="G251" s="784"/>
      <c r="H251" s="784"/>
      <c r="I251" s="784"/>
      <c r="J251" s="273"/>
      <c r="K251" s="273"/>
      <c r="L251" s="273"/>
      <c r="M251" s="273"/>
      <c r="N251" s="273"/>
      <c r="O251" s="273"/>
    </row>
    <row r="252" spans="4:15" ht="12.75" customHeight="1" x14ac:dyDescent="0.25">
      <c r="D252" s="774">
        <v>44380</v>
      </c>
      <c r="E252" s="453" t="s">
        <v>4553</v>
      </c>
      <c r="F252" s="784"/>
      <c r="G252" s="784"/>
      <c r="H252" s="784"/>
      <c r="I252" s="784"/>
      <c r="J252" s="469">
        <v>3732</v>
      </c>
      <c r="K252" s="469">
        <v>0</v>
      </c>
      <c r="L252" s="469">
        <v>0</v>
      </c>
      <c r="M252" s="469">
        <v>0</v>
      </c>
      <c r="N252" s="469">
        <v>0</v>
      </c>
      <c r="O252" s="469">
        <v>0</v>
      </c>
    </row>
    <row r="253" spans="4:15" ht="12.75" customHeight="1" thickBot="1" x14ac:dyDescent="0.3">
      <c r="D253" s="774"/>
      <c r="E253" s="469" t="str">
        <f>"Totaal "&amp;D252</f>
        <v>Totaal 44380</v>
      </c>
      <c r="F253" s="784"/>
      <c r="G253" s="784"/>
      <c r="H253" s="784"/>
      <c r="I253" s="784"/>
      <c r="J253" s="1888">
        <v>3732</v>
      </c>
      <c r="K253" s="1888">
        <f t="shared" ref="K253:M253" si="142">SUM(K252)</f>
        <v>0</v>
      </c>
      <c r="L253" s="1888">
        <f t="shared" si="142"/>
        <v>0</v>
      </c>
      <c r="M253" s="1888">
        <f t="shared" si="142"/>
        <v>0</v>
      </c>
      <c r="N253" s="1888">
        <f t="shared" ref="N253:O253" si="143">SUM(N252)</f>
        <v>0</v>
      </c>
      <c r="O253" s="1888">
        <f t="shared" si="143"/>
        <v>0</v>
      </c>
    </row>
    <row r="254" spans="4:15" ht="12.75" customHeight="1" thickTop="1" x14ac:dyDescent="0.25">
      <c r="D254" s="774"/>
      <c r="E254" s="774"/>
      <c r="F254" s="784"/>
      <c r="G254" s="784"/>
      <c r="H254" s="784"/>
      <c r="I254" s="784"/>
      <c r="J254" s="469"/>
      <c r="K254" s="469"/>
      <c r="L254" s="469"/>
      <c r="M254" s="469"/>
      <c r="N254" s="469"/>
      <c r="O254" s="469"/>
    </row>
    <row r="255" spans="4:15" ht="12.75" customHeight="1" x14ac:dyDescent="0.25">
      <c r="D255" s="783">
        <v>646015</v>
      </c>
      <c r="E255" s="764" t="s">
        <v>4541</v>
      </c>
      <c r="F255" s="784"/>
      <c r="G255" s="784"/>
      <c r="H255" s="784"/>
      <c r="I255" s="784"/>
      <c r="J255" s="273"/>
      <c r="K255" s="273"/>
      <c r="L255" s="273"/>
      <c r="M255" s="273"/>
      <c r="N255" s="273"/>
      <c r="O255" s="273"/>
    </row>
    <row r="256" spans="4:15" ht="12.75" customHeight="1" x14ac:dyDescent="0.25">
      <c r="D256" s="774"/>
      <c r="E256" s="527" t="s">
        <v>533</v>
      </c>
      <c r="F256" s="784"/>
      <c r="G256" s="784"/>
      <c r="H256" s="784"/>
      <c r="I256" s="784"/>
      <c r="J256" s="469"/>
      <c r="K256" s="469"/>
      <c r="L256" s="469"/>
      <c r="M256" s="469"/>
      <c r="N256" s="469"/>
      <c r="O256" s="469"/>
    </row>
    <row r="257" spans="4:16" ht="12.75" customHeight="1" x14ac:dyDescent="0.25">
      <c r="D257" s="774">
        <v>44380</v>
      </c>
      <c r="E257" s="453" t="s">
        <v>4554</v>
      </c>
      <c r="F257" s="784"/>
      <c r="G257" s="784"/>
      <c r="H257" s="784"/>
      <c r="I257" s="784"/>
      <c r="J257" s="469">
        <v>10898</v>
      </c>
      <c r="K257" s="469">
        <v>0</v>
      </c>
      <c r="L257" s="469">
        <v>0</v>
      </c>
      <c r="M257" s="469">
        <v>0</v>
      </c>
      <c r="N257" s="469">
        <v>0</v>
      </c>
      <c r="O257" s="469">
        <v>0</v>
      </c>
    </row>
    <row r="258" spans="4:16" ht="12.75" customHeight="1" thickBot="1" x14ac:dyDescent="0.3">
      <c r="D258" s="774"/>
      <c r="E258" s="469" t="str">
        <f>"Totaal "&amp;D257</f>
        <v>Totaal 44380</v>
      </c>
      <c r="F258" s="784"/>
      <c r="G258" s="784"/>
      <c r="H258" s="784"/>
      <c r="I258" s="784"/>
      <c r="J258" s="1888">
        <v>10898</v>
      </c>
      <c r="K258" s="1888">
        <f t="shared" ref="K258:M258" si="144">SUM(K257)</f>
        <v>0</v>
      </c>
      <c r="L258" s="1888">
        <f t="shared" si="144"/>
        <v>0</v>
      </c>
      <c r="M258" s="1888">
        <f t="shared" si="144"/>
        <v>0</v>
      </c>
      <c r="N258" s="1888">
        <f t="shared" ref="N258:O258" si="145">SUM(N257)</f>
        <v>0</v>
      </c>
      <c r="O258" s="1888">
        <f t="shared" si="145"/>
        <v>0</v>
      </c>
    </row>
    <row r="259" spans="4:16" ht="12.75" customHeight="1" thickTop="1" x14ac:dyDescent="0.25">
      <c r="D259" s="774"/>
      <c r="E259" s="774"/>
      <c r="F259" s="784"/>
      <c r="G259" s="784"/>
      <c r="H259" s="784"/>
      <c r="I259" s="784"/>
      <c r="J259" s="469"/>
      <c r="K259" s="469"/>
      <c r="L259" s="469"/>
      <c r="M259" s="469"/>
      <c r="N259" s="469"/>
      <c r="O259" s="469"/>
    </row>
    <row r="260" spans="4:16" ht="12.75" customHeight="1" x14ac:dyDescent="0.25">
      <c r="D260" s="771">
        <v>646901</v>
      </c>
      <c r="E260" s="747" t="s">
        <v>4532</v>
      </c>
      <c r="F260" s="453"/>
      <c r="H260" s="784"/>
      <c r="I260" s="158"/>
      <c r="J260" s="158"/>
      <c r="K260" s="158"/>
      <c r="L260" s="158"/>
      <c r="M260" s="158"/>
      <c r="N260" s="158"/>
      <c r="O260" s="158"/>
      <c r="P260" s="158"/>
    </row>
    <row r="261" spans="4:16" ht="12.75" customHeight="1" x14ac:dyDescent="0.25">
      <c r="D261" s="769"/>
      <c r="E261" s="527" t="s">
        <v>533</v>
      </c>
      <c r="F261" s="453"/>
      <c r="H261" s="784"/>
      <c r="I261" s="469"/>
      <c r="J261" s="469"/>
      <c r="K261" s="469"/>
      <c r="L261" s="469"/>
      <c r="M261" s="469"/>
      <c r="N261" s="469"/>
      <c r="O261" s="469"/>
    </row>
    <row r="262" spans="4:16" ht="12.75" customHeight="1" x14ac:dyDescent="0.25">
      <c r="D262" s="516">
        <v>41100</v>
      </c>
      <c r="E262" s="453" t="s">
        <v>541</v>
      </c>
      <c r="F262" s="453"/>
      <c r="H262" s="784"/>
    </row>
    <row r="263" spans="4:16" ht="12.75" customHeight="1" x14ac:dyDescent="0.25">
      <c r="D263" s="769"/>
      <c r="E263" s="787" t="s">
        <v>706</v>
      </c>
      <c r="F263" s="453"/>
      <c r="H263" s="784"/>
      <c r="I263" s="469"/>
      <c r="J263" s="469">
        <v>0</v>
      </c>
      <c r="K263" s="469">
        <f>ROUND(J263*S$3,-1)</f>
        <v>0</v>
      </c>
      <c r="L263" s="469">
        <f>ROUND(K263*T$3,-1)</f>
        <v>0</v>
      </c>
      <c r="M263" s="469">
        <f>ROUND(L263*U$3,-1)</f>
        <v>0</v>
      </c>
      <c r="N263" s="469">
        <f>ROUND(M263*V$3,-1)</f>
        <v>0</v>
      </c>
      <c r="O263" s="469">
        <f>ROUND(N263*W$3,-1)</f>
        <v>0</v>
      </c>
    </row>
    <row r="264" spans="4:16" ht="12.75" customHeight="1" x14ac:dyDescent="0.25">
      <c r="D264" s="769"/>
      <c r="E264" s="787" t="s">
        <v>3261</v>
      </c>
      <c r="F264" s="453"/>
      <c r="H264" s="784"/>
      <c r="I264" s="469"/>
      <c r="J264" s="469">
        <v>36873.93</v>
      </c>
      <c r="K264" s="469">
        <v>37580.25</v>
      </c>
      <c r="L264" s="469">
        <f>ROUND(K264*T$3,-1)</f>
        <v>39160</v>
      </c>
      <c r="M264" s="469">
        <f>ROUND(L264*U$3,-1)</f>
        <v>40610</v>
      </c>
      <c r="N264" s="469">
        <f>ROUND(M264*V$3,-1)</f>
        <v>42110</v>
      </c>
      <c r="O264" s="469">
        <f>ROUND(N264*W$3,-1)</f>
        <v>43670</v>
      </c>
    </row>
    <row r="265" spans="4:16" ht="12.75" customHeight="1" thickBot="1" x14ac:dyDescent="0.3">
      <c r="D265" s="774"/>
      <c r="E265" s="453" t="str">
        <f>"Totaal "&amp;D262</f>
        <v>Totaal 41100</v>
      </c>
      <c r="F265" s="453"/>
      <c r="H265" s="784"/>
      <c r="I265" s="469"/>
      <c r="J265" s="1888">
        <v>36873.93</v>
      </c>
      <c r="K265" s="1888">
        <f t="shared" ref="K265:M265" si="146">+K263+K264</f>
        <v>37580.25</v>
      </c>
      <c r="L265" s="1888">
        <f t="shared" si="146"/>
        <v>39160</v>
      </c>
      <c r="M265" s="1888">
        <f t="shared" si="146"/>
        <v>40610</v>
      </c>
      <c r="N265" s="1888">
        <f t="shared" ref="N265:O265" si="147">+N263+N264</f>
        <v>42110</v>
      </c>
      <c r="O265" s="1888">
        <f t="shared" si="147"/>
        <v>43670</v>
      </c>
    </row>
    <row r="266" spans="4:16" ht="12.75" customHeight="1" thickTop="1" x14ac:dyDescent="0.25">
      <c r="D266" s="774"/>
      <c r="E266" s="469"/>
      <c r="F266" s="453"/>
      <c r="H266" s="784"/>
      <c r="I266" s="469"/>
      <c r="J266" s="469"/>
      <c r="K266" s="469"/>
      <c r="L266" s="469"/>
      <c r="M266" s="469"/>
      <c r="N266" s="469"/>
      <c r="O266" s="469"/>
    </row>
    <row r="267" spans="4:16" ht="12.75" customHeight="1" x14ac:dyDescent="0.25">
      <c r="D267" s="771">
        <v>646004</v>
      </c>
      <c r="E267" s="772" t="s">
        <v>4533</v>
      </c>
      <c r="F267" s="453"/>
      <c r="G267" s="788"/>
      <c r="H267" s="784"/>
      <c r="I267" s="158"/>
      <c r="J267" s="773">
        <v>2025</v>
      </c>
      <c r="K267" s="773">
        <v>2026</v>
      </c>
      <c r="L267" s="773">
        <v>2027</v>
      </c>
      <c r="M267" s="773">
        <v>2028</v>
      </c>
      <c r="N267" s="773">
        <v>2029</v>
      </c>
      <c r="O267" s="773">
        <v>2030</v>
      </c>
    </row>
    <row r="268" spans="4:16" ht="12.75" customHeight="1" x14ac:dyDescent="0.25">
      <c r="D268" s="771"/>
      <c r="E268" s="527" t="s">
        <v>533</v>
      </c>
      <c r="F268" s="453"/>
      <c r="G268" s="788"/>
      <c r="H268" s="784"/>
    </row>
    <row r="269" spans="4:16" ht="12.75" customHeight="1" x14ac:dyDescent="0.25">
      <c r="D269" s="516">
        <v>43812</v>
      </c>
      <c r="E269" s="453" t="s">
        <v>4486</v>
      </c>
      <c r="F269" s="453"/>
      <c r="G269" s="788"/>
      <c r="H269" s="784"/>
      <c r="I269" s="469"/>
      <c r="J269" s="469">
        <v>9426</v>
      </c>
      <c r="K269" s="469">
        <f>ROUND(J269*S$2,0)</f>
        <v>9671</v>
      </c>
      <c r="L269" s="469">
        <f>ROUND(K269*T$2,0)</f>
        <v>9874</v>
      </c>
      <c r="M269" s="469">
        <f>ROUND(L269*U$2,0)</f>
        <v>10101</v>
      </c>
      <c r="N269" s="469">
        <f>ROUND(M269*V$2,0)</f>
        <v>10333</v>
      </c>
      <c r="O269" s="469">
        <f>ROUND(N269*W$2,0)</f>
        <v>10571</v>
      </c>
    </row>
    <row r="270" spans="4:16" ht="12.75" customHeight="1" x14ac:dyDescent="0.25">
      <c r="D270" s="516"/>
      <c r="E270" s="453" t="s">
        <v>4555</v>
      </c>
      <c r="F270" s="453"/>
      <c r="G270" s="788"/>
      <c r="H270" s="784"/>
      <c r="I270" s="469"/>
      <c r="J270" s="469">
        <v>-9426</v>
      </c>
      <c r="K270" s="469">
        <f>-K269</f>
        <v>-9671</v>
      </c>
      <c r="L270" s="469">
        <f>-L269</f>
        <v>-9874</v>
      </c>
      <c r="M270" s="469">
        <f>-M269</f>
        <v>-10101</v>
      </c>
      <c r="N270" s="469">
        <f>-N269</f>
        <v>-10333</v>
      </c>
      <c r="O270" s="469">
        <f>-O269</f>
        <v>-10571</v>
      </c>
    </row>
    <row r="271" spans="4:16" ht="12.75" customHeight="1" thickBot="1" x14ac:dyDescent="0.3">
      <c r="D271" s="771"/>
      <c r="E271" s="453" t="str">
        <f>"Totaal "&amp;D269</f>
        <v>Totaal 43812</v>
      </c>
      <c r="F271" s="453"/>
      <c r="G271" s="788"/>
      <c r="H271" s="784"/>
      <c r="I271" s="469"/>
      <c r="J271" s="1888">
        <v>0</v>
      </c>
      <c r="K271" s="1888">
        <f t="shared" ref="K271:M271" si="148">SUM(K269:K270)</f>
        <v>0</v>
      </c>
      <c r="L271" s="1888">
        <f t="shared" si="148"/>
        <v>0</v>
      </c>
      <c r="M271" s="1888">
        <f t="shared" si="148"/>
        <v>0</v>
      </c>
      <c r="N271" s="1888">
        <f t="shared" ref="N271:O271" si="149">SUM(N269:N270)</f>
        <v>0</v>
      </c>
      <c r="O271" s="1888">
        <f t="shared" si="149"/>
        <v>0</v>
      </c>
    </row>
    <row r="272" spans="4:16" ht="12.75" customHeight="1" thickTop="1" x14ac:dyDescent="0.25">
      <c r="D272" s="771"/>
      <c r="E272" s="453"/>
      <c r="F272" s="453"/>
      <c r="G272" s="788"/>
      <c r="H272" s="784"/>
      <c r="I272" s="469"/>
      <c r="J272" s="469"/>
      <c r="K272" s="469"/>
      <c r="L272" s="469"/>
      <c r="M272" s="469"/>
      <c r="N272" s="469"/>
      <c r="O272" s="469"/>
    </row>
    <row r="273" spans="4:15" ht="12.75" customHeight="1" x14ac:dyDescent="0.25">
      <c r="D273" s="783">
        <v>646008</v>
      </c>
      <c r="E273" s="764" t="s">
        <v>4534</v>
      </c>
      <c r="F273" s="784"/>
      <c r="G273" s="784"/>
      <c r="H273" s="784"/>
      <c r="I273" s="784"/>
      <c r="J273" s="273"/>
      <c r="K273" s="273"/>
      <c r="L273" s="273"/>
      <c r="M273" s="273"/>
      <c r="N273" s="273"/>
      <c r="O273" s="273"/>
    </row>
    <row r="274" spans="4:15" ht="12.75" customHeight="1" x14ac:dyDescent="0.25">
      <c r="D274" s="774"/>
      <c r="E274" s="527" t="s">
        <v>554</v>
      </c>
      <c r="F274" s="784"/>
      <c r="G274" s="784"/>
      <c r="H274" s="784"/>
      <c r="I274" s="784"/>
      <c r="J274" s="469"/>
      <c r="K274" s="469"/>
      <c r="L274" s="469"/>
      <c r="M274" s="469"/>
      <c r="N274" s="469"/>
      <c r="O274" s="469"/>
    </row>
    <row r="275" spans="4:15" ht="12.75" customHeight="1" x14ac:dyDescent="0.25">
      <c r="D275" s="774">
        <v>84310</v>
      </c>
      <c r="E275" s="453" t="s">
        <v>4547</v>
      </c>
      <c r="F275" s="784"/>
      <c r="G275" s="784"/>
      <c r="H275" s="784"/>
      <c r="I275" s="784"/>
      <c r="J275" s="469">
        <v>-29858</v>
      </c>
      <c r="K275" s="469">
        <f>-K222</f>
        <v>-31090</v>
      </c>
      <c r="L275" s="469">
        <f t="shared" ref="L275:N275" si="150">-L222</f>
        <v>-31090</v>
      </c>
      <c r="M275" s="469">
        <f t="shared" si="150"/>
        <v>-31090</v>
      </c>
      <c r="N275" s="469">
        <f t="shared" si="150"/>
        <v>-31090</v>
      </c>
      <c r="O275" s="469">
        <f t="shared" ref="O275" si="151">-O222</f>
        <v>-31090</v>
      </c>
    </row>
    <row r="276" spans="4:15" ht="12.75" customHeight="1" thickBot="1" x14ac:dyDescent="0.3">
      <c r="D276" s="774"/>
      <c r="E276" s="469" t="str">
        <f>"Totaal "&amp;D275</f>
        <v>Totaal 84310</v>
      </c>
      <c r="F276" s="784"/>
      <c r="G276" s="784"/>
      <c r="H276" s="784"/>
      <c r="I276" s="784"/>
      <c r="J276" s="1888">
        <v>-29858</v>
      </c>
      <c r="K276" s="1888">
        <f t="shared" ref="K276:M276" si="152">SUM(K275)</f>
        <v>-31090</v>
      </c>
      <c r="L276" s="1888">
        <f t="shared" si="152"/>
        <v>-31090</v>
      </c>
      <c r="M276" s="1888">
        <f t="shared" si="152"/>
        <v>-31090</v>
      </c>
      <c r="N276" s="1888">
        <f t="shared" ref="N276:O276" si="153">SUM(N275)</f>
        <v>-31090</v>
      </c>
      <c r="O276" s="1888">
        <f t="shared" si="153"/>
        <v>-31090</v>
      </c>
    </row>
    <row r="277" spans="4:15" ht="12.75" customHeight="1" thickTop="1" x14ac:dyDescent="0.25">
      <c r="D277" s="774"/>
      <c r="E277" s="469"/>
      <c r="F277" s="784"/>
      <c r="G277" s="784"/>
      <c r="H277" s="784"/>
      <c r="I277" s="784"/>
      <c r="J277" s="469"/>
      <c r="K277" s="469"/>
      <c r="L277" s="469"/>
      <c r="M277" s="469"/>
      <c r="N277" s="469"/>
      <c r="O277" s="469"/>
    </row>
    <row r="278" spans="4:15" ht="12.75" customHeight="1" x14ac:dyDescent="0.25">
      <c r="D278" s="783">
        <v>646009</v>
      </c>
      <c r="E278" s="764" t="s">
        <v>4535</v>
      </c>
      <c r="F278" s="784"/>
      <c r="G278" s="784"/>
      <c r="H278" s="784"/>
      <c r="I278" s="784"/>
      <c r="J278" s="273"/>
      <c r="K278" s="273"/>
      <c r="L278" s="273"/>
      <c r="M278" s="273"/>
      <c r="N278" s="273"/>
      <c r="O278" s="273"/>
    </row>
    <row r="279" spans="4:15" ht="12.75" customHeight="1" x14ac:dyDescent="0.25">
      <c r="D279" s="774"/>
      <c r="E279" s="527" t="s">
        <v>554</v>
      </c>
      <c r="F279" s="784"/>
      <c r="G279" s="784"/>
      <c r="H279" s="784"/>
      <c r="I279" s="784"/>
      <c r="J279" s="469"/>
      <c r="K279" s="469"/>
      <c r="L279" s="469"/>
      <c r="M279" s="469"/>
      <c r="N279" s="469"/>
      <c r="O279" s="469"/>
    </row>
    <row r="280" spans="4:15" ht="12.75" customHeight="1" x14ac:dyDescent="0.25">
      <c r="D280" s="774">
        <v>84310</v>
      </c>
      <c r="E280" s="453" t="s">
        <v>4548</v>
      </c>
      <c r="F280" s="784"/>
      <c r="G280" s="784"/>
      <c r="H280" s="784"/>
      <c r="I280" s="784"/>
      <c r="J280" s="469">
        <v>-23887</v>
      </c>
      <c r="K280" s="469">
        <f>-K227</f>
        <v>-31090</v>
      </c>
      <c r="L280" s="469">
        <f t="shared" ref="L280:N280" si="154">-L227</f>
        <v>-31090</v>
      </c>
      <c r="M280" s="469">
        <f t="shared" si="154"/>
        <v>-31090</v>
      </c>
      <c r="N280" s="469">
        <f t="shared" si="154"/>
        <v>-31090</v>
      </c>
      <c r="O280" s="469">
        <f t="shared" ref="O280" si="155">-O227</f>
        <v>-31090</v>
      </c>
    </row>
    <row r="281" spans="4:15" ht="12.75" customHeight="1" thickBot="1" x14ac:dyDescent="0.3">
      <c r="D281" s="774"/>
      <c r="E281" s="469" t="str">
        <f>"Totaal "&amp;D280</f>
        <v>Totaal 84310</v>
      </c>
      <c r="F281" s="784"/>
      <c r="G281" s="784"/>
      <c r="H281" s="784"/>
      <c r="I281" s="784"/>
      <c r="J281" s="1888">
        <v>-23887</v>
      </c>
      <c r="K281" s="1888">
        <f t="shared" ref="K281:M281" si="156">SUM(K280)</f>
        <v>-31090</v>
      </c>
      <c r="L281" s="1888">
        <f t="shared" si="156"/>
        <v>-31090</v>
      </c>
      <c r="M281" s="1888">
        <f t="shared" si="156"/>
        <v>-31090</v>
      </c>
      <c r="N281" s="1888">
        <f t="shared" ref="N281:O281" si="157">SUM(N280)</f>
        <v>-31090</v>
      </c>
      <c r="O281" s="1888">
        <f t="shared" si="157"/>
        <v>-31090</v>
      </c>
    </row>
    <row r="282" spans="4:15" ht="12.75" customHeight="1" thickTop="1" x14ac:dyDescent="0.25">
      <c r="D282" s="774"/>
      <c r="E282" s="774"/>
      <c r="F282" s="784"/>
      <c r="G282" s="784"/>
      <c r="H282" s="784"/>
      <c r="I282" s="784"/>
      <c r="J282" s="469"/>
      <c r="K282" s="469"/>
      <c r="L282" s="469"/>
      <c r="M282" s="469"/>
      <c r="N282" s="469"/>
      <c r="O282" s="469"/>
    </row>
    <row r="283" spans="4:15" ht="12.75" customHeight="1" x14ac:dyDescent="0.25">
      <c r="D283" s="783">
        <v>646010</v>
      </c>
      <c r="E283" s="764" t="s">
        <v>4536</v>
      </c>
      <c r="F283" s="784"/>
      <c r="G283" s="784"/>
      <c r="H283" s="784"/>
      <c r="I283" s="784"/>
      <c r="J283" s="273"/>
      <c r="K283" s="273"/>
      <c r="L283" s="273"/>
      <c r="M283" s="273"/>
      <c r="N283" s="273"/>
      <c r="O283" s="273"/>
    </row>
    <row r="284" spans="4:15" ht="12.75" customHeight="1" x14ac:dyDescent="0.25">
      <c r="D284" s="774"/>
      <c r="E284" s="527" t="s">
        <v>554</v>
      </c>
      <c r="F284" s="784"/>
      <c r="G284" s="784"/>
      <c r="H284" s="784"/>
      <c r="I284" s="784"/>
      <c r="J284" s="469"/>
      <c r="K284" s="469"/>
      <c r="L284" s="469"/>
      <c r="M284" s="469"/>
      <c r="N284" s="469"/>
      <c r="O284" s="469"/>
    </row>
    <row r="285" spans="4:15" ht="12.75" customHeight="1" x14ac:dyDescent="0.25">
      <c r="D285" s="774">
        <v>84310</v>
      </c>
      <c r="E285" s="453" t="s">
        <v>4549</v>
      </c>
      <c r="F285" s="784"/>
      <c r="G285" s="784"/>
      <c r="H285" s="784"/>
      <c r="I285" s="784"/>
      <c r="J285" s="469">
        <v>-7465</v>
      </c>
      <c r="K285" s="469">
        <v>0</v>
      </c>
      <c r="L285" s="469">
        <v>0</v>
      </c>
      <c r="M285" s="469">
        <v>0</v>
      </c>
      <c r="N285" s="469">
        <v>0</v>
      </c>
      <c r="O285" s="469">
        <v>0</v>
      </c>
    </row>
    <row r="286" spans="4:15" ht="12.75" customHeight="1" thickBot="1" x14ac:dyDescent="0.3">
      <c r="D286" s="774"/>
      <c r="E286" s="469" t="str">
        <f>"Totaal "&amp;D285</f>
        <v>Totaal 84310</v>
      </c>
      <c r="F286" s="784"/>
      <c r="G286" s="784"/>
      <c r="H286" s="784"/>
      <c r="I286" s="784"/>
      <c r="J286" s="1888">
        <v>-7465</v>
      </c>
      <c r="K286" s="1888">
        <f t="shared" ref="K286:M286" si="158">SUM(K285)</f>
        <v>0</v>
      </c>
      <c r="L286" s="1888">
        <f t="shared" si="158"/>
        <v>0</v>
      </c>
      <c r="M286" s="1888">
        <f t="shared" si="158"/>
        <v>0</v>
      </c>
      <c r="N286" s="1888">
        <f t="shared" ref="N286:O286" si="159">SUM(N285)</f>
        <v>0</v>
      </c>
      <c r="O286" s="1888">
        <f t="shared" si="159"/>
        <v>0</v>
      </c>
    </row>
    <row r="287" spans="4:15" ht="12.75" customHeight="1" thickTop="1" x14ac:dyDescent="0.25">
      <c r="D287" s="774"/>
      <c r="E287" s="469"/>
      <c r="F287" s="784"/>
      <c r="G287" s="784"/>
      <c r="H287" s="784"/>
      <c r="I287" s="784"/>
      <c r="J287" s="469"/>
      <c r="K287" s="469"/>
      <c r="L287" s="469"/>
      <c r="M287" s="469"/>
      <c r="N287" s="469"/>
      <c r="O287" s="469"/>
    </row>
    <row r="288" spans="4:15" ht="12.75" customHeight="1" x14ac:dyDescent="0.25">
      <c r="D288" s="783">
        <v>646011</v>
      </c>
      <c r="E288" s="764" t="s">
        <v>4537</v>
      </c>
      <c r="F288" s="784"/>
      <c r="G288" s="784"/>
      <c r="H288" s="784"/>
      <c r="I288" s="784"/>
      <c r="J288" s="273"/>
      <c r="K288" s="273"/>
      <c r="L288" s="273"/>
      <c r="M288" s="273"/>
      <c r="N288" s="273"/>
      <c r="O288" s="273"/>
    </row>
    <row r="289" spans="4:15" ht="12.75" customHeight="1" x14ac:dyDescent="0.25">
      <c r="D289" s="774"/>
      <c r="E289" s="527" t="s">
        <v>554</v>
      </c>
      <c r="F289" s="784"/>
      <c r="G289" s="784"/>
      <c r="H289" s="784"/>
      <c r="I289" s="784"/>
      <c r="J289" s="469"/>
      <c r="K289" s="469"/>
      <c r="L289" s="469"/>
      <c r="M289" s="469"/>
      <c r="N289" s="469"/>
      <c r="O289" s="469"/>
    </row>
    <row r="290" spans="4:15" ht="12.75" customHeight="1" x14ac:dyDescent="0.25">
      <c r="D290" s="774">
        <v>84310</v>
      </c>
      <c r="E290" s="453" t="s">
        <v>4550</v>
      </c>
      <c r="F290" s="784"/>
      <c r="G290" s="784"/>
      <c r="H290" s="784"/>
      <c r="I290" s="784"/>
      <c r="J290" s="469">
        <v>-26126</v>
      </c>
      <c r="K290" s="469">
        <v>0</v>
      </c>
      <c r="L290" s="469">
        <v>0</v>
      </c>
      <c r="M290" s="469">
        <v>0</v>
      </c>
      <c r="N290" s="469">
        <v>0</v>
      </c>
      <c r="O290" s="469">
        <v>0</v>
      </c>
    </row>
    <row r="291" spans="4:15" ht="12.75" customHeight="1" thickBot="1" x14ac:dyDescent="0.3">
      <c r="D291" s="774"/>
      <c r="E291" s="469" t="str">
        <f>"Totaal "&amp;D290</f>
        <v>Totaal 84310</v>
      </c>
      <c r="F291" s="784"/>
      <c r="G291" s="784"/>
      <c r="H291" s="784"/>
      <c r="I291" s="784"/>
      <c r="J291" s="1888">
        <v>-26126</v>
      </c>
      <c r="K291" s="1888">
        <f t="shared" ref="K291:M291" si="160">SUM(K290)</f>
        <v>0</v>
      </c>
      <c r="L291" s="1888">
        <f t="shared" si="160"/>
        <v>0</v>
      </c>
      <c r="M291" s="1888">
        <f t="shared" si="160"/>
        <v>0</v>
      </c>
      <c r="N291" s="1888">
        <f t="shared" ref="N291:O291" si="161">SUM(N290)</f>
        <v>0</v>
      </c>
      <c r="O291" s="1888">
        <f t="shared" si="161"/>
        <v>0</v>
      </c>
    </row>
    <row r="292" spans="4:15" ht="12.75" customHeight="1" thickTop="1" x14ac:dyDescent="0.25">
      <c r="D292" s="774"/>
      <c r="E292" s="469"/>
      <c r="F292" s="784"/>
      <c r="G292" s="784"/>
      <c r="H292" s="784"/>
      <c r="I292" s="784"/>
      <c r="J292" s="469"/>
      <c r="K292" s="469"/>
      <c r="L292" s="469"/>
      <c r="M292" s="469"/>
      <c r="N292" s="469"/>
      <c r="O292" s="469"/>
    </row>
    <row r="293" spans="4:15" ht="12.75" customHeight="1" x14ac:dyDescent="0.25">
      <c r="D293" s="783">
        <v>646012</v>
      </c>
      <c r="E293" s="764" t="s">
        <v>4538</v>
      </c>
      <c r="F293" s="784"/>
      <c r="G293" s="784"/>
      <c r="H293" s="784"/>
      <c r="I293" s="784"/>
      <c r="J293" s="273"/>
      <c r="K293" s="273"/>
      <c r="L293" s="273"/>
      <c r="M293" s="273"/>
      <c r="N293" s="273"/>
      <c r="O293" s="273"/>
    </row>
    <row r="294" spans="4:15" ht="12.75" customHeight="1" x14ac:dyDescent="0.25">
      <c r="D294" s="774"/>
      <c r="E294" s="527" t="s">
        <v>554</v>
      </c>
      <c r="F294" s="784"/>
      <c r="G294" s="784"/>
      <c r="H294" s="784"/>
      <c r="I294" s="784"/>
      <c r="J294" s="469"/>
      <c r="K294" s="469"/>
      <c r="L294" s="469"/>
      <c r="M294" s="469"/>
      <c r="N294" s="469"/>
      <c r="O294" s="469"/>
    </row>
    <row r="295" spans="4:15" ht="12.75" customHeight="1" x14ac:dyDescent="0.25">
      <c r="D295" s="774">
        <v>84310</v>
      </c>
      <c r="E295" s="453" t="s">
        <v>4551</v>
      </c>
      <c r="F295" s="784"/>
      <c r="G295" s="784"/>
      <c r="H295" s="784"/>
      <c r="I295" s="784"/>
      <c r="J295" s="469">
        <v>-14929</v>
      </c>
      <c r="K295" s="469">
        <v>0</v>
      </c>
      <c r="L295" s="469">
        <v>0</v>
      </c>
      <c r="M295" s="469">
        <v>0</v>
      </c>
      <c r="N295" s="469">
        <v>0</v>
      </c>
      <c r="O295" s="469">
        <v>0</v>
      </c>
    </row>
    <row r="296" spans="4:15" ht="12.75" customHeight="1" thickBot="1" x14ac:dyDescent="0.3">
      <c r="D296" s="774"/>
      <c r="E296" s="469" t="str">
        <f>"Totaal "&amp;D295</f>
        <v>Totaal 84310</v>
      </c>
      <c r="F296" s="784"/>
      <c r="G296" s="784"/>
      <c r="H296" s="784"/>
      <c r="I296" s="784"/>
      <c r="J296" s="1888">
        <v>-14929</v>
      </c>
      <c r="K296" s="1888">
        <f t="shared" ref="K296:M296" si="162">SUM(K295)</f>
        <v>0</v>
      </c>
      <c r="L296" s="1888">
        <f t="shared" si="162"/>
        <v>0</v>
      </c>
      <c r="M296" s="1888">
        <f t="shared" si="162"/>
        <v>0</v>
      </c>
      <c r="N296" s="1888">
        <f t="shared" ref="N296:O296" si="163">SUM(N295)</f>
        <v>0</v>
      </c>
      <c r="O296" s="1888">
        <f t="shared" si="163"/>
        <v>0</v>
      </c>
    </row>
    <row r="297" spans="4:15" ht="12.75" customHeight="1" thickTop="1" x14ac:dyDescent="0.25">
      <c r="D297" s="774"/>
      <c r="E297" s="774"/>
      <c r="F297" s="784"/>
      <c r="G297" s="784"/>
      <c r="H297" s="784"/>
      <c r="I297" s="784"/>
      <c r="J297" s="469"/>
      <c r="K297" s="469"/>
      <c r="L297" s="469"/>
      <c r="M297" s="469"/>
      <c r="N297" s="469"/>
      <c r="O297" s="469"/>
    </row>
    <row r="298" spans="4:15" ht="12.75" customHeight="1" x14ac:dyDescent="0.25">
      <c r="D298" s="783">
        <v>646013</v>
      </c>
      <c r="E298" s="764" t="s">
        <v>4539</v>
      </c>
      <c r="F298" s="784"/>
      <c r="G298" s="784"/>
      <c r="H298" s="784"/>
      <c r="I298" s="784"/>
      <c r="J298" s="273"/>
      <c r="K298" s="273"/>
      <c r="L298" s="273"/>
      <c r="M298" s="273"/>
      <c r="N298" s="273"/>
      <c r="O298" s="273"/>
    </row>
    <row r="299" spans="4:15" ht="12.75" customHeight="1" x14ac:dyDescent="0.25">
      <c r="D299" s="774"/>
      <c r="E299" s="527" t="s">
        <v>554</v>
      </c>
      <c r="F299" s="784"/>
      <c r="G299" s="784"/>
      <c r="H299" s="784"/>
      <c r="I299" s="784"/>
      <c r="J299" s="469"/>
      <c r="K299" s="469"/>
      <c r="L299" s="469"/>
      <c r="M299" s="469"/>
      <c r="N299" s="469"/>
      <c r="O299" s="469"/>
    </row>
    <row r="300" spans="4:15" ht="12.75" customHeight="1" x14ac:dyDescent="0.25">
      <c r="D300" s="774">
        <v>84310</v>
      </c>
      <c r="E300" s="2579" t="s">
        <v>4552</v>
      </c>
      <c r="F300" s="2579"/>
      <c r="G300" s="2579"/>
      <c r="H300" s="2579"/>
      <c r="I300" s="2579"/>
      <c r="J300" s="786">
        <v>-3732</v>
      </c>
      <c r="K300" s="786">
        <v>0</v>
      </c>
      <c r="L300" s="786">
        <v>0</v>
      </c>
      <c r="M300" s="786">
        <v>0</v>
      </c>
      <c r="N300" s="786">
        <v>0</v>
      </c>
      <c r="O300" s="786">
        <v>0</v>
      </c>
    </row>
    <row r="301" spans="4:15" ht="12.75" customHeight="1" thickBot="1" x14ac:dyDescent="0.3">
      <c r="D301" s="774"/>
      <c r="E301" s="469" t="str">
        <f>"Totaal "&amp;D300</f>
        <v>Totaal 84310</v>
      </c>
      <c r="F301" s="784"/>
      <c r="G301" s="784"/>
      <c r="H301" s="784"/>
      <c r="I301" s="784"/>
      <c r="J301" s="1888">
        <v>-3732</v>
      </c>
      <c r="K301" s="1888">
        <f t="shared" ref="K301:M301" si="164">SUM(K300)</f>
        <v>0</v>
      </c>
      <c r="L301" s="1888">
        <f t="shared" si="164"/>
        <v>0</v>
      </c>
      <c r="M301" s="1888">
        <f t="shared" si="164"/>
        <v>0</v>
      </c>
      <c r="N301" s="1888">
        <f t="shared" ref="N301:O301" si="165">SUM(N300)</f>
        <v>0</v>
      </c>
      <c r="O301" s="1888">
        <f t="shared" si="165"/>
        <v>0</v>
      </c>
    </row>
    <row r="302" spans="4:15" ht="12.75" customHeight="1" thickTop="1" x14ac:dyDescent="0.25">
      <c r="D302" s="774"/>
      <c r="E302" s="774"/>
      <c r="F302" s="784"/>
      <c r="G302" s="784"/>
      <c r="H302" s="784"/>
      <c r="I302" s="784"/>
      <c r="J302" s="469"/>
      <c r="K302" s="469"/>
      <c r="L302" s="469"/>
      <c r="M302" s="469"/>
      <c r="N302" s="469"/>
      <c r="O302" s="469"/>
    </row>
    <row r="303" spans="4:15" ht="12.75" customHeight="1" x14ac:dyDescent="0.25">
      <c r="D303" s="783">
        <v>646014</v>
      </c>
      <c r="E303" s="764" t="s">
        <v>4540</v>
      </c>
      <c r="F303" s="784"/>
      <c r="G303" s="784"/>
      <c r="H303" s="784"/>
      <c r="I303" s="784"/>
      <c r="J303" s="273"/>
      <c r="K303" s="273"/>
      <c r="L303" s="273"/>
      <c r="M303" s="273"/>
      <c r="N303" s="273"/>
      <c r="O303" s="273"/>
    </row>
    <row r="304" spans="4:15" ht="12.75" customHeight="1" x14ac:dyDescent="0.25">
      <c r="D304" s="774"/>
      <c r="E304" s="527" t="s">
        <v>554</v>
      </c>
      <c r="F304" s="784"/>
      <c r="G304" s="784"/>
      <c r="H304" s="784"/>
      <c r="I304" s="784"/>
      <c r="J304" s="469"/>
      <c r="K304" s="469"/>
      <c r="L304" s="469"/>
      <c r="M304" s="469"/>
      <c r="N304" s="469"/>
      <c r="O304" s="469"/>
    </row>
    <row r="305" spans="4:15" ht="12.75" customHeight="1" x14ac:dyDescent="0.25">
      <c r="D305" s="774">
        <v>84310</v>
      </c>
      <c r="E305" s="453" t="s">
        <v>4553</v>
      </c>
      <c r="F305" s="784"/>
      <c r="G305" s="784"/>
      <c r="H305" s="784"/>
      <c r="I305" s="784"/>
      <c r="J305" s="469">
        <v>-3732</v>
      </c>
      <c r="K305" s="469">
        <v>0</v>
      </c>
      <c r="L305" s="469">
        <v>0</v>
      </c>
      <c r="M305" s="469">
        <v>0</v>
      </c>
      <c r="N305" s="469">
        <v>0</v>
      </c>
      <c r="O305" s="469">
        <v>0</v>
      </c>
    </row>
    <row r="306" spans="4:15" ht="12.75" customHeight="1" thickBot="1" x14ac:dyDescent="0.3">
      <c r="D306" s="774"/>
      <c r="E306" s="469" t="str">
        <f>"Totaal "&amp;D305</f>
        <v>Totaal 84310</v>
      </c>
      <c r="F306" s="784"/>
      <c r="G306" s="784"/>
      <c r="H306" s="784"/>
      <c r="I306" s="784"/>
      <c r="J306" s="1888">
        <v>-3732</v>
      </c>
      <c r="K306" s="1888">
        <f t="shared" ref="K306:M306" si="166">SUM(K305)</f>
        <v>0</v>
      </c>
      <c r="L306" s="1888">
        <f t="shared" si="166"/>
        <v>0</v>
      </c>
      <c r="M306" s="1888">
        <f t="shared" si="166"/>
        <v>0</v>
      </c>
      <c r="N306" s="1888">
        <f t="shared" ref="N306:O306" si="167">SUM(N305)</f>
        <v>0</v>
      </c>
      <c r="O306" s="1888">
        <f t="shared" si="167"/>
        <v>0</v>
      </c>
    </row>
    <row r="307" spans="4:15" ht="12.75" customHeight="1" thickTop="1" x14ac:dyDescent="0.25">
      <c r="D307" s="774"/>
      <c r="E307" s="774"/>
      <c r="F307" s="784"/>
      <c r="G307" s="784"/>
      <c r="H307" s="784"/>
      <c r="I307" s="784"/>
      <c r="J307" s="469"/>
      <c r="K307" s="469"/>
      <c r="L307" s="469"/>
      <c r="M307" s="469"/>
      <c r="N307" s="469"/>
      <c r="O307" s="469"/>
    </row>
    <row r="308" spans="4:15" ht="12.75" customHeight="1" x14ac:dyDescent="0.25">
      <c r="D308" s="783">
        <v>646015</v>
      </c>
      <c r="E308" s="764" t="s">
        <v>4541</v>
      </c>
      <c r="F308" s="784"/>
      <c r="G308" s="784"/>
      <c r="H308" s="784"/>
      <c r="I308" s="784"/>
      <c r="J308" s="273"/>
      <c r="K308" s="273"/>
      <c r="L308" s="273"/>
      <c r="M308" s="273"/>
      <c r="N308" s="273"/>
      <c r="O308" s="273"/>
    </row>
    <row r="309" spans="4:15" ht="12.75" customHeight="1" x14ac:dyDescent="0.25">
      <c r="D309" s="774"/>
      <c r="E309" s="527" t="s">
        <v>554</v>
      </c>
      <c r="F309" s="784"/>
      <c r="G309" s="784"/>
      <c r="H309" s="784"/>
      <c r="I309" s="784"/>
      <c r="J309" s="469"/>
      <c r="K309" s="469"/>
      <c r="L309" s="469"/>
      <c r="M309" s="469"/>
      <c r="N309" s="469"/>
      <c r="O309" s="469"/>
    </row>
    <row r="310" spans="4:15" ht="12.75" customHeight="1" x14ac:dyDescent="0.25">
      <c r="D310" s="774">
        <v>84310</v>
      </c>
      <c r="E310" s="453" t="s">
        <v>4554</v>
      </c>
      <c r="F310" s="784"/>
      <c r="G310" s="784"/>
      <c r="H310" s="784"/>
      <c r="I310" s="784"/>
      <c r="J310" s="469">
        <v>-10898</v>
      </c>
      <c r="K310" s="469">
        <v>0</v>
      </c>
      <c r="L310" s="469">
        <v>0</v>
      </c>
      <c r="M310" s="469">
        <v>0</v>
      </c>
      <c r="N310" s="469">
        <v>0</v>
      </c>
      <c r="O310" s="469">
        <v>0</v>
      </c>
    </row>
    <row r="311" spans="4:15" ht="12.75" customHeight="1" thickBot="1" x14ac:dyDescent="0.3">
      <c r="D311" s="774"/>
      <c r="E311" s="469" t="str">
        <f>"Totaal "&amp;D310</f>
        <v>Totaal 84310</v>
      </c>
      <c r="F311" s="784"/>
      <c r="G311" s="784"/>
      <c r="H311" s="784"/>
      <c r="I311" s="784"/>
      <c r="J311" s="1888">
        <v>-10898</v>
      </c>
      <c r="K311" s="1888">
        <f t="shared" ref="K311:M311" si="168">SUM(K310)</f>
        <v>0</v>
      </c>
      <c r="L311" s="1888">
        <f t="shared" si="168"/>
        <v>0</v>
      </c>
      <c r="M311" s="1888">
        <f t="shared" si="168"/>
        <v>0</v>
      </c>
      <c r="N311" s="1888">
        <f t="shared" ref="N311:O311" si="169">SUM(N310)</f>
        <v>0</v>
      </c>
      <c r="O311" s="1888">
        <f t="shared" si="169"/>
        <v>0</v>
      </c>
    </row>
    <row r="312" spans="4:15" ht="12.75" customHeight="1" thickTop="1" x14ac:dyDescent="0.25">
      <c r="D312" s="774"/>
      <c r="E312" s="774"/>
      <c r="F312" s="784"/>
      <c r="G312" s="784"/>
      <c r="H312" s="784"/>
      <c r="I312" s="784"/>
      <c r="J312" s="469"/>
      <c r="K312" s="469"/>
      <c r="L312" s="469"/>
      <c r="M312" s="469"/>
      <c r="N312" s="469"/>
      <c r="O312" s="469"/>
    </row>
    <row r="313" spans="4:15" ht="12.75" customHeight="1" x14ac:dyDescent="0.25">
      <c r="D313" s="771"/>
      <c r="E313" s="752"/>
      <c r="F313" s="789"/>
    </row>
    <row r="314" spans="4:15" ht="12.75" customHeight="1" x14ac:dyDescent="0.25">
      <c r="D314" s="771"/>
      <c r="E314" s="752"/>
      <c r="F314" s="469"/>
      <c r="I314" s="469"/>
      <c r="J314" s="469"/>
      <c r="K314" s="469"/>
      <c r="L314" s="469"/>
      <c r="M314" s="469"/>
      <c r="N314" s="469"/>
      <c r="O314" s="469"/>
    </row>
    <row r="315" spans="4:15" ht="12.75" customHeight="1" x14ac:dyDescent="0.25">
      <c r="D315" s="771"/>
      <c r="E315" s="752"/>
      <c r="F315" s="789"/>
      <c r="G315" s="790"/>
      <c r="I315" s="469"/>
      <c r="J315" s="469"/>
      <c r="K315" s="469"/>
      <c r="L315" s="469"/>
      <c r="M315" s="469"/>
      <c r="N315" s="469"/>
      <c r="O315" s="469"/>
    </row>
    <row r="316" spans="4:15" ht="12.75" customHeight="1" x14ac:dyDescent="0.25">
      <c r="D316" s="771"/>
      <c r="E316" s="752"/>
      <c r="F316" s="469"/>
      <c r="I316" s="469"/>
      <c r="J316" s="469"/>
      <c r="K316" s="469"/>
      <c r="L316" s="469"/>
      <c r="M316" s="469"/>
      <c r="N316" s="469"/>
      <c r="O316" s="469"/>
    </row>
    <row r="317" spans="4:15" ht="12.75" customHeight="1" x14ac:dyDescent="0.25">
      <c r="D317" s="516"/>
      <c r="F317" s="453"/>
      <c r="H317" s="469"/>
      <c r="I317" s="469"/>
      <c r="J317" s="469"/>
      <c r="K317" s="469"/>
      <c r="L317" s="469"/>
      <c r="M317" s="469"/>
      <c r="N317" s="469"/>
      <c r="O317" s="469"/>
    </row>
    <row r="396" spans="9:9" ht="12.75" customHeight="1" x14ac:dyDescent="0.25">
      <c r="I396" s="166"/>
    </row>
  </sheetData>
  <mergeCells count="5">
    <mergeCell ref="E300:I300"/>
    <mergeCell ref="D86:D87"/>
    <mergeCell ref="F86:F87"/>
    <mergeCell ref="G86:H87"/>
    <mergeCell ref="E247:I247"/>
  </mergeCells>
  <hyperlinks>
    <hyperlink ref="A1" location="Inhoudsopgave!A1" display="Inhoudsopgave" xr:uid="{B970FE68-7D7A-4092-B5BB-1B2C2B7D65D5}"/>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4" manualBreakCount="4">
    <brk id="83" min="3" max="14" man="1"/>
    <brk id="164" min="3" max="14" man="1"/>
    <brk id="200" min="3" max="14" man="1"/>
    <brk id="266" min="3" max="14" man="1"/>
  </row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0055-3C33-43A3-8AB9-3078544B2F09}">
  <sheetPr codeName="Blad63"/>
  <dimension ref="A1:X468"/>
  <sheetViews>
    <sheetView showGridLines="0" view="pageBreakPreview" topLeftCell="A34" zoomScaleNormal="100" zoomScaleSheetLayoutView="100" workbookViewId="0"/>
  </sheetViews>
  <sheetFormatPr defaultColWidth="9.109375" defaultRowHeight="12.75" customHeight="1" x14ac:dyDescent="0.25"/>
  <cols>
    <col min="1" max="1" width="9.88671875" style="368" bestFit="1" customWidth="1"/>
    <col min="2" max="2" width="10.88671875" style="359" bestFit="1" customWidth="1"/>
    <col min="3" max="3" width="9.109375" style="359"/>
    <col min="4" max="4" width="9.6640625" style="502" customWidth="1"/>
    <col min="5" max="6" width="9.6640625" style="567" customWidth="1"/>
    <col min="7" max="9" width="12.6640625" style="359" customWidth="1"/>
    <col min="10" max="15" width="11.6640625" style="359" customWidth="1"/>
    <col min="16" max="16" width="7.109375" style="359" customWidth="1"/>
    <col min="17" max="17" width="7.88671875" style="359" customWidth="1"/>
    <col min="18" max="19" width="13.109375" style="359" bestFit="1" customWidth="1"/>
    <col min="20" max="23" width="13.33203125" style="359" bestFit="1" customWidth="1"/>
    <col min="24" max="16384" width="9.109375" style="359"/>
  </cols>
  <sheetData>
    <row r="1" spans="1:24" ht="12.75" customHeight="1" x14ac:dyDescent="0.3">
      <c r="A1" s="157" t="s">
        <v>0</v>
      </c>
      <c r="P1" s="515"/>
      <c r="Q1" s="451">
        <v>2024</v>
      </c>
      <c r="R1" s="451">
        <v>2025</v>
      </c>
      <c r="S1" s="451">
        <v>2026</v>
      </c>
      <c r="T1" s="451">
        <v>2027</v>
      </c>
      <c r="U1" s="451">
        <v>2028</v>
      </c>
      <c r="V1" s="451">
        <v>2029</v>
      </c>
      <c r="W1" s="451">
        <v>2030</v>
      </c>
      <c r="X1" s="304"/>
    </row>
    <row r="2" spans="1:24" ht="12.75" customHeight="1" x14ac:dyDescent="0.3">
      <c r="D2" s="502" t="s">
        <v>504</v>
      </c>
      <c r="H2" s="359" t="s">
        <v>4556</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c r="X2" s="307"/>
    </row>
    <row r="3" spans="1:24"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c r="X3" s="307"/>
    </row>
    <row r="4" spans="1:24"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4" ht="12.75" customHeight="1" x14ac:dyDescent="0.25">
      <c r="D6" s="502" t="s">
        <v>66</v>
      </c>
      <c r="H6" s="359" t="s">
        <v>4557</v>
      </c>
    </row>
    <row r="29" spans="2:24" ht="12.75" customHeight="1" x14ac:dyDescent="0.25">
      <c r="D29" s="651" t="s">
        <v>507</v>
      </c>
      <c r="E29" s="652"/>
      <c r="F29" s="652"/>
      <c r="G29" s="653"/>
      <c r="H29" s="653"/>
      <c r="I29" s="653"/>
      <c r="J29" s="653"/>
      <c r="K29" s="653"/>
      <c r="L29" s="653"/>
      <c r="M29" s="653"/>
      <c r="N29" s="653"/>
      <c r="O29" s="653"/>
    </row>
    <row r="30" spans="2:24" ht="12.75" customHeight="1" x14ac:dyDescent="0.25">
      <c r="D30" s="652"/>
      <c r="E30" s="652"/>
      <c r="F30" s="652"/>
      <c r="G30" s="653"/>
      <c r="H30" s="653"/>
      <c r="I30" s="653"/>
      <c r="J30" s="653"/>
      <c r="K30" s="653"/>
      <c r="L30" s="653"/>
      <c r="M30" s="653"/>
      <c r="N30" s="653"/>
      <c r="O30" s="653"/>
    </row>
    <row r="31" spans="2:24" ht="12.75" customHeight="1" x14ac:dyDescent="0.25">
      <c r="D31" s="1953" t="s">
        <v>508</v>
      </c>
      <c r="E31" s="1954"/>
      <c r="F31" s="1954"/>
      <c r="G31" s="1955"/>
      <c r="H31" s="1955"/>
      <c r="I31" s="1956"/>
      <c r="J31" s="1956">
        <v>2025</v>
      </c>
      <c r="K31" s="1956">
        <v>2026</v>
      </c>
      <c r="L31" s="1956">
        <v>2027</v>
      </c>
      <c r="M31" s="1956">
        <v>2028</v>
      </c>
      <c r="N31" s="1956">
        <v>2029</v>
      </c>
      <c r="O31" s="1956">
        <v>2030</v>
      </c>
      <c r="T31" s="359" t="s">
        <v>335</v>
      </c>
      <c r="U31" s="359" t="s">
        <v>336</v>
      </c>
      <c r="V31" s="359" t="s">
        <v>337</v>
      </c>
      <c r="W31" s="359" t="s">
        <v>338</v>
      </c>
    </row>
    <row r="32" spans="2:24" ht="12.75" customHeight="1" x14ac:dyDescent="0.25">
      <c r="B32" s="359">
        <v>647007</v>
      </c>
      <c r="D32" s="654" t="str">
        <f>G83</f>
        <v>Straatreiniging, aandeel riolering</v>
      </c>
      <c r="E32" s="655"/>
      <c r="F32" s="656"/>
      <c r="G32" s="653"/>
      <c r="H32" s="653"/>
      <c r="I32" s="657"/>
      <c r="J32" s="658">
        <v>215534</v>
      </c>
      <c r="K32" s="658">
        <f>K87</f>
        <v>248811</v>
      </c>
      <c r="L32" s="658">
        <f>L87</f>
        <v>265689</v>
      </c>
      <c r="M32" s="658">
        <f>M87</f>
        <v>282299</v>
      </c>
      <c r="N32" s="658">
        <f>N87</f>
        <v>299255</v>
      </c>
      <c r="O32" s="658">
        <f>O87</f>
        <v>316446</v>
      </c>
      <c r="R32" s="359" t="s">
        <v>4558</v>
      </c>
      <c r="S32" s="359" t="s">
        <v>4559</v>
      </c>
      <c r="T32" s="659">
        <v>570879</v>
      </c>
      <c r="U32" s="659">
        <v>577353</v>
      </c>
      <c r="V32" s="659">
        <v>583976</v>
      </c>
      <c r="W32" s="659">
        <v>398495</v>
      </c>
      <c r="X32" s="659"/>
    </row>
    <row r="33" spans="2:24" ht="12.75" customHeight="1" x14ac:dyDescent="0.25">
      <c r="B33" s="359">
        <v>647001</v>
      </c>
      <c r="D33" s="654" t="str">
        <f>G89</f>
        <v>Riolen algemeen</v>
      </c>
      <c r="E33" s="655"/>
      <c r="F33" s="656"/>
      <c r="G33" s="653"/>
      <c r="H33" s="653"/>
      <c r="I33" s="657"/>
      <c r="J33" s="71">
        <v>405015</v>
      </c>
      <c r="K33" s="71">
        <f>K94</f>
        <v>408881</v>
      </c>
      <c r="L33" s="71">
        <f>L94</f>
        <v>412353</v>
      </c>
      <c r="M33" s="71">
        <f>M94</f>
        <v>223837</v>
      </c>
      <c r="N33" s="71">
        <f>N94</f>
        <v>227611</v>
      </c>
      <c r="O33" s="71">
        <f>O94</f>
        <v>231474</v>
      </c>
      <c r="R33" s="359" t="s">
        <v>4560</v>
      </c>
      <c r="S33" s="359" t="s">
        <v>4561</v>
      </c>
      <c r="T33" s="659">
        <v>98805</v>
      </c>
      <c r="U33" s="659">
        <v>101132</v>
      </c>
      <c r="V33" s="659">
        <v>103514</v>
      </c>
      <c r="W33" s="659">
        <v>105954</v>
      </c>
      <c r="X33" s="659"/>
    </row>
    <row r="34" spans="2:24" ht="12.75" customHeight="1" x14ac:dyDescent="0.25">
      <c r="B34" s="359">
        <v>647002</v>
      </c>
      <c r="D34" s="654" t="str">
        <f>G96</f>
        <v>Drukriolering</v>
      </c>
      <c r="E34" s="655"/>
      <c r="F34" s="656"/>
      <c r="G34" s="653"/>
      <c r="H34" s="653"/>
      <c r="I34" s="657"/>
      <c r="J34" s="71">
        <v>98805</v>
      </c>
      <c r="K34" s="71">
        <f>K101</f>
        <v>101132</v>
      </c>
      <c r="L34" s="71">
        <f>L101</f>
        <v>103514</v>
      </c>
      <c r="M34" s="71">
        <f>M101</f>
        <v>105954</v>
      </c>
      <c r="N34" s="71">
        <f>N101</f>
        <v>108391</v>
      </c>
      <c r="O34" s="71">
        <f>O101</f>
        <v>110885</v>
      </c>
      <c r="R34" s="359" t="s">
        <v>4562</v>
      </c>
      <c r="S34" s="359" t="s">
        <v>4563</v>
      </c>
      <c r="T34" s="659">
        <v>16889</v>
      </c>
      <c r="U34" s="659">
        <v>17295</v>
      </c>
      <c r="V34" s="659">
        <v>17709</v>
      </c>
      <c r="W34" s="659">
        <v>18133</v>
      </c>
      <c r="X34" s="659"/>
    </row>
    <row r="35" spans="2:24" ht="12.75" customHeight="1" x14ac:dyDescent="0.25">
      <c r="B35" s="359">
        <v>647001</v>
      </c>
      <c r="D35" s="654" t="str">
        <f>G103</f>
        <v>Inspectie en reiniging riolering</v>
      </c>
      <c r="E35" s="655"/>
      <c r="F35" s="656"/>
      <c r="G35" s="653"/>
      <c r="H35" s="653"/>
      <c r="I35" s="657"/>
      <c r="J35" s="71">
        <v>163782</v>
      </c>
      <c r="K35" s="71">
        <f>K108</f>
        <v>167000</v>
      </c>
      <c r="L35" s="71">
        <f>L108</f>
        <v>169668</v>
      </c>
      <c r="M35" s="71">
        <f>M108</f>
        <v>172651</v>
      </c>
      <c r="N35" s="71">
        <f>N108</f>
        <v>175702</v>
      </c>
      <c r="O35" s="71">
        <f>O108</f>
        <v>178822</v>
      </c>
      <c r="R35" s="359" t="s">
        <v>4564</v>
      </c>
      <c r="S35" s="359" t="s">
        <v>4565</v>
      </c>
      <c r="T35" s="659">
        <v>45365</v>
      </c>
      <c r="U35" s="659">
        <v>46454</v>
      </c>
      <c r="V35" s="659">
        <v>47567</v>
      </c>
      <c r="W35" s="659">
        <v>48710</v>
      </c>
      <c r="X35" s="659"/>
    </row>
    <row r="36" spans="2:24" ht="12.75" customHeight="1" x14ac:dyDescent="0.25">
      <c r="B36" s="359">
        <v>647001</v>
      </c>
      <c r="D36" s="654" t="str">
        <f>G110</f>
        <v>Schoonmaken van straatkolken</v>
      </c>
      <c r="E36" s="655"/>
      <c r="F36" s="656"/>
      <c r="G36" s="653"/>
      <c r="H36" s="653"/>
      <c r="I36" s="657"/>
      <c r="J36" s="71">
        <v>2082</v>
      </c>
      <c r="K36" s="71">
        <f>K114</f>
        <v>2132</v>
      </c>
      <c r="L36" s="71">
        <f>L114</f>
        <v>2183</v>
      </c>
      <c r="M36" s="71">
        <f>M114</f>
        <v>2235</v>
      </c>
      <c r="N36" s="71">
        <f>N114</f>
        <v>2286</v>
      </c>
      <c r="O36" s="71">
        <f>O114</f>
        <v>2338</v>
      </c>
      <c r="R36" s="359" t="s">
        <v>4566</v>
      </c>
      <c r="S36" s="359" t="s">
        <v>4567</v>
      </c>
      <c r="T36" s="659">
        <v>973021</v>
      </c>
      <c r="U36" s="659">
        <v>1059535</v>
      </c>
      <c r="V36" s="659">
        <v>1145801</v>
      </c>
      <c r="W36" s="659">
        <v>1421948</v>
      </c>
      <c r="X36" s="659"/>
    </row>
    <row r="37" spans="2:24" ht="12.75" customHeight="1" x14ac:dyDescent="0.25">
      <c r="B37" s="359">
        <v>647003</v>
      </c>
      <c r="D37" s="654" t="str">
        <f>G116</f>
        <v>Kolkenzuiger</v>
      </c>
      <c r="E37" s="655"/>
      <c r="F37" s="656"/>
      <c r="G37" s="653"/>
      <c r="H37" s="653"/>
      <c r="I37" s="657"/>
      <c r="J37" s="71">
        <v>16889</v>
      </c>
      <c r="K37" s="71">
        <f>K123</f>
        <v>17295</v>
      </c>
      <c r="L37" s="71">
        <f>L123</f>
        <v>17709</v>
      </c>
      <c r="M37" s="71">
        <f>M123</f>
        <v>18133</v>
      </c>
      <c r="N37" s="71">
        <f>N123</f>
        <v>18551</v>
      </c>
      <c r="O37" s="71">
        <f>O123</f>
        <v>18978</v>
      </c>
      <c r="R37" s="359" t="s">
        <v>4568</v>
      </c>
      <c r="S37" s="359" t="s">
        <v>4569</v>
      </c>
      <c r="T37" s="659">
        <v>-383134</v>
      </c>
      <c r="U37" s="659">
        <v>-386487</v>
      </c>
      <c r="V37" s="659">
        <v>-389936</v>
      </c>
      <c r="W37" s="659">
        <v>-201210</v>
      </c>
      <c r="X37" s="659"/>
    </row>
    <row r="38" spans="2:24" ht="12.75" customHeight="1" x14ac:dyDescent="0.25">
      <c r="B38" s="359">
        <v>647004</v>
      </c>
      <c r="D38" s="654" t="str">
        <f>G125</f>
        <v>Ontstoppen van rioolhuisaansluitingen</v>
      </c>
      <c r="E38" s="655"/>
      <c r="F38" s="656"/>
      <c r="G38" s="653"/>
      <c r="H38" s="653"/>
      <c r="I38" s="657"/>
      <c r="J38" s="71">
        <v>1631</v>
      </c>
      <c r="K38" s="71">
        <f>K129</f>
        <v>1670</v>
      </c>
      <c r="L38" s="71">
        <f>L129</f>
        <v>1710</v>
      </c>
      <c r="M38" s="71">
        <f>M129</f>
        <v>1751</v>
      </c>
      <c r="N38" s="71">
        <f>N129</f>
        <v>1791</v>
      </c>
      <c r="O38" s="71">
        <f>O129</f>
        <v>1832</v>
      </c>
      <c r="R38" s="359" t="s">
        <v>4570</v>
      </c>
      <c r="S38" s="359" t="s">
        <v>4571</v>
      </c>
      <c r="T38" s="659">
        <v>215534</v>
      </c>
      <c r="U38" s="659">
        <v>222118</v>
      </c>
      <c r="V38" s="659">
        <v>228973</v>
      </c>
      <c r="W38" s="659">
        <v>236138</v>
      </c>
      <c r="X38" s="659"/>
    </row>
    <row r="39" spans="2:24" ht="12.75" customHeight="1" x14ac:dyDescent="0.25">
      <c r="B39" s="359">
        <v>647004</v>
      </c>
      <c r="D39" s="654" t="str">
        <f>G131</f>
        <v>Vervangen versleten huisaansluitingen</v>
      </c>
      <c r="E39" s="655"/>
      <c r="F39" s="656"/>
      <c r="G39" s="653"/>
      <c r="H39" s="653"/>
      <c r="I39" s="657"/>
      <c r="J39" s="71">
        <v>8118</v>
      </c>
      <c r="K39" s="71">
        <f>K135</f>
        <v>8313</v>
      </c>
      <c r="L39" s="71">
        <f>L135</f>
        <v>8512</v>
      </c>
      <c r="M39" s="71">
        <f>M135</f>
        <v>8717</v>
      </c>
      <c r="N39" s="71">
        <f>N135</f>
        <v>8918</v>
      </c>
      <c r="O39" s="71">
        <f>O135</f>
        <v>9123</v>
      </c>
      <c r="R39" s="359" t="s">
        <v>4572</v>
      </c>
      <c r="S39" s="359" t="s">
        <v>4573</v>
      </c>
      <c r="T39" s="659">
        <v>121000</v>
      </c>
      <c r="U39" s="659">
        <v>123783</v>
      </c>
      <c r="V39" s="659">
        <v>126687</v>
      </c>
      <c r="W39" s="659">
        <v>129591</v>
      </c>
      <c r="X39" s="659"/>
    </row>
    <row r="40" spans="2:24" ht="12.75" customHeight="1" x14ac:dyDescent="0.25">
      <c r="B40" s="359">
        <v>647004</v>
      </c>
      <c r="D40" s="654" t="str">
        <f>G137</f>
        <v>Het maken van rioolhuisaansluitingen</v>
      </c>
      <c r="E40" s="655"/>
      <c r="F40" s="656"/>
      <c r="G40" s="653"/>
      <c r="H40" s="653"/>
      <c r="I40" s="657"/>
      <c r="J40" s="71">
        <v>35616</v>
      </c>
      <c r="K40" s="71">
        <f>K141</f>
        <v>36471</v>
      </c>
      <c r="L40" s="71">
        <f>L141</f>
        <v>37345</v>
      </c>
      <c r="M40" s="71">
        <f>M141</f>
        <v>38242</v>
      </c>
      <c r="N40" s="71">
        <f>N141</f>
        <v>39122</v>
      </c>
      <c r="O40" s="71">
        <f>O141</f>
        <v>40022</v>
      </c>
      <c r="R40" s="359" t="s">
        <v>4574</v>
      </c>
      <c r="S40" s="359" t="s">
        <v>4575</v>
      </c>
      <c r="T40" s="659">
        <v>506870</v>
      </c>
      <c r="U40" s="659">
        <v>526834</v>
      </c>
      <c r="V40" s="659">
        <v>547629</v>
      </c>
      <c r="W40" s="659">
        <v>569289</v>
      </c>
      <c r="X40" s="659"/>
    </row>
    <row r="41" spans="2:24" ht="12.75" customHeight="1" x14ac:dyDescent="0.25">
      <c r="B41" s="359">
        <v>647005</v>
      </c>
      <c r="D41" s="654" t="str">
        <f>G143</f>
        <v>Invorderen van rioolrecht</v>
      </c>
      <c r="E41" s="655"/>
      <c r="F41" s="656"/>
      <c r="G41" s="653"/>
      <c r="H41" s="653"/>
      <c r="I41" s="657"/>
      <c r="J41" s="71">
        <v>4298</v>
      </c>
      <c r="K41" s="71">
        <f>K147</f>
        <v>4401</v>
      </c>
      <c r="L41" s="71">
        <f>L147</f>
        <v>4506</v>
      </c>
      <c r="M41" s="71">
        <f>M147</f>
        <v>4614</v>
      </c>
      <c r="N41" s="71">
        <f>N147</f>
        <v>4720</v>
      </c>
      <c r="O41" s="71">
        <f>O147</f>
        <v>4829</v>
      </c>
      <c r="Q41" s="510"/>
      <c r="R41" s="510" t="s">
        <v>2259</v>
      </c>
      <c r="S41" s="510" t="s">
        <v>2259</v>
      </c>
      <c r="T41" s="659">
        <v>2165229</v>
      </c>
      <c r="U41" s="659">
        <v>2288017</v>
      </c>
      <c r="V41" s="659">
        <v>2411920</v>
      </c>
      <c r="W41" s="659">
        <v>2727048</v>
      </c>
      <c r="X41" s="659"/>
    </row>
    <row r="42" spans="2:24" ht="12.75" customHeight="1" x14ac:dyDescent="0.25">
      <c r="B42" s="359">
        <v>647005</v>
      </c>
      <c r="D42" s="654" t="str">
        <f>G149</f>
        <v>Rioolrecht</v>
      </c>
      <c r="E42" s="655"/>
      <c r="F42" s="656"/>
      <c r="G42" s="653"/>
      <c r="H42" s="653"/>
      <c r="I42" s="657"/>
      <c r="J42" s="71">
        <v>968723.28840487055</v>
      </c>
      <c r="K42" s="71">
        <f>K152</f>
        <v>1034578.1348767139</v>
      </c>
      <c r="L42" s="71">
        <f>L152</f>
        <v>1069527.3958198531</v>
      </c>
      <c r="M42" s="71">
        <f>M152</f>
        <v>1314151.1766723488</v>
      </c>
      <c r="N42" s="71">
        <f>N152</f>
        <v>1355007.0782197132</v>
      </c>
      <c r="O42" s="71">
        <f>O152</f>
        <v>1395768.0647143992</v>
      </c>
    </row>
    <row r="43" spans="2:24" ht="12.75" customHeight="1" x14ac:dyDescent="0.25">
      <c r="B43" s="359">
        <v>647008</v>
      </c>
      <c r="D43" s="654" t="str">
        <f>G159</f>
        <v>Klimaatadaptief watersysteem</v>
      </c>
      <c r="E43" s="655"/>
      <c r="F43" s="656"/>
      <c r="G43" s="653"/>
      <c r="H43" s="653"/>
      <c r="I43" s="657"/>
      <c r="J43" s="71">
        <v>121000</v>
      </c>
      <c r="K43" s="71">
        <f t="shared" ref="K43:M43" si="0">K163</f>
        <v>124146</v>
      </c>
      <c r="L43" s="71">
        <f t="shared" si="0"/>
        <v>126808</v>
      </c>
      <c r="M43" s="71">
        <f t="shared" si="0"/>
        <v>129712</v>
      </c>
      <c r="N43" s="71">
        <f t="shared" ref="N43:O43" si="1">N163</f>
        <v>132737</v>
      </c>
      <c r="O43" s="71">
        <f t="shared" si="1"/>
        <v>135762</v>
      </c>
    </row>
    <row r="44" spans="2:24" ht="12.75" customHeight="1" x14ac:dyDescent="0.25">
      <c r="B44" s="359">
        <v>647901</v>
      </c>
      <c r="D44" s="654" t="str">
        <f>G166</f>
        <v>Directe toerekening riolering</v>
      </c>
      <c r="E44" s="655"/>
      <c r="F44" s="656"/>
      <c r="G44" s="653"/>
      <c r="H44" s="653"/>
      <c r="I44" s="657"/>
      <c r="J44" s="71">
        <v>506869.68</v>
      </c>
      <c r="K44" s="71">
        <f t="shared" ref="K44:M44" si="2">K173</f>
        <v>510014.04</v>
      </c>
      <c r="L44" s="71">
        <f t="shared" si="2"/>
        <v>530045</v>
      </c>
      <c r="M44" s="71">
        <f t="shared" si="2"/>
        <v>548509</v>
      </c>
      <c r="N44" s="71">
        <f t="shared" ref="N44:O44" si="3">N173</f>
        <v>567651</v>
      </c>
      <c r="O44" s="71">
        <f t="shared" si="3"/>
        <v>587494</v>
      </c>
    </row>
    <row r="45" spans="2:24" ht="12.75" customHeight="1" x14ac:dyDescent="0.25">
      <c r="D45" s="654"/>
      <c r="E45" s="655"/>
      <c r="F45" s="656"/>
      <c r="G45" s="653"/>
      <c r="H45" s="653"/>
      <c r="I45" s="657"/>
      <c r="J45" s="71"/>
      <c r="K45" s="71"/>
      <c r="L45" s="71"/>
      <c r="M45" s="71"/>
      <c r="N45" s="71"/>
      <c r="O45" s="71"/>
    </row>
    <row r="46" spans="2:24" ht="12.75" customHeight="1" x14ac:dyDescent="0.25">
      <c r="D46" s="654" t="s">
        <v>4576</v>
      </c>
      <c r="E46" s="655"/>
      <c r="F46" s="656"/>
      <c r="G46" s="653"/>
      <c r="H46" s="653"/>
      <c r="I46" s="657"/>
      <c r="J46" s="72">
        <v>-383134</v>
      </c>
      <c r="K46" s="72">
        <f>K157</f>
        <v>-391613</v>
      </c>
      <c r="L46" s="72">
        <f>L157</f>
        <v>-396640</v>
      </c>
      <c r="M46" s="72">
        <f>M157</f>
        <v>-209560</v>
      </c>
      <c r="N46" s="72">
        <f>N157</f>
        <v>-214811</v>
      </c>
      <c r="O46" s="72">
        <f>O157</f>
        <v>-220137</v>
      </c>
    </row>
    <row r="47" spans="2:24" ht="12.75" customHeight="1" x14ac:dyDescent="0.25">
      <c r="D47" s="654"/>
      <c r="E47" s="655"/>
      <c r="F47" s="656"/>
      <c r="G47" s="653"/>
      <c r="H47" s="653"/>
      <c r="I47" s="657"/>
      <c r="J47" s="72"/>
      <c r="K47" s="72"/>
      <c r="L47" s="72"/>
      <c r="M47" s="72"/>
      <c r="N47" s="72"/>
      <c r="O47" s="72"/>
      <c r="Q47" s="510"/>
      <c r="R47" s="510"/>
      <c r="S47" s="510"/>
      <c r="T47" s="510"/>
    </row>
    <row r="48" spans="2:24" ht="12.75" customHeight="1" x14ac:dyDescent="0.25">
      <c r="D48" s="654"/>
      <c r="E48" s="655"/>
      <c r="F48" s="656"/>
      <c r="G48" s="653"/>
      <c r="H48" s="653"/>
      <c r="I48" s="657"/>
      <c r="J48" s="72"/>
      <c r="K48" s="72"/>
      <c r="L48" s="72"/>
      <c r="M48" s="72"/>
      <c r="N48" s="72"/>
      <c r="O48" s="72"/>
      <c r="Q48" s="510"/>
      <c r="R48" s="510"/>
      <c r="S48" s="510"/>
      <c r="T48" s="510"/>
    </row>
    <row r="49" spans="4:20" ht="12.75" customHeight="1" x14ac:dyDescent="0.25">
      <c r="D49" s="654"/>
      <c r="E49" s="655"/>
      <c r="F49" s="656"/>
      <c r="G49" s="653"/>
      <c r="H49" s="653"/>
      <c r="I49" s="657"/>
      <c r="J49" s="72"/>
      <c r="K49" s="72"/>
      <c r="L49" s="72"/>
      <c r="M49" s="72"/>
      <c r="N49" s="72"/>
      <c r="O49" s="72"/>
      <c r="Q49" s="510"/>
      <c r="R49" s="510"/>
      <c r="S49" s="510"/>
      <c r="T49" s="510"/>
    </row>
    <row r="50" spans="4:20" ht="12.75" customHeight="1" x14ac:dyDescent="0.25">
      <c r="D50" s="654"/>
      <c r="E50" s="655"/>
      <c r="F50" s="656"/>
      <c r="G50" s="653"/>
      <c r="H50" s="653"/>
      <c r="I50" s="657"/>
      <c r="J50" s="72"/>
      <c r="K50" s="72"/>
      <c r="L50" s="72"/>
      <c r="M50" s="72"/>
      <c r="N50" s="72"/>
      <c r="O50" s="72"/>
      <c r="Q50" s="510"/>
      <c r="R50" s="510"/>
      <c r="S50" s="510"/>
      <c r="T50" s="510"/>
    </row>
    <row r="51" spans="4:20" ht="12.75" customHeight="1" x14ac:dyDescent="0.25">
      <c r="D51" s="654"/>
      <c r="E51" s="655"/>
      <c r="F51" s="656"/>
      <c r="G51" s="653"/>
      <c r="H51" s="653"/>
      <c r="I51" s="657"/>
      <c r="J51" s="72"/>
      <c r="K51" s="72"/>
      <c r="L51" s="72"/>
      <c r="M51" s="72"/>
      <c r="N51" s="72"/>
      <c r="O51" s="72"/>
      <c r="Q51" s="510"/>
      <c r="R51" s="510"/>
      <c r="S51" s="510"/>
      <c r="T51" s="510"/>
    </row>
    <row r="52" spans="4:20" ht="12.75" customHeight="1" x14ac:dyDescent="0.25">
      <c r="D52" s="654"/>
      <c r="E52" s="655"/>
      <c r="F52" s="656"/>
      <c r="G52" s="653"/>
      <c r="H52" s="653"/>
      <c r="I52" s="657"/>
      <c r="J52" s="73"/>
      <c r="K52" s="73"/>
      <c r="L52" s="73"/>
      <c r="M52" s="73"/>
      <c r="N52" s="73"/>
      <c r="O52" s="73"/>
      <c r="Q52" s="510"/>
      <c r="R52" s="510"/>
      <c r="S52" s="510"/>
      <c r="T52" s="510"/>
    </row>
    <row r="53" spans="4:20" ht="12.75" customHeight="1" x14ac:dyDescent="0.25">
      <c r="D53" s="1810" t="s">
        <v>525</v>
      </c>
      <c r="E53" s="1811"/>
      <c r="F53" s="1812"/>
      <c r="G53" s="1813"/>
      <c r="H53" s="1813"/>
      <c r="I53" s="1814"/>
      <c r="J53" s="1957">
        <v>2165228.9684048705</v>
      </c>
      <c r="K53" s="1957">
        <f>SUM(K32:K52)</f>
        <v>2273231.1748767141</v>
      </c>
      <c r="L53" s="1957">
        <f>SUM(L32:L52)</f>
        <v>2352929.3958198531</v>
      </c>
      <c r="M53" s="1957">
        <f>SUM(M32:M52)</f>
        <v>2641245.1766723488</v>
      </c>
      <c r="N53" s="1957">
        <f>SUM(N32:N52)</f>
        <v>2726931.0782197132</v>
      </c>
      <c r="O53" s="1957">
        <f>SUM(O32:O52)</f>
        <v>2813636.0647143992</v>
      </c>
      <c r="Q53" s="510"/>
      <c r="R53" s="510"/>
      <c r="S53" s="510"/>
      <c r="T53" s="510"/>
    </row>
    <row r="54" spans="4:20" ht="12.75" customHeight="1" x14ac:dyDescent="0.25">
      <c r="D54" s="652"/>
      <c r="E54" s="655"/>
      <c r="F54" s="656"/>
      <c r="G54" s="653"/>
      <c r="H54" s="653"/>
      <c r="I54" s="653"/>
      <c r="J54" s="653"/>
      <c r="K54" s="653"/>
      <c r="L54" s="653"/>
      <c r="M54" s="653"/>
      <c r="N54" s="653"/>
      <c r="O54" s="653"/>
      <c r="Q54" s="510"/>
      <c r="R54" s="510"/>
      <c r="S54" s="510"/>
      <c r="T54" s="510"/>
    </row>
    <row r="55" spans="4:20" ht="12.75" customHeight="1" x14ac:dyDescent="0.25">
      <c r="D55" s="1953" t="s">
        <v>526</v>
      </c>
      <c r="E55" s="1954"/>
      <c r="F55" s="1954"/>
      <c r="G55" s="1955"/>
      <c r="H55" s="1955"/>
      <c r="I55" s="1956"/>
      <c r="J55" s="1956">
        <v>2025</v>
      </c>
      <c r="K55" s="1956">
        <v>2026</v>
      </c>
      <c r="L55" s="1956">
        <v>2027</v>
      </c>
      <c r="M55" s="1956">
        <v>2028</v>
      </c>
      <c r="N55" s="1956">
        <v>2029</v>
      </c>
      <c r="O55" s="1956">
        <v>2030</v>
      </c>
      <c r="Q55" s="510"/>
      <c r="R55" s="510"/>
      <c r="S55" s="510"/>
      <c r="T55" s="510"/>
    </row>
    <row r="56" spans="4:20" ht="12.75" customHeight="1" x14ac:dyDescent="0.25">
      <c r="D56" s="654" t="str">
        <f>G175</f>
        <v>Maken van rioolhuisaansluitingen</v>
      </c>
      <c r="E56" s="655"/>
      <c r="F56" s="656"/>
      <c r="G56" s="653"/>
      <c r="H56" s="653"/>
      <c r="I56" s="657"/>
      <c r="J56" s="658">
        <v>-35616</v>
      </c>
      <c r="K56" s="658">
        <f t="shared" ref="K56:M56" si="4">K178</f>
        <v>-36471</v>
      </c>
      <c r="L56" s="658">
        <f t="shared" si="4"/>
        <v>-37345</v>
      </c>
      <c r="M56" s="658">
        <f t="shared" si="4"/>
        <v>-38242</v>
      </c>
      <c r="N56" s="658">
        <f t="shared" ref="N56:O56" si="5">N178</f>
        <v>-39122</v>
      </c>
      <c r="O56" s="658">
        <f t="shared" si="5"/>
        <v>-40022</v>
      </c>
      <c r="S56" s="660"/>
      <c r="T56" s="660"/>
    </row>
    <row r="57" spans="4:20" ht="12.75" customHeight="1" x14ac:dyDescent="0.25">
      <c r="D57" s="654" t="str">
        <f>G180</f>
        <v>Rioolrecht</v>
      </c>
      <c r="E57" s="655"/>
      <c r="F57" s="656"/>
      <c r="G57" s="653"/>
      <c r="H57" s="653"/>
      <c r="I57" s="657"/>
      <c r="J57" s="658">
        <v>-2926448.5029999996</v>
      </c>
      <c r="K57" s="658">
        <f t="shared" ref="K57:M57" si="6">K184</f>
        <v>-3020475.2934013894</v>
      </c>
      <c r="L57" s="658">
        <f t="shared" si="6"/>
        <v>-3117523.1645783759</v>
      </c>
      <c r="M57" s="658">
        <f t="shared" si="6"/>
        <v>-3217689.1838562791</v>
      </c>
      <c r="N57" s="658">
        <f t="shared" ref="N57:O57" si="7">N184</f>
        <v>-3321073.5373335811</v>
      </c>
      <c r="O57" s="658">
        <f t="shared" si="7"/>
        <v>-3427779.6300881091</v>
      </c>
      <c r="S57" s="512"/>
      <c r="T57" s="512"/>
    </row>
    <row r="58" spans="4:20" ht="12.75" customHeight="1" x14ac:dyDescent="0.25">
      <c r="D58" s="654"/>
      <c r="E58" s="655"/>
      <c r="F58" s="656"/>
      <c r="G58" s="653"/>
      <c r="H58" s="653"/>
      <c r="I58" s="657"/>
      <c r="J58" s="658"/>
      <c r="K58" s="658"/>
      <c r="L58" s="658"/>
      <c r="M58" s="658"/>
      <c r="N58" s="658"/>
      <c r="O58" s="658"/>
      <c r="S58" s="512"/>
    </row>
    <row r="59" spans="4:20" ht="12.75" customHeight="1" x14ac:dyDescent="0.25">
      <c r="D59" s="654"/>
      <c r="E59" s="655"/>
      <c r="F59" s="656"/>
      <c r="G59" s="653"/>
      <c r="H59" s="653"/>
      <c r="I59" s="657"/>
      <c r="J59" s="658"/>
      <c r="K59" s="658"/>
      <c r="L59" s="658"/>
      <c r="M59" s="658"/>
      <c r="N59" s="658"/>
      <c r="O59" s="658"/>
      <c r="S59" s="512"/>
    </row>
    <row r="60" spans="4:20" ht="12.75" customHeight="1" x14ac:dyDescent="0.25">
      <c r="D60" s="654" t="s">
        <v>4577</v>
      </c>
      <c r="E60" s="655"/>
      <c r="F60" s="656"/>
      <c r="G60" s="653"/>
      <c r="H60" s="653"/>
      <c r="I60" s="657"/>
      <c r="J60" s="658">
        <v>-6014</v>
      </c>
      <c r="K60" s="658">
        <f t="shared" ref="K60:M60" si="8">+K188</f>
        <v>-6194</v>
      </c>
      <c r="L60" s="658">
        <f t="shared" si="8"/>
        <v>-6324</v>
      </c>
      <c r="M60" s="658">
        <f t="shared" si="8"/>
        <v>-6469</v>
      </c>
      <c r="N60" s="658">
        <f t="shared" ref="N60:O60" si="9">+N188</f>
        <v>-6618</v>
      </c>
      <c r="O60" s="658">
        <f t="shared" si="9"/>
        <v>-6770</v>
      </c>
      <c r="S60" s="512"/>
    </row>
    <row r="61" spans="4:20" ht="12.75" customHeight="1" x14ac:dyDescent="0.25">
      <c r="D61" s="654"/>
      <c r="E61" s="655"/>
      <c r="F61" s="656"/>
      <c r="G61" s="653"/>
      <c r="H61" s="653"/>
      <c r="I61" s="657"/>
      <c r="J61" s="658"/>
      <c r="K61" s="658"/>
      <c r="L61" s="658"/>
      <c r="M61" s="658"/>
      <c r="N61" s="658"/>
      <c r="O61" s="658"/>
    </row>
    <row r="62" spans="4:20" ht="12.75" customHeight="1" x14ac:dyDescent="0.25">
      <c r="D62" s="654"/>
      <c r="E62" s="655"/>
      <c r="F62" s="656"/>
      <c r="G62" s="653"/>
      <c r="H62" s="653"/>
      <c r="I62" s="657"/>
      <c r="J62" s="661"/>
      <c r="K62" s="661"/>
      <c r="L62" s="661"/>
      <c r="M62" s="661"/>
      <c r="N62" s="661"/>
      <c r="O62" s="661"/>
      <c r="T62" s="512"/>
    </row>
    <row r="63" spans="4:20" ht="12.75" customHeight="1" x14ac:dyDescent="0.25">
      <c r="D63" s="654"/>
      <c r="E63" s="655"/>
      <c r="F63" s="656"/>
      <c r="G63" s="653"/>
      <c r="H63" s="653"/>
      <c r="I63" s="657"/>
      <c r="J63" s="661"/>
      <c r="K63" s="661"/>
      <c r="L63" s="661"/>
      <c r="M63" s="661"/>
      <c r="N63" s="661"/>
      <c r="O63" s="661"/>
      <c r="Q63" s="510"/>
      <c r="R63" s="510"/>
      <c r="S63" s="510"/>
      <c r="T63" s="510"/>
    </row>
    <row r="64" spans="4:20" ht="12.75" customHeight="1" x14ac:dyDescent="0.25">
      <c r="D64" s="654"/>
      <c r="E64" s="655"/>
      <c r="F64" s="656"/>
      <c r="G64" s="653"/>
      <c r="H64" s="653"/>
      <c r="I64" s="657"/>
      <c r="J64" s="661"/>
      <c r="K64" s="661"/>
      <c r="L64" s="661"/>
      <c r="M64" s="661"/>
      <c r="N64" s="661"/>
      <c r="O64" s="661"/>
      <c r="Q64" s="510"/>
      <c r="R64" s="510"/>
      <c r="S64" s="510"/>
      <c r="T64" s="510"/>
    </row>
    <row r="65" spans="1:24" ht="12.75" customHeight="1" x14ac:dyDescent="0.25">
      <c r="D65" s="654"/>
      <c r="E65" s="655"/>
      <c r="F65" s="656"/>
      <c r="G65" s="653"/>
      <c r="H65" s="653"/>
      <c r="I65" s="657"/>
      <c r="J65" s="661"/>
      <c r="K65" s="661"/>
      <c r="L65" s="661"/>
      <c r="M65" s="661"/>
      <c r="N65" s="661"/>
      <c r="O65" s="661"/>
      <c r="Q65" s="510"/>
      <c r="R65" s="510"/>
      <c r="S65" s="510"/>
      <c r="T65" s="510"/>
    </row>
    <row r="66" spans="1:24" ht="12.75" customHeight="1" x14ac:dyDescent="0.25">
      <c r="D66" s="654"/>
      <c r="E66" s="655"/>
      <c r="F66" s="656"/>
      <c r="G66" s="653"/>
      <c r="H66" s="653"/>
      <c r="I66" s="657"/>
      <c r="J66" s="661"/>
      <c r="K66" s="661"/>
      <c r="L66" s="661"/>
      <c r="M66" s="661"/>
      <c r="N66" s="661"/>
      <c r="O66" s="661"/>
      <c r="Q66" s="510"/>
      <c r="R66" s="510"/>
      <c r="S66" s="510"/>
      <c r="T66" s="510"/>
    </row>
    <row r="67" spans="1:24" ht="12.75" customHeight="1" x14ac:dyDescent="0.25">
      <c r="D67" s="662"/>
      <c r="E67" s="663"/>
      <c r="F67" s="664"/>
      <c r="G67" s="665"/>
      <c r="H67" s="665"/>
      <c r="I67" s="657"/>
      <c r="J67" s="661"/>
      <c r="K67" s="661"/>
      <c r="L67" s="661"/>
      <c r="M67" s="661"/>
      <c r="N67" s="661"/>
      <c r="O67" s="661"/>
      <c r="Q67" s="510"/>
      <c r="R67" s="510"/>
      <c r="S67" s="510"/>
      <c r="T67" s="510"/>
    </row>
    <row r="68" spans="1:24" ht="12.75" customHeight="1" x14ac:dyDescent="0.25">
      <c r="D68" s="1810" t="s">
        <v>328</v>
      </c>
      <c r="E68" s="1811"/>
      <c r="F68" s="1812"/>
      <c r="G68" s="1813"/>
      <c r="H68" s="1813"/>
      <c r="I68" s="1814"/>
      <c r="J68" s="1957">
        <v>-2968078.5029999996</v>
      </c>
      <c r="K68" s="1957">
        <f>SUM(K56:K67)</f>
        <v>-3063140.2934013894</v>
      </c>
      <c r="L68" s="1957">
        <f>SUM(L56:L67)</f>
        <v>-3161192.1645783759</v>
      </c>
      <c r="M68" s="1957">
        <f>SUM(M56:M67)</f>
        <v>-3262400.1838562791</v>
      </c>
      <c r="N68" s="1957">
        <f>SUM(N56:N67)</f>
        <v>-3366813.5373335811</v>
      </c>
      <c r="O68" s="1957">
        <f>SUM(O56:O67)</f>
        <v>-3474571.6300881091</v>
      </c>
      <c r="Q68" s="510"/>
      <c r="R68" s="510"/>
      <c r="S68" s="510"/>
      <c r="T68" s="510"/>
    </row>
    <row r="69" spans="1:24" ht="12.75" customHeight="1" x14ac:dyDescent="0.25">
      <c r="D69" s="652"/>
      <c r="E69" s="655"/>
      <c r="F69" s="656"/>
      <c r="G69" s="653"/>
      <c r="H69" s="653"/>
      <c r="I69" s="653"/>
      <c r="J69" s="666"/>
      <c r="K69" s="666"/>
      <c r="L69" s="666"/>
      <c r="M69" s="666"/>
      <c r="N69" s="666"/>
      <c r="O69" s="666"/>
      <c r="Q69" s="510"/>
      <c r="R69" s="510"/>
      <c r="S69" s="510"/>
      <c r="T69" s="510"/>
    </row>
    <row r="70" spans="1:24" ht="12.75" customHeight="1" x14ac:dyDescent="0.25">
      <c r="D70" s="1810" t="s">
        <v>527</v>
      </c>
      <c r="E70" s="1817"/>
      <c r="F70" s="1817"/>
      <c r="G70" s="1813"/>
      <c r="H70" s="1813"/>
      <c r="I70" s="1813"/>
      <c r="J70" s="1818">
        <v>-802849.53459512908</v>
      </c>
      <c r="K70" s="1818">
        <f>K53+K68</f>
        <v>-789909.11852467526</v>
      </c>
      <c r="L70" s="1818">
        <f>L53+L68</f>
        <v>-808262.76875852281</v>
      </c>
      <c r="M70" s="1818">
        <f>M53+M68</f>
        <v>-621155.00718393037</v>
      </c>
      <c r="N70" s="1818">
        <f>N53+N68</f>
        <v>-639882.45911386795</v>
      </c>
      <c r="O70" s="1818">
        <f>O53+O68</f>
        <v>-660935.56537370989</v>
      </c>
      <c r="S70" s="359" t="s">
        <v>4578</v>
      </c>
      <c r="U70" s="510"/>
      <c r="V70" s="510"/>
      <c r="W70" s="510"/>
      <c r="X70" s="510"/>
    </row>
    <row r="71" spans="1:24" ht="12.75" customHeight="1" x14ac:dyDescent="0.25">
      <c r="D71" s="652"/>
      <c r="E71" s="655"/>
      <c r="F71" s="656"/>
      <c r="G71" s="653"/>
      <c r="H71" s="653"/>
      <c r="I71" s="653"/>
      <c r="J71" s="666"/>
      <c r="K71" s="666"/>
      <c r="L71" s="666"/>
      <c r="M71" s="666"/>
      <c r="N71" s="666"/>
      <c r="O71" s="666"/>
      <c r="T71" s="510" t="e">
        <f>-#REF!+#REF!</f>
        <v>#REF!</v>
      </c>
      <c r="U71" s="510" t="e">
        <f>-#REF!+#REF!</f>
        <v>#REF!</v>
      </c>
      <c r="V71" s="510">
        <f>-J453+J414</f>
        <v>-383134</v>
      </c>
      <c r="W71" s="510">
        <f>-K453+K414</f>
        <v>-391613</v>
      </c>
    </row>
    <row r="72" spans="1:24" ht="12.75" customHeight="1" x14ac:dyDescent="0.25">
      <c r="D72" s="652"/>
      <c r="E72" s="655"/>
      <c r="F72" s="656"/>
      <c r="G72" s="653"/>
      <c r="H72" s="653"/>
      <c r="I72" s="619" t="s">
        <v>4579</v>
      </c>
      <c r="J72" s="666"/>
      <c r="K72" s="666"/>
      <c r="L72" s="666"/>
      <c r="M72" s="666"/>
      <c r="N72" s="666"/>
      <c r="O72" s="666"/>
      <c r="Q72" s="510"/>
      <c r="R72" s="510"/>
      <c r="S72" s="510"/>
      <c r="T72" s="510"/>
    </row>
    <row r="73" spans="1:24" ht="12.75" customHeight="1" x14ac:dyDescent="0.25">
      <c r="D73" s="652"/>
      <c r="E73" s="655"/>
      <c r="F73" s="656"/>
      <c r="G73" s="653"/>
      <c r="H73" s="653"/>
      <c r="I73" s="619" t="s">
        <v>4580</v>
      </c>
      <c r="J73" s="666">
        <v>383134</v>
      </c>
      <c r="K73" s="666">
        <f t="shared" ref="K73:M73" si="10">-K414</f>
        <v>391613</v>
      </c>
      <c r="L73" s="666">
        <f t="shared" si="10"/>
        <v>396640</v>
      </c>
      <c r="M73" s="666">
        <f t="shared" si="10"/>
        <v>209560</v>
      </c>
      <c r="N73" s="666">
        <f t="shared" ref="N73:O73" si="11">-N414</f>
        <v>214811</v>
      </c>
      <c r="O73" s="666">
        <f t="shared" si="11"/>
        <v>220137</v>
      </c>
      <c r="Q73" s="510"/>
      <c r="R73" s="510"/>
      <c r="S73" s="510"/>
      <c r="T73" s="510"/>
    </row>
    <row r="74" spans="1:24" ht="12.75" customHeight="1" x14ac:dyDescent="0.25">
      <c r="D74" s="652"/>
      <c r="E74" s="655"/>
      <c r="F74" s="656"/>
      <c r="G74" s="653"/>
      <c r="H74" s="653"/>
      <c r="I74" s="619" t="s">
        <v>4581</v>
      </c>
      <c r="J74" s="667">
        <v>419715.53459512908</v>
      </c>
      <c r="K74" s="667">
        <f t="shared" ref="K74:M74" si="12">K444</f>
        <v>398296.11852467555</v>
      </c>
      <c r="L74" s="667">
        <f t="shared" si="12"/>
        <v>411622.76875852275</v>
      </c>
      <c r="M74" s="667">
        <f t="shared" si="12"/>
        <v>411595.00718393037</v>
      </c>
      <c r="N74" s="667">
        <f t="shared" ref="N74:O74" si="13">N444</f>
        <v>425071.45911386784</v>
      </c>
      <c r="O74" s="667">
        <f t="shared" si="13"/>
        <v>440798.56537371001</v>
      </c>
      <c r="Q74" s="510"/>
      <c r="R74" s="510"/>
      <c r="S74" s="510"/>
      <c r="T74" s="510"/>
    </row>
    <row r="75" spans="1:24" ht="12.75" customHeight="1" x14ac:dyDescent="0.25">
      <c r="D75" s="652"/>
      <c r="E75" s="655"/>
      <c r="F75" s="656"/>
      <c r="G75" s="653"/>
      <c r="H75" s="653"/>
      <c r="I75" s="619"/>
      <c r="J75" s="666">
        <v>802849.53459512908</v>
      </c>
      <c r="K75" s="666">
        <f t="shared" ref="K75:M75" si="14">SUM(K73:K74)</f>
        <v>789909.11852467549</v>
      </c>
      <c r="L75" s="666">
        <f t="shared" si="14"/>
        <v>808262.76875852281</v>
      </c>
      <c r="M75" s="666">
        <f t="shared" si="14"/>
        <v>621155.00718393037</v>
      </c>
      <c r="N75" s="666">
        <f t="shared" ref="N75:O75" si="15">SUM(N73:N74)</f>
        <v>639882.45911386784</v>
      </c>
      <c r="O75" s="666">
        <f t="shared" si="15"/>
        <v>660935.56537371001</v>
      </c>
      <c r="Q75" s="510"/>
      <c r="R75" s="510"/>
      <c r="S75" s="510"/>
      <c r="T75" s="510"/>
    </row>
    <row r="76" spans="1:24" ht="12.75" customHeight="1" x14ac:dyDescent="0.25">
      <c r="D76" s="652"/>
      <c r="E76" s="655"/>
      <c r="F76" s="656"/>
      <c r="G76" s="653"/>
      <c r="H76" s="653"/>
      <c r="I76" s="653"/>
      <c r="J76" s="666"/>
      <c r="K76" s="666"/>
      <c r="L76" s="666"/>
      <c r="M76" s="666"/>
      <c r="N76" s="666"/>
      <c r="O76" s="666"/>
      <c r="Q76" s="510"/>
      <c r="R76" s="510"/>
      <c r="S76" s="510"/>
      <c r="T76" s="510"/>
    </row>
    <row r="77" spans="1:24" ht="12.75" customHeight="1" x14ac:dyDescent="0.25">
      <c r="D77" s="652"/>
      <c r="E77" s="652"/>
      <c r="F77" s="652"/>
      <c r="G77" s="653"/>
      <c r="H77" s="653"/>
      <c r="I77" s="653"/>
      <c r="J77" s="666"/>
      <c r="K77" s="666"/>
      <c r="L77" s="666"/>
      <c r="M77" s="666"/>
      <c r="N77" s="666"/>
      <c r="O77" s="666"/>
      <c r="Q77" s="510"/>
      <c r="R77" s="510"/>
      <c r="S77" s="510"/>
      <c r="T77" s="510"/>
    </row>
    <row r="78" spans="1:24" ht="12.75" customHeight="1" x14ac:dyDescent="0.25">
      <c r="D78" s="668" t="s">
        <v>528</v>
      </c>
      <c r="E78" s="669"/>
      <c r="F78" s="669"/>
    </row>
    <row r="79" spans="1:24" ht="12.75" customHeight="1" x14ac:dyDescent="0.25">
      <c r="D79" s="668"/>
      <c r="E79" s="669"/>
      <c r="F79" s="670" t="s">
        <v>4582</v>
      </c>
    </row>
    <row r="80" spans="1:24" ht="12.75" customHeight="1" x14ac:dyDescent="0.25">
      <c r="A80" s="502"/>
      <c r="D80" s="2619" t="s">
        <v>529</v>
      </c>
      <c r="E80" s="1958" t="s">
        <v>530</v>
      </c>
      <c r="F80" s="2621" t="s">
        <v>531</v>
      </c>
      <c r="G80" s="2623" t="s">
        <v>206</v>
      </c>
      <c r="H80" s="2624"/>
      <c r="I80" s="1959"/>
      <c r="J80" s="1960"/>
      <c r="K80" s="653"/>
      <c r="L80" s="653"/>
      <c r="M80" s="653"/>
      <c r="N80" s="653"/>
      <c r="O80" s="653"/>
    </row>
    <row r="81" spans="1:23" ht="12.75" customHeight="1" x14ac:dyDescent="0.25">
      <c r="A81" s="502"/>
      <c r="D81" s="2620"/>
      <c r="E81" s="671" t="s">
        <v>532</v>
      </c>
      <c r="F81" s="2622"/>
      <c r="G81" s="2625"/>
      <c r="H81" s="2626"/>
      <c r="I81" s="672"/>
      <c r="J81" s="1961">
        <v>2025</v>
      </c>
      <c r="K81" s="1961">
        <v>2026</v>
      </c>
      <c r="L81" s="1961">
        <v>2027</v>
      </c>
      <c r="M81" s="1961">
        <v>2028</v>
      </c>
      <c r="N81" s="1961">
        <v>2029</v>
      </c>
      <c r="O81" s="1961">
        <v>2030</v>
      </c>
    </row>
    <row r="82" spans="1:23" ht="12.75" customHeight="1" x14ac:dyDescent="0.25">
      <c r="D82" s="673"/>
      <c r="E82" s="674"/>
      <c r="F82" s="674"/>
      <c r="G82" s="1962"/>
      <c r="H82" s="675"/>
      <c r="I82" s="1963"/>
      <c r="J82" s="1964"/>
      <c r="K82" s="1964"/>
      <c r="L82" s="1964"/>
      <c r="M82" s="1964"/>
      <c r="N82" s="1964"/>
      <c r="O82" s="1964"/>
    </row>
    <row r="83" spans="1:23" ht="12.75" customHeight="1" x14ac:dyDescent="0.25">
      <c r="D83" s="676">
        <v>647007</v>
      </c>
      <c r="E83" s="674"/>
      <c r="F83" s="674"/>
      <c r="G83" s="677" t="s">
        <v>4583</v>
      </c>
      <c r="I83" s="379"/>
      <c r="J83" s="678"/>
      <c r="K83" s="678"/>
      <c r="L83" s="678"/>
      <c r="M83" s="678"/>
      <c r="N83" s="678"/>
      <c r="O83" s="678"/>
    </row>
    <row r="84" spans="1:23" ht="12.75" customHeight="1" x14ac:dyDescent="0.25">
      <c r="D84" s="679"/>
      <c r="E84" s="674"/>
      <c r="F84" s="674"/>
      <c r="G84" s="680" t="s">
        <v>533</v>
      </c>
      <c r="I84" s="379"/>
      <c r="J84" s="678"/>
      <c r="K84" s="678"/>
      <c r="L84" s="678"/>
      <c r="M84" s="678"/>
      <c r="N84" s="678"/>
      <c r="O84" s="678"/>
    </row>
    <row r="85" spans="1:23" ht="12.75" customHeight="1" x14ac:dyDescent="0.25">
      <c r="A85" s="368">
        <f>+D83</f>
        <v>647007</v>
      </c>
      <c r="B85" s="359" t="str">
        <f>G83</f>
        <v>Straatreiniging, aandeel riolering</v>
      </c>
      <c r="D85" s="681">
        <v>43812</v>
      </c>
      <c r="E85" s="682"/>
      <c r="F85" s="682"/>
      <c r="G85" s="371" t="s">
        <v>535</v>
      </c>
      <c r="I85" s="380"/>
      <c r="J85" s="683">
        <v>179980</v>
      </c>
      <c r="K85" s="683">
        <f>-'T21'!K738</f>
        <v>207184</v>
      </c>
      <c r="L85" s="683">
        <f>-'T21'!L738</f>
        <v>221205</v>
      </c>
      <c r="M85" s="683">
        <f>-'T21'!M738</f>
        <v>234965</v>
      </c>
      <c r="N85" s="683">
        <f>-'T21'!N738</f>
        <v>249036</v>
      </c>
      <c r="O85" s="683">
        <f>-'T21'!O738</f>
        <v>263307</v>
      </c>
      <c r="P85" s="359" t="s">
        <v>4584</v>
      </c>
      <c r="S85" s="74"/>
      <c r="T85" s="74"/>
      <c r="U85" s="74"/>
      <c r="V85" s="74"/>
      <c r="W85" s="74"/>
    </row>
    <row r="86" spans="1:23" ht="12.75" customHeight="1" x14ac:dyDescent="0.25">
      <c r="A86" s="368">
        <f>+D83</f>
        <v>647007</v>
      </c>
      <c r="B86" s="359" t="str">
        <f>G86</f>
        <v>Investeringsbijdragen rijk</v>
      </c>
      <c r="D86" s="681">
        <v>44510</v>
      </c>
      <c r="E86" s="682"/>
      <c r="F86" s="682"/>
      <c r="G86" s="371" t="s">
        <v>4585</v>
      </c>
      <c r="I86" s="380"/>
      <c r="J86" s="683">
        <v>35554</v>
      </c>
      <c r="K86" s="683">
        <f>-'T21'!K746</f>
        <v>41627</v>
      </c>
      <c r="L86" s="683">
        <f>-'T21'!L746</f>
        <v>44484</v>
      </c>
      <c r="M86" s="683">
        <f>-'T21'!M746</f>
        <v>47334</v>
      </c>
      <c r="N86" s="683">
        <f>-'T21'!N746</f>
        <v>50219</v>
      </c>
      <c r="O86" s="683">
        <f>-'T21'!O746</f>
        <v>53139</v>
      </c>
      <c r="P86" s="359" t="s">
        <v>4584</v>
      </c>
      <c r="S86" s="74"/>
      <c r="T86" s="74">
        <f>J86+J93+J100+J107+J113+J122+J128+J134+J140+J146+J162</f>
        <v>383134</v>
      </c>
      <c r="U86" s="74"/>
      <c r="V86" s="74"/>
      <c r="W86" s="74"/>
    </row>
    <row r="87" spans="1:23" ht="12.75" customHeight="1" thickBot="1" x14ac:dyDescent="0.3">
      <c r="D87" s="679"/>
      <c r="E87" s="674"/>
      <c r="F87" s="674"/>
      <c r="G87" s="371" t="s">
        <v>536</v>
      </c>
      <c r="I87" s="380"/>
      <c r="J87" s="684">
        <v>215534</v>
      </c>
      <c r="K87" s="684">
        <f>SUM(K85:K86)</f>
        <v>248811</v>
      </c>
      <c r="L87" s="684">
        <f>SUM(L85:L86)</f>
        <v>265689</v>
      </c>
      <c r="M87" s="684">
        <f>SUM(M85:M86)</f>
        <v>282299</v>
      </c>
      <c r="N87" s="684">
        <f>SUM(N85:N86)</f>
        <v>299255</v>
      </c>
      <c r="O87" s="684">
        <f>SUM(O85:O86)</f>
        <v>316446</v>
      </c>
    </row>
    <row r="88" spans="1:23" ht="12.75" customHeight="1" thickTop="1" x14ac:dyDescent="0.25">
      <c r="D88" s="679"/>
      <c r="E88" s="674"/>
      <c r="F88" s="674"/>
      <c r="G88" s="371"/>
      <c r="I88" s="379"/>
      <c r="J88" s="685"/>
      <c r="K88" s="685"/>
      <c r="L88" s="685"/>
      <c r="M88" s="685"/>
      <c r="N88" s="685"/>
      <c r="O88" s="685"/>
    </row>
    <row r="89" spans="1:23" ht="12.75" customHeight="1" x14ac:dyDescent="0.25">
      <c r="D89" s="676">
        <v>647001</v>
      </c>
      <c r="E89" s="674"/>
      <c r="F89" s="674"/>
      <c r="G89" s="677" t="s">
        <v>4586</v>
      </c>
      <c r="I89" s="379"/>
      <c r="J89" s="678"/>
      <c r="K89" s="678"/>
      <c r="L89" s="678"/>
      <c r="M89" s="678"/>
      <c r="N89" s="678"/>
      <c r="O89" s="678"/>
    </row>
    <row r="90" spans="1:23" ht="12.75" customHeight="1" x14ac:dyDescent="0.25">
      <c r="D90" s="676"/>
      <c r="E90" s="674"/>
      <c r="F90" s="674"/>
      <c r="G90" s="680" t="s">
        <v>533</v>
      </c>
      <c r="I90" s="379"/>
      <c r="J90" s="678"/>
      <c r="K90" s="678"/>
      <c r="L90" s="678"/>
      <c r="M90" s="678"/>
      <c r="N90" s="678"/>
      <c r="O90" s="678"/>
    </row>
    <row r="91" spans="1:23" ht="12.75" customHeight="1" x14ac:dyDescent="0.25">
      <c r="A91" s="368">
        <f>+D89</f>
        <v>647001</v>
      </c>
      <c r="B91" s="359" t="str">
        <f>G89</f>
        <v>Riolen algemeen</v>
      </c>
      <c r="D91" s="681">
        <v>43802</v>
      </c>
      <c r="E91" s="682"/>
      <c r="F91" s="682"/>
      <c r="G91" s="371" t="s">
        <v>991</v>
      </c>
      <c r="I91" s="380"/>
      <c r="J91" s="683">
        <v>47286</v>
      </c>
      <c r="K91" s="683">
        <v>48421</v>
      </c>
      <c r="L91" s="683">
        <v>49583</v>
      </c>
      <c r="M91" s="683">
        <v>50773</v>
      </c>
      <c r="N91" s="683">
        <f>ROUND(M91*V$2,0)</f>
        <v>51941</v>
      </c>
      <c r="O91" s="683">
        <f>ROUND(N91*W$2,0)</f>
        <v>53136</v>
      </c>
      <c r="R91" s="359" t="s">
        <v>4587</v>
      </c>
    </row>
    <row r="92" spans="1:23" ht="12.75" customHeight="1" x14ac:dyDescent="0.25">
      <c r="A92" s="368">
        <f>+D89</f>
        <v>647001</v>
      </c>
      <c r="B92" s="359" t="str">
        <f>G89</f>
        <v>Riolen algemeen</v>
      </c>
      <c r="D92" s="681">
        <v>43812</v>
      </c>
      <c r="E92" s="682"/>
      <c r="F92" s="682"/>
      <c r="G92" s="371" t="s">
        <v>535</v>
      </c>
      <c r="I92" s="380"/>
      <c r="J92" s="683">
        <v>79173</v>
      </c>
      <c r="K92" s="683">
        <f t="shared" ref="K92:N92" si="16">+K213</f>
        <v>81233</v>
      </c>
      <c r="L92" s="683">
        <f t="shared" si="16"/>
        <v>82940</v>
      </c>
      <c r="M92" s="683">
        <f t="shared" si="16"/>
        <v>84847</v>
      </c>
      <c r="N92" s="683">
        <f t="shared" si="16"/>
        <v>86798</v>
      </c>
      <c r="O92" s="683">
        <f t="shared" ref="O92" si="17">+O213</f>
        <v>88795</v>
      </c>
    </row>
    <row r="93" spans="1:23" ht="12.75" customHeight="1" x14ac:dyDescent="0.25">
      <c r="A93" s="368">
        <f>+D89</f>
        <v>647001</v>
      </c>
      <c r="B93" s="359" t="str">
        <f>G89</f>
        <v>Riolen algemeen</v>
      </c>
      <c r="D93" s="681">
        <v>44510</v>
      </c>
      <c r="E93" s="682"/>
      <c r="F93" s="682"/>
      <c r="G93" s="371" t="s">
        <v>4585</v>
      </c>
      <c r="I93" s="380"/>
      <c r="J93" s="683">
        <v>278556</v>
      </c>
      <c r="K93" s="683">
        <f t="shared" ref="K93:M93" si="18">+K218</f>
        <v>279227</v>
      </c>
      <c r="L93" s="683">
        <f t="shared" si="18"/>
        <v>279830</v>
      </c>
      <c r="M93" s="683">
        <f t="shared" si="18"/>
        <v>88217</v>
      </c>
      <c r="N93" s="683">
        <f t="shared" ref="N93:O93" si="19">+N218</f>
        <v>88872</v>
      </c>
      <c r="O93" s="683">
        <f t="shared" si="19"/>
        <v>89543</v>
      </c>
    </row>
    <row r="94" spans="1:23" ht="12.75" customHeight="1" thickBot="1" x14ac:dyDescent="0.3">
      <c r="D94" s="686"/>
      <c r="E94" s="377"/>
      <c r="F94" s="377"/>
      <c r="G94" s="371" t="s">
        <v>536</v>
      </c>
      <c r="I94" s="380"/>
      <c r="J94" s="687">
        <v>405015</v>
      </c>
      <c r="K94" s="687">
        <f>SUM(K91:K93)</f>
        <v>408881</v>
      </c>
      <c r="L94" s="687">
        <f>SUM(L91:L93)</f>
        <v>412353</v>
      </c>
      <c r="M94" s="687">
        <f>SUM(M91:M93)</f>
        <v>223837</v>
      </c>
      <c r="N94" s="687">
        <f>SUM(N91:N93)</f>
        <v>227611</v>
      </c>
      <c r="O94" s="687">
        <f>SUM(O91:O93)</f>
        <v>231474</v>
      </c>
    </row>
    <row r="95" spans="1:23" ht="12.75" customHeight="1" thickTop="1" x14ac:dyDescent="0.25">
      <c r="D95" s="686"/>
      <c r="E95" s="377"/>
      <c r="F95" s="377"/>
      <c r="G95" s="371"/>
      <c r="I95" s="380"/>
      <c r="J95" s="683"/>
      <c r="K95" s="683"/>
      <c r="L95" s="683"/>
      <c r="M95" s="683"/>
      <c r="N95" s="683"/>
      <c r="O95" s="683"/>
    </row>
    <row r="96" spans="1:23" ht="12.75" customHeight="1" x14ac:dyDescent="0.25">
      <c r="D96" s="676">
        <v>647002</v>
      </c>
      <c r="E96" s="674"/>
      <c r="F96" s="674"/>
      <c r="G96" s="677" t="s">
        <v>4588</v>
      </c>
      <c r="I96" s="380"/>
      <c r="J96" s="683"/>
      <c r="K96" s="683"/>
      <c r="L96" s="683"/>
      <c r="M96" s="683"/>
      <c r="N96" s="683"/>
      <c r="O96" s="683"/>
      <c r="W96" s="359">
        <f>44553/43382</f>
        <v>1.0269927619750128</v>
      </c>
    </row>
    <row r="97" spans="1:23" ht="12.75" customHeight="1" x14ac:dyDescent="0.25">
      <c r="D97" s="686"/>
      <c r="E97" s="377"/>
      <c r="F97" s="377"/>
      <c r="G97" s="680" t="s">
        <v>533</v>
      </c>
      <c r="I97" s="380"/>
      <c r="J97" s="683"/>
      <c r="K97" s="683"/>
      <c r="L97" s="683"/>
      <c r="M97" s="683"/>
      <c r="N97" s="683"/>
      <c r="O97" s="683"/>
    </row>
    <row r="98" spans="1:23" ht="12.75" customHeight="1" x14ac:dyDescent="0.25">
      <c r="A98" s="368">
        <f>+D96</f>
        <v>647002</v>
      </c>
      <c r="B98" s="359" t="str">
        <f>G96</f>
        <v>Drukriolering</v>
      </c>
      <c r="D98" s="681">
        <v>43802</v>
      </c>
      <c r="E98" s="682"/>
      <c r="F98" s="682"/>
      <c r="G98" s="371" t="s">
        <v>991</v>
      </c>
      <c r="I98" s="380"/>
      <c r="J98" s="683">
        <v>45346</v>
      </c>
      <c r="K98" s="683">
        <v>46434</v>
      </c>
      <c r="L98" s="683">
        <v>47548</v>
      </c>
      <c r="M98" s="683">
        <v>48689</v>
      </c>
      <c r="N98" s="683">
        <f t="shared" ref="N98:O100" si="20">ROUND(M98*V$2,0)</f>
        <v>49809</v>
      </c>
      <c r="O98" s="683">
        <f t="shared" si="20"/>
        <v>50955</v>
      </c>
      <c r="R98" s="359" t="s">
        <v>4587</v>
      </c>
    </row>
    <row r="99" spans="1:23" ht="12.75" customHeight="1" x14ac:dyDescent="0.25">
      <c r="A99" s="368">
        <f>+D96</f>
        <v>647002</v>
      </c>
      <c r="B99" s="359" t="str">
        <f>G96</f>
        <v>Drukriolering</v>
      </c>
      <c r="D99" s="681">
        <v>43812</v>
      </c>
      <c r="E99" s="682"/>
      <c r="F99" s="682"/>
      <c r="G99" s="371" t="s">
        <v>535</v>
      </c>
      <c r="I99" s="380"/>
      <c r="J99" s="683">
        <v>36311</v>
      </c>
      <c r="K99" s="683">
        <v>37146</v>
      </c>
      <c r="L99" s="683">
        <v>38001</v>
      </c>
      <c r="M99" s="683">
        <v>38876</v>
      </c>
      <c r="N99" s="683">
        <f t="shared" si="20"/>
        <v>39770</v>
      </c>
      <c r="O99" s="683">
        <f t="shared" si="20"/>
        <v>40685</v>
      </c>
    </row>
    <row r="100" spans="1:23" ht="12.75" customHeight="1" x14ac:dyDescent="0.25">
      <c r="A100" s="368">
        <f>+D96</f>
        <v>647002</v>
      </c>
      <c r="B100" s="359" t="str">
        <f>G96</f>
        <v>Drukriolering</v>
      </c>
      <c r="D100" s="681">
        <v>44510</v>
      </c>
      <c r="E100" s="682"/>
      <c r="F100" s="682"/>
      <c r="G100" s="371" t="s">
        <v>4585</v>
      </c>
      <c r="I100" s="380"/>
      <c r="J100" s="683">
        <v>17148</v>
      </c>
      <c r="K100" s="683">
        <v>17552</v>
      </c>
      <c r="L100" s="683">
        <v>17965</v>
      </c>
      <c r="M100" s="683">
        <v>18389</v>
      </c>
      <c r="N100" s="683">
        <f t="shared" si="20"/>
        <v>18812</v>
      </c>
      <c r="O100" s="683">
        <f t="shared" si="20"/>
        <v>19245</v>
      </c>
    </row>
    <row r="101" spans="1:23" ht="12.75" customHeight="1" thickBot="1" x14ac:dyDescent="0.3">
      <c r="D101" s="686"/>
      <c r="E101" s="377"/>
      <c r="F101" s="377"/>
      <c r="G101" s="371" t="s">
        <v>536</v>
      </c>
      <c r="I101" s="380"/>
      <c r="J101" s="687">
        <v>98805</v>
      </c>
      <c r="K101" s="687">
        <f>SUM(K98:K100)</f>
        <v>101132</v>
      </c>
      <c r="L101" s="687">
        <f>SUM(L98:L100)</f>
        <v>103514</v>
      </c>
      <c r="M101" s="687">
        <f>SUM(M98:M100)</f>
        <v>105954</v>
      </c>
      <c r="N101" s="687">
        <f>SUM(N98:N100)</f>
        <v>108391</v>
      </c>
      <c r="O101" s="687">
        <f>SUM(O98:O100)</f>
        <v>110885</v>
      </c>
    </row>
    <row r="102" spans="1:23" ht="12.75" customHeight="1" thickTop="1" x14ac:dyDescent="0.25">
      <c r="D102" s="686"/>
      <c r="E102" s="377"/>
      <c r="F102" s="377"/>
      <c r="G102" s="371"/>
      <c r="I102" s="380"/>
      <c r="J102" s="688"/>
      <c r="K102" s="688"/>
      <c r="L102" s="688"/>
      <c r="M102" s="688"/>
      <c r="N102" s="688"/>
      <c r="O102" s="688"/>
    </row>
    <row r="103" spans="1:23" ht="12.75" customHeight="1" x14ac:dyDescent="0.25">
      <c r="D103" s="676">
        <v>647001</v>
      </c>
      <c r="E103" s="674"/>
      <c r="F103" s="674"/>
      <c r="G103" s="677" t="s">
        <v>4589</v>
      </c>
      <c r="I103" s="380"/>
      <c r="J103" s="683"/>
      <c r="K103" s="683"/>
      <c r="L103" s="683"/>
      <c r="M103" s="683"/>
      <c r="N103" s="683"/>
      <c r="O103" s="683"/>
      <c r="W103" s="359">
        <f>43382*3.2%</f>
        <v>1388.2239999999999</v>
      </c>
    </row>
    <row r="104" spans="1:23" ht="12.75" customHeight="1" x14ac:dyDescent="0.25">
      <c r="D104" s="686"/>
      <c r="E104" s="377"/>
      <c r="F104" s="377"/>
      <c r="G104" s="680" t="s">
        <v>533</v>
      </c>
      <c r="I104" s="380"/>
      <c r="J104" s="683"/>
      <c r="K104" s="683"/>
      <c r="L104" s="683"/>
      <c r="M104" s="683"/>
      <c r="N104" s="683"/>
      <c r="O104" s="683"/>
    </row>
    <row r="105" spans="1:23" ht="12.75" customHeight="1" x14ac:dyDescent="0.25">
      <c r="A105" s="368">
        <f>+D103</f>
        <v>647001</v>
      </c>
      <c r="B105" s="359" t="str">
        <f>G103</f>
        <v>Inspectie en reiniging riolering</v>
      </c>
      <c r="D105" s="686">
        <v>43511</v>
      </c>
      <c r="E105" s="377"/>
      <c r="F105" s="377"/>
      <c r="G105" s="371" t="s">
        <v>560</v>
      </c>
      <c r="I105" s="380"/>
      <c r="J105" s="380">
        <v>40000</v>
      </c>
      <c r="K105" s="380">
        <f t="shared" ref="K105:L105" si="21">K240</f>
        <v>40000</v>
      </c>
      <c r="L105" s="380">
        <f t="shared" si="21"/>
        <v>40000</v>
      </c>
      <c r="M105" s="380">
        <f>+L105</f>
        <v>40000</v>
      </c>
      <c r="N105" s="380">
        <f>+M105</f>
        <v>40000</v>
      </c>
      <c r="O105" s="380">
        <f>+N105</f>
        <v>40000</v>
      </c>
    </row>
    <row r="106" spans="1:23" ht="12.75" customHeight="1" x14ac:dyDescent="0.25">
      <c r="A106" s="368">
        <f>+D103</f>
        <v>647001</v>
      </c>
      <c r="B106" s="359" t="str">
        <f>G103</f>
        <v>Inspectie en reiniging riolering</v>
      </c>
      <c r="D106" s="681">
        <v>43812</v>
      </c>
      <c r="E106" s="682"/>
      <c r="F106" s="682"/>
      <c r="G106" s="371" t="s">
        <v>535</v>
      </c>
      <c r="I106" s="380"/>
      <c r="J106" s="380">
        <v>102299</v>
      </c>
      <c r="K106" s="380">
        <f>K247</f>
        <v>104959</v>
      </c>
      <c r="L106" s="380">
        <f>L247</f>
        <v>107164</v>
      </c>
      <c r="M106" s="380">
        <f>M247</f>
        <v>109629</v>
      </c>
      <c r="N106" s="380">
        <f>N247</f>
        <v>112150</v>
      </c>
      <c r="O106" s="380">
        <f>O247</f>
        <v>114729</v>
      </c>
    </row>
    <row r="107" spans="1:23" ht="12.75" customHeight="1" x14ac:dyDescent="0.25">
      <c r="A107" s="368">
        <f>+D103</f>
        <v>647001</v>
      </c>
      <c r="B107" s="359" t="str">
        <f>G103</f>
        <v>Inspectie en reiniging riolering</v>
      </c>
      <c r="D107" s="681">
        <v>44510</v>
      </c>
      <c r="E107" s="682"/>
      <c r="F107" s="682"/>
      <c r="G107" s="371" t="s">
        <v>4585</v>
      </c>
      <c r="I107" s="380"/>
      <c r="J107" s="683">
        <v>21483</v>
      </c>
      <c r="K107" s="683">
        <f>ROUND(K106*0.21,0)</f>
        <v>22041</v>
      </c>
      <c r="L107" s="683">
        <f>ROUND(L106*0.21,0)</f>
        <v>22504</v>
      </c>
      <c r="M107" s="683">
        <f>ROUND(M106*0.21,0)</f>
        <v>23022</v>
      </c>
      <c r="N107" s="683">
        <f>ROUND(N106*0.21,0)</f>
        <v>23552</v>
      </c>
      <c r="O107" s="683">
        <f>ROUND(O106*0.21,0)</f>
        <v>24093</v>
      </c>
    </row>
    <row r="108" spans="1:23" ht="12.75" customHeight="1" thickBot="1" x14ac:dyDescent="0.3">
      <c r="D108" s="686"/>
      <c r="E108" s="377"/>
      <c r="F108" s="377"/>
      <c r="G108" s="371" t="s">
        <v>536</v>
      </c>
      <c r="I108" s="380"/>
      <c r="J108" s="684">
        <v>163782</v>
      </c>
      <c r="K108" s="684">
        <f>SUM(K104:K107)</f>
        <v>167000</v>
      </c>
      <c r="L108" s="684">
        <f>SUM(L104:L107)</f>
        <v>169668</v>
      </c>
      <c r="M108" s="684">
        <f>SUM(M104:M107)</f>
        <v>172651</v>
      </c>
      <c r="N108" s="684">
        <f>SUM(N104:N107)</f>
        <v>175702</v>
      </c>
      <c r="O108" s="684">
        <f>SUM(O104:O107)</f>
        <v>178822</v>
      </c>
    </row>
    <row r="109" spans="1:23" ht="12.75" customHeight="1" thickTop="1" x14ac:dyDescent="0.25">
      <c r="D109" s="686"/>
      <c r="E109" s="377"/>
      <c r="F109" s="377"/>
      <c r="G109" s="371"/>
      <c r="I109" s="380"/>
      <c r="J109" s="688"/>
      <c r="K109" s="688"/>
      <c r="L109" s="688"/>
      <c r="M109" s="688"/>
      <c r="N109" s="688"/>
      <c r="O109" s="688"/>
    </row>
    <row r="110" spans="1:23" ht="12.75" customHeight="1" x14ac:dyDescent="0.25">
      <c r="D110" s="676">
        <v>647001</v>
      </c>
      <c r="E110" s="674"/>
      <c r="F110" s="674"/>
      <c r="G110" s="677" t="s">
        <v>4590</v>
      </c>
      <c r="I110" s="380"/>
      <c r="J110" s="683"/>
      <c r="K110" s="683"/>
      <c r="L110" s="683"/>
      <c r="M110" s="683"/>
      <c r="N110" s="683"/>
      <c r="O110" s="683"/>
    </row>
    <row r="111" spans="1:23" ht="12.75" customHeight="1" x14ac:dyDescent="0.25">
      <c r="D111" s="686"/>
      <c r="E111" s="377"/>
      <c r="F111" s="377"/>
      <c r="G111" s="680" t="s">
        <v>533</v>
      </c>
      <c r="I111" s="380"/>
      <c r="J111" s="683"/>
      <c r="K111" s="683"/>
      <c r="L111" s="683"/>
      <c r="M111" s="683"/>
      <c r="N111" s="683"/>
      <c r="O111" s="683"/>
    </row>
    <row r="112" spans="1:23" ht="12.75" customHeight="1" x14ac:dyDescent="0.25">
      <c r="A112" s="368">
        <f>+D110</f>
        <v>647001</v>
      </c>
      <c r="B112" s="359" t="str">
        <f>G110</f>
        <v>Schoonmaken van straatkolken</v>
      </c>
      <c r="D112" s="681">
        <v>43812</v>
      </c>
      <c r="E112" s="682"/>
      <c r="F112" s="682"/>
      <c r="G112" s="371" t="s">
        <v>535</v>
      </c>
      <c r="I112" s="380"/>
      <c r="J112" s="683">
        <v>1721</v>
      </c>
      <c r="K112" s="683">
        <v>1762</v>
      </c>
      <c r="L112" s="683">
        <v>1804</v>
      </c>
      <c r="M112" s="683">
        <v>1847</v>
      </c>
      <c r="N112" s="683">
        <f>ROUND(M112*V$2,0)</f>
        <v>1889</v>
      </c>
      <c r="O112" s="683">
        <f>ROUND(N112*W$2,0)</f>
        <v>1932</v>
      </c>
      <c r="R112" s="359" t="s">
        <v>4587</v>
      </c>
    </row>
    <row r="113" spans="1:18" ht="12.75" customHeight="1" x14ac:dyDescent="0.25">
      <c r="A113" s="368">
        <f>+D110</f>
        <v>647001</v>
      </c>
      <c r="B113" s="359" t="str">
        <f>G110</f>
        <v>Schoonmaken van straatkolken</v>
      </c>
      <c r="D113" s="681">
        <v>44510</v>
      </c>
      <c r="E113" s="682"/>
      <c r="F113" s="682"/>
      <c r="G113" s="371" t="s">
        <v>4585</v>
      </c>
      <c r="I113" s="380"/>
      <c r="J113" s="683">
        <v>361</v>
      </c>
      <c r="K113" s="683">
        <v>370</v>
      </c>
      <c r="L113" s="683">
        <v>379</v>
      </c>
      <c r="M113" s="683">
        <v>388</v>
      </c>
      <c r="N113" s="683">
        <f>ROUND(N112*0.21,0)</f>
        <v>397</v>
      </c>
      <c r="O113" s="683">
        <f>ROUND(O112*0.21,0)</f>
        <v>406</v>
      </c>
    </row>
    <row r="114" spans="1:18" ht="12.75" customHeight="1" thickBot="1" x14ac:dyDescent="0.3">
      <c r="D114" s="686"/>
      <c r="E114" s="377"/>
      <c r="F114" s="377"/>
      <c r="G114" s="371" t="s">
        <v>536</v>
      </c>
      <c r="I114" s="380"/>
      <c r="J114" s="684">
        <v>2082</v>
      </c>
      <c r="K114" s="684">
        <f>SUM(K111:K113)</f>
        <v>2132</v>
      </c>
      <c r="L114" s="684">
        <f>SUM(L111:L113)</f>
        <v>2183</v>
      </c>
      <c r="M114" s="684">
        <f>SUM(M111:M113)</f>
        <v>2235</v>
      </c>
      <c r="N114" s="684">
        <f>SUM(N111:N113)</f>
        <v>2286</v>
      </c>
      <c r="O114" s="684">
        <f>SUM(O111:O113)</f>
        <v>2338</v>
      </c>
    </row>
    <row r="115" spans="1:18" ht="12.75" customHeight="1" thickTop="1" x14ac:dyDescent="0.25">
      <c r="D115" s="686"/>
      <c r="E115" s="377"/>
      <c r="F115" s="377"/>
      <c r="G115" s="371"/>
      <c r="I115" s="380"/>
      <c r="J115" s="688"/>
      <c r="K115" s="688"/>
      <c r="L115" s="688"/>
      <c r="M115" s="688"/>
      <c r="N115" s="688"/>
      <c r="O115" s="688"/>
    </row>
    <row r="116" spans="1:18" ht="12.75" customHeight="1" x14ac:dyDescent="0.25">
      <c r="D116" s="676">
        <v>647003</v>
      </c>
      <c r="E116" s="674"/>
      <c r="F116" s="674"/>
      <c r="G116" s="677" t="s">
        <v>4591</v>
      </c>
      <c r="I116" s="380"/>
      <c r="J116" s="683"/>
      <c r="K116" s="683"/>
      <c r="L116" s="683"/>
      <c r="M116" s="683"/>
      <c r="N116" s="683"/>
      <c r="O116" s="683"/>
    </row>
    <row r="117" spans="1:18" ht="12.75" customHeight="1" x14ac:dyDescent="0.25">
      <c r="D117" s="686"/>
      <c r="E117" s="377"/>
      <c r="F117" s="377"/>
      <c r="G117" s="680" t="s">
        <v>533</v>
      </c>
      <c r="I117" s="380"/>
      <c r="J117" s="683"/>
      <c r="K117" s="683"/>
      <c r="L117" s="683"/>
      <c r="M117" s="683"/>
      <c r="N117" s="683"/>
      <c r="O117" s="683"/>
    </row>
    <row r="118" spans="1:18" ht="12.75" customHeight="1" x14ac:dyDescent="0.25">
      <c r="A118" s="368">
        <f>+D116</f>
        <v>647003</v>
      </c>
      <c r="B118" s="359" t="str">
        <f>G116</f>
        <v>Kolkenzuiger</v>
      </c>
      <c r="D118" s="681">
        <v>42100</v>
      </c>
      <c r="E118" s="682"/>
      <c r="F118" s="682"/>
      <c r="G118" s="371" t="s">
        <v>1840</v>
      </c>
      <c r="I118" s="380"/>
      <c r="J118" s="683">
        <v>355</v>
      </c>
      <c r="K118" s="683">
        <v>364</v>
      </c>
      <c r="L118" s="683">
        <v>373</v>
      </c>
      <c r="M118" s="683">
        <v>382</v>
      </c>
      <c r="N118" s="683">
        <f t="shared" ref="N118:O121" si="22">ROUND(M118*V$2,0)</f>
        <v>391</v>
      </c>
      <c r="O118" s="683">
        <f t="shared" si="22"/>
        <v>400</v>
      </c>
      <c r="R118" s="359" t="s">
        <v>4587</v>
      </c>
    </row>
    <row r="119" spans="1:18" ht="12.75" customHeight="1" x14ac:dyDescent="0.25">
      <c r="A119" s="368">
        <f>+D116</f>
        <v>647003</v>
      </c>
      <c r="B119" s="359" t="str">
        <f>G116</f>
        <v>Kolkenzuiger</v>
      </c>
      <c r="D119" s="681">
        <v>43803</v>
      </c>
      <c r="E119" s="682"/>
      <c r="F119" s="682"/>
      <c r="G119" s="371" t="s">
        <v>1831</v>
      </c>
      <c r="I119" s="380"/>
      <c r="J119" s="683">
        <v>7911</v>
      </c>
      <c r="K119" s="683">
        <v>8101</v>
      </c>
      <c r="L119" s="683">
        <v>8295</v>
      </c>
      <c r="M119" s="683">
        <v>8494</v>
      </c>
      <c r="N119" s="683">
        <f t="shared" si="22"/>
        <v>8689</v>
      </c>
      <c r="O119" s="683">
        <f t="shared" si="22"/>
        <v>8889</v>
      </c>
      <c r="R119" s="359" t="s">
        <v>4587</v>
      </c>
    </row>
    <row r="120" spans="1:18" ht="12.75" customHeight="1" x14ac:dyDescent="0.25">
      <c r="A120" s="368">
        <f>+D116</f>
        <v>647003</v>
      </c>
      <c r="B120" s="359" t="str">
        <f>G116</f>
        <v>Kolkenzuiger</v>
      </c>
      <c r="D120" s="681">
        <v>43806</v>
      </c>
      <c r="E120" s="682"/>
      <c r="F120" s="682"/>
      <c r="G120" s="371" t="s">
        <v>1882</v>
      </c>
      <c r="I120" s="380"/>
      <c r="J120" s="683">
        <v>6243</v>
      </c>
      <c r="K120" s="683">
        <v>6393</v>
      </c>
      <c r="L120" s="683">
        <v>6546</v>
      </c>
      <c r="M120" s="683">
        <v>6703</v>
      </c>
      <c r="N120" s="683">
        <f t="shared" si="22"/>
        <v>6857</v>
      </c>
      <c r="O120" s="683">
        <f t="shared" si="22"/>
        <v>7015</v>
      </c>
      <c r="R120" s="359" t="s">
        <v>4587</v>
      </c>
    </row>
    <row r="121" spans="1:18" ht="12.75" customHeight="1" x14ac:dyDescent="0.25">
      <c r="A121" s="368">
        <f>+D116</f>
        <v>647003</v>
      </c>
      <c r="B121" s="359" t="str">
        <f>G116</f>
        <v>Kolkenzuiger</v>
      </c>
      <c r="D121" s="681">
        <v>43812</v>
      </c>
      <c r="E121" s="682"/>
      <c r="F121" s="682"/>
      <c r="G121" s="371" t="s">
        <v>535</v>
      </c>
      <c r="I121" s="380"/>
      <c r="J121" s="683">
        <v>1967</v>
      </c>
      <c r="K121" s="683">
        <v>2014</v>
      </c>
      <c r="L121" s="683">
        <v>2062</v>
      </c>
      <c r="M121" s="683">
        <v>2111</v>
      </c>
      <c r="N121" s="683">
        <f t="shared" si="22"/>
        <v>2160</v>
      </c>
      <c r="O121" s="683">
        <f t="shared" si="22"/>
        <v>2210</v>
      </c>
      <c r="R121" s="359" t="s">
        <v>4587</v>
      </c>
    </row>
    <row r="122" spans="1:18" ht="12.75" customHeight="1" x14ac:dyDescent="0.25">
      <c r="A122" s="368">
        <f>+D116</f>
        <v>647003</v>
      </c>
      <c r="B122" s="359" t="str">
        <f>G116</f>
        <v>Kolkenzuiger</v>
      </c>
      <c r="D122" s="681">
        <v>44510</v>
      </c>
      <c r="E122" s="682"/>
      <c r="F122" s="682"/>
      <c r="G122" s="371" t="s">
        <v>4585</v>
      </c>
      <c r="I122" s="380"/>
      <c r="J122" s="683">
        <v>413</v>
      </c>
      <c r="K122" s="683">
        <v>423</v>
      </c>
      <c r="L122" s="683">
        <v>433</v>
      </c>
      <c r="M122" s="683">
        <v>443</v>
      </c>
      <c r="N122" s="683">
        <f>ROUND(N121*0.21,0)</f>
        <v>454</v>
      </c>
      <c r="O122" s="683">
        <f>ROUND(O121*0.21,0)</f>
        <v>464</v>
      </c>
      <c r="R122" s="359" t="s">
        <v>4587</v>
      </c>
    </row>
    <row r="123" spans="1:18" ht="12.75" customHeight="1" thickBot="1" x14ac:dyDescent="0.3">
      <c r="D123" s="686"/>
      <c r="E123" s="377"/>
      <c r="F123" s="377"/>
      <c r="G123" s="371" t="s">
        <v>536</v>
      </c>
      <c r="I123" s="380"/>
      <c r="J123" s="684">
        <v>16889</v>
      </c>
      <c r="K123" s="684">
        <f>SUM(K117:K122)</f>
        <v>17295</v>
      </c>
      <c r="L123" s="684">
        <f>SUM(L117:L122)</f>
        <v>17709</v>
      </c>
      <c r="M123" s="684">
        <f>SUM(M117:M122)</f>
        <v>18133</v>
      </c>
      <c r="N123" s="684">
        <f>SUM(N117:N122)</f>
        <v>18551</v>
      </c>
      <c r="O123" s="684">
        <f>SUM(O117:O122)</f>
        <v>18978</v>
      </c>
    </row>
    <row r="124" spans="1:18" ht="12.75" customHeight="1" thickTop="1" x14ac:dyDescent="0.25">
      <c r="D124" s="686"/>
      <c r="E124" s="377"/>
      <c r="F124" s="377"/>
      <c r="G124" s="371"/>
      <c r="I124" s="380"/>
      <c r="J124" s="688"/>
      <c r="K124" s="688"/>
      <c r="L124" s="688"/>
      <c r="M124" s="688"/>
      <c r="N124" s="688"/>
      <c r="O124" s="688"/>
    </row>
    <row r="125" spans="1:18" ht="12.75" customHeight="1" x14ac:dyDescent="0.25">
      <c r="D125" s="676">
        <v>647004</v>
      </c>
      <c r="E125" s="674"/>
      <c r="F125" s="674"/>
      <c r="G125" s="677" t="s">
        <v>4592</v>
      </c>
      <c r="I125" s="380"/>
      <c r="J125" s="683"/>
      <c r="K125" s="683"/>
      <c r="L125" s="683"/>
      <c r="M125" s="683"/>
      <c r="N125" s="683"/>
      <c r="O125" s="683"/>
    </row>
    <row r="126" spans="1:18" ht="12.75" customHeight="1" x14ac:dyDescent="0.25">
      <c r="D126" s="686"/>
      <c r="E126" s="377"/>
      <c r="F126" s="377"/>
      <c r="G126" s="680" t="s">
        <v>533</v>
      </c>
      <c r="I126" s="380"/>
      <c r="J126" s="683"/>
      <c r="K126" s="683"/>
      <c r="L126" s="683"/>
      <c r="M126" s="683"/>
      <c r="N126" s="683"/>
      <c r="O126" s="683"/>
    </row>
    <row r="127" spans="1:18" ht="12.75" customHeight="1" x14ac:dyDescent="0.25">
      <c r="A127" s="368">
        <f>+D125</f>
        <v>647004</v>
      </c>
      <c r="B127" s="359" t="str">
        <f>G125</f>
        <v>Ontstoppen van rioolhuisaansluitingen</v>
      </c>
      <c r="D127" s="681">
        <v>43812</v>
      </c>
      <c r="E127" s="682"/>
      <c r="F127" s="682"/>
      <c r="G127" s="371" t="s">
        <v>535</v>
      </c>
      <c r="I127" s="380"/>
      <c r="J127" s="683">
        <v>1348</v>
      </c>
      <c r="K127" s="683">
        <v>1380</v>
      </c>
      <c r="L127" s="683">
        <v>1413</v>
      </c>
      <c r="M127" s="683">
        <v>1447</v>
      </c>
      <c r="N127" s="683">
        <f>ROUND(M127*V$2,0)</f>
        <v>1480</v>
      </c>
      <c r="O127" s="683">
        <f>ROUND(N127*W$2,0)</f>
        <v>1514</v>
      </c>
      <c r="R127" s="359" t="s">
        <v>4587</v>
      </c>
    </row>
    <row r="128" spans="1:18" ht="12.75" customHeight="1" x14ac:dyDescent="0.25">
      <c r="A128" s="368">
        <f>+D125</f>
        <v>647004</v>
      </c>
      <c r="B128" s="359" t="str">
        <f>G125</f>
        <v>Ontstoppen van rioolhuisaansluitingen</v>
      </c>
      <c r="D128" s="681">
        <v>44510</v>
      </c>
      <c r="E128" s="682"/>
      <c r="F128" s="682"/>
      <c r="G128" s="371" t="s">
        <v>4585</v>
      </c>
      <c r="I128" s="380"/>
      <c r="J128" s="683">
        <v>283</v>
      </c>
      <c r="K128" s="683">
        <f>ROUND(K127*0.21,0)</f>
        <v>290</v>
      </c>
      <c r="L128" s="683">
        <f>ROUND(L127*0.21,0)</f>
        <v>297</v>
      </c>
      <c r="M128" s="683">
        <f>ROUND(M127*0.21,0)</f>
        <v>304</v>
      </c>
      <c r="N128" s="683">
        <f>ROUND(N127*0.21,0)</f>
        <v>311</v>
      </c>
      <c r="O128" s="683">
        <f>ROUND(O127*0.21,0)</f>
        <v>318</v>
      </c>
    </row>
    <row r="129" spans="1:18" ht="12.75" customHeight="1" thickBot="1" x14ac:dyDescent="0.3">
      <c r="D129" s="686"/>
      <c r="E129" s="377"/>
      <c r="F129" s="377"/>
      <c r="G129" s="371" t="s">
        <v>536</v>
      </c>
      <c r="I129" s="380"/>
      <c r="J129" s="684">
        <v>1631</v>
      </c>
      <c r="K129" s="684">
        <f>SUM(K126:K128)</f>
        <v>1670</v>
      </c>
      <c r="L129" s="684">
        <f>SUM(L126:L128)</f>
        <v>1710</v>
      </c>
      <c r="M129" s="684">
        <f>SUM(M126:M128)</f>
        <v>1751</v>
      </c>
      <c r="N129" s="684">
        <f>SUM(N126:N128)</f>
        <v>1791</v>
      </c>
      <c r="O129" s="684">
        <f>SUM(O126:O128)</f>
        <v>1832</v>
      </c>
    </row>
    <row r="130" spans="1:18" ht="12.75" customHeight="1" thickTop="1" x14ac:dyDescent="0.25">
      <c r="D130" s="686"/>
      <c r="E130" s="377"/>
      <c r="F130" s="377"/>
      <c r="G130" s="371"/>
      <c r="I130" s="380"/>
      <c r="J130" s="683"/>
      <c r="K130" s="683"/>
      <c r="L130" s="683"/>
      <c r="M130" s="683"/>
      <c r="N130" s="683"/>
      <c r="O130" s="683"/>
    </row>
    <row r="131" spans="1:18" ht="12.75" customHeight="1" x14ac:dyDescent="0.25">
      <c r="D131" s="676">
        <v>647004</v>
      </c>
      <c r="E131" s="674"/>
      <c r="F131" s="674"/>
      <c r="G131" s="677" t="s">
        <v>4593</v>
      </c>
      <c r="I131" s="380"/>
      <c r="J131" s="683"/>
      <c r="K131" s="683"/>
      <c r="L131" s="683"/>
      <c r="M131" s="683"/>
      <c r="N131" s="683"/>
      <c r="O131" s="683"/>
    </row>
    <row r="132" spans="1:18" ht="12.75" customHeight="1" x14ac:dyDescent="0.25">
      <c r="D132" s="686"/>
      <c r="E132" s="377"/>
      <c r="F132" s="377"/>
      <c r="G132" s="680" t="s">
        <v>533</v>
      </c>
      <c r="I132" s="380"/>
      <c r="J132" s="683"/>
      <c r="K132" s="683"/>
      <c r="L132" s="683"/>
      <c r="M132" s="683"/>
      <c r="N132" s="683"/>
      <c r="O132" s="683"/>
    </row>
    <row r="133" spans="1:18" ht="12.75" customHeight="1" x14ac:dyDescent="0.25">
      <c r="A133" s="368">
        <f>+D131</f>
        <v>647004</v>
      </c>
      <c r="B133" s="359" t="str">
        <f>G131</f>
        <v>Vervangen versleten huisaansluitingen</v>
      </c>
      <c r="D133" s="681">
        <v>43812</v>
      </c>
      <c r="E133" s="682"/>
      <c r="F133" s="682"/>
      <c r="G133" s="371" t="s">
        <v>535</v>
      </c>
      <c r="I133" s="380"/>
      <c r="J133" s="683">
        <v>6709</v>
      </c>
      <c r="K133" s="683">
        <v>6870</v>
      </c>
      <c r="L133" s="683">
        <v>7035</v>
      </c>
      <c r="M133" s="683">
        <v>7204</v>
      </c>
      <c r="N133" s="683">
        <f>ROUND(M133*V$2,0)</f>
        <v>7370</v>
      </c>
      <c r="O133" s="683">
        <f>ROUND(N133*W$2,0)</f>
        <v>7540</v>
      </c>
      <c r="R133" s="359" t="s">
        <v>4587</v>
      </c>
    </row>
    <row r="134" spans="1:18" ht="12.75" customHeight="1" x14ac:dyDescent="0.25">
      <c r="A134" s="368">
        <f>+D131</f>
        <v>647004</v>
      </c>
      <c r="B134" s="359" t="str">
        <f>G131</f>
        <v>Vervangen versleten huisaansluitingen</v>
      </c>
      <c r="D134" s="681">
        <v>44510</v>
      </c>
      <c r="E134" s="682"/>
      <c r="F134" s="682"/>
      <c r="G134" s="371" t="s">
        <v>4585</v>
      </c>
      <c r="I134" s="380"/>
      <c r="J134" s="683">
        <v>1409</v>
      </c>
      <c r="K134" s="683">
        <f>ROUND(K133*0.21,0)</f>
        <v>1443</v>
      </c>
      <c r="L134" s="683">
        <f>ROUND(L133*0.21,0)</f>
        <v>1477</v>
      </c>
      <c r="M134" s="683">
        <f>ROUND(M133*0.21,0)</f>
        <v>1513</v>
      </c>
      <c r="N134" s="683">
        <f>ROUND(N133*0.21,0)</f>
        <v>1548</v>
      </c>
      <c r="O134" s="683">
        <f>ROUND(O133*0.21,0)</f>
        <v>1583</v>
      </c>
    </row>
    <row r="135" spans="1:18" ht="12.75" customHeight="1" thickBot="1" x14ac:dyDescent="0.3">
      <c r="D135" s="686"/>
      <c r="E135" s="377"/>
      <c r="F135" s="377"/>
      <c r="G135" s="371" t="s">
        <v>536</v>
      </c>
      <c r="I135" s="380"/>
      <c r="J135" s="684">
        <v>8118</v>
      </c>
      <c r="K135" s="684">
        <f>SUM(K132:K134)</f>
        <v>8313</v>
      </c>
      <c r="L135" s="684">
        <f>SUM(L132:L134)</f>
        <v>8512</v>
      </c>
      <c r="M135" s="684">
        <f>SUM(M132:M134)</f>
        <v>8717</v>
      </c>
      <c r="N135" s="684">
        <f>SUM(N132:N134)</f>
        <v>8918</v>
      </c>
      <c r="O135" s="684">
        <f>SUM(O132:O134)</f>
        <v>9123</v>
      </c>
    </row>
    <row r="136" spans="1:18" ht="12.75" customHeight="1" thickTop="1" x14ac:dyDescent="0.25">
      <c r="D136" s="686"/>
      <c r="E136" s="377"/>
      <c r="F136" s="377"/>
      <c r="G136" s="371"/>
      <c r="I136" s="380"/>
      <c r="J136" s="688"/>
      <c r="K136" s="688"/>
      <c r="L136" s="688"/>
      <c r="M136" s="688"/>
      <c r="N136" s="688"/>
      <c r="O136" s="688"/>
    </row>
    <row r="137" spans="1:18" ht="12.75" customHeight="1" x14ac:dyDescent="0.25">
      <c r="D137" s="676">
        <v>647004</v>
      </c>
      <c r="E137" s="674"/>
      <c r="F137" s="674"/>
      <c r="G137" s="677" t="s">
        <v>4594</v>
      </c>
      <c r="I137" s="380"/>
      <c r="J137" s="683"/>
      <c r="K137" s="683"/>
      <c r="L137" s="683"/>
      <c r="M137" s="683"/>
      <c r="N137" s="683"/>
      <c r="O137" s="683"/>
    </row>
    <row r="138" spans="1:18" ht="12.75" customHeight="1" x14ac:dyDescent="0.25">
      <c r="D138" s="686"/>
      <c r="E138" s="377"/>
      <c r="F138" s="377"/>
      <c r="G138" s="680" t="s">
        <v>533</v>
      </c>
      <c r="I138" s="380"/>
      <c r="J138" s="683"/>
      <c r="K138" s="683"/>
      <c r="L138" s="683"/>
      <c r="M138" s="683"/>
      <c r="N138" s="683"/>
      <c r="O138" s="683"/>
    </row>
    <row r="139" spans="1:18" ht="12.75" customHeight="1" x14ac:dyDescent="0.25">
      <c r="A139" s="368">
        <f>+D137</f>
        <v>647004</v>
      </c>
      <c r="B139" s="359" t="str">
        <f>G137</f>
        <v>Het maken van rioolhuisaansluitingen</v>
      </c>
      <c r="D139" s="681">
        <v>43200</v>
      </c>
      <c r="E139" s="682"/>
      <c r="F139" s="682"/>
      <c r="G139" s="371" t="s">
        <v>2832</v>
      </c>
      <c r="I139" s="380"/>
      <c r="J139" s="683">
        <v>29435</v>
      </c>
      <c r="K139" s="683">
        <v>30141</v>
      </c>
      <c r="L139" s="683">
        <v>30864</v>
      </c>
      <c r="M139" s="683">
        <v>31605</v>
      </c>
      <c r="N139" s="683">
        <f>ROUND(M139*V$2,0)</f>
        <v>32332</v>
      </c>
      <c r="O139" s="683">
        <f>ROUND(N139*W$2,0)</f>
        <v>33076</v>
      </c>
      <c r="P139" s="689"/>
      <c r="R139" s="359" t="s">
        <v>4587</v>
      </c>
    </row>
    <row r="140" spans="1:18" ht="12.75" customHeight="1" x14ac:dyDescent="0.25">
      <c r="A140" s="368">
        <f>+D137</f>
        <v>647004</v>
      </c>
      <c r="B140" s="359" t="str">
        <f>G137</f>
        <v>Het maken van rioolhuisaansluitingen</v>
      </c>
      <c r="D140" s="681">
        <v>44510</v>
      </c>
      <c r="E140" s="682"/>
      <c r="F140" s="682"/>
      <c r="G140" s="371" t="s">
        <v>4585</v>
      </c>
      <c r="I140" s="380"/>
      <c r="J140" s="683">
        <v>6181</v>
      </c>
      <c r="K140" s="683">
        <f>ROUND(K139*0.21,0)</f>
        <v>6330</v>
      </c>
      <c r="L140" s="683">
        <f>ROUND(L139*0.21,0)</f>
        <v>6481</v>
      </c>
      <c r="M140" s="683">
        <f>ROUND(M139*0.21,0)</f>
        <v>6637</v>
      </c>
      <c r="N140" s="683">
        <f>ROUND(N139*0.21,0)</f>
        <v>6790</v>
      </c>
      <c r="O140" s="683">
        <f>ROUND(O139*0.21,0)</f>
        <v>6946</v>
      </c>
    </row>
    <row r="141" spans="1:18" ht="12.75" customHeight="1" thickBot="1" x14ac:dyDescent="0.3">
      <c r="D141" s="686"/>
      <c r="E141" s="377"/>
      <c r="F141" s="377"/>
      <c r="G141" s="371" t="s">
        <v>536</v>
      </c>
      <c r="I141" s="380"/>
      <c r="J141" s="684">
        <v>35616</v>
      </c>
      <c r="K141" s="684">
        <f>SUM(K138:K140)</f>
        <v>36471</v>
      </c>
      <c r="L141" s="684">
        <f>SUM(L138:L140)</f>
        <v>37345</v>
      </c>
      <c r="M141" s="684">
        <f>SUM(M138:M140)</f>
        <v>38242</v>
      </c>
      <c r="N141" s="684">
        <f>SUM(N138:N140)</f>
        <v>39122</v>
      </c>
      <c r="O141" s="684">
        <f>SUM(O138:O140)</f>
        <v>40022</v>
      </c>
    </row>
    <row r="142" spans="1:18" ht="12.75" customHeight="1" thickTop="1" x14ac:dyDescent="0.25">
      <c r="D142" s="686"/>
      <c r="E142" s="377"/>
      <c r="F142" s="377"/>
      <c r="G142" s="371"/>
      <c r="I142" s="380"/>
      <c r="J142" s="688"/>
      <c r="K142" s="688"/>
      <c r="L142" s="688"/>
      <c r="M142" s="688"/>
      <c r="N142" s="688"/>
      <c r="O142" s="688"/>
    </row>
    <row r="143" spans="1:18" ht="12.75" customHeight="1" x14ac:dyDescent="0.25">
      <c r="D143" s="676">
        <v>647005</v>
      </c>
      <c r="E143" s="674"/>
      <c r="F143" s="674"/>
      <c r="G143" s="677" t="s">
        <v>4595</v>
      </c>
      <c r="I143" s="379"/>
      <c r="J143" s="678"/>
      <c r="K143" s="678"/>
      <c r="L143" s="678"/>
      <c r="M143" s="678"/>
      <c r="N143" s="678"/>
      <c r="O143" s="678"/>
    </row>
    <row r="144" spans="1:18" ht="12.75" customHeight="1" x14ac:dyDescent="0.25">
      <c r="D144" s="676"/>
      <c r="E144" s="674"/>
      <c r="F144" s="674"/>
      <c r="G144" s="680" t="s">
        <v>533</v>
      </c>
      <c r="I144" s="379"/>
      <c r="J144" s="678"/>
      <c r="K144" s="678"/>
      <c r="L144" s="678"/>
      <c r="M144" s="678"/>
      <c r="N144" s="678"/>
      <c r="O144" s="678"/>
    </row>
    <row r="145" spans="1:21" ht="12.75" customHeight="1" x14ac:dyDescent="0.25">
      <c r="A145" s="368">
        <f>+D143</f>
        <v>647005</v>
      </c>
      <c r="B145" s="359" t="str">
        <f>G143</f>
        <v>Invorderen van rioolrecht</v>
      </c>
      <c r="D145" s="681">
        <v>43812</v>
      </c>
      <c r="E145" s="682"/>
      <c r="F145" s="682"/>
      <c r="G145" s="371" t="s">
        <v>535</v>
      </c>
      <c r="I145" s="380"/>
      <c r="J145" s="683">
        <v>3552</v>
      </c>
      <c r="K145" s="683">
        <v>3637</v>
      </c>
      <c r="L145" s="683">
        <v>3724</v>
      </c>
      <c r="M145" s="683">
        <v>3813</v>
      </c>
      <c r="N145" s="683">
        <f>ROUND(M145*V$2,0)</f>
        <v>3901</v>
      </c>
      <c r="O145" s="683">
        <f>ROUND(N145*W$2,0)</f>
        <v>3991</v>
      </c>
      <c r="R145" s="359" t="s">
        <v>4587</v>
      </c>
    </row>
    <row r="146" spans="1:21" ht="12.75" customHeight="1" x14ac:dyDescent="0.25">
      <c r="A146" s="368">
        <f>+D143</f>
        <v>647005</v>
      </c>
      <c r="B146" s="359" t="str">
        <f>G143</f>
        <v>Invorderen van rioolrecht</v>
      </c>
      <c r="D146" s="681">
        <v>44510</v>
      </c>
      <c r="E146" s="682"/>
      <c r="F146" s="682"/>
      <c r="G146" s="371" t="s">
        <v>4585</v>
      </c>
      <c r="I146" s="380"/>
      <c r="J146" s="683">
        <v>746</v>
      </c>
      <c r="K146" s="683">
        <f>ROUND(K145*0.21,0)</f>
        <v>764</v>
      </c>
      <c r="L146" s="683">
        <f>ROUND(L145*0.21,0)</f>
        <v>782</v>
      </c>
      <c r="M146" s="683">
        <f>ROUND(M145*0.21,0)</f>
        <v>801</v>
      </c>
      <c r="N146" s="683">
        <f>ROUND(N145*0.21,0)</f>
        <v>819</v>
      </c>
      <c r="O146" s="683">
        <f>ROUND(O145*0.21,0)</f>
        <v>838</v>
      </c>
    </row>
    <row r="147" spans="1:21" ht="12.75" customHeight="1" thickBot="1" x14ac:dyDescent="0.3">
      <c r="D147" s="686"/>
      <c r="E147" s="377"/>
      <c r="F147" s="377"/>
      <c r="G147" s="371" t="s">
        <v>536</v>
      </c>
      <c r="I147" s="380"/>
      <c r="J147" s="684">
        <v>4298</v>
      </c>
      <c r="K147" s="684">
        <f>SUM(K144:K146)</f>
        <v>4401</v>
      </c>
      <c r="L147" s="684">
        <f>SUM(L144:L146)</f>
        <v>4506</v>
      </c>
      <c r="M147" s="684">
        <f>SUM(M144:M146)</f>
        <v>4614</v>
      </c>
      <c r="N147" s="684">
        <f>SUM(N144:N146)</f>
        <v>4720</v>
      </c>
      <c r="O147" s="684">
        <f>SUM(O144:O146)</f>
        <v>4829</v>
      </c>
    </row>
    <row r="148" spans="1:21" ht="12.75" customHeight="1" thickTop="1" x14ac:dyDescent="0.25">
      <c r="D148" s="686"/>
      <c r="E148" s="377"/>
      <c r="F148" s="377"/>
      <c r="G148" s="371"/>
      <c r="I148" s="380"/>
      <c r="J148" s="688"/>
      <c r="K148" s="688"/>
      <c r="L148" s="688"/>
      <c r="M148" s="688"/>
      <c r="N148" s="688"/>
      <c r="O148" s="688"/>
    </row>
    <row r="149" spans="1:21" ht="12.75" customHeight="1" x14ac:dyDescent="0.25">
      <c r="D149" s="676">
        <v>647005</v>
      </c>
      <c r="E149" s="674"/>
      <c r="F149" s="674"/>
      <c r="G149" s="677" t="s">
        <v>4596</v>
      </c>
      <c r="I149" s="380"/>
      <c r="J149" s="683"/>
      <c r="K149" s="683"/>
      <c r="L149" s="683"/>
      <c r="M149" s="683"/>
      <c r="N149" s="683"/>
      <c r="O149" s="683"/>
    </row>
    <row r="150" spans="1:21" ht="12.75" customHeight="1" x14ac:dyDescent="0.25">
      <c r="D150" s="686"/>
      <c r="E150" s="377"/>
      <c r="F150" s="377"/>
      <c r="G150" s="680" t="s">
        <v>533</v>
      </c>
      <c r="I150" s="380"/>
      <c r="J150" s="683"/>
      <c r="K150" s="683"/>
      <c r="L150" s="683"/>
      <c r="M150" s="683"/>
      <c r="N150" s="683"/>
      <c r="O150" s="683"/>
      <c r="R150" s="359" t="s">
        <v>186</v>
      </c>
    </row>
    <row r="151" spans="1:21" ht="12.75" customHeight="1" x14ac:dyDescent="0.25">
      <c r="A151" s="368">
        <f>+D149</f>
        <v>647005</v>
      </c>
      <c r="B151" s="359" t="str">
        <f>G149</f>
        <v>Rioolrecht</v>
      </c>
      <c r="D151" s="681">
        <v>47200</v>
      </c>
      <c r="E151" s="682"/>
      <c r="F151" s="682"/>
      <c r="G151" s="371" t="s">
        <v>555</v>
      </c>
      <c r="I151" s="380"/>
      <c r="J151" s="380">
        <v>968723.28840487055</v>
      </c>
      <c r="K151" s="380">
        <f t="shared" ref="K151:M151" si="23">K305</f>
        <v>1034578.1348767139</v>
      </c>
      <c r="L151" s="380">
        <f t="shared" si="23"/>
        <v>1069527.3958198531</v>
      </c>
      <c r="M151" s="380">
        <f t="shared" si="23"/>
        <v>1314151.1766723488</v>
      </c>
      <c r="N151" s="380">
        <f t="shared" ref="N151:O151" si="24">N305</f>
        <v>1355007.0782197132</v>
      </c>
      <c r="O151" s="380">
        <f t="shared" si="24"/>
        <v>1395768.0647143992</v>
      </c>
      <c r="R151" s="502">
        <v>1145464.5170839999</v>
      </c>
      <c r="S151" s="502">
        <v>1216811.1394219999</v>
      </c>
      <c r="T151" s="502">
        <v>1283689.674356</v>
      </c>
      <c r="U151" s="502">
        <v>1267017.3138369999</v>
      </c>
    </row>
    <row r="152" spans="1:21" ht="12.75" customHeight="1" thickBot="1" x14ac:dyDescent="0.3">
      <c r="D152" s="686"/>
      <c r="E152" s="377"/>
      <c r="F152" s="377"/>
      <c r="G152" s="371" t="s">
        <v>536</v>
      </c>
      <c r="I152" s="380"/>
      <c r="J152" s="684">
        <v>968723.28840487055</v>
      </c>
      <c r="K152" s="684">
        <f>SUM(K150:K151)</f>
        <v>1034578.1348767139</v>
      </c>
      <c r="L152" s="684">
        <f>SUM(L150:L151)</f>
        <v>1069527.3958198531</v>
      </c>
      <c r="M152" s="684">
        <f>SUM(M150:M151)</f>
        <v>1314151.1766723488</v>
      </c>
      <c r="N152" s="684">
        <f>SUM(N150:N151)</f>
        <v>1355007.0782197132</v>
      </c>
      <c r="O152" s="684">
        <f>SUM(O150:O151)</f>
        <v>1395768.0647143992</v>
      </c>
    </row>
    <row r="153" spans="1:21" ht="12.75" customHeight="1" thickTop="1" x14ac:dyDescent="0.25">
      <c r="D153" s="686"/>
      <c r="E153" s="377"/>
      <c r="F153" s="377"/>
      <c r="G153" s="371"/>
      <c r="I153" s="380"/>
      <c r="J153" s="688"/>
      <c r="K153" s="688"/>
      <c r="L153" s="688"/>
      <c r="M153" s="688"/>
      <c r="N153" s="688"/>
      <c r="O153" s="688"/>
      <c r="R153" s="502"/>
      <c r="S153" s="502"/>
      <c r="T153" s="502"/>
      <c r="U153" s="502"/>
    </row>
    <row r="154" spans="1:21" ht="12.75" customHeight="1" x14ac:dyDescent="0.25">
      <c r="D154" s="690">
        <v>647006</v>
      </c>
      <c r="E154" s="691"/>
      <c r="F154" s="691"/>
      <c r="G154" s="677" t="s">
        <v>4576</v>
      </c>
      <c r="I154" s="380"/>
      <c r="J154" s="683"/>
      <c r="K154" s="683"/>
      <c r="L154" s="683"/>
      <c r="M154" s="683"/>
      <c r="N154" s="683"/>
      <c r="O154" s="683"/>
    </row>
    <row r="155" spans="1:21" ht="12.75" customHeight="1" x14ac:dyDescent="0.25">
      <c r="D155" s="690"/>
      <c r="E155" s="691"/>
      <c r="F155" s="691"/>
      <c r="G155" s="680" t="s">
        <v>533</v>
      </c>
      <c r="I155" s="380"/>
      <c r="J155" s="683"/>
      <c r="K155" s="683"/>
      <c r="L155" s="683"/>
      <c r="M155" s="683"/>
      <c r="N155" s="683"/>
      <c r="O155" s="683"/>
    </row>
    <row r="156" spans="1:21" ht="12.75" customHeight="1" x14ac:dyDescent="0.25">
      <c r="A156" s="368">
        <f>+D154</f>
        <v>647006</v>
      </c>
      <c r="B156" s="359" t="str">
        <f>G154</f>
        <v>Correctie compensabele btw op riolering</v>
      </c>
      <c r="D156" s="681">
        <v>44510</v>
      </c>
      <c r="E156" s="682"/>
      <c r="F156" s="682"/>
      <c r="G156" s="371" t="s">
        <v>4585</v>
      </c>
      <c r="I156" s="380"/>
      <c r="J156" s="683">
        <v>-383134</v>
      </c>
      <c r="K156" s="683">
        <f>K414</f>
        <v>-391613</v>
      </c>
      <c r="L156" s="683">
        <f>L414</f>
        <v>-396640</v>
      </c>
      <c r="M156" s="683">
        <f>M414</f>
        <v>-209560</v>
      </c>
      <c r="N156" s="683">
        <f>N414</f>
        <v>-214811</v>
      </c>
      <c r="O156" s="683">
        <f>O414</f>
        <v>-220137</v>
      </c>
    </row>
    <row r="157" spans="1:21" ht="12.75" customHeight="1" thickBot="1" x14ac:dyDescent="0.3">
      <c r="D157" s="686"/>
      <c r="E157" s="377"/>
      <c r="F157" s="377"/>
      <c r="G157" s="371"/>
      <c r="I157" s="380"/>
      <c r="J157" s="684">
        <v>-383134</v>
      </c>
      <c r="K157" s="684">
        <f t="shared" ref="K157:M157" si="25">SUM(K155:K156)</f>
        <v>-391613</v>
      </c>
      <c r="L157" s="684">
        <f t="shared" si="25"/>
        <v>-396640</v>
      </c>
      <c r="M157" s="684">
        <f t="shared" si="25"/>
        <v>-209560</v>
      </c>
      <c r="N157" s="684">
        <f t="shared" ref="N157:O157" si="26">SUM(N155:N156)</f>
        <v>-214811</v>
      </c>
      <c r="O157" s="684">
        <f t="shared" si="26"/>
        <v>-220137</v>
      </c>
    </row>
    <row r="158" spans="1:21" ht="12.75" customHeight="1" thickTop="1" x14ac:dyDescent="0.25">
      <c r="D158" s="686"/>
      <c r="E158" s="377"/>
      <c r="F158" s="377"/>
      <c r="G158" s="371"/>
      <c r="I158" s="380"/>
      <c r="J158" s="683"/>
      <c r="K158" s="683"/>
      <c r="L158" s="683"/>
      <c r="M158" s="683"/>
      <c r="N158" s="683"/>
      <c r="O158" s="683"/>
    </row>
    <row r="159" spans="1:21" ht="12.75" customHeight="1" x14ac:dyDescent="0.25">
      <c r="D159" s="690">
        <v>647008</v>
      </c>
      <c r="E159" s="377"/>
      <c r="F159" s="377"/>
      <c r="G159" s="677" t="s">
        <v>4597</v>
      </c>
      <c r="I159" s="380"/>
      <c r="J159" s="683"/>
      <c r="K159" s="683"/>
      <c r="L159" s="683"/>
      <c r="M159" s="683"/>
      <c r="N159" s="683"/>
      <c r="O159" s="683"/>
    </row>
    <row r="160" spans="1:21" ht="12.75" customHeight="1" x14ac:dyDescent="0.25">
      <c r="D160" s="686"/>
      <c r="E160" s="377"/>
      <c r="F160" s="377"/>
      <c r="G160" s="680" t="s">
        <v>533</v>
      </c>
      <c r="I160" s="380"/>
      <c r="J160" s="683"/>
      <c r="K160" s="683"/>
      <c r="L160" s="683"/>
      <c r="M160" s="683"/>
      <c r="N160" s="683"/>
      <c r="O160" s="683"/>
    </row>
    <row r="161" spans="1:21" ht="12.75" customHeight="1" x14ac:dyDescent="0.25">
      <c r="A161" s="368">
        <f>D159</f>
        <v>647008</v>
      </c>
      <c r="B161" s="359" t="str">
        <f>G159</f>
        <v>Klimaatadaptief watersysteem</v>
      </c>
      <c r="D161" s="686">
        <v>43511</v>
      </c>
      <c r="E161" s="377"/>
      <c r="F161" s="377"/>
      <c r="G161" s="371" t="s">
        <v>734</v>
      </c>
      <c r="I161" s="380"/>
      <c r="J161" s="683">
        <v>100000</v>
      </c>
      <c r="K161" s="683">
        <f>K324</f>
        <v>102600</v>
      </c>
      <c r="L161" s="683">
        <f>L324</f>
        <v>104800</v>
      </c>
      <c r="M161" s="683">
        <f>M324</f>
        <v>107200</v>
      </c>
      <c r="N161" s="683">
        <f>N324</f>
        <v>109700</v>
      </c>
      <c r="O161" s="683">
        <f>O324</f>
        <v>112200</v>
      </c>
    </row>
    <row r="162" spans="1:21" ht="12.75" customHeight="1" x14ac:dyDescent="0.25">
      <c r="A162" s="368">
        <f>D159</f>
        <v>647008</v>
      </c>
      <c r="B162" s="359" t="str">
        <f>G159</f>
        <v>Klimaatadaptief watersysteem</v>
      </c>
      <c r="D162" s="681">
        <v>44510</v>
      </c>
      <c r="E162" s="682"/>
      <c r="F162" s="682"/>
      <c r="G162" s="371" t="s">
        <v>4585</v>
      </c>
      <c r="I162" s="380"/>
      <c r="J162" s="683">
        <v>21000</v>
      </c>
      <c r="K162" s="683">
        <f>ROUND(K161*0.21,0)</f>
        <v>21546</v>
      </c>
      <c r="L162" s="683">
        <f>ROUND(L161*0.21,0)</f>
        <v>22008</v>
      </c>
      <c r="M162" s="683">
        <f>ROUND(M161*0.21,0)</f>
        <v>22512</v>
      </c>
      <c r="N162" s="683">
        <f>ROUND(N161*0.21,0)</f>
        <v>23037</v>
      </c>
      <c r="O162" s="683">
        <f>ROUND(O161*0.21,0)</f>
        <v>23562</v>
      </c>
    </row>
    <row r="163" spans="1:21" ht="12.75" customHeight="1" thickBot="1" x14ac:dyDescent="0.3">
      <c r="D163" s="686"/>
      <c r="E163" s="377"/>
      <c r="F163" s="377"/>
      <c r="G163" s="371" t="s">
        <v>536</v>
      </c>
      <c r="I163" s="380"/>
      <c r="J163" s="684">
        <v>121000</v>
      </c>
      <c r="K163" s="684">
        <f t="shared" ref="K163:M163" si="27">SUM(K161:K162)</f>
        <v>124146</v>
      </c>
      <c r="L163" s="684">
        <f t="shared" si="27"/>
        <v>126808</v>
      </c>
      <c r="M163" s="684">
        <f t="shared" si="27"/>
        <v>129712</v>
      </c>
      <c r="N163" s="684">
        <f t="shared" ref="N163:O163" si="28">SUM(N161:N162)</f>
        <v>132737</v>
      </c>
      <c r="O163" s="684">
        <f t="shared" si="28"/>
        <v>135762</v>
      </c>
    </row>
    <row r="164" spans="1:21" ht="12.75" customHeight="1" thickTop="1" x14ac:dyDescent="0.25">
      <c r="D164" s="686"/>
      <c r="E164" s="377"/>
      <c r="F164" s="377"/>
      <c r="G164" s="371"/>
      <c r="I164" s="380"/>
      <c r="J164" s="683"/>
      <c r="K164" s="683"/>
      <c r="L164" s="683"/>
      <c r="M164" s="683"/>
      <c r="N164" s="683"/>
      <c r="O164" s="683"/>
    </row>
    <row r="165" spans="1:21" ht="12.75" customHeight="1" x14ac:dyDescent="0.25">
      <c r="D165" s="686"/>
      <c r="E165" s="377"/>
      <c r="F165" s="377"/>
      <c r="G165" s="371"/>
      <c r="I165" s="380"/>
      <c r="J165" s="683"/>
      <c r="K165" s="683"/>
      <c r="L165" s="683"/>
      <c r="M165" s="683"/>
      <c r="N165" s="683"/>
      <c r="O165" s="683"/>
      <c r="R165" s="502"/>
      <c r="S165" s="502"/>
      <c r="T165" s="502"/>
      <c r="U165" s="502"/>
    </row>
    <row r="166" spans="1:21" ht="12.75" customHeight="1" x14ac:dyDescent="0.25">
      <c r="D166" s="690">
        <v>647901</v>
      </c>
      <c r="E166" s="691"/>
      <c r="F166" s="691"/>
      <c r="G166" s="677" t="s">
        <v>4577</v>
      </c>
      <c r="I166" s="380"/>
      <c r="J166" s="683"/>
      <c r="K166" s="683"/>
      <c r="L166" s="683"/>
      <c r="M166" s="683"/>
      <c r="N166" s="683"/>
      <c r="O166" s="683"/>
    </row>
    <row r="167" spans="1:21" ht="12.75" customHeight="1" x14ac:dyDescent="0.25">
      <c r="D167" s="686"/>
      <c r="E167" s="377"/>
      <c r="F167" s="377"/>
      <c r="G167" s="680" t="s">
        <v>533</v>
      </c>
      <c r="I167" s="380"/>
      <c r="J167" s="683"/>
      <c r="K167" s="683"/>
      <c r="L167" s="683"/>
      <c r="M167" s="683"/>
      <c r="N167" s="683"/>
      <c r="O167" s="683"/>
    </row>
    <row r="168" spans="1:21" ht="12.75" customHeight="1" x14ac:dyDescent="0.25">
      <c r="A168" s="368">
        <f>+D166</f>
        <v>647901</v>
      </c>
      <c r="B168" s="359" t="str">
        <f>G166</f>
        <v>Directe toerekening riolering</v>
      </c>
      <c r="D168" s="686">
        <v>41100</v>
      </c>
      <c r="E168" s="377"/>
      <c r="F168" s="377"/>
      <c r="G168" s="371" t="s">
        <v>541</v>
      </c>
      <c r="I168" s="380"/>
      <c r="J168" s="683">
        <v>465114.68</v>
      </c>
      <c r="K168" s="683">
        <f>K336</f>
        <v>467723.04</v>
      </c>
      <c r="L168" s="683">
        <f>L336</f>
        <v>487367</v>
      </c>
      <c r="M168" s="683">
        <f>M336</f>
        <v>505399</v>
      </c>
      <c r="N168" s="683">
        <f>N336</f>
        <v>524099</v>
      </c>
      <c r="O168" s="683">
        <f>O336</f>
        <v>543490</v>
      </c>
    </row>
    <row r="169" spans="1:21" ht="12.75" customHeight="1" x14ac:dyDescent="0.25">
      <c r="A169" s="368">
        <f>+D166</f>
        <v>647901</v>
      </c>
      <c r="B169" s="359" t="str">
        <f>G166</f>
        <v>Directe toerekening riolering</v>
      </c>
      <c r="D169" s="686">
        <v>41100</v>
      </c>
      <c r="E169" s="377"/>
      <c r="F169" s="377"/>
      <c r="G169" s="371" t="s">
        <v>3268</v>
      </c>
      <c r="I169" s="380"/>
      <c r="J169" s="683">
        <v>0</v>
      </c>
      <c r="K169" s="683">
        <v>0</v>
      </c>
      <c r="L169" s="683">
        <v>0</v>
      </c>
      <c r="M169" s="683">
        <v>0</v>
      </c>
      <c r="N169" s="683">
        <v>0</v>
      </c>
      <c r="O169" s="683">
        <v>0</v>
      </c>
    </row>
    <row r="170" spans="1:21" ht="12.75" customHeight="1" x14ac:dyDescent="0.25">
      <c r="A170" s="368">
        <f>+D166</f>
        <v>647901</v>
      </c>
      <c r="B170" s="359" t="str">
        <f>+G166</f>
        <v>Directe toerekening riolering</v>
      </c>
      <c r="D170" s="686">
        <v>43812</v>
      </c>
      <c r="E170" s="377"/>
      <c r="F170" s="377"/>
      <c r="G170" s="371" t="s">
        <v>4598</v>
      </c>
      <c r="I170" s="380"/>
      <c r="J170" s="683">
        <v>17876</v>
      </c>
      <c r="K170" s="683">
        <f t="shared" ref="K170:M170" si="29">K343</f>
        <v>18412</v>
      </c>
      <c r="L170" s="683">
        <f t="shared" si="29"/>
        <v>18799</v>
      </c>
      <c r="M170" s="683">
        <f t="shared" si="29"/>
        <v>19231</v>
      </c>
      <c r="N170" s="683">
        <f t="shared" ref="N170:O170" si="30">N343</f>
        <v>19673</v>
      </c>
      <c r="O170" s="683">
        <f t="shared" si="30"/>
        <v>20125</v>
      </c>
    </row>
    <row r="171" spans="1:21" ht="12.75" customHeight="1" x14ac:dyDescent="0.25">
      <c r="A171" s="368">
        <f>+D166</f>
        <v>647901</v>
      </c>
      <c r="B171" s="359" t="str">
        <f>+G166</f>
        <v>Directe toerekening riolering</v>
      </c>
      <c r="D171" s="686">
        <v>47300</v>
      </c>
      <c r="E171" s="377"/>
      <c r="F171" s="377"/>
      <c r="G171" s="371" t="s">
        <v>1033</v>
      </c>
      <c r="I171" s="380"/>
      <c r="J171" s="683">
        <v>23879</v>
      </c>
      <c r="K171" s="683">
        <v>23879</v>
      </c>
      <c r="L171" s="683">
        <v>23879</v>
      </c>
      <c r="M171" s="683">
        <v>23879</v>
      </c>
      <c r="N171" s="683">
        <v>23879</v>
      </c>
      <c r="O171" s="683">
        <v>23879</v>
      </c>
    </row>
    <row r="172" spans="1:21" ht="12.75" customHeight="1" x14ac:dyDescent="0.25">
      <c r="D172" s="686"/>
      <c r="E172" s="377"/>
      <c r="F172" s="377"/>
      <c r="G172" s="371"/>
      <c r="I172" s="380"/>
      <c r="J172" s="683"/>
      <c r="K172" s="683"/>
      <c r="L172" s="683"/>
      <c r="M172" s="683"/>
      <c r="N172" s="683"/>
      <c r="O172" s="683"/>
    </row>
    <row r="173" spans="1:21" ht="12.75" customHeight="1" thickBot="1" x14ac:dyDescent="0.3">
      <c r="D173" s="686"/>
      <c r="E173" s="377"/>
      <c r="F173" s="377"/>
      <c r="G173" s="371" t="s">
        <v>536</v>
      </c>
      <c r="I173" s="380"/>
      <c r="J173" s="684">
        <v>506869.68</v>
      </c>
      <c r="K173" s="684">
        <f t="shared" ref="K173:M173" si="31">SUM(K168:K172)</f>
        <v>510014.04</v>
      </c>
      <c r="L173" s="684">
        <f t="shared" si="31"/>
        <v>530045</v>
      </c>
      <c r="M173" s="684">
        <f t="shared" si="31"/>
        <v>548509</v>
      </c>
      <c r="N173" s="684">
        <f t="shared" ref="N173:O173" si="32">SUM(N168:N172)</f>
        <v>567651</v>
      </c>
      <c r="O173" s="684">
        <f t="shared" si="32"/>
        <v>587494</v>
      </c>
    </row>
    <row r="174" spans="1:21" ht="12.75" customHeight="1" thickTop="1" x14ac:dyDescent="0.25">
      <c r="D174" s="686"/>
      <c r="E174" s="377"/>
      <c r="F174" s="377"/>
      <c r="G174" s="371"/>
      <c r="I174" s="380"/>
      <c r="J174" s="683"/>
      <c r="K174" s="683"/>
      <c r="L174" s="683"/>
      <c r="M174" s="683"/>
      <c r="N174" s="683"/>
      <c r="O174" s="683"/>
    </row>
    <row r="175" spans="1:21" ht="12.75" customHeight="1" x14ac:dyDescent="0.25">
      <c r="D175" s="676">
        <v>647004</v>
      </c>
      <c r="E175" s="674"/>
      <c r="F175" s="674"/>
      <c r="G175" s="677" t="s">
        <v>4599</v>
      </c>
      <c r="I175" s="380"/>
      <c r="J175" s="683"/>
      <c r="K175" s="683"/>
      <c r="L175" s="683"/>
      <c r="M175" s="683"/>
      <c r="N175" s="683"/>
      <c r="O175" s="683"/>
    </row>
    <row r="176" spans="1:21" ht="12.75" customHeight="1" x14ac:dyDescent="0.25">
      <c r="D176" s="686"/>
      <c r="E176" s="377"/>
      <c r="F176" s="377"/>
      <c r="G176" s="680" t="s">
        <v>554</v>
      </c>
      <c r="I176" s="380"/>
      <c r="J176" s="683"/>
      <c r="K176" s="683"/>
      <c r="L176" s="683"/>
      <c r="M176" s="683"/>
      <c r="N176" s="683"/>
      <c r="O176" s="683"/>
    </row>
    <row r="177" spans="1:22" ht="12.75" customHeight="1" x14ac:dyDescent="0.25">
      <c r="A177" s="368">
        <f>+D175</f>
        <v>647004</v>
      </c>
      <c r="B177" s="359" t="str">
        <f>G175</f>
        <v>Maken van rioolhuisaansluitingen</v>
      </c>
      <c r="D177" s="681">
        <v>84380</v>
      </c>
      <c r="E177" s="682"/>
      <c r="F177" s="682"/>
      <c r="G177" s="371" t="s">
        <v>2173</v>
      </c>
      <c r="I177" s="380"/>
      <c r="J177" s="380">
        <v>-35616</v>
      </c>
      <c r="K177" s="380">
        <f>-K141</f>
        <v>-36471</v>
      </c>
      <c r="L177" s="380">
        <f>-L141</f>
        <v>-37345</v>
      </c>
      <c r="M177" s="380">
        <f>-M141</f>
        <v>-38242</v>
      </c>
      <c r="N177" s="380">
        <f>-N141</f>
        <v>-39122</v>
      </c>
      <c r="O177" s="380">
        <f>-O141</f>
        <v>-40022</v>
      </c>
    </row>
    <row r="178" spans="1:22" ht="12.75" customHeight="1" thickBot="1" x14ac:dyDescent="0.3">
      <c r="D178" s="686"/>
      <c r="E178" s="377"/>
      <c r="F178" s="377"/>
      <c r="G178" s="371" t="s">
        <v>536</v>
      </c>
      <c r="I178" s="380"/>
      <c r="J178" s="684">
        <v>-35616</v>
      </c>
      <c r="K178" s="684">
        <f>SUM(K177)</f>
        <v>-36471</v>
      </c>
      <c r="L178" s="684">
        <f>SUM(L177)</f>
        <v>-37345</v>
      </c>
      <c r="M178" s="684">
        <f>SUM(M177)</f>
        <v>-38242</v>
      </c>
      <c r="N178" s="684">
        <f>SUM(N177)</f>
        <v>-39122</v>
      </c>
      <c r="O178" s="684">
        <f>SUM(O177)</f>
        <v>-40022</v>
      </c>
    </row>
    <row r="179" spans="1:22" ht="12.75" customHeight="1" thickTop="1" x14ac:dyDescent="0.25">
      <c r="D179" s="686"/>
      <c r="E179" s="377"/>
      <c r="F179" s="377"/>
      <c r="G179" s="371"/>
      <c r="I179" s="380"/>
      <c r="J179" s="688"/>
      <c r="K179" s="688"/>
      <c r="L179" s="688"/>
      <c r="M179" s="688"/>
      <c r="N179" s="688"/>
      <c r="O179" s="688"/>
    </row>
    <row r="180" spans="1:22" ht="12.75" customHeight="1" x14ac:dyDescent="0.25">
      <c r="D180" s="676">
        <v>647005</v>
      </c>
      <c r="E180" s="674"/>
      <c r="F180" s="674"/>
      <c r="G180" s="677" t="s">
        <v>4596</v>
      </c>
      <c r="I180" s="380"/>
      <c r="J180" s="683"/>
      <c r="K180" s="683"/>
      <c r="L180" s="683"/>
      <c r="M180" s="683"/>
      <c r="N180" s="683"/>
      <c r="O180" s="683"/>
    </row>
    <row r="181" spans="1:22" ht="12.75" customHeight="1" x14ac:dyDescent="0.25">
      <c r="D181" s="686"/>
      <c r="E181" s="377"/>
      <c r="F181" s="377"/>
      <c r="G181" s="680" t="s">
        <v>554</v>
      </c>
      <c r="I181" s="380"/>
      <c r="J181" s="683"/>
      <c r="K181" s="683"/>
      <c r="L181" s="683"/>
      <c r="M181" s="683"/>
      <c r="N181" s="683"/>
      <c r="O181" s="683"/>
      <c r="R181" s="359" t="s">
        <v>186</v>
      </c>
    </row>
    <row r="182" spans="1:22" ht="12.75" customHeight="1" x14ac:dyDescent="0.25">
      <c r="A182" s="368">
        <f>+D180</f>
        <v>647005</v>
      </c>
      <c r="B182" s="359" t="str">
        <f>G180</f>
        <v>Rioolrecht</v>
      </c>
      <c r="D182" s="681">
        <v>82210</v>
      </c>
      <c r="E182" s="682"/>
      <c r="F182" s="682"/>
      <c r="G182" s="371" t="s">
        <v>1964</v>
      </c>
      <c r="I182" s="380"/>
      <c r="J182" s="683">
        <v>-259569.25819999957</v>
      </c>
      <c r="K182" s="683">
        <f>K399</f>
        <v>-267909.21846596524</v>
      </c>
      <c r="L182" s="683">
        <f>L399</f>
        <v>-276517.14165527653</v>
      </c>
      <c r="M182" s="683">
        <f>M399</f>
        <v>-285401.63741666079</v>
      </c>
      <c r="N182" s="683">
        <f>N399</f>
        <v>-294571.59202685766</v>
      </c>
      <c r="O182" s="683">
        <f>O399</f>
        <v>-304036.17727868073</v>
      </c>
      <c r="R182" s="359">
        <v>-259727</v>
      </c>
      <c r="S182" s="359">
        <v>-263883</v>
      </c>
      <c r="T182" s="359">
        <v>-268105</v>
      </c>
      <c r="U182" s="359">
        <v>-272395</v>
      </c>
      <c r="V182" s="359">
        <v>-272395</v>
      </c>
    </row>
    <row r="183" spans="1:22" ht="12.75" customHeight="1" x14ac:dyDescent="0.25">
      <c r="A183" s="368">
        <f>+D180</f>
        <v>647005</v>
      </c>
      <c r="B183" s="359" t="str">
        <f>G180</f>
        <v>Rioolrecht</v>
      </c>
      <c r="D183" s="681">
        <v>82220</v>
      </c>
      <c r="E183" s="682"/>
      <c r="F183" s="682"/>
      <c r="G183" s="371" t="s">
        <v>4600</v>
      </c>
      <c r="I183" s="380"/>
      <c r="J183" s="692">
        <v>-2666879.2448</v>
      </c>
      <c r="K183" s="692">
        <f>K398</f>
        <v>-2752566.0749354241</v>
      </c>
      <c r="L183" s="692">
        <f>L398</f>
        <v>-2841006.0229230993</v>
      </c>
      <c r="M183" s="692">
        <f>M398</f>
        <v>-2932287.5464396183</v>
      </c>
      <c r="N183" s="692">
        <f>N398</f>
        <v>-3026501.9453067235</v>
      </c>
      <c r="O183" s="692">
        <f>O398</f>
        <v>-3123743.4528094283</v>
      </c>
      <c r="R183" s="359">
        <v>-2306662</v>
      </c>
      <c r="S183" s="359">
        <v>-2394656</v>
      </c>
      <c r="T183" s="359">
        <v>-2484168</v>
      </c>
      <c r="U183" s="359">
        <v>-2479878</v>
      </c>
      <c r="V183" s="359">
        <v>-2479878</v>
      </c>
    </row>
    <row r="184" spans="1:22" ht="12.75" customHeight="1" thickBot="1" x14ac:dyDescent="0.3">
      <c r="D184" s="686"/>
      <c r="E184" s="377"/>
      <c r="F184" s="377"/>
      <c r="G184" s="371" t="s">
        <v>536</v>
      </c>
      <c r="I184" s="380"/>
      <c r="J184" s="684">
        <v>-2926448.5029999996</v>
      </c>
      <c r="K184" s="684">
        <f>SUM(K182:K183)</f>
        <v>-3020475.2934013894</v>
      </c>
      <c r="L184" s="684">
        <f>SUM(L182:L183)</f>
        <v>-3117523.1645783759</v>
      </c>
      <c r="M184" s="684">
        <f>SUM(M182:M183)</f>
        <v>-3217689.1838562791</v>
      </c>
      <c r="N184" s="684">
        <f>SUM(N182:N183)</f>
        <v>-3321073.5373335811</v>
      </c>
      <c r="O184" s="684">
        <f>SUM(O182:O183)</f>
        <v>-3427779.6300881091</v>
      </c>
    </row>
    <row r="185" spans="1:22" ht="12.75" customHeight="1" thickTop="1" x14ac:dyDescent="0.25">
      <c r="D185" s="686"/>
      <c r="E185" s="377"/>
      <c r="F185" s="377"/>
      <c r="G185" s="371"/>
      <c r="I185" s="380"/>
      <c r="J185" s="688"/>
      <c r="K185" s="688"/>
      <c r="L185" s="688"/>
      <c r="M185" s="688"/>
      <c r="N185" s="688"/>
      <c r="O185" s="688"/>
    </row>
    <row r="186" spans="1:22" ht="12.75" customHeight="1" x14ac:dyDescent="0.25">
      <c r="D186" s="690">
        <v>647901</v>
      </c>
      <c r="E186" s="691"/>
      <c r="F186" s="691"/>
      <c r="G186" s="693" t="s">
        <v>4577</v>
      </c>
      <c r="I186" s="380"/>
      <c r="J186" s="683"/>
      <c r="K186" s="683"/>
      <c r="L186" s="683"/>
      <c r="M186" s="683"/>
      <c r="N186" s="683"/>
      <c r="O186" s="683"/>
    </row>
    <row r="187" spans="1:22" ht="12.75" customHeight="1" x14ac:dyDescent="0.25">
      <c r="A187" s="368">
        <f>+D186</f>
        <v>647901</v>
      </c>
      <c r="B187" s="359" t="str">
        <f>+G186</f>
        <v>Directe toerekening riolering</v>
      </c>
      <c r="D187" s="686">
        <v>83800</v>
      </c>
      <c r="E187" s="377"/>
      <c r="F187" s="377"/>
      <c r="G187" s="371" t="s">
        <v>1959</v>
      </c>
      <c r="I187" s="380"/>
      <c r="J187" s="683">
        <v>-6014</v>
      </c>
      <c r="K187" s="683">
        <f t="shared" ref="K187:M187" si="33">K345</f>
        <v>-6194</v>
      </c>
      <c r="L187" s="683">
        <f t="shared" si="33"/>
        <v>-6324</v>
      </c>
      <c r="M187" s="683">
        <f t="shared" si="33"/>
        <v>-6469</v>
      </c>
      <c r="N187" s="683">
        <f t="shared" ref="N187:O187" si="34">N345</f>
        <v>-6618</v>
      </c>
      <c r="O187" s="683">
        <f t="shared" si="34"/>
        <v>-6770</v>
      </c>
    </row>
    <row r="188" spans="1:22" ht="12.75" customHeight="1" thickBot="1" x14ac:dyDescent="0.3">
      <c r="D188" s="694"/>
      <c r="E188" s="695"/>
      <c r="F188" s="695"/>
      <c r="G188" s="696" t="s">
        <v>536</v>
      </c>
      <c r="H188" s="697"/>
      <c r="I188" s="698"/>
      <c r="J188" s="684">
        <v>-6014</v>
      </c>
      <c r="K188" s="684">
        <f t="shared" ref="K188:M188" si="35">+K187</f>
        <v>-6194</v>
      </c>
      <c r="L188" s="684">
        <f t="shared" si="35"/>
        <v>-6324</v>
      </c>
      <c r="M188" s="684">
        <f t="shared" si="35"/>
        <v>-6469</v>
      </c>
      <c r="N188" s="684">
        <f t="shared" ref="N188:O188" si="36">+N187</f>
        <v>-6618</v>
      </c>
      <c r="O188" s="684">
        <f t="shared" si="36"/>
        <v>-6770</v>
      </c>
    </row>
    <row r="189" spans="1:22" ht="12.75" customHeight="1" thickTop="1" x14ac:dyDescent="0.25">
      <c r="D189" s="699"/>
      <c r="E189" s="699"/>
      <c r="F189" s="699"/>
      <c r="I189" s="510"/>
      <c r="J189" s="510"/>
      <c r="K189" s="510"/>
      <c r="L189" s="510"/>
      <c r="M189" s="510"/>
      <c r="N189" s="510"/>
      <c r="O189" s="510"/>
    </row>
    <row r="190" spans="1:22" ht="12.75" customHeight="1" x14ac:dyDescent="0.25">
      <c r="D190" s="699"/>
      <c r="E190" s="699"/>
      <c r="F190" s="699"/>
      <c r="I190" s="510"/>
      <c r="J190" s="510"/>
      <c r="K190" s="510"/>
      <c r="L190" s="510"/>
      <c r="M190" s="510"/>
      <c r="N190" s="510"/>
      <c r="O190" s="510"/>
    </row>
    <row r="191" spans="1:22" ht="12.75" customHeight="1" x14ac:dyDescent="0.25">
      <c r="D191" s="699"/>
      <c r="E191" s="699"/>
      <c r="F191" s="699"/>
      <c r="I191" s="510"/>
      <c r="J191" s="510"/>
      <c r="K191" s="510"/>
      <c r="L191" s="510"/>
      <c r="M191" s="510"/>
      <c r="N191" s="510"/>
      <c r="O191" s="510"/>
    </row>
    <row r="192" spans="1:22" ht="12.75" customHeight="1" x14ac:dyDescent="0.25">
      <c r="D192" s="699"/>
      <c r="E192" s="699"/>
      <c r="F192" s="699"/>
      <c r="I192" s="510"/>
      <c r="J192" s="510"/>
      <c r="K192" s="510"/>
      <c r="L192" s="510"/>
      <c r="M192" s="510"/>
      <c r="N192" s="510"/>
      <c r="O192" s="510"/>
    </row>
    <row r="193" spans="4:16" ht="12.75" customHeight="1" x14ac:dyDescent="0.25">
      <c r="D193" s="699"/>
      <c r="E193" s="660" t="s">
        <v>4601</v>
      </c>
      <c r="F193" s="699"/>
      <c r="I193" s="510"/>
      <c r="J193" s="510"/>
      <c r="K193" s="510"/>
      <c r="L193" s="510"/>
      <c r="M193" s="510"/>
      <c r="N193" s="510"/>
      <c r="O193" s="510"/>
    </row>
    <row r="194" spans="4:16" ht="12.75" customHeight="1" x14ac:dyDescent="0.25">
      <c r="D194" s="699"/>
      <c r="E194" s="359"/>
      <c r="F194" s="699"/>
      <c r="I194" s="510"/>
      <c r="J194" s="510"/>
      <c r="K194" s="510"/>
      <c r="L194" s="510"/>
      <c r="M194" s="510"/>
      <c r="N194" s="510"/>
      <c r="O194" s="510"/>
    </row>
    <row r="195" spans="4:16" ht="12.75" customHeight="1" x14ac:dyDescent="0.25">
      <c r="D195" s="699"/>
      <c r="E195" s="700" t="s">
        <v>3057</v>
      </c>
      <c r="F195" s="699"/>
      <c r="I195" s="510"/>
      <c r="J195" s="510"/>
      <c r="K195" s="510"/>
      <c r="L195" s="510"/>
      <c r="M195" s="510"/>
      <c r="N195" s="510"/>
      <c r="O195" s="510"/>
    </row>
    <row r="196" spans="4:16" ht="12.75" customHeight="1" x14ac:dyDescent="0.25">
      <c r="D196" s="699"/>
      <c r="E196" s="359"/>
      <c r="F196" s="699"/>
      <c r="I196" s="510"/>
      <c r="J196" s="510"/>
      <c r="K196" s="510"/>
      <c r="L196" s="510"/>
      <c r="M196" s="510"/>
      <c r="N196" s="510"/>
      <c r="O196" s="510"/>
    </row>
    <row r="197" spans="4:16" ht="12.75" customHeight="1" x14ac:dyDescent="0.25">
      <c r="D197" s="673">
        <v>647007</v>
      </c>
      <c r="E197" s="660" t="s">
        <v>4602</v>
      </c>
      <c r="F197" s="669"/>
      <c r="I197" s="510"/>
      <c r="J197" s="510"/>
      <c r="K197" s="510"/>
      <c r="L197" s="510"/>
      <c r="M197" s="510"/>
      <c r="N197" s="510"/>
      <c r="O197" s="510"/>
    </row>
    <row r="198" spans="4:16" ht="12.75" customHeight="1" x14ac:dyDescent="0.25">
      <c r="D198" s="699"/>
      <c r="E198" s="359" t="s">
        <v>4603</v>
      </c>
      <c r="F198" s="699"/>
      <c r="I198" s="510"/>
      <c r="J198" s="510"/>
      <c r="K198" s="510"/>
      <c r="L198" s="510"/>
      <c r="M198" s="510"/>
      <c r="N198" s="510"/>
      <c r="O198" s="510"/>
    </row>
    <row r="199" spans="4:16" ht="12.75" customHeight="1" x14ac:dyDescent="0.25">
      <c r="D199" s="699"/>
      <c r="E199" s="359"/>
      <c r="F199" s="699"/>
      <c r="I199" s="510"/>
      <c r="J199" s="510"/>
      <c r="K199" s="510"/>
      <c r="L199" s="510"/>
      <c r="M199" s="510"/>
      <c r="N199" s="510"/>
      <c r="O199" s="510"/>
    </row>
    <row r="200" spans="4:16" ht="12.75" customHeight="1" x14ac:dyDescent="0.25">
      <c r="D200" s="673">
        <v>647001</v>
      </c>
      <c r="E200" s="660" t="s">
        <v>4586</v>
      </c>
      <c r="F200" s="669"/>
      <c r="I200" s="510"/>
      <c r="J200" s="701">
        <v>2025</v>
      </c>
      <c r="K200" s="701">
        <v>2026</v>
      </c>
      <c r="L200" s="701">
        <v>2027</v>
      </c>
      <c r="M200" s="701">
        <v>2028</v>
      </c>
      <c r="N200" s="701">
        <v>2029</v>
      </c>
      <c r="O200" s="701">
        <v>2030</v>
      </c>
    </row>
    <row r="201" spans="4:16" ht="12.75" customHeight="1" x14ac:dyDescent="0.25">
      <c r="D201" s="673"/>
      <c r="E201" s="359"/>
      <c r="F201" s="669"/>
      <c r="I201" s="510"/>
      <c r="J201" s="510"/>
      <c r="K201" s="510"/>
      <c r="L201" s="510"/>
      <c r="M201" s="510"/>
      <c r="N201" s="510"/>
      <c r="O201" s="510"/>
    </row>
    <row r="202" spans="4:16" ht="12.75" customHeight="1" x14ac:dyDescent="0.25">
      <c r="E202" s="359" t="s">
        <v>4604</v>
      </c>
      <c r="I202" s="510"/>
      <c r="J202" s="510"/>
      <c r="K202" s="510"/>
      <c r="L202" s="510"/>
      <c r="M202" s="510"/>
      <c r="N202" s="510"/>
      <c r="O202" s="510"/>
      <c r="P202" s="689"/>
    </row>
    <row r="203" spans="4:16" ht="12.75" customHeight="1" x14ac:dyDescent="0.25">
      <c r="E203" s="359" t="s">
        <v>4605</v>
      </c>
      <c r="I203" s="510"/>
      <c r="J203" s="510"/>
      <c r="K203" s="510"/>
      <c r="L203" s="510"/>
      <c r="M203" s="510"/>
      <c r="N203" s="510"/>
      <c r="O203" s="510"/>
    </row>
    <row r="204" spans="4:16" ht="12.75" customHeight="1" x14ac:dyDescent="0.25">
      <c r="E204" s="359"/>
      <c r="I204" s="510"/>
      <c r="J204" s="510"/>
      <c r="K204" s="510"/>
      <c r="L204" s="510"/>
      <c r="M204" s="510"/>
      <c r="N204" s="510"/>
      <c r="O204" s="510"/>
    </row>
    <row r="205" spans="4:16" ht="12.75" customHeight="1" x14ac:dyDescent="0.25">
      <c r="D205" s="567">
        <v>43812</v>
      </c>
      <c r="E205" s="702" t="s">
        <v>4606</v>
      </c>
      <c r="I205" s="510"/>
      <c r="J205" s="510">
        <v>33468</v>
      </c>
      <c r="K205" s="510">
        <f>ROUND(J205*S$2,0)</f>
        <v>34338</v>
      </c>
      <c r="L205" s="510">
        <f>ROUND(K205*T$2,0)</f>
        <v>35059</v>
      </c>
      <c r="M205" s="510">
        <f>ROUND(L205*U$2,0)</f>
        <v>35865</v>
      </c>
      <c r="N205" s="510">
        <f>ROUND(M205*V$2,0)</f>
        <v>36690</v>
      </c>
      <c r="O205" s="510">
        <f>ROUND(N205*W$2,0)</f>
        <v>37534</v>
      </c>
    </row>
    <row r="206" spans="4:16" ht="12.75" customHeight="1" x14ac:dyDescent="0.25">
      <c r="D206" s="567"/>
      <c r="E206" s="359" t="s">
        <v>4607</v>
      </c>
      <c r="I206" s="510"/>
      <c r="J206" s="510">
        <v>16370</v>
      </c>
      <c r="K206" s="510">
        <f t="shared" ref="K206:K211" si="37">ROUND(J206*S$2,0)</f>
        <v>16796</v>
      </c>
      <c r="L206" s="510">
        <f t="shared" ref="L206:O209" si="38">ROUND(K206*T$2,0)</f>
        <v>17149</v>
      </c>
      <c r="M206" s="510">
        <f t="shared" si="38"/>
        <v>17543</v>
      </c>
      <c r="N206" s="510">
        <f t="shared" si="38"/>
        <v>17946</v>
      </c>
      <c r="O206" s="510">
        <f t="shared" si="38"/>
        <v>18359</v>
      </c>
    </row>
    <row r="207" spans="4:16" ht="12.75" customHeight="1" x14ac:dyDescent="0.25">
      <c r="D207" s="368"/>
      <c r="E207" s="359" t="s">
        <v>4608</v>
      </c>
      <c r="I207" s="510"/>
      <c r="J207" s="510">
        <v>2447</v>
      </c>
      <c r="K207" s="510">
        <f t="shared" si="37"/>
        <v>2511</v>
      </c>
      <c r="L207" s="510">
        <f t="shared" si="38"/>
        <v>2564</v>
      </c>
      <c r="M207" s="510">
        <f t="shared" si="38"/>
        <v>2623</v>
      </c>
      <c r="N207" s="510">
        <f t="shared" si="38"/>
        <v>2683</v>
      </c>
      <c r="O207" s="510">
        <f t="shared" si="38"/>
        <v>2745</v>
      </c>
    </row>
    <row r="208" spans="4:16" ht="12.75" customHeight="1" x14ac:dyDescent="0.25">
      <c r="D208" s="368"/>
      <c r="E208" s="359" t="s">
        <v>4609</v>
      </c>
      <c r="I208" s="510"/>
      <c r="J208" s="510">
        <v>5061</v>
      </c>
      <c r="K208" s="510">
        <f t="shared" si="37"/>
        <v>5193</v>
      </c>
      <c r="L208" s="510">
        <f t="shared" si="38"/>
        <v>5302</v>
      </c>
      <c r="M208" s="510">
        <f t="shared" si="38"/>
        <v>5424</v>
      </c>
      <c r="N208" s="510">
        <f t="shared" si="38"/>
        <v>5549</v>
      </c>
      <c r="O208" s="510">
        <f t="shared" si="38"/>
        <v>5677</v>
      </c>
    </row>
    <row r="209" spans="4:16" ht="12.75" customHeight="1" x14ac:dyDescent="0.25">
      <c r="D209" s="368"/>
      <c r="E209" s="702" t="s">
        <v>4610</v>
      </c>
      <c r="H209" s="702"/>
      <c r="I209" s="510"/>
      <c r="J209" s="510">
        <v>1603</v>
      </c>
      <c r="K209" s="510">
        <f t="shared" si="37"/>
        <v>1645</v>
      </c>
      <c r="L209" s="510">
        <f t="shared" si="38"/>
        <v>1680</v>
      </c>
      <c r="M209" s="510">
        <f t="shared" si="38"/>
        <v>1719</v>
      </c>
      <c r="N209" s="510">
        <f t="shared" si="38"/>
        <v>1759</v>
      </c>
      <c r="O209" s="510">
        <f t="shared" si="38"/>
        <v>1799</v>
      </c>
    </row>
    <row r="210" spans="4:16" ht="12.75" customHeight="1" x14ac:dyDescent="0.25">
      <c r="D210" s="368"/>
      <c r="E210" s="702"/>
      <c r="H210" s="702"/>
      <c r="I210" s="510"/>
      <c r="J210" s="510"/>
      <c r="K210" s="510"/>
      <c r="L210" s="510"/>
      <c r="M210" s="510"/>
      <c r="N210" s="510"/>
      <c r="O210" s="510"/>
    </row>
    <row r="211" spans="4:16" ht="12.75" customHeight="1" x14ac:dyDescent="0.25">
      <c r="D211" s="368"/>
      <c r="E211" s="359" t="s">
        <v>4611</v>
      </c>
      <c r="H211" s="702"/>
      <c r="I211" s="510"/>
      <c r="J211" s="510">
        <v>20224</v>
      </c>
      <c r="K211" s="510">
        <f t="shared" si="37"/>
        <v>20750</v>
      </c>
      <c r="L211" s="510">
        <f>ROUND(K211*T$2,0)</f>
        <v>21186</v>
      </c>
      <c r="M211" s="510">
        <f>ROUND(L211*U$2,0)</f>
        <v>21673</v>
      </c>
      <c r="N211" s="510">
        <f>ROUND(M211*V$2,0)</f>
        <v>22171</v>
      </c>
      <c r="O211" s="510">
        <f>ROUND(N211*W$2,0)</f>
        <v>22681</v>
      </c>
    </row>
    <row r="212" spans="4:16" ht="12.75" customHeight="1" x14ac:dyDescent="0.25">
      <c r="D212" s="368"/>
      <c r="E212" s="702"/>
      <c r="H212" s="702"/>
      <c r="I212" s="510"/>
      <c r="J212" s="510"/>
      <c r="K212" s="510"/>
      <c r="L212" s="510"/>
      <c r="M212" s="510"/>
      <c r="N212" s="510"/>
      <c r="O212" s="510"/>
    </row>
    <row r="213" spans="4:16" ht="12.75" customHeight="1" thickBot="1" x14ac:dyDescent="0.3">
      <c r="D213" s="368"/>
      <c r="E213" s="702" t="str">
        <f>"Totaal "&amp;D205</f>
        <v>Totaal 43812</v>
      </c>
      <c r="I213" s="510"/>
      <c r="J213" s="1880">
        <v>79173</v>
      </c>
      <c r="K213" s="1880">
        <f t="shared" ref="K213" si="39">SUM(K205:K211)</f>
        <v>81233</v>
      </c>
      <c r="L213" s="1880">
        <f t="shared" ref="L213:M213" si="40">SUM(L205:L211)</f>
        <v>82940</v>
      </c>
      <c r="M213" s="1880">
        <f t="shared" si="40"/>
        <v>84847</v>
      </c>
      <c r="N213" s="1880">
        <f t="shared" ref="N213:O213" si="41">SUM(N205:N211)</f>
        <v>86798</v>
      </c>
      <c r="O213" s="1880">
        <f t="shared" si="41"/>
        <v>88795</v>
      </c>
    </row>
    <row r="214" spans="4:16" ht="12.75" customHeight="1" thickTop="1" x14ac:dyDescent="0.25">
      <c r="D214" s="368"/>
      <c r="E214" s="702"/>
      <c r="I214" s="510"/>
      <c r="J214" s="510"/>
      <c r="K214" s="510"/>
      <c r="L214" s="510"/>
      <c r="M214" s="510"/>
      <c r="N214" s="510"/>
      <c r="O214" s="510"/>
    </row>
    <row r="215" spans="4:16" ht="12.75" customHeight="1" x14ac:dyDescent="0.25">
      <c r="D215" s="567">
        <v>44510</v>
      </c>
      <c r="E215" s="359" t="s">
        <v>4612</v>
      </c>
      <c r="I215" s="510"/>
      <c r="J215" s="510"/>
      <c r="K215" s="510"/>
      <c r="L215" s="510"/>
      <c r="M215" s="510"/>
      <c r="N215" s="510"/>
      <c r="O215" s="510"/>
    </row>
    <row r="216" spans="4:16" ht="12.75" customHeight="1" x14ac:dyDescent="0.25">
      <c r="D216" s="567"/>
      <c r="E216" s="703" t="s">
        <v>4613</v>
      </c>
      <c r="I216" s="510"/>
      <c r="J216" s="510">
        <v>26556</v>
      </c>
      <c r="K216" s="510">
        <f>ROUND((K91+K92)*0.21,0)</f>
        <v>27227</v>
      </c>
      <c r="L216" s="510">
        <f>ROUND((L91+L92)*0.21,0)</f>
        <v>27830</v>
      </c>
      <c r="M216" s="510">
        <f>ROUND((M91+M92)*0.21,0)</f>
        <v>28480</v>
      </c>
      <c r="N216" s="510">
        <f>ROUND((N91+N92)*0.21,0)</f>
        <v>29135</v>
      </c>
      <c r="O216" s="510">
        <f>ROUND((O91+O92)*0.21,0)</f>
        <v>29806</v>
      </c>
    </row>
    <row r="217" spans="4:16" ht="12.75" customHeight="1" x14ac:dyDescent="0.25">
      <c r="D217" s="567"/>
      <c r="E217" s="703" t="s">
        <v>4614</v>
      </c>
      <c r="I217" s="510"/>
      <c r="J217" s="570">
        <v>252000</v>
      </c>
      <c r="K217" s="570">
        <f t="shared" ref="K217:M217" si="42">ROUND(K319*0.21,0)</f>
        <v>252000</v>
      </c>
      <c r="L217" s="570">
        <f t="shared" si="42"/>
        <v>252000</v>
      </c>
      <c r="M217" s="570">
        <f t="shared" si="42"/>
        <v>59737</v>
      </c>
      <c r="N217" s="570">
        <f t="shared" ref="N217:O217" si="43">ROUND(N319*0.21,0)</f>
        <v>59737</v>
      </c>
      <c r="O217" s="570">
        <f t="shared" si="43"/>
        <v>59737</v>
      </c>
    </row>
    <row r="218" spans="4:16" ht="12.75" customHeight="1" thickBot="1" x14ac:dyDescent="0.3">
      <c r="D218" s="567"/>
      <c r="E218" s="703"/>
      <c r="I218" s="510"/>
      <c r="J218" s="1880">
        <v>278556</v>
      </c>
      <c r="K218" s="1880">
        <f t="shared" ref="K218" si="44">SUM(K216:K217)</f>
        <v>279227</v>
      </c>
      <c r="L218" s="1880">
        <f t="shared" ref="L218:M218" si="45">SUM(L216:L217)</f>
        <v>279830</v>
      </c>
      <c r="M218" s="1880">
        <f t="shared" si="45"/>
        <v>88217</v>
      </c>
      <c r="N218" s="1880">
        <f t="shared" ref="N218:O218" si="46">SUM(N216:N217)</f>
        <v>88872</v>
      </c>
      <c r="O218" s="1880">
        <f t="shared" si="46"/>
        <v>89543</v>
      </c>
    </row>
    <row r="219" spans="4:16" ht="12.75" customHeight="1" thickTop="1" x14ac:dyDescent="0.25">
      <c r="D219" s="567"/>
      <c r="G219" s="703"/>
      <c r="I219" s="510"/>
      <c r="J219" s="510"/>
      <c r="K219" s="510"/>
      <c r="L219" s="510"/>
      <c r="M219" s="510"/>
      <c r="N219" s="510"/>
      <c r="O219" s="510"/>
    </row>
    <row r="220" spans="4:16" ht="12.75" customHeight="1" x14ac:dyDescent="0.25">
      <c r="D220" s="567"/>
      <c r="G220" s="704"/>
      <c r="I220" s="510"/>
      <c r="J220" s="510"/>
      <c r="K220" s="510"/>
      <c r="L220" s="510"/>
      <c r="M220" s="510"/>
      <c r="N220" s="510"/>
      <c r="O220" s="510"/>
    </row>
    <row r="221" spans="4:16" ht="12.75" customHeight="1" x14ac:dyDescent="0.25">
      <c r="D221" s="673">
        <v>647002</v>
      </c>
      <c r="E221" s="660" t="s">
        <v>4588</v>
      </c>
      <c r="F221" s="669"/>
      <c r="I221" s="510"/>
      <c r="J221" s="701">
        <v>2025</v>
      </c>
      <c r="K221" s="701">
        <v>2026</v>
      </c>
      <c r="L221" s="701">
        <v>2027</v>
      </c>
      <c r="M221" s="701">
        <v>2028</v>
      </c>
      <c r="N221" s="701">
        <v>2029</v>
      </c>
      <c r="O221" s="701">
        <v>2030</v>
      </c>
    </row>
    <row r="222" spans="4:16" ht="12.75" customHeight="1" x14ac:dyDescent="0.25">
      <c r="D222" s="673"/>
      <c r="E222" s="700" t="s">
        <v>3057</v>
      </c>
      <c r="F222" s="669"/>
      <c r="I222" s="510"/>
      <c r="J222" s="510"/>
      <c r="K222" s="510"/>
      <c r="L222" s="510"/>
      <c r="M222" s="510"/>
      <c r="N222" s="510"/>
      <c r="O222" s="510"/>
    </row>
    <row r="223" spans="4:16" ht="12.75" customHeight="1" x14ac:dyDescent="0.25">
      <c r="D223" s="368"/>
      <c r="E223" s="359"/>
      <c r="I223" s="510"/>
      <c r="J223" s="510"/>
      <c r="K223" s="510"/>
      <c r="L223" s="510"/>
      <c r="M223" s="510"/>
      <c r="N223" s="510"/>
      <c r="O223" s="510"/>
    </row>
    <row r="224" spans="4:16" ht="12.75" customHeight="1" x14ac:dyDescent="0.25">
      <c r="D224" s="368"/>
      <c r="E224" s="359" t="s">
        <v>4615</v>
      </c>
      <c r="I224" s="510"/>
      <c r="J224" s="510"/>
      <c r="K224" s="510"/>
      <c r="L224" s="510"/>
      <c r="M224" s="510"/>
      <c r="N224" s="510"/>
      <c r="O224" s="510"/>
      <c r="P224" s="689"/>
    </row>
    <row r="225" spans="4:15" ht="12.75" customHeight="1" x14ac:dyDescent="0.25">
      <c r="E225" s="359" t="s">
        <v>4616</v>
      </c>
      <c r="I225" s="510"/>
      <c r="J225" s="705"/>
      <c r="K225" s="705"/>
      <c r="L225" s="705"/>
      <c r="M225" s="705"/>
      <c r="N225" s="705"/>
      <c r="O225" s="705"/>
    </row>
    <row r="226" spans="4:15" ht="12.75" customHeight="1" x14ac:dyDescent="0.25">
      <c r="D226" s="567"/>
      <c r="E226" s="359"/>
      <c r="I226" s="510"/>
    </row>
    <row r="227" spans="4:15" ht="12.75" customHeight="1" x14ac:dyDescent="0.25">
      <c r="D227" s="567">
        <v>43812</v>
      </c>
      <c r="E227" s="359" t="s">
        <v>4617</v>
      </c>
      <c r="I227" s="510"/>
      <c r="J227" s="510">
        <v>16859</v>
      </c>
      <c r="K227" s="510">
        <f>ROUND(J227*S$2,0)</f>
        <v>17297</v>
      </c>
      <c r="L227" s="510">
        <f>ROUND(K227*T$2,0)</f>
        <v>17660</v>
      </c>
      <c r="M227" s="510">
        <f>ROUND(L227*U$2,0)</f>
        <v>18066</v>
      </c>
      <c r="N227" s="510">
        <f>ROUND(M227*V$2,0)</f>
        <v>18482</v>
      </c>
      <c r="O227" s="510">
        <f>ROUND(N227*W$2,0)</f>
        <v>18907</v>
      </c>
    </row>
    <row r="228" spans="4:15" ht="12.75" customHeight="1" x14ac:dyDescent="0.25">
      <c r="D228" s="368"/>
      <c r="E228" s="359" t="s">
        <v>4618</v>
      </c>
      <c r="I228" s="510"/>
      <c r="J228" s="510">
        <v>10698</v>
      </c>
      <c r="K228" s="510">
        <f t="shared" ref="K228:K229" si="47">ROUND(J228*S$2,0)</f>
        <v>10976</v>
      </c>
      <c r="L228" s="510">
        <f t="shared" ref="L228:O229" si="48">ROUND(K228*T$2,0)</f>
        <v>11206</v>
      </c>
      <c r="M228" s="510">
        <f t="shared" si="48"/>
        <v>11464</v>
      </c>
      <c r="N228" s="510">
        <f t="shared" si="48"/>
        <v>11728</v>
      </c>
      <c r="O228" s="510">
        <f t="shared" si="48"/>
        <v>11998</v>
      </c>
    </row>
    <row r="229" spans="4:15" ht="12.75" customHeight="1" x14ac:dyDescent="0.25">
      <c r="D229" s="368"/>
      <c r="E229" s="359" t="s">
        <v>4619</v>
      </c>
      <c r="I229" s="510"/>
      <c r="J229" s="510">
        <v>8754</v>
      </c>
      <c r="K229" s="510">
        <f t="shared" si="47"/>
        <v>8982</v>
      </c>
      <c r="L229" s="510">
        <f t="shared" si="48"/>
        <v>9171</v>
      </c>
      <c r="M229" s="510">
        <f t="shared" si="48"/>
        <v>9382</v>
      </c>
      <c r="N229" s="510">
        <f t="shared" si="48"/>
        <v>9598</v>
      </c>
      <c r="O229" s="510">
        <f t="shared" si="48"/>
        <v>9819</v>
      </c>
    </row>
    <row r="230" spans="4:15" ht="12.75" customHeight="1" x14ac:dyDescent="0.25">
      <c r="D230" s="368"/>
      <c r="E230" s="359"/>
      <c r="I230" s="510"/>
      <c r="J230" s="510"/>
      <c r="K230" s="510"/>
      <c r="L230" s="510"/>
      <c r="M230" s="510"/>
      <c r="N230" s="510"/>
      <c r="O230" s="510"/>
    </row>
    <row r="231" spans="4:15" ht="12.75" customHeight="1" thickBot="1" x14ac:dyDescent="0.3">
      <c r="D231" s="368"/>
      <c r="E231" s="702" t="str">
        <f>"Totaal "&amp;D227</f>
        <v>Totaal 43812</v>
      </c>
      <c r="I231" s="510"/>
      <c r="J231" s="1880">
        <v>36311</v>
      </c>
      <c r="K231" s="1880">
        <f>SUM(K227:K229)</f>
        <v>37255</v>
      </c>
      <c r="L231" s="1880">
        <f>SUM(L227:L229)</f>
        <v>38037</v>
      </c>
      <c r="M231" s="1880">
        <f>SUM(M227:M229)</f>
        <v>38912</v>
      </c>
      <c r="N231" s="1880">
        <f>SUM(N227:N229)</f>
        <v>39808</v>
      </c>
      <c r="O231" s="1880">
        <f>SUM(O227:O229)</f>
        <v>40724</v>
      </c>
    </row>
    <row r="232" spans="4:15" ht="12.75" customHeight="1" thickTop="1" x14ac:dyDescent="0.25">
      <c r="D232" s="368"/>
      <c r="E232" s="359"/>
      <c r="I232" s="510"/>
      <c r="J232" s="510"/>
      <c r="K232" s="510"/>
      <c r="L232" s="510"/>
      <c r="M232" s="510"/>
      <c r="N232" s="510"/>
      <c r="O232" s="510"/>
    </row>
    <row r="233" spans="4:15" ht="12.75" customHeight="1" x14ac:dyDescent="0.25">
      <c r="D233" s="567">
        <v>44510</v>
      </c>
      <c r="E233" s="359" t="s">
        <v>4612</v>
      </c>
      <c r="I233" s="510"/>
      <c r="J233" s="510"/>
      <c r="K233" s="510"/>
      <c r="L233" s="510"/>
      <c r="M233" s="510"/>
      <c r="N233" s="510"/>
      <c r="O233" s="510"/>
    </row>
    <row r="234" spans="4:15" ht="12.75" customHeight="1" x14ac:dyDescent="0.25">
      <c r="D234" s="567"/>
      <c r="E234" s="706"/>
      <c r="I234" s="510"/>
      <c r="J234" s="510"/>
      <c r="K234" s="510"/>
      <c r="L234" s="510"/>
      <c r="M234" s="510"/>
      <c r="N234" s="510"/>
      <c r="O234" s="510"/>
    </row>
    <row r="235" spans="4:15" ht="12.75" customHeight="1" x14ac:dyDescent="0.25">
      <c r="D235" s="673">
        <v>647001</v>
      </c>
      <c r="E235" s="660" t="s">
        <v>4589</v>
      </c>
      <c r="F235" s="669"/>
      <c r="I235" s="510"/>
      <c r="J235" s="701">
        <v>2025</v>
      </c>
      <c r="K235" s="701">
        <v>2026</v>
      </c>
      <c r="L235" s="701">
        <v>2027</v>
      </c>
      <c r="M235" s="701">
        <v>2028</v>
      </c>
      <c r="N235" s="701">
        <v>2029</v>
      </c>
      <c r="O235" s="701">
        <v>2030</v>
      </c>
    </row>
    <row r="236" spans="4:15" ht="12.75" customHeight="1" x14ac:dyDescent="0.25">
      <c r="D236" s="673"/>
      <c r="E236" s="700" t="s">
        <v>3057</v>
      </c>
      <c r="F236" s="669"/>
      <c r="I236" s="510"/>
      <c r="J236" s="510"/>
      <c r="K236" s="510"/>
      <c r="L236" s="510"/>
      <c r="M236" s="510"/>
      <c r="N236" s="510"/>
      <c r="O236" s="510"/>
    </row>
    <row r="237" spans="4:15" ht="12.75" customHeight="1" x14ac:dyDescent="0.25">
      <c r="D237" s="567">
        <v>430005</v>
      </c>
      <c r="E237" s="359" t="s">
        <v>4620</v>
      </c>
      <c r="F237" s="669"/>
      <c r="I237" s="510"/>
      <c r="J237" s="510"/>
      <c r="K237" s="510"/>
      <c r="L237" s="510"/>
      <c r="M237" s="510"/>
      <c r="N237" s="510"/>
      <c r="O237" s="510"/>
    </row>
    <row r="238" spans="4:15" ht="12.75" customHeight="1" x14ac:dyDescent="0.25">
      <c r="D238" s="673"/>
      <c r="E238" s="702" t="s">
        <v>4621</v>
      </c>
      <c r="F238" s="669"/>
      <c r="I238" s="510"/>
      <c r="J238" s="510">
        <v>40000</v>
      </c>
      <c r="K238" s="510">
        <v>40000</v>
      </c>
      <c r="L238" s="510">
        <v>40000</v>
      </c>
      <c r="M238" s="510">
        <v>40000</v>
      </c>
      <c r="N238" s="510">
        <v>40000</v>
      </c>
      <c r="O238" s="510">
        <v>40000</v>
      </c>
    </row>
    <row r="239" spans="4:15" ht="12.75" customHeight="1" x14ac:dyDescent="0.25">
      <c r="D239" s="673"/>
      <c r="E239" s="702"/>
      <c r="F239" s="669"/>
      <c r="I239" s="510"/>
      <c r="J239" s="510"/>
      <c r="K239" s="510"/>
      <c r="L239" s="510"/>
      <c r="M239" s="510"/>
      <c r="N239" s="510"/>
      <c r="O239" s="510"/>
    </row>
    <row r="240" spans="4:15" ht="12.75" customHeight="1" thickBot="1" x14ac:dyDescent="0.3">
      <c r="D240" s="673"/>
      <c r="E240" s="702" t="str">
        <f>"Totaal "&amp;D237</f>
        <v>Totaal 430005</v>
      </c>
      <c r="F240" s="669"/>
      <c r="I240" s="510"/>
      <c r="J240" s="1880">
        <v>40000</v>
      </c>
      <c r="K240" s="1880">
        <f t="shared" ref="K240" si="49">SUM(K238:K239)</f>
        <v>40000</v>
      </c>
      <c r="L240" s="1880">
        <f t="shared" ref="L240:M240" si="50">SUM(L238:L239)</f>
        <v>40000</v>
      </c>
      <c r="M240" s="1880">
        <f t="shared" si="50"/>
        <v>40000</v>
      </c>
      <c r="N240" s="1880">
        <f t="shared" ref="N240:O240" si="51">SUM(N238:N239)</f>
        <v>40000</v>
      </c>
      <c r="O240" s="1880">
        <f t="shared" si="51"/>
        <v>40000</v>
      </c>
    </row>
    <row r="241" spans="4:16" ht="12.75" customHeight="1" thickTop="1" x14ac:dyDescent="0.25">
      <c r="D241" s="673"/>
      <c r="E241" s="707"/>
      <c r="F241" s="669"/>
      <c r="I241" s="510"/>
      <c r="J241" s="510"/>
      <c r="K241" s="510"/>
      <c r="L241" s="510"/>
      <c r="M241" s="510"/>
      <c r="N241" s="510"/>
      <c r="O241" s="510"/>
    </row>
    <row r="242" spans="4:16" ht="12.75" customHeight="1" x14ac:dyDescent="0.25">
      <c r="D242" s="567">
        <v>43812</v>
      </c>
      <c r="E242" s="708" t="s">
        <v>4622</v>
      </c>
      <c r="I242" s="510"/>
      <c r="J242" s="510">
        <v>26064</v>
      </c>
      <c r="K242" s="510">
        <f t="shared" ref="K242:K245" si="52">ROUND(J242*S$2,0)</f>
        <v>26742</v>
      </c>
      <c r="L242" s="510">
        <f t="shared" ref="L242:O245" si="53">ROUND(K242*T$2,0)</f>
        <v>27304</v>
      </c>
      <c r="M242" s="510">
        <f t="shared" si="53"/>
        <v>27932</v>
      </c>
      <c r="N242" s="510">
        <f t="shared" si="53"/>
        <v>28574</v>
      </c>
      <c r="O242" s="510">
        <f t="shared" si="53"/>
        <v>29231</v>
      </c>
      <c r="P242" s="689"/>
    </row>
    <row r="243" spans="4:16" ht="12.75" customHeight="1" x14ac:dyDescent="0.25">
      <c r="D243" s="368"/>
      <c r="E243" s="359" t="s">
        <v>4623</v>
      </c>
      <c r="I243" s="510"/>
      <c r="J243" s="510">
        <v>25737</v>
      </c>
      <c r="K243" s="510">
        <f t="shared" si="52"/>
        <v>26406</v>
      </c>
      <c r="L243" s="510">
        <f t="shared" si="53"/>
        <v>26961</v>
      </c>
      <c r="M243" s="510">
        <f t="shared" si="53"/>
        <v>27581</v>
      </c>
      <c r="N243" s="510">
        <f t="shared" si="53"/>
        <v>28215</v>
      </c>
      <c r="O243" s="510">
        <f t="shared" si="53"/>
        <v>28864</v>
      </c>
    </row>
    <row r="244" spans="4:16" ht="12.75" customHeight="1" x14ac:dyDescent="0.25">
      <c r="D244" s="368"/>
      <c r="E244" s="359" t="s">
        <v>4624</v>
      </c>
      <c r="I244" s="510"/>
      <c r="J244" s="510">
        <v>48641</v>
      </c>
      <c r="K244" s="510">
        <f t="shared" si="52"/>
        <v>49906</v>
      </c>
      <c r="L244" s="510">
        <f t="shared" si="53"/>
        <v>50954</v>
      </c>
      <c r="M244" s="510">
        <f t="shared" si="53"/>
        <v>52126</v>
      </c>
      <c r="N244" s="510">
        <f t="shared" si="53"/>
        <v>53325</v>
      </c>
      <c r="O244" s="510">
        <f t="shared" si="53"/>
        <v>54551</v>
      </c>
    </row>
    <row r="245" spans="4:16" ht="12.75" customHeight="1" x14ac:dyDescent="0.25">
      <c r="D245" s="368"/>
      <c r="E245" s="702" t="s">
        <v>4625</v>
      </c>
      <c r="I245" s="510"/>
      <c r="J245" s="510">
        <v>1857</v>
      </c>
      <c r="K245" s="510">
        <f t="shared" si="52"/>
        <v>1905</v>
      </c>
      <c r="L245" s="510">
        <f t="shared" si="53"/>
        <v>1945</v>
      </c>
      <c r="M245" s="510">
        <f t="shared" si="53"/>
        <v>1990</v>
      </c>
      <c r="N245" s="510">
        <f t="shared" si="53"/>
        <v>2036</v>
      </c>
      <c r="O245" s="510">
        <f t="shared" si="53"/>
        <v>2083</v>
      </c>
    </row>
    <row r="246" spans="4:16" ht="12.75" customHeight="1" x14ac:dyDescent="0.25">
      <c r="D246" s="368"/>
      <c r="E246" s="702"/>
      <c r="I246" s="510"/>
      <c r="J246" s="510"/>
      <c r="K246" s="510"/>
      <c r="L246" s="510"/>
      <c r="M246" s="510"/>
      <c r="N246" s="510"/>
      <c r="O246" s="510"/>
    </row>
    <row r="247" spans="4:16" ht="12.75" customHeight="1" thickBot="1" x14ac:dyDescent="0.3">
      <c r="D247" s="368"/>
      <c r="E247" s="702" t="str">
        <f>"Totaal "&amp;D242</f>
        <v>Totaal 43812</v>
      </c>
      <c r="I247" s="510"/>
      <c r="J247" s="1880">
        <v>102299</v>
      </c>
      <c r="K247" s="1880">
        <f>SUM(K242:K245)</f>
        <v>104959</v>
      </c>
      <c r="L247" s="1880">
        <f>SUM(L242:L245)</f>
        <v>107164</v>
      </c>
      <c r="M247" s="1880">
        <f>SUM(M242:M245)</f>
        <v>109629</v>
      </c>
      <c r="N247" s="1880">
        <f>SUM(N242:N245)</f>
        <v>112150</v>
      </c>
      <c r="O247" s="1880">
        <f>SUM(O242:O245)</f>
        <v>114729</v>
      </c>
    </row>
    <row r="248" spans="4:16" ht="12.75" customHeight="1" thickTop="1" x14ac:dyDescent="0.25">
      <c r="D248" s="368"/>
      <c r="E248" s="702"/>
      <c r="I248" s="510"/>
      <c r="J248" s="510"/>
      <c r="K248" s="510"/>
      <c r="L248" s="510"/>
      <c r="M248" s="510"/>
      <c r="N248" s="510"/>
      <c r="O248" s="510"/>
    </row>
    <row r="249" spans="4:16" ht="12.75" customHeight="1" x14ac:dyDescent="0.25">
      <c r="D249" s="567">
        <v>44510</v>
      </c>
      <c r="E249" s="359" t="s">
        <v>4612</v>
      </c>
      <c r="I249" s="510"/>
      <c r="J249" s="510"/>
      <c r="K249" s="510"/>
      <c r="L249" s="510"/>
      <c r="M249" s="510"/>
      <c r="N249" s="510"/>
      <c r="O249" s="510"/>
    </row>
    <row r="250" spans="4:16" ht="12.75" customHeight="1" x14ac:dyDescent="0.25">
      <c r="D250" s="368"/>
      <c r="E250" s="702"/>
      <c r="I250" s="510"/>
      <c r="J250" s="510"/>
      <c r="K250" s="510"/>
      <c r="L250" s="510"/>
      <c r="M250" s="510"/>
      <c r="N250" s="510"/>
      <c r="O250" s="510"/>
    </row>
    <row r="251" spans="4:16" ht="12.75" customHeight="1" x14ac:dyDescent="0.25">
      <c r="D251" s="673">
        <v>647001</v>
      </c>
      <c r="E251" s="660" t="s">
        <v>4590</v>
      </c>
      <c r="F251" s="669"/>
      <c r="I251" s="510"/>
      <c r="J251" s="510"/>
      <c r="K251" s="510"/>
      <c r="L251" s="510"/>
      <c r="M251" s="510"/>
      <c r="N251" s="510"/>
      <c r="O251" s="510"/>
    </row>
    <row r="252" spans="4:16" ht="12.75" customHeight="1" x14ac:dyDescent="0.25">
      <c r="D252" s="567">
        <v>44360</v>
      </c>
      <c r="E252" s="359" t="s">
        <v>4612</v>
      </c>
      <c r="I252" s="510"/>
      <c r="J252" s="510"/>
      <c r="K252" s="510"/>
      <c r="L252" s="510"/>
      <c r="M252" s="510"/>
      <c r="N252" s="510"/>
      <c r="O252" s="510"/>
    </row>
    <row r="253" spans="4:16" ht="12.75" customHeight="1" x14ac:dyDescent="0.25">
      <c r="D253" s="567"/>
      <c r="E253" s="499"/>
      <c r="I253" s="510"/>
      <c r="J253" s="510"/>
      <c r="K253" s="510"/>
      <c r="L253" s="510"/>
      <c r="M253" s="510"/>
      <c r="N253" s="510"/>
      <c r="O253" s="510"/>
    </row>
    <row r="254" spans="4:16" ht="12.75" customHeight="1" x14ac:dyDescent="0.25">
      <c r="D254" s="673">
        <v>647004</v>
      </c>
      <c r="E254" s="660" t="s">
        <v>4592</v>
      </c>
      <c r="F254" s="669"/>
      <c r="I254" s="510"/>
      <c r="J254" s="510"/>
      <c r="K254" s="510"/>
      <c r="L254" s="510"/>
      <c r="M254" s="510"/>
      <c r="N254" s="510"/>
      <c r="O254" s="510"/>
    </row>
    <row r="255" spans="4:16" ht="12.75" customHeight="1" x14ac:dyDescent="0.25">
      <c r="D255" s="673"/>
      <c r="E255" s="700" t="s">
        <v>3057</v>
      </c>
      <c r="F255" s="669"/>
      <c r="I255" s="510"/>
      <c r="J255" s="510"/>
      <c r="K255" s="510"/>
      <c r="L255" s="510"/>
      <c r="M255" s="510"/>
      <c r="N255" s="510"/>
      <c r="O255" s="510"/>
    </row>
    <row r="256" spans="4:16" ht="12.75" customHeight="1" x14ac:dyDescent="0.25">
      <c r="D256" s="567">
        <v>43812</v>
      </c>
      <c r="E256" s="359" t="s">
        <v>4626</v>
      </c>
      <c r="I256" s="510"/>
      <c r="J256" s="510"/>
      <c r="K256" s="510"/>
      <c r="L256" s="510"/>
      <c r="M256" s="510"/>
      <c r="N256" s="510"/>
      <c r="O256" s="510"/>
    </row>
    <row r="257" spans="4:15" ht="12.75" customHeight="1" x14ac:dyDescent="0.25">
      <c r="D257" s="567">
        <v>44510</v>
      </c>
      <c r="E257" s="359" t="s">
        <v>4612</v>
      </c>
      <c r="I257" s="510"/>
      <c r="J257" s="510"/>
      <c r="K257" s="510"/>
      <c r="L257" s="510"/>
      <c r="M257" s="510"/>
      <c r="N257" s="510"/>
      <c r="O257" s="510"/>
    </row>
    <row r="258" spans="4:15" ht="12.75" customHeight="1" x14ac:dyDescent="0.25">
      <c r="D258" s="567"/>
      <c r="E258" s="359"/>
      <c r="I258" s="510"/>
      <c r="J258" s="510"/>
      <c r="K258" s="510"/>
      <c r="L258" s="510"/>
      <c r="M258" s="510"/>
      <c r="N258" s="510"/>
      <c r="O258" s="510"/>
    </row>
    <row r="259" spans="4:15" ht="12.75" customHeight="1" x14ac:dyDescent="0.25">
      <c r="D259" s="673">
        <v>647004</v>
      </c>
      <c r="E259" s="660" t="s">
        <v>4627</v>
      </c>
      <c r="F259" s="669"/>
      <c r="I259" s="510"/>
      <c r="J259" s="510"/>
      <c r="K259" s="510"/>
      <c r="L259" s="510"/>
      <c r="M259" s="510"/>
      <c r="N259" s="510"/>
      <c r="O259" s="510"/>
    </row>
    <row r="260" spans="4:15" ht="12.75" customHeight="1" x14ac:dyDescent="0.25">
      <c r="D260" s="368"/>
      <c r="E260" s="700" t="s">
        <v>3057</v>
      </c>
      <c r="I260" s="510"/>
      <c r="J260" s="510"/>
      <c r="K260" s="510"/>
      <c r="L260" s="510"/>
      <c r="M260" s="510"/>
      <c r="N260" s="510"/>
      <c r="O260" s="510"/>
    </row>
    <row r="261" spans="4:15" ht="12.75" customHeight="1" x14ac:dyDescent="0.25">
      <c r="D261" s="567">
        <v>43812</v>
      </c>
      <c r="E261" s="359" t="s">
        <v>4628</v>
      </c>
      <c r="I261" s="510"/>
      <c r="J261" s="510"/>
      <c r="K261" s="510"/>
      <c r="L261" s="510"/>
      <c r="M261" s="510"/>
      <c r="N261" s="510"/>
      <c r="O261" s="510"/>
    </row>
    <row r="262" spans="4:15" ht="12.75" customHeight="1" x14ac:dyDescent="0.25">
      <c r="D262" s="567">
        <v>44510</v>
      </c>
      <c r="E262" s="359" t="s">
        <v>4612</v>
      </c>
      <c r="I262" s="510"/>
      <c r="J262" s="510"/>
      <c r="K262" s="510"/>
      <c r="L262" s="510"/>
      <c r="M262" s="510"/>
      <c r="N262" s="510"/>
      <c r="O262" s="510"/>
    </row>
    <row r="263" spans="4:15" ht="12.75" customHeight="1" x14ac:dyDescent="0.25">
      <c r="D263" s="567"/>
      <c r="E263" s="359"/>
      <c r="I263" s="510"/>
      <c r="J263" s="510"/>
      <c r="K263" s="510"/>
      <c r="L263" s="510"/>
      <c r="M263" s="510"/>
      <c r="N263" s="510"/>
      <c r="O263" s="510"/>
    </row>
    <row r="264" spans="4:15" ht="12.75" customHeight="1" x14ac:dyDescent="0.25">
      <c r="D264" s="673">
        <v>647004</v>
      </c>
      <c r="E264" s="660" t="s">
        <v>4594</v>
      </c>
      <c r="F264" s="669"/>
      <c r="I264" s="510"/>
      <c r="J264" s="510"/>
      <c r="K264" s="510"/>
      <c r="L264" s="510"/>
      <c r="M264" s="510"/>
      <c r="N264" s="510"/>
      <c r="O264" s="510"/>
    </row>
    <row r="265" spans="4:15" ht="12.75" customHeight="1" x14ac:dyDescent="0.25">
      <c r="D265" s="368"/>
      <c r="E265" s="700" t="s">
        <v>3057</v>
      </c>
      <c r="I265" s="510"/>
      <c r="J265" s="510"/>
      <c r="K265" s="510"/>
      <c r="L265" s="510"/>
      <c r="M265" s="510"/>
      <c r="N265" s="510"/>
      <c r="O265" s="510"/>
    </row>
    <row r="266" spans="4:15" ht="12.75" customHeight="1" x14ac:dyDescent="0.25">
      <c r="D266" s="567">
        <v>43200</v>
      </c>
      <c r="E266" s="359" t="s">
        <v>4629</v>
      </c>
      <c r="I266" s="510"/>
      <c r="J266" s="510"/>
      <c r="K266" s="510"/>
      <c r="L266" s="510"/>
      <c r="M266" s="510"/>
      <c r="N266" s="510"/>
      <c r="O266" s="510"/>
    </row>
    <row r="267" spans="4:15" ht="12.75" customHeight="1" x14ac:dyDescent="0.25">
      <c r="D267" s="567">
        <v>44510</v>
      </c>
      <c r="E267" s="359" t="s">
        <v>4612</v>
      </c>
      <c r="I267" s="510"/>
      <c r="J267" s="510"/>
      <c r="K267" s="510"/>
      <c r="L267" s="510"/>
      <c r="M267" s="510"/>
      <c r="N267" s="510"/>
      <c r="O267" s="510"/>
    </row>
    <row r="268" spans="4:15" ht="12.75" customHeight="1" x14ac:dyDescent="0.25">
      <c r="D268" s="567"/>
      <c r="E268" s="359"/>
      <c r="I268" s="510"/>
      <c r="J268" s="510"/>
      <c r="K268" s="510"/>
      <c r="L268" s="510"/>
      <c r="M268" s="510"/>
      <c r="N268" s="510"/>
      <c r="O268" s="510"/>
    </row>
    <row r="269" spans="4:15" ht="12.75" customHeight="1" x14ac:dyDescent="0.25">
      <c r="D269" s="673">
        <v>647005</v>
      </c>
      <c r="E269" s="660" t="s">
        <v>4630</v>
      </c>
      <c r="F269" s="669"/>
      <c r="I269" s="568"/>
      <c r="J269" s="568"/>
      <c r="K269" s="568"/>
      <c r="L269" s="568"/>
      <c r="M269" s="568"/>
      <c r="N269" s="568"/>
      <c r="O269" s="568"/>
    </row>
    <row r="270" spans="4:15" ht="12.75" customHeight="1" x14ac:dyDescent="0.25">
      <c r="D270" s="699"/>
      <c r="E270" s="700" t="s">
        <v>3057</v>
      </c>
      <c r="F270" s="699"/>
      <c r="I270" s="510"/>
      <c r="J270" s="510"/>
      <c r="K270" s="510"/>
      <c r="L270" s="510"/>
      <c r="M270" s="510"/>
      <c r="N270" s="510"/>
      <c r="O270" s="510"/>
    </row>
    <row r="271" spans="4:15" ht="12.75" customHeight="1" x14ac:dyDescent="0.25">
      <c r="D271" s="567">
        <v>43812</v>
      </c>
      <c r="E271" s="359" t="s">
        <v>4631</v>
      </c>
      <c r="I271" s="709"/>
      <c r="J271" s="709"/>
      <c r="K271" s="709"/>
      <c r="L271" s="709"/>
      <c r="M271" s="709"/>
      <c r="N271" s="709"/>
      <c r="O271" s="709"/>
    </row>
    <row r="272" spans="4:15" ht="12.75" customHeight="1" x14ac:dyDescent="0.25">
      <c r="D272" s="699"/>
      <c r="E272" s="510" t="s">
        <v>4632</v>
      </c>
      <c r="F272" s="699"/>
      <c r="H272" s="499"/>
      <c r="I272" s="510"/>
      <c r="J272" s="510"/>
      <c r="K272" s="510"/>
      <c r="L272" s="510"/>
      <c r="M272" s="510"/>
      <c r="N272" s="510"/>
      <c r="O272" s="510"/>
    </row>
    <row r="273" spans="4:22" ht="12.75" customHeight="1" x14ac:dyDescent="0.25">
      <c r="D273" s="699"/>
      <c r="E273" s="510" t="s">
        <v>4633</v>
      </c>
      <c r="F273" s="699"/>
      <c r="H273" s="499"/>
      <c r="I273" s="510"/>
      <c r="J273" s="510"/>
      <c r="K273" s="510"/>
      <c r="L273" s="510"/>
      <c r="M273" s="510"/>
      <c r="N273" s="510"/>
      <c r="O273" s="510"/>
    </row>
    <row r="274" spans="4:22" ht="12.75" customHeight="1" x14ac:dyDescent="0.25">
      <c r="D274" s="359"/>
      <c r="E274" s="710"/>
      <c r="F274" s="710"/>
      <c r="I274" s="510"/>
    </row>
    <row r="275" spans="4:22" ht="12.75" customHeight="1" x14ac:dyDescent="0.25">
      <c r="D275" s="699"/>
      <c r="E275" s="699"/>
      <c r="F275" s="699"/>
      <c r="G275" s="510"/>
      <c r="H275" s="499"/>
      <c r="I275" s="510"/>
      <c r="J275" s="510"/>
      <c r="K275" s="510"/>
      <c r="L275" s="510"/>
      <c r="M275" s="510"/>
      <c r="N275" s="510"/>
      <c r="O275" s="510"/>
    </row>
    <row r="276" spans="4:22" ht="12.75" customHeight="1" x14ac:dyDescent="0.25">
      <c r="D276" s="673">
        <v>647004</v>
      </c>
      <c r="E276" s="660" t="s">
        <v>4599</v>
      </c>
      <c r="F276" s="669"/>
      <c r="I276" s="510"/>
      <c r="J276" s="510"/>
      <c r="K276" s="510"/>
      <c r="L276" s="510"/>
      <c r="M276" s="510"/>
      <c r="N276" s="510"/>
      <c r="O276" s="510"/>
    </row>
    <row r="277" spans="4:22" ht="12.75" customHeight="1" x14ac:dyDescent="0.25">
      <c r="D277" s="368"/>
      <c r="E277" s="700" t="s">
        <v>4634</v>
      </c>
      <c r="I277" s="510"/>
      <c r="J277" s="510"/>
      <c r="K277" s="510"/>
      <c r="L277" s="510"/>
      <c r="M277" s="510"/>
      <c r="N277" s="510"/>
      <c r="O277" s="510"/>
    </row>
    <row r="278" spans="4:22" ht="12.75" customHeight="1" x14ac:dyDescent="0.25">
      <c r="D278" s="368"/>
      <c r="G278" s="707"/>
      <c r="I278" s="510"/>
      <c r="J278" s="510"/>
      <c r="K278" s="510"/>
      <c r="L278" s="510"/>
      <c r="M278" s="510"/>
      <c r="N278" s="510"/>
      <c r="O278" s="510"/>
    </row>
    <row r="279" spans="4:22" ht="12.75" customHeight="1" x14ac:dyDescent="0.25">
      <c r="D279" s="673">
        <v>647005</v>
      </c>
      <c r="E279" s="660" t="s">
        <v>4596</v>
      </c>
      <c r="F279" s="669"/>
    </row>
    <row r="280" spans="4:22" ht="12.75" customHeight="1" x14ac:dyDescent="0.25">
      <c r="E280" s="2627" t="s">
        <v>4635</v>
      </c>
      <c r="F280" s="2627"/>
      <c r="G280" s="2627"/>
      <c r="H280" s="2627"/>
      <c r="I280" s="2627"/>
      <c r="J280" s="709"/>
      <c r="K280" s="709"/>
      <c r="L280" s="709"/>
      <c r="M280" s="709"/>
      <c r="N280" s="709"/>
      <c r="O280" s="709"/>
    </row>
    <row r="281" spans="4:22" ht="12.75" customHeight="1" x14ac:dyDescent="0.25">
      <c r="D281" s="711"/>
      <c r="E281" s="2627"/>
      <c r="F281" s="2627"/>
      <c r="G281" s="2627"/>
      <c r="H281" s="2627"/>
      <c r="I281" s="2627"/>
      <c r="J281" s="709"/>
      <c r="K281" s="709"/>
      <c r="L281" s="709"/>
      <c r="M281" s="709"/>
      <c r="N281" s="709"/>
      <c r="O281" s="709"/>
    </row>
    <row r="282" spans="4:22" ht="12.75" customHeight="1" x14ac:dyDescent="0.25">
      <c r="D282" s="711"/>
      <c r="E282" s="712"/>
      <c r="F282" s="712"/>
      <c r="G282" s="712"/>
      <c r="H282" s="712"/>
      <c r="I282" s="712"/>
      <c r="J282" s="709"/>
      <c r="K282" s="709"/>
      <c r="L282" s="709"/>
      <c r="M282" s="709"/>
      <c r="N282" s="709"/>
      <c r="O282" s="709"/>
    </row>
    <row r="283" spans="4:22" ht="12.75" customHeight="1" x14ac:dyDescent="0.25">
      <c r="D283" s="711"/>
      <c r="E283" s="712"/>
      <c r="F283" s="712"/>
      <c r="G283" s="712"/>
      <c r="H283" s="712"/>
      <c r="I283" s="712"/>
      <c r="J283" s="701">
        <v>2025</v>
      </c>
      <c r="K283" s="701">
        <v>2026</v>
      </c>
      <c r="L283" s="701">
        <v>2027</v>
      </c>
      <c r="M283" s="701">
        <v>2028</v>
      </c>
      <c r="N283" s="701">
        <v>2029</v>
      </c>
      <c r="O283" s="701">
        <v>2030</v>
      </c>
    </row>
    <row r="284" spans="4:22" ht="12.75" customHeight="1" x14ac:dyDescent="0.25">
      <c r="D284" s="567">
        <v>47200</v>
      </c>
      <c r="E284" s="359" t="s">
        <v>4636</v>
      </c>
      <c r="I284" s="709"/>
      <c r="J284" s="713"/>
      <c r="K284" s="713"/>
      <c r="L284" s="713"/>
      <c r="M284" s="713"/>
      <c r="N284" s="713"/>
      <c r="O284" s="713"/>
    </row>
    <row r="285" spans="4:22" ht="12.75" customHeight="1" x14ac:dyDescent="0.25">
      <c r="D285" s="567"/>
      <c r="E285" s="702" t="s">
        <v>4637</v>
      </c>
      <c r="I285" s="709"/>
      <c r="J285" s="510">
        <v>-35616</v>
      </c>
      <c r="K285" s="510">
        <f>K178</f>
        <v>-36471</v>
      </c>
      <c r="L285" s="510">
        <f>L178</f>
        <v>-37345</v>
      </c>
      <c r="M285" s="510">
        <f>M178</f>
        <v>-38242</v>
      </c>
      <c r="N285" s="510">
        <f>N178</f>
        <v>-39122</v>
      </c>
      <c r="O285" s="510">
        <f>O178</f>
        <v>-40022</v>
      </c>
    </row>
    <row r="286" spans="4:22" ht="12.75" customHeight="1" x14ac:dyDescent="0.25">
      <c r="D286" s="567"/>
      <c r="E286" s="702" t="s">
        <v>4638</v>
      </c>
      <c r="I286" s="709"/>
      <c r="J286" s="510">
        <v>-6014</v>
      </c>
      <c r="K286" s="510">
        <f t="shared" ref="K286:M286" si="54">K188</f>
        <v>-6194</v>
      </c>
      <c r="L286" s="510">
        <f t="shared" si="54"/>
        <v>-6324</v>
      </c>
      <c r="M286" s="510">
        <f t="shared" si="54"/>
        <v>-6469</v>
      </c>
      <c r="N286" s="510">
        <f t="shared" ref="N286:O286" si="55">N188</f>
        <v>-6618</v>
      </c>
      <c r="O286" s="510">
        <f t="shared" si="55"/>
        <v>-6770</v>
      </c>
    </row>
    <row r="287" spans="4:22" ht="12.75" customHeight="1" x14ac:dyDescent="0.25">
      <c r="D287" s="567"/>
      <c r="E287" s="702" t="s">
        <v>4639</v>
      </c>
      <c r="I287" s="709"/>
      <c r="J287" s="510">
        <v>-2926448.5029999996</v>
      </c>
      <c r="K287" s="510">
        <f>+K184</f>
        <v>-3020475.2934013894</v>
      </c>
      <c r="L287" s="510">
        <f>+L184</f>
        <v>-3117523.1645783759</v>
      </c>
      <c r="M287" s="510">
        <f>+M184</f>
        <v>-3217689.1838562791</v>
      </c>
      <c r="N287" s="510">
        <f>+N184</f>
        <v>-3321073.5373335811</v>
      </c>
      <c r="O287" s="510">
        <f>+O184</f>
        <v>-3427779.6300881091</v>
      </c>
      <c r="S287" s="359" t="s">
        <v>186</v>
      </c>
    </row>
    <row r="288" spans="4:22" ht="12.75" customHeight="1" x14ac:dyDescent="0.25">
      <c r="D288" s="567"/>
      <c r="E288" s="359" t="s">
        <v>4640</v>
      </c>
      <c r="I288" s="709"/>
      <c r="J288" s="510"/>
      <c r="K288" s="510"/>
      <c r="L288" s="510"/>
      <c r="M288" s="510"/>
      <c r="N288" s="510"/>
      <c r="O288" s="510"/>
      <c r="S288" s="359">
        <v>-2566389</v>
      </c>
      <c r="T288" s="359">
        <v>-2658539</v>
      </c>
      <c r="U288" s="359">
        <v>-2752273</v>
      </c>
      <c r="V288" s="359">
        <v>-2752273</v>
      </c>
    </row>
    <row r="289" spans="4:22" ht="12.75" customHeight="1" x14ac:dyDescent="0.25">
      <c r="D289" s="567"/>
      <c r="E289" s="714" t="s">
        <v>4641</v>
      </c>
      <c r="I289" s="709"/>
      <c r="J289" s="510">
        <v>215534</v>
      </c>
      <c r="K289" s="510">
        <f>K87</f>
        <v>248811</v>
      </c>
      <c r="L289" s="510">
        <f>L87</f>
        <v>265689</v>
      </c>
      <c r="M289" s="510">
        <f>M87</f>
        <v>282299</v>
      </c>
      <c r="N289" s="510">
        <f>N87</f>
        <v>299255</v>
      </c>
      <c r="O289" s="510">
        <f>O87</f>
        <v>316446</v>
      </c>
      <c r="S289" s="359" t="s">
        <v>180</v>
      </c>
    </row>
    <row r="290" spans="4:22" ht="12.75" customHeight="1" x14ac:dyDescent="0.25">
      <c r="D290" s="567"/>
      <c r="E290" s="714" t="s">
        <v>4642</v>
      </c>
      <c r="I290" s="709"/>
      <c r="J290" s="510">
        <v>405015</v>
      </c>
      <c r="K290" s="510">
        <f>K94</f>
        <v>408881</v>
      </c>
      <c r="L290" s="510">
        <f>L94</f>
        <v>412353</v>
      </c>
      <c r="M290" s="510">
        <f>M94</f>
        <v>223837</v>
      </c>
      <c r="N290" s="510">
        <f>N94</f>
        <v>227611</v>
      </c>
      <c r="O290" s="510">
        <f>O94</f>
        <v>231474</v>
      </c>
      <c r="S290" s="510" t="e">
        <f>+S288-#REF!</f>
        <v>#REF!</v>
      </c>
      <c r="T290" s="510" t="e">
        <f>+T288-#REF!</f>
        <v>#REF!</v>
      </c>
      <c r="U290" s="510" t="e">
        <f>+U288-#REF!</f>
        <v>#REF!</v>
      </c>
      <c r="V290" s="510">
        <f>+V288-J287</f>
        <v>174175.50299999956</v>
      </c>
    </row>
    <row r="291" spans="4:22" ht="12.75" customHeight="1" x14ac:dyDescent="0.25">
      <c r="D291" s="567"/>
      <c r="E291" s="702" t="s">
        <v>4643</v>
      </c>
      <c r="I291" s="709"/>
      <c r="J291" s="510">
        <v>98805</v>
      </c>
      <c r="K291" s="510">
        <f>K101</f>
        <v>101132</v>
      </c>
      <c r="L291" s="510">
        <f>L101</f>
        <v>103514</v>
      </c>
      <c r="M291" s="510">
        <f>M101</f>
        <v>105954</v>
      </c>
      <c r="N291" s="510">
        <f>N101</f>
        <v>108391</v>
      </c>
      <c r="O291" s="510">
        <f>O101</f>
        <v>110885</v>
      </c>
    </row>
    <row r="292" spans="4:22" ht="12.75" customHeight="1" x14ac:dyDescent="0.25">
      <c r="D292" s="567"/>
      <c r="E292" s="702" t="s">
        <v>4644</v>
      </c>
      <c r="I292" s="709"/>
      <c r="J292" s="510">
        <v>163782</v>
      </c>
      <c r="K292" s="510">
        <f>K108</f>
        <v>167000</v>
      </c>
      <c r="L292" s="510">
        <f>L108</f>
        <v>169668</v>
      </c>
      <c r="M292" s="510">
        <f>M108</f>
        <v>172651</v>
      </c>
      <c r="N292" s="510">
        <f>N108</f>
        <v>175702</v>
      </c>
      <c r="O292" s="510">
        <f>O108</f>
        <v>178822</v>
      </c>
    </row>
    <row r="293" spans="4:22" ht="12.75" customHeight="1" x14ac:dyDescent="0.25">
      <c r="D293" s="567"/>
      <c r="E293" s="702" t="s">
        <v>4645</v>
      </c>
      <c r="I293" s="709"/>
      <c r="J293" s="510">
        <v>2082</v>
      </c>
      <c r="K293" s="510">
        <f>K114</f>
        <v>2132</v>
      </c>
      <c r="L293" s="510">
        <f>L114</f>
        <v>2183</v>
      </c>
      <c r="M293" s="510">
        <f>M114</f>
        <v>2235</v>
      </c>
      <c r="N293" s="510">
        <f>N114</f>
        <v>2286</v>
      </c>
      <c r="O293" s="510">
        <f>O114</f>
        <v>2338</v>
      </c>
    </row>
    <row r="294" spans="4:22" ht="12.75" customHeight="1" x14ac:dyDescent="0.25">
      <c r="D294" s="567"/>
      <c r="E294" s="702" t="s">
        <v>4646</v>
      </c>
      <c r="I294" s="709"/>
      <c r="J294" s="510">
        <v>16889</v>
      </c>
      <c r="K294" s="510">
        <f>K123</f>
        <v>17295</v>
      </c>
      <c r="L294" s="510">
        <f>L123</f>
        <v>17709</v>
      </c>
      <c r="M294" s="510">
        <f>M123</f>
        <v>18133</v>
      </c>
      <c r="N294" s="510">
        <f>N123</f>
        <v>18551</v>
      </c>
      <c r="O294" s="510">
        <f>O123</f>
        <v>18978</v>
      </c>
    </row>
    <row r="295" spans="4:22" ht="12.75" customHeight="1" x14ac:dyDescent="0.25">
      <c r="D295" s="567"/>
      <c r="E295" s="702" t="s">
        <v>4647</v>
      </c>
      <c r="I295" s="709"/>
      <c r="J295" s="510">
        <v>1631</v>
      </c>
      <c r="K295" s="510">
        <f>K129</f>
        <v>1670</v>
      </c>
      <c r="L295" s="510">
        <f>L129</f>
        <v>1710</v>
      </c>
      <c r="M295" s="510">
        <f>M129</f>
        <v>1751</v>
      </c>
      <c r="N295" s="510">
        <f>N129</f>
        <v>1791</v>
      </c>
      <c r="O295" s="510">
        <f>O129</f>
        <v>1832</v>
      </c>
    </row>
    <row r="296" spans="4:22" ht="12.75" customHeight="1" x14ac:dyDescent="0.25">
      <c r="D296" s="567"/>
      <c r="E296" s="702" t="s">
        <v>4648</v>
      </c>
      <c r="I296" s="709"/>
      <c r="J296" s="510">
        <v>8118</v>
      </c>
      <c r="K296" s="510">
        <f>K135</f>
        <v>8313</v>
      </c>
      <c r="L296" s="510">
        <f>L135</f>
        <v>8512</v>
      </c>
      <c r="M296" s="510">
        <f>M135</f>
        <v>8717</v>
      </c>
      <c r="N296" s="510">
        <f>N135</f>
        <v>8918</v>
      </c>
      <c r="O296" s="510">
        <f>O135</f>
        <v>9123</v>
      </c>
    </row>
    <row r="297" spans="4:22" ht="12.75" customHeight="1" x14ac:dyDescent="0.25">
      <c r="D297" s="567"/>
      <c r="E297" s="702" t="s">
        <v>4649</v>
      </c>
      <c r="I297" s="709"/>
      <c r="J297" s="510">
        <v>35616</v>
      </c>
      <c r="K297" s="510">
        <f>K141</f>
        <v>36471</v>
      </c>
      <c r="L297" s="510">
        <f>L141</f>
        <v>37345</v>
      </c>
      <c r="M297" s="510">
        <f>M141</f>
        <v>38242</v>
      </c>
      <c r="N297" s="510">
        <f>N141</f>
        <v>39122</v>
      </c>
      <c r="O297" s="510">
        <f>O141</f>
        <v>40022</v>
      </c>
    </row>
    <row r="298" spans="4:22" ht="12.75" customHeight="1" x14ac:dyDescent="0.25">
      <c r="D298" s="567"/>
      <c r="E298" s="702" t="s">
        <v>4650</v>
      </c>
      <c r="I298" s="709"/>
      <c r="J298" s="510">
        <v>4298</v>
      </c>
      <c r="K298" s="510">
        <f>K147</f>
        <v>4401</v>
      </c>
      <c r="L298" s="510">
        <f>L147</f>
        <v>4506</v>
      </c>
      <c r="M298" s="510">
        <f>M147</f>
        <v>4614</v>
      </c>
      <c r="N298" s="510">
        <f>N147</f>
        <v>4720</v>
      </c>
      <c r="O298" s="510">
        <f>O147</f>
        <v>4829</v>
      </c>
    </row>
    <row r="299" spans="4:22" ht="12.75" customHeight="1" x14ac:dyDescent="0.25">
      <c r="D299" s="567"/>
      <c r="E299" s="702" t="s">
        <v>4651</v>
      </c>
      <c r="I299" s="709"/>
      <c r="J299" s="510">
        <v>506869.68</v>
      </c>
      <c r="K299" s="510">
        <f>K173</f>
        <v>510014.04</v>
      </c>
      <c r="L299" s="510">
        <f>L173</f>
        <v>530045</v>
      </c>
      <c r="M299" s="510">
        <f>M173</f>
        <v>548509</v>
      </c>
      <c r="N299" s="510">
        <f>N173</f>
        <v>567651</v>
      </c>
      <c r="O299" s="510">
        <f>O173</f>
        <v>587494</v>
      </c>
    </row>
    <row r="300" spans="4:22" ht="12.75" customHeight="1" x14ac:dyDescent="0.25">
      <c r="D300" s="567"/>
      <c r="E300" s="702" t="s">
        <v>4652</v>
      </c>
      <c r="I300" s="709"/>
      <c r="J300" s="510">
        <v>121000</v>
      </c>
      <c r="K300" s="510">
        <f t="shared" ref="K300:M300" si="56">K163</f>
        <v>124146</v>
      </c>
      <c r="L300" s="510">
        <f t="shared" si="56"/>
        <v>126808</v>
      </c>
      <c r="M300" s="510">
        <f t="shared" si="56"/>
        <v>129712</v>
      </c>
      <c r="N300" s="510">
        <f t="shared" ref="N300:O300" si="57">N163</f>
        <v>132737</v>
      </c>
      <c r="O300" s="510">
        <f t="shared" si="57"/>
        <v>135762</v>
      </c>
    </row>
    <row r="301" spans="4:22" ht="12.75" customHeight="1" x14ac:dyDescent="0.25">
      <c r="D301" s="567"/>
      <c r="E301" s="702"/>
      <c r="I301" s="709"/>
      <c r="J301" s="510"/>
      <c r="K301" s="510"/>
      <c r="L301" s="510"/>
      <c r="M301" s="510"/>
      <c r="N301" s="510"/>
      <c r="O301" s="510"/>
    </row>
    <row r="302" spans="4:22" ht="12.75" customHeight="1" x14ac:dyDescent="0.25">
      <c r="D302" s="567"/>
      <c r="E302" s="359" t="s">
        <v>4653</v>
      </c>
      <c r="I302" s="709"/>
      <c r="J302" s="715">
        <v>1579639.68</v>
      </c>
      <c r="K302" s="715">
        <f>SUM(K289:K301)</f>
        <v>1630266.04</v>
      </c>
      <c r="L302" s="715">
        <f>SUM(L289:L301)</f>
        <v>1680042</v>
      </c>
      <c r="M302" s="715">
        <f>SUM(M289:M301)</f>
        <v>1536654</v>
      </c>
      <c r="N302" s="715">
        <f>SUM(N289:N301)</f>
        <v>1586735</v>
      </c>
      <c r="O302" s="715">
        <f>SUM(O289:O301)</f>
        <v>1638005</v>
      </c>
    </row>
    <row r="303" spans="4:22" ht="12.75" customHeight="1" x14ac:dyDescent="0.25">
      <c r="D303" s="567"/>
      <c r="E303" s="359" t="s">
        <v>4654</v>
      </c>
      <c r="I303" s="709"/>
      <c r="J303" s="510">
        <v>419715.53459512908</v>
      </c>
      <c r="K303" s="510">
        <f t="shared" ref="K303:M303" si="58">K444</f>
        <v>398296.11852467555</v>
      </c>
      <c r="L303" s="510">
        <f t="shared" si="58"/>
        <v>411622.76875852275</v>
      </c>
      <c r="M303" s="510">
        <f t="shared" si="58"/>
        <v>411595.00718393037</v>
      </c>
      <c r="N303" s="510">
        <f t="shared" ref="N303:O303" si="59">N444</f>
        <v>425071.45911386784</v>
      </c>
      <c r="O303" s="510">
        <f t="shared" si="59"/>
        <v>440798.56537371001</v>
      </c>
    </row>
    <row r="304" spans="4:22" ht="12.75" customHeight="1" x14ac:dyDescent="0.25">
      <c r="D304" s="567"/>
      <c r="E304" s="702"/>
      <c r="I304" s="709"/>
      <c r="J304" s="510"/>
      <c r="K304" s="510"/>
      <c r="L304" s="510"/>
      <c r="M304" s="510"/>
      <c r="N304" s="510"/>
      <c r="O304" s="510"/>
    </row>
    <row r="305" spans="4:22" ht="12.75" customHeight="1" thickBot="1" x14ac:dyDescent="0.3">
      <c r="D305" s="567"/>
      <c r="E305" s="359" t="s">
        <v>4655</v>
      </c>
      <c r="I305" s="709"/>
      <c r="J305" s="1880">
        <v>968723.28840487055</v>
      </c>
      <c r="K305" s="1880">
        <f t="shared" ref="K305:M305" si="60">-K285-K286-K287-K302-K303</f>
        <v>1034578.1348767139</v>
      </c>
      <c r="L305" s="1880">
        <f t="shared" si="60"/>
        <v>1069527.3958198531</v>
      </c>
      <c r="M305" s="1880">
        <f t="shared" si="60"/>
        <v>1314151.1766723488</v>
      </c>
      <c r="N305" s="1880">
        <f t="shared" ref="N305:O305" si="61">-N285-N286-N287-N302-N303</f>
        <v>1355007.0782197132</v>
      </c>
      <c r="O305" s="1880">
        <f t="shared" si="61"/>
        <v>1395768.0647143992</v>
      </c>
      <c r="S305" s="359" t="s">
        <v>186</v>
      </c>
    </row>
    <row r="306" spans="4:22" ht="12.75" customHeight="1" thickTop="1" x14ac:dyDescent="0.25">
      <c r="D306" s="711"/>
      <c r="E306" s="709"/>
      <c r="F306" s="716"/>
      <c r="H306" s="709"/>
      <c r="I306" s="709"/>
      <c r="J306" s="709"/>
      <c r="K306" s="709"/>
      <c r="L306" s="709"/>
      <c r="M306" s="709"/>
      <c r="N306" s="709"/>
      <c r="O306" s="709"/>
      <c r="S306" s="502">
        <v>1145464.5170839999</v>
      </c>
      <c r="T306" s="502">
        <v>1216811.1394219999</v>
      </c>
      <c r="U306" s="502">
        <v>1283689.674356</v>
      </c>
      <c r="V306" s="502">
        <v>1267017.3138369999</v>
      </c>
    </row>
    <row r="307" spans="4:22" ht="12.75" customHeight="1" x14ac:dyDescent="0.25">
      <c r="D307" s="711"/>
      <c r="E307" s="717" t="s">
        <v>4656</v>
      </c>
      <c r="F307" s="716"/>
      <c r="H307" s="709"/>
      <c r="I307" s="709"/>
      <c r="J307" s="709"/>
      <c r="K307" s="709"/>
      <c r="L307" s="709"/>
      <c r="M307" s="709"/>
      <c r="N307" s="709"/>
      <c r="O307" s="709"/>
      <c r="S307" s="359" t="s">
        <v>180</v>
      </c>
    </row>
    <row r="308" spans="4:22" ht="12.75" customHeight="1" x14ac:dyDescent="0.25">
      <c r="D308" s="359"/>
      <c r="E308" s="718" t="s">
        <v>4657</v>
      </c>
      <c r="F308" s="710"/>
      <c r="H308" s="709"/>
      <c r="I308" s="709"/>
      <c r="J308" s="701">
        <v>2025</v>
      </c>
      <c r="K308" s="701">
        <v>2026</v>
      </c>
      <c r="L308" s="701">
        <v>2027</v>
      </c>
      <c r="M308" s="701">
        <v>2028</v>
      </c>
      <c r="N308" s="701">
        <v>2029</v>
      </c>
      <c r="O308" s="701">
        <v>2030</v>
      </c>
      <c r="V308" s="510">
        <f>+V306-J305</f>
        <v>298294.02543212939</v>
      </c>
    </row>
    <row r="309" spans="4:22" ht="12.75" customHeight="1" x14ac:dyDescent="0.25">
      <c r="D309" s="359"/>
      <c r="E309" s="718"/>
      <c r="F309" s="710"/>
      <c r="H309" s="709"/>
      <c r="I309" s="709"/>
      <c r="J309" s="705"/>
      <c r="K309" s="705"/>
      <c r="L309" s="705"/>
      <c r="M309" s="705"/>
      <c r="N309" s="705"/>
      <c r="O309" s="705"/>
    </row>
    <row r="310" spans="4:22" ht="12.75" customHeight="1" x14ac:dyDescent="0.25">
      <c r="D310" s="711"/>
      <c r="E310" s="702" t="s">
        <v>4658</v>
      </c>
      <c r="F310" s="716"/>
      <c r="I310" s="709"/>
      <c r="J310" s="510"/>
      <c r="K310" s="510"/>
      <c r="L310" s="510"/>
      <c r="M310" s="510"/>
      <c r="N310" s="510"/>
      <c r="O310" s="510"/>
    </row>
    <row r="311" spans="4:22" ht="12.75" customHeight="1" x14ac:dyDescent="0.25">
      <c r="D311" s="711"/>
      <c r="E311" s="702" t="s">
        <v>4659</v>
      </c>
      <c r="F311" s="716"/>
      <c r="I311" s="709"/>
      <c r="J311" s="510"/>
      <c r="K311" s="510"/>
      <c r="L311" s="510"/>
      <c r="M311" s="510"/>
      <c r="N311" s="510"/>
      <c r="O311" s="510"/>
    </row>
    <row r="312" spans="4:22" ht="12.75" customHeight="1" x14ac:dyDescent="0.25">
      <c r="D312" s="711"/>
      <c r="E312" s="702" t="s">
        <v>4660</v>
      </c>
      <c r="F312" s="716"/>
      <c r="I312" s="709"/>
      <c r="J312" s="510">
        <v>1200000</v>
      </c>
      <c r="K312" s="510"/>
      <c r="L312" s="510"/>
      <c r="M312" s="510"/>
      <c r="N312" s="510"/>
      <c r="O312" s="510"/>
    </row>
    <row r="313" spans="4:22" ht="12.75" customHeight="1" x14ac:dyDescent="0.25">
      <c r="D313" s="711"/>
      <c r="E313" s="702" t="s">
        <v>4661</v>
      </c>
      <c r="F313" s="716"/>
      <c r="I313" s="709"/>
      <c r="J313" s="510"/>
      <c r="K313" s="510">
        <v>1200000</v>
      </c>
    </row>
    <row r="314" spans="4:22" ht="12.75" customHeight="1" x14ac:dyDescent="0.25">
      <c r="D314" s="711"/>
      <c r="E314" s="702" t="s">
        <v>4662</v>
      </c>
      <c r="F314" s="716"/>
      <c r="H314" s="709"/>
      <c r="I314" s="709"/>
      <c r="J314" s="510"/>
      <c r="K314" s="510"/>
      <c r="L314" s="510">
        <v>1200000</v>
      </c>
      <c r="M314" s="510"/>
      <c r="N314" s="510"/>
      <c r="O314" s="510"/>
    </row>
    <row r="315" spans="4:22" ht="12.75" customHeight="1" x14ac:dyDescent="0.25">
      <c r="D315" s="711"/>
      <c r="E315" s="702" t="s">
        <v>4663</v>
      </c>
      <c r="F315" s="716"/>
      <c r="H315" s="709"/>
      <c r="I315" s="709"/>
      <c r="J315" s="510"/>
      <c r="K315" s="510"/>
      <c r="L315" s="510"/>
      <c r="M315" s="510">
        <v>284462</v>
      </c>
      <c r="N315" s="510"/>
      <c r="O315" s="510"/>
    </row>
    <row r="316" spans="4:22" ht="12.75" customHeight="1" x14ac:dyDescent="0.25">
      <c r="D316" s="711"/>
      <c r="E316" s="2059" t="s">
        <v>5279</v>
      </c>
      <c r="F316" s="2066"/>
      <c r="G316" s="358"/>
      <c r="H316" s="709"/>
      <c r="I316" s="709"/>
      <c r="J316" s="510"/>
      <c r="K316" s="510"/>
      <c r="L316" s="510"/>
      <c r="M316" s="510"/>
      <c r="N316" s="510">
        <v>284462</v>
      </c>
      <c r="O316" s="510"/>
    </row>
    <row r="317" spans="4:22" ht="12.75" customHeight="1" x14ac:dyDescent="0.25">
      <c r="D317" s="711"/>
      <c r="E317" s="2059" t="s">
        <v>5280</v>
      </c>
      <c r="F317" s="2066"/>
      <c r="G317" s="358"/>
      <c r="H317" s="709"/>
      <c r="I317" s="709"/>
      <c r="J317" s="510"/>
      <c r="K317" s="510"/>
      <c r="L317" s="510"/>
      <c r="M317" s="510"/>
      <c r="N317" s="510"/>
      <c r="O317" s="544">
        <v>284462</v>
      </c>
    </row>
    <row r="318" spans="4:22" ht="12.75" customHeight="1" x14ac:dyDescent="0.25">
      <c r="D318" s="711"/>
      <c r="E318" s="702"/>
      <c r="F318" s="716"/>
      <c r="H318" s="709"/>
      <c r="I318" s="709"/>
      <c r="J318" s="510"/>
      <c r="K318" s="510"/>
      <c r="L318" s="510"/>
      <c r="M318" s="510"/>
      <c r="N318" s="510"/>
      <c r="O318" s="510"/>
    </row>
    <row r="319" spans="4:22" ht="12.75" customHeight="1" thickBot="1" x14ac:dyDescent="0.3">
      <c r="D319" s="711"/>
      <c r="E319" s="359" t="s">
        <v>4664</v>
      </c>
      <c r="F319" s="716"/>
      <c r="H319" s="709"/>
      <c r="I319" s="709"/>
      <c r="J319" s="1965">
        <v>1200000</v>
      </c>
      <c r="K319" s="1965">
        <f>SUM(K310:K314)</f>
        <v>1200000</v>
      </c>
      <c r="L319" s="1965">
        <f>SUM(L310:L314)</f>
        <v>1200000</v>
      </c>
      <c r="M319" s="1965">
        <f>SUM(M315:M318)</f>
        <v>284462</v>
      </c>
      <c r="N319" s="1965">
        <f>SUM(N315:N318)</f>
        <v>284462</v>
      </c>
      <c r="O319" s="1965">
        <f>SUM(O315:O318)</f>
        <v>284462</v>
      </c>
    </row>
    <row r="320" spans="4:22" ht="12.75" customHeight="1" thickTop="1" x14ac:dyDescent="0.25">
      <c r="D320" s="711"/>
      <c r="E320" s="716"/>
      <c r="F320" s="716"/>
      <c r="G320" s="709"/>
      <c r="H320" s="709"/>
      <c r="I320" s="709"/>
      <c r="J320" s="719"/>
      <c r="K320" s="719"/>
      <c r="L320" s="719"/>
      <c r="M320" s="719"/>
      <c r="N320" s="719"/>
      <c r="O320" s="719"/>
    </row>
    <row r="321" spans="4:16" ht="12.75" customHeight="1" x14ac:dyDescent="0.25">
      <c r="D321" s="673">
        <v>647008</v>
      </c>
      <c r="E321" s="668" t="s">
        <v>4597</v>
      </c>
      <c r="I321" s="510"/>
      <c r="J321" s="701">
        <v>2025</v>
      </c>
      <c r="K321" s="701">
        <v>2026</v>
      </c>
      <c r="L321" s="701">
        <v>2027</v>
      </c>
      <c r="M321" s="701">
        <v>2028</v>
      </c>
      <c r="N321" s="701">
        <v>2029</v>
      </c>
      <c r="O321" s="701">
        <v>2030</v>
      </c>
    </row>
    <row r="322" spans="4:16" ht="12.75" customHeight="1" x14ac:dyDescent="0.25">
      <c r="D322" s="368"/>
      <c r="E322" s="568" t="s">
        <v>533</v>
      </c>
      <c r="I322" s="510"/>
      <c r="J322" s="510"/>
      <c r="K322" s="510"/>
      <c r="L322" s="510"/>
      <c r="M322" s="510"/>
      <c r="N322" s="510"/>
      <c r="O322" s="510"/>
    </row>
    <row r="323" spans="4:16" ht="12.75" customHeight="1" x14ac:dyDescent="0.25">
      <c r="D323" s="567">
        <v>43511</v>
      </c>
      <c r="E323" s="502" t="s">
        <v>4665</v>
      </c>
      <c r="I323" s="510"/>
      <c r="J323" s="510">
        <v>100000</v>
      </c>
      <c r="K323" s="510">
        <f>ROUND(J323*S$2,-2)</f>
        <v>102600</v>
      </c>
      <c r="L323" s="510">
        <f>ROUND(K323*T$2,-2)</f>
        <v>104800</v>
      </c>
      <c r="M323" s="510">
        <f>ROUND(L323*U$2,-2)</f>
        <v>107200</v>
      </c>
      <c r="N323" s="510">
        <f>ROUND(M323*V$2,-2)</f>
        <v>109700</v>
      </c>
      <c r="O323" s="510">
        <f>ROUND(N323*W$2,-2)</f>
        <v>112200</v>
      </c>
    </row>
    <row r="324" spans="4:16" ht="12.75" customHeight="1" thickBot="1" x14ac:dyDescent="0.3">
      <c r="D324" s="368"/>
      <c r="E324" s="502" t="s">
        <v>4666</v>
      </c>
      <c r="I324" s="510"/>
      <c r="J324" s="1880">
        <v>100000</v>
      </c>
      <c r="K324" s="1880">
        <f t="shared" ref="K324:M324" si="62">SUM(K323)</f>
        <v>102600</v>
      </c>
      <c r="L324" s="1880">
        <f t="shared" si="62"/>
        <v>104800</v>
      </c>
      <c r="M324" s="1880">
        <f t="shared" si="62"/>
        <v>107200</v>
      </c>
      <c r="N324" s="1880">
        <f t="shared" ref="N324:O324" si="63">SUM(N323)</f>
        <v>109700</v>
      </c>
      <c r="O324" s="1880">
        <f t="shared" si="63"/>
        <v>112200</v>
      </c>
    </row>
    <row r="325" spans="4:16" ht="12.75" customHeight="1" thickTop="1" x14ac:dyDescent="0.25">
      <c r="D325" s="368"/>
      <c r="E325" s="502"/>
      <c r="I325" s="510"/>
      <c r="J325" s="510"/>
      <c r="K325" s="510"/>
      <c r="L325" s="510"/>
      <c r="M325" s="510"/>
      <c r="N325" s="510"/>
      <c r="O325" s="510"/>
    </row>
    <row r="326" spans="4:16" ht="12.75" customHeight="1" x14ac:dyDescent="0.25">
      <c r="D326" s="368"/>
      <c r="E326" s="502"/>
      <c r="I326" s="510"/>
      <c r="J326" s="510"/>
      <c r="K326" s="510"/>
      <c r="L326" s="510"/>
      <c r="M326" s="510"/>
      <c r="N326" s="510"/>
      <c r="O326" s="510"/>
    </row>
    <row r="327" spans="4:16" ht="12.75" customHeight="1" x14ac:dyDescent="0.25">
      <c r="D327" s="720">
        <v>647901</v>
      </c>
      <c r="E327" s="721" t="s">
        <v>4577</v>
      </c>
      <c r="F327" s="722"/>
      <c r="I327" s="510"/>
      <c r="J327" s="701">
        <v>2025</v>
      </c>
      <c r="K327" s="701">
        <v>2026</v>
      </c>
      <c r="L327" s="701">
        <v>2027</v>
      </c>
      <c r="M327" s="701">
        <v>2028</v>
      </c>
      <c r="N327" s="701">
        <v>2029</v>
      </c>
      <c r="O327" s="701">
        <v>2030</v>
      </c>
    </row>
    <row r="328" spans="4:16" ht="12.75" customHeight="1" x14ac:dyDescent="0.25">
      <c r="D328" s="699"/>
      <c r="E328" s="707" t="s">
        <v>533</v>
      </c>
      <c r="F328" s="699"/>
      <c r="I328" s="510"/>
      <c r="J328" s="510"/>
      <c r="K328" s="510"/>
      <c r="L328" s="510"/>
      <c r="M328" s="510"/>
      <c r="N328" s="510"/>
      <c r="O328" s="510"/>
    </row>
    <row r="329" spans="4:16" ht="12.75" customHeight="1" x14ac:dyDescent="0.25">
      <c r="D329" s="699">
        <v>41100</v>
      </c>
      <c r="E329" s="359" t="s">
        <v>541</v>
      </c>
      <c r="F329" s="699"/>
      <c r="I329" s="510"/>
    </row>
    <row r="330" spans="4:16" ht="12.75" customHeight="1" x14ac:dyDescent="0.25">
      <c r="D330" s="699"/>
      <c r="E330" s="714" t="s">
        <v>2672</v>
      </c>
      <c r="F330" s="699"/>
      <c r="H330" s="499"/>
      <c r="I330" s="510"/>
      <c r="J330" s="510">
        <v>0</v>
      </c>
      <c r="K330" s="510">
        <f t="shared" ref="K330:O332" si="64">ROUND(J330*V$3,0)</f>
        <v>0</v>
      </c>
      <c r="L330" s="510">
        <f t="shared" si="64"/>
        <v>0</v>
      </c>
      <c r="M330" s="510">
        <f t="shared" si="64"/>
        <v>0</v>
      </c>
      <c r="N330" s="510">
        <f t="shared" si="64"/>
        <v>0</v>
      </c>
      <c r="O330" s="510">
        <f t="shared" si="64"/>
        <v>0</v>
      </c>
    </row>
    <row r="331" spans="4:16" ht="12.75" customHeight="1" x14ac:dyDescent="0.25">
      <c r="D331" s="699"/>
      <c r="E331" s="714" t="s">
        <v>2671</v>
      </c>
      <c r="F331" s="699"/>
      <c r="H331" s="499"/>
      <c r="I331" s="510"/>
      <c r="J331" s="510">
        <v>0</v>
      </c>
      <c r="K331" s="510">
        <f t="shared" si="64"/>
        <v>0</v>
      </c>
      <c r="L331" s="510">
        <f t="shared" si="64"/>
        <v>0</v>
      </c>
      <c r="M331" s="510">
        <f t="shared" si="64"/>
        <v>0</v>
      </c>
      <c r="N331" s="510">
        <f t="shared" si="64"/>
        <v>0</v>
      </c>
      <c r="O331" s="510">
        <f t="shared" si="64"/>
        <v>0</v>
      </c>
    </row>
    <row r="332" spans="4:16" ht="12.75" customHeight="1" x14ac:dyDescent="0.25">
      <c r="D332" s="699"/>
      <c r="E332" s="714" t="s">
        <v>4667</v>
      </c>
      <c r="F332" s="699"/>
      <c r="H332" s="499"/>
      <c r="I332" s="510"/>
      <c r="J332" s="510">
        <v>0</v>
      </c>
      <c r="K332" s="510">
        <f t="shared" si="64"/>
        <v>0</v>
      </c>
      <c r="L332" s="510">
        <f t="shared" si="64"/>
        <v>0</v>
      </c>
      <c r="M332" s="510">
        <f t="shared" si="64"/>
        <v>0</v>
      </c>
      <c r="N332" s="510">
        <f t="shared" si="64"/>
        <v>0</v>
      </c>
      <c r="O332" s="510">
        <f t="shared" si="64"/>
        <v>0</v>
      </c>
    </row>
    <row r="333" spans="4:16" ht="12.75" customHeight="1" x14ac:dyDescent="0.25">
      <c r="D333" s="699"/>
      <c r="E333" s="714" t="s">
        <v>3264</v>
      </c>
      <c r="F333" s="699"/>
      <c r="H333" s="499"/>
      <c r="I333" s="510"/>
      <c r="J333" s="510">
        <v>0</v>
      </c>
      <c r="K333" s="510">
        <v>0</v>
      </c>
      <c r="L333" s="510">
        <v>0</v>
      </c>
      <c r="M333" s="510">
        <v>0</v>
      </c>
      <c r="N333" s="510">
        <v>0</v>
      </c>
      <c r="O333" s="510">
        <v>0</v>
      </c>
      <c r="P333" s="359" t="s">
        <v>4668</v>
      </c>
    </row>
    <row r="334" spans="4:16" ht="12.75" customHeight="1" x14ac:dyDescent="0.25">
      <c r="D334" s="699"/>
      <c r="E334" s="714" t="s">
        <v>3089</v>
      </c>
      <c r="F334" s="699"/>
      <c r="H334" s="499"/>
      <c r="I334" s="510"/>
      <c r="J334" s="510">
        <v>345735</v>
      </c>
      <c r="K334" s="510">
        <v>345165</v>
      </c>
      <c r="L334" s="510">
        <f t="shared" ref="L334:O335" si="65">ROUND(K334*T$3,0)</f>
        <v>359662</v>
      </c>
      <c r="M334" s="510">
        <f t="shared" si="65"/>
        <v>372969</v>
      </c>
      <c r="N334" s="510">
        <f t="shared" si="65"/>
        <v>386769</v>
      </c>
      <c r="O334" s="510">
        <f t="shared" si="65"/>
        <v>401079</v>
      </c>
    </row>
    <row r="335" spans="4:16" ht="12.75" customHeight="1" x14ac:dyDescent="0.25">
      <c r="D335" s="699"/>
      <c r="E335" s="714" t="s">
        <v>3142</v>
      </c>
      <c r="F335" s="699"/>
      <c r="H335" s="499"/>
      <c r="I335" s="510"/>
      <c r="J335" s="510">
        <v>119379.68</v>
      </c>
      <c r="K335" s="510">
        <v>122558.04</v>
      </c>
      <c r="L335" s="510">
        <f t="shared" si="65"/>
        <v>127705</v>
      </c>
      <c r="M335" s="510">
        <f t="shared" si="65"/>
        <v>132430</v>
      </c>
      <c r="N335" s="510">
        <f t="shared" si="65"/>
        <v>137330</v>
      </c>
      <c r="O335" s="510">
        <f t="shared" si="65"/>
        <v>142411</v>
      </c>
    </row>
    <row r="336" spans="4:16" ht="12.75" customHeight="1" thickBot="1" x14ac:dyDescent="0.3">
      <c r="D336" s="699"/>
      <c r="E336" s="510" t="str">
        <f>"Totaal "&amp;D329</f>
        <v>Totaal 41100</v>
      </c>
      <c r="F336" s="699"/>
      <c r="H336" s="499"/>
      <c r="I336" s="510"/>
      <c r="J336" s="1880">
        <v>465114.68</v>
      </c>
      <c r="K336" s="1880">
        <f t="shared" ref="K336:M336" si="66">SUM(K330:K335)</f>
        <v>467723.04</v>
      </c>
      <c r="L336" s="1880">
        <f t="shared" si="66"/>
        <v>487367</v>
      </c>
      <c r="M336" s="1880">
        <f t="shared" si="66"/>
        <v>505399</v>
      </c>
      <c r="N336" s="1880">
        <f t="shared" ref="N336:O336" si="67">SUM(N330:N335)</f>
        <v>524099</v>
      </c>
      <c r="O336" s="1880">
        <f t="shared" si="67"/>
        <v>543490</v>
      </c>
    </row>
    <row r="337" spans="4:15" ht="12.75" customHeight="1" thickTop="1" x14ac:dyDescent="0.25">
      <c r="D337" s="368"/>
      <c r="E337" s="707" t="s">
        <v>533</v>
      </c>
      <c r="I337" s="510"/>
      <c r="J337" s="510"/>
      <c r="K337" s="510"/>
      <c r="L337" s="510"/>
      <c r="M337" s="510"/>
      <c r="N337" s="510"/>
      <c r="O337" s="510"/>
    </row>
    <row r="338" spans="4:15" ht="12.75" customHeight="1" x14ac:dyDescent="0.25">
      <c r="E338" s="502" t="s">
        <v>4669</v>
      </c>
      <c r="I338" s="510"/>
      <c r="J338" s="510"/>
      <c r="K338" s="510"/>
      <c r="L338" s="510"/>
      <c r="M338" s="510"/>
      <c r="N338" s="510"/>
      <c r="O338" s="510"/>
    </row>
    <row r="339" spans="4:15" ht="12.75" customHeight="1" x14ac:dyDescent="0.25">
      <c r="E339" s="568" t="s">
        <v>4670</v>
      </c>
      <c r="I339" s="510"/>
      <c r="J339" s="510"/>
      <c r="K339" s="510"/>
      <c r="L339" s="510"/>
      <c r="M339" s="510"/>
      <c r="N339" s="510"/>
      <c r="O339" s="510"/>
    </row>
    <row r="340" spans="4:15" ht="12.75" customHeight="1" x14ac:dyDescent="0.25">
      <c r="E340" s="502" t="s">
        <v>2065</v>
      </c>
      <c r="I340" s="510"/>
      <c r="J340" s="510"/>
      <c r="K340" s="510"/>
      <c r="L340" s="510"/>
      <c r="M340" s="510"/>
      <c r="N340" s="510"/>
      <c r="O340" s="510"/>
    </row>
    <row r="341" spans="4:15" ht="12.75" customHeight="1" x14ac:dyDescent="0.25">
      <c r="E341" s="502"/>
      <c r="I341" s="510"/>
      <c r="J341" s="510"/>
      <c r="K341" s="510"/>
      <c r="L341" s="510"/>
      <c r="M341" s="510"/>
      <c r="N341" s="510"/>
      <c r="O341" s="510"/>
    </row>
    <row r="342" spans="4:15" ht="12.75" customHeight="1" x14ac:dyDescent="0.25">
      <c r="E342" s="568" t="s">
        <v>2069</v>
      </c>
      <c r="I342" s="510"/>
      <c r="J342" s="510"/>
      <c r="K342" s="510"/>
      <c r="L342" s="510"/>
      <c r="M342" s="510"/>
      <c r="N342" s="510"/>
      <c r="O342" s="510"/>
    </row>
    <row r="343" spans="4:15" ht="12.75" customHeight="1" thickBot="1" x14ac:dyDescent="0.3">
      <c r="D343" s="567">
        <v>43812</v>
      </c>
      <c r="E343" s="502" t="s">
        <v>4671</v>
      </c>
      <c r="I343" s="510"/>
      <c r="J343" s="1880">
        <v>17876</v>
      </c>
      <c r="K343" s="1880">
        <v>18412</v>
      </c>
      <c r="L343" s="1880">
        <f>ROUND(K343*T$2,0)</f>
        <v>18799</v>
      </c>
      <c r="M343" s="1880">
        <f>ROUND(L343*U$2,0)</f>
        <v>19231</v>
      </c>
      <c r="N343" s="1880">
        <f>ROUND(M343*V$2,0)</f>
        <v>19673</v>
      </c>
      <c r="O343" s="1880">
        <f>ROUND(N343*W$2,0)</f>
        <v>20125</v>
      </c>
    </row>
    <row r="344" spans="4:15" ht="12.75" customHeight="1" thickTop="1" x14ac:dyDescent="0.25">
      <c r="E344" s="359"/>
      <c r="I344" s="510"/>
      <c r="J344" s="510"/>
      <c r="K344" s="510"/>
      <c r="L344" s="510"/>
      <c r="M344" s="510"/>
      <c r="N344" s="510"/>
      <c r="O344" s="510"/>
    </row>
    <row r="345" spans="4:15" ht="12.75" customHeight="1" thickBot="1" x14ac:dyDescent="0.3">
      <c r="D345" s="567">
        <v>83800</v>
      </c>
      <c r="E345" s="502" t="s">
        <v>4672</v>
      </c>
      <c r="I345" s="510"/>
      <c r="J345" s="1880">
        <v>-6014</v>
      </c>
      <c r="K345" s="1880">
        <v>-6194</v>
      </c>
      <c r="L345" s="1880">
        <f>ROUND(K345*T$2,0)</f>
        <v>-6324</v>
      </c>
      <c r="M345" s="1880">
        <f>ROUND(L345*U$2,0)</f>
        <v>-6469</v>
      </c>
      <c r="N345" s="1880">
        <f>ROUND(M345*V$2,0)</f>
        <v>-6618</v>
      </c>
      <c r="O345" s="1880">
        <f>ROUND(N345*W$2,0)</f>
        <v>-6770</v>
      </c>
    </row>
    <row r="346" spans="4:15" ht="12.75" customHeight="1" thickTop="1" x14ac:dyDescent="0.25">
      <c r="E346" s="502"/>
      <c r="I346" s="510"/>
      <c r="J346" s="510"/>
      <c r="K346" s="510"/>
      <c r="L346" s="510"/>
      <c r="M346" s="510"/>
      <c r="N346" s="510"/>
      <c r="O346" s="510"/>
    </row>
    <row r="347" spans="4:15" ht="12.75" customHeight="1" x14ac:dyDescent="0.25">
      <c r="D347" s="673">
        <v>647005</v>
      </c>
      <c r="E347" s="660" t="s">
        <v>4673</v>
      </c>
      <c r="F347" s="669"/>
    </row>
    <row r="348" spans="4:15" ht="12.75" customHeight="1" x14ac:dyDescent="0.25">
      <c r="D348" s="711"/>
      <c r="E348" s="723" t="s">
        <v>4674</v>
      </c>
      <c r="F348" s="716"/>
      <c r="G348" s="709"/>
      <c r="H348" s="709"/>
      <c r="J348" s="115"/>
      <c r="K348" s="115"/>
      <c r="L348" s="115"/>
      <c r="M348" s="115"/>
      <c r="N348" s="115"/>
      <c r="O348" s="115"/>
    </row>
    <row r="349" spans="4:15" ht="12.75" customHeight="1" x14ac:dyDescent="0.25">
      <c r="D349" s="711"/>
      <c r="E349" s="716"/>
      <c r="F349" s="716"/>
      <c r="G349" s="709"/>
      <c r="H349" s="709"/>
      <c r="J349" s="115"/>
      <c r="K349" s="115"/>
      <c r="L349" s="115"/>
      <c r="M349" s="115"/>
      <c r="N349" s="115"/>
      <c r="O349" s="115"/>
    </row>
    <row r="350" spans="4:15" ht="12.75" customHeight="1" x14ac:dyDescent="0.25">
      <c r="D350" s="115"/>
      <c r="E350" s="606">
        <v>2026</v>
      </c>
      <c r="F350" s="115"/>
      <c r="G350" s="709"/>
      <c r="H350" s="709"/>
      <c r="J350" s="115"/>
      <c r="K350" s="115"/>
      <c r="L350" s="115"/>
      <c r="M350" s="115"/>
      <c r="N350" s="115"/>
      <c r="O350" s="115"/>
    </row>
    <row r="351" spans="4:15" ht="12.75" customHeight="1" x14ac:dyDescent="0.25">
      <c r="D351" s="306" t="s">
        <v>200</v>
      </c>
      <c r="E351" s="307">
        <f>S2</f>
        <v>1.026</v>
      </c>
      <c r="F351" s="400" t="s">
        <v>4675</v>
      </c>
      <c r="G351" s="724">
        <v>0.47</v>
      </c>
      <c r="H351" s="709">
        <f>+E351*G351</f>
        <v>0.48221999999999998</v>
      </c>
      <c r="J351" s="115"/>
      <c r="K351" s="115"/>
      <c r="L351" s="115"/>
      <c r="M351" s="115"/>
      <c r="N351" s="115"/>
      <c r="O351" s="115"/>
    </row>
    <row r="352" spans="4:15" ht="12.75" customHeight="1" x14ac:dyDescent="0.25">
      <c r="D352" s="306" t="s">
        <v>201</v>
      </c>
      <c r="E352" s="307">
        <f>S3</f>
        <v>1.02</v>
      </c>
      <c r="F352" s="400" t="s">
        <v>4675</v>
      </c>
      <c r="G352" s="724">
        <v>0.53</v>
      </c>
      <c r="H352" s="709">
        <f>+E352*G352</f>
        <v>0.54060000000000008</v>
      </c>
      <c r="J352" s="115"/>
      <c r="K352" s="115"/>
      <c r="L352" s="115"/>
      <c r="M352" s="115"/>
      <c r="N352" s="115"/>
      <c r="O352" s="115"/>
    </row>
    <row r="353" spans="4:18" ht="12.75" customHeight="1" x14ac:dyDescent="0.25">
      <c r="D353" s="115" t="s">
        <v>2026</v>
      </c>
      <c r="E353" s="359"/>
      <c r="F353" s="115"/>
      <c r="G353" s="709"/>
      <c r="H353" s="709">
        <f>+H351+H352</f>
        <v>1.0228200000000001</v>
      </c>
      <c r="I353" s="725">
        <f>+H351+H352-1</f>
        <v>2.2820000000000062E-2</v>
      </c>
      <c r="J353" s="115"/>
      <c r="K353" s="115"/>
      <c r="L353" s="115"/>
      <c r="M353" s="115"/>
      <c r="N353" s="115"/>
      <c r="O353" s="115"/>
    </row>
    <row r="354" spans="4:18" ht="12.75" customHeight="1" x14ac:dyDescent="0.25">
      <c r="D354" s="711"/>
      <c r="E354" s="716"/>
      <c r="F354" s="716"/>
      <c r="G354" s="709"/>
      <c r="H354" s="709"/>
      <c r="J354" s="115"/>
      <c r="K354" s="115"/>
      <c r="L354" s="115"/>
      <c r="M354" s="115"/>
      <c r="N354" s="115"/>
      <c r="O354" s="115"/>
    </row>
    <row r="355" spans="4:18" ht="12.75" customHeight="1" x14ac:dyDescent="0.25">
      <c r="D355" s="711"/>
      <c r="E355" s="716"/>
      <c r="F355" s="716"/>
      <c r="G355" s="709"/>
      <c r="H355" s="709"/>
      <c r="J355" s="115"/>
      <c r="K355" s="115"/>
      <c r="L355" s="115"/>
      <c r="M355" s="115"/>
      <c r="N355" s="115"/>
      <c r="O355" s="115"/>
    </row>
    <row r="356" spans="4:18" ht="12.75" customHeight="1" x14ac:dyDescent="0.25">
      <c r="D356" s="711"/>
      <c r="E356" s="726" t="s">
        <v>4676</v>
      </c>
      <c r="F356" s="716"/>
      <c r="G356" s="709"/>
      <c r="H356" s="709"/>
      <c r="J356" s="115"/>
      <c r="K356" s="115"/>
      <c r="L356" s="115"/>
      <c r="M356" s="115"/>
      <c r="N356" s="115"/>
      <c r="O356" s="115"/>
    </row>
    <row r="357" spans="4:18" ht="12.75" customHeight="1" x14ac:dyDescent="0.25">
      <c r="D357" s="306" t="s">
        <v>200</v>
      </c>
      <c r="E357" s="307">
        <f>T2</f>
        <v>1.0209999999999999</v>
      </c>
      <c r="F357" s="400" t="s">
        <v>4675</v>
      </c>
      <c r="G357" s="724">
        <v>0.47</v>
      </c>
      <c r="H357" s="709">
        <f>+E357*G357</f>
        <v>0.47986999999999991</v>
      </c>
      <c r="J357" s="115"/>
      <c r="K357" s="115"/>
      <c r="L357" s="115"/>
      <c r="M357" s="115"/>
      <c r="N357" s="115"/>
      <c r="O357" s="115"/>
    </row>
    <row r="358" spans="4:18" ht="12.75" customHeight="1" x14ac:dyDescent="0.25">
      <c r="D358" s="306" t="s">
        <v>201</v>
      </c>
      <c r="E358" s="307">
        <f>T3</f>
        <v>1.042</v>
      </c>
      <c r="F358" s="400" t="s">
        <v>4675</v>
      </c>
      <c r="G358" s="724">
        <v>0.53</v>
      </c>
      <c r="H358" s="709">
        <f>+E358*G358</f>
        <v>0.55226000000000008</v>
      </c>
      <c r="J358" s="115"/>
      <c r="K358" s="115"/>
      <c r="L358" s="115"/>
      <c r="M358" s="115"/>
      <c r="N358" s="115"/>
      <c r="O358" s="115"/>
    </row>
    <row r="359" spans="4:18" ht="12.75" customHeight="1" x14ac:dyDescent="0.25">
      <c r="D359" s="115" t="s">
        <v>2026</v>
      </c>
      <c r="E359" s="716"/>
      <c r="F359" s="716"/>
      <c r="G359" s="709"/>
      <c r="H359" s="709"/>
      <c r="I359" s="725">
        <f>+H357+H358-1</f>
        <v>3.2129999999999992E-2</v>
      </c>
      <c r="J359" s="115"/>
      <c r="K359" s="115"/>
      <c r="L359" s="115"/>
      <c r="M359" s="115"/>
      <c r="N359" s="115"/>
      <c r="O359" s="115"/>
    </row>
    <row r="360" spans="4:18" ht="12.75" customHeight="1" x14ac:dyDescent="0.25">
      <c r="D360" s="711"/>
      <c r="E360" s="716"/>
      <c r="F360" s="716"/>
      <c r="G360" s="709"/>
      <c r="H360" s="709"/>
      <c r="J360" s="115"/>
      <c r="K360" s="115"/>
      <c r="L360" s="115"/>
      <c r="M360" s="115"/>
      <c r="N360" s="115"/>
      <c r="O360" s="115"/>
    </row>
    <row r="361" spans="4:18" ht="12.75" customHeight="1" x14ac:dyDescent="0.25">
      <c r="D361" s="711"/>
      <c r="E361" s="716"/>
      <c r="F361" s="716"/>
      <c r="G361" s="709"/>
      <c r="H361" s="709"/>
      <c r="J361" s="115"/>
      <c r="K361" s="115"/>
      <c r="L361" s="115"/>
      <c r="M361" s="115"/>
      <c r="N361" s="115"/>
      <c r="O361" s="115"/>
    </row>
    <row r="362" spans="4:18" ht="12.75" customHeight="1" x14ac:dyDescent="0.25">
      <c r="D362" s="502" t="s">
        <v>4677</v>
      </c>
      <c r="I362" s="75">
        <v>197.52</v>
      </c>
      <c r="J362" s="115"/>
      <c r="K362" s="115"/>
      <c r="L362" s="115"/>
      <c r="M362" s="115"/>
      <c r="N362" s="115"/>
      <c r="O362" s="115"/>
    </row>
    <row r="363" spans="4:18" ht="12.75" customHeight="1" x14ac:dyDescent="0.25">
      <c r="D363" s="502" t="s">
        <v>4678</v>
      </c>
      <c r="G363" s="702"/>
      <c r="I363" s="76">
        <f>+I362*I353</f>
        <v>4.5074064000000122</v>
      </c>
      <c r="J363" s="115"/>
      <c r="K363" s="115"/>
      <c r="L363" s="115"/>
      <c r="M363" s="115"/>
      <c r="N363" s="115"/>
      <c r="O363" s="115"/>
    </row>
    <row r="364" spans="4:18" ht="12.75" customHeight="1" x14ac:dyDescent="0.25">
      <c r="G364" s="702"/>
      <c r="I364" s="297">
        <f>SUM(I362:I363)</f>
        <v>202.02740640000002</v>
      </c>
      <c r="K364" s="115"/>
      <c r="L364" s="115"/>
      <c r="M364" s="115"/>
      <c r="N364" s="115"/>
      <c r="O364" s="115"/>
    </row>
    <row r="365" spans="4:18" ht="12.75" customHeight="1" thickBot="1" x14ac:dyDescent="0.3">
      <c r="D365" s="502" t="s">
        <v>4679</v>
      </c>
      <c r="G365" s="702"/>
      <c r="I365" s="152">
        <f>ROUND(I364/12,2)*12</f>
        <v>202.07999999999998</v>
      </c>
      <c r="K365" s="115"/>
      <c r="L365" s="115"/>
      <c r="M365" s="115"/>
      <c r="N365" s="115"/>
      <c r="O365" s="115"/>
      <c r="Q365" s="359">
        <f>+I365/I362</f>
        <v>1.0230862697448357</v>
      </c>
      <c r="R365" s="359" t="s">
        <v>2117</v>
      </c>
    </row>
    <row r="366" spans="4:18" ht="12.75" customHeight="1" thickTop="1" x14ac:dyDescent="0.25">
      <c r="I366" s="75"/>
      <c r="K366" s="115"/>
      <c r="L366" s="115"/>
      <c r="M366" s="115"/>
      <c r="N366" s="115"/>
      <c r="O366" s="115"/>
    </row>
    <row r="367" spans="4:18" ht="12.75" customHeight="1" x14ac:dyDescent="0.25">
      <c r="D367" s="502" t="s">
        <v>4680</v>
      </c>
      <c r="I367" s="77">
        <f>ROUND((0.9*I365)/12,2)*12</f>
        <v>181.92000000000002</v>
      </c>
      <c r="K367" s="115"/>
      <c r="L367" s="115"/>
      <c r="M367" s="115"/>
      <c r="N367" s="115"/>
      <c r="O367" s="115"/>
      <c r="P367" s="727">
        <f>+I365/I362</f>
        <v>1.0230862697448357</v>
      </c>
    </row>
    <row r="368" spans="4:18" ht="12.75" customHeight="1" x14ac:dyDescent="0.25">
      <c r="I368" s="75"/>
    </row>
    <row r="369" spans="4:24" ht="12.75" customHeight="1" x14ac:dyDescent="0.25">
      <c r="D369" s="502" t="s">
        <v>4681</v>
      </c>
      <c r="I369" s="75">
        <v>42.06</v>
      </c>
    </row>
    <row r="370" spans="4:24" ht="12.75" customHeight="1" x14ac:dyDescent="0.25">
      <c r="D370" s="502" t="s">
        <v>4678</v>
      </c>
      <c r="G370" s="702"/>
      <c r="I370" s="76">
        <f>(+I369*I353)+0.06</f>
        <v>1.0198092000000027</v>
      </c>
    </row>
    <row r="371" spans="4:24" ht="12.75" customHeight="1" x14ac:dyDescent="0.25">
      <c r="I371" s="77"/>
    </row>
    <row r="372" spans="4:24" ht="12.75" customHeight="1" x14ac:dyDescent="0.25">
      <c r="D372" s="502" t="s">
        <v>4682</v>
      </c>
      <c r="I372" s="77">
        <f>SUM(I369:I371)</f>
        <v>43.079809200000007</v>
      </c>
    </row>
    <row r="373" spans="4:24" ht="12.75" customHeight="1" x14ac:dyDescent="0.25">
      <c r="I373" s="728"/>
    </row>
    <row r="374" spans="4:24" ht="12.75" customHeight="1" x14ac:dyDescent="0.25">
      <c r="I374" s="729"/>
      <c r="J374" s="701">
        <v>2025</v>
      </c>
      <c r="K374" s="701">
        <v>2026</v>
      </c>
      <c r="L374" s="701">
        <v>2027</v>
      </c>
      <c r="M374" s="701">
        <v>2028</v>
      </c>
      <c r="N374" s="701">
        <v>2029</v>
      </c>
      <c r="O374" s="701">
        <v>2030</v>
      </c>
    </row>
    <row r="375" spans="4:24" ht="12.75" customHeight="1" x14ac:dyDescent="0.25">
      <c r="H375" s="702"/>
      <c r="R375" s="359" t="s">
        <v>4683</v>
      </c>
    </row>
    <row r="376" spans="4:24" ht="12.75" customHeight="1" x14ac:dyDescent="0.25">
      <c r="D376" s="502" t="s">
        <v>4684</v>
      </c>
    </row>
    <row r="377" spans="4:24" ht="12.75" customHeight="1" x14ac:dyDescent="0.25">
      <c r="D377" s="502" t="s">
        <v>4685</v>
      </c>
    </row>
    <row r="378" spans="4:24" ht="12.75" customHeight="1" x14ac:dyDescent="0.25">
      <c r="D378" s="502" t="s">
        <v>4686</v>
      </c>
      <c r="G378" s="359">
        <v>13833</v>
      </c>
      <c r="H378" s="730">
        <f>+I365</f>
        <v>202.07999999999998</v>
      </c>
      <c r="I378" s="78">
        <f t="shared" ref="I378:I387" si="68">ROUND(G378*H378,0)</f>
        <v>2795373</v>
      </c>
      <c r="R378" s="359">
        <v>162.84</v>
      </c>
      <c r="V378" s="359">
        <v>2019</v>
      </c>
      <c r="W378" s="359">
        <v>2020</v>
      </c>
      <c r="X378" s="359">
        <v>2021</v>
      </c>
    </row>
    <row r="379" spans="4:24" ht="12.75" customHeight="1" x14ac:dyDescent="0.25">
      <c r="D379" s="502" t="s">
        <v>4687</v>
      </c>
      <c r="G379" s="359">
        <v>72</v>
      </c>
      <c r="H379" s="730">
        <f>I365+I367</f>
        <v>384</v>
      </c>
      <c r="I379" s="78">
        <f t="shared" si="68"/>
        <v>27648</v>
      </c>
      <c r="R379" s="359">
        <f>162.84+146.52</f>
        <v>309.36</v>
      </c>
      <c r="T379" s="359" t="s">
        <v>4688</v>
      </c>
      <c r="V379" s="359">
        <v>2344000</v>
      </c>
    </row>
    <row r="380" spans="4:24" ht="12.75" customHeight="1" x14ac:dyDescent="0.25">
      <c r="D380" s="502" t="s">
        <v>4689</v>
      </c>
      <c r="G380" s="359">
        <v>26</v>
      </c>
      <c r="H380" s="730">
        <f>H379+I367</f>
        <v>565.92000000000007</v>
      </c>
      <c r="I380" s="78">
        <f t="shared" si="68"/>
        <v>14714</v>
      </c>
      <c r="R380" s="359">
        <f>162.84+146.52+146.52</f>
        <v>455.88</v>
      </c>
      <c r="S380" s="730"/>
      <c r="T380" s="359" t="s">
        <v>4690</v>
      </c>
      <c r="V380" s="359">
        <v>117500</v>
      </c>
      <c r="W380" s="359">
        <f>ROUND(V380*1.015,0)</f>
        <v>119263</v>
      </c>
      <c r="X380" s="359">
        <f>ROUND(W380*1.015,0)</f>
        <v>121052</v>
      </c>
    </row>
    <row r="381" spans="4:24" ht="12.75" customHeight="1" x14ac:dyDescent="0.25">
      <c r="D381" s="502" t="s">
        <v>4691</v>
      </c>
      <c r="G381" s="359">
        <v>6</v>
      </c>
      <c r="H381" s="730">
        <f>I365+(3*I367)</f>
        <v>747.83999999999992</v>
      </c>
      <c r="I381" s="78">
        <f t="shared" si="68"/>
        <v>4487</v>
      </c>
      <c r="R381" s="359">
        <f>162.84+146.52+146.52+146.52</f>
        <v>602.4</v>
      </c>
      <c r="S381" s="730"/>
      <c r="T381" s="359" t="s">
        <v>982</v>
      </c>
      <c r="V381" s="359">
        <v>18000</v>
      </c>
      <c r="W381" s="359">
        <f t="shared" ref="W381:X385" si="69">ROUND(V381*1.015,0)</f>
        <v>18270</v>
      </c>
      <c r="X381" s="359">
        <f t="shared" si="69"/>
        <v>18544</v>
      </c>
    </row>
    <row r="382" spans="4:24" ht="12.75" customHeight="1" x14ac:dyDescent="0.25">
      <c r="D382" s="502" t="s">
        <v>4692</v>
      </c>
      <c r="G382" s="359">
        <v>4</v>
      </c>
      <c r="H382" s="730">
        <f>I365+(4*I367)</f>
        <v>929.76</v>
      </c>
      <c r="I382" s="78">
        <f t="shared" si="68"/>
        <v>3719</v>
      </c>
      <c r="R382" s="359">
        <f>162.84+146.52+146.52+146.52+146.52</f>
        <v>748.92</v>
      </c>
      <c r="S382" s="730"/>
      <c r="T382" s="359" t="s">
        <v>3333</v>
      </c>
      <c r="V382" s="359">
        <f>+V379-V380-V381</f>
        <v>2208500</v>
      </c>
      <c r="W382" s="359">
        <f t="shared" si="69"/>
        <v>2241628</v>
      </c>
      <c r="X382" s="359">
        <f t="shared" si="69"/>
        <v>2275252</v>
      </c>
    </row>
    <row r="383" spans="4:24" ht="12.75" customHeight="1" x14ac:dyDescent="0.25">
      <c r="D383" s="502" t="s">
        <v>4693</v>
      </c>
      <c r="G383" s="359">
        <v>4</v>
      </c>
      <c r="H383" s="730">
        <f>I365+(5*I367)</f>
        <v>1111.68</v>
      </c>
      <c r="I383" s="78">
        <f t="shared" si="68"/>
        <v>4447</v>
      </c>
      <c r="R383" s="359">
        <f>162.84+146.52+146.52+146.52+146.52+146.52</f>
        <v>895.43999999999994</v>
      </c>
      <c r="S383" s="730"/>
      <c r="V383" s="359">
        <f>SUM(V380:V382)</f>
        <v>2344000</v>
      </c>
      <c r="W383" s="359">
        <f>SUM(W380:W382)</f>
        <v>2379161</v>
      </c>
    </row>
    <row r="384" spans="4:24" ht="12.75" customHeight="1" x14ac:dyDescent="0.25">
      <c r="D384" s="502" t="s">
        <v>4694</v>
      </c>
      <c r="G384" s="359">
        <v>2</v>
      </c>
      <c r="H384" s="730">
        <f>I365+(6*I367)</f>
        <v>1293.5999999999999</v>
      </c>
      <c r="I384" s="78">
        <f t="shared" si="68"/>
        <v>2587</v>
      </c>
      <c r="R384" s="359">
        <f>162.84+146.52+146.52+146.52+146.52+146.52+146.52</f>
        <v>1041.96</v>
      </c>
      <c r="S384" s="730"/>
      <c r="T384" s="359" t="s">
        <v>4695</v>
      </c>
      <c r="U384" s="359">
        <v>80</v>
      </c>
      <c r="W384" s="359">
        <f>80*171.6</f>
        <v>13728</v>
      </c>
      <c r="X384" s="359">
        <f t="shared" si="69"/>
        <v>13934</v>
      </c>
    </row>
    <row r="385" spans="4:24" ht="12.75" customHeight="1" x14ac:dyDescent="0.25">
      <c r="D385" s="502" t="s">
        <v>4696</v>
      </c>
      <c r="G385" s="359">
        <v>2</v>
      </c>
      <c r="H385" s="730">
        <f>I365+(7*I367)</f>
        <v>1475.52</v>
      </c>
      <c r="I385" s="78">
        <f t="shared" si="68"/>
        <v>2951</v>
      </c>
      <c r="R385" s="359">
        <f>162.84+146.52+146.52+146.52+146.52+146.52+146.52+146.52</f>
        <v>1188.48</v>
      </c>
      <c r="S385" s="730"/>
      <c r="T385" s="359" t="s">
        <v>4697</v>
      </c>
      <c r="U385" s="572">
        <v>80</v>
      </c>
      <c r="W385" s="359">
        <f>80*171.6</f>
        <v>13728</v>
      </c>
      <c r="X385" s="359">
        <f t="shared" si="69"/>
        <v>13934</v>
      </c>
    </row>
    <row r="386" spans="4:24" ht="12.75" customHeight="1" x14ac:dyDescent="0.25">
      <c r="D386" s="502" t="s">
        <v>4698</v>
      </c>
      <c r="G386" s="359">
        <v>1</v>
      </c>
      <c r="H386" s="730">
        <f>I365+(8*I367)</f>
        <v>1657.44</v>
      </c>
      <c r="I386" s="78">
        <f t="shared" si="68"/>
        <v>1657</v>
      </c>
      <c r="R386" s="359">
        <f>162.84+146.52+146.52+146.52+146.52+146.52+146.52+146.52+146.52</f>
        <v>1335</v>
      </c>
      <c r="S386" s="730"/>
      <c r="T386" s="359" t="s">
        <v>4697</v>
      </c>
      <c r="U386" s="359">
        <v>100</v>
      </c>
      <c r="X386" s="359">
        <f>ROUND(100*171.6*1.015,0)</f>
        <v>17417</v>
      </c>
    </row>
    <row r="387" spans="4:24" ht="12.75" customHeight="1" x14ac:dyDescent="0.25">
      <c r="D387" s="502" t="s">
        <v>4699</v>
      </c>
      <c r="G387" s="359">
        <v>1</v>
      </c>
      <c r="H387" s="730">
        <f>I365+(9*I367)</f>
        <v>1839.3600000000001</v>
      </c>
      <c r="I387" s="78">
        <f t="shared" si="68"/>
        <v>1839</v>
      </c>
      <c r="R387" s="359">
        <f>162.84+146.52+146.52+146.52+146.52+146.52+146.52+146.52+146.52+146.52</f>
        <v>1481.52</v>
      </c>
      <c r="T387" s="359" t="s">
        <v>4700</v>
      </c>
      <c r="U387" s="359">
        <f>250/2</f>
        <v>125</v>
      </c>
      <c r="X387" s="359">
        <f>ROUND(125*171.6*1.015,0)</f>
        <v>21772</v>
      </c>
    </row>
    <row r="388" spans="4:24" ht="12.75" customHeight="1" x14ac:dyDescent="0.25">
      <c r="D388" s="731" t="s">
        <v>4701</v>
      </c>
      <c r="E388" s="732"/>
      <c r="G388" s="697">
        <v>8</v>
      </c>
      <c r="H388" s="76">
        <v>0</v>
      </c>
      <c r="I388" s="79">
        <v>57000</v>
      </c>
      <c r="W388" s="359">
        <f>SUM(W383:W387)</f>
        <v>2406617</v>
      </c>
      <c r="X388" s="359">
        <f>SUM(X380:X387)</f>
        <v>2481905</v>
      </c>
    </row>
    <row r="389" spans="4:24" ht="12.75" customHeight="1" x14ac:dyDescent="0.25">
      <c r="D389" s="502" t="s">
        <v>4702</v>
      </c>
      <c r="G389" s="359">
        <f>SUM(G378:G388)</f>
        <v>13959</v>
      </c>
      <c r="H389" s="510"/>
      <c r="I389" s="78">
        <f>SUM(I378:I388)</f>
        <v>2916422</v>
      </c>
      <c r="Q389" s="510"/>
    </row>
    <row r="390" spans="4:24" ht="12.75" customHeight="1" x14ac:dyDescent="0.25">
      <c r="D390" s="733" t="s">
        <v>4703</v>
      </c>
      <c r="E390" s="734"/>
      <c r="G390" s="359">
        <v>100</v>
      </c>
      <c r="H390" s="75">
        <f>+I365</f>
        <v>202.07999999999998</v>
      </c>
      <c r="I390" s="78">
        <f>ROUND(G390*H390,0)</f>
        <v>20208</v>
      </c>
    </row>
    <row r="391" spans="4:24" ht="12.75" customHeight="1" x14ac:dyDescent="0.25">
      <c r="D391" s="733" t="s">
        <v>4704</v>
      </c>
      <c r="E391" s="734"/>
      <c r="G391" s="359">
        <v>150</v>
      </c>
      <c r="H391" s="75">
        <f>+I365</f>
        <v>202.07999999999998</v>
      </c>
      <c r="I391" s="78">
        <f>ROUND(G391*H391,0)</f>
        <v>30312</v>
      </c>
    </row>
    <row r="392" spans="4:24" ht="12.75" customHeight="1" x14ac:dyDescent="0.25">
      <c r="D392" s="502" t="s">
        <v>4705</v>
      </c>
      <c r="G392" s="359">
        <v>350</v>
      </c>
      <c r="H392" s="75">
        <f>I372</f>
        <v>43.079809200000007</v>
      </c>
      <c r="I392" s="78">
        <f>ROUND(G392*H392,0)</f>
        <v>15078</v>
      </c>
    </row>
    <row r="393" spans="4:24" ht="12.75" customHeight="1" x14ac:dyDescent="0.25">
      <c r="D393" s="502" t="s">
        <v>4706</v>
      </c>
      <c r="G393" s="359">
        <v>143</v>
      </c>
      <c r="H393" s="75">
        <v>40.44</v>
      </c>
      <c r="I393" s="153">
        <v>6300</v>
      </c>
    </row>
    <row r="394" spans="4:24" ht="12.75" customHeight="1" x14ac:dyDescent="0.25">
      <c r="H394" s="75"/>
      <c r="I394" s="80"/>
    </row>
    <row r="395" spans="4:24" ht="12.75" customHeight="1" thickBot="1" x14ac:dyDescent="0.3">
      <c r="D395" s="1966" t="s">
        <v>4707</v>
      </c>
      <c r="E395" s="1967"/>
      <c r="G395" s="1968">
        <f>SUM(G389:G392)</f>
        <v>14559</v>
      </c>
      <c r="H395" s="1880"/>
      <c r="I395" s="735">
        <f>SUM(I389:I393)</f>
        <v>2988320</v>
      </c>
      <c r="J395" s="1880">
        <v>-2926448.5029999996</v>
      </c>
      <c r="K395" s="1880">
        <f>+J395*(100%+I359)</f>
        <v>-3020475.2934013894</v>
      </c>
      <c r="L395" s="1880">
        <f>+K395*(100%+I359)</f>
        <v>-3117523.1645783759</v>
      </c>
      <c r="M395" s="1880">
        <f>+L395*(100%++I359)</f>
        <v>-3217689.1838562791</v>
      </c>
      <c r="N395" s="1880">
        <f>+M395*(100%++$I$359)</f>
        <v>-3321073.5373335811</v>
      </c>
      <c r="O395" s="1880">
        <f>+N395*(100%++$I$359)</f>
        <v>-3427779.6300881091</v>
      </c>
    </row>
    <row r="396" spans="4:24" ht="12.75" customHeight="1" thickTop="1" x14ac:dyDescent="0.25">
      <c r="I396" s="510"/>
      <c r="J396" s="510"/>
      <c r="K396" s="510"/>
      <c r="L396" s="510"/>
      <c r="M396" s="510"/>
      <c r="N396" s="510"/>
      <c r="O396" s="510"/>
    </row>
    <row r="397" spans="4:24" ht="12.75" customHeight="1" x14ac:dyDescent="0.25">
      <c r="I397" s="114"/>
      <c r="J397" s="701">
        <v>2025</v>
      </c>
      <c r="K397" s="701">
        <v>2026</v>
      </c>
      <c r="L397" s="701">
        <v>2027</v>
      </c>
      <c r="M397" s="701">
        <v>2028</v>
      </c>
      <c r="N397" s="701">
        <v>2029</v>
      </c>
      <c r="O397" s="701">
        <v>2030</v>
      </c>
    </row>
    <row r="398" spans="4:24" ht="12.75" customHeight="1" x14ac:dyDescent="0.25">
      <c r="D398" s="502" t="s">
        <v>4708</v>
      </c>
      <c r="I398" s="510"/>
      <c r="J398" s="510">
        <v>-2666879.2448</v>
      </c>
      <c r="K398" s="510">
        <f>+J398*(100%+I359)</f>
        <v>-2752566.0749354241</v>
      </c>
      <c r="L398" s="510">
        <f>K398*(100%+I359)</f>
        <v>-2841006.0229230993</v>
      </c>
      <c r="M398" s="510">
        <f>L398*(100%+I359)</f>
        <v>-2932287.5464396183</v>
      </c>
      <c r="N398" s="510">
        <f>M398*(100%+$I$359)</f>
        <v>-3026501.9453067235</v>
      </c>
      <c r="O398" s="510">
        <f>N398*(100%+$I$359)</f>
        <v>-3123743.4528094283</v>
      </c>
    </row>
    <row r="399" spans="4:24" ht="12.75" customHeight="1" x14ac:dyDescent="0.25">
      <c r="D399" s="502" t="s">
        <v>4709</v>
      </c>
      <c r="I399" s="510"/>
      <c r="J399" s="570">
        <v>-259569.25819999957</v>
      </c>
      <c r="K399" s="570">
        <f t="shared" ref="K399:M399" si="70">+K395-K398</f>
        <v>-267909.21846596524</v>
      </c>
      <c r="L399" s="570">
        <f t="shared" si="70"/>
        <v>-276517.14165527653</v>
      </c>
      <c r="M399" s="570">
        <f t="shared" si="70"/>
        <v>-285401.63741666079</v>
      </c>
      <c r="N399" s="570">
        <f t="shared" ref="N399:O399" si="71">+N395-N398</f>
        <v>-294571.59202685766</v>
      </c>
      <c r="O399" s="570">
        <f t="shared" si="71"/>
        <v>-304036.17727868073</v>
      </c>
      <c r="Q399" s="359" t="s">
        <v>4710</v>
      </c>
    </row>
    <row r="400" spans="4:24" ht="12.75" customHeight="1" thickBot="1" x14ac:dyDescent="0.3">
      <c r="I400" s="510"/>
      <c r="J400" s="736">
        <v>-2926448.5029999996</v>
      </c>
      <c r="K400" s="736">
        <f>SUM(K398:K399)</f>
        <v>-3020475.2934013894</v>
      </c>
      <c r="L400" s="736">
        <f>SUM(L398:L399)</f>
        <v>-3117523.1645783759</v>
      </c>
      <c r="M400" s="736">
        <f>SUM(M398:M399)</f>
        <v>-3217689.1838562791</v>
      </c>
      <c r="N400" s="736">
        <f>SUM(N398:N399)</f>
        <v>-3321073.5373335811</v>
      </c>
      <c r="O400" s="736">
        <f>SUM(O398:O399)</f>
        <v>-3427779.6300881091</v>
      </c>
    </row>
    <row r="401" spans="4:18" ht="12.75" customHeight="1" thickTop="1" x14ac:dyDescent="0.25">
      <c r="I401" s="510"/>
      <c r="J401" s="510"/>
      <c r="K401" s="510"/>
      <c r="L401" s="510"/>
      <c r="M401" s="510"/>
      <c r="N401" s="510"/>
      <c r="O401" s="510"/>
    </row>
    <row r="402" spans="4:18" ht="12.75" customHeight="1" x14ac:dyDescent="0.25">
      <c r="D402" s="502" t="s">
        <v>4711</v>
      </c>
      <c r="I402" s="510"/>
      <c r="J402" s="737">
        <v>197.52</v>
      </c>
      <c r="K402" s="737">
        <f>ROUND(((J402*I353)+J402),2)</f>
        <v>202.03</v>
      </c>
      <c r="L402" s="737">
        <f>ROUND(((K402*I353)+K402),2)</f>
        <v>206.64</v>
      </c>
      <c r="M402" s="737">
        <f>ROUND(((L402*I353)+L402),2)</f>
        <v>211.36</v>
      </c>
      <c r="N402" s="737">
        <f>ROUND(((M402*$I$353)+M402),2)</f>
        <v>216.18</v>
      </c>
      <c r="O402" s="737">
        <f>ROUND(((N402*$I$353)+N402),2)</f>
        <v>221.11</v>
      </c>
      <c r="R402" s="737"/>
    </row>
    <row r="403" spans="4:18" ht="12.75" customHeight="1" x14ac:dyDescent="0.25">
      <c r="D403" s="502" t="s">
        <v>4680</v>
      </c>
      <c r="I403" s="510"/>
      <c r="J403" s="737">
        <v>177.83</v>
      </c>
      <c r="K403" s="737">
        <f>ROUND(((J403*I353)+J403),2)</f>
        <v>181.89</v>
      </c>
      <c r="L403" s="737">
        <f>ROUND(((K403*I353)+K403),2)</f>
        <v>186.04</v>
      </c>
      <c r="M403" s="737">
        <f>ROUND(((L403*I353)+L403),2)</f>
        <v>190.29</v>
      </c>
      <c r="N403" s="737">
        <f>ROUND(((M403*$I$353)+M403),2)</f>
        <v>194.63</v>
      </c>
      <c r="O403" s="737">
        <f>ROUND(((N403*$I$353)+N403),2)</f>
        <v>199.07</v>
      </c>
    </row>
    <row r="404" spans="4:18" ht="12.75" customHeight="1" x14ac:dyDescent="0.25">
      <c r="D404" s="502" t="s">
        <v>982</v>
      </c>
      <c r="I404" s="510"/>
      <c r="J404" s="737">
        <v>42</v>
      </c>
      <c r="K404" s="737">
        <f>ROUND(((J404*I353)+J404),2)</f>
        <v>42.96</v>
      </c>
      <c r="L404" s="737">
        <f>ROUND(((K404*I353)+K404),2)</f>
        <v>43.94</v>
      </c>
      <c r="M404" s="737">
        <f t="shared" ref="M404:O404" si="72">ROUND(((L404*J353)+L404),2)</f>
        <v>43.94</v>
      </c>
      <c r="N404" s="737">
        <f t="shared" si="72"/>
        <v>43.94</v>
      </c>
      <c r="O404" s="737">
        <f t="shared" si="72"/>
        <v>43.94</v>
      </c>
    </row>
    <row r="405" spans="4:18" ht="12.75" customHeight="1" x14ac:dyDescent="0.25">
      <c r="I405" s="510"/>
    </row>
    <row r="406" spans="4:18" ht="12.75" customHeight="1" x14ac:dyDescent="0.25">
      <c r="D406" s="510" t="s">
        <v>2211</v>
      </c>
      <c r="E406" s="699"/>
      <c r="F406" s="699"/>
      <c r="J406" s="510">
        <v>252000</v>
      </c>
      <c r="K406" s="510">
        <f>+K217</f>
        <v>252000</v>
      </c>
      <c r="L406" s="510">
        <f>+L217</f>
        <v>252000</v>
      </c>
      <c r="M406" s="510">
        <f>+M217</f>
        <v>59737</v>
      </c>
      <c r="N406" s="510">
        <f>+N217</f>
        <v>59737</v>
      </c>
      <c r="O406" s="510">
        <f>+O217</f>
        <v>59737</v>
      </c>
    </row>
    <row r="407" spans="4:18" ht="12.75" customHeight="1" x14ac:dyDescent="0.25">
      <c r="D407" s="510" t="s">
        <v>2210</v>
      </c>
      <c r="E407" s="699"/>
      <c r="F407" s="699"/>
      <c r="J407" s="570">
        <v>131134</v>
      </c>
      <c r="K407" s="570">
        <f>+K408-K406</f>
        <v>139613</v>
      </c>
      <c r="L407" s="570">
        <f>+L408-L406</f>
        <v>144640</v>
      </c>
      <c r="M407" s="570">
        <f>+M408-M406</f>
        <v>149823</v>
      </c>
      <c r="N407" s="570">
        <f>+N408-N406</f>
        <v>155074</v>
      </c>
      <c r="O407" s="570">
        <f>+O408-O406</f>
        <v>160400</v>
      </c>
    </row>
    <row r="408" spans="4:18" ht="12.75" customHeight="1" thickBot="1" x14ac:dyDescent="0.3">
      <c r="D408" s="510" t="s">
        <v>4712</v>
      </c>
      <c r="E408" s="699"/>
      <c r="F408" s="699"/>
      <c r="J408" s="736">
        <v>383134</v>
      </c>
      <c r="K408" s="736">
        <f>K86+K93+K100+K107+K113+K122+K128+K134+K140+K146+K162</f>
        <v>391613</v>
      </c>
      <c r="L408" s="736">
        <f>L86+L93+L100+L107+L113+L122+L128+L134+L140+L146+L162</f>
        <v>396640</v>
      </c>
      <c r="M408" s="736">
        <f>M86+M93+M100+M107+M113+M122+M128+M134+M140+M146+M162</f>
        <v>209560</v>
      </c>
      <c r="N408" s="736">
        <f>N86+N93+N100+N107+N113+N122+N128+N134+N140+N146+N162</f>
        <v>214811</v>
      </c>
      <c r="O408" s="736">
        <f>O86+O93+O100+O107+O113+O122+O128+O134+O140+O146+O162</f>
        <v>220137</v>
      </c>
    </row>
    <row r="409" spans="4:18" ht="12.75" customHeight="1" thickTop="1" x14ac:dyDescent="0.25">
      <c r="D409" s="699"/>
      <c r="E409" s="699"/>
      <c r="F409" s="699"/>
      <c r="I409" s="706"/>
      <c r="J409" s="510"/>
      <c r="K409" s="510"/>
      <c r="L409" s="510"/>
      <c r="M409" s="510"/>
      <c r="N409" s="510"/>
      <c r="O409" s="510"/>
    </row>
    <row r="410" spans="4:18" ht="12.75" customHeight="1" x14ac:dyDescent="0.25">
      <c r="D410" s="720">
        <v>647006</v>
      </c>
      <c r="E410" s="721" t="s">
        <v>4576</v>
      </c>
      <c r="F410" s="722"/>
      <c r="I410" s="706"/>
      <c r="J410" s="510"/>
      <c r="K410" s="510"/>
      <c r="L410" s="510"/>
      <c r="M410" s="510"/>
      <c r="N410" s="510"/>
      <c r="O410" s="510"/>
    </row>
    <row r="411" spans="4:18" ht="12.75" customHeight="1" x14ac:dyDescent="0.25">
      <c r="D411" s="699"/>
      <c r="E411" s="707" t="s">
        <v>533</v>
      </c>
      <c r="F411" s="699"/>
      <c r="I411" s="706"/>
      <c r="J411" s="510"/>
      <c r="K411" s="510"/>
      <c r="L411" s="510"/>
      <c r="M411" s="510"/>
      <c r="N411" s="510"/>
      <c r="O411" s="510"/>
    </row>
    <row r="412" spans="4:18" ht="12.75" customHeight="1" x14ac:dyDescent="0.25">
      <c r="D412" s="699"/>
      <c r="E412" s="359" t="s">
        <v>4713</v>
      </c>
      <c r="F412" s="699"/>
      <c r="I412" s="706"/>
      <c r="J412" s="510"/>
      <c r="K412" s="510"/>
      <c r="L412" s="510"/>
      <c r="M412" s="510"/>
      <c r="N412" s="510"/>
      <c r="O412" s="510"/>
    </row>
    <row r="413" spans="4:18" ht="12.75" customHeight="1" x14ac:dyDescent="0.25">
      <c r="D413" s="699"/>
      <c r="E413" s="359" t="s">
        <v>4714</v>
      </c>
      <c r="F413" s="699"/>
      <c r="I413" s="706"/>
      <c r="J413" s="510"/>
      <c r="K413" s="510"/>
      <c r="L413" s="510"/>
      <c r="M413" s="510"/>
      <c r="N413" s="510"/>
      <c r="O413" s="510"/>
    </row>
    <row r="414" spans="4:18" ht="12.75" customHeight="1" thickBot="1" x14ac:dyDescent="0.3">
      <c r="D414" s="699">
        <v>44410</v>
      </c>
      <c r="E414" s="359" t="s">
        <v>4715</v>
      </c>
      <c r="F414" s="699"/>
      <c r="I414" s="706"/>
      <c r="J414" s="1880">
        <v>-383134</v>
      </c>
      <c r="K414" s="1880">
        <f>-K408</f>
        <v>-391613</v>
      </c>
      <c r="L414" s="1880">
        <f>-L408</f>
        <v>-396640</v>
      </c>
      <c r="M414" s="1880">
        <f>-M408</f>
        <v>-209560</v>
      </c>
      <c r="N414" s="1880">
        <f>-N408</f>
        <v>-214811</v>
      </c>
      <c r="O414" s="1880">
        <f>-O408</f>
        <v>-220137</v>
      </c>
    </row>
    <row r="415" spans="4:18" ht="12.75" customHeight="1" thickTop="1" x14ac:dyDescent="0.25">
      <c r="D415" s="699"/>
      <c r="E415" s="699"/>
      <c r="F415" s="699"/>
      <c r="I415" s="510"/>
      <c r="J415" s="510"/>
      <c r="K415" s="510"/>
      <c r="L415" s="510"/>
      <c r="M415" s="510"/>
      <c r="N415" s="510"/>
      <c r="O415" s="510"/>
    </row>
    <row r="416" spans="4:18" ht="12.75" customHeight="1" x14ac:dyDescent="0.25">
      <c r="D416" s="699"/>
      <c r="E416" s="699"/>
      <c r="F416" s="699"/>
      <c r="I416" s="510"/>
      <c r="J416" s="510"/>
      <c r="K416" s="510"/>
      <c r="L416" s="510"/>
      <c r="M416" s="510"/>
      <c r="N416" s="510"/>
      <c r="O416" s="510"/>
    </row>
    <row r="417" spans="1:23" ht="12.75" customHeight="1" x14ac:dyDescent="0.25">
      <c r="A417" s="499"/>
      <c r="D417" s="738" t="s">
        <v>4716</v>
      </c>
      <c r="E417" s="738"/>
      <c r="F417" s="738"/>
      <c r="J417" s="739">
        <v>2025</v>
      </c>
      <c r="K417" s="739">
        <v>2026</v>
      </c>
      <c r="L417" s="739">
        <v>2027</v>
      </c>
      <c r="M417" s="739">
        <v>2028</v>
      </c>
      <c r="N417" s="739">
        <v>2029</v>
      </c>
      <c r="O417" s="739">
        <v>2030</v>
      </c>
    </row>
    <row r="418" spans="1:23" ht="12.75" customHeight="1" x14ac:dyDescent="0.25">
      <c r="A418" s="499"/>
      <c r="E418" s="502"/>
      <c r="F418" s="502"/>
      <c r="I418" s="510"/>
      <c r="J418" s="503"/>
      <c r="K418" s="503"/>
      <c r="L418" s="503"/>
      <c r="M418" s="503"/>
      <c r="N418" s="503"/>
      <c r="O418" s="503"/>
    </row>
    <row r="419" spans="1:23" ht="12.75" customHeight="1" x14ac:dyDescent="0.25">
      <c r="A419" s="499"/>
      <c r="D419" s="504" t="s">
        <v>935</v>
      </c>
      <c r="E419" s="504"/>
      <c r="F419" s="504"/>
      <c r="I419" s="510"/>
      <c r="J419" s="503"/>
      <c r="K419" s="503"/>
      <c r="L419" s="503"/>
      <c r="M419" s="503"/>
      <c r="N419" s="503"/>
      <c r="O419" s="503"/>
    </row>
    <row r="420" spans="1:23" ht="12.75" customHeight="1" x14ac:dyDescent="0.25">
      <c r="A420" s="499"/>
      <c r="D420" s="502" t="s">
        <v>936</v>
      </c>
      <c r="E420" s="502"/>
      <c r="F420" s="502"/>
      <c r="I420" s="510"/>
      <c r="J420" s="503">
        <v>465114.68</v>
      </c>
      <c r="K420" s="503">
        <f>K168+K169</f>
        <v>467723.04</v>
      </c>
      <c r="L420" s="503">
        <f>L168+L169</f>
        <v>487367</v>
      </c>
      <c r="M420" s="503">
        <f>M168+M169</f>
        <v>505399</v>
      </c>
      <c r="N420" s="503">
        <f>N168+N169</f>
        <v>524099</v>
      </c>
      <c r="O420" s="503">
        <f>O168+O169</f>
        <v>543490</v>
      </c>
    </row>
    <row r="421" spans="1:23" ht="12.75" customHeight="1" x14ac:dyDescent="0.25">
      <c r="A421" s="499"/>
      <c r="D421" s="502" t="s">
        <v>965</v>
      </c>
      <c r="E421" s="502"/>
      <c r="F421" s="502"/>
      <c r="I421" s="510"/>
      <c r="J421" s="503">
        <v>41755</v>
      </c>
      <c r="K421" s="503">
        <f>K170+K171+K172</f>
        <v>42291</v>
      </c>
      <c r="L421" s="503">
        <f>L170+L171+L172</f>
        <v>42678</v>
      </c>
      <c r="M421" s="503">
        <f>M170+M171+M172</f>
        <v>43110</v>
      </c>
      <c r="N421" s="503">
        <f>N170+N171+N172</f>
        <v>43552</v>
      </c>
      <c r="O421" s="503">
        <f>O170+O171+O172</f>
        <v>44004</v>
      </c>
    </row>
    <row r="422" spans="1:23" ht="12.75" customHeight="1" x14ac:dyDescent="0.25">
      <c r="A422" s="499"/>
      <c r="D422" s="359" t="s">
        <v>937</v>
      </c>
      <c r="E422" s="359"/>
      <c r="F422" s="510"/>
      <c r="G422" s="510"/>
      <c r="H422" s="510"/>
      <c r="I422" s="510"/>
      <c r="J422" s="503">
        <v>2041493.2884048705</v>
      </c>
      <c r="K422" s="503">
        <f>K32+K33+K34+K35+K36+K37+K38+K39+K40+K41+K42+K43</f>
        <v>2154830.1348767141</v>
      </c>
      <c r="L422" s="503">
        <f>L32+L33+L34+L35+L36+L37+L38+L39+L40+L41+L42+L43</f>
        <v>2219524.3958198531</v>
      </c>
      <c r="M422" s="503">
        <f>M32+M33+M34+M35+M36+M37+M38+M39+M40+M41+M42+M43</f>
        <v>2302296.1766723488</v>
      </c>
      <c r="N422" s="503">
        <f>N32+N33+N34+N35+N36+N37+N38+N39+N40+N41+N42+N43</f>
        <v>2374091.0782197132</v>
      </c>
      <c r="O422" s="503">
        <f>O32+O33+O34+O35+O36+O37+O38+O39+O40+O41+O42+O43</f>
        <v>2446279.0647143992</v>
      </c>
    </row>
    <row r="423" spans="1:23" ht="12.75" customHeight="1" thickBot="1" x14ac:dyDescent="0.3">
      <c r="A423" s="499"/>
      <c r="D423" s="502" t="s">
        <v>938</v>
      </c>
      <c r="E423" s="502"/>
      <c r="F423" s="502"/>
      <c r="I423" s="510"/>
      <c r="J423" s="1745">
        <v>2548362.9684048705</v>
      </c>
      <c r="K423" s="1745">
        <f>SUM(K420:K422)</f>
        <v>2664844.1748767141</v>
      </c>
      <c r="L423" s="1745">
        <f>SUM(L420:L422)</f>
        <v>2749569.3958198531</v>
      </c>
      <c r="M423" s="1745">
        <f>SUM(M420:M422)</f>
        <v>2850805.1766723488</v>
      </c>
      <c r="N423" s="1745">
        <f>SUM(N420:N422)</f>
        <v>2941742.0782197132</v>
      </c>
      <c r="O423" s="1745">
        <f>SUM(O420:O422)</f>
        <v>3033773.0647143992</v>
      </c>
    </row>
    <row r="424" spans="1:23" ht="12.75" customHeight="1" thickTop="1" x14ac:dyDescent="0.25">
      <c r="A424" s="499"/>
      <c r="E424" s="502"/>
      <c r="F424" s="502"/>
      <c r="I424" s="510"/>
      <c r="J424" s="503"/>
      <c r="K424" s="503"/>
      <c r="L424" s="503"/>
      <c r="M424" s="503"/>
      <c r="N424" s="503"/>
      <c r="O424" s="503"/>
    </row>
    <row r="425" spans="1:23" ht="12.75" customHeight="1" x14ac:dyDescent="0.25">
      <c r="A425" s="499"/>
      <c r="E425" s="502"/>
      <c r="F425" s="502"/>
      <c r="G425" s="502"/>
      <c r="H425" s="502"/>
      <c r="I425" s="510"/>
      <c r="J425" s="503"/>
      <c r="K425" s="503"/>
      <c r="L425" s="503"/>
      <c r="M425" s="503"/>
      <c r="N425" s="503"/>
      <c r="O425" s="503"/>
      <c r="S425" s="115"/>
      <c r="T425" s="115"/>
      <c r="V425" s="740"/>
    </row>
    <row r="426" spans="1:23" ht="12.75" customHeight="1" x14ac:dyDescent="0.25">
      <c r="A426" s="499"/>
      <c r="D426" s="504" t="s">
        <v>939</v>
      </c>
      <c r="E426" s="568"/>
      <c r="F426" s="568"/>
      <c r="G426" s="502"/>
      <c r="H426" s="502"/>
      <c r="I426" s="510"/>
      <c r="J426" s="503"/>
      <c r="K426" s="503"/>
      <c r="L426" s="503"/>
      <c r="M426" s="503"/>
      <c r="N426" s="503"/>
      <c r="O426" s="503"/>
      <c r="Q426" s="571"/>
      <c r="R426" s="571"/>
      <c r="S426" s="571"/>
      <c r="T426" s="571"/>
      <c r="U426" s="571"/>
    </row>
    <row r="427" spans="1:23" ht="12.75" customHeight="1" x14ac:dyDescent="0.25">
      <c r="A427" s="499"/>
      <c r="D427" s="741"/>
      <c r="E427" s="502"/>
      <c r="F427" s="502"/>
      <c r="I427" s="510"/>
      <c r="J427" s="742"/>
      <c r="K427" s="742"/>
      <c r="L427" s="742"/>
      <c r="M427" s="742"/>
      <c r="N427" s="742"/>
      <c r="O427" s="742"/>
      <c r="Q427" s="743"/>
      <c r="R427" s="743"/>
      <c r="S427" s="668">
        <v>2026</v>
      </c>
      <c r="T427" s="668">
        <v>2027</v>
      </c>
      <c r="U427" s="668">
        <v>2028</v>
      </c>
      <c r="V427" s="668">
        <v>2029</v>
      </c>
      <c r="W427" s="2091">
        <v>2030</v>
      </c>
    </row>
    <row r="428" spans="1:23" ht="12.75" customHeight="1" x14ac:dyDescent="0.3">
      <c r="A428" s="499"/>
      <c r="D428" s="507" t="s">
        <v>945</v>
      </c>
      <c r="E428" s="115"/>
      <c r="F428" s="115"/>
      <c r="G428" s="115"/>
      <c r="H428" s="115"/>
      <c r="I428" s="508"/>
      <c r="J428" s="508"/>
      <c r="K428" s="508"/>
      <c r="L428" s="151"/>
      <c r="M428" s="151"/>
      <c r="N428" s="151"/>
      <c r="O428" s="151"/>
      <c r="P428" s="115"/>
      <c r="Q428" s="115"/>
      <c r="R428" s="115"/>
      <c r="S428" s="115"/>
      <c r="T428" s="115"/>
      <c r="U428" s="115"/>
      <c r="V428" s="744"/>
      <c r="W428" s="2092"/>
    </row>
    <row r="429" spans="1:23" ht="12.75" customHeight="1" x14ac:dyDescent="0.3">
      <c r="A429" s="499"/>
      <c r="D429" s="507"/>
      <c r="E429" s="115"/>
      <c r="F429" s="115"/>
      <c r="G429" s="115"/>
      <c r="H429" s="115"/>
      <c r="I429" s="508"/>
      <c r="J429" s="508"/>
      <c r="K429" s="508"/>
      <c r="L429" s="151"/>
      <c r="M429" s="151"/>
      <c r="N429" s="151"/>
      <c r="O429" s="151"/>
      <c r="P429" s="115"/>
      <c r="Q429" s="115"/>
      <c r="R429" s="115"/>
      <c r="S429" s="115"/>
      <c r="T429" s="115"/>
      <c r="U429" s="115"/>
      <c r="V429" s="572"/>
      <c r="W429" s="2093"/>
    </row>
    <row r="430" spans="1:23" ht="12.75" customHeight="1" x14ac:dyDescent="0.3">
      <c r="A430" s="499"/>
      <c r="D430" s="115" t="s">
        <v>946</v>
      </c>
      <c r="E430" s="115"/>
      <c r="F430" s="115"/>
      <c r="G430" s="115"/>
      <c r="H430" s="115"/>
      <c r="J430" s="151">
        <v>46524.784036543104</v>
      </c>
      <c r="K430" s="151">
        <f>K$420*S430</f>
        <v>42160.561902255118</v>
      </c>
      <c r="L430" s="151">
        <f>L$420*T430</f>
        <v>45869.057548768607</v>
      </c>
      <c r="M430" s="151">
        <f>M$420*U430</f>
        <v>50182.081585310632</v>
      </c>
      <c r="N430" s="151">
        <f>N$420*V430</f>
        <v>54709.685337861134</v>
      </c>
      <c r="O430" s="547">
        <f>O$420*W430</f>
        <v>56733.874486068751</v>
      </c>
      <c r="P430" s="115"/>
      <c r="R430" s="508">
        <v>0.10002862957699615</v>
      </c>
      <c r="S430" s="509">
        <v>9.0140015130011811E-2</v>
      </c>
      <c r="T430" s="509">
        <v>9.4116051248378754E-2</v>
      </c>
      <c r="U430" s="509">
        <v>9.9292008067508306E-2</v>
      </c>
      <c r="V430" s="509">
        <v>0.10438807427196223</v>
      </c>
      <c r="W430" s="2083">
        <v>0.10438807427196223</v>
      </c>
    </row>
    <row r="431" spans="1:23" ht="12.75" customHeight="1" x14ac:dyDescent="0.3">
      <c r="A431" s="499"/>
      <c r="D431" s="115" t="s">
        <v>947</v>
      </c>
      <c r="E431" s="115"/>
      <c r="F431" s="115"/>
      <c r="G431" s="115"/>
      <c r="H431" s="115"/>
      <c r="J431" s="151">
        <v>1084.0269331016214</v>
      </c>
      <c r="K431" s="151">
        <f t="shared" ref="K431:K437" si="73">K$420*S431</f>
        <v>1023.3647404798018</v>
      </c>
      <c r="L431" s="151">
        <f t="shared" ref="L431:L437" si="74">L$420*T431</f>
        <v>1062.8840792146793</v>
      </c>
      <c r="M431" s="151">
        <f t="shared" ref="M431:M437" si="75">M$420*U431</f>
        <v>1098.6494736933441</v>
      </c>
      <c r="N431" s="151">
        <f t="shared" ref="N431:O437" si="76">N$420*V431</f>
        <v>1135.6054697831305</v>
      </c>
      <c r="O431" s="547">
        <f t="shared" si="76"/>
        <v>1177.6214355921948</v>
      </c>
      <c r="P431" s="115"/>
      <c r="R431" s="508">
        <v>2.3306659189979155E-3</v>
      </c>
      <c r="S431" s="509">
        <v>2.1879716262850806E-3</v>
      </c>
      <c r="T431" s="509">
        <v>2.1808700203638722E-3</v>
      </c>
      <c r="U431" s="509">
        <v>2.1738259745138874E-3</v>
      </c>
      <c r="V431" s="509">
        <v>2.1667766391142334E-3</v>
      </c>
      <c r="W431" s="2083">
        <v>2.1667766391142334E-3</v>
      </c>
    </row>
    <row r="432" spans="1:23" ht="12.75" customHeight="1" x14ac:dyDescent="0.3">
      <c r="A432" s="499"/>
      <c r="D432" s="115" t="s">
        <v>948</v>
      </c>
      <c r="E432" s="115"/>
      <c r="F432" s="115"/>
      <c r="G432" s="115"/>
      <c r="H432" s="115"/>
      <c r="J432" s="151">
        <v>89002.877130940731</v>
      </c>
      <c r="K432" s="151">
        <f t="shared" si="73"/>
        <v>81798.522881932135</v>
      </c>
      <c r="L432" s="151">
        <f t="shared" si="74"/>
        <v>84990.239008468183</v>
      </c>
      <c r="M432" s="151">
        <f t="shared" si="75"/>
        <v>87882.719303549893</v>
      </c>
      <c r="N432" s="151">
        <f t="shared" si="76"/>
        <v>90873.78043244181</v>
      </c>
      <c r="O432" s="547">
        <f t="shared" si="76"/>
        <v>94235.995350549798</v>
      </c>
      <c r="P432" s="115"/>
      <c r="R432" s="508">
        <v>0.19135684371635128</v>
      </c>
      <c r="S432" s="509">
        <v>0.17488666558297436</v>
      </c>
      <c r="T432" s="509">
        <v>0.17438652803424973</v>
      </c>
      <c r="U432" s="509">
        <v>0.17388779816254066</v>
      </c>
      <c r="V432" s="509">
        <v>0.17339048621050948</v>
      </c>
      <c r="W432" s="2083">
        <v>0.17339048621050948</v>
      </c>
    </row>
    <row r="433" spans="1:23" ht="12.75" customHeight="1" x14ac:dyDescent="0.3">
      <c r="A433" s="499"/>
      <c r="D433" s="115" t="s">
        <v>949</v>
      </c>
      <c r="E433" s="115"/>
      <c r="F433" s="115"/>
      <c r="G433" s="115"/>
      <c r="H433" s="115"/>
      <c r="J433" s="151">
        <v>118049.16363399605</v>
      </c>
      <c r="K433" s="151">
        <f t="shared" si="73"/>
        <v>106171.25918784</v>
      </c>
      <c r="L433" s="151">
        <f t="shared" si="74"/>
        <v>108263.21801299999</v>
      </c>
      <c r="M433" s="151">
        <f t="shared" si="75"/>
        <v>111507.19216799999</v>
      </c>
      <c r="N433" s="151">
        <f t="shared" si="76"/>
        <v>114845.28977100001</v>
      </c>
      <c r="O433" s="547">
        <f t="shared" si="76"/>
        <v>119094.42021000001</v>
      </c>
      <c r="P433" s="115"/>
      <c r="R433" s="508">
        <v>0.2538065744000943</v>
      </c>
      <c r="S433" s="509">
        <v>0.226996</v>
      </c>
      <c r="T433" s="509">
        <v>0.22213899999999998</v>
      </c>
      <c r="U433" s="509">
        <v>0.22063199999999999</v>
      </c>
      <c r="V433" s="509">
        <v>0.21912900000000002</v>
      </c>
      <c r="W433" s="2083">
        <v>0.21912900000000002</v>
      </c>
    </row>
    <row r="434" spans="1:23" ht="12.75" customHeight="1" x14ac:dyDescent="0.3">
      <c r="A434" s="499"/>
      <c r="D434" s="308" t="s">
        <v>950</v>
      </c>
      <c r="E434" s="115"/>
      <c r="F434" s="115"/>
      <c r="G434" s="115"/>
      <c r="H434" s="115"/>
      <c r="J434" s="151">
        <v>16342.745224077991</v>
      </c>
      <c r="K434" s="151">
        <f t="shared" si="73"/>
        <v>14450.310702411334</v>
      </c>
      <c r="L434" s="151">
        <f t="shared" si="74"/>
        <v>14994.536727485043</v>
      </c>
      <c r="M434" s="151">
        <f t="shared" si="75"/>
        <v>15484.971086186568</v>
      </c>
      <c r="N434" s="151">
        <f t="shared" si="76"/>
        <v>15991.951187253047</v>
      </c>
      <c r="O434" s="547">
        <f t="shared" si="76"/>
        <v>16583.633150912628</v>
      </c>
      <c r="P434" s="115"/>
      <c r="R434" s="508">
        <v>3.513702303285287E-2</v>
      </c>
      <c r="S434" s="509">
        <v>3.0895015782013507E-2</v>
      </c>
      <c r="T434" s="509">
        <v>3.0766417766252215E-2</v>
      </c>
      <c r="U434" s="509">
        <v>3.0639101158068314E-2</v>
      </c>
      <c r="V434" s="509">
        <v>3.051322591199954E-2</v>
      </c>
      <c r="W434" s="2083">
        <v>3.051322591199954E-2</v>
      </c>
    </row>
    <row r="435" spans="1:23" ht="12.75" customHeight="1" x14ac:dyDescent="0.3">
      <c r="A435" s="499"/>
      <c r="D435" s="308" t="s">
        <v>951</v>
      </c>
      <c r="E435" s="115"/>
      <c r="F435" s="115"/>
      <c r="G435" s="115"/>
      <c r="H435" s="115"/>
      <c r="J435" s="151">
        <v>0</v>
      </c>
      <c r="K435" s="151">
        <f t="shared" si="73"/>
        <v>0</v>
      </c>
      <c r="L435" s="151">
        <f t="shared" si="74"/>
        <v>0</v>
      </c>
      <c r="M435" s="151">
        <f t="shared" si="75"/>
        <v>0</v>
      </c>
      <c r="N435" s="151">
        <f t="shared" si="76"/>
        <v>0</v>
      </c>
      <c r="O435" s="547">
        <f t="shared" si="76"/>
        <v>0</v>
      </c>
      <c r="P435" s="115"/>
      <c r="R435" s="508">
        <v>0</v>
      </c>
      <c r="S435" s="509">
        <v>0</v>
      </c>
      <c r="T435" s="509">
        <v>0</v>
      </c>
      <c r="U435" s="509">
        <v>0</v>
      </c>
      <c r="V435" s="509">
        <v>0</v>
      </c>
      <c r="W435" s="2083">
        <v>0</v>
      </c>
    </row>
    <row r="436" spans="1:23" ht="12.75" customHeight="1" x14ac:dyDescent="0.3">
      <c r="A436" s="499"/>
      <c r="D436" s="308" t="s">
        <v>952</v>
      </c>
      <c r="E436" s="115"/>
      <c r="F436" s="115"/>
      <c r="G436" s="115"/>
      <c r="H436" s="115"/>
      <c r="J436" s="151">
        <v>52192.224660362495</v>
      </c>
      <c r="K436" s="151">
        <f t="shared" si="73"/>
        <v>58936.333920321871</v>
      </c>
      <c r="L436" s="151">
        <f t="shared" si="74"/>
        <v>54409.912381229224</v>
      </c>
      <c r="M436" s="151">
        <f t="shared" si="75"/>
        <v>56423.029305354976</v>
      </c>
      <c r="N436" s="151">
        <f t="shared" si="76"/>
        <v>58510.763929048102</v>
      </c>
      <c r="O436" s="547">
        <f t="shared" si="76"/>
        <v>60675.588176658137</v>
      </c>
      <c r="P436" s="115"/>
      <c r="R436" s="508">
        <v>0.11221366881037274</v>
      </c>
      <c r="S436" s="509">
        <v>0.12600690767835998</v>
      </c>
      <c r="T436" s="509">
        <v>0.11164053450732041</v>
      </c>
      <c r="U436" s="509">
        <v>0.11164056380276767</v>
      </c>
      <c r="V436" s="509">
        <v>0.11164067080656155</v>
      </c>
      <c r="W436" s="2083">
        <v>0.11164067080656155</v>
      </c>
    </row>
    <row r="437" spans="1:23" ht="12.75" customHeight="1" x14ac:dyDescent="0.3">
      <c r="A437" s="499"/>
      <c r="D437" s="308" t="s">
        <v>953</v>
      </c>
      <c r="E437" s="115"/>
      <c r="F437" s="115"/>
      <c r="G437" s="115"/>
      <c r="H437" s="115"/>
      <c r="J437" s="151">
        <v>0</v>
      </c>
      <c r="K437" s="151">
        <f t="shared" si="73"/>
        <v>0</v>
      </c>
      <c r="L437" s="151">
        <f t="shared" si="74"/>
        <v>0</v>
      </c>
      <c r="M437" s="151">
        <f t="shared" si="75"/>
        <v>0</v>
      </c>
      <c r="N437" s="151">
        <f t="shared" si="76"/>
        <v>0</v>
      </c>
      <c r="O437" s="547">
        <f t="shared" si="76"/>
        <v>0</v>
      </c>
      <c r="P437" s="115"/>
      <c r="R437" s="508">
        <v>0</v>
      </c>
      <c r="S437" s="509">
        <v>0</v>
      </c>
      <c r="T437" s="509">
        <v>0</v>
      </c>
      <c r="U437" s="509">
        <v>0</v>
      </c>
      <c r="V437" s="509">
        <v>0</v>
      </c>
      <c r="W437" s="2083">
        <v>0</v>
      </c>
    </row>
    <row r="438" spans="1:23" ht="12.75" customHeight="1" x14ac:dyDescent="0.25">
      <c r="D438" s="115"/>
      <c r="E438" s="115"/>
      <c r="F438" s="115"/>
      <c r="G438" s="115"/>
      <c r="H438" s="115"/>
      <c r="L438" s="151"/>
      <c r="M438" s="151"/>
      <c r="N438" s="151"/>
      <c r="O438" s="151"/>
      <c r="P438" s="115"/>
      <c r="R438" s="508"/>
      <c r="S438" s="508"/>
      <c r="T438" s="508"/>
      <c r="U438" s="508"/>
      <c r="V438" s="508"/>
    </row>
    <row r="439" spans="1:23" ht="12.75" customHeight="1" x14ac:dyDescent="0.3">
      <c r="D439" s="507" t="s">
        <v>954</v>
      </c>
      <c r="E439" s="115"/>
      <c r="F439" s="115"/>
      <c r="G439" s="115"/>
      <c r="H439" s="115"/>
      <c r="L439" s="151"/>
      <c r="M439" s="151"/>
      <c r="N439" s="151"/>
      <c r="O439" s="151"/>
      <c r="P439" s="115"/>
      <c r="R439" s="508"/>
      <c r="S439" s="508"/>
      <c r="T439" s="508"/>
      <c r="U439" s="508"/>
      <c r="V439" s="508"/>
    </row>
    <row r="440" spans="1:23" ht="12.75" customHeight="1" x14ac:dyDescent="0.25">
      <c r="D440" s="115"/>
      <c r="E440" s="115"/>
      <c r="F440" s="115"/>
      <c r="G440" s="115"/>
      <c r="H440" s="115"/>
      <c r="L440" s="151"/>
      <c r="M440" s="151"/>
      <c r="N440" s="151"/>
      <c r="O440" s="151"/>
      <c r="P440" s="115"/>
      <c r="R440" s="508"/>
      <c r="S440" s="508"/>
      <c r="T440" s="508"/>
      <c r="U440" s="508"/>
      <c r="V440" s="508"/>
    </row>
    <row r="441" spans="1:23" ht="12.75" customHeight="1" x14ac:dyDescent="0.3">
      <c r="D441" s="115" t="s">
        <v>955</v>
      </c>
      <c r="E441" s="115"/>
      <c r="F441" s="115"/>
      <c r="G441" s="115"/>
      <c r="H441" s="115"/>
      <c r="J441" s="151">
        <v>19002.939619284432</v>
      </c>
      <c r="K441" s="151">
        <f t="shared" ref="K441:K442" si="77">K$420*S441</f>
        <v>15090.362537915289</v>
      </c>
      <c r="L441" s="151">
        <f t="shared" ref="L441:L442" si="78">L$420*T441</f>
        <v>23188.637208357028</v>
      </c>
      <c r="M441" s="151">
        <f t="shared" ref="M441:M442" si="79">M$420*U441</f>
        <v>23050.170584834912</v>
      </c>
      <c r="N441" s="151">
        <f t="shared" ref="N441:O442" si="80">N$420*V441</f>
        <v>23159.205121480587</v>
      </c>
      <c r="O441" s="547">
        <f t="shared" si="80"/>
        <v>24016.066413928442</v>
      </c>
      <c r="P441" s="115"/>
      <c r="R441" s="508">
        <v>4.085646064597323E-2</v>
      </c>
      <c r="S441" s="509">
        <v>3.2263457746095403E-2</v>
      </c>
      <c r="T441" s="509">
        <v>4.7579415939850316E-2</v>
      </c>
      <c r="U441" s="509">
        <v>4.5607867417297838E-2</v>
      </c>
      <c r="V441" s="509">
        <v>4.4188607727701418E-2</v>
      </c>
      <c r="W441" s="2083">
        <v>4.4188607727701418E-2</v>
      </c>
    </row>
    <row r="442" spans="1:23" ht="12.75" customHeight="1" x14ac:dyDescent="0.3">
      <c r="D442" s="115" t="s">
        <v>956</v>
      </c>
      <c r="E442" s="115"/>
      <c r="F442" s="115"/>
      <c r="G442" s="115"/>
      <c r="H442" s="115"/>
      <c r="J442" s="151">
        <v>77516.773356822596</v>
      </c>
      <c r="K442" s="151">
        <f t="shared" si="77"/>
        <v>78665.402651519995</v>
      </c>
      <c r="L442" s="151">
        <f t="shared" si="78"/>
        <v>78844.283792000017</v>
      </c>
      <c r="M442" s="151">
        <f t="shared" si="79"/>
        <v>65966.193677000003</v>
      </c>
      <c r="N442" s="151">
        <f t="shared" si="80"/>
        <v>65845.177865000005</v>
      </c>
      <c r="O442" s="547">
        <f t="shared" si="80"/>
        <v>68281.366150000002</v>
      </c>
      <c r="P442" s="115"/>
      <c r="R442" s="508">
        <v>0.16666163569987213</v>
      </c>
      <c r="S442" s="509">
        <v>0.168188</v>
      </c>
      <c r="T442" s="509">
        <v>0.16177600000000003</v>
      </c>
      <c r="U442" s="509">
        <v>0.130523</v>
      </c>
      <c r="V442" s="509">
        <v>0.125635</v>
      </c>
      <c r="W442" s="2083">
        <v>0.125635</v>
      </c>
    </row>
    <row r="443" spans="1:23" ht="12.75" customHeight="1" x14ac:dyDescent="0.25">
      <c r="D443" s="411"/>
      <c r="E443" s="301"/>
      <c r="F443" s="301"/>
      <c r="I443" s="510"/>
      <c r="J443" s="151"/>
      <c r="K443" s="151"/>
      <c r="L443" s="151"/>
      <c r="M443" s="151"/>
      <c r="N443" s="151"/>
      <c r="O443" s="151"/>
      <c r="P443" s="115"/>
      <c r="R443" s="115"/>
      <c r="S443" s="115"/>
      <c r="T443" s="115"/>
      <c r="U443" s="115"/>
      <c r="W443" s="358"/>
    </row>
    <row r="444" spans="1:23" ht="12.75" customHeight="1" thickBot="1" x14ac:dyDescent="0.3">
      <c r="D444" s="301" t="s">
        <v>957</v>
      </c>
      <c r="E444" s="301"/>
      <c r="F444" s="301"/>
      <c r="I444" s="510"/>
      <c r="J444" s="1745">
        <v>419715.53459512908</v>
      </c>
      <c r="K444" s="1745">
        <f t="shared" ref="K444:M444" si="81">SUM(K430:K443)</f>
        <v>398296.11852467555</v>
      </c>
      <c r="L444" s="1745">
        <f t="shared" si="81"/>
        <v>411622.76875852275</v>
      </c>
      <c r="M444" s="1745">
        <f t="shared" si="81"/>
        <v>411595.00718393037</v>
      </c>
      <c r="N444" s="1745">
        <f t="shared" ref="N444:O444" si="82">SUM(N430:N443)</f>
        <v>425071.45911386784</v>
      </c>
      <c r="O444" s="1745">
        <f t="shared" si="82"/>
        <v>440798.56537371001</v>
      </c>
      <c r="P444" s="115"/>
      <c r="Q444" s="115"/>
      <c r="R444" s="115"/>
      <c r="S444" s="115"/>
      <c r="T444" s="115"/>
      <c r="U444" s="115"/>
      <c r="W444" s="358"/>
    </row>
    <row r="445" spans="1:23" ht="12.75" customHeight="1" thickTop="1" x14ac:dyDescent="0.25">
      <c r="D445" s="301"/>
      <c r="E445" s="301"/>
      <c r="F445" s="301"/>
      <c r="I445" s="510"/>
      <c r="J445" s="503"/>
      <c r="K445" s="503"/>
      <c r="L445" s="503"/>
      <c r="M445" s="503"/>
      <c r="N445" s="503"/>
      <c r="O445" s="503"/>
      <c r="P445" s="115"/>
      <c r="Q445" s="115"/>
      <c r="R445" s="115"/>
      <c r="S445" s="115"/>
      <c r="T445" s="115"/>
      <c r="U445" s="115"/>
      <c r="W445" s="358"/>
    </row>
    <row r="446" spans="1:23" ht="12.75" customHeight="1" x14ac:dyDescent="0.25">
      <c r="D446" s="301" t="s">
        <v>959</v>
      </c>
      <c r="E446" s="301"/>
      <c r="F446" s="301"/>
      <c r="I446" s="510"/>
      <c r="J446" s="503">
        <v>2548362.9684048705</v>
      </c>
      <c r="K446" s="503">
        <f>K423</f>
        <v>2664844.1748767141</v>
      </c>
      <c r="L446" s="503">
        <f>L423</f>
        <v>2749569.3958198531</v>
      </c>
      <c r="M446" s="503">
        <f>M423</f>
        <v>2850805.1766723488</v>
      </c>
      <c r="N446" s="503">
        <f>N423</f>
        <v>2941742.0782197132</v>
      </c>
      <c r="O446" s="503">
        <f>O423</f>
        <v>3033773.0647143992</v>
      </c>
      <c r="P446" s="115"/>
      <c r="Q446" s="115"/>
      <c r="R446" s="508"/>
      <c r="S446" s="508"/>
      <c r="T446" s="508"/>
      <c r="U446" s="508"/>
      <c r="V446" s="745"/>
      <c r="W446" s="2090"/>
    </row>
    <row r="447" spans="1:23" ht="12.75" customHeight="1" x14ac:dyDescent="0.25">
      <c r="D447" s="301" t="s">
        <v>960</v>
      </c>
      <c r="E447" s="301"/>
      <c r="F447" s="301"/>
      <c r="I447" s="510"/>
      <c r="J447" s="503">
        <v>419715.53459512908</v>
      </c>
      <c r="K447" s="503">
        <f>K444</f>
        <v>398296.11852467555</v>
      </c>
      <c r="L447" s="503">
        <f>L444</f>
        <v>411622.76875852275</v>
      </c>
      <c r="M447" s="503">
        <f>M444</f>
        <v>411595.00718393037</v>
      </c>
      <c r="N447" s="503">
        <f>N444</f>
        <v>425071.45911386784</v>
      </c>
      <c r="O447" s="503">
        <f>O444</f>
        <v>440798.56537371001</v>
      </c>
      <c r="P447" s="381" t="s">
        <v>958</v>
      </c>
      <c r="Q447" s="115"/>
      <c r="R447" s="514">
        <f>SUM(R429:R443)</f>
        <v>0.90239150180151062</v>
      </c>
      <c r="S447" s="514">
        <f t="shared" ref="S447:V447" si="83">SUM(S429:S443)</f>
        <v>0.85156403354574006</v>
      </c>
      <c r="T447" s="514">
        <f t="shared" si="83"/>
        <v>0.84458481751641523</v>
      </c>
      <c r="U447" s="514">
        <f t="shared" si="83"/>
        <v>0.8143961645826967</v>
      </c>
      <c r="V447" s="514">
        <f t="shared" si="83"/>
        <v>0.81105184156784849</v>
      </c>
      <c r="W447" s="2087">
        <f t="shared" ref="W447" si="84">SUM(W429:W443)</f>
        <v>0.81105184156784849</v>
      </c>
    </row>
    <row r="448" spans="1:23" ht="12.75" customHeight="1" x14ac:dyDescent="0.25">
      <c r="D448" s="301" t="s">
        <v>961</v>
      </c>
      <c r="E448" s="301"/>
      <c r="F448" s="301"/>
      <c r="I448" s="510"/>
      <c r="J448" s="511">
        <v>-2968078.5029999996</v>
      </c>
      <c r="K448" s="511">
        <f>K68</f>
        <v>-3063140.2934013894</v>
      </c>
      <c r="L448" s="511">
        <f>L68</f>
        <v>-3161192.1645783759</v>
      </c>
      <c r="M448" s="511">
        <f>M68</f>
        <v>-3262400.1838562791</v>
      </c>
      <c r="N448" s="511">
        <f>N68</f>
        <v>-3366813.5373335811</v>
      </c>
      <c r="O448" s="511">
        <f>O68</f>
        <v>-3474571.6300881091</v>
      </c>
      <c r="P448" s="115"/>
      <c r="Q448" s="115"/>
      <c r="R448" s="508"/>
      <c r="S448" s="508"/>
      <c r="T448" s="508"/>
      <c r="U448" s="508"/>
      <c r="V448" s="745"/>
    </row>
    <row r="449" spans="4:22" ht="12.75" customHeight="1" x14ac:dyDescent="0.25">
      <c r="D449" s="301"/>
      <c r="E449" s="301"/>
      <c r="F449" s="301"/>
      <c r="I449" s="510"/>
      <c r="J449" s="503"/>
      <c r="K449" s="503"/>
      <c r="L449" s="503"/>
      <c r="M449" s="503"/>
      <c r="N449" s="503"/>
      <c r="O449" s="503"/>
      <c r="P449" s="115"/>
      <c r="Q449" s="115"/>
      <c r="R449" s="508"/>
      <c r="S449" s="508"/>
      <c r="T449" s="508"/>
      <c r="U449" s="508"/>
      <c r="V449" s="745"/>
    </row>
    <row r="450" spans="4:22" ht="12.75" customHeight="1" x14ac:dyDescent="0.25">
      <c r="D450" s="301"/>
      <c r="E450" s="301"/>
      <c r="F450" s="301"/>
      <c r="I450" s="510"/>
      <c r="J450" s="503"/>
      <c r="K450" s="503"/>
      <c r="L450" s="503"/>
      <c r="M450" s="503"/>
      <c r="N450" s="503"/>
      <c r="O450" s="503"/>
      <c r="P450" s="115"/>
      <c r="Q450" s="115"/>
      <c r="R450" s="508"/>
      <c r="S450" s="508"/>
      <c r="T450" s="508"/>
      <c r="U450" s="508"/>
      <c r="V450" s="745"/>
    </row>
    <row r="451" spans="4:22" ht="12.75" customHeight="1" x14ac:dyDescent="0.25">
      <c r="D451" s="301" t="s">
        <v>962</v>
      </c>
      <c r="E451" s="301"/>
      <c r="F451" s="301"/>
      <c r="I451" s="510"/>
      <c r="J451" s="510">
        <v>0</v>
      </c>
      <c r="K451" s="510">
        <f>SUM(K446:K450)</f>
        <v>0</v>
      </c>
      <c r="L451" s="510">
        <f>SUM(L446:L450)</f>
        <v>0</v>
      </c>
      <c r="M451" s="510">
        <f>SUM(M446:M450)</f>
        <v>0</v>
      </c>
      <c r="N451" s="510">
        <f>SUM(N446:N450)</f>
        <v>0</v>
      </c>
      <c r="O451" s="510">
        <f>SUM(O446:O450)</f>
        <v>0</v>
      </c>
      <c r="P451" s="115"/>
      <c r="Q451" s="115"/>
      <c r="R451" s="115"/>
      <c r="S451" s="115"/>
      <c r="T451" s="115"/>
      <c r="U451" s="115"/>
    </row>
    <row r="452" spans="4:22" ht="12.75" customHeight="1" x14ac:dyDescent="0.25">
      <c r="D452" s="301" t="s">
        <v>963</v>
      </c>
      <c r="E452" s="301"/>
      <c r="F452" s="301"/>
      <c r="I452" s="512"/>
      <c r="J452" s="512">
        <v>1</v>
      </c>
      <c r="K452" s="512">
        <f t="shared" ref="K452:M452" si="85">IF((-K448/(K446+K447))&gt;0,-K448/(K446+K447),K448/(K446+K447))</f>
        <v>0.99999999999999989</v>
      </c>
      <c r="L452" s="512">
        <f t="shared" si="85"/>
        <v>1</v>
      </c>
      <c r="M452" s="512">
        <f t="shared" si="85"/>
        <v>1</v>
      </c>
      <c r="N452" s="512">
        <f t="shared" ref="N452:O452" si="86">IF((-N448/(N446+N447))&gt;0,-N448/(N446+N447),N448/(N446+N447))</f>
        <v>1</v>
      </c>
      <c r="O452" s="512">
        <f t="shared" si="86"/>
        <v>1</v>
      </c>
      <c r="P452" s="115"/>
      <c r="Q452" s="115"/>
      <c r="R452" s="115"/>
      <c r="S452" s="115"/>
      <c r="T452" s="115"/>
      <c r="U452" s="115"/>
    </row>
    <row r="453" spans="4:22" ht="12.75" customHeight="1" x14ac:dyDescent="0.25">
      <c r="E453" s="502"/>
      <c r="F453" s="502"/>
      <c r="I453" s="510"/>
      <c r="J453" s="503"/>
      <c r="K453" s="503"/>
      <c r="L453" s="503"/>
      <c r="M453" s="503"/>
      <c r="N453" s="503"/>
      <c r="O453" s="503"/>
      <c r="Q453" s="650"/>
      <c r="R453" s="650"/>
    </row>
    <row r="454" spans="4:22" ht="12.75" customHeight="1" x14ac:dyDescent="0.25">
      <c r="E454" s="502"/>
      <c r="F454" s="502"/>
      <c r="I454" s="510"/>
      <c r="J454" s="503"/>
      <c r="K454" s="503"/>
      <c r="L454" s="503"/>
      <c r="M454" s="503"/>
      <c r="N454" s="503"/>
      <c r="O454" s="503"/>
      <c r="Q454" s="650"/>
      <c r="R454" s="650"/>
    </row>
    <row r="455" spans="4:22" ht="12.75" customHeight="1" x14ac:dyDescent="0.25">
      <c r="E455" s="502"/>
      <c r="F455" s="502"/>
      <c r="I455" s="510"/>
      <c r="J455" s="503"/>
      <c r="K455" s="503"/>
      <c r="L455" s="503"/>
      <c r="M455" s="503"/>
      <c r="N455" s="503"/>
      <c r="O455" s="503"/>
      <c r="S455" s="746"/>
      <c r="T455" s="746"/>
    </row>
    <row r="456" spans="4:22" ht="12.75" customHeight="1" x14ac:dyDescent="0.25">
      <c r="E456" s="502"/>
      <c r="F456" s="502"/>
      <c r="I456" s="510"/>
      <c r="J456" s="503"/>
      <c r="K456" s="503"/>
      <c r="L456" s="503"/>
      <c r="M456" s="503"/>
      <c r="N456" s="503"/>
      <c r="O456" s="503"/>
      <c r="S456" s="746"/>
      <c r="T456" s="746"/>
    </row>
    <row r="457" spans="4:22" ht="12.75" customHeight="1" x14ac:dyDescent="0.25">
      <c r="E457" s="502"/>
      <c r="F457" s="502"/>
      <c r="I457" s="510"/>
      <c r="J457" s="503"/>
      <c r="K457" s="503"/>
      <c r="L457" s="503"/>
      <c r="M457" s="503"/>
      <c r="N457" s="503"/>
      <c r="O457" s="503"/>
      <c r="S457" s="746"/>
      <c r="T457" s="746"/>
    </row>
    <row r="458" spans="4:22" ht="12.75" customHeight="1" x14ac:dyDescent="0.25">
      <c r="E458" s="502"/>
      <c r="F458" s="502"/>
      <c r="I458" s="510"/>
      <c r="J458" s="503"/>
      <c r="K458" s="503"/>
      <c r="L458" s="503"/>
      <c r="M458" s="503"/>
      <c r="N458" s="503"/>
      <c r="O458" s="503"/>
      <c r="S458" s="746"/>
      <c r="T458" s="746"/>
    </row>
    <row r="459" spans="4:22" ht="12.75" customHeight="1" x14ac:dyDescent="0.25">
      <c r="E459" s="502"/>
      <c r="F459" s="502"/>
      <c r="I459" s="510"/>
      <c r="J459" s="503"/>
      <c r="K459" s="503"/>
      <c r="L459" s="503"/>
      <c r="M459" s="503"/>
      <c r="N459" s="503"/>
      <c r="O459" s="503"/>
      <c r="S459" s="746"/>
      <c r="T459" s="746"/>
    </row>
    <row r="460" spans="4:22" ht="12.75" customHeight="1" x14ac:dyDescent="0.25">
      <c r="E460" s="502"/>
      <c r="F460" s="502"/>
      <c r="I460" s="510"/>
      <c r="J460" s="503"/>
      <c r="K460" s="503"/>
      <c r="L460" s="503"/>
      <c r="M460" s="503"/>
      <c r="N460" s="503"/>
      <c r="O460" s="503"/>
      <c r="S460" s="746"/>
      <c r="T460" s="746"/>
    </row>
    <row r="461" spans="4:22" ht="12.75" customHeight="1" x14ac:dyDescent="0.25">
      <c r="E461" s="502"/>
      <c r="F461" s="502"/>
      <c r="I461" s="512"/>
      <c r="J461" s="512"/>
      <c r="K461" s="512"/>
      <c r="L461" s="512"/>
      <c r="M461" s="512"/>
      <c r="N461" s="512"/>
      <c r="O461" s="512"/>
    </row>
    <row r="462" spans="4:22" ht="12.75" customHeight="1" x14ac:dyDescent="0.25">
      <c r="I462" s="510"/>
      <c r="J462" s="510"/>
      <c r="K462" s="510"/>
      <c r="L462" s="510"/>
      <c r="M462" s="510"/>
      <c r="N462" s="510"/>
      <c r="O462" s="510"/>
      <c r="P462" s="572"/>
      <c r="Q462" s="572"/>
    </row>
    <row r="463" spans="4:22" ht="12.75" customHeight="1" x14ac:dyDescent="0.25">
      <c r="D463" s="699"/>
      <c r="E463" s="699"/>
      <c r="F463" s="699"/>
      <c r="I463" s="510"/>
      <c r="J463" s="510"/>
      <c r="K463" s="510"/>
      <c r="L463" s="510"/>
      <c r="M463" s="510"/>
      <c r="N463" s="510"/>
      <c r="O463" s="510"/>
    </row>
    <row r="464" spans="4:22" ht="12.75" customHeight="1" x14ac:dyDescent="0.25">
      <c r="D464" s="699"/>
      <c r="E464" s="699"/>
      <c r="F464" s="699"/>
      <c r="I464" s="510"/>
      <c r="J464" s="510"/>
      <c r="K464" s="510"/>
      <c r="L464" s="510"/>
      <c r="M464" s="510"/>
      <c r="N464" s="510"/>
      <c r="O464" s="510"/>
    </row>
    <row r="465" spans="4:15" ht="12.75" customHeight="1" x14ac:dyDescent="0.25">
      <c r="D465" s="699"/>
      <c r="E465" s="699"/>
      <c r="F465" s="699"/>
      <c r="I465" s="510"/>
      <c r="J465" s="510"/>
      <c r="K465" s="510"/>
      <c r="L465" s="510"/>
      <c r="M465" s="510"/>
      <c r="N465" s="510"/>
      <c r="O465" s="510"/>
    </row>
    <row r="466" spans="4:15" ht="12.75" customHeight="1" x14ac:dyDescent="0.25">
      <c r="D466" s="699"/>
      <c r="E466" s="699"/>
      <c r="F466" s="699"/>
      <c r="I466" s="510"/>
      <c r="J466" s="510"/>
      <c r="K466" s="510"/>
      <c r="L466" s="510"/>
      <c r="M466" s="510"/>
      <c r="N466" s="510"/>
      <c r="O466" s="510"/>
    </row>
    <row r="467" spans="4:15" ht="12.75" customHeight="1" x14ac:dyDescent="0.25">
      <c r="D467" s="699"/>
      <c r="E467" s="699"/>
      <c r="F467" s="699"/>
      <c r="I467" s="510"/>
      <c r="J467" s="510"/>
      <c r="K467" s="510"/>
      <c r="L467" s="510"/>
      <c r="M467" s="510"/>
      <c r="N467" s="510"/>
      <c r="O467" s="510"/>
    </row>
    <row r="468" spans="4:15" ht="12.75" customHeight="1" x14ac:dyDescent="0.25">
      <c r="D468" s="699"/>
      <c r="E468" s="699"/>
      <c r="F468" s="699"/>
      <c r="I468" s="510"/>
      <c r="J468" s="510"/>
      <c r="K468" s="510"/>
      <c r="L468" s="510"/>
      <c r="M468" s="510"/>
      <c r="N468" s="510"/>
      <c r="O468" s="510"/>
    </row>
  </sheetData>
  <mergeCells count="4">
    <mergeCell ref="D80:D81"/>
    <mergeCell ref="F80:F81"/>
    <mergeCell ref="G80:H81"/>
    <mergeCell ref="E280:I281"/>
  </mergeCells>
  <phoneticPr fontId="52" type="noConversion"/>
  <hyperlinks>
    <hyperlink ref="A1" location="Inhoudsopgave!A1" display="Inhoudsopgave" xr:uid="{9408E996-DD2F-43A5-B1C4-3D982BB68022}"/>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76" min="3" max="14" man="1"/>
    <brk id="158" min="3" max="14" man="1"/>
    <brk id="192" min="3" max="14" man="1"/>
    <brk id="274" min="3" max="14" man="1"/>
    <brk id="346" min="3" max="14" man="1"/>
    <brk id="415" min="3" max="14" man="1"/>
  </row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C63C-0FED-4D67-8F01-F4265747DBD7}">
  <sheetPr codeName="Blad64"/>
  <dimension ref="A1:XEO479"/>
  <sheetViews>
    <sheetView showGridLines="0" view="pageBreakPreview" topLeftCell="C226" zoomScale="50" zoomScaleNormal="110" zoomScaleSheetLayoutView="50" workbookViewId="0">
      <selection activeCell="E250" sqref="E250:O250"/>
    </sheetView>
  </sheetViews>
  <sheetFormatPr defaultColWidth="9.109375" defaultRowHeight="12.75" customHeight="1" x14ac:dyDescent="0.25"/>
  <cols>
    <col min="1" max="1" width="9.109375" style="306"/>
    <col min="2" max="3" width="9.109375" style="115"/>
    <col min="4" max="4" width="9.6640625" style="301" customWidth="1"/>
    <col min="5" max="6" width="9.6640625" style="143" customWidth="1"/>
    <col min="7" max="9" width="12.6640625" style="115" customWidth="1"/>
    <col min="10" max="15" width="11.6640625" style="115" customWidth="1"/>
    <col min="16" max="16" width="12.109375" style="115" bestFit="1" customWidth="1"/>
    <col min="17" max="25" width="12.109375" style="115" customWidth="1"/>
    <col min="26" max="16384" width="9.109375" style="115"/>
  </cols>
  <sheetData>
    <row r="1" spans="1:25" ht="12.75" customHeight="1" x14ac:dyDescent="0.3">
      <c r="A1" s="157" t="s">
        <v>0</v>
      </c>
      <c r="P1" s="515"/>
      <c r="Q1" s="451">
        <v>2024</v>
      </c>
      <c r="R1" s="451">
        <v>2025</v>
      </c>
      <c r="S1" s="451">
        <v>2026</v>
      </c>
      <c r="T1" s="451">
        <v>2027</v>
      </c>
      <c r="U1" s="451">
        <v>2028</v>
      </c>
      <c r="V1" s="451">
        <v>2029</v>
      </c>
      <c r="W1" s="451">
        <v>2030</v>
      </c>
      <c r="X1" s="304">
        <v>2027</v>
      </c>
      <c r="Y1" s="304">
        <v>2028</v>
      </c>
    </row>
    <row r="2" spans="1:25" ht="12.75" customHeight="1" x14ac:dyDescent="0.3">
      <c r="D2" s="301" t="s">
        <v>504</v>
      </c>
      <c r="H2" s="115" t="s">
        <v>4556</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c r="X2" s="307">
        <v>1.0229999999999999</v>
      </c>
      <c r="Y2" s="307">
        <v>1.0229999999999999</v>
      </c>
    </row>
    <row r="3" spans="1:25"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c r="X3" s="307">
        <v>1.042</v>
      </c>
      <c r="Y3" s="307">
        <v>1.042</v>
      </c>
    </row>
    <row r="4" spans="1:25"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5" ht="12.75" customHeight="1" x14ac:dyDescent="0.25">
      <c r="D6" s="301" t="s">
        <v>66</v>
      </c>
      <c r="H6" s="115" t="s">
        <v>4717</v>
      </c>
    </row>
    <row r="10" spans="1:25" ht="12.75" customHeight="1" x14ac:dyDescent="0.3">
      <c r="Q10" s="611"/>
    </row>
    <row r="25" spans="4:20" ht="12.75" customHeight="1" x14ac:dyDescent="0.25">
      <c r="D25" s="452" t="s">
        <v>507</v>
      </c>
      <c r="E25" s="438"/>
      <c r="F25" s="438"/>
      <c r="G25" s="453"/>
      <c r="H25" s="453"/>
      <c r="I25" s="453"/>
      <c r="J25" s="453"/>
      <c r="K25" s="453"/>
      <c r="L25" s="453"/>
      <c r="M25" s="453"/>
      <c r="N25" s="453"/>
      <c r="O25" s="453"/>
    </row>
    <row r="26" spans="4:20" ht="12.75" customHeight="1" x14ac:dyDescent="0.25">
      <c r="D26" s="438"/>
      <c r="E26" s="438"/>
      <c r="F26" s="438"/>
      <c r="G26" s="453"/>
      <c r="H26" s="453"/>
      <c r="I26" s="453"/>
      <c r="J26" s="453"/>
      <c r="K26" s="453"/>
      <c r="L26" s="453"/>
      <c r="M26" s="453"/>
      <c r="N26" s="453"/>
      <c r="O26" s="453"/>
    </row>
    <row r="27" spans="4:20" ht="12.75" customHeight="1" x14ac:dyDescent="0.25">
      <c r="D27" s="1746" t="s">
        <v>508</v>
      </c>
      <c r="E27" s="1747"/>
      <c r="F27" s="1747"/>
      <c r="G27" s="1748"/>
      <c r="H27" s="1748"/>
      <c r="I27" s="1749"/>
      <c r="J27" s="1749">
        <v>2025</v>
      </c>
      <c r="K27" s="1749">
        <v>2026</v>
      </c>
      <c r="L27" s="1749">
        <v>2027</v>
      </c>
      <c r="M27" s="1749">
        <v>2028</v>
      </c>
      <c r="N27" s="1749">
        <v>2029</v>
      </c>
      <c r="O27" s="1749">
        <v>2030</v>
      </c>
      <c r="Q27" s="45"/>
      <c r="R27" s="45"/>
      <c r="S27" s="45"/>
      <c r="T27" s="45"/>
    </row>
    <row r="28" spans="4:20" ht="12.75" customHeight="1" x14ac:dyDescent="0.3">
      <c r="D28" s="612" t="str">
        <f>G82</f>
        <v>Straatreiniging, aandeel afval</v>
      </c>
      <c r="E28" s="613"/>
      <c r="F28" s="613"/>
      <c r="G28" s="527"/>
      <c r="H28" s="527"/>
      <c r="I28" s="614"/>
      <c r="J28" s="457">
        <v>215534</v>
      </c>
      <c r="K28" s="457">
        <f t="shared" ref="K28:M28" si="0">K86</f>
        <v>248811</v>
      </c>
      <c r="L28" s="457">
        <f t="shared" si="0"/>
        <v>265689</v>
      </c>
      <c r="M28" s="457">
        <f t="shared" si="0"/>
        <v>282299</v>
      </c>
      <c r="N28" s="457">
        <f t="shared" ref="N28:O28" si="1">N86</f>
        <v>299255</v>
      </c>
      <c r="O28" s="457">
        <f t="shared" si="1"/>
        <v>316446</v>
      </c>
      <c r="Q28" s="37"/>
      <c r="R28" s="37"/>
      <c r="S28" s="37"/>
      <c r="T28" s="37"/>
    </row>
    <row r="29" spans="4:20" ht="12.75" customHeight="1" x14ac:dyDescent="0.3">
      <c r="D29" s="612" t="str">
        <f>G88</f>
        <v>Inzamelen clandestien gestort vuil</v>
      </c>
      <c r="E29" s="613"/>
      <c r="F29" s="613"/>
      <c r="G29" s="527"/>
      <c r="H29" s="527"/>
      <c r="I29" s="614"/>
      <c r="J29" s="457">
        <v>51596</v>
      </c>
      <c r="K29" s="457">
        <f t="shared" ref="K29:M29" si="2">K92</f>
        <v>52938</v>
      </c>
      <c r="L29" s="457">
        <f t="shared" si="2"/>
        <v>54049</v>
      </c>
      <c r="M29" s="457">
        <f t="shared" si="2"/>
        <v>55292</v>
      </c>
      <c r="N29" s="457">
        <f t="shared" ref="N29:O29" si="3">N92</f>
        <v>56564</v>
      </c>
      <c r="O29" s="457">
        <f t="shared" si="3"/>
        <v>57865</v>
      </c>
      <c r="Q29" s="37"/>
      <c r="R29" s="37"/>
      <c r="S29" s="37"/>
      <c r="T29" s="37"/>
    </row>
    <row r="30" spans="4:20" ht="12.75" customHeight="1" x14ac:dyDescent="0.3">
      <c r="D30" s="454" t="str">
        <f>G94</f>
        <v>Huisvuilophaaldienst</v>
      </c>
      <c r="E30" s="455"/>
      <c r="F30" s="456"/>
      <c r="G30" s="453"/>
      <c r="H30" s="453"/>
      <c r="I30" s="518"/>
      <c r="J30" s="457">
        <v>3864255.2335000001</v>
      </c>
      <c r="K30" s="457">
        <f t="shared" ref="K30:M30" si="4">K102</f>
        <v>4071696.2374</v>
      </c>
      <c r="L30" s="457">
        <f t="shared" si="4"/>
        <v>4128771</v>
      </c>
      <c r="M30" s="457">
        <f t="shared" si="4"/>
        <v>4214327</v>
      </c>
      <c r="N30" s="457">
        <f t="shared" ref="N30:O30" si="5">N102</f>
        <v>4301682</v>
      </c>
      <c r="O30" s="457">
        <f t="shared" si="5"/>
        <v>4439783</v>
      </c>
      <c r="Q30" s="37"/>
      <c r="R30" s="37"/>
      <c r="S30" s="37"/>
    </row>
    <row r="31" spans="4:20" ht="12.75" customHeight="1" x14ac:dyDescent="0.3">
      <c r="D31" s="454" t="str">
        <f>G104</f>
        <v>Inzamelen van chemische afvalstoffen</v>
      </c>
      <c r="E31" s="455"/>
      <c r="F31" s="456"/>
      <c r="G31" s="453"/>
      <c r="H31" s="453"/>
      <c r="I31" s="518"/>
      <c r="J31" s="457">
        <v>8846</v>
      </c>
      <c r="K31" s="457">
        <f t="shared" ref="K31:M31" si="6">K108</f>
        <v>9037</v>
      </c>
      <c r="L31" s="457">
        <f t="shared" si="6"/>
        <v>9197</v>
      </c>
      <c r="M31" s="457">
        <f t="shared" si="6"/>
        <v>9374</v>
      </c>
      <c r="N31" s="457">
        <f t="shared" ref="N31:O31" si="7">N108</f>
        <v>10056</v>
      </c>
      <c r="O31" s="457">
        <f t="shared" si="7"/>
        <v>10252</v>
      </c>
      <c r="Q31" s="37"/>
      <c r="R31" s="37"/>
      <c r="S31" s="37"/>
      <c r="T31" s="37"/>
    </row>
    <row r="32" spans="4:20" ht="12.75" customHeight="1" x14ac:dyDescent="0.3">
      <c r="D32" s="454" t="str">
        <f>G110</f>
        <v>Heffen van reinigingsrechten</v>
      </c>
      <c r="E32" s="455"/>
      <c r="F32" s="456"/>
      <c r="G32" s="453"/>
      <c r="H32" s="453"/>
      <c r="I32" s="518"/>
      <c r="J32" s="63">
        <v>4159</v>
      </c>
      <c r="K32" s="63">
        <f t="shared" ref="K32:M32" si="8">K114</f>
        <v>4266</v>
      </c>
      <c r="L32" s="63">
        <f t="shared" si="8"/>
        <v>4356</v>
      </c>
      <c r="M32" s="63">
        <f t="shared" si="8"/>
        <v>4456</v>
      </c>
      <c r="N32" s="63">
        <f t="shared" ref="N32:O32" si="9">N114</f>
        <v>4559</v>
      </c>
      <c r="O32" s="63">
        <f t="shared" si="9"/>
        <v>4665</v>
      </c>
      <c r="Q32" s="37"/>
      <c r="R32" s="37"/>
      <c r="S32" s="37"/>
      <c r="T32" s="37"/>
    </row>
    <row r="33" spans="4:20" ht="12.75" customHeight="1" x14ac:dyDescent="0.3">
      <c r="D33" s="454" t="str">
        <f>G116</f>
        <v>De Dieze 26 milieustraat</v>
      </c>
      <c r="E33" s="455"/>
      <c r="F33" s="456"/>
      <c r="G33" s="453"/>
      <c r="H33" s="453"/>
      <c r="I33" s="518"/>
      <c r="J33" s="63">
        <v>1233494.24</v>
      </c>
      <c r="K33" s="63">
        <f t="shared" ref="K33:M33" si="10">+K129</f>
        <v>1263165.0872</v>
      </c>
      <c r="L33" s="63">
        <f t="shared" si="10"/>
        <v>1298492.9198159999</v>
      </c>
      <c r="M33" s="63">
        <f t="shared" si="10"/>
        <v>1334480.1274104801</v>
      </c>
      <c r="N33" s="63">
        <f t="shared" ref="N33:O33" si="11">+N129</f>
        <v>1371521.1112327944</v>
      </c>
      <c r="O33" s="63">
        <f t="shared" si="11"/>
        <v>1409645.2845697782</v>
      </c>
      <c r="Q33" s="37"/>
      <c r="R33" s="37"/>
      <c r="S33" s="37"/>
      <c r="T33" s="37"/>
    </row>
    <row r="34" spans="4:20" ht="12.75" customHeight="1" x14ac:dyDescent="0.3">
      <c r="D34" s="454" t="str">
        <f>G131</f>
        <v xml:space="preserve">Transportkostenvereveningsregeling </v>
      </c>
      <c r="E34" s="455"/>
      <c r="F34" s="456"/>
      <c r="G34" s="453"/>
      <c r="H34" s="453"/>
      <c r="I34" s="518"/>
      <c r="J34" s="457">
        <v>13821</v>
      </c>
      <c r="K34" s="457">
        <f t="shared" ref="K34:M34" si="12">K134</f>
        <v>14180</v>
      </c>
      <c r="L34" s="457">
        <f t="shared" si="12"/>
        <v>14478</v>
      </c>
      <c r="M34" s="457">
        <f t="shared" si="12"/>
        <v>14811</v>
      </c>
      <c r="N34" s="457">
        <f t="shared" ref="N34:O34" si="13">N134</f>
        <v>15152</v>
      </c>
      <c r="O34" s="457">
        <f t="shared" si="13"/>
        <v>15500</v>
      </c>
      <c r="Q34" s="37"/>
      <c r="R34" s="37"/>
      <c r="S34" s="37"/>
      <c r="T34" s="37"/>
    </row>
    <row r="35" spans="4:20" ht="12.75" customHeight="1" x14ac:dyDescent="0.3">
      <c r="D35" s="454" t="str">
        <f>G136</f>
        <v>Regionale Milieudienst</v>
      </c>
      <c r="E35" s="455"/>
      <c r="F35" s="456"/>
      <c r="G35" s="453"/>
      <c r="H35" s="453"/>
      <c r="I35" s="518"/>
      <c r="J35" s="63">
        <v>6096.7640000000001</v>
      </c>
      <c r="K35" s="63">
        <f t="shared" ref="K35:M35" si="14">K139</f>
        <v>6096.7640000000001</v>
      </c>
      <c r="L35" s="63">
        <f t="shared" si="14"/>
        <v>6096.7640000000001</v>
      </c>
      <c r="M35" s="63">
        <f t="shared" si="14"/>
        <v>6096.9660000000003</v>
      </c>
      <c r="N35" s="63">
        <f t="shared" ref="N35:O35" si="15">N139</f>
        <v>6096.9660000000003</v>
      </c>
      <c r="O35" s="63">
        <f t="shared" si="15"/>
        <v>6096.9660000000003</v>
      </c>
      <c r="Q35" s="37"/>
      <c r="R35" s="37"/>
      <c r="S35" s="37"/>
      <c r="T35" s="37"/>
    </row>
    <row r="36" spans="4:20" ht="12.75" customHeight="1" x14ac:dyDescent="0.3">
      <c r="D36" s="454" t="str">
        <f>G141</f>
        <v>Pasjessysteem milieustraat</v>
      </c>
      <c r="E36" s="455"/>
      <c r="F36" s="456"/>
      <c r="G36" s="453"/>
      <c r="H36" s="453"/>
      <c r="I36" s="518"/>
      <c r="J36" s="63">
        <v>0</v>
      </c>
      <c r="K36" s="63">
        <f t="shared" ref="K36:M36" si="16">K145</f>
        <v>0</v>
      </c>
      <c r="L36" s="63">
        <f t="shared" si="16"/>
        <v>0</v>
      </c>
      <c r="M36" s="63">
        <f t="shared" si="16"/>
        <v>0</v>
      </c>
      <c r="N36" s="63">
        <f t="shared" ref="N36:O36" si="17">N145</f>
        <v>0</v>
      </c>
      <c r="O36" s="63">
        <f t="shared" si="17"/>
        <v>0</v>
      </c>
      <c r="Q36" s="37"/>
      <c r="R36" s="37">
        <f>+J31+J34+J33+J35</f>
        <v>1262258.004</v>
      </c>
      <c r="S36" s="37"/>
      <c r="T36" s="37"/>
    </row>
    <row r="37" spans="4:20" ht="12.75" customHeight="1" x14ac:dyDescent="0.3">
      <c r="D37" s="454" t="str">
        <f>G147</f>
        <v>Directe toerekening afval</v>
      </c>
      <c r="E37" s="455"/>
      <c r="F37" s="456"/>
      <c r="G37" s="453"/>
      <c r="H37" s="453"/>
      <c r="I37" s="518"/>
      <c r="J37" s="63">
        <v>282324.24</v>
      </c>
      <c r="K37" s="63">
        <f t="shared" ref="K37:M37" si="18">K154</f>
        <v>320829.64</v>
      </c>
      <c r="L37" s="63">
        <f t="shared" si="18"/>
        <v>336628</v>
      </c>
      <c r="M37" s="63">
        <f t="shared" si="18"/>
        <v>351643</v>
      </c>
      <c r="N37" s="63">
        <f t="shared" ref="N37:O37" si="19">N154</f>
        <v>367013</v>
      </c>
      <c r="O37" s="63">
        <f t="shared" si="19"/>
        <v>382746</v>
      </c>
      <c r="Q37" s="37"/>
      <c r="R37" s="37"/>
      <c r="S37" s="37"/>
      <c r="T37" s="37"/>
    </row>
    <row r="38" spans="4:20" ht="12.75" customHeight="1" x14ac:dyDescent="0.3">
      <c r="D38" s="454"/>
      <c r="E38" s="455"/>
      <c r="F38" s="456"/>
      <c r="G38" s="453"/>
      <c r="H38" s="453"/>
      <c r="I38" s="518"/>
      <c r="J38" s="63"/>
      <c r="K38" s="63"/>
      <c r="L38" s="63"/>
      <c r="M38" s="63"/>
      <c r="N38" s="63"/>
      <c r="O38" s="63"/>
      <c r="Q38" s="37"/>
      <c r="R38" s="37"/>
      <c r="S38" s="37"/>
      <c r="T38" s="37"/>
    </row>
    <row r="39" spans="4:20" ht="12.75" customHeight="1" x14ac:dyDescent="0.3">
      <c r="D39" s="461" t="s">
        <v>4718</v>
      </c>
      <c r="J39" s="63">
        <v>-915245</v>
      </c>
      <c r="K39" s="63">
        <f t="shared" ref="K39:M39" si="20">K159</f>
        <v>-962333</v>
      </c>
      <c r="L39" s="63">
        <f t="shared" si="20"/>
        <v>-981114</v>
      </c>
      <c r="M39" s="63">
        <f t="shared" si="20"/>
        <v>-1004932</v>
      </c>
      <c r="N39" s="63">
        <f t="shared" ref="N39:O39" si="21">N159</f>
        <v>-1029365</v>
      </c>
      <c r="O39" s="63">
        <f t="shared" si="21"/>
        <v>-1062741</v>
      </c>
      <c r="P39" s="114"/>
      <c r="R39" s="37"/>
      <c r="S39" s="37"/>
      <c r="T39" s="37"/>
    </row>
    <row r="40" spans="4:20" ht="12.75" customHeight="1" x14ac:dyDescent="0.3">
      <c r="D40" s="454"/>
      <c r="E40" s="455"/>
      <c r="F40" s="456"/>
      <c r="G40" s="453"/>
      <c r="H40" s="453"/>
      <c r="I40" s="518"/>
      <c r="J40" s="63"/>
      <c r="K40" s="63"/>
      <c r="L40" s="63"/>
      <c r="M40" s="63"/>
      <c r="N40" s="63"/>
      <c r="O40" s="63"/>
      <c r="P40" s="114"/>
      <c r="Q40" s="37"/>
      <c r="R40" s="37"/>
      <c r="S40" s="37"/>
      <c r="T40" s="37"/>
    </row>
    <row r="41" spans="4:20" ht="12.75" customHeight="1" x14ac:dyDescent="0.3">
      <c r="D41" s="454" t="s">
        <v>4719</v>
      </c>
      <c r="E41" s="455"/>
      <c r="F41" s="456"/>
      <c r="G41" s="453"/>
      <c r="H41" s="453"/>
      <c r="I41" s="518"/>
      <c r="J41" s="63"/>
      <c r="K41" s="63">
        <f>-K153</f>
        <v>9291</v>
      </c>
      <c r="L41" s="63">
        <f>-L153</f>
        <v>9486</v>
      </c>
      <c r="M41" s="63">
        <f>-M153</f>
        <v>9704</v>
      </c>
      <c r="N41" s="63">
        <f>-N153</f>
        <v>9927</v>
      </c>
      <c r="O41" s="63">
        <f>-O153</f>
        <v>10155</v>
      </c>
      <c r="Q41" s="37"/>
      <c r="R41" s="37"/>
      <c r="S41" s="37"/>
      <c r="T41" s="37"/>
    </row>
    <row r="42" spans="4:20" ht="12.75" customHeight="1" x14ac:dyDescent="0.3">
      <c r="D42" s="454"/>
      <c r="E42" s="455"/>
      <c r="F42" s="456"/>
      <c r="G42" s="453"/>
      <c r="H42" s="453"/>
      <c r="I42" s="518"/>
      <c r="J42" s="63"/>
      <c r="K42" s="63"/>
      <c r="L42" s="63"/>
      <c r="M42" s="63"/>
      <c r="N42" s="63"/>
      <c r="O42" s="63"/>
      <c r="Q42" s="37"/>
      <c r="R42" s="37"/>
      <c r="S42" s="37"/>
      <c r="T42" s="37">
        <v>4773902</v>
      </c>
    </row>
    <row r="43" spans="4:20" ht="12.75" customHeight="1" x14ac:dyDescent="0.3">
      <c r="D43" s="454"/>
      <c r="E43" s="455"/>
      <c r="F43" s="456"/>
      <c r="G43" s="453"/>
      <c r="H43" s="453"/>
      <c r="I43" s="518"/>
      <c r="J43" s="64"/>
      <c r="K43" s="64"/>
      <c r="L43" s="64"/>
      <c r="M43" s="64"/>
      <c r="N43" s="64"/>
      <c r="O43" s="64"/>
      <c r="Q43" s="37"/>
      <c r="R43" s="37"/>
      <c r="S43" s="37"/>
      <c r="T43" s="37">
        <v>4757565</v>
      </c>
    </row>
    <row r="44" spans="4:20" ht="12.75" customHeight="1" x14ac:dyDescent="0.3">
      <c r="D44" s="454"/>
      <c r="E44" s="455"/>
      <c r="F44" s="456"/>
      <c r="G44" s="453"/>
      <c r="H44" s="453"/>
      <c r="I44" s="518"/>
      <c r="J44" s="64"/>
      <c r="K44" s="64"/>
      <c r="L44" s="64"/>
      <c r="M44" s="64"/>
      <c r="N44" s="64"/>
      <c r="O44" s="64"/>
      <c r="Q44" s="37"/>
      <c r="R44" s="37"/>
      <c r="S44" s="37"/>
      <c r="T44" s="37"/>
    </row>
    <row r="45" spans="4:20" ht="12.75" customHeight="1" x14ac:dyDescent="0.3">
      <c r="D45" s="454"/>
      <c r="E45" s="455"/>
      <c r="F45" s="456"/>
      <c r="G45" s="453"/>
      <c r="H45" s="453"/>
      <c r="I45" s="518"/>
      <c r="J45" s="64"/>
      <c r="K45" s="64"/>
      <c r="L45" s="64"/>
      <c r="M45" s="64"/>
      <c r="N45" s="64"/>
      <c r="O45" s="64"/>
      <c r="Q45" s="37"/>
      <c r="R45" s="37"/>
      <c r="S45" s="37"/>
      <c r="T45" s="37">
        <f>+T42-T43</f>
        <v>16337</v>
      </c>
    </row>
    <row r="46" spans="4:20" ht="12.75" customHeight="1" x14ac:dyDescent="0.3">
      <c r="D46" s="454"/>
      <c r="E46" s="455"/>
      <c r="F46" s="456"/>
      <c r="G46" s="453"/>
      <c r="H46" s="453"/>
      <c r="I46" s="518"/>
      <c r="J46" s="64"/>
      <c r="K46" s="64"/>
      <c r="L46" s="64"/>
      <c r="M46" s="64"/>
      <c r="N46" s="64"/>
      <c r="O46" s="64"/>
      <c r="Q46" s="37"/>
      <c r="R46" s="37"/>
      <c r="S46" s="37"/>
      <c r="T46" s="37"/>
    </row>
    <row r="47" spans="4:20" ht="12.75" customHeight="1" x14ac:dyDescent="0.3">
      <c r="D47" s="454"/>
      <c r="E47" s="455"/>
      <c r="F47" s="456"/>
      <c r="G47" s="453"/>
      <c r="H47" s="453"/>
      <c r="I47" s="518"/>
      <c r="J47" s="64"/>
      <c r="K47" s="64"/>
      <c r="L47" s="64"/>
      <c r="M47" s="64"/>
      <c r="N47" s="64"/>
      <c r="O47" s="64"/>
      <c r="Q47" s="37"/>
      <c r="R47" s="37"/>
      <c r="S47" s="37"/>
      <c r="T47" s="37"/>
    </row>
    <row r="48" spans="4:20" ht="12.75" customHeight="1" x14ac:dyDescent="0.3">
      <c r="D48" s="454"/>
      <c r="E48" s="615"/>
      <c r="F48" s="456"/>
      <c r="G48" s="453"/>
      <c r="H48" s="453"/>
      <c r="I48" s="518"/>
      <c r="J48" s="64"/>
      <c r="K48" s="64"/>
      <c r="L48" s="64"/>
      <c r="M48" s="64"/>
      <c r="N48" s="64"/>
      <c r="O48" s="64"/>
      <c r="Q48" s="37"/>
      <c r="R48" s="37"/>
      <c r="S48" s="37"/>
      <c r="T48" s="37"/>
    </row>
    <row r="49" spans="4:20" ht="12.75" customHeight="1" x14ac:dyDescent="0.3">
      <c r="D49" s="454"/>
      <c r="E49" s="455"/>
      <c r="F49" s="456"/>
      <c r="G49" s="453"/>
      <c r="H49" s="453"/>
      <c r="I49" s="518"/>
      <c r="J49" s="64"/>
      <c r="K49" s="64"/>
      <c r="L49" s="64"/>
      <c r="M49" s="64"/>
      <c r="N49" s="64"/>
      <c r="O49" s="64"/>
      <c r="Q49" s="37"/>
      <c r="R49" s="37"/>
      <c r="S49" s="37"/>
      <c r="T49" s="37"/>
    </row>
    <row r="50" spans="4:20" ht="12.75" customHeight="1" x14ac:dyDescent="0.3">
      <c r="D50" s="454"/>
      <c r="E50" s="455"/>
      <c r="F50" s="456"/>
      <c r="G50" s="453"/>
      <c r="H50" s="453"/>
      <c r="I50" s="518"/>
      <c r="J50" s="65"/>
      <c r="K50" s="65"/>
      <c r="L50" s="65"/>
      <c r="M50" s="65"/>
      <c r="N50" s="65"/>
      <c r="O50" s="65"/>
      <c r="Q50" s="37"/>
      <c r="R50" s="37"/>
      <c r="S50" s="37"/>
      <c r="T50" s="37"/>
    </row>
    <row r="51" spans="4:20" ht="12.75" customHeight="1" x14ac:dyDescent="0.3">
      <c r="D51" s="1751" t="s">
        <v>525</v>
      </c>
      <c r="E51" s="1752"/>
      <c r="F51" s="1753"/>
      <c r="G51" s="1754"/>
      <c r="H51" s="1754"/>
      <c r="I51" s="1757"/>
      <c r="J51" s="1922">
        <v>4764881.477500001</v>
      </c>
      <c r="K51" s="1922">
        <f>SUM(K28:K50)</f>
        <v>5037977.7286</v>
      </c>
      <c r="L51" s="1922">
        <f t="shared" ref="L51:M51" si="22">SUM(L28:L50)</f>
        <v>5146129.6838160008</v>
      </c>
      <c r="M51" s="1922">
        <f t="shared" si="22"/>
        <v>5277551.0934104798</v>
      </c>
      <c r="N51" s="1922">
        <f>SUM(N28:N50)</f>
        <v>5412461.0772327948</v>
      </c>
      <c r="O51" s="1922">
        <f>SUM(O28:O50)</f>
        <v>5590413.2505697785</v>
      </c>
      <c r="Q51" s="37"/>
      <c r="R51" s="37"/>
      <c r="S51" s="37"/>
      <c r="T51" s="37"/>
    </row>
    <row r="52" spans="4:20" ht="12.75" customHeight="1" x14ac:dyDescent="0.3">
      <c r="D52" s="438"/>
      <c r="E52" s="455"/>
      <c r="F52" s="456"/>
      <c r="G52" s="453"/>
      <c r="H52" s="453"/>
      <c r="I52" s="453"/>
      <c r="J52" s="453"/>
      <c r="K52" s="453"/>
      <c r="L52" s="453"/>
      <c r="M52" s="453"/>
      <c r="N52" s="453"/>
      <c r="O52" s="453"/>
      <c r="Q52" s="37"/>
      <c r="R52" s="37"/>
      <c r="S52" s="37"/>
      <c r="T52" s="37"/>
    </row>
    <row r="53" spans="4:20" ht="12.75" customHeight="1" x14ac:dyDescent="0.25">
      <c r="D53" s="1746" t="s">
        <v>526</v>
      </c>
      <c r="E53" s="1747"/>
      <c r="F53" s="1747"/>
      <c r="G53" s="1748"/>
      <c r="H53" s="1748"/>
      <c r="I53" s="1749"/>
      <c r="J53" s="1749">
        <v>2025</v>
      </c>
      <c r="K53" s="1749">
        <v>2026</v>
      </c>
      <c r="L53" s="1749">
        <v>2027</v>
      </c>
      <c r="M53" s="1749">
        <v>2028</v>
      </c>
      <c r="N53" s="1749">
        <v>2029</v>
      </c>
      <c r="O53" s="1749">
        <v>2030</v>
      </c>
      <c r="Q53" s="45"/>
      <c r="R53" s="45"/>
      <c r="S53" s="45"/>
      <c r="T53" s="45"/>
    </row>
    <row r="54" spans="4:20" ht="12.75" customHeight="1" x14ac:dyDescent="0.3">
      <c r="D54" s="1808" t="str">
        <f>G161</f>
        <v>Huisvuilophaaldienst</v>
      </c>
      <c r="E54" s="616"/>
      <c r="F54" s="617"/>
      <c r="G54" s="618"/>
      <c r="H54" s="618"/>
      <c r="I54" s="518"/>
      <c r="J54" s="457">
        <v>-462497</v>
      </c>
      <c r="K54" s="457">
        <f t="shared" ref="K54:M54" si="23">K164</f>
        <v>-490886.35</v>
      </c>
      <c r="L54" s="457">
        <f t="shared" si="23"/>
        <v>-501194</v>
      </c>
      <c r="M54" s="457">
        <f t="shared" si="23"/>
        <v>-512720</v>
      </c>
      <c r="N54" s="457">
        <f t="shared" ref="N54:O54" si="24">N164</f>
        <v>-524513</v>
      </c>
      <c r="O54" s="457">
        <f t="shared" si="24"/>
        <v>-536577</v>
      </c>
      <c r="Q54" s="37"/>
      <c r="R54" s="37"/>
      <c r="S54" s="37"/>
      <c r="T54" s="37"/>
    </row>
    <row r="55" spans="4:20" ht="12.75" customHeight="1" x14ac:dyDescent="0.3">
      <c r="D55" s="454" t="str">
        <f>G166</f>
        <v>De Dieze 26 milieustraat</v>
      </c>
      <c r="E55" s="455"/>
      <c r="F55" s="456"/>
      <c r="G55" s="453"/>
      <c r="H55" s="453"/>
      <c r="I55" s="518"/>
      <c r="J55" s="457">
        <v>-65792</v>
      </c>
      <c r="K55" s="457">
        <f t="shared" ref="K55:M55" si="25">K169</f>
        <v>-67503</v>
      </c>
      <c r="L55" s="457">
        <f t="shared" si="25"/>
        <v>-68920</v>
      </c>
      <c r="M55" s="457">
        <f t="shared" si="25"/>
        <v>-70505</v>
      </c>
      <c r="N55" s="457">
        <f t="shared" ref="N55:O55" si="26">N169</f>
        <v>-72126</v>
      </c>
      <c r="O55" s="457">
        <f t="shared" si="26"/>
        <v>-73786</v>
      </c>
      <c r="Q55" s="37"/>
      <c r="R55" s="37"/>
      <c r="S55" s="37"/>
      <c r="T55" s="37"/>
    </row>
    <row r="56" spans="4:20" ht="12.75" customHeight="1" x14ac:dyDescent="0.3">
      <c r="D56" s="454" t="str">
        <f>G171</f>
        <v>Afvalstoffenheffing / reinigingsrechten</v>
      </c>
      <c r="E56" s="455"/>
      <c r="F56" s="456"/>
      <c r="G56" s="453"/>
      <c r="H56" s="453"/>
      <c r="I56" s="518"/>
      <c r="J56" s="457">
        <v>-5380992</v>
      </c>
      <c r="K56" s="457">
        <f t="shared" ref="K56:M56" si="27">K174</f>
        <v>-5711522.4000000004</v>
      </c>
      <c r="L56" s="457">
        <f t="shared" si="27"/>
        <v>-5833130.4000000004</v>
      </c>
      <c r="M56" s="457">
        <f t="shared" si="27"/>
        <v>-5975006.4000000004</v>
      </c>
      <c r="N56" s="457">
        <f t="shared" ref="N56:O56" si="28">N174</f>
        <v>-6128892</v>
      </c>
      <c r="O56" s="457">
        <f t="shared" si="28"/>
        <v>-6334072.8000000007</v>
      </c>
      <c r="Q56" s="37"/>
      <c r="R56" s="37"/>
      <c r="S56" s="37"/>
      <c r="T56" s="37"/>
    </row>
    <row r="57" spans="4:20" ht="12.75" customHeight="1" x14ac:dyDescent="0.3">
      <c r="D57" s="454"/>
      <c r="E57" s="455"/>
      <c r="F57" s="456"/>
      <c r="G57" s="453"/>
      <c r="H57" s="453"/>
      <c r="I57" s="518"/>
      <c r="J57" s="457"/>
      <c r="K57" s="457"/>
      <c r="L57" s="457"/>
      <c r="M57" s="457"/>
      <c r="N57" s="457"/>
      <c r="O57" s="457"/>
      <c r="Q57" s="37"/>
      <c r="R57" s="37"/>
      <c r="S57" s="37"/>
      <c r="T57" s="37"/>
    </row>
    <row r="58" spans="4:20" ht="12.75" customHeight="1" x14ac:dyDescent="0.3">
      <c r="D58" s="454" t="s">
        <v>4719</v>
      </c>
      <c r="E58" s="455"/>
      <c r="F58" s="456"/>
      <c r="G58" s="453"/>
      <c r="H58" s="453"/>
      <c r="I58" s="518"/>
      <c r="J58" s="457"/>
      <c r="K58" s="457">
        <f>+K153</f>
        <v>-9291</v>
      </c>
      <c r="L58" s="457">
        <f>+L153</f>
        <v>-9486</v>
      </c>
      <c r="M58" s="457">
        <f>+M153</f>
        <v>-9704</v>
      </c>
      <c r="N58" s="457">
        <f>+N153</f>
        <v>-9927</v>
      </c>
      <c r="O58" s="457">
        <f>+O153</f>
        <v>-10155</v>
      </c>
      <c r="Q58" s="37"/>
      <c r="R58" s="37"/>
      <c r="S58" s="37"/>
      <c r="T58" s="37"/>
    </row>
    <row r="59" spans="4:20" ht="12.75" customHeight="1" x14ac:dyDescent="0.3">
      <c r="D59" s="454"/>
      <c r="E59" s="455"/>
      <c r="F59" s="456"/>
      <c r="G59" s="453"/>
      <c r="H59" s="453"/>
      <c r="I59" s="518"/>
      <c r="J59" s="457"/>
      <c r="K59" s="457"/>
      <c r="L59" s="457"/>
      <c r="M59" s="457"/>
      <c r="N59" s="457"/>
      <c r="O59" s="457"/>
      <c r="Q59" s="37"/>
      <c r="R59" s="37"/>
      <c r="S59" s="37"/>
      <c r="T59" s="37"/>
    </row>
    <row r="60" spans="4:20" ht="12.75" customHeight="1" x14ac:dyDescent="0.3">
      <c r="D60" s="461"/>
      <c r="E60" s="455"/>
      <c r="F60" s="456"/>
      <c r="G60" s="453"/>
      <c r="H60" s="453"/>
      <c r="I60" s="518"/>
      <c r="J60" s="271"/>
      <c r="K60" s="271"/>
      <c r="L60" s="271"/>
      <c r="M60" s="271"/>
      <c r="N60" s="271"/>
      <c r="O60" s="271"/>
      <c r="Q60" s="37"/>
      <c r="R60" s="37"/>
      <c r="S60" s="37"/>
      <c r="T60" s="37"/>
    </row>
    <row r="61" spans="4:20" ht="12.75" customHeight="1" x14ac:dyDescent="0.3">
      <c r="D61" s="454"/>
      <c r="E61" s="455"/>
      <c r="F61" s="456"/>
      <c r="G61" s="453"/>
      <c r="H61" s="453"/>
      <c r="I61" s="518"/>
      <c r="J61" s="463"/>
      <c r="K61" s="463"/>
      <c r="L61" s="463"/>
      <c r="M61" s="463"/>
      <c r="N61" s="463"/>
      <c r="O61" s="463"/>
      <c r="Q61" s="37"/>
      <c r="R61" s="37"/>
      <c r="S61" s="37"/>
      <c r="T61" s="37"/>
    </row>
    <row r="62" spans="4:20" ht="12.75" customHeight="1" x14ac:dyDescent="0.3">
      <c r="D62" s="454"/>
      <c r="E62" s="455"/>
      <c r="F62" s="456"/>
      <c r="G62" s="453"/>
      <c r="H62" s="453"/>
      <c r="I62" s="518"/>
      <c r="J62" s="463"/>
      <c r="K62" s="463"/>
      <c r="L62" s="463"/>
      <c r="M62" s="463"/>
      <c r="N62" s="463"/>
      <c r="O62" s="463"/>
      <c r="Q62" s="37"/>
      <c r="R62" s="37"/>
      <c r="S62" s="37"/>
      <c r="T62" s="37"/>
    </row>
    <row r="63" spans="4:20" ht="12.75" customHeight="1" x14ac:dyDescent="0.3">
      <c r="D63" s="454"/>
      <c r="E63" s="455"/>
      <c r="F63" s="456"/>
      <c r="G63" s="453"/>
      <c r="H63" s="453"/>
      <c r="I63" s="518"/>
      <c r="J63" s="463"/>
      <c r="K63" s="463"/>
      <c r="L63" s="463"/>
      <c r="M63" s="463"/>
      <c r="N63" s="463"/>
      <c r="O63" s="463"/>
      <c r="Q63" s="37"/>
      <c r="R63" s="37"/>
      <c r="S63" s="37"/>
      <c r="T63" s="37"/>
    </row>
    <row r="64" spans="4:20" ht="12.75" customHeight="1" x14ac:dyDescent="0.3">
      <c r="D64" s="454"/>
      <c r="E64" s="455"/>
      <c r="F64" s="456"/>
      <c r="G64" s="453"/>
      <c r="H64" s="453"/>
      <c r="I64" s="518"/>
      <c r="J64" s="463"/>
      <c r="K64" s="463"/>
      <c r="L64" s="463"/>
      <c r="M64" s="463"/>
      <c r="N64" s="463"/>
      <c r="O64" s="463"/>
      <c r="Q64" s="37"/>
      <c r="R64" s="37"/>
      <c r="S64" s="37"/>
      <c r="T64" s="37"/>
    </row>
    <row r="65" spans="4:24 16369:16369" ht="12.75" customHeight="1" x14ac:dyDescent="0.3">
      <c r="D65" s="454"/>
      <c r="E65" s="455"/>
      <c r="F65" s="456"/>
      <c r="G65" s="453"/>
      <c r="H65" s="453"/>
      <c r="I65" s="518"/>
      <c r="J65" s="463"/>
      <c r="K65" s="463"/>
      <c r="L65" s="463"/>
      <c r="M65" s="463"/>
      <c r="N65" s="463"/>
      <c r="O65" s="463"/>
      <c r="Q65" s="37"/>
      <c r="R65" s="37"/>
      <c r="S65" s="37"/>
      <c r="T65" s="37"/>
    </row>
    <row r="66" spans="4:24 16369:16369" ht="12.75" customHeight="1" x14ac:dyDescent="0.3">
      <c r="D66" s="464"/>
      <c r="E66" s="465"/>
      <c r="F66" s="466"/>
      <c r="G66" s="467"/>
      <c r="H66" s="467"/>
      <c r="I66" s="518"/>
      <c r="J66" s="463"/>
      <c r="K66" s="463"/>
      <c r="L66" s="463"/>
      <c r="M66" s="463"/>
      <c r="N66" s="463"/>
      <c r="O66" s="463"/>
      <c r="Q66" s="37"/>
      <c r="R66" s="37"/>
      <c r="S66" s="37"/>
      <c r="T66" s="37"/>
    </row>
    <row r="67" spans="4:24 16369:16369" ht="12.75" customHeight="1" x14ac:dyDescent="0.3">
      <c r="D67" s="1751" t="s">
        <v>328</v>
      </c>
      <c r="E67" s="1752"/>
      <c r="F67" s="1753"/>
      <c r="G67" s="1754"/>
      <c r="H67" s="1754"/>
      <c r="I67" s="1757"/>
      <c r="J67" s="1922">
        <v>-5909281</v>
      </c>
      <c r="K67" s="1922">
        <f>SUM(K54:K66)</f>
        <v>-6279202.75</v>
      </c>
      <c r="L67" s="1922">
        <f>SUM(L54:L66)</f>
        <v>-6412730.4000000004</v>
      </c>
      <c r="M67" s="1922">
        <f>SUM(M54:M66)</f>
        <v>-6567935.4000000004</v>
      </c>
      <c r="N67" s="1922">
        <f>SUM(N54:N66)</f>
        <v>-6735458</v>
      </c>
      <c r="O67" s="1922">
        <f>SUM(O54:O66)</f>
        <v>-6954590.8000000007</v>
      </c>
      <c r="S67" s="37">
        <v>-3976651</v>
      </c>
      <c r="T67" s="37">
        <v>-4020199</v>
      </c>
      <c r="U67" s="37">
        <v>-4026293</v>
      </c>
      <c r="V67" s="37">
        <v>-4091459</v>
      </c>
      <c r="W67" s="37"/>
      <c r="X67" s="37">
        <v>-4150561.68</v>
      </c>
    </row>
    <row r="68" spans="4:24 16369:16369" ht="12.75" customHeight="1" x14ac:dyDescent="0.3">
      <c r="D68" s="438"/>
      <c r="E68" s="455"/>
      <c r="F68" s="456"/>
      <c r="G68" s="453"/>
      <c r="H68" s="453"/>
      <c r="I68" s="453"/>
      <c r="J68" s="469"/>
      <c r="K68" s="469"/>
      <c r="L68" s="469"/>
      <c r="M68" s="469"/>
      <c r="N68" s="469"/>
      <c r="O68" s="469"/>
      <c r="S68" s="37"/>
      <c r="T68" s="37"/>
      <c r="U68" s="37"/>
      <c r="V68" s="37"/>
      <c r="W68" s="37"/>
      <c r="X68" s="37"/>
    </row>
    <row r="69" spans="4:24 16369:16369" ht="12.75" customHeight="1" x14ac:dyDescent="0.3">
      <c r="D69" s="1751" t="s">
        <v>527</v>
      </c>
      <c r="E69" s="1756"/>
      <c r="F69" s="1756"/>
      <c r="G69" s="1754"/>
      <c r="H69" s="1754"/>
      <c r="I69" s="1754"/>
      <c r="J69" s="1758">
        <v>-1144399.522499999</v>
      </c>
      <c r="K69" s="1758">
        <f>K51+K67</f>
        <v>-1241225.0214</v>
      </c>
      <c r="L69" s="1758">
        <f>L51+L67</f>
        <v>-1266600.7161839996</v>
      </c>
      <c r="M69" s="1758">
        <f>M51+M67</f>
        <v>-1290384.3065895205</v>
      </c>
      <c r="N69" s="1758">
        <f>N51+N67</f>
        <v>-1322996.9227672052</v>
      </c>
      <c r="O69" s="1758">
        <f>O51+O67</f>
        <v>-1364177.5494302223</v>
      </c>
      <c r="R69" s="115" t="s">
        <v>4720</v>
      </c>
      <c r="S69" s="37"/>
      <c r="T69" s="37"/>
      <c r="U69" s="37"/>
      <c r="V69" s="37"/>
      <c r="W69" s="37"/>
      <c r="X69" s="37"/>
    </row>
    <row r="70" spans="4:24 16369:16369" ht="12.75" customHeight="1" x14ac:dyDescent="0.3">
      <c r="D70" s="438"/>
      <c r="E70" s="438"/>
      <c r="F70" s="438"/>
      <c r="G70" s="453"/>
      <c r="H70" s="453"/>
      <c r="I70" s="619" t="s">
        <v>4579</v>
      </c>
      <c r="J70" s="469"/>
      <c r="K70" s="469"/>
      <c r="L70" s="469"/>
      <c r="M70" s="469"/>
      <c r="N70" s="469"/>
      <c r="O70" s="469"/>
      <c r="R70" s="115" t="s">
        <v>4721</v>
      </c>
      <c r="X70" s="37"/>
    </row>
    <row r="71" spans="4:24 16369:16369" ht="12.75" customHeight="1" x14ac:dyDescent="0.25">
      <c r="D71" s="438"/>
      <c r="E71" s="455"/>
      <c r="F71" s="456"/>
      <c r="G71" s="453"/>
      <c r="H71" s="453"/>
      <c r="I71" s="619" t="s">
        <v>4722</v>
      </c>
      <c r="J71" s="469">
        <v>915245</v>
      </c>
      <c r="K71" s="469">
        <f t="shared" ref="K71:M71" si="29">K425</f>
        <v>962333</v>
      </c>
      <c r="L71" s="469">
        <f t="shared" si="29"/>
        <v>981114</v>
      </c>
      <c r="M71" s="469">
        <f t="shared" si="29"/>
        <v>1004932</v>
      </c>
      <c r="N71" s="469">
        <f t="shared" ref="N71:O71" si="30">N425</f>
        <v>1029365</v>
      </c>
      <c r="O71" s="469">
        <f t="shared" si="30"/>
        <v>1062741</v>
      </c>
      <c r="S71" s="151" t="e">
        <f>-#REF!+#REF!-#REF!</f>
        <v>#REF!</v>
      </c>
      <c r="T71" s="151" t="e">
        <f>-#REF!+#REF!-#REF!</f>
        <v>#REF!</v>
      </c>
      <c r="U71" s="151" t="e">
        <f>-#REF!+#REF!-#REF!</f>
        <v>#REF!</v>
      </c>
      <c r="V71" s="151">
        <f>-J470+J431-J406</f>
        <v>-990245</v>
      </c>
      <c r="W71" s="151"/>
    </row>
    <row r="72" spans="4:24 16369:16369" ht="12.75" customHeight="1" x14ac:dyDescent="0.25">
      <c r="D72" s="438"/>
      <c r="E72" s="455"/>
      <c r="F72" s="456"/>
      <c r="G72" s="453"/>
      <c r="H72" s="453"/>
      <c r="I72" s="619" t="s">
        <v>4581</v>
      </c>
      <c r="J72" s="469">
        <v>154685.24406430955</v>
      </c>
      <c r="K72" s="469">
        <f t="shared" ref="K72:M72" si="31">+K460</f>
        <v>204340.1473625502</v>
      </c>
      <c r="L72" s="469">
        <f t="shared" si="31"/>
        <v>211178.29860216944</v>
      </c>
      <c r="M72" s="469">
        <f t="shared" si="31"/>
        <v>211163.96711848283</v>
      </c>
      <c r="N72" s="469">
        <f t="shared" ref="N72:O72" si="32">+N460</f>
        <v>218078.86336812939</v>
      </c>
      <c r="O72" s="469">
        <f t="shared" si="32"/>
        <v>226148.01813988789</v>
      </c>
    </row>
    <row r="73" spans="4:24 16369:16369" ht="12.75" customHeight="1" x14ac:dyDescent="0.25">
      <c r="D73" s="438"/>
      <c r="E73" s="438"/>
      <c r="F73" s="438"/>
      <c r="G73" s="453"/>
      <c r="H73" s="453"/>
      <c r="I73" s="619" t="s">
        <v>4723</v>
      </c>
      <c r="J73" s="620">
        <v>75000</v>
      </c>
      <c r="K73" s="620">
        <f t="shared" ref="K73:M73" si="33">K406</f>
        <v>75000</v>
      </c>
      <c r="L73" s="620">
        <f t="shared" si="33"/>
        <v>75000</v>
      </c>
      <c r="M73" s="620">
        <f t="shared" si="33"/>
        <v>75001</v>
      </c>
      <c r="N73" s="620">
        <f t="shared" ref="N73:O73" si="34">N406</f>
        <v>75001</v>
      </c>
      <c r="O73" s="620">
        <f t="shared" si="34"/>
        <v>75001</v>
      </c>
    </row>
    <row r="74" spans="4:24 16369:16369" ht="12.75" customHeight="1" x14ac:dyDescent="0.25">
      <c r="D74" s="438"/>
      <c r="E74" s="438"/>
      <c r="F74" s="438"/>
      <c r="G74" s="453"/>
      <c r="H74" s="453"/>
      <c r="I74" s="619"/>
      <c r="J74" s="469">
        <v>1144930.2440643096</v>
      </c>
      <c r="K74" s="469">
        <f t="shared" ref="K74:M74" si="35">SUM(K71:K73)</f>
        <v>1241673.1473625503</v>
      </c>
      <c r="L74" s="469">
        <f t="shared" si="35"/>
        <v>1267292.2986021694</v>
      </c>
      <c r="M74" s="469">
        <f t="shared" si="35"/>
        <v>1291096.9671184828</v>
      </c>
      <c r="N74" s="469">
        <f t="shared" ref="N74:O74" si="36">SUM(N71:N73)</f>
        <v>1322444.8633681294</v>
      </c>
      <c r="O74" s="469">
        <f t="shared" si="36"/>
        <v>1363890.0181398878</v>
      </c>
    </row>
    <row r="75" spans="4:24 16369:16369" ht="12.75" customHeight="1" x14ac:dyDescent="0.25">
      <c r="D75" s="438"/>
      <c r="E75" s="438"/>
      <c r="F75" s="438"/>
      <c r="G75" s="453"/>
      <c r="H75" s="453"/>
      <c r="I75" s="619"/>
      <c r="J75" s="469"/>
      <c r="K75" s="469"/>
      <c r="L75" s="469"/>
      <c r="M75" s="469"/>
      <c r="N75" s="469"/>
      <c r="O75" s="469"/>
    </row>
    <row r="76" spans="4:24 16369:16369" ht="12.75" customHeight="1" x14ac:dyDescent="0.25">
      <c r="D76" s="438"/>
      <c r="E76" s="438"/>
      <c r="F76" s="438"/>
      <c r="G76" s="453"/>
      <c r="H76" s="453"/>
      <c r="I76" s="453"/>
      <c r="J76" s="469"/>
      <c r="K76" s="469"/>
      <c r="L76" s="469"/>
      <c r="M76" s="469"/>
      <c r="N76" s="469"/>
      <c r="O76" s="469"/>
    </row>
    <row r="77" spans="4:24 16369:16369" ht="12.75" customHeight="1" x14ac:dyDescent="0.25">
      <c r="D77" s="312" t="s">
        <v>528</v>
      </c>
      <c r="E77" s="382"/>
      <c r="F77" s="382"/>
      <c r="G77" s="304"/>
    </row>
    <row r="78" spans="4:24 16369:16369" ht="12.75" customHeight="1" x14ac:dyDescent="0.25">
      <c r="I78" s="114"/>
      <c r="U78" s="115">
        <v>1917.78</v>
      </c>
    </row>
    <row r="79" spans="4:24 16369:16369" ht="12.75" customHeight="1" x14ac:dyDescent="0.25">
      <c r="D79" s="2628" t="s">
        <v>529</v>
      </c>
      <c r="E79" s="1797" t="s">
        <v>530</v>
      </c>
      <c r="F79" s="2504" t="s">
        <v>531</v>
      </c>
      <c r="G79" s="2506" t="s">
        <v>206</v>
      </c>
      <c r="H79" s="2507"/>
      <c r="I79" s="1775"/>
      <c r="J79" s="1792"/>
      <c r="K79" s="1792"/>
      <c r="L79" s="1792"/>
      <c r="M79" s="1792"/>
      <c r="N79" s="1792"/>
      <c r="O79" s="1792"/>
      <c r="P79" s="114"/>
      <c r="Q79" s="114"/>
      <c r="R79" s="114"/>
      <c r="S79" s="114"/>
      <c r="U79" s="115">
        <v>235.15</v>
      </c>
      <c r="XEO79" s="1792"/>
    </row>
    <row r="80" spans="4:24 16369:16369" ht="12.75" customHeight="1" x14ac:dyDescent="0.25">
      <c r="D80" s="2629"/>
      <c r="E80" s="327" t="s">
        <v>532</v>
      </c>
      <c r="F80" s="2569"/>
      <c r="G80" s="2508"/>
      <c r="H80" s="2509"/>
      <c r="I80" s="66"/>
      <c r="J80" s="1941">
        <v>2025</v>
      </c>
      <c r="K80" s="1941">
        <v>2026</v>
      </c>
      <c r="L80" s="1941">
        <v>2027</v>
      </c>
      <c r="M80" s="1941">
        <v>2028</v>
      </c>
      <c r="N80" s="1941">
        <v>2029</v>
      </c>
      <c r="O80" s="1941">
        <v>2030</v>
      </c>
      <c r="U80" s="115">
        <v>6406.53</v>
      </c>
    </row>
    <row r="81" spans="1:21" ht="12.75" customHeight="1" x14ac:dyDescent="0.25">
      <c r="D81" s="1884"/>
      <c r="E81" s="352"/>
      <c r="F81" s="352"/>
      <c r="G81" s="1774"/>
      <c r="H81" s="326"/>
      <c r="I81" s="1896"/>
      <c r="J81" s="316"/>
      <c r="K81" s="316"/>
      <c r="L81" s="316"/>
      <c r="M81" s="316"/>
      <c r="N81" s="316"/>
      <c r="O81" s="316"/>
      <c r="U81" s="115">
        <v>310.92</v>
      </c>
    </row>
    <row r="82" spans="1:21" ht="12.75" customHeight="1" x14ac:dyDescent="0.25">
      <c r="D82" s="621">
        <v>648006</v>
      </c>
      <c r="E82" s="331"/>
      <c r="F82" s="331"/>
      <c r="G82" s="332" t="s">
        <v>4724</v>
      </c>
      <c r="I82" s="318"/>
      <c r="J82" s="335"/>
      <c r="K82" s="335"/>
      <c r="L82" s="335"/>
      <c r="M82" s="335"/>
      <c r="N82" s="335"/>
      <c r="O82" s="335"/>
      <c r="P82" s="383"/>
      <c r="Q82" s="383"/>
      <c r="R82" s="383"/>
      <c r="S82" s="383"/>
      <c r="T82" s="383"/>
    </row>
    <row r="83" spans="1:21" ht="12.75" customHeight="1" x14ac:dyDescent="0.25">
      <c r="D83" s="621"/>
      <c r="E83" s="331"/>
      <c r="F83" s="331"/>
      <c r="G83" s="334" t="s">
        <v>533</v>
      </c>
      <c r="I83" s="318"/>
      <c r="J83" s="335"/>
      <c r="K83" s="335"/>
      <c r="L83" s="335"/>
      <c r="M83" s="335"/>
      <c r="N83" s="335"/>
      <c r="O83" s="335"/>
      <c r="U83" s="115">
        <f>SUM(U78:U82)</f>
        <v>8870.3799999999992</v>
      </c>
    </row>
    <row r="84" spans="1:21" ht="12.75" customHeight="1" x14ac:dyDescent="0.25">
      <c r="A84" s="306">
        <f>+D82</f>
        <v>648006</v>
      </c>
      <c r="B84" s="115" t="str">
        <f>+G82</f>
        <v>Straatreiniging, aandeel afval</v>
      </c>
      <c r="D84" s="551">
        <v>43812</v>
      </c>
      <c r="E84" s="337"/>
      <c r="F84" s="337"/>
      <c r="G84" s="319" t="s">
        <v>535</v>
      </c>
      <c r="I84" s="318"/>
      <c r="J84" s="317">
        <v>179980</v>
      </c>
      <c r="K84" s="317">
        <f>-'T21'!K743</f>
        <v>207184</v>
      </c>
      <c r="L84" s="317">
        <f>-'T21'!L743</f>
        <v>221205</v>
      </c>
      <c r="M84" s="317">
        <f>-'T21'!M743</f>
        <v>234965</v>
      </c>
      <c r="N84" s="317">
        <f>-'T21'!N743</f>
        <v>249036</v>
      </c>
      <c r="O84" s="317">
        <f>-'T21'!O743</f>
        <v>263307</v>
      </c>
      <c r="Q84" s="494"/>
      <c r="R84" s="494" t="s">
        <v>4725</v>
      </c>
      <c r="S84" s="494"/>
      <c r="T84" s="494"/>
    </row>
    <row r="85" spans="1:21" ht="12.75" customHeight="1" x14ac:dyDescent="0.25">
      <c r="A85" s="336">
        <f>+D82</f>
        <v>648006</v>
      </c>
      <c r="B85" s="115" t="str">
        <f>+G82</f>
        <v>Straatreiniging, aandeel afval</v>
      </c>
      <c r="D85" s="551">
        <v>44510</v>
      </c>
      <c r="E85" s="337"/>
      <c r="F85" s="337"/>
      <c r="G85" s="319" t="s">
        <v>4715</v>
      </c>
      <c r="I85" s="318"/>
      <c r="J85" s="317">
        <v>35554</v>
      </c>
      <c r="K85" s="317">
        <f>-'T21'!K746</f>
        <v>41627</v>
      </c>
      <c r="L85" s="317">
        <f>-'T21'!L746</f>
        <v>44484</v>
      </c>
      <c r="M85" s="317">
        <f>-'T21'!M746</f>
        <v>47334</v>
      </c>
      <c r="N85" s="317">
        <f>-'T21'!N746</f>
        <v>50219</v>
      </c>
      <c r="O85" s="317">
        <f>-'T21'!O746</f>
        <v>53139</v>
      </c>
      <c r="Q85" s="494"/>
      <c r="R85" s="494" t="s">
        <v>4725</v>
      </c>
      <c r="S85" s="494"/>
      <c r="T85" s="494"/>
    </row>
    <row r="86" spans="1:21" ht="12.75" customHeight="1" thickBot="1" x14ac:dyDescent="0.3">
      <c r="D86" s="622"/>
      <c r="E86" s="340"/>
      <c r="F86" s="340"/>
      <c r="G86" s="319" t="s">
        <v>536</v>
      </c>
      <c r="I86" s="318"/>
      <c r="J86" s="342">
        <v>215534</v>
      </c>
      <c r="K86" s="342">
        <f t="shared" ref="K86:M86" si="37">SUM(K83:K85)</f>
        <v>248811</v>
      </c>
      <c r="L86" s="342">
        <f t="shared" si="37"/>
        <v>265689</v>
      </c>
      <c r="M86" s="342">
        <f t="shared" si="37"/>
        <v>282299</v>
      </c>
      <c r="N86" s="342">
        <f t="shared" ref="N86:O86" si="38">SUM(N83:N85)</f>
        <v>299255</v>
      </c>
      <c r="O86" s="342">
        <f t="shared" si="38"/>
        <v>316446</v>
      </c>
    </row>
    <row r="87" spans="1:21" ht="12.75" customHeight="1" thickTop="1" x14ac:dyDescent="0.25">
      <c r="D87" s="622"/>
      <c r="E87" s="340"/>
      <c r="F87" s="340"/>
      <c r="G87" s="319"/>
      <c r="I87" s="318"/>
      <c r="J87" s="344"/>
      <c r="K87" s="344"/>
      <c r="L87" s="344"/>
      <c r="M87" s="344"/>
      <c r="N87" s="344"/>
      <c r="O87" s="344"/>
    </row>
    <row r="88" spans="1:21" ht="12.75" customHeight="1" x14ac:dyDescent="0.25">
      <c r="D88" s="621">
        <v>648005</v>
      </c>
      <c r="E88" s="331"/>
      <c r="F88" s="331"/>
      <c r="G88" s="332" t="s">
        <v>4726</v>
      </c>
      <c r="I88" s="318"/>
      <c r="J88" s="317"/>
      <c r="K88" s="317"/>
      <c r="L88" s="317"/>
      <c r="M88" s="317"/>
      <c r="N88" s="317"/>
      <c r="O88" s="317"/>
    </row>
    <row r="89" spans="1:21" ht="12.75" customHeight="1" x14ac:dyDescent="0.25">
      <c r="D89" s="622"/>
      <c r="E89" s="340"/>
      <c r="F89" s="340"/>
      <c r="G89" s="334" t="s">
        <v>533</v>
      </c>
      <c r="I89" s="318"/>
      <c r="J89" s="317"/>
      <c r="K89" s="317"/>
      <c r="L89" s="317"/>
      <c r="M89" s="317"/>
      <c r="N89" s="317"/>
      <c r="O89" s="317"/>
    </row>
    <row r="90" spans="1:21" ht="12.75" customHeight="1" x14ac:dyDescent="0.25">
      <c r="A90" s="306">
        <f>+D88</f>
        <v>648005</v>
      </c>
      <c r="B90" s="115" t="str">
        <f>+G88</f>
        <v>Inzamelen clandestien gestort vuil</v>
      </c>
      <c r="D90" s="551">
        <v>43812</v>
      </c>
      <c r="E90" s="337"/>
      <c r="F90" s="337"/>
      <c r="G90" s="319" t="s">
        <v>535</v>
      </c>
      <c r="I90" s="318"/>
      <c r="J90" s="317">
        <v>42641</v>
      </c>
      <c r="K90" s="317">
        <f t="shared" ref="K90:M90" si="39">K192</f>
        <v>43750</v>
      </c>
      <c r="L90" s="317">
        <f t="shared" si="39"/>
        <v>44669</v>
      </c>
      <c r="M90" s="317">
        <f t="shared" si="39"/>
        <v>45696</v>
      </c>
      <c r="N90" s="317">
        <f t="shared" ref="N90:O90" si="40">N192</f>
        <v>46747</v>
      </c>
      <c r="O90" s="317">
        <f t="shared" si="40"/>
        <v>47822</v>
      </c>
    </row>
    <row r="91" spans="1:21" ht="12.75" customHeight="1" x14ac:dyDescent="0.25">
      <c r="A91" s="336">
        <f>+D88</f>
        <v>648005</v>
      </c>
      <c r="B91" s="115" t="str">
        <f>+G88</f>
        <v>Inzamelen clandestien gestort vuil</v>
      </c>
      <c r="D91" s="551">
        <v>44510</v>
      </c>
      <c r="E91" s="337"/>
      <c r="F91" s="337"/>
      <c r="G91" s="319" t="s">
        <v>4715</v>
      </c>
      <c r="I91" s="318"/>
      <c r="J91" s="317">
        <v>8955</v>
      </c>
      <c r="K91" s="317">
        <f t="shared" ref="K91:M91" si="41">ROUND(K90*0.21,0)</f>
        <v>9188</v>
      </c>
      <c r="L91" s="317">
        <f t="shared" si="41"/>
        <v>9380</v>
      </c>
      <c r="M91" s="317">
        <f t="shared" si="41"/>
        <v>9596</v>
      </c>
      <c r="N91" s="317">
        <f t="shared" ref="N91:O91" si="42">ROUND(N90*0.21,0)</f>
        <v>9817</v>
      </c>
      <c r="O91" s="317">
        <f t="shared" si="42"/>
        <v>10043</v>
      </c>
    </row>
    <row r="92" spans="1:21" ht="12.75" customHeight="1" thickBot="1" x14ac:dyDescent="0.3">
      <c r="D92" s="622"/>
      <c r="E92" s="340"/>
      <c r="F92" s="340"/>
      <c r="G92" s="319" t="s">
        <v>536</v>
      </c>
      <c r="I92" s="318"/>
      <c r="J92" s="342">
        <v>51596</v>
      </c>
      <c r="K92" s="342">
        <f t="shared" ref="K92" si="43">SUM(K89:K91)</f>
        <v>52938</v>
      </c>
      <c r="L92" s="342">
        <f t="shared" ref="L92:M92" si="44">SUM(L89:L91)</f>
        <v>54049</v>
      </c>
      <c r="M92" s="342">
        <f t="shared" si="44"/>
        <v>55292</v>
      </c>
      <c r="N92" s="342">
        <f t="shared" ref="N92:O92" si="45">SUM(N89:N91)</f>
        <v>56564</v>
      </c>
      <c r="O92" s="342">
        <f t="shared" si="45"/>
        <v>57865</v>
      </c>
    </row>
    <row r="93" spans="1:21" ht="12.75" customHeight="1" thickTop="1" x14ac:dyDescent="0.25">
      <c r="D93" s="623"/>
      <c r="E93" s="352"/>
      <c r="F93" s="352"/>
      <c r="G93" s="354"/>
      <c r="H93" s="355"/>
      <c r="I93" s="318"/>
      <c r="J93" s="357"/>
      <c r="K93" s="357"/>
      <c r="L93" s="357"/>
      <c r="M93" s="357"/>
      <c r="N93" s="357"/>
      <c r="O93" s="357"/>
    </row>
    <row r="94" spans="1:21" ht="12.75" customHeight="1" x14ac:dyDescent="0.25">
      <c r="D94" s="621">
        <v>648001</v>
      </c>
      <c r="E94" s="331"/>
      <c r="F94" s="331"/>
      <c r="G94" s="332" t="s">
        <v>4727</v>
      </c>
      <c r="I94" s="318"/>
      <c r="J94" s="316"/>
      <c r="K94" s="316"/>
      <c r="L94" s="316"/>
      <c r="M94" s="316"/>
      <c r="N94" s="316"/>
      <c r="O94" s="316"/>
    </row>
    <row r="95" spans="1:21" ht="12.75" customHeight="1" x14ac:dyDescent="0.25">
      <c r="D95" s="621"/>
      <c r="E95" s="331"/>
      <c r="F95" s="331"/>
      <c r="G95" s="334" t="s">
        <v>533</v>
      </c>
      <c r="I95" s="318"/>
      <c r="J95" s="316"/>
      <c r="K95" s="316"/>
      <c r="L95" s="316"/>
      <c r="M95" s="316"/>
      <c r="N95" s="316"/>
      <c r="O95" s="316"/>
    </row>
    <row r="96" spans="1:21" ht="12.75" customHeight="1" x14ac:dyDescent="0.25">
      <c r="A96" s="306">
        <f>+D94</f>
        <v>648001</v>
      </c>
      <c r="B96" s="115" t="str">
        <f>+G94</f>
        <v>Huisvuilophaaldienst</v>
      </c>
      <c r="D96" s="551">
        <v>43511</v>
      </c>
      <c r="E96" s="337"/>
      <c r="F96" s="337"/>
      <c r="G96" s="319" t="s">
        <v>560</v>
      </c>
      <c r="I96" s="318"/>
      <c r="J96" s="317">
        <v>0</v>
      </c>
      <c r="K96" s="317">
        <v>0</v>
      </c>
      <c r="L96" s="317">
        <v>0</v>
      </c>
      <c r="M96" s="317">
        <v>0</v>
      </c>
      <c r="N96" s="317">
        <v>0</v>
      </c>
      <c r="O96" s="317">
        <v>0</v>
      </c>
    </row>
    <row r="97" spans="1:15" ht="12.75" customHeight="1" x14ac:dyDescent="0.25">
      <c r="A97" s="306">
        <v>648001</v>
      </c>
      <c r="B97" s="115" t="s">
        <v>4727</v>
      </c>
      <c r="D97" s="551">
        <v>43812</v>
      </c>
      <c r="E97" s="337"/>
      <c r="F97" s="337"/>
      <c r="G97" s="319" t="s">
        <v>535</v>
      </c>
      <c r="I97" s="318"/>
      <c r="J97" s="318">
        <v>358705</v>
      </c>
      <c r="K97" s="318">
        <f>K252</f>
        <v>388032</v>
      </c>
      <c r="L97" s="318">
        <f>L252</f>
        <v>375760</v>
      </c>
      <c r="M97" s="318">
        <f>M252</f>
        <v>384402</v>
      </c>
      <c r="N97" s="318">
        <f>N252</f>
        <v>393243</v>
      </c>
      <c r="O97" s="318">
        <f>O252</f>
        <v>402287</v>
      </c>
    </row>
    <row r="98" spans="1:15" ht="12.75" customHeight="1" x14ac:dyDescent="0.25">
      <c r="A98" s="306">
        <v>648001</v>
      </c>
      <c r="B98" s="115" t="s">
        <v>4727</v>
      </c>
      <c r="D98" s="551">
        <v>43815</v>
      </c>
      <c r="E98" s="337"/>
      <c r="F98" s="337"/>
      <c r="G98" s="319" t="s">
        <v>4728</v>
      </c>
      <c r="I98" s="318"/>
      <c r="J98" s="318">
        <v>2131914.4335000003</v>
      </c>
      <c r="K98" s="318">
        <f>+K211</f>
        <v>2240508.8023999999</v>
      </c>
      <c r="L98" s="318">
        <f>+L211</f>
        <v>2285320</v>
      </c>
      <c r="M98" s="318">
        <f>+M211</f>
        <v>2331028</v>
      </c>
      <c r="N98" s="318">
        <f>+N211</f>
        <v>2377648</v>
      </c>
      <c r="O98" s="318">
        <f>+O211</f>
        <v>2465620</v>
      </c>
    </row>
    <row r="99" spans="1:15" ht="12.75" customHeight="1" x14ac:dyDescent="0.25">
      <c r="A99" s="306">
        <v>648001</v>
      </c>
      <c r="B99" s="115" t="s">
        <v>4727</v>
      </c>
      <c r="D99" s="551">
        <v>43816</v>
      </c>
      <c r="E99" s="337"/>
      <c r="F99" s="337"/>
      <c r="G99" s="319" t="s">
        <v>4729</v>
      </c>
      <c r="I99" s="318"/>
      <c r="J99" s="318">
        <v>702979.8</v>
      </c>
      <c r="K99" s="318">
        <f>+K229</f>
        <v>736497.43500000006</v>
      </c>
      <c r="L99" s="318">
        <f>+L229</f>
        <v>751127</v>
      </c>
      <c r="M99" s="318">
        <f>+M229</f>
        <v>767485</v>
      </c>
      <c r="N99" s="318">
        <f>+N229</f>
        <v>784218</v>
      </c>
      <c r="O99" s="318">
        <f>+O229</f>
        <v>801335</v>
      </c>
    </row>
    <row r="100" spans="1:15" ht="12.75" customHeight="1" x14ac:dyDescent="0.25">
      <c r="A100" s="306">
        <v>648001</v>
      </c>
      <c r="B100" s="115" t="s">
        <v>4727</v>
      </c>
      <c r="D100" s="551">
        <v>44510</v>
      </c>
      <c r="E100" s="337"/>
      <c r="F100" s="337"/>
      <c r="G100" s="319" t="s">
        <v>4715</v>
      </c>
      <c r="I100" s="318"/>
      <c r="J100" s="318">
        <v>670656</v>
      </c>
      <c r="K100" s="318">
        <f>K259</f>
        <v>706658</v>
      </c>
      <c r="L100" s="318">
        <f>L259</f>
        <v>716564</v>
      </c>
      <c r="M100" s="318">
        <f>M259</f>
        <v>731412</v>
      </c>
      <c r="N100" s="318">
        <f>N259</f>
        <v>746573</v>
      </c>
      <c r="O100" s="318">
        <f>O259</f>
        <v>770541</v>
      </c>
    </row>
    <row r="101" spans="1:15" ht="12.75" customHeight="1" x14ac:dyDescent="0.25">
      <c r="A101" s="306">
        <v>648001</v>
      </c>
      <c r="B101" s="115" t="s">
        <v>4727</v>
      </c>
      <c r="D101" s="551">
        <v>47300</v>
      </c>
      <c r="E101" s="337"/>
      <c r="F101" s="337"/>
      <c r="G101" s="319" t="s">
        <v>4730</v>
      </c>
      <c r="I101" s="318"/>
      <c r="J101" s="317">
        <v>0</v>
      </c>
      <c r="K101" s="317">
        <v>0</v>
      </c>
      <c r="L101" s="317">
        <v>0</v>
      </c>
      <c r="M101" s="317">
        <v>0</v>
      </c>
      <c r="N101" s="317">
        <v>0</v>
      </c>
      <c r="O101" s="317">
        <v>0</v>
      </c>
    </row>
    <row r="102" spans="1:15" ht="12.75" customHeight="1" thickBot="1" x14ac:dyDescent="0.3">
      <c r="D102" s="622"/>
      <c r="E102" s="340"/>
      <c r="F102" s="340"/>
      <c r="G102" s="319" t="s">
        <v>536</v>
      </c>
      <c r="I102" s="318"/>
      <c r="J102" s="480">
        <v>3864255.2335000001</v>
      </c>
      <c r="K102" s="480">
        <f t="shared" ref="K102:M102" si="46">SUM(K96:K101)</f>
        <v>4071696.2374</v>
      </c>
      <c r="L102" s="480">
        <f t="shared" si="46"/>
        <v>4128771</v>
      </c>
      <c r="M102" s="480">
        <f t="shared" si="46"/>
        <v>4214327</v>
      </c>
      <c r="N102" s="480">
        <f t="shared" ref="N102:O102" si="47">SUM(N96:N101)</f>
        <v>4301682</v>
      </c>
      <c r="O102" s="480">
        <f t="shared" si="47"/>
        <v>4439783</v>
      </c>
    </row>
    <row r="103" spans="1:15" ht="12.75" customHeight="1" thickTop="1" x14ac:dyDescent="0.25">
      <c r="D103" s="622"/>
      <c r="E103" s="340"/>
      <c r="F103" s="340"/>
      <c r="G103" s="319"/>
      <c r="I103" s="318"/>
      <c r="J103" s="344"/>
      <c r="K103" s="344"/>
      <c r="L103" s="344"/>
      <c r="M103" s="344"/>
      <c r="N103" s="344"/>
      <c r="O103" s="344"/>
    </row>
    <row r="104" spans="1:15" ht="12.75" customHeight="1" x14ac:dyDescent="0.25">
      <c r="D104" s="621">
        <v>648002</v>
      </c>
      <c r="E104" s="331"/>
      <c r="F104" s="331"/>
      <c r="G104" s="332" t="s">
        <v>4731</v>
      </c>
      <c r="I104" s="318"/>
      <c r="J104" s="335"/>
      <c r="K104" s="335"/>
      <c r="L104" s="335"/>
      <c r="M104" s="335"/>
      <c r="N104" s="335"/>
      <c r="O104" s="335"/>
    </row>
    <row r="105" spans="1:15" ht="12.75" customHeight="1" x14ac:dyDescent="0.25">
      <c r="D105" s="621"/>
      <c r="E105" s="331"/>
      <c r="F105" s="331"/>
      <c r="G105" s="334" t="s">
        <v>533</v>
      </c>
      <c r="I105" s="318"/>
      <c r="J105" s="335"/>
      <c r="K105" s="335"/>
      <c r="L105" s="335"/>
      <c r="M105" s="335"/>
      <c r="N105" s="335"/>
      <c r="O105" s="335"/>
    </row>
    <row r="106" spans="1:15" ht="12.75" customHeight="1" x14ac:dyDescent="0.25">
      <c r="A106" s="306">
        <f>+D104</f>
        <v>648002</v>
      </c>
      <c r="B106" s="115" t="str">
        <f>+G104</f>
        <v>Inzamelen van chemische afvalstoffen</v>
      </c>
      <c r="D106" s="551">
        <v>43812</v>
      </c>
      <c r="E106" s="337"/>
      <c r="F106" s="337"/>
      <c r="G106" s="319" t="s">
        <v>535</v>
      </c>
      <c r="I106" s="318"/>
      <c r="J106" s="318">
        <v>7311</v>
      </c>
      <c r="K106" s="318">
        <f>K283</f>
        <v>7469</v>
      </c>
      <c r="L106" s="318">
        <f>L283</f>
        <v>7601</v>
      </c>
      <c r="M106" s="318">
        <f>M283</f>
        <v>7747</v>
      </c>
      <c r="N106" s="318">
        <f>N283</f>
        <v>8311</v>
      </c>
      <c r="O106" s="318">
        <f>O283</f>
        <v>8473</v>
      </c>
    </row>
    <row r="107" spans="1:15" ht="12.75" customHeight="1" x14ac:dyDescent="0.25">
      <c r="A107" s="306">
        <v>648002</v>
      </c>
      <c r="B107" s="115" t="s">
        <v>4731</v>
      </c>
      <c r="D107" s="551">
        <v>44510</v>
      </c>
      <c r="E107" s="337"/>
      <c r="F107" s="337"/>
      <c r="G107" s="319" t="s">
        <v>4715</v>
      </c>
      <c r="I107" s="318"/>
      <c r="J107" s="317">
        <v>1535</v>
      </c>
      <c r="K107" s="317">
        <f>ROUND(K106*0.21,0)</f>
        <v>1568</v>
      </c>
      <c r="L107" s="317">
        <f>ROUND(L106*0.21,0)</f>
        <v>1596</v>
      </c>
      <c r="M107" s="317">
        <f>ROUND(M106*0.21,0)</f>
        <v>1627</v>
      </c>
      <c r="N107" s="317">
        <f>ROUND(N106*0.21,0)</f>
        <v>1745</v>
      </c>
      <c r="O107" s="317">
        <f>ROUND(O106*0.21,0)</f>
        <v>1779</v>
      </c>
    </row>
    <row r="108" spans="1:15" ht="12.75" customHeight="1" thickBot="1" x14ac:dyDescent="0.3">
      <c r="D108" s="622"/>
      <c r="E108" s="340"/>
      <c r="F108" s="340"/>
      <c r="G108" s="319" t="s">
        <v>536</v>
      </c>
      <c r="I108" s="318"/>
      <c r="J108" s="480">
        <v>8846</v>
      </c>
      <c r="K108" s="480">
        <f t="shared" ref="K108:M108" si="48">SUM(K106:K107)</f>
        <v>9037</v>
      </c>
      <c r="L108" s="480">
        <f t="shared" si="48"/>
        <v>9197</v>
      </c>
      <c r="M108" s="480">
        <f t="shared" si="48"/>
        <v>9374</v>
      </c>
      <c r="N108" s="480">
        <f t="shared" ref="N108:O108" si="49">SUM(N106:N107)</f>
        <v>10056</v>
      </c>
      <c r="O108" s="480">
        <f t="shared" si="49"/>
        <v>10252</v>
      </c>
    </row>
    <row r="109" spans="1:15" ht="12.75" customHeight="1" thickTop="1" x14ac:dyDescent="0.25">
      <c r="D109" s="622"/>
      <c r="E109" s="340"/>
      <c r="F109" s="340"/>
      <c r="G109" s="319"/>
      <c r="I109" s="318"/>
      <c r="J109" s="344"/>
      <c r="K109" s="344"/>
      <c r="L109" s="344"/>
      <c r="M109" s="344"/>
      <c r="N109" s="344"/>
      <c r="O109" s="344"/>
    </row>
    <row r="110" spans="1:15" ht="12.75" customHeight="1" x14ac:dyDescent="0.25">
      <c r="D110" s="621">
        <v>648004</v>
      </c>
      <c r="E110" s="331"/>
      <c r="F110" s="331"/>
      <c r="G110" s="332" t="s">
        <v>4732</v>
      </c>
      <c r="I110" s="318"/>
      <c r="J110" s="335"/>
      <c r="K110" s="335"/>
      <c r="L110" s="335"/>
      <c r="M110" s="335"/>
      <c r="N110" s="335"/>
      <c r="O110" s="335"/>
    </row>
    <row r="111" spans="1:15" ht="12.75" customHeight="1" x14ac:dyDescent="0.25">
      <c r="D111" s="621"/>
      <c r="E111" s="331"/>
      <c r="F111" s="331"/>
      <c r="G111" s="334" t="s">
        <v>533</v>
      </c>
      <c r="I111" s="318"/>
      <c r="J111" s="335"/>
      <c r="K111" s="335"/>
      <c r="L111" s="335"/>
      <c r="M111" s="335"/>
      <c r="N111" s="335"/>
      <c r="O111" s="335"/>
    </row>
    <row r="112" spans="1:15" ht="12.75" customHeight="1" x14ac:dyDescent="0.25">
      <c r="A112" s="306">
        <f>+D110</f>
        <v>648004</v>
      </c>
      <c r="B112" s="115" t="str">
        <f>+G110</f>
        <v>Heffen van reinigingsrechten</v>
      </c>
      <c r="D112" s="551">
        <v>43812</v>
      </c>
      <c r="E112" s="337"/>
      <c r="F112" s="337"/>
      <c r="G112" s="319" t="s">
        <v>535</v>
      </c>
      <c r="I112" s="318"/>
      <c r="J112" s="318">
        <v>3437</v>
      </c>
      <c r="K112" s="318">
        <f>K290</f>
        <v>3526</v>
      </c>
      <c r="L112" s="318">
        <f>L290</f>
        <v>3600</v>
      </c>
      <c r="M112" s="318">
        <f>M290</f>
        <v>3683</v>
      </c>
      <c r="N112" s="318">
        <f>N290</f>
        <v>3768</v>
      </c>
      <c r="O112" s="318">
        <f>O290</f>
        <v>3855</v>
      </c>
    </row>
    <row r="113" spans="1:19" ht="12.75" customHeight="1" x14ac:dyDescent="0.25">
      <c r="A113" s="306">
        <v>648004</v>
      </c>
      <c r="B113" s="115" t="s">
        <v>4732</v>
      </c>
      <c r="D113" s="551">
        <v>44510</v>
      </c>
      <c r="E113" s="337"/>
      <c r="F113" s="337"/>
      <c r="G113" s="319" t="s">
        <v>4715</v>
      </c>
      <c r="I113" s="318"/>
      <c r="J113" s="317">
        <v>722</v>
      </c>
      <c r="K113" s="317">
        <f>ROUND(K112*0.21,0)</f>
        <v>740</v>
      </c>
      <c r="L113" s="317">
        <f>ROUND(L112*0.21,0)</f>
        <v>756</v>
      </c>
      <c r="M113" s="317">
        <f>ROUND(M112*0.21,0)</f>
        <v>773</v>
      </c>
      <c r="N113" s="317">
        <f>ROUND(N112*0.21,0)</f>
        <v>791</v>
      </c>
      <c r="O113" s="317">
        <f>ROUND(O112*0.21,0)</f>
        <v>810</v>
      </c>
    </row>
    <row r="114" spans="1:19" ht="12.75" customHeight="1" thickBot="1" x14ac:dyDescent="0.3">
      <c r="D114" s="622"/>
      <c r="E114" s="340"/>
      <c r="F114" s="340"/>
      <c r="G114" s="319" t="s">
        <v>536</v>
      </c>
      <c r="I114" s="318"/>
      <c r="J114" s="342">
        <v>4159</v>
      </c>
      <c r="K114" s="342">
        <f t="shared" ref="K114" si="50">SUM(K111:K113)</f>
        <v>4266</v>
      </c>
      <c r="L114" s="342">
        <f t="shared" ref="L114:M114" si="51">SUM(L111:L113)</f>
        <v>4356</v>
      </c>
      <c r="M114" s="342">
        <f t="shared" si="51"/>
        <v>4456</v>
      </c>
      <c r="N114" s="342">
        <f t="shared" ref="N114:O114" si="52">SUM(N111:N113)</f>
        <v>4559</v>
      </c>
      <c r="O114" s="342">
        <f t="shared" si="52"/>
        <v>4665</v>
      </c>
    </row>
    <row r="115" spans="1:19" ht="12.75" customHeight="1" thickTop="1" x14ac:dyDescent="0.25">
      <c r="D115" s="622"/>
      <c r="E115" s="340"/>
      <c r="F115" s="340"/>
      <c r="G115" s="319"/>
      <c r="I115" s="318"/>
      <c r="J115" s="318"/>
      <c r="K115" s="318"/>
      <c r="L115" s="318"/>
      <c r="M115" s="318"/>
      <c r="N115" s="318"/>
      <c r="O115" s="318"/>
    </row>
    <row r="116" spans="1:19" ht="12.75" customHeight="1" x14ac:dyDescent="0.25">
      <c r="D116" s="621">
        <v>648002</v>
      </c>
      <c r="E116" s="331"/>
      <c r="F116" s="331"/>
      <c r="G116" s="332" t="s">
        <v>4733</v>
      </c>
      <c r="I116" s="318"/>
      <c r="J116" s="318"/>
      <c r="K116" s="318"/>
      <c r="L116" s="318"/>
      <c r="M116" s="318"/>
      <c r="N116" s="318"/>
      <c r="O116" s="318"/>
    </row>
    <row r="117" spans="1:19" ht="12.75" customHeight="1" x14ac:dyDescent="0.25">
      <c r="D117" s="622"/>
      <c r="E117" s="340"/>
      <c r="F117" s="340"/>
      <c r="G117" s="334" t="s">
        <v>533</v>
      </c>
      <c r="I117" s="318"/>
      <c r="J117" s="318"/>
      <c r="K117" s="318"/>
      <c r="L117" s="318"/>
      <c r="M117" s="318"/>
      <c r="N117" s="318"/>
      <c r="O117" s="318"/>
    </row>
    <row r="118" spans="1:19" ht="12.75" customHeight="1" x14ac:dyDescent="0.25">
      <c r="A118" s="306">
        <f>+D116</f>
        <v>648002</v>
      </c>
      <c r="B118" s="115" t="str">
        <f>+G116</f>
        <v>De Dieze 26 milieustraat</v>
      </c>
      <c r="D118" s="624">
        <v>42100</v>
      </c>
      <c r="E118" s="625"/>
      <c r="F118" s="625"/>
      <c r="G118" s="626" t="s">
        <v>978</v>
      </c>
      <c r="I118" s="318"/>
      <c r="J118" s="317">
        <v>2980</v>
      </c>
      <c r="K118" s="317">
        <f>ROUND(J118*S$2,0)</f>
        <v>3057</v>
      </c>
      <c r="L118" s="317">
        <f>ROUND(K118*T$2,0)</f>
        <v>3121</v>
      </c>
      <c r="M118" s="317">
        <f>ROUND(L118*U$2,0)</f>
        <v>3193</v>
      </c>
      <c r="N118" s="317">
        <f>ROUND(M118*V$2,0)</f>
        <v>3266</v>
      </c>
      <c r="O118" s="317">
        <f>ROUND(N118*W$2,0)</f>
        <v>3341</v>
      </c>
    </row>
    <row r="119" spans="1:19" ht="12.75" customHeight="1" x14ac:dyDescent="0.25">
      <c r="A119" s="306">
        <v>648002</v>
      </c>
      <c r="B119" s="115" t="s">
        <v>4733</v>
      </c>
      <c r="D119" s="624">
        <v>42100</v>
      </c>
      <c r="E119" s="625"/>
      <c r="F119" s="625"/>
      <c r="G119" s="626" t="s">
        <v>979</v>
      </c>
      <c r="I119" s="318"/>
      <c r="J119" s="317">
        <v>193</v>
      </c>
      <c r="K119" s="317">
        <f t="shared" ref="K119:K123" si="53">ROUND(J119*S$2,0)</f>
        <v>198</v>
      </c>
      <c r="L119" s="317">
        <f t="shared" ref="L119:O123" si="54">ROUND(K119*T$2,0)</f>
        <v>202</v>
      </c>
      <c r="M119" s="317">
        <f t="shared" si="54"/>
        <v>207</v>
      </c>
      <c r="N119" s="317">
        <f t="shared" si="54"/>
        <v>212</v>
      </c>
      <c r="O119" s="317">
        <f t="shared" si="54"/>
        <v>217</v>
      </c>
    </row>
    <row r="120" spans="1:19" ht="12.75" customHeight="1" x14ac:dyDescent="0.25">
      <c r="A120" s="306">
        <v>648002</v>
      </c>
      <c r="B120" s="115" t="s">
        <v>4733</v>
      </c>
      <c r="D120" s="624">
        <v>42100</v>
      </c>
      <c r="E120" s="625"/>
      <c r="F120" s="625"/>
      <c r="G120" s="626" t="s">
        <v>1578</v>
      </c>
      <c r="I120" s="318"/>
      <c r="J120" s="317">
        <v>367</v>
      </c>
      <c r="K120" s="317">
        <f t="shared" si="53"/>
        <v>377</v>
      </c>
      <c r="L120" s="317">
        <f t="shared" si="54"/>
        <v>385</v>
      </c>
      <c r="M120" s="317">
        <f t="shared" si="54"/>
        <v>394</v>
      </c>
      <c r="N120" s="317">
        <f t="shared" si="54"/>
        <v>403</v>
      </c>
      <c r="O120" s="317">
        <f t="shared" si="54"/>
        <v>412</v>
      </c>
    </row>
    <row r="121" spans="1:19" ht="12.75" customHeight="1" x14ac:dyDescent="0.25">
      <c r="A121" s="306">
        <v>648002</v>
      </c>
      <c r="B121" s="115" t="s">
        <v>4733</v>
      </c>
      <c r="D121" s="622">
        <v>43802</v>
      </c>
      <c r="E121" s="340"/>
      <c r="F121" s="340"/>
      <c r="G121" s="319" t="s">
        <v>991</v>
      </c>
      <c r="I121" s="318"/>
      <c r="J121" s="317">
        <v>6070</v>
      </c>
      <c r="K121" s="317">
        <f t="shared" si="53"/>
        <v>6228</v>
      </c>
      <c r="L121" s="317">
        <f t="shared" si="54"/>
        <v>6359</v>
      </c>
      <c r="M121" s="317">
        <f t="shared" si="54"/>
        <v>6505</v>
      </c>
      <c r="N121" s="317">
        <f t="shared" si="54"/>
        <v>6655</v>
      </c>
      <c r="O121" s="317">
        <f t="shared" si="54"/>
        <v>6808</v>
      </c>
    </row>
    <row r="122" spans="1:19" ht="12.75" customHeight="1" x14ac:dyDescent="0.25">
      <c r="A122" s="306">
        <v>648002</v>
      </c>
      <c r="B122" s="115" t="s">
        <v>4733</v>
      </c>
      <c r="D122" s="622">
        <v>43805</v>
      </c>
      <c r="E122" s="340"/>
      <c r="F122" s="340"/>
      <c r="G122" s="319" t="s">
        <v>730</v>
      </c>
      <c r="I122" s="318"/>
      <c r="J122" s="317">
        <v>83224</v>
      </c>
      <c r="K122" s="317">
        <f t="shared" si="53"/>
        <v>85388</v>
      </c>
      <c r="L122" s="317">
        <f t="shared" si="54"/>
        <v>87181</v>
      </c>
      <c r="M122" s="317">
        <f t="shared" si="54"/>
        <v>89186</v>
      </c>
      <c r="N122" s="317">
        <f t="shared" si="54"/>
        <v>91237</v>
      </c>
      <c r="O122" s="317">
        <f t="shared" si="54"/>
        <v>93335</v>
      </c>
    </row>
    <row r="123" spans="1:19" ht="12.75" customHeight="1" x14ac:dyDescent="0.25">
      <c r="A123" s="306">
        <v>648002</v>
      </c>
      <c r="B123" s="115" t="s">
        <v>4733</v>
      </c>
      <c r="D123" s="622">
        <v>43806</v>
      </c>
      <c r="E123" s="340"/>
      <c r="F123" s="340"/>
      <c r="G123" s="319" t="s">
        <v>3106</v>
      </c>
      <c r="I123" s="318"/>
      <c r="J123" s="317">
        <v>347</v>
      </c>
      <c r="K123" s="317">
        <f t="shared" si="53"/>
        <v>356</v>
      </c>
      <c r="L123" s="317">
        <f t="shared" si="54"/>
        <v>363</v>
      </c>
      <c r="M123" s="317">
        <f t="shared" si="54"/>
        <v>371</v>
      </c>
      <c r="N123" s="317">
        <f t="shared" si="54"/>
        <v>380</v>
      </c>
      <c r="O123" s="317">
        <f t="shared" si="54"/>
        <v>389</v>
      </c>
    </row>
    <row r="124" spans="1:19" ht="12.75" customHeight="1" x14ac:dyDescent="0.25">
      <c r="A124" s="306">
        <v>648002</v>
      </c>
      <c r="B124" s="115" t="s">
        <v>4733</v>
      </c>
      <c r="D124" s="551">
        <v>43814</v>
      </c>
      <c r="E124" s="337"/>
      <c r="F124" s="337"/>
      <c r="G124" s="319" t="s">
        <v>535</v>
      </c>
      <c r="I124" s="318"/>
      <c r="J124" s="317">
        <v>12045</v>
      </c>
      <c r="K124" s="317">
        <f t="shared" ref="K124:M124" si="55">+K307</f>
        <v>12333</v>
      </c>
      <c r="L124" s="317">
        <f t="shared" si="55"/>
        <v>12575</v>
      </c>
      <c r="M124" s="317">
        <f t="shared" si="55"/>
        <v>12846</v>
      </c>
      <c r="N124" s="317">
        <f t="shared" ref="N124:O124" si="56">+N307</f>
        <v>13123</v>
      </c>
      <c r="O124" s="317">
        <f t="shared" si="56"/>
        <v>13406</v>
      </c>
    </row>
    <row r="125" spans="1:19" ht="12.75" customHeight="1" x14ac:dyDescent="0.25">
      <c r="A125" s="306">
        <v>648002</v>
      </c>
      <c r="B125" s="115" t="s">
        <v>4733</v>
      </c>
      <c r="D125" s="551">
        <v>43812</v>
      </c>
      <c r="E125" s="337"/>
      <c r="F125" s="337"/>
      <c r="G125" s="319" t="s">
        <v>1579</v>
      </c>
      <c r="I125" s="318"/>
      <c r="J125" s="317">
        <v>477</v>
      </c>
      <c r="K125" s="317">
        <v>478</v>
      </c>
      <c r="L125" s="317">
        <v>479</v>
      </c>
      <c r="M125" s="317">
        <v>480</v>
      </c>
      <c r="N125" s="317">
        <v>480</v>
      </c>
      <c r="O125" s="317">
        <v>480</v>
      </c>
    </row>
    <row r="126" spans="1:19" ht="12.75" customHeight="1" x14ac:dyDescent="0.25">
      <c r="A126" s="306">
        <v>648002</v>
      </c>
      <c r="B126" s="115" t="s">
        <v>4733</v>
      </c>
      <c r="D126" s="551">
        <v>43814</v>
      </c>
      <c r="E126" s="337"/>
      <c r="F126" s="337"/>
      <c r="G126" s="319" t="s">
        <v>535</v>
      </c>
      <c r="I126" s="318"/>
      <c r="J126" s="317">
        <v>929968.24</v>
      </c>
      <c r="K126" s="317">
        <f>K322</f>
        <v>952198.08719999995</v>
      </c>
      <c r="L126" s="317">
        <f>L322</f>
        <v>979493.91981600004</v>
      </c>
      <c r="M126" s="317">
        <f>M322</f>
        <v>1007108.1274104801</v>
      </c>
      <c r="N126" s="317">
        <f>N322</f>
        <v>1035545.1112327944</v>
      </c>
      <c r="O126" s="317">
        <f>O322</f>
        <v>1064828.2845697782</v>
      </c>
    </row>
    <row r="127" spans="1:19" ht="12.75" customHeight="1" x14ac:dyDescent="0.25">
      <c r="A127" s="306">
        <v>648002</v>
      </c>
      <c r="B127" s="115" t="s">
        <v>4733</v>
      </c>
      <c r="D127" s="551">
        <v>44510</v>
      </c>
      <c r="E127" s="337"/>
      <c r="F127" s="337"/>
      <c r="G127" s="319" t="s">
        <v>4715</v>
      </c>
      <c r="I127" s="318"/>
      <c r="J127" s="317">
        <v>197823</v>
      </c>
      <c r="K127" s="317">
        <f>ROUND((K124+K126)*0.21,0)</f>
        <v>202552</v>
      </c>
      <c r="L127" s="317">
        <f>ROUND((L124+L126)*0.21,0)</f>
        <v>208334</v>
      </c>
      <c r="M127" s="317">
        <f>ROUND((M124+M126)*0.21,0)</f>
        <v>214190</v>
      </c>
      <c r="N127" s="317">
        <f>ROUND((N124+N126)*0.21,0)</f>
        <v>220220</v>
      </c>
      <c r="O127" s="317">
        <f>ROUND((O124+O126)*0.21,0)</f>
        <v>226429</v>
      </c>
    </row>
    <row r="128" spans="1:19" ht="12.75" customHeight="1" x14ac:dyDescent="0.25">
      <c r="A128" s="306">
        <v>648002</v>
      </c>
      <c r="B128" s="115" t="s">
        <v>4733</v>
      </c>
      <c r="D128" s="551">
        <v>47300</v>
      </c>
      <c r="E128" s="337"/>
      <c r="F128" s="337"/>
      <c r="G128" s="319" t="s">
        <v>1033</v>
      </c>
      <c r="I128" s="318"/>
      <c r="J128" s="317">
        <v>0</v>
      </c>
      <c r="K128" s="317">
        <v>0</v>
      </c>
      <c r="L128" s="317">
        <v>0</v>
      </c>
      <c r="M128" s="317">
        <v>0</v>
      </c>
      <c r="N128" s="317">
        <v>0</v>
      </c>
      <c r="O128" s="317">
        <v>0</v>
      </c>
      <c r="S128" s="114">
        <f>+J129+J134+J108+J139</f>
        <v>1262258.004</v>
      </c>
    </row>
    <row r="129" spans="1:15" ht="12.75" customHeight="1" thickBot="1" x14ac:dyDescent="0.3">
      <c r="D129" s="622"/>
      <c r="E129" s="340"/>
      <c r="F129" s="340"/>
      <c r="G129" s="319" t="s">
        <v>536</v>
      </c>
      <c r="I129" s="318"/>
      <c r="J129" s="480">
        <v>1233494.24</v>
      </c>
      <c r="K129" s="480">
        <f t="shared" ref="K129:M129" si="57">SUM(K118:K128)</f>
        <v>1263165.0872</v>
      </c>
      <c r="L129" s="480">
        <f t="shared" si="57"/>
        <v>1298492.9198159999</v>
      </c>
      <c r="M129" s="480">
        <f t="shared" si="57"/>
        <v>1334480.1274104801</v>
      </c>
      <c r="N129" s="480">
        <f t="shared" ref="N129:O129" si="58">SUM(N118:N128)</f>
        <v>1371521.1112327944</v>
      </c>
      <c r="O129" s="480">
        <f t="shared" si="58"/>
        <v>1409645.2845697782</v>
      </c>
    </row>
    <row r="130" spans="1:15" ht="12.75" customHeight="1" thickTop="1" x14ac:dyDescent="0.25">
      <c r="D130" s="622"/>
      <c r="E130" s="340"/>
      <c r="F130" s="340"/>
      <c r="G130" s="319"/>
      <c r="I130" s="318"/>
      <c r="J130" s="344"/>
      <c r="K130" s="344"/>
      <c r="L130" s="344"/>
      <c r="M130" s="344"/>
      <c r="N130" s="344"/>
      <c r="O130" s="344"/>
    </row>
    <row r="131" spans="1:15" ht="12.75" customHeight="1" x14ac:dyDescent="0.25">
      <c r="D131" s="621">
        <v>648002</v>
      </c>
      <c r="E131" s="331"/>
      <c r="F131" s="331"/>
      <c r="G131" s="332" t="s">
        <v>4734</v>
      </c>
      <c r="I131" s="318"/>
      <c r="J131" s="317"/>
      <c r="K131" s="317"/>
      <c r="L131" s="317"/>
      <c r="M131" s="317"/>
      <c r="N131" s="317"/>
      <c r="O131" s="317"/>
    </row>
    <row r="132" spans="1:15" ht="12.75" customHeight="1" x14ac:dyDescent="0.25">
      <c r="D132" s="622"/>
      <c r="E132" s="340"/>
      <c r="F132" s="340"/>
      <c r="G132" s="334" t="s">
        <v>533</v>
      </c>
      <c r="I132" s="318"/>
      <c r="J132" s="317"/>
      <c r="K132" s="317"/>
      <c r="L132" s="317"/>
      <c r="M132" s="317"/>
      <c r="N132" s="317"/>
      <c r="O132" s="317"/>
    </row>
    <row r="133" spans="1:15" ht="12.75" customHeight="1" x14ac:dyDescent="0.25">
      <c r="A133" s="306">
        <f>+D131</f>
        <v>648002</v>
      </c>
      <c r="B133" s="115" t="str">
        <f>+G131</f>
        <v xml:space="preserve">Transportkostenvereveningsregeling </v>
      </c>
      <c r="D133" s="551">
        <v>43812</v>
      </c>
      <c r="E133" s="337"/>
      <c r="F133" s="337"/>
      <c r="G133" s="319" t="s">
        <v>535</v>
      </c>
      <c r="I133" s="318"/>
      <c r="J133" s="317">
        <v>13821</v>
      </c>
      <c r="K133" s="317">
        <f>ROUND(J133*S$2,0)</f>
        <v>14180</v>
      </c>
      <c r="L133" s="317">
        <f>ROUND(K133*T$2,0)</f>
        <v>14478</v>
      </c>
      <c r="M133" s="317">
        <f>ROUND(L133*U$2,0)</f>
        <v>14811</v>
      </c>
      <c r="N133" s="317">
        <f>ROUND(M133*V$2,0)</f>
        <v>15152</v>
      </c>
      <c r="O133" s="317">
        <f>ROUND(N133*W$2,0)</f>
        <v>15500</v>
      </c>
    </row>
    <row r="134" spans="1:15" ht="12.75" customHeight="1" thickBot="1" x14ac:dyDescent="0.3">
      <c r="D134" s="622"/>
      <c r="E134" s="340"/>
      <c r="F134" s="340"/>
      <c r="G134" s="319" t="s">
        <v>536</v>
      </c>
      <c r="I134" s="318"/>
      <c r="J134" s="342">
        <v>13821</v>
      </c>
      <c r="K134" s="342">
        <f t="shared" ref="K134:M134" si="59">SUM(K132:K133)</f>
        <v>14180</v>
      </c>
      <c r="L134" s="342">
        <f t="shared" si="59"/>
        <v>14478</v>
      </c>
      <c r="M134" s="342">
        <f t="shared" si="59"/>
        <v>14811</v>
      </c>
      <c r="N134" s="342">
        <f t="shared" ref="N134:O134" si="60">SUM(N132:N133)</f>
        <v>15152</v>
      </c>
      <c r="O134" s="342">
        <f t="shared" si="60"/>
        <v>15500</v>
      </c>
    </row>
    <row r="135" spans="1:15" ht="12.75" customHeight="1" thickTop="1" x14ac:dyDescent="0.25">
      <c r="D135" s="622"/>
      <c r="E135" s="340"/>
      <c r="F135" s="340"/>
      <c r="G135" s="319"/>
      <c r="I135" s="318"/>
      <c r="J135" s="317"/>
      <c r="K135" s="317"/>
      <c r="L135" s="317"/>
      <c r="M135" s="317"/>
      <c r="N135" s="317"/>
      <c r="O135" s="317"/>
    </row>
    <row r="136" spans="1:15" ht="12.75" customHeight="1" x14ac:dyDescent="0.25">
      <c r="D136" s="621">
        <v>648002</v>
      </c>
      <c r="E136" s="331"/>
      <c r="F136" s="331"/>
      <c r="G136" s="332" t="s">
        <v>4735</v>
      </c>
      <c r="I136" s="318"/>
      <c r="J136" s="317"/>
      <c r="K136" s="317"/>
      <c r="L136" s="317"/>
      <c r="M136" s="317"/>
      <c r="N136" s="317"/>
      <c r="O136" s="317"/>
    </row>
    <row r="137" spans="1:15" ht="12.75" customHeight="1" x14ac:dyDescent="0.25">
      <c r="D137" s="622"/>
      <c r="E137" s="340"/>
      <c r="F137" s="340"/>
      <c r="G137" s="334" t="s">
        <v>533</v>
      </c>
      <c r="I137" s="318"/>
      <c r="J137" s="317"/>
      <c r="K137" s="317"/>
      <c r="L137" s="317"/>
      <c r="M137" s="317"/>
      <c r="N137" s="317"/>
      <c r="O137" s="317"/>
    </row>
    <row r="138" spans="1:15" ht="12.75" customHeight="1" x14ac:dyDescent="0.25">
      <c r="A138" s="306">
        <f>+D136</f>
        <v>648002</v>
      </c>
      <c r="B138" s="115" t="str">
        <f>+G136</f>
        <v>Regionale Milieudienst</v>
      </c>
      <c r="D138" s="551">
        <v>44360</v>
      </c>
      <c r="E138" s="337"/>
      <c r="F138" s="337"/>
      <c r="G138" s="319" t="s">
        <v>3285</v>
      </c>
      <c r="I138" s="318"/>
      <c r="J138" s="142">
        <v>6096.7640000000001</v>
      </c>
      <c r="K138" s="142">
        <f>K343</f>
        <v>6096.7640000000001</v>
      </c>
      <c r="L138" s="142">
        <f>L343</f>
        <v>6096.7640000000001</v>
      </c>
      <c r="M138" s="142">
        <f>M343</f>
        <v>6096.9660000000003</v>
      </c>
      <c r="N138" s="142">
        <f>N343</f>
        <v>6096.9660000000003</v>
      </c>
      <c r="O138" s="142">
        <f>O343</f>
        <v>6096.9660000000003</v>
      </c>
    </row>
    <row r="139" spans="1:15" ht="12.75" customHeight="1" thickBot="1" x14ac:dyDescent="0.3">
      <c r="D139" s="622"/>
      <c r="E139" s="340"/>
      <c r="F139" s="340"/>
      <c r="G139" s="319" t="s">
        <v>536</v>
      </c>
      <c r="I139" s="318"/>
      <c r="J139" s="342">
        <v>6096.7640000000001</v>
      </c>
      <c r="K139" s="342">
        <f t="shared" ref="K139:M139" si="61">SUM(K137:K138)</f>
        <v>6096.7640000000001</v>
      </c>
      <c r="L139" s="342">
        <f t="shared" si="61"/>
        <v>6096.7640000000001</v>
      </c>
      <c r="M139" s="342">
        <f t="shared" si="61"/>
        <v>6096.9660000000003</v>
      </c>
      <c r="N139" s="342">
        <f t="shared" ref="N139:O139" si="62">SUM(N137:N138)</f>
        <v>6096.9660000000003</v>
      </c>
      <c r="O139" s="342">
        <f t="shared" si="62"/>
        <v>6096.9660000000003</v>
      </c>
    </row>
    <row r="140" spans="1:15" ht="12.75" customHeight="1" thickTop="1" x14ac:dyDescent="0.25">
      <c r="D140" s="622"/>
      <c r="E140" s="340"/>
      <c r="F140" s="340"/>
      <c r="G140" s="319"/>
      <c r="I140" s="318"/>
      <c r="J140" s="317"/>
      <c r="K140" s="317"/>
      <c r="L140" s="317"/>
      <c r="M140" s="317"/>
      <c r="N140" s="317"/>
      <c r="O140" s="317"/>
    </row>
    <row r="141" spans="1:15" ht="12.75" customHeight="1" x14ac:dyDescent="0.25">
      <c r="D141" s="445">
        <v>648002</v>
      </c>
      <c r="E141" s="627"/>
      <c r="F141" s="627"/>
      <c r="G141" s="332" t="s">
        <v>4736</v>
      </c>
      <c r="I141" s="318"/>
      <c r="J141" s="317"/>
      <c r="K141" s="317"/>
      <c r="L141" s="317"/>
      <c r="M141" s="317"/>
      <c r="N141" s="317"/>
      <c r="O141" s="317"/>
    </row>
    <row r="142" spans="1:15" ht="12.75" customHeight="1" x14ac:dyDescent="0.25">
      <c r="D142" s="622"/>
      <c r="E142" s="340"/>
      <c r="F142" s="340"/>
      <c r="G142" s="334" t="s">
        <v>533</v>
      </c>
      <c r="I142" s="316"/>
      <c r="J142" s="317"/>
      <c r="K142" s="317"/>
      <c r="L142" s="317"/>
      <c r="M142" s="317"/>
      <c r="N142" s="317"/>
      <c r="O142" s="317"/>
    </row>
    <row r="143" spans="1:15" ht="12.75" customHeight="1" x14ac:dyDescent="0.25">
      <c r="A143" s="306">
        <f>+D141</f>
        <v>648002</v>
      </c>
      <c r="B143" s="115" t="str">
        <f>+G141</f>
        <v>Pasjessysteem milieustraat</v>
      </c>
      <c r="D143" s="551">
        <v>43812</v>
      </c>
      <c r="E143" s="337"/>
      <c r="F143" s="337"/>
      <c r="G143" s="319" t="s">
        <v>535</v>
      </c>
      <c r="I143" s="316"/>
      <c r="J143" s="317">
        <v>0</v>
      </c>
      <c r="K143" s="317">
        <f>K348</f>
        <v>0</v>
      </c>
      <c r="L143" s="317">
        <f>L348</f>
        <v>0</v>
      </c>
      <c r="M143" s="317">
        <f>M348</f>
        <v>0</v>
      </c>
      <c r="N143" s="317">
        <f>N348</f>
        <v>0</v>
      </c>
      <c r="O143" s="317">
        <f>O348</f>
        <v>0</v>
      </c>
    </row>
    <row r="144" spans="1:15" ht="12.75" customHeight="1" x14ac:dyDescent="0.25">
      <c r="A144" s="306">
        <f>+D141</f>
        <v>648002</v>
      </c>
      <c r="B144" s="115" t="str">
        <f>+G141</f>
        <v>Pasjessysteem milieustraat</v>
      </c>
      <c r="D144" s="551">
        <v>44510</v>
      </c>
      <c r="E144" s="337"/>
      <c r="F144" s="337"/>
      <c r="G144" s="319" t="s">
        <v>4715</v>
      </c>
      <c r="I144" s="316"/>
      <c r="J144" s="317">
        <v>0</v>
      </c>
      <c r="K144" s="317">
        <f>ROUND(K143*0.21,0)</f>
        <v>0</v>
      </c>
      <c r="L144" s="317">
        <f>ROUND(L143*0.21,0)</f>
        <v>0</v>
      </c>
      <c r="M144" s="317">
        <f>ROUND(M143*0.21,0)</f>
        <v>0</v>
      </c>
      <c r="N144" s="317">
        <f>ROUND(N143*0.21,0)</f>
        <v>0</v>
      </c>
      <c r="O144" s="317">
        <f>ROUND(O143*0.21,0)</f>
        <v>0</v>
      </c>
    </row>
    <row r="145" spans="1:15" ht="12.75" customHeight="1" thickBot="1" x14ac:dyDescent="0.3">
      <c r="D145" s="622"/>
      <c r="E145" s="340"/>
      <c r="F145" s="340"/>
      <c r="G145" s="319" t="s">
        <v>536</v>
      </c>
      <c r="I145" s="316"/>
      <c r="J145" s="342">
        <v>0</v>
      </c>
      <c r="K145" s="342">
        <f t="shared" ref="K145" si="63">SUM(K142:K144)</f>
        <v>0</v>
      </c>
      <c r="L145" s="342">
        <f t="shared" ref="L145:M145" si="64">SUM(L142:L144)</f>
        <v>0</v>
      </c>
      <c r="M145" s="342">
        <f t="shared" si="64"/>
        <v>0</v>
      </c>
      <c r="N145" s="342">
        <f t="shared" ref="N145:O145" si="65">SUM(N142:N144)</f>
        <v>0</v>
      </c>
      <c r="O145" s="342">
        <f t="shared" si="65"/>
        <v>0</v>
      </c>
    </row>
    <row r="146" spans="1:15" ht="12.75" customHeight="1" thickTop="1" x14ac:dyDescent="0.25">
      <c r="D146" s="622"/>
      <c r="E146" s="340"/>
      <c r="F146" s="340"/>
      <c r="G146" s="319"/>
      <c r="I146" s="316"/>
      <c r="J146" s="317"/>
      <c r="K146" s="317"/>
      <c r="L146" s="317"/>
      <c r="M146" s="317"/>
      <c r="N146" s="317"/>
      <c r="O146" s="317"/>
    </row>
    <row r="147" spans="1:15" ht="12.75" customHeight="1" x14ac:dyDescent="0.25">
      <c r="D147" s="621">
        <v>648901</v>
      </c>
      <c r="E147" s="331"/>
      <c r="F147" s="331"/>
      <c r="G147" s="332" t="s">
        <v>4737</v>
      </c>
      <c r="I147" s="316"/>
      <c r="J147" s="317"/>
      <c r="K147" s="317"/>
      <c r="L147" s="317"/>
      <c r="M147" s="317"/>
      <c r="N147" s="317"/>
      <c r="O147" s="317"/>
    </row>
    <row r="148" spans="1:15" ht="12.75" customHeight="1" x14ac:dyDescent="0.25">
      <c r="D148" s="622"/>
      <c r="E148" s="340"/>
      <c r="F148" s="340"/>
      <c r="G148" s="334" t="s">
        <v>533</v>
      </c>
      <c r="I148" s="316"/>
      <c r="J148" s="317"/>
      <c r="K148" s="317"/>
      <c r="L148" s="317"/>
      <c r="M148" s="317"/>
      <c r="N148" s="317"/>
      <c r="O148" s="317"/>
    </row>
    <row r="149" spans="1:15" ht="12.75" customHeight="1" x14ac:dyDescent="0.25">
      <c r="A149" s="336">
        <f>+D147</f>
        <v>648901</v>
      </c>
      <c r="B149" s="115" t="str">
        <f>+G147</f>
        <v>Directe toerekening afval</v>
      </c>
      <c r="D149" s="551">
        <v>41100</v>
      </c>
      <c r="E149" s="337"/>
      <c r="F149" s="337"/>
      <c r="G149" s="319" t="s">
        <v>541</v>
      </c>
      <c r="I149" s="316"/>
      <c r="J149" s="317">
        <v>204862.24</v>
      </c>
      <c r="K149" s="317">
        <f t="shared" ref="K149:M149" si="66">K363</f>
        <v>239958.64</v>
      </c>
      <c r="L149" s="317">
        <f t="shared" si="66"/>
        <v>250038</v>
      </c>
      <c r="M149" s="317">
        <f t="shared" si="66"/>
        <v>259289</v>
      </c>
      <c r="N149" s="317">
        <f t="shared" ref="N149:O149" si="67">N363</f>
        <v>268884</v>
      </c>
      <c r="O149" s="317">
        <f t="shared" si="67"/>
        <v>278833</v>
      </c>
    </row>
    <row r="150" spans="1:15" ht="12.75" customHeight="1" x14ac:dyDescent="0.25">
      <c r="A150" s="336">
        <v>648901</v>
      </c>
      <c r="B150" s="115" t="s">
        <v>4737</v>
      </c>
      <c r="D150" s="551">
        <v>41100</v>
      </c>
      <c r="E150" s="337"/>
      <c r="F150" s="337"/>
      <c r="G150" s="319" t="s">
        <v>3268</v>
      </c>
      <c r="I150" s="316"/>
      <c r="J150" s="317">
        <v>0</v>
      </c>
      <c r="K150" s="317">
        <v>0</v>
      </c>
      <c r="L150" s="317">
        <v>0</v>
      </c>
      <c r="M150" s="317">
        <v>0</v>
      </c>
      <c r="N150" s="317">
        <v>0</v>
      </c>
      <c r="O150" s="317">
        <v>0</v>
      </c>
    </row>
    <row r="151" spans="1:15" ht="12.75" customHeight="1" x14ac:dyDescent="0.25">
      <c r="A151" s="336">
        <v>648901</v>
      </c>
      <c r="B151" s="115" t="s">
        <v>4737</v>
      </c>
      <c r="D151" s="551">
        <v>47300</v>
      </c>
      <c r="E151" s="337"/>
      <c r="F151" s="337"/>
      <c r="G151" s="319" t="s">
        <v>1033</v>
      </c>
      <c r="I151" s="316"/>
      <c r="J151" s="317">
        <v>59669</v>
      </c>
      <c r="K151" s="317">
        <v>62543</v>
      </c>
      <c r="L151" s="317">
        <v>67877</v>
      </c>
      <c r="M151" s="317">
        <v>73210</v>
      </c>
      <c r="N151" s="317">
        <v>78544</v>
      </c>
      <c r="O151" s="2095">
        <v>83877</v>
      </c>
    </row>
    <row r="152" spans="1:15" ht="12.75" customHeight="1" x14ac:dyDescent="0.25">
      <c r="A152" s="336">
        <v>648901</v>
      </c>
      <c r="B152" s="115" t="s">
        <v>4737</v>
      </c>
      <c r="D152" s="551">
        <v>43812</v>
      </c>
      <c r="E152" s="337"/>
      <c r="F152" s="337"/>
      <c r="G152" s="319" t="s">
        <v>4598</v>
      </c>
      <c r="I152" s="316"/>
      <c r="J152" s="317">
        <v>26814</v>
      </c>
      <c r="K152" s="317">
        <f t="shared" ref="K152:M152" si="68">K370</f>
        <v>27619</v>
      </c>
      <c r="L152" s="317">
        <f t="shared" si="68"/>
        <v>28199</v>
      </c>
      <c r="M152" s="317">
        <f t="shared" si="68"/>
        <v>28848</v>
      </c>
      <c r="N152" s="317">
        <f t="shared" ref="N152:O152" si="69">N370</f>
        <v>29512</v>
      </c>
      <c r="O152" s="317">
        <f t="shared" si="69"/>
        <v>30191</v>
      </c>
    </row>
    <row r="153" spans="1:15" ht="12.75" customHeight="1" x14ac:dyDescent="0.25">
      <c r="A153" s="336">
        <v>648901</v>
      </c>
      <c r="B153" s="115" t="s">
        <v>4737</v>
      </c>
      <c r="D153" s="551">
        <v>83800</v>
      </c>
      <c r="E153" s="337"/>
      <c r="F153" s="337"/>
      <c r="G153" s="319" t="s">
        <v>1959</v>
      </c>
      <c r="I153" s="316"/>
      <c r="J153" s="317">
        <v>-9021</v>
      </c>
      <c r="K153" s="317">
        <f t="shared" ref="K153:M153" si="70">K372</f>
        <v>-9291</v>
      </c>
      <c r="L153" s="317">
        <f t="shared" si="70"/>
        <v>-9486</v>
      </c>
      <c r="M153" s="317">
        <f t="shared" si="70"/>
        <v>-9704</v>
      </c>
      <c r="N153" s="317">
        <f t="shared" ref="N153:O153" si="71">N372</f>
        <v>-9927</v>
      </c>
      <c r="O153" s="317">
        <f t="shared" si="71"/>
        <v>-10155</v>
      </c>
    </row>
    <row r="154" spans="1:15" ht="12.75" customHeight="1" thickBot="1" x14ac:dyDescent="0.3">
      <c r="D154" s="622"/>
      <c r="E154" s="340"/>
      <c r="F154" s="340"/>
      <c r="G154" s="319" t="s">
        <v>536</v>
      </c>
      <c r="I154" s="316"/>
      <c r="J154" s="342">
        <v>282324.24</v>
      </c>
      <c r="K154" s="342">
        <f t="shared" ref="K154:M154" si="72">SUM(K148:K153)</f>
        <v>320829.64</v>
      </c>
      <c r="L154" s="342">
        <f t="shared" si="72"/>
        <v>336628</v>
      </c>
      <c r="M154" s="342">
        <f t="shared" si="72"/>
        <v>351643</v>
      </c>
      <c r="N154" s="342">
        <f t="shared" ref="N154:O154" si="73">SUM(N148:N153)</f>
        <v>367013</v>
      </c>
      <c r="O154" s="342">
        <f t="shared" si="73"/>
        <v>382746</v>
      </c>
    </row>
    <row r="155" spans="1:15" ht="12.75" customHeight="1" thickTop="1" x14ac:dyDescent="0.25">
      <c r="D155" s="622"/>
      <c r="E155" s="340"/>
      <c r="F155" s="340"/>
      <c r="G155" s="319"/>
      <c r="I155" s="316"/>
      <c r="J155" s="317"/>
      <c r="K155" s="317"/>
      <c r="L155" s="317"/>
      <c r="M155" s="317"/>
      <c r="N155" s="317"/>
      <c r="O155" s="317"/>
    </row>
    <row r="156" spans="1:15" ht="12.75" customHeight="1" x14ac:dyDescent="0.25">
      <c r="D156" s="628">
        <v>648003</v>
      </c>
      <c r="E156" s="476"/>
      <c r="F156" s="476"/>
      <c r="G156" s="629" t="s">
        <v>4718</v>
      </c>
      <c r="I156" s="318"/>
      <c r="J156" s="317"/>
      <c r="K156" s="317"/>
      <c r="L156" s="317"/>
      <c r="M156" s="317"/>
      <c r="N156" s="317"/>
      <c r="O156" s="317"/>
    </row>
    <row r="157" spans="1:15" ht="12.75" customHeight="1" x14ac:dyDescent="0.25">
      <c r="D157" s="628"/>
      <c r="E157" s="476"/>
      <c r="F157" s="476"/>
      <c r="G157" s="334" t="s">
        <v>533</v>
      </c>
      <c r="I157" s="318"/>
      <c r="J157" s="317"/>
      <c r="K157" s="317"/>
      <c r="L157" s="317"/>
      <c r="M157" s="317"/>
      <c r="N157" s="317"/>
      <c r="O157" s="317"/>
    </row>
    <row r="158" spans="1:15" ht="12.75" customHeight="1" x14ac:dyDescent="0.25">
      <c r="A158" s="336">
        <f>+D156</f>
        <v>648003</v>
      </c>
      <c r="B158" s="115" t="str">
        <f>+G156</f>
        <v>Correctie compensabele btw op afval</v>
      </c>
      <c r="D158" s="622">
        <v>44510</v>
      </c>
      <c r="E158" s="340"/>
      <c r="F158" s="340"/>
      <c r="G158" s="319" t="s">
        <v>4715</v>
      </c>
      <c r="I158" s="318"/>
      <c r="J158" s="317">
        <v>-915245</v>
      </c>
      <c r="K158" s="317">
        <f t="shared" ref="K158:M158" si="74">K431</f>
        <v>-962333</v>
      </c>
      <c r="L158" s="317">
        <f t="shared" si="74"/>
        <v>-981114</v>
      </c>
      <c r="M158" s="317">
        <f t="shared" si="74"/>
        <v>-1004932</v>
      </c>
      <c r="N158" s="317">
        <f t="shared" ref="N158:O158" si="75">N431</f>
        <v>-1029365</v>
      </c>
      <c r="O158" s="317">
        <f t="shared" si="75"/>
        <v>-1062741</v>
      </c>
    </row>
    <row r="159" spans="1:15" ht="12.75" customHeight="1" thickBot="1" x14ac:dyDescent="0.3">
      <c r="D159" s="622"/>
      <c r="E159" s="340"/>
      <c r="F159" s="340"/>
      <c r="G159" s="319"/>
      <c r="I159" s="318"/>
      <c r="J159" s="342">
        <v>-915245</v>
      </c>
      <c r="K159" s="342">
        <f t="shared" ref="K159:M159" si="76">SUM(K157:K158)</f>
        <v>-962333</v>
      </c>
      <c r="L159" s="342">
        <f t="shared" si="76"/>
        <v>-981114</v>
      </c>
      <c r="M159" s="342">
        <f t="shared" si="76"/>
        <v>-1004932</v>
      </c>
      <c r="N159" s="342">
        <f t="shared" ref="N159:O159" si="77">SUM(N157:N158)</f>
        <v>-1029365</v>
      </c>
      <c r="O159" s="342">
        <f t="shared" si="77"/>
        <v>-1062741</v>
      </c>
    </row>
    <row r="160" spans="1:15" ht="12.75" customHeight="1" thickTop="1" x14ac:dyDescent="0.25">
      <c r="D160" s="622"/>
      <c r="E160" s="340"/>
      <c r="F160" s="340"/>
      <c r="G160" s="319"/>
      <c r="I160" s="316"/>
      <c r="J160" s="317"/>
      <c r="K160" s="317"/>
      <c r="L160" s="317"/>
      <c r="M160" s="317"/>
      <c r="N160" s="317"/>
      <c r="O160" s="317"/>
    </row>
    <row r="161" spans="1:15" ht="12.75" customHeight="1" x14ac:dyDescent="0.25">
      <c r="D161" s="621">
        <v>648001</v>
      </c>
      <c r="E161" s="331"/>
      <c r="F161" s="331"/>
      <c r="G161" s="332" t="s">
        <v>4727</v>
      </c>
      <c r="H161" s="381"/>
      <c r="I161" s="316"/>
      <c r="J161" s="317"/>
      <c r="K161" s="317"/>
      <c r="L161" s="317"/>
      <c r="M161" s="317"/>
      <c r="N161" s="317"/>
      <c r="O161" s="317"/>
    </row>
    <row r="162" spans="1:15" ht="12.75" customHeight="1" x14ac:dyDescent="0.25">
      <c r="D162" s="622"/>
      <c r="E162" s="340"/>
      <c r="F162" s="340"/>
      <c r="G162" s="334" t="s">
        <v>554</v>
      </c>
      <c r="I162" s="316"/>
      <c r="J162" s="317"/>
      <c r="K162" s="317"/>
      <c r="L162" s="317"/>
      <c r="M162" s="317"/>
      <c r="N162" s="317"/>
      <c r="O162" s="317"/>
    </row>
    <row r="163" spans="1:15" ht="12.75" customHeight="1" x14ac:dyDescent="0.25">
      <c r="A163" s="336">
        <f>+D161</f>
        <v>648001</v>
      </c>
      <c r="B163" s="115" t="str">
        <f>+G161</f>
        <v>Huisvuilophaaldienst</v>
      </c>
      <c r="D163" s="551">
        <v>83800</v>
      </c>
      <c r="E163" s="337"/>
      <c r="F163" s="337"/>
      <c r="G163" s="319" t="s">
        <v>535</v>
      </c>
      <c r="I163" s="316"/>
      <c r="J163" s="317">
        <v>-462497</v>
      </c>
      <c r="K163" s="317">
        <f t="shared" ref="K163:M163" si="78">K389</f>
        <v>-490886.35</v>
      </c>
      <c r="L163" s="317">
        <f t="shared" si="78"/>
        <v>-501194</v>
      </c>
      <c r="M163" s="317">
        <f t="shared" si="78"/>
        <v>-512720</v>
      </c>
      <c r="N163" s="317">
        <f t="shared" ref="N163:O163" si="79">N389</f>
        <v>-524513</v>
      </c>
      <c r="O163" s="317">
        <f t="shared" si="79"/>
        <v>-536577</v>
      </c>
    </row>
    <row r="164" spans="1:15" ht="12.75" customHeight="1" thickBot="1" x14ac:dyDescent="0.3">
      <c r="D164" s="622"/>
      <c r="E164" s="340"/>
      <c r="F164" s="340"/>
      <c r="G164" s="319" t="s">
        <v>536</v>
      </c>
      <c r="I164" s="316"/>
      <c r="J164" s="342">
        <v>-462497</v>
      </c>
      <c r="K164" s="342">
        <f t="shared" ref="K164:M164" si="80">SUM(K162:K163)</f>
        <v>-490886.35</v>
      </c>
      <c r="L164" s="342">
        <f t="shared" si="80"/>
        <v>-501194</v>
      </c>
      <c r="M164" s="342">
        <f t="shared" si="80"/>
        <v>-512720</v>
      </c>
      <c r="N164" s="342">
        <f t="shared" ref="N164:O164" si="81">SUM(N162:N163)</f>
        <v>-524513</v>
      </c>
      <c r="O164" s="342">
        <f t="shared" si="81"/>
        <v>-536577</v>
      </c>
    </row>
    <row r="165" spans="1:15" ht="12.75" customHeight="1" thickTop="1" x14ac:dyDescent="0.25">
      <c r="D165" s="622"/>
      <c r="E165" s="340"/>
      <c r="F165" s="340"/>
      <c r="G165" s="319"/>
      <c r="I165" s="316"/>
      <c r="J165" s="317"/>
      <c r="K165" s="317"/>
      <c r="L165" s="317"/>
      <c r="M165" s="317"/>
      <c r="N165" s="317"/>
      <c r="O165" s="317"/>
    </row>
    <row r="166" spans="1:15" ht="12.75" customHeight="1" x14ac:dyDescent="0.25">
      <c r="D166" s="621">
        <v>648002</v>
      </c>
      <c r="E166" s="331"/>
      <c r="F166" s="331"/>
      <c r="G166" s="332" t="s">
        <v>4733</v>
      </c>
      <c r="H166" s="381"/>
      <c r="I166" s="316"/>
      <c r="J166" s="317"/>
      <c r="K166" s="317"/>
      <c r="L166" s="317"/>
      <c r="M166" s="317"/>
      <c r="N166" s="317"/>
      <c r="O166" s="317"/>
    </row>
    <row r="167" spans="1:15" ht="12.75" customHeight="1" x14ac:dyDescent="0.25">
      <c r="D167" s="622"/>
      <c r="E167" s="340"/>
      <c r="F167" s="340"/>
      <c r="G167" s="334" t="s">
        <v>554</v>
      </c>
      <c r="I167" s="316"/>
      <c r="J167" s="317"/>
      <c r="K167" s="317"/>
      <c r="L167" s="317"/>
      <c r="M167" s="317"/>
      <c r="N167" s="317"/>
      <c r="O167" s="317"/>
    </row>
    <row r="168" spans="1:15" ht="12.75" customHeight="1" x14ac:dyDescent="0.25">
      <c r="A168" s="336">
        <f>+D166</f>
        <v>648002</v>
      </c>
      <c r="B168" s="115" t="str">
        <f>+G166</f>
        <v>De Dieze 26 milieustraat</v>
      </c>
      <c r="D168" s="551">
        <v>83800</v>
      </c>
      <c r="E168" s="337"/>
      <c r="F168" s="337"/>
      <c r="G168" s="319" t="s">
        <v>535</v>
      </c>
      <c r="I168" s="316"/>
      <c r="J168" s="317">
        <v>-65792</v>
      </c>
      <c r="K168" s="317">
        <f t="shared" ref="K168:M168" si="82">K398</f>
        <v>-67503</v>
      </c>
      <c r="L168" s="317">
        <f t="shared" si="82"/>
        <v>-68920</v>
      </c>
      <c r="M168" s="317">
        <f t="shared" si="82"/>
        <v>-70505</v>
      </c>
      <c r="N168" s="317">
        <f t="shared" ref="N168:O168" si="83">N398</f>
        <v>-72126</v>
      </c>
      <c r="O168" s="317">
        <f t="shared" si="83"/>
        <v>-73786</v>
      </c>
    </row>
    <row r="169" spans="1:15" ht="12.75" customHeight="1" thickBot="1" x14ac:dyDescent="0.3">
      <c r="D169" s="622"/>
      <c r="E169" s="340"/>
      <c r="F169" s="340"/>
      <c r="G169" s="319" t="s">
        <v>536</v>
      </c>
      <c r="I169" s="316"/>
      <c r="J169" s="342">
        <v>-65792</v>
      </c>
      <c r="K169" s="342">
        <f t="shared" ref="K169:M169" si="84">SUM(K167:K168)</f>
        <v>-67503</v>
      </c>
      <c r="L169" s="342">
        <f t="shared" si="84"/>
        <v>-68920</v>
      </c>
      <c r="M169" s="342">
        <f t="shared" si="84"/>
        <v>-70505</v>
      </c>
      <c r="N169" s="342">
        <f t="shared" ref="N169:O169" si="85">SUM(N167:N168)</f>
        <v>-72126</v>
      </c>
      <c r="O169" s="342">
        <f t="shared" si="85"/>
        <v>-73786</v>
      </c>
    </row>
    <row r="170" spans="1:15" ht="12.75" customHeight="1" thickTop="1" x14ac:dyDescent="0.25">
      <c r="D170" s="622"/>
      <c r="E170" s="340"/>
      <c r="F170" s="340"/>
      <c r="G170" s="319"/>
      <c r="I170" s="316"/>
      <c r="J170" s="317"/>
      <c r="K170" s="317"/>
      <c r="L170" s="317"/>
      <c r="M170" s="317"/>
      <c r="N170" s="317"/>
      <c r="O170" s="317"/>
    </row>
    <row r="171" spans="1:15" ht="12.75" customHeight="1" x14ac:dyDescent="0.25">
      <c r="D171" s="621">
        <v>648004</v>
      </c>
      <c r="E171" s="331"/>
      <c r="F171" s="331"/>
      <c r="G171" s="332" t="s">
        <v>4738</v>
      </c>
      <c r="I171" s="316"/>
      <c r="J171" s="317"/>
      <c r="K171" s="317"/>
      <c r="L171" s="317"/>
      <c r="M171" s="317"/>
      <c r="N171" s="317"/>
      <c r="O171" s="317"/>
    </row>
    <row r="172" spans="1:15" ht="12.75" customHeight="1" x14ac:dyDescent="0.25">
      <c r="D172" s="622"/>
      <c r="E172" s="340"/>
      <c r="F172" s="340"/>
      <c r="G172" s="334" t="s">
        <v>554</v>
      </c>
      <c r="I172" s="316"/>
      <c r="J172" s="317"/>
      <c r="K172" s="317"/>
      <c r="L172" s="317"/>
      <c r="M172" s="317"/>
      <c r="N172" s="317"/>
      <c r="O172" s="317"/>
    </row>
    <row r="173" spans="1:15" ht="12.75" customHeight="1" x14ac:dyDescent="0.25">
      <c r="A173" s="336">
        <f>+D171</f>
        <v>648004</v>
      </c>
      <c r="B173" s="115" t="str">
        <f>+G171</f>
        <v>Afvalstoffenheffing / reinigingsrechten</v>
      </c>
      <c r="D173" s="551">
        <v>83700</v>
      </c>
      <c r="E173" s="337"/>
      <c r="F173" s="337"/>
      <c r="G173" s="319" t="s">
        <v>737</v>
      </c>
      <c r="I173" s="316"/>
      <c r="J173" s="142">
        <v>-5380992</v>
      </c>
      <c r="K173" s="142">
        <f>K423</f>
        <v>-5711522.4000000004</v>
      </c>
      <c r="L173" s="142">
        <f>L423</f>
        <v>-5833130.4000000004</v>
      </c>
      <c r="M173" s="142">
        <f>M423</f>
        <v>-5975006.4000000004</v>
      </c>
      <c r="N173" s="142">
        <f>N423</f>
        <v>-6128892</v>
      </c>
      <c r="O173" s="142">
        <f>O423</f>
        <v>-6334072.8000000007</v>
      </c>
    </row>
    <row r="174" spans="1:15" ht="12.75" customHeight="1" thickBot="1" x14ac:dyDescent="0.3">
      <c r="D174" s="622"/>
      <c r="E174" s="340"/>
      <c r="F174" s="340"/>
      <c r="G174" s="319" t="s">
        <v>536</v>
      </c>
      <c r="I174" s="316"/>
      <c r="J174" s="342">
        <v>-5380992</v>
      </c>
      <c r="K174" s="342">
        <f t="shared" ref="K174:M174" si="86">SUM(K172:K173)</f>
        <v>-5711522.4000000004</v>
      </c>
      <c r="L174" s="342">
        <f t="shared" si="86"/>
        <v>-5833130.4000000004</v>
      </c>
      <c r="M174" s="342">
        <f t="shared" si="86"/>
        <v>-5975006.4000000004</v>
      </c>
      <c r="N174" s="342">
        <f t="shared" ref="N174:O174" si="87">SUM(N172:N173)</f>
        <v>-6128892</v>
      </c>
      <c r="O174" s="342">
        <f t="shared" si="87"/>
        <v>-6334072.8000000007</v>
      </c>
    </row>
    <row r="175" spans="1:15" ht="12.75" customHeight="1" thickTop="1" x14ac:dyDescent="0.25">
      <c r="D175" s="622"/>
      <c r="E175" s="340"/>
      <c r="F175" s="340"/>
      <c r="G175" s="319"/>
      <c r="I175" s="316"/>
      <c r="J175" s="317"/>
      <c r="K175" s="317"/>
      <c r="L175" s="317"/>
      <c r="M175" s="317"/>
      <c r="N175" s="317"/>
      <c r="O175" s="317"/>
    </row>
    <row r="176" spans="1:15" ht="12.75" customHeight="1" x14ac:dyDescent="0.25">
      <c r="D176" s="622"/>
      <c r="E176" s="340"/>
      <c r="F176" s="340"/>
      <c r="G176" s="319"/>
      <c r="I176" s="316"/>
      <c r="J176" s="317"/>
      <c r="K176" s="317"/>
      <c r="L176" s="317"/>
      <c r="M176" s="317"/>
      <c r="N176" s="317"/>
      <c r="O176" s="317"/>
    </row>
    <row r="177" spans="4:15" ht="12.75" customHeight="1" x14ac:dyDescent="0.25">
      <c r="D177" s="630"/>
      <c r="E177" s="167"/>
      <c r="F177" s="167"/>
      <c r="G177" s="168"/>
      <c r="H177" s="149"/>
      <c r="I177" s="389"/>
      <c r="J177" s="142"/>
      <c r="K177" s="142"/>
      <c r="L177" s="142"/>
      <c r="M177" s="142"/>
      <c r="N177" s="142"/>
      <c r="O177" s="142"/>
    </row>
    <row r="178" spans="4:15" ht="12.75" customHeight="1" x14ac:dyDescent="0.25">
      <c r="D178" s="384"/>
      <c r="E178" s="384"/>
      <c r="F178" s="384"/>
      <c r="I178" s="114"/>
      <c r="J178" s="114"/>
      <c r="K178" s="114"/>
      <c r="L178" s="114"/>
      <c r="M178" s="114"/>
      <c r="N178" s="114"/>
      <c r="O178" s="114"/>
    </row>
    <row r="179" spans="4:15" ht="12.75" customHeight="1" x14ac:dyDescent="0.25">
      <c r="D179" s="384"/>
      <c r="E179" s="384"/>
      <c r="F179" s="384"/>
      <c r="I179" s="114"/>
      <c r="J179" s="114"/>
      <c r="K179" s="114"/>
      <c r="L179" s="114"/>
      <c r="M179" s="114"/>
      <c r="N179" s="114"/>
      <c r="O179" s="114"/>
    </row>
    <row r="180" spans="4:15" ht="12.75" customHeight="1" x14ac:dyDescent="0.25">
      <c r="D180" s="384"/>
      <c r="E180" s="384"/>
      <c r="F180" s="384"/>
      <c r="I180" s="114"/>
      <c r="J180" s="114"/>
      <c r="K180" s="114"/>
      <c r="L180" s="114"/>
      <c r="M180" s="114"/>
      <c r="N180" s="114"/>
      <c r="O180" s="114"/>
    </row>
    <row r="181" spans="4:15" ht="12.75" customHeight="1" x14ac:dyDescent="0.25">
      <c r="D181" s="384"/>
      <c r="E181" s="384"/>
      <c r="F181" s="384"/>
      <c r="I181" s="114"/>
      <c r="J181" s="114"/>
      <c r="K181" s="114"/>
      <c r="L181" s="114"/>
      <c r="M181" s="114"/>
      <c r="N181" s="114"/>
      <c r="O181" s="114"/>
    </row>
    <row r="182" spans="4:15" ht="12.75" customHeight="1" x14ac:dyDescent="0.25">
      <c r="D182" s="384"/>
      <c r="E182" s="384"/>
      <c r="F182" s="384"/>
      <c r="I182" s="114"/>
      <c r="J182" s="114"/>
      <c r="K182" s="114"/>
      <c r="L182" s="114"/>
      <c r="M182" s="114"/>
      <c r="N182" s="114"/>
      <c r="O182" s="114"/>
    </row>
    <row r="183" spans="4:15" ht="12.75" customHeight="1" x14ac:dyDescent="0.25">
      <c r="D183" s="384"/>
      <c r="E183" s="381" t="s">
        <v>561</v>
      </c>
      <c r="F183" s="384"/>
      <c r="I183" s="114"/>
      <c r="J183" s="114"/>
      <c r="K183" s="114"/>
      <c r="L183" s="114"/>
      <c r="M183" s="114"/>
      <c r="N183" s="114"/>
      <c r="O183" s="114"/>
    </row>
    <row r="184" spans="4:15" ht="12.75" customHeight="1" x14ac:dyDescent="0.25">
      <c r="D184" s="384"/>
      <c r="E184" s="115"/>
      <c r="F184" s="384"/>
      <c r="I184" s="114"/>
      <c r="J184" s="114"/>
      <c r="K184" s="114"/>
      <c r="L184" s="114"/>
      <c r="M184" s="114"/>
      <c r="N184" s="114"/>
      <c r="O184" s="114"/>
    </row>
    <row r="185" spans="4:15" ht="12.75" customHeight="1" x14ac:dyDescent="0.25">
      <c r="D185" s="393">
        <v>648005</v>
      </c>
      <c r="E185" s="381" t="s">
        <v>4739</v>
      </c>
      <c r="F185" s="382"/>
    </row>
    <row r="186" spans="4:15" ht="12.75" customHeight="1" x14ac:dyDescent="0.25">
      <c r="D186" s="384"/>
      <c r="E186" s="115" t="s">
        <v>4740</v>
      </c>
      <c r="F186" s="384"/>
    </row>
    <row r="187" spans="4:15" ht="12.75" customHeight="1" x14ac:dyDescent="0.25">
      <c r="D187" s="384"/>
      <c r="E187" s="2501" t="s">
        <v>4741</v>
      </c>
      <c r="F187" s="2501"/>
      <c r="G187" s="2501"/>
      <c r="H187" s="2501"/>
      <c r="I187" s="2501"/>
      <c r="J187" s="2501"/>
      <c r="K187" s="2501"/>
    </row>
    <row r="188" spans="4:15" ht="12.75" customHeight="1" x14ac:dyDescent="0.25">
      <c r="D188" s="384"/>
      <c r="E188" s="2501"/>
      <c r="F188" s="2501"/>
      <c r="G188" s="2501"/>
      <c r="H188" s="2501"/>
      <c r="I188" s="2501"/>
      <c r="J188" s="2501"/>
      <c r="K188" s="2501"/>
    </row>
    <row r="189" spans="4:15" ht="12.75" customHeight="1" x14ac:dyDescent="0.25">
      <c r="D189" s="384"/>
      <c r="E189" s="384"/>
      <c r="F189" s="384"/>
      <c r="G189" s="631"/>
      <c r="H189" s="631"/>
      <c r="I189" s="631"/>
      <c r="J189" s="399"/>
      <c r="K189" s="399"/>
      <c r="L189" s="399"/>
      <c r="M189" s="399"/>
      <c r="N189" s="399"/>
      <c r="O189" s="399"/>
    </row>
    <row r="190" spans="4:15" ht="12.75" customHeight="1" x14ac:dyDescent="0.25">
      <c r="D190" s="393">
        <v>648005</v>
      </c>
      <c r="E190" s="381" t="s">
        <v>4726</v>
      </c>
      <c r="F190" s="115"/>
      <c r="I190" s="396"/>
      <c r="J190" s="422">
        <v>2025</v>
      </c>
      <c r="K190" s="422">
        <v>2026</v>
      </c>
      <c r="L190" s="422">
        <v>2027</v>
      </c>
      <c r="M190" s="422">
        <v>2028</v>
      </c>
      <c r="N190" s="422">
        <v>2029</v>
      </c>
      <c r="O190" s="422">
        <v>2030</v>
      </c>
    </row>
    <row r="191" spans="4:15" ht="12.75" customHeight="1" x14ac:dyDescent="0.25">
      <c r="D191" s="393"/>
      <c r="E191" s="381"/>
      <c r="F191" s="115"/>
    </row>
    <row r="192" spans="4:15" ht="12.75" customHeight="1" thickBot="1" x14ac:dyDescent="0.3">
      <c r="D192" s="143">
        <v>43812</v>
      </c>
      <c r="E192" s="115" t="s">
        <v>4742</v>
      </c>
      <c r="F192" s="115"/>
      <c r="I192" s="114"/>
      <c r="J192" s="412">
        <v>42641</v>
      </c>
      <c r="K192" s="412">
        <f>ROUND(J192*S$2,0)</f>
        <v>43750</v>
      </c>
      <c r="L192" s="412">
        <f>ROUND(K192*T$2,0)</f>
        <v>44669</v>
      </c>
      <c r="M192" s="412">
        <f>ROUND(L192*U$2,0)</f>
        <v>45696</v>
      </c>
      <c r="N192" s="412">
        <f>ROUND(M192*V$2,0)</f>
        <v>46747</v>
      </c>
      <c r="O192" s="412">
        <f>ROUND(N192*W$2,0)</f>
        <v>47822</v>
      </c>
    </row>
    <row r="193" spans="4:20" ht="12.75" customHeight="1" thickTop="1" x14ac:dyDescent="0.25">
      <c r="D193" s="143"/>
      <c r="E193" s="115"/>
      <c r="F193" s="115"/>
      <c r="I193" s="114"/>
      <c r="J193" s="114"/>
      <c r="K193" s="114"/>
      <c r="L193" s="114"/>
      <c r="M193" s="114"/>
      <c r="N193" s="114"/>
      <c r="O193" s="114"/>
    </row>
    <row r="194" spans="4:20" ht="12.75" customHeight="1" x14ac:dyDescent="0.25">
      <c r="D194" s="143"/>
      <c r="E194" s="115"/>
      <c r="F194" s="115"/>
      <c r="I194" s="114"/>
      <c r="J194" s="114"/>
      <c r="K194" s="114"/>
      <c r="L194" s="114"/>
      <c r="M194" s="114"/>
      <c r="N194" s="114"/>
      <c r="O194" s="114"/>
    </row>
    <row r="195" spans="4:20" ht="12.75" customHeight="1" x14ac:dyDescent="0.25">
      <c r="D195" s="393">
        <v>648001</v>
      </c>
      <c r="E195" s="381" t="s">
        <v>4743</v>
      </c>
      <c r="F195" s="115"/>
    </row>
    <row r="196" spans="4:20" ht="12.75" customHeight="1" x14ac:dyDescent="0.25">
      <c r="E196" s="115"/>
    </row>
    <row r="197" spans="4:20" ht="12.75" customHeight="1" x14ac:dyDescent="0.25">
      <c r="E197" s="632" t="s">
        <v>4744</v>
      </c>
      <c r="F197" s="115"/>
      <c r="G197" s="115" t="s">
        <v>4745</v>
      </c>
      <c r="R197" s="115">
        <v>2023</v>
      </c>
      <c r="S197" s="115">
        <v>2024</v>
      </c>
      <c r="T197" s="115">
        <v>2025</v>
      </c>
    </row>
    <row r="198" spans="4:20" ht="12.75" customHeight="1" x14ac:dyDescent="0.25">
      <c r="E198" s="301"/>
      <c r="F198" s="115"/>
      <c r="G198" s="633" t="s">
        <v>4746</v>
      </c>
      <c r="H198" s="633" t="s">
        <v>4747</v>
      </c>
    </row>
    <row r="199" spans="4:20" ht="12.75" customHeight="1" x14ac:dyDescent="0.3">
      <c r="E199" s="301" t="s">
        <v>4748</v>
      </c>
      <c r="F199" s="115"/>
      <c r="G199" s="115">
        <v>26</v>
      </c>
      <c r="H199" s="634">
        <v>15954</v>
      </c>
      <c r="I199" s="81"/>
      <c r="J199" s="114">
        <v>396484.53390000004</v>
      </c>
      <c r="K199" s="114">
        <f t="shared" ref="K199:K209" si="88">+G199*H199</f>
        <v>414804</v>
      </c>
      <c r="L199" s="2123">
        <f t="shared" ref="L199:N209" si="89">ROUND(+K199*$S$3,0)</f>
        <v>423100</v>
      </c>
      <c r="M199" s="2123">
        <f t="shared" si="89"/>
        <v>431562</v>
      </c>
      <c r="N199" s="2123">
        <f t="shared" si="89"/>
        <v>440193</v>
      </c>
      <c r="O199" s="2123">
        <f>ROUND(+N199*W$3,0)</f>
        <v>456480</v>
      </c>
      <c r="R199" s="57">
        <v>13831.66</v>
      </c>
      <c r="S199" s="57">
        <f>+R199*1.05</f>
        <v>14523.243</v>
      </c>
      <c r="T199" s="635">
        <f>+S199*1.05</f>
        <v>15249.405150000001</v>
      </c>
    </row>
    <row r="200" spans="4:20" ht="12.75" customHeight="1" x14ac:dyDescent="0.3">
      <c r="E200" s="301" t="s">
        <v>4749</v>
      </c>
      <c r="F200" s="115"/>
      <c r="G200" s="115">
        <v>424</v>
      </c>
      <c r="H200" s="634">
        <v>29.49</v>
      </c>
      <c r="I200" s="81"/>
      <c r="J200" s="114">
        <v>396485.53389999998</v>
      </c>
      <c r="K200" s="114">
        <f t="shared" si="88"/>
        <v>12503.76</v>
      </c>
      <c r="L200" s="2123">
        <f t="shared" si="89"/>
        <v>12754</v>
      </c>
      <c r="M200" s="2123">
        <f t="shared" si="89"/>
        <v>13009</v>
      </c>
      <c r="N200" s="2123">
        <f t="shared" si="89"/>
        <v>13269</v>
      </c>
      <c r="O200" s="2123">
        <f t="shared" ref="O200:O209" si="90">ROUND(+N200*W$3,0)</f>
        <v>13760</v>
      </c>
      <c r="R200" s="57"/>
      <c r="S200" s="57">
        <v>7049</v>
      </c>
      <c r="T200" s="635">
        <f t="shared" ref="T200:T206" si="91">+S200*1.05</f>
        <v>7401.4500000000007</v>
      </c>
    </row>
    <row r="201" spans="4:20" ht="12.75" customHeight="1" x14ac:dyDescent="0.3">
      <c r="E201" s="301" t="s">
        <v>4750</v>
      </c>
      <c r="F201" s="115"/>
      <c r="G201" s="115">
        <v>12</v>
      </c>
      <c r="H201" s="634">
        <v>8242</v>
      </c>
      <c r="I201" s="81"/>
      <c r="J201" s="114">
        <v>88818</v>
      </c>
      <c r="K201" s="114">
        <f t="shared" si="88"/>
        <v>98904</v>
      </c>
      <c r="L201" s="2123">
        <f t="shared" si="89"/>
        <v>100882</v>
      </c>
      <c r="M201" s="2123">
        <f t="shared" si="89"/>
        <v>102900</v>
      </c>
      <c r="N201" s="2123">
        <f t="shared" si="89"/>
        <v>104958</v>
      </c>
      <c r="O201" s="2123">
        <f t="shared" si="90"/>
        <v>108841</v>
      </c>
      <c r="P201" s="115" t="s">
        <v>5290</v>
      </c>
      <c r="R201" s="57"/>
      <c r="S201" s="57">
        <f>428*12.5*12</f>
        <v>64200</v>
      </c>
      <c r="T201" s="635">
        <f t="shared" si="91"/>
        <v>67410</v>
      </c>
    </row>
    <row r="202" spans="4:20" ht="12.75" customHeight="1" x14ac:dyDescent="0.3">
      <c r="E202" s="301" t="s">
        <v>4751</v>
      </c>
      <c r="F202" s="115"/>
      <c r="G202" s="115">
        <v>1622</v>
      </c>
      <c r="H202" s="634">
        <v>12.56</v>
      </c>
      <c r="I202" s="81"/>
      <c r="J202" s="114">
        <v>64200</v>
      </c>
      <c r="K202" s="114">
        <f t="shared" si="88"/>
        <v>20372.32</v>
      </c>
      <c r="L202" s="2123">
        <f t="shared" si="89"/>
        <v>20780</v>
      </c>
      <c r="M202" s="2123">
        <f t="shared" si="89"/>
        <v>21196</v>
      </c>
      <c r="N202" s="2123">
        <f t="shared" si="89"/>
        <v>21620</v>
      </c>
      <c r="O202" s="2123">
        <f t="shared" si="90"/>
        <v>22420</v>
      </c>
      <c r="P202" s="115" t="s">
        <v>5291</v>
      </c>
      <c r="R202" s="57">
        <v>16369.78</v>
      </c>
      <c r="S202" s="57">
        <f t="shared" ref="S202:S206" si="92">+R202*1.05</f>
        <v>17188.269</v>
      </c>
      <c r="T202" s="635">
        <f t="shared" si="91"/>
        <v>18047.68245</v>
      </c>
    </row>
    <row r="203" spans="4:20" ht="12.75" customHeight="1" x14ac:dyDescent="0.3">
      <c r="E203" s="301" t="s">
        <v>4752</v>
      </c>
      <c r="F203" s="115"/>
      <c r="G203" s="115">
        <v>26</v>
      </c>
      <c r="H203" s="634">
        <v>18882</v>
      </c>
      <c r="I203" s="81"/>
      <c r="J203" s="114">
        <v>469239.74369999999</v>
      </c>
      <c r="K203" s="114">
        <f t="shared" si="88"/>
        <v>490932</v>
      </c>
      <c r="L203" s="2123">
        <f t="shared" si="89"/>
        <v>500751</v>
      </c>
      <c r="M203" s="2123">
        <f t="shared" si="89"/>
        <v>510766</v>
      </c>
      <c r="N203" s="2123">
        <f t="shared" si="89"/>
        <v>520981</v>
      </c>
      <c r="O203" s="2123">
        <f t="shared" si="90"/>
        <v>540257</v>
      </c>
      <c r="R203" s="57">
        <v>19327.400000000001</v>
      </c>
      <c r="S203" s="57">
        <f t="shared" si="92"/>
        <v>20293.770000000004</v>
      </c>
      <c r="T203" s="635">
        <f t="shared" si="91"/>
        <v>21308.458500000004</v>
      </c>
    </row>
    <row r="204" spans="4:20" ht="12.75" customHeight="1" x14ac:dyDescent="0.3">
      <c r="E204" s="301" t="s">
        <v>4753</v>
      </c>
      <c r="F204" s="115"/>
      <c r="G204" s="115">
        <v>1000</v>
      </c>
      <c r="H204" s="634">
        <v>29.488900000000001</v>
      </c>
      <c r="I204" s="81"/>
      <c r="J204" s="114"/>
      <c r="K204" s="114">
        <f t="shared" si="88"/>
        <v>29488.9</v>
      </c>
      <c r="L204" s="2123">
        <f t="shared" si="89"/>
        <v>30079</v>
      </c>
      <c r="M204" s="2123">
        <f t="shared" si="89"/>
        <v>30681</v>
      </c>
      <c r="N204" s="2123">
        <f t="shared" si="89"/>
        <v>31295</v>
      </c>
      <c r="O204" s="2123">
        <f t="shared" si="90"/>
        <v>32453</v>
      </c>
      <c r="P204" s="115" t="s">
        <v>5292</v>
      </c>
      <c r="R204" s="57"/>
      <c r="S204" s="57">
        <f t="shared" si="92"/>
        <v>0</v>
      </c>
      <c r="T204" s="635">
        <f t="shared" si="91"/>
        <v>0</v>
      </c>
    </row>
    <row r="205" spans="4:20" ht="12.75" customHeight="1" x14ac:dyDescent="0.3">
      <c r="E205" s="301" t="s">
        <v>4754</v>
      </c>
      <c r="F205" s="115"/>
      <c r="G205" s="115">
        <v>252</v>
      </c>
      <c r="H205" s="634">
        <v>8.2812000000000001</v>
      </c>
      <c r="I205" s="81"/>
      <c r="J205" s="114"/>
      <c r="K205" s="114">
        <f t="shared" si="88"/>
        <v>2086.8624</v>
      </c>
      <c r="L205" s="2123">
        <f t="shared" si="89"/>
        <v>2129</v>
      </c>
      <c r="M205" s="2123">
        <f t="shared" si="89"/>
        <v>2172</v>
      </c>
      <c r="N205" s="2123">
        <f t="shared" si="89"/>
        <v>2215</v>
      </c>
      <c r="O205" s="2123">
        <f t="shared" si="90"/>
        <v>2297</v>
      </c>
      <c r="P205" s="115">
        <v>2030</v>
      </c>
      <c r="R205" s="57">
        <v>1875.85</v>
      </c>
      <c r="S205" s="57">
        <f t="shared" si="92"/>
        <v>1969.6424999999999</v>
      </c>
      <c r="T205" s="635">
        <f t="shared" si="91"/>
        <v>2068.1246249999999</v>
      </c>
    </row>
    <row r="206" spans="4:20" ht="12.75" customHeight="1" x14ac:dyDescent="0.3">
      <c r="E206" s="301" t="s">
        <v>4755</v>
      </c>
      <c r="F206" s="115"/>
      <c r="G206" s="115">
        <v>96</v>
      </c>
      <c r="H206" s="634">
        <v>70.95</v>
      </c>
      <c r="I206" s="82"/>
      <c r="J206" s="114"/>
      <c r="K206" s="114">
        <f t="shared" si="88"/>
        <v>6811.2000000000007</v>
      </c>
      <c r="L206" s="2123">
        <f t="shared" si="89"/>
        <v>6947</v>
      </c>
      <c r="M206" s="2123">
        <f t="shared" si="89"/>
        <v>7086</v>
      </c>
      <c r="N206" s="2123">
        <f t="shared" si="89"/>
        <v>7228</v>
      </c>
      <c r="O206" s="2123">
        <f t="shared" si="90"/>
        <v>7495</v>
      </c>
      <c r="R206" s="57">
        <v>1930.48</v>
      </c>
      <c r="S206" s="57">
        <f t="shared" si="92"/>
        <v>2027.0040000000001</v>
      </c>
      <c r="T206" s="635">
        <f t="shared" si="91"/>
        <v>2128.3542000000002</v>
      </c>
    </row>
    <row r="207" spans="4:20" ht="12.75" customHeight="1" x14ac:dyDescent="0.25">
      <c r="E207" s="115" t="s">
        <v>4756</v>
      </c>
      <c r="F207" s="115"/>
      <c r="G207" s="115">
        <v>42</v>
      </c>
      <c r="H207" s="634">
        <v>22293</v>
      </c>
      <c r="J207" s="114">
        <v>894955.25700000022</v>
      </c>
      <c r="K207" s="114">
        <f t="shared" si="88"/>
        <v>936306</v>
      </c>
      <c r="L207" s="2123">
        <f t="shared" si="89"/>
        <v>955032</v>
      </c>
      <c r="M207" s="2123">
        <f t="shared" si="89"/>
        <v>974133</v>
      </c>
      <c r="N207" s="2123">
        <f t="shared" si="89"/>
        <v>993616</v>
      </c>
      <c r="O207" s="2123">
        <f t="shared" si="90"/>
        <v>1030380</v>
      </c>
    </row>
    <row r="208" spans="4:20" ht="12.75" customHeight="1" x14ac:dyDescent="0.25">
      <c r="E208" s="115" t="s">
        <v>4757</v>
      </c>
      <c r="F208" s="115"/>
      <c r="G208" s="115">
        <v>52</v>
      </c>
      <c r="H208" s="634">
        <v>2163.6799999999998</v>
      </c>
      <c r="J208" s="114">
        <v>107542.48049999999</v>
      </c>
      <c r="K208" s="114">
        <f t="shared" si="88"/>
        <v>112511.35999999999</v>
      </c>
      <c r="L208" s="2123">
        <f t="shared" si="89"/>
        <v>114762</v>
      </c>
      <c r="M208" s="2123">
        <f t="shared" si="89"/>
        <v>117057</v>
      </c>
      <c r="N208" s="2123">
        <f t="shared" si="89"/>
        <v>119398</v>
      </c>
      <c r="O208" s="2123">
        <f t="shared" si="90"/>
        <v>123816</v>
      </c>
    </row>
    <row r="209" spans="4:26" ht="12.75" customHeight="1" x14ac:dyDescent="0.25">
      <c r="E209" s="115" t="s">
        <v>4758</v>
      </c>
      <c r="F209" s="115"/>
      <c r="G209" s="115">
        <v>52</v>
      </c>
      <c r="H209" s="634">
        <v>2226.6999999999998</v>
      </c>
      <c r="J209" s="114">
        <v>110674.41840000001</v>
      </c>
      <c r="K209" s="114">
        <f t="shared" si="88"/>
        <v>115788.4</v>
      </c>
      <c r="L209" s="2123">
        <f t="shared" si="89"/>
        <v>118104</v>
      </c>
      <c r="M209" s="2123">
        <f t="shared" si="89"/>
        <v>120466</v>
      </c>
      <c r="N209" s="2123">
        <f t="shared" si="89"/>
        <v>122875</v>
      </c>
      <c r="O209" s="2123">
        <f t="shared" si="90"/>
        <v>127421</v>
      </c>
    </row>
    <row r="210" spans="4:26" ht="12.75" customHeight="1" x14ac:dyDescent="0.25">
      <c r="E210" s="115"/>
      <c r="F210" s="115"/>
      <c r="J210" s="114"/>
      <c r="K210" s="114"/>
      <c r="L210" s="114"/>
      <c r="M210" s="114"/>
      <c r="N210" s="114"/>
      <c r="O210" s="114"/>
    </row>
    <row r="211" spans="4:26" ht="12.75" customHeight="1" x14ac:dyDescent="0.25">
      <c r="E211" s="115" t="s">
        <v>4759</v>
      </c>
      <c r="F211" s="115"/>
      <c r="H211" s="114"/>
      <c r="J211" s="1969">
        <v>2131914.4335000003</v>
      </c>
      <c r="K211" s="1969">
        <f>SUM(K199:K209)</f>
        <v>2240508.8023999999</v>
      </c>
      <c r="L211" s="1969">
        <f>SUM(L199:L209)</f>
        <v>2285320</v>
      </c>
      <c r="M211" s="1969">
        <f>SUM(M199:M209)</f>
        <v>2331028</v>
      </c>
      <c r="N211" s="1969">
        <f>SUM(N199:N209)</f>
        <v>2377648</v>
      </c>
      <c r="O211" s="1969">
        <f>SUM(O199:O209)</f>
        <v>2465620</v>
      </c>
    </row>
    <row r="212" spans="4:26" ht="12.75" customHeight="1" x14ac:dyDescent="0.3">
      <c r="E212" s="115"/>
      <c r="F212" s="115"/>
      <c r="J212" s="81"/>
      <c r="K212" s="81"/>
      <c r="L212" s="114"/>
      <c r="M212" s="114"/>
      <c r="N212" s="114"/>
      <c r="O212" s="114"/>
    </row>
    <row r="213" spans="4:26" ht="12.75" customHeight="1" x14ac:dyDescent="0.25">
      <c r="E213" s="115"/>
      <c r="F213" s="115"/>
      <c r="J213" s="114"/>
      <c r="K213" s="114"/>
      <c r="L213" s="114"/>
      <c r="M213" s="114"/>
      <c r="N213" s="114"/>
      <c r="O213" s="114"/>
    </row>
    <row r="214" spans="4:26" ht="12.75" customHeight="1" x14ac:dyDescent="0.25">
      <c r="E214" s="423" t="s">
        <v>4760</v>
      </c>
      <c r="F214" s="115"/>
      <c r="J214" s="114"/>
      <c r="K214" s="114"/>
      <c r="L214" s="114"/>
      <c r="M214" s="114"/>
      <c r="N214" s="114"/>
      <c r="O214" s="114"/>
    </row>
    <row r="215" spans="4:26" ht="12.75" customHeight="1" x14ac:dyDescent="0.25">
      <c r="D215" s="115"/>
      <c r="E215" s="400"/>
      <c r="F215" s="400"/>
      <c r="J215" s="114"/>
      <c r="K215" s="114"/>
      <c r="L215" s="114"/>
      <c r="M215" s="114"/>
      <c r="N215" s="114"/>
      <c r="O215" s="114"/>
    </row>
    <row r="216" spans="4:26" ht="12.75" customHeight="1" x14ac:dyDescent="0.25">
      <c r="D216" s="115"/>
      <c r="E216" s="115"/>
      <c r="F216" s="115"/>
      <c r="J216" s="114"/>
      <c r="K216" s="114"/>
      <c r="L216" s="114"/>
      <c r="M216" s="114"/>
      <c r="N216" s="114"/>
      <c r="O216" s="114"/>
      <c r="T216" s="115">
        <v>2024</v>
      </c>
      <c r="U216" s="115">
        <v>2024</v>
      </c>
      <c r="V216" s="115">
        <v>2020</v>
      </c>
      <c r="X216" s="115">
        <v>2020</v>
      </c>
      <c r="Y216" s="115">
        <v>2021</v>
      </c>
      <c r="Z216" s="115">
        <v>2021</v>
      </c>
    </row>
    <row r="217" spans="4:26" ht="12.75" customHeight="1" x14ac:dyDescent="0.25">
      <c r="D217" s="115"/>
      <c r="E217" s="422" t="s">
        <v>4761</v>
      </c>
      <c r="F217" s="483"/>
      <c r="G217" s="605" t="s">
        <v>4762</v>
      </c>
      <c r="H217" s="605" t="s">
        <v>1339</v>
      </c>
      <c r="J217" s="114"/>
      <c r="K217" s="114"/>
      <c r="L217" s="114"/>
      <c r="M217" s="114"/>
      <c r="N217" s="114"/>
      <c r="O217" s="114"/>
    </row>
    <row r="218" spans="4:26" ht="12.75" customHeight="1" x14ac:dyDescent="0.3">
      <c r="D218" s="115"/>
      <c r="E218" s="115" t="s">
        <v>4763</v>
      </c>
      <c r="F218" s="115"/>
      <c r="G218" s="115">
        <v>3300</v>
      </c>
      <c r="H218" s="494">
        <v>55.29</v>
      </c>
      <c r="I218" s="57"/>
      <c r="J218" s="114">
        <v>182350</v>
      </c>
      <c r="K218" s="114">
        <f t="shared" ref="K218:K224" si="93">+G218*H218</f>
        <v>182457</v>
      </c>
      <c r="L218" s="114">
        <f t="shared" ref="L218:O224" si="94">ROUND(K218*T$2,0)</f>
        <v>186289</v>
      </c>
      <c r="M218" s="114">
        <f t="shared" si="94"/>
        <v>190574</v>
      </c>
      <c r="N218" s="114">
        <f t="shared" si="94"/>
        <v>194957</v>
      </c>
      <c r="O218" s="114">
        <f t="shared" si="94"/>
        <v>199441</v>
      </c>
      <c r="R218" s="115" t="s">
        <v>4761</v>
      </c>
      <c r="T218" s="115" t="s">
        <v>4762</v>
      </c>
      <c r="U218" s="115" t="s">
        <v>1339</v>
      </c>
      <c r="V218" s="115" t="s">
        <v>4762</v>
      </c>
      <c r="X218" s="115" t="s">
        <v>1339</v>
      </c>
      <c r="Y218" s="115" t="s">
        <v>4762</v>
      </c>
      <c r="Z218" s="115" t="s">
        <v>1339</v>
      </c>
    </row>
    <row r="219" spans="4:26" ht="12.75" customHeight="1" x14ac:dyDescent="0.3">
      <c r="D219" s="115"/>
      <c r="E219" s="115" t="s">
        <v>4756</v>
      </c>
      <c r="F219" s="115"/>
      <c r="G219" s="115">
        <v>3800</v>
      </c>
      <c r="H219" s="494">
        <v>80.86</v>
      </c>
      <c r="I219" s="57"/>
      <c r="J219" s="114">
        <v>272958</v>
      </c>
      <c r="K219" s="114">
        <f t="shared" si="93"/>
        <v>307268</v>
      </c>
      <c r="L219" s="114">
        <f t="shared" si="94"/>
        <v>313721</v>
      </c>
      <c r="M219" s="114">
        <f t="shared" si="94"/>
        <v>320937</v>
      </c>
      <c r="N219" s="114">
        <f t="shared" si="94"/>
        <v>328319</v>
      </c>
      <c r="O219" s="114">
        <f t="shared" si="94"/>
        <v>335870</v>
      </c>
      <c r="R219" s="115" t="s">
        <v>4763</v>
      </c>
      <c r="T219" s="57">
        <v>3450</v>
      </c>
      <c r="V219" s="115">
        <v>1500</v>
      </c>
      <c r="X219" s="115">
        <v>81.790000000000006</v>
      </c>
      <c r="Y219" s="115">
        <v>2700</v>
      </c>
      <c r="Z219" s="115">
        <v>81.790000000000006</v>
      </c>
    </row>
    <row r="220" spans="4:26" ht="12.75" customHeight="1" x14ac:dyDescent="0.3">
      <c r="D220" s="115"/>
      <c r="E220" s="115" t="s">
        <v>4757</v>
      </c>
      <c r="F220" s="115"/>
      <c r="G220" s="115">
        <v>80</v>
      </c>
      <c r="H220" s="494">
        <v>131.88</v>
      </c>
      <c r="I220" s="57"/>
      <c r="J220" s="114">
        <v>18624</v>
      </c>
      <c r="K220" s="114">
        <f t="shared" si="93"/>
        <v>10550.4</v>
      </c>
      <c r="L220" s="114">
        <f t="shared" si="94"/>
        <v>10772</v>
      </c>
      <c r="M220" s="114">
        <f t="shared" si="94"/>
        <v>11020</v>
      </c>
      <c r="N220" s="114">
        <f t="shared" si="94"/>
        <v>11273</v>
      </c>
      <c r="O220" s="114">
        <f t="shared" si="94"/>
        <v>11532</v>
      </c>
      <c r="R220" s="115" t="s">
        <v>4764</v>
      </c>
      <c r="T220" s="57"/>
      <c r="V220" s="115">
        <v>0</v>
      </c>
      <c r="X220" s="115">
        <v>28</v>
      </c>
      <c r="Y220" s="115">
        <v>0</v>
      </c>
      <c r="Z220" s="115">
        <v>28</v>
      </c>
    </row>
    <row r="221" spans="4:26" ht="12.75" customHeight="1" x14ac:dyDescent="0.3">
      <c r="D221" s="115"/>
      <c r="E221" s="115" t="s">
        <v>4765</v>
      </c>
      <c r="F221" s="115"/>
      <c r="G221" s="115">
        <v>160</v>
      </c>
      <c r="H221" s="494">
        <v>194.17</v>
      </c>
      <c r="I221" s="57"/>
      <c r="J221" s="114">
        <v>40213.799999999996</v>
      </c>
      <c r="K221" s="114">
        <f t="shared" si="93"/>
        <v>31067.199999999997</v>
      </c>
      <c r="L221" s="114">
        <f t="shared" si="94"/>
        <v>31720</v>
      </c>
      <c r="M221" s="114">
        <f t="shared" si="94"/>
        <v>32450</v>
      </c>
      <c r="N221" s="114">
        <f t="shared" si="94"/>
        <v>33196</v>
      </c>
      <c r="O221" s="114">
        <f t="shared" si="94"/>
        <v>33960</v>
      </c>
      <c r="R221" s="115" t="s">
        <v>4757</v>
      </c>
      <c r="T221" s="57">
        <v>121</v>
      </c>
      <c r="V221" s="115">
        <v>200</v>
      </c>
      <c r="X221" s="115">
        <v>104.14</v>
      </c>
      <c r="Y221" s="115">
        <v>164</v>
      </c>
      <c r="Z221" s="115">
        <v>104.14</v>
      </c>
    </row>
    <row r="222" spans="4:26" ht="12.75" customHeight="1" x14ac:dyDescent="0.3">
      <c r="D222" s="115"/>
      <c r="E222" s="115" t="s">
        <v>4748</v>
      </c>
      <c r="F222" s="115"/>
      <c r="G222" s="115">
        <v>1150</v>
      </c>
      <c r="H222" s="494">
        <v>0</v>
      </c>
      <c r="I222" s="57"/>
      <c r="J222" s="114">
        <v>0</v>
      </c>
      <c r="K222" s="114">
        <f t="shared" si="93"/>
        <v>0</v>
      </c>
      <c r="L222" s="114">
        <f t="shared" si="94"/>
        <v>0</v>
      </c>
      <c r="M222" s="114">
        <f t="shared" si="94"/>
        <v>0</v>
      </c>
      <c r="N222" s="114">
        <f t="shared" si="94"/>
        <v>0</v>
      </c>
      <c r="O222" s="114">
        <f t="shared" si="94"/>
        <v>0</v>
      </c>
      <c r="R222" s="115" t="s">
        <v>4765</v>
      </c>
      <c r="T222" s="57">
        <v>220</v>
      </c>
      <c r="V222" s="115">
        <v>70</v>
      </c>
      <c r="X222" s="115">
        <v>153.31</v>
      </c>
      <c r="Y222" s="115">
        <v>200</v>
      </c>
      <c r="Z222" s="115">
        <v>153.31</v>
      </c>
    </row>
    <row r="223" spans="4:26" ht="12.75" customHeight="1" x14ac:dyDescent="0.3">
      <c r="D223" s="115"/>
      <c r="E223" s="115" t="s">
        <v>4750</v>
      </c>
      <c r="F223" s="115"/>
      <c r="G223" s="115">
        <v>1300</v>
      </c>
      <c r="H223" s="494">
        <v>0</v>
      </c>
      <c r="I223" s="57"/>
      <c r="J223" s="114">
        <v>0</v>
      </c>
      <c r="K223" s="114">
        <f t="shared" si="93"/>
        <v>0</v>
      </c>
      <c r="L223" s="114">
        <f t="shared" si="94"/>
        <v>0</v>
      </c>
      <c r="M223" s="114">
        <f t="shared" si="94"/>
        <v>0</v>
      </c>
      <c r="N223" s="114">
        <f t="shared" si="94"/>
        <v>0</v>
      </c>
      <c r="O223" s="114">
        <f t="shared" si="94"/>
        <v>0</v>
      </c>
      <c r="R223" s="115" t="s">
        <v>4748</v>
      </c>
      <c r="T223" s="57"/>
      <c r="V223" s="115">
        <v>900</v>
      </c>
      <c r="X223" s="115">
        <v>0</v>
      </c>
      <c r="Y223" s="115">
        <v>1300</v>
      </c>
      <c r="Z223" s="115">
        <v>0</v>
      </c>
    </row>
    <row r="224" spans="4:26" ht="12.75" customHeight="1" x14ac:dyDescent="0.3">
      <c r="D224" s="115"/>
      <c r="E224" s="115" t="s">
        <v>4751</v>
      </c>
      <c r="F224" s="115"/>
      <c r="G224" s="115">
        <v>635</v>
      </c>
      <c r="H224" s="494">
        <v>0</v>
      </c>
      <c r="I224" s="57"/>
      <c r="J224" s="114">
        <v>0</v>
      </c>
      <c r="K224" s="114">
        <f t="shared" si="93"/>
        <v>0</v>
      </c>
      <c r="L224" s="114">
        <f t="shared" si="94"/>
        <v>0</v>
      </c>
      <c r="M224" s="114">
        <f t="shared" si="94"/>
        <v>0</v>
      </c>
      <c r="N224" s="114">
        <f t="shared" si="94"/>
        <v>0</v>
      </c>
      <c r="O224" s="114">
        <f t="shared" si="94"/>
        <v>0</v>
      </c>
      <c r="R224" s="115" t="s">
        <v>4750</v>
      </c>
      <c r="T224" s="57">
        <v>1350</v>
      </c>
      <c r="V224" s="115">
        <v>1700</v>
      </c>
      <c r="X224" s="115">
        <v>0</v>
      </c>
      <c r="Y224" s="115">
        <v>1300</v>
      </c>
      <c r="Z224" s="115">
        <v>0</v>
      </c>
    </row>
    <row r="225" spans="4:26" ht="12.75" customHeight="1" x14ac:dyDescent="0.3">
      <c r="D225" s="115"/>
      <c r="E225" s="115" t="s">
        <v>4766</v>
      </c>
      <c r="F225" s="115"/>
      <c r="H225" s="494"/>
      <c r="I225" s="57"/>
      <c r="J225" s="114">
        <v>40000</v>
      </c>
      <c r="K225" s="114">
        <v>40000</v>
      </c>
      <c r="L225" s="114">
        <v>40001</v>
      </c>
      <c r="M225" s="114">
        <v>40002</v>
      </c>
      <c r="N225" s="114">
        <v>40003</v>
      </c>
      <c r="O225" s="114">
        <v>40003</v>
      </c>
      <c r="R225" s="115" t="s">
        <v>4751</v>
      </c>
      <c r="T225" s="57"/>
      <c r="V225" s="115">
        <v>700</v>
      </c>
      <c r="X225" s="115">
        <v>0</v>
      </c>
      <c r="Y225" s="115">
        <v>750</v>
      </c>
      <c r="Z225" s="115">
        <v>0</v>
      </c>
    </row>
    <row r="226" spans="4:26" ht="12.75" customHeight="1" x14ac:dyDescent="0.3">
      <c r="D226" s="115"/>
      <c r="E226" s="115" t="s">
        <v>4767</v>
      </c>
      <c r="F226" s="301"/>
      <c r="G226" s="115">
        <f>+G218</f>
        <v>3300</v>
      </c>
      <c r="H226" s="494">
        <v>24.802399999999999</v>
      </c>
      <c r="I226" s="57"/>
      <c r="J226" s="114">
        <v>84280</v>
      </c>
      <c r="K226" s="114">
        <f>+G226*H226</f>
        <v>81847.92</v>
      </c>
      <c r="L226" s="114">
        <f t="shared" ref="L226:L227" si="95">ROUND(K226*T$2,0)</f>
        <v>83567</v>
      </c>
      <c r="M226" s="114">
        <f t="shared" ref="M226:M227" si="96">ROUND(L226*U$2,0)</f>
        <v>85489</v>
      </c>
      <c r="N226" s="114">
        <f t="shared" ref="N226:O227" si="97">ROUND(M226*V$2,0)</f>
        <v>87455</v>
      </c>
      <c r="O226" s="114">
        <f t="shared" si="97"/>
        <v>89466</v>
      </c>
      <c r="R226" s="115" t="s">
        <v>4751</v>
      </c>
      <c r="T226" s="57"/>
      <c r="V226" s="115">
        <v>600</v>
      </c>
      <c r="X226" s="115">
        <v>0</v>
      </c>
    </row>
    <row r="227" spans="4:26" ht="12.75" customHeight="1" x14ac:dyDescent="0.3">
      <c r="D227" s="115"/>
      <c r="E227" s="115" t="s">
        <v>4768</v>
      </c>
      <c r="F227" s="301"/>
      <c r="G227" s="115">
        <f>+G219</f>
        <v>3800</v>
      </c>
      <c r="H227" s="494">
        <v>17.973500000000001</v>
      </c>
      <c r="I227" s="57"/>
      <c r="J227" s="114">
        <v>64554.000000000007</v>
      </c>
      <c r="K227" s="114">
        <f>+G227*H227</f>
        <v>68299.3</v>
      </c>
      <c r="L227" s="114">
        <f t="shared" si="95"/>
        <v>69734</v>
      </c>
      <c r="M227" s="114">
        <f t="shared" si="96"/>
        <v>71338</v>
      </c>
      <c r="N227" s="114">
        <f t="shared" si="97"/>
        <v>72979</v>
      </c>
      <c r="O227" s="114">
        <f t="shared" si="97"/>
        <v>74658</v>
      </c>
    </row>
    <row r="228" spans="4:26" ht="12.75" customHeight="1" x14ac:dyDescent="0.25">
      <c r="E228" s="115" t="s">
        <v>4769</v>
      </c>
      <c r="F228" s="301"/>
      <c r="G228" s="115">
        <f>+G222</f>
        <v>1150</v>
      </c>
      <c r="H228" s="494">
        <v>13.0501</v>
      </c>
      <c r="K228" s="114">
        <f>+G228*H228</f>
        <v>15007.615</v>
      </c>
      <c r="L228" s="114">
        <f>ROUND(K228*T$2,0)</f>
        <v>15323</v>
      </c>
      <c r="M228" s="114">
        <f>ROUND(L228*U$2,0)</f>
        <v>15675</v>
      </c>
      <c r="N228" s="114">
        <f>ROUND(M228*V$2,0)</f>
        <v>16036</v>
      </c>
      <c r="O228" s="114">
        <f>ROUND(N228*W$2,0)</f>
        <v>16405</v>
      </c>
    </row>
    <row r="229" spans="4:26" ht="12.75" customHeight="1" x14ac:dyDescent="0.3">
      <c r="D229" s="115"/>
      <c r="E229" s="115"/>
      <c r="F229" s="115"/>
      <c r="J229" s="1969">
        <v>702979.8</v>
      </c>
      <c r="K229" s="1969">
        <f>SUM(K218:K228)</f>
        <v>736497.43500000006</v>
      </c>
      <c r="L229" s="1969">
        <f>SUM(L218:L228)</f>
        <v>751127</v>
      </c>
      <c r="M229" s="1969">
        <f>SUM(M218:M228)</f>
        <v>767485</v>
      </c>
      <c r="N229" s="1969">
        <f>SUM(N218:N228)</f>
        <v>784218</v>
      </c>
      <c r="O229" s="1969">
        <f>SUM(O218:O228)</f>
        <v>801335</v>
      </c>
      <c r="R229" s="115" t="s">
        <v>4770</v>
      </c>
      <c r="T229" s="57"/>
      <c r="V229" s="115">
        <v>1500</v>
      </c>
      <c r="X229" s="115">
        <v>21.12</v>
      </c>
      <c r="Y229" s="115">
        <v>2700</v>
      </c>
      <c r="Z229" s="115">
        <v>21.12</v>
      </c>
    </row>
    <row r="230" spans="4:26" ht="12.75" customHeight="1" x14ac:dyDescent="0.25">
      <c r="J230" s="114"/>
      <c r="K230" s="114"/>
      <c r="L230" s="114"/>
      <c r="M230" s="114"/>
      <c r="N230" s="114"/>
      <c r="O230" s="114"/>
    </row>
    <row r="231" spans="4:26" ht="12.75" customHeight="1" x14ac:dyDescent="0.25">
      <c r="J231" s="114"/>
      <c r="K231" s="114"/>
      <c r="L231" s="114"/>
      <c r="M231" s="114"/>
      <c r="N231" s="114"/>
      <c r="O231" s="114"/>
    </row>
    <row r="232" spans="4:26" ht="12.75" customHeight="1" thickBot="1" x14ac:dyDescent="0.3">
      <c r="G232" s="115" t="s">
        <v>619</v>
      </c>
      <c r="I232" s="114"/>
      <c r="J232" s="1970">
        <v>2834894.2335000001</v>
      </c>
      <c r="K232" s="1970">
        <f>+K211+K229</f>
        <v>2977006.2374</v>
      </c>
      <c r="L232" s="1970">
        <f>+L211+L229</f>
        <v>3036447</v>
      </c>
      <c r="M232" s="1970">
        <f>+M211+M229</f>
        <v>3098513</v>
      </c>
      <c r="N232" s="1970">
        <f>+N211+N229</f>
        <v>3161866</v>
      </c>
      <c r="O232" s="1970">
        <f>+O211+O229</f>
        <v>3266955</v>
      </c>
    </row>
    <row r="233" spans="4:26" ht="12.75" customHeight="1" thickTop="1" x14ac:dyDescent="0.25">
      <c r="J233" s="114"/>
      <c r="K233" s="114"/>
      <c r="L233" s="114"/>
      <c r="M233" s="114"/>
      <c r="N233" s="114"/>
      <c r="O233" s="114"/>
    </row>
    <row r="234" spans="4:26" ht="12.75" customHeight="1" x14ac:dyDescent="0.25">
      <c r="I234" s="485"/>
      <c r="J234" s="485"/>
      <c r="K234" s="485"/>
      <c r="L234" s="485"/>
      <c r="M234" s="485"/>
      <c r="N234" s="485"/>
      <c r="O234" s="485"/>
    </row>
    <row r="235" spans="4:26" ht="12.75" customHeight="1" x14ac:dyDescent="0.25">
      <c r="D235" s="143">
        <v>43812</v>
      </c>
      <c r="E235" s="308" t="s">
        <v>4771</v>
      </c>
      <c r="I235" s="485"/>
      <c r="J235" s="114">
        <v>124311</v>
      </c>
      <c r="K235" s="114">
        <f>ROUND(J235*S$2,0)</f>
        <v>127543</v>
      </c>
      <c r="L235" s="114">
        <f>ROUND(K235*T$2,0)</f>
        <v>130221</v>
      </c>
      <c r="M235" s="114">
        <f>ROUND(L235*U$2,0)</f>
        <v>133216</v>
      </c>
      <c r="N235" s="114">
        <f>ROUND(M235*V$2,0)</f>
        <v>136280</v>
      </c>
      <c r="O235" s="114">
        <f>ROUND(N235*W$2,0)</f>
        <v>139414</v>
      </c>
    </row>
    <row r="236" spans="4:26" ht="12.75" customHeight="1" x14ac:dyDescent="0.25">
      <c r="E236" s="308" t="s">
        <v>4772</v>
      </c>
      <c r="I236" s="485"/>
      <c r="J236" s="114">
        <v>96836</v>
      </c>
      <c r="K236" s="114">
        <f t="shared" ref="K236:K249" si="98">ROUND(J236*S$2,0)</f>
        <v>99354</v>
      </c>
      <c r="L236" s="114">
        <f t="shared" ref="L236:L249" si="99">ROUND(K236*T$2,0)</f>
        <v>101440</v>
      </c>
      <c r="M236" s="114">
        <f t="shared" ref="M236:M250" si="100">ROUND(L236*U$2,0)</f>
        <v>103773</v>
      </c>
      <c r="N236" s="114">
        <f t="shared" ref="N236:N250" si="101">ROUND(M236*V$2,0)</f>
        <v>106160</v>
      </c>
      <c r="O236" s="114">
        <f t="shared" ref="O236:O250" si="102">ROUND(N236*W$2,0)</f>
        <v>108602</v>
      </c>
    </row>
    <row r="237" spans="4:26" ht="12.75" customHeight="1" x14ac:dyDescent="0.25">
      <c r="D237" s="115"/>
      <c r="E237" s="308" t="s">
        <v>4773</v>
      </c>
      <c r="F237" s="400"/>
      <c r="I237" s="114"/>
      <c r="J237" s="114">
        <v>7274</v>
      </c>
      <c r="K237" s="114">
        <f t="shared" si="98"/>
        <v>7463</v>
      </c>
      <c r="L237" s="114">
        <f t="shared" si="99"/>
        <v>7620</v>
      </c>
      <c r="M237" s="114">
        <f t="shared" si="100"/>
        <v>7795</v>
      </c>
      <c r="N237" s="114">
        <f t="shared" si="101"/>
        <v>7974</v>
      </c>
      <c r="O237" s="114">
        <f t="shared" si="102"/>
        <v>8157</v>
      </c>
    </row>
    <row r="238" spans="4:26" ht="12.75" customHeight="1" x14ac:dyDescent="0.25">
      <c r="D238" s="114"/>
      <c r="E238" s="490" t="s">
        <v>4774</v>
      </c>
      <c r="F238" s="303"/>
      <c r="I238" s="114"/>
      <c r="J238" s="114">
        <v>3341</v>
      </c>
      <c r="K238" s="114">
        <f t="shared" si="98"/>
        <v>3428</v>
      </c>
      <c r="L238" s="114">
        <f t="shared" si="99"/>
        <v>3500</v>
      </c>
      <c r="M238" s="114">
        <f t="shared" si="100"/>
        <v>3581</v>
      </c>
      <c r="N238" s="114">
        <f t="shared" si="101"/>
        <v>3663</v>
      </c>
      <c r="O238" s="114">
        <f t="shared" si="102"/>
        <v>3747</v>
      </c>
    </row>
    <row r="239" spans="4:26" ht="12.75" customHeight="1" x14ac:dyDescent="0.25">
      <c r="E239" s="308" t="s">
        <v>4775</v>
      </c>
      <c r="J239" s="114">
        <v>0</v>
      </c>
      <c r="K239" s="114">
        <f t="shared" si="98"/>
        <v>0</v>
      </c>
      <c r="L239" s="114">
        <f t="shared" si="99"/>
        <v>0</v>
      </c>
      <c r="M239" s="114">
        <f t="shared" si="100"/>
        <v>0</v>
      </c>
      <c r="N239" s="114">
        <f t="shared" si="101"/>
        <v>0</v>
      </c>
      <c r="O239" s="114">
        <f t="shared" si="102"/>
        <v>0</v>
      </c>
    </row>
    <row r="240" spans="4:26" ht="12.75" customHeight="1" x14ac:dyDescent="0.25">
      <c r="E240" s="306" t="s">
        <v>4776</v>
      </c>
      <c r="I240" s="114"/>
      <c r="J240" s="114">
        <v>7346</v>
      </c>
      <c r="K240" s="114">
        <f t="shared" si="98"/>
        <v>7537</v>
      </c>
      <c r="L240" s="114">
        <f t="shared" si="99"/>
        <v>7695</v>
      </c>
      <c r="M240" s="114">
        <f t="shared" si="100"/>
        <v>7872</v>
      </c>
      <c r="N240" s="114">
        <f t="shared" si="101"/>
        <v>8053</v>
      </c>
      <c r="O240" s="114">
        <f t="shared" si="102"/>
        <v>8238</v>
      </c>
    </row>
    <row r="241" spans="4:17" ht="12.75" customHeight="1" x14ac:dyDescent="0.25">
      <c r="E241" s="308" t="s">
        <v>4777</v>
      </c>
      <c r="I241" s="114"/>
      <c r="J241" s="114">
        <v>2216</v>
      </c>
      <c r="K241" s="114">
        <f t="shared" si="98"/>
        <v>2274</v>
      </c>
      <c r="L241" s="114">
        <f t="shared" si="99"/>
        <v>2322</v>
      </c>
      <c r="M241" s="114">
        <f t="shared" si="100"/>
        <v>2375</v>
      </c>
      <c r="N241" s="114">
        <f t="shared" si="101"/>
        <v>2430</v>
      </c>
      <c r="O241" s="114">
        <f t="shared" si="102"/>
        <v>2486</v>
      </c>
    </row>
    <row r="242" spans="4:17" ht="12.75" customHeight="1" x14ac:dyDescent="0.25">
      <c r="E242" s="308" t="s">
        <v>4778</v>
      </c>
      <c r="I242" s="114"/>
      <c r="J242" s="114">
        <v>7496</v>
      </c>
      <c r="K242" s="114">
        <f t="shared" si="98"/>
        <v>7691</v>
      </c>
      <c r="L242" s="114">
        <f t="shared" si="99"/>
        <v>7853</v>
      </c>
      <c r="M242" s="114">
        <f t="shared" si="100"/>
        <v>8034</v>
      </c>
      <c r="N242" s="114">
        <f t="shared" si="101"/>
        <v>8219</v>
      </c>
      <c r="O242" s="114">
        <f t="shared" si="102"/>
        <v>8408</v>
      </c>
    </row>
    <row r="243" spans="4:17" ht="12.75" customHeight="1" x14ac:dyDescent="0.25">
      <c r="E243" s="308" t="s">
        <v>4779</v>
      </c>
      <c r="I243" s="114"/>
      <c r="J243" s="114">
        <v>580</v>
      </c>
      <c r="K243" s="114">
        <f t="shared" si="98"/>
        <v>595</v>
      </c>
      <c r="L243" s="114">
        <f t="shared" si="99"/>
        <v>607</v>
      </c>
      <c r="M243" s="114">
        <f t="shared" si="100"/>
        <v>621</v>
      </c>
      <c r="N243" s="114">
        <f t="shared" si="101"/>
        <v>635</v>
      </c>
      <c r="O243" s="114">
        <f t="shared" si="102"/>
        <v>650</v>
      </c>
    </row>
    <row r="244" spans="4:17" ht="12.75" customHeight="1" x14ac:dyDescent="0.25">
      <c r="E244" s="398" t="s">
        <v>4780</v>
      </c>
      <c r="I244" s="114"/>
      <c r="J244" s="114">
        <v>12502</v>
      </c>
      <c r="K244" s="114">
        <f t="shared" si="98"/>
        <v>12827</v>
      </c>
      <c r="L244" s="114">
        <f t="shared" si="99"/>
        <v>13096</v>
      </c>
      <c r="M244" s="114">
        <f t="shared" si="100"/>
        <v>13397</v>
      </c>
      <c r="N244" s="114">
        <f t="shared" si="101"/>
        <v>13705</v>
      </c>
      <c r="O244" s="114">
        <f t="shared" si="102"/>
        <v>14020</v>
      </c>
    </row>
    <row r="245" spans="4:17" ht="12.75" customHeight="1" x14ac:dyDescent="0.25">
      <c r="E245" s="308" t="s">
        <v>4781</v>
      </c>
      <c r="I245" s="114"/>
      <c r="J245" s="114">
        <v>32429</v>
      </c>
      <c r="K245" s="114">
        <f t="shared" si="98"/>
        <v>33272</v>
      </c>
      <c r="L245" s="114">
        <f t="shared" si="99"/>
        <v>33971</v>
      </c>
      <c r="M245" s="114">
        <f t="shared" si="100"/>
        <v>34752</v>
      </c>
      <c r="N245" s="114">
        <f t="shared" si="101"/>
        <v>35551</v>
      </c>
      <c r="O245" s="114">
        <f t="shared" si="102"/>
        <v>36369</v>
      </c>
    </row>
    <row r="246" spans="4:17" ht="12.75" customHeight="1" x14ac:dyDescent="0.25">
      <c r="E246" s="115" t="s">
        <v>4782</v>
      </c>
      <c r="I246" s="114"/>
      <c r="J246" s="114">
        <v>7567</v>
      </c>
      <c r="K246" s="114">
        <f t="shared" si="98"/>
        <v>7764</v>
      </c>
      <c r="L246" s="114">
        <f t="shared" si="99"/>
        <v>7927</v>
      </c>
      <c r="M246" s="114">
        <f t="shared" si="100"/>
        <v>8109</v>
      </c>
      <c r="N246" s="114">
        <f t="shared" si="101"/>
        <v>8296</v>
      </c>
      <c r="O246" s="114">
        <f t="shared" si="102"/>
        <v>8487</v>
      </c>
    </row>
    <row r="247" spans="4:17" ht="12.75" customHeight="1" x14ac:dyDescent="0.25">
      <c r="E247" s="308" t="s">
        <v>4783</v>
      </c>
      <c r="I247" s="114"/>
      <c r="J247" s="114">
        <v>21321</v>
      </c>
      <c r="K247" s="114">
        <f t="shared" si="98"/>
        <v>21875</v>
      </c>
      <c r="L247" s="114">
        <f t="shared" si="99"/>
        <v>22334</v>
      </c>
      <c r="M247" s="114">
        <f t="shared" si="100"/>
        <v>22848</v>
      </c>
      <c r="N247" s="114">
        <f t="shared" si="101"/>
        <v>23374</v>
      </c>
      <c r="O247" s="114">
        <f t="shared" si="102"/>
        <v>23912</v>
      </c>
      <c r="Q247" s="114"/>
    </row>
    <row r="248" spans="4:17" ht="12.75" customHeight="1" x14ac:dyDescent="0.25">
      <c r="E248" s="308" t="s">
        <v>4784</v>
      </c>
      <c r="I248" s="114"/>
      <c r="J248" s="114">
        <v>3505</v>
      </c>
      <c r="K248" s="114">
        <f t="shared" si="98"/>
        <v>3596</v>
      </c>
      <c r="L248" s="114">
        <f t="shared" si="99"/>
        <v>3672</v>
      </c>
      <c r="M248" s="114">
        <f t="shared" si="100"/>
        <v>3756</v>
      </c>
      <c r="N248" s="114">
        <f t="shared" si="101"/>
        <v>3842</v>
      </c>
      <c r="O248" s="114">
        <f t="shared" si="102"/>
        <v>3930</v>
      </c>
    </row>
    <row r="249" spans="4:17" ht="12.75" customHeight="1" x14ac:dyDescent="0.25">
      <c r="E249" s="308" t="s">
        <v>4785</v>
      </c>
      <c r="I249" s="114"/>
      <c r="J249" s="114">
        <v>31981</v>
      </c>
      <c r="K249" s="114">
        <f t="shared" si="98"/>
        <v>32813</v>
      </c>
      <c r="L249" s="114">
        <f t="shared" si="99"/>
        <v>33502</v>
      </c>
      <c r="M249" s="114">
        <f t="shared" si="100"/>
        <v>34273</v>
      </c>
      <c r="N249" s="114">
        <f t="shared" si="101"/>
        <v>35061</v>
      </c>
      <c r="O249" s="114">
        <f t="shared" si="102"/>
        <v>35867</v>
      </c>
      <c r="Q249" s="114"/>
    </row>
    <row r="250" spans="4:17" ht="12.75" customHeight="1" x14ac:dyDescent="0.25">
      <c r="E250" s="2212" t="s">
        <v>5344</v>
      </c>
      <c r="F250" s="2230"/>
      <c r="G250" s="2213"/>
      <c r="H250" s="2213"/>
      <c r="I250" s="2214"/>
      <c r="J250" s="2214">
        <v>0</v>
      </c>
      <c r="K250" s="2214">
        <v>20000</v>
      </c>
      <c r="L250" s="2214">
        <v>0</v>
      </c>
      <c r="M250" s="2214">
        <f t="shared" si="100"/>
        <v>0</v>
      </c>
      <c r="N250" s="2214">
        <f t="shared" si="101"/>
        <v>0</v>
      </c>
      <c r="O250" s="2214">
        <f t="shared" si="102"/>
        <v>0</v>
      </c>
      <c r="Q250" s="114"/>
    </row>
    <row r="251" spans="4:17" ht="12.75" customHeight="1" x14ac:dyDescent="0.25">
      <c r="E251" s="115"/>
      <c r="I251" s="114"/>
      <c r="J251" s="114"/>
      <c r="K251" s="114"/>
      <c r="L251" s="114"/>
      <c r="M251" s="114"/>
      <c r="N251" s="114"/>
      <c r="O251" s="114"/>
    </row>
    <row r="252" spans="4:17" ht="12.75" customHeight="1" thickBot="1" x14ac:dyDescent="0.3">
      <c r="E252" s="115" t="str">
        <f>"Totaal "&amp;D235</f>
        <v>Totaal 43812</v>
      </c>
      <c r="I252" s="114"/>
      <c r="J252" s="1971">
        <v>358705</v>
      </c>
      <c r="K252" s="1971">
        <f>SUM(K235:K250)</f>
        <v>388032</v>
      </c>
      <c r="L252" s="1971">
        <f>SUM(L235:L250)</f>
        <v>375760</v>
      </c>
      <c r="M252" s="1971">
        <f>SUM(M235:M250)</f>
        <v>384402</v>
      </c>
      <c r="N252" s="1971">
        <f>SUM(N235:N250)</f>
        <v>393243</v>
      </c>
      <c r="O252" s="1971">
        <f>SUM(O235:O250)</f>
        <v>402287</v>
      </c>
    </row>
    <row r="253" spans="4:17" ht="12.75" customHeight="1" thickTop="1" x14ac:dyDescent="0.25">
      <c r="E253" s="115"/>
      <c r="I253" s="114"/>
      <c r="J253" s="114"/>
      <c r="K253" s="114"/>
      <c r="L253" s="114"/>
      <c r="M253" s="114"/>
      <c r="N253" s="114"/>
      <c r="O253" s="114"/>
    </row>
    <row r="254" spans="4:17" ht="12.75" customHeight="1" x14ac:dyDescent="0.25">
      <c r="D254" s="143">
        <v>44510</v>
      </c>
      <c r="E254" s="115" t="s">
        <v>4612</v>
      </c>
    </row>
    <row r="255" spans="4:17" ht="12.75" customHeight="1" x14ac:dyDescent="0.25">
      <c r="E255" s="115" t="s">
        <v>4786</v>
      </c>
      <c r="I255" s="114"/>
      <c r="J255" s="114"/>
      <c r="K255" s="114"/>
      <c r="L255" s="114"/>
      <c r="M255" s="114"/>
      <c r="N255" s="114"/>
      <c r="O255" s="114"/>
    </row>
    <row r="256" spans="4:17" ht="12.75" customHeight="1" x14ac:dyDescent="0.25">
      <c r="E256" s="115" t="s">
        <v>4787</v>
      </c>
      <c r="I256" s="114"/>
      <c r="J256" s="114">
        <v>595328</v>
      </c>
      <c r="K256" s="114">
        <f>ROUND(K232*0.21,0)</f>
        <v>625171</v>
      </c>
      <c r="L256" s="114">
        <f>ROUND(L232*0.21,0)</f>
        <v>637654</v>
      </c>
      <c r="M256" s="114">
        <f>ROUND(M232*0.21,0)</f>
        <v>650688</v>
      </c>
      <c r="N256" s="114">
        <f>ROUND(N232*0.21,0)</f>
        <v>663992</v>
      </c>
      <c r="O256" s="114">
        <f>ROUND(O232*0.21,0)</f>
        <v>686061</v>
      </c>
    </row>
    <row r="257" spans="4:15" ht="12.75" customHeight="1" x14ac:dyDescent="0.25">
      <c r="E257" s="115" t="s">
        <v>565</v>
      </c>
      <c r="I257" s="114"/>
      <c r="J257" s="114">
        <v>75328</v>
      </c>
      <c r="K257" s="114">
        <f>ROUND(K252*0.21,0)</f>
        <v>81487</v>
      </c>
      <c r="L257" s="114">
        <f>ROUND(L252*0.21,0)</f>
        <v>78910</v>
      </c>
      <c r="M257" s="114">
        <f>ROUND(M252*0.21,0)</f>
        <v>80724</v>
      </c>
      <c r="N257" s="114">
        <f>ROUND(N252*0.21,0)</f>
        <v>82581</v>
      </c>
      <c r="O257" s="114">
        <f>ROUND(O252*0.21,0)</f>
        <v>84480</v>
      </c>
    </row>
    <row r="258" spans="4:15" ht="12.75" customHeight="1" x14ac:dyDescent="0.25">
      <c r="E258" s="115"/>
      <c r="I258" s="114"/>
      <c r="J258" s="114"/>
      <c r="K258" s="114"/>
      <c r="L258" s="114"/>
      <c r="M258" s="114"/>
      <c r="N258" s="114"/>
      <c r="O258" s="114"/>
    </row>
    <row r="259" spans="4:15" ht="12.75" customHeight="1" thickBot="1" x14ac:dyDescent="0.3">
      <c r="E259" s="115" t="str">
        <f>"Totaal "&amp;D254</f>
        <v>Totaal 44510</v>
      </c>
      <c r="I259" s="114"/>
      <c r="J259" s="1971">
        <v>670656</v>
      </c>
      <c r="K259" s="1971">
        <f t="shared" ref="K259" si="103">SUM(K256:K258)</f>
        <v>706658</v>
      </c>
      <c r="L259" s="1971">
        <f t="shared" ref="L259:M259" si="104">SUM(L256:L258)</f>
        <v>716564</v>
      </c>
      <c r="M259" s="1971">
        <f t="shared" si="104"/>
        <v>731412</v>
      </c>
      <c r="N259" s="1971">
        <f t="shared" ref="N259:O259" si="105">SUM(N256:N258)</f>
        <v>746573</v>
      </c>
      <c r="O259" s="1971">
        <f t="shared" si="105"/>
        <v>770541</v>
      </c>
    </row>
    <row r="260" spans="4:15" ht="12.75" customHeight="1" thickTop="1" x14ac:dyDescent="0.25">
      <c r="D260" s="143"/>
    </row>
    <row r="261" spans="4:15" ht="12.75" customHeight="1" x14ac:dyDescent="0.25">
      <c r="D261" s="143"/>
    </row>
    <row r="262" spans="4:15" ht="12.75" customHeight="1" x14ac:dyDescent="0.25">
      <c r="D262" s="143"/>
    </row>
    <row r="263" spans="4:15" ht="12.75" customHeight="1" x14ac:dyDescent="0.25">
      <c r="D263" s="143"/>
    </row>
    <row r="264" spans="4:15" ht="12.75" customHeight="1" x14ac:dyDescent="0.25">
      <c r="D264" s="393">
        <v>648002</v>
      </c>
      <c r="E264" s="381" t="s">
        <v>4731</v>
      </c>
      <c r="F264" s="115"/>
      <c r="G264" s="383"/>
      <c r="J264" s="483">
        <v>2025</v>
      </c>
      <c r="K264" s="483">
        <v>2026</v>
      </c>
      <c r="L264" s="483">
        <v>2027</v>
      </c>
      <c r="M264" s="483">
        <v>2028</v>
      </c>
      <c r="N264" s="483">
        <v>2029</v>
      </c>
      <c r="O264" s="483">
        <v>2030</v>
      </c>
    </row>
    <row r="265" spans="4:15" ht="12.75" customHeight="1" x14ac:dyDescent="0.25">
      <c r="D265" s="143">
        <v>43812</v>
      </c>
      <c r="E265" s="115" t="s">
        <v>4788</v>
      </c>
      <c r="F265" s="115"/>
      <c r="G265" s="114"/>
      <c r="J265" s="114"/>
      <c r="K265" s="114"/>
      <c r="L265" s="114"/>
      <c r="M265" s="114"/>
      <c r="N265" s="114"/>
      <c r="O265" s="114"/>
    </row>
    <row r="266" spans="4:15" ht="12.75" customHeight="1" x14ac:dyDescent="0.25">
      <c r="D266" s="115"/>
      <c r="E266" s="400">
        <v>6</v>
      </c>
      <c r="F266" s="306" t="s">
        <v>4789</v>
      </c>
      <c r="H266" s="636">
        <v>377.99</v>
      </c>
      <c r="J266" s="114">
        <v>2268</v>
      </c>
      <c r="K266" s="114"/>
      <c r="L266" s="114"/>
      <c r="M266" s="114"/>
      <c r="N266" s="114"/>
      <c r="O266" s="114"/>
    </row>
    <row r="267" spans="4:15" ht="12.75" customHeight="1" x14ac:dyDescent="0.25">
      <c r="D267" s="115"/>
      <c r="E267" s="400">
        <v>6</v>
      </c>
      <c r="F267" s="306" t="s">
        <v>4789</v>
      </c>
      <c r="H267" s="636">
        <f>ROUND(H266*S2,2)</f>
        <v>387.82</v>
      </c>
      <c r="J267" s="114"/>
      <c r="K267" s="114">
        <f>ROUND($E267*$H267,0)</f>
        <v>2327</v>
      </c>
    </row>
    <row r="268" spans="4:15" ht="12.75" customHeight="1" x14ac:dyDescent="0.25">
      <c r="D268" s="115"/>
      <c r="E268" s="400">
        <v>6</v>
      </c>
      <c r="F268" s="306" t="s">
        <v>4789</v>
      </c>
      <c r="H268" s="636">
        <f>ROUND(H267*T$2,2)</f>
        <v>395.96</v>
      </c>
      <c r="J268" s="114"/>
      <c r="K268" s="114"/>
      <c r="L268" s="114">
        <f t="shared" ref="L268:O271" si="106">ROUND($E268*$H268,0)</f>
        <v>2376</v>
      </c>
      <c r="M268" s="114"/>
      <c r="N268" s="114"/>
      <c r="O268" s="114"/>
    </row>
    <row r="269" spans="4:15" ht="12.75" customHeight="1" x14ac:dyDescent="0.25">
      <c r="D269" s="115"/>
      <c r="E269" s="400">
        <v>6</v>
      </c>
      <c r="F269" s="306" t="s">
        <v>4789</v>
      </c>
      <c r="H269" s="636">
        <f>ROUND(H268*U$2,2)</f>
        <v>405.07</v>
      </c>
      <c r="J269" s="114"/>
      <c r="K269" s="114"/>
      <c r="L269" s="114"/>
      <c r="M269" s="114">
        <f>ROUND($E269*$H269,0)</f>
        <v>2430</v>
      </c>
      <c r="N269" s="114"/>
      <c r="O269" s="114"/>
    </row>
    <row r="270" spans="4:15" ht="12.75" customHeight="1" x14ac:dyDescent="0.25">
      <c r="D270" s="115"/>
      <c r="E270" s="400">
        <v>7</v>
      </c>
      <c r="F270" s="306" t="s">
        <v>4789</v>
      </c>
      <c r="H270" s="636">
        <f>ROUND(H269*V$2,2)</f>
        <v>414.39</v>
      </c>
      <c r="J270" s="114"/>
      <c r="K270" s="114"/>
      <c r="L270" s="114"/>
      <c r="M270" s="114"/>
      <c r="N270" s="114">
        <f t="shared" si="106"/>
        <v>2901</v>
      </c>
      <c r="O270" s="114"/>
    </row>
    <row r="271" spans="4:15" ht="12.75" customHeight="1" x14ac:dyDescent="0.25">
      <c r="D271" s="115"/>
      <c r="E271" s="546">
        <v>7</v>
      </c>
      <c r="F271" s="543" t="s">
        <v>4789</v>
      </c>
      <c r="G271" s="358"/>
      <c r="H271" s="2028">
        <f>ROUND(H270*W$2,2)</f>
        <v>423.92</v>
      </c>
      <c r="J271" s="114"/>
      <c r="K271" s="114"/>
      <c r="L271" s="114"/>
      <c r="M271" s="114"/>
      <c r="N271" s="114"/>
      <c r="O271" s="114">
        <f t="shared" si="106"/>
        <v>2967</v>
      </c>
    </row>
    <row r="272" spans="4:15" ht="12.75" customHeight="1" x14ac:dyDescent="0.25">
      <c r="D272" s="115"/>
      <c r="E272" s="400"/>
      <c r="F272" s="306"/>
      <c r="H272" s="636"/>
      <c r="J272" s="114"/>
      <c r="K272" s="114"/>
      <c r="L272" s="114"/>
      <c r="M272" s="114"/>
      <c r="N272" s="114"/>
      <c r="O272" s="114"/>
    </row>
    <row r="273" spans="4:15" ht="12.75" customHeight="1" x14ac:dyDescent="0.25">
      <c r="D273" s="115"/>
      <c r="E273" s="308" t="s">
        <v>4790</v>
      </c>
      <c r="F273" s="306"/>
    </row>
    <row r="274" spans="4:15" ht="12.75" customHeight="1" x14ac:dyDescent="0.25">
      <c r="D274" s="115"/>
      <c r="E274" s="303">
        <v>292</v>
      </c>
      <c r="F274" s="306" t="s">
        <v>4791</v>
      </c>
      <c r="H274" s="636">
        <v>12.99</v>
      </c>
      <c r="J274" s="114">
        <v>3793</v>
      </c>
      <c r="K274" s="114"/>
      <c r="L274" s="114"/>
      <c r="M274" s="114"/>
      <c r="N274" s="114"/>
      <c r="O274" s="114"/>
    </row>
    <row r="275" spans="4:15" ht="12.75" customHeight="1" x14ac:dyDescent="0.25">
      <c r="D275" s="115"/>
      <c r="E275" s="303">
        <v>292</v>
      </c>
      <c r="F275" s="306" t="s">
        <v>4791</v>
      </c>
      <c r="H275" s="636">
        <f>ROUND(H274*S2,2)</f>
        <v>13.33</v>
      </c>
      <c r="J275" s="114"/>
      <c r="K275" s="114">
        <f t="shared" ref="K275:O279" si="107">ROUND($E275*$H275,0)</f>
        <v>3892</v>
      </c>
      <c r="L275" s="114"/>
      <c r="M275" s="114"/>
      <c r="N275" s="114"/>
      <c r="O275" s="114"/>
    </row>
    <row r="276" spans="4:15" ht="12.75" customHeight="1" x14ac:dyDescent="0.25">
      <c r="D276" s="115"/>
      <c r="E276" s="303">
        <v>292</v>
      </c>
      <c r="F276" s="306" t="s">
        <v>4791</v>
      </c>
      <c r="H276" s="636">
        <f>ROUND(H275*T$2,2)</f>
        <v>13.61</v>
      </c>
      <c r="J276" s="114"/>
      <c r="K276" s="114"/>
      <c r="L276" s="114">
        <f t="shared" si="107"/>
        <v>3974</v>
      </c>
      <c r="M276" s="114"/>
      <c r="N276" s="114"/>
      <c r="O276" s="114"/>
    </row>
    <row r="277" spans="4:15" ht="12.75" customHeight="1" x14ac:dyDescent="0.25">
      <c r="D277" s="384"/>
      <c r="E277" s="303">
        <v>292</v>
      </c>
      <c r="F277" s="306" t="s">
        <v>4791</v>
      </c>
      <c r="H277" s="636">
        <f>ROUND(H276*U$2,2)</f>
        <v>13.92</v>
      </c>
      <c r="J277" s="114"/>
      <c r="K277" s="114"/>
      <c r="L277" s="114"/>
      <c r="M277" s="114">
        <f t="shared" si="107"/>
        <v>4065</v>
      </c>
      <c r="N277" s="114"/>
      <c r="O277" s="114"/>
    </row>
    <row r="278" spans="4:15" ht="12.75" customHeight="1" x14ac:dyDescent="0.25">
      <c r="D278" s="384"/>
      <c r="E278" s="303">
        <v>292</v>
      </c>
      <c r="F278" s="306" t="s">
        <v>4791</v>
      </c>
      <c r="G278" s="114"/>
      <c r="H278" s="636">
        <f>ROUND(H277*V$2,2)</f>
        <v>14.24</v>
      </c>
      <c r="J278" s="114"/>
      <c r="K278" s="114"/>
      <c r="L278" s="114"/>
      <c r="M278" s="114"/>
      <c r="N278" s="114">
        <f t="shared" si="107"/>
        <v>4158</v>
      </c>
      <c r="O278" s="114"/>
    </row>
    <row r="279" spans="4:15" ht="12.75" customHeight="1" x14ac:dyDescent="0.25">
      <c r="D279" s="384"/>
      <c r="E279" s="2027">
        <v>292</v>
      </c>
      <c r="F279" s="543" t="s">
        <v>4791</v>
      </c>
      <c r="G279" s="544"/>
      <c r="H279" s="2028">
        <f>ROUND(H278*W$2,2)</f>
        <v>14.57</v>
      </c>
      <c r="J279" s="114"/>
      <c r="K279" s="114"/>
      <c r="L279" s="114"/>
      <c r="M279" s="114"/>
      <c r="N279" s="114"/>
      <c r="O279" s="114">
        <f t="shared" si="107"/>
        <v>4254</v>
      </c>
    </row>
    <row r="280" spans="4:15" ht="12.75" customHeight="1" x14ac:dyDescent="0.25">
      <c r="D280" s="384"/>
      <c r="E280" s="114"/>
      <c r="F280" s="306"/>
      <c r="G280" s="114"/>
      <c r="J280" s="114"/>
      <c r="K280" s="114"/>
      <c r="L280" s="114"/>
      <c r="M280" s="114"/>
      <c r="N280" s="114"/>
      <c r="O280" s="114"/>
    </row>
    <row r="281" spans="4:15" ht="12.75" customHeight="1" x14ac:dyDescent="0.25">
      <c r="D281" s="384"/>
      <c r="E281" s="308" t="s">
        <v>4792</v>
      </c>
      <c r="F281" s="115"/>
      <c r="G281" s="114"/>
      <c r="J281" s="114">
        <v>1250</v>
      </c>
      <c r="K281" s="114">
        <v>1250</v>
      </c>
      <c r="L281" s="114">
        <v>1251</v>
      </c>
      <c r="M281" s="114">
        <v>1252</v>
      </c>
      <c r="N281" s="114">
        <v>1252</v>
      </c>
      <c r="O281" s="114">
        <v>1252</v>
      </c>
    </row>
    <row r="282" spans="4:15" ht="12.75" customHeight="1" x14ac:dyDescent="0.25">
      <c r="D282" s="384"/>
      <c r="E282" s="308"/>
      <c r="F282" s="115"/>
      <c r="G282" s="114"/>
      <c r="J282" s="114"/>
      <c r="K282" s="114"/>
      <c r="L282" s="114"/>
      <c r="M282" s="114"/>
      <c r="N282" s="114"/>
      <c r="O282" s="114"/>
    </row>
    <row r="283" spans="4:15" ht="12.75" customHeight="1" thickBot="1" x14ac:dyDescent="0.3">
      <c r="D283" s="384"/>
      <c r="E283" s="115" t="str">
        <f>"Totaal "&amp;D265</f>
        <v>Totaal 43812</v>
      </c>
      <c r="F283" s="115"/>
      <c r="G283" s="114"/>
      <c r="J283" s="1971">
        <v>7311</v>
      </c>
      <c r="K283" s="1971">
        <f>SUM(K266:K281)</f>
        <v>7469</v>
      </c>
      <c r="L283" s="1971">
        <f>SUM(L266:L281)</f>
        <v>7601</v>
      </c>
      <c r="M283" s="1971">
        <f>SUM(M266:M281)</f>
        <v>7747</v>
      </c>
      <c r="N283" s="1971">
        <f>SUM(N266:N281)</f>
        <v>8311</v>
      </c>
      <c r="O283" s="1971">
        <f>SUM(O266:O281)</f>
        <v>8473</v>
      </c>
    </row>
    <row r="284" spans="4:15" ht="12.75" customHeight="1" thickTop="1" x14ac:dyDescent="0.25">
      <c r="D284" s="384"/>
      <c r="E284" s="115"/>
      <c r="F284" s="115"/>
      <c r="G284" s="114"/>
      <c r="J284" s="114"/>
      <c r="K284" s="114"/>
      <c r="L284" s="114"/>
      <c r="M284" s="114"/>
      <c r="N284" s="114"/>
      <c r="O284" s="114"/>
    </row>
    <row r="285" spans="4:15" ht="12.75" customHeight="1" x14ac:dyDescent="0.25">
      <c r="D285" s="143">
        <v>44510</v>
      </c>
      <c r="E285" s="115" t="s">
        <v>4612</v>
      </c>
      <c r="F285" s="115"/>
      <c r="G285" s="114"/>
      <c r="J285" s="114"/>
      <c r="K285" s="114"/>
      <c r="L285" s="114"/>
      <c r="M285" s="114"/>
      <c r="N285" s="114"/>
      <c r="O285" s="114"/>
    </row>
    <row r="286" spans="4:15" ht="12.75" customHeight="1" x14ac:dyDescent="0.25">
      <c r="D286" s="143"/>
      <c r="E286" s="115"/>
      <c r="F286" s="115"/>
      <c r="G286" s="114"/>
      <c r="J286" s="114"/>
      <c r="K286" s="114"/>
      <c r="L286" s="114"/>
      <c r="M286" s="114"/>
      <c r="N286" s="114"/>
      <c r="O286" s="114"/>
    </row>
    <row r="287" spans="4:15" ht="12.75" customHeight="1" x14ac:dyDescent="0.25">
      <c r="D287" s="393">
        <v>648004</v>
      </c>
      <c r="E287" s="381" t="s">
        <v>4793</v>
      </c>
      <c r="F287" s="115"/>
      <c r="G287" s="383"/>
      <c r="J287" s="483">
        <v>2025</v>
      </c>
      <c r="K287" s="483">
        <v>2026</v>
      </c>
      <c r="L287" s="483">
        <v>2027</v>
      </c>
      <c r="M287" s="483">
        <v>2028</v>
      </c>
      <c r="N287" s="483">
        <v>2029</v>
      </c>
      <c r="O287" s="483">
        <v>2030</v>
      </c>
    </row>
    <row r="288" spans="4:15" ht="12.75" customHeight="1" x14ac:dyDescent="0.25">
      <c r="D288" s="384"/>
      <c r="E288" s="114"/>
      <c r="F288" s="306"/>
      <c r="G288" s="114"/>
      <c r="J288" s="114"/>
      <c r="K288" s="114"/>
      <c r="L288" s="114"/>
      <c r="M288" s="114"/>
      <c r="N288" s="114"/>
      <c r="O288" s="114"/>
    </row>
    <row r="289" spans="4:15" ht="12.75" customHeight="1" x14ac:dyDescent="0.25">
      <c r="D289" s="143">
        <v>43812</v>
      </c>
      <c r="E289" s="114" t="s">
        <v>4794</v>
      </c>
      <c r="F289" s="306"/>
      <c r="G289" s="114"/>
      <c r="J289" s="114">
        <v>3437</v>
      </c>
      <c r="K289" s="114">
        <f>ROUND(J289*S$2,0)</f>
        <v>3526</v>
      </c>
      <c r="L289" s="114">
        <f>ROUND(K289*T$2,0)</f>
        <v>3600</v>
      </c>
      <c r="M289" s="114">
        <f>ROUND(L289*U$2,0)</f>
        <v>3683</v>
      </c>
      <c r="N289" s="114">
        <f>ROUND(M289*V$2,0)</f>
        <v>3768</v>
      </c>
      <c r="O289" s="114">
        <f>ROUND(N289*W$2,0)</f>
        <v>3855</v>
      </c>
    </row>
    <row r="290" spans="4:15" ht="12.75" customHeight="1" thickBot="1" x14ac:dyDescent="0.3">
      <c r="D290" s="384"/>
      <c r="E290" s="115"/>
      <c r="F290" s="115"/>
      <c r="G290" s="114"/>
      <c r="J290" s="1971">
        <v>3437</v>
      </c>
      <c r="K290" s="1971">
        <f t="shared" ref="K290:M290" si="108">SUM(K288:K289)</f>
        <v>3526</v>
      </c>
      <c r="L290" s="1971">
        <f t="shared" si="108"/>
        <v>3600</v>
      </c>
      <c r="M290" s="1971">
        <f t="shared" si="108"/>
        <v>3683</v>
      </c>
      <c r="N290" s="1971">
        <f t="shared" ref="N290:O290" si="109">SUM(N288:N289)</f>
        <v>3768</v>
      </c>
      <c r="O290" s="1971">
        <f t="shared" si="109"/>
        <v>3855</v>
      </c>
    </row>
    <row r="291" spans="4:15" ht="12.75" customHeight="1" thickTop="1" x14ac:dyDescent="0.25">
      <c r="D291" s="143">
        <v>44510</v>
      </c>
      <c r="E291" s="115" t="s">
        <v>4612</v>
      </c>
      <c r="F291" s="115"/>
      <c r="G291" s="114"/>
      <c r="J291" s="114"/>
      <c r="K291" s="114"/>
      <c r="L291" s="114"/>
      <c r="M291" s="114"/>
      <c r="N291" s="114"/>
      <c r="O291" s="114"/>
    </row>
    <row r="292" spans="4:15" ht="12.75" customHeight="1" x14ac:dyDescent="0.25">
      <c r="D292" s="143"/>
      <c r="E292" s="115"/>
      <c r="F292" s="115"/>
      <c r="G292" s="114"/>
      <c r="J292" s="114"/>
      <c r="K292" s="114"/>
      <c r="L292" s="114"/>
      <c r="M292" s="114"/>
      <c r="N292" s="114"/>
      <c r="O292" s="114"/>
    </row>
    <row r="293" spans="4:15" ht="12.75" customHeight="1" x14ac:dyDescent="0.25">
      <c r="D293" s="393">
        <v>648002</v>
      </c>
      <c r="E293" s="381" t="s">
        <v>4795</v>
      </c>
      <c r="F293" s="306"/>
      <c r="G293" s="383"/>
      <c r="J293" s="483">
        <v>2025</v>
      </c>
      <c r="K293" s="483">
        <v>2026</v>
      </c>
      <c r="L293" s="483">
        <v>2027</v>
      </c>
      <c r="M293" s="483">
        <v>2028</v>
      </c>
      <c r="N293" s="483">
        <v>2029</v>
      </c>
      <c r="O293" s="483">
        <v>2030</v>
      </c>
    </row>
    <row r="294" spans="4:15" ht="12.75" customHeight="1" x14ac:dyDescent="0.25">
      <c r="D294" s="143">
        <v>43805</v>
      </c>
      <c r="E294" s="115" t="s">
        <v>4796</v>
      </c>
      <c r="F294" s="306"/>
      <c r="G294" s="114"/>
      <c r="J294" s="114"/>
      <c r="K294" s="114"/>
      <c r="L294" s="114"/>
      <c r="M294" s="114"/>
      <c r="N294" s="114"/>
      <c r="O294" s="114"/>
    </row>
    <row r="295" spans="4:15" ht="12.75" customHeight="1" x14ac:dyDescent="0.25">
      <c r="D295" s="393"/>
      <c r="E295" s="382"/>
      <c r="F295" s="382"/>
      <c r="G295" s="381"/>
      <c r="H295" s="306"/>
      <c r="I295" s="114"/>
      <c r="J295" s="114"/>
      <c r="K295" s="114"/>
      <c r="L295" s="114"/>
      <c r="M295" s="114"/>
      <c r="N295" s="114"/>
      <c r="O295" s="114"/>
    </row>
    <row r="296" spans="4:15" ht="12.75" customHeight="1" x14ac:dyDescent="0.25">
      <c r="D296" s="143">
        <v>43812</v>
      </c>
      <c r="E296" s="308" t="s">
        <v>4797</v>
      </c>
      <c r="F296" s="308"/>
    </row>
    <row r="297" spans="4:15" ht="12.75" customHeight="1" x14ac:dyDescent="0.25">
      <c r="D297" s="115"/>
      <c r="E297" s="303">
        <v>8750</v>
      </c>
      <c r="F297" s="115" t="s">
        <v>4798</v>
      </c>
      <c r="H297" s="636">
        <v>0.09</v>
      </c>
      <c r="J297" s="114"/>
      <c r="K297" s="114"/>
      <c r="L297" s="114"/>
      <c r="M297" s="114"/>
      <c r="N297" s="114"/>
      <c r="O297" s="114"/>
    </row>
    <row r="298" spans="4:15" ht="12.75" customHeight="1" x14ac:dyDescent="0.25">
      <c r="D298" s="115"/>
      <c r="E298" s="303">
        <v>8750</v>
      </c>
      <c r="F298" s="115" t="s">
        <v>4798</v>
      </c>
      <c r="H298" s="636">
        <v>9.1259999999999994E-2</v>
      </c>
      <c r="J298" s="114"/>
      <c r="K298" s="114"/>
      <c r="L298" s="114"/>
      <c r="M298" s="114"/>
      <c r="N298" s="114"/>
      <c r="O298" s="114"/>
    </row>
    <row r="299" spans="4:15" ht="12.75" customHeight="1" x14ac:dyDescent="0.25">
      <c r="D299" s="115"/>
      <c r="E299" s="303">
        <v>8750</v>
      </c>
      <c r="F299" s="115" t="s">
        <v>4798</v>
      </c>
      <c r="H299" s="636">
        <f>ROUND(0.09*S$2,5)</f>
        <v>9.2340000000000005E-2</v>
      </c>
      <c r="J299" s="114"/>
      <c r="K299" s="114"/>
      <c r="L299" s="114"/>
      <c r="M299" s="114"/>
      <c r="N299" s="114"/>
      <c r="O299" s="114"/>
    </row>
    <row r="300" spans="4:15" ht="12.75" customHeight="1" x14ac:dyDescent="0.25">
      <c r="D300" s="115"/>
      <c r="E300" s="303">
        <v>8750</v>
      </c>
      <c r="F300" s="115" t="s">
        <v>4798</v>
      </c>
      <c r="H300" s="636">
        <f>ROUND(0.09*T$2,5)</f>
        <v>9.1889999999999999E-2</v>
      </c>
      <c r="J300" s="114"/>
      <c r="K300" s="114"/>
      <c r="L300" s="114"/>
      <c r="M300" s="114"/>
      <c r="N300" s="114"/>
      <c r="O300" s="114"/>
    </row>
    <row r="301" spans="4:15" ht="12.75" customHeight="1" x14ac:dyDescent="0.25">
      <c r="D301" s="115"/>
      <c r="E301" s="303">
        <v>8750</v>
      </c>
      <c r="F301" s="115" t="s">
        <v>4798</v>
      </c>
      <c r="H301" s="636">
        <f>ROUND(0.09*R$2,5)</f>
        <v>9.2520000000000005E-2</v>
      </c>
      <c r="J301" s="114">
        <v>810</v>
      </c>
      <c r="K301" s="114"/>
      <c r="L301" s="114"/>
      <c r="M301" s="114"/>
      <c r="N301" s="114"/>
      <c r="O301" s="114"/>
    </row>
    <row r="302" spans="4:15" ht="12.75" customHeight="1" x14ac:dyDescent="0.25">
      <c r="D302" s="115"/>
      <c r="E302" s="303">
        <v>8750</v>
      </c>
      <c r="F302" s="115" t="s">
        <v>4798</v>
      </c>
      <c r="H302" s="636">
        <f>ROUND(0.09*V$2,5)</f>
        <v>9.2069999999999999E-2</v>
      </c>
      <c r="J302" s="114"/>
      <c r="K302" s="114">
        <f>ROUND($E302*$H302,0)</f>
        <v>806</v>
      </c>
      <c r="L302" s="114"/>
      <c r="M302" s="114"/>
      <c r="N302" s="114"/>
      <c r="O302" s="114"/>
    </row>
    <row r="303" spans="4:15" ht="12.75" customHeight="1" x14ac:dyDescent="0.25">
      <c r="D303" s="115"/>
      <c r="E303" s="303">
        <v>8750</v>
      </c>
      <c r="F303" s="115" t="s">
        <v>4798</v>
      </c>
      <c r="H303" s="636">
        <f>ROUND(0.09*V$2,5)</f>
        <v>9.2069999999999999E-2</v>
      </c>
      <c r="J303" s="114"/>
      <c r="K303" s="114"/>
      <c r="L303" s="114">
        <f>ROUND($E303*$H303,0)</f>
        <v>806</v>
      </c>
      <c r="M303" s="114">
        <f>ROUND($E303*$H303,0)</f>
        <v>806</v>
      </c>
      <c r="N303" s="114">
        <f>ROUND($E303*$H303,0)</f>
        <v>806</v>
      </c>
      <c r="O303" s="114">
        <f>ROUND($E303*$H303,0)</f>
        <v>806</v>
      </c>
    </row>
    <row r="304" spans="4:15" ht="12.75" customHeight="1" x14ac:dyDescent="0.25">
      <c r="E304" s="114"/>
      <c r="F304" s="115"/>
      <c r="I304" s="114"/>
      <c r="J304" s="114"/>
      <c r="K304" s="114"/>
      <c r="L304" s="114"/>
      <c r="M304" s="114"/>
      <c r="N304" s="114"/>
      <c r="O304" s="114"/>
    </row>
    <row r="305" spans="4:21" ht="12.75" customHeight="1" x14ac:dyDescent="0.25">
      <c r="E305" s="398" t="s">
        <v>4799</v>
      </c>
      <c r="F305" s="115"/>
      <c r="I305" s="114"/>
      <c r="J305" s="114">
        <v>11235</v>
      </c>
      <c r="K305" s="114">
        <f>ROUND(J305*S$2,0)</f>
        <v>11527</v>
      </c>
      <c r="L305" s="114">
        <f>ROUND(K305*T$2,0)</f>
        <v>11769</v>
      </c>
      <c r="M305" s="114">
        <f>ROUND(L305*U$2,0)</f>
        <v>12040</v>
      </c>
      <c r="N305" s="114">
        <f>ROUND(M305*V$2,0)</f>
        <v>12317</v>
      </c>
      <c r="O305" s="114">
        <f>ROUND(N305*W$2,0)</f>
        <v>12600</v>
      </c>
      <c r="S305" s="115">
        <v>24902</v>
      </c>
    </row>
    <row r="306" spans="4:21" ht="12.75" customHeight="1" x14ac:dyDescent="0.25">
      <c r="E306" s="398" t="s">
        <v>4800</v>
      </c>
      <c r="F306" s="115"/>
      <c r="I306" s="114"/>
      <c r="J306" s="114">
        <v>0</v>
      </c>
      <c r="K306" s="114">
        <f t="shared" ref="K306" si="110">ROUND(J306*V$2,0)</f>
        <v>0</v>
      </c>
      <c r="L306" s="114">
        <f>ROUND(K306*X$2,0)</f>
        <v>0</v>
      </c>
      <c r="M306" s="114">
        <f>ROUND(L306*Y$2,0)</f>
        <v>0</v>
      </c>
      <c r="N306" s="114">
        <f>ROUND(M306*Z$2,0)</f>
        <v>0</v>
      </c>
      <c r="O306" s="114">
        <f>ROUND(N306*AA$2,0)</f>
        <v>0</v>
      </c>
      <c r="S306" s="115">
        <v>12</v>
      </c>
    </row>
    <row r="307" spans="4:21" ht="12.75" customHeight="1" thickBot="1" x14ac:dyDescent="0.3">
      <c r="E307" s="115" t="str">
        <f>"Totaal "&amp;D296</f>
        <v>Totaal 43812</v>
      </c>
      <c r="F307" s="115"/>
      <c r="I307" s="114"/>
      <c r="J307" s="1971">
        <v>12045</v>
      </c>
      <c r="K307" s="1971">
        <f>SUM(K297:K306)</f>
        <v>12333</v>
      </c>
      <c r="L307" s="1971">
        <f>SUM(L297:L306)</f>
        <v>12575</v>
      </c>
      <c r="M307" s="1971">
        <f>SUM(M297:M306)</f>
        <v>12846</v>
      </c>
      <c r="N307" s="1971">
        <f>SUM(N297:N306)</f>
        <v>13123</v>
      </c>
      <c r="O307" s="1971">
        <f>SUM(O297:O306)</f>
        <v>13406</v>
      </c>
    </row>
    <row r="308" spans="4:21" ht="12.75" customHeight="1" thickTop="1" x14ac:dyDescent="0.25">
      <c r="E308" s="115"/>
      <c r="F308" s="115"/>
      <c r="S308" s="115">
        <f>+S305*S306</f>
        <v>298824</v>
      </c>
    </row>
    <row r="309" spans="4:21" ht="12.75" customHeight="1" x14ac:dyDescent="0.25">
      <c r="D309" s="143">
        <v>43812</v>
      </c>
      <c r="E309" s="115" t="s">
        <v>4801</v>
      </c>
      <c r="F309" s="115"/>
      <c r="I309" s="383"/>
      <c r="J309" s="383"/>
      <c r="K309" s="383"/>
      <c r="L309" s="383"/>
      <c r="M309" s="383"/>
      <c r="N309" s="383"/>
      <c r="O309" s="383"/>
    </row>
    <row r="310" spans="4:21" ht="12.75" customHeight="1" x14ac:dyDescent="0.25">
      <c r="E310" s="115"/>
      <c r="F310" s="115"/>
    </row>
    <row r="311" spans="4:21" ht="12.75" customHeight="1" x14ac:dyDescent="0.3">
      <c r="E311" s="115" t="s">
        <v>4802</v>
      </c>
      <c r="F311" s="115"/>
      <c r="I311" s="114"/>
      <c r="J311" s="114">
        <v>314700</v>
      </c>
      <c r="K311" s="114">
        <f>ROUND(J311*S$3,0)</f>
        <v>320994</v>
      </c>
      <c r="L311" s="114">
        <f>ROUND(K311*T$3,0)</f>
        <v>334476</v>
      </c>
      <c r="M311" s="114">
        <f>ROUND(L311*U$3,0)</f>
        <v>346852</v>
      </c>
      <c r="N311" s="114">
        <f>ROUND(M311*V$3,0)</f>
        <v>359686</v>
      </c>
      <c r="O311" s="114">
        <f>ROUND(N311*W$3,0)</f>
        <v>372994</v>
      </c>
      <c r="R311" s="57"/>
      <c r="S311" s="57"/>
      <c r="T311" s="57"/>
      <c r="U311" s="57"/>
    </row>
    <row r="312" spans="4:21" ht="12.75" customHeight="1" x14ac:dyDescent="0.3">
      <c r="E312" s="115" t="s">
        <v>4803</v>
      </c>
      <c r="F312" s="308"/>
      <c r="I312" s="114"/>
      <c r="J312" s="114">
        <v>18656</v>
      </c>
      <c r="K312" s="114">
        <f t="shared" ref="K312:O313" si="111">ROUND(J312*S$2,0)</f>
        <v>19141</v>
      </c>
      <c r="L312" s="114">
        <f t="shared" si="111"/>
        <v>19543</v>
      </c>
      <c r="M312" s="114">
        <f t="shared" si="111"/>
        <v>19992</v>
      </c>
      <c r="N312" s="114">
        <f t="shared" si="111"/>
        <v>20452</v>
      </c>
      <c r="O312" s="114">
        <f t="shared" si="111"/>
        <v>20922</v>
      </c>
      <c r="R312" s="57"/>
      <c r="S312" s="57"/>
      <c r="T312" s="57"/>
      <c r="U312" s="57"/>
    </row>
    <row r="313" spans="4:21" ht="12.75" customHeight="1" x14ac:dyDescent="0.3">
      <c r="E313" s="115" t="s">
        <v>4804</v>
      </c>
      <c r="F313" s="308"/>
      <c r="I313" s="114"/>
      <c r="J313" s="114">
        <v>475968</v>
      </c>
      <c r="K313" s="114">
        <f t="shared" si="111"/>
        <v>488343</v>
      </c>
      <c r="L313" s="114">
        <f t="shared" si="111"/>
        <v>498598</v>
      </c>
      <c r="M313" s="114">
        <f t="shared" si="111"/>
        <v>510066</v>
      </c>
      <c r="N313" s="114">
        <f t="shared" si="111"/>
        <v>521798</v>
      </c>
      <c r="O313" s="114">
        <f t="shared" si="111"/>
        <v>533799</v>
      </c>
      <c r="R313" s="57"/>
      <c r="S313" s="57"/>
      <c r="T313" s="57"/>
      <c r="U313" s="57"/>
    </row>
    <row r="314" spans="4:21" ht="12.75" customHeight="1" x14ac:dyDescent="0.3">
      <c r="E314" s="115"/>
      <c r="F314" s="308"/>
      <c r="I314" s="114"/>
      <c r="J314" s="114"/>
      <c r="K314" s="114"/>
      <c r="L314" s="114"/>
      <c r="M314" s="114"/>
      <c r="N314" s="114"/>
      <c r="O314" s="114"/>
      <c r="R314" s="57"/>
      <c r="S314" s="57"/>
      <c r="T314" s="57"/>
      <c r="U314" s="57"/>
    </row>
    <row r="315" spans="4:21" ht="12.75" customHeight="1" x14ac:dyDescent="0.3">
      <c r="E315" s="115"/>
      <c r="F315" s="308"/>
      <c r="I315" s="114"/>
      <c r="J315" s="114"/>
      <c r="K315" s="114"/>
      <c r="L315" s="114"/>
      <c r="M315" s="114"/>
      <c r="N315" s="114"/>
      <c r="O315" s="114"/>
      <c r="R315" s="57"/>
      <c r="S315" s="57"/>
      <c r="T315" s="57"/>
      <c r="U315" s="57"/>
    </row>
    <row r="316" spans="4:21" ht="12.75" customHeight="1" x14ac:dyDescent="0.3">
      <c r="E316" s="115" t="s">
        <v>4805</v>
      </c>
      <c r="F316" s="308"/>
      <c r="I316" s="114"/>
      <c r="J316" s="114">
        <v>9252</v>
      </c>
      <c r="K316" s="114">
        <f t="shared" ref="K316:O317" si="112">ROUND(J316*S$2,0)</f>
        <v>9493</v>
      </c>
      <c r="L316" s="114">
        <f t="shared" si="112"/>
        <v>9692</v>
      </c>
      <c r="M316" s="114">
        <f t="shared" si="112"/>
        <v>9915</v>
      </c>
      <c r="N316" s="114">
        <f t="shared" si="112"/>
        <v>10143</v>
      </c>
      <c r="O316" s="114">
        <f t="shared" si="112"/>
        <v>10376</v>
      </c>
      <c r="R316" s="57"/>
      <c r="S316" s="57"/>
      <c r="T316" s="57"/>
      <c r="U316" s="57"/>
    </row>
    <row r="317" spans="4:21" ht="12.75" customHeight="1" x14ac:dyDescent="0.3">
      <c r="E317" s="308" t="s">
        <v>4806</v>
      </c>
      <c r="F317" s="115"/>
      <c r="I317" s="114"/>
      <c r="J317" s="114">
        <v>61680</v>
      </c>
      <c r="K317" s="114">
        <f t="shared" si="112"/>
        <v>63284</v>
      </c>
      <c r="L317" s="114">
        <f t="shared" si="112"/>
        <v>64613</v>
      </c>
      <c r="M317" s="114">
        <f t="shared" si="112"/>
        <v>66099</v>
      </c>
      <c r="N317" s="114">
        <f t="shared" si="112"/>
        <v>67619</v>
      </c>
      <c r="O317" s="114">
        <f t="shared" si="112"/>
        <v>69174</v>
      </c>
      <c r="R317" s="57"/>
      <c r="S317" s="57"/>
      <c r="T317" s="57"/>
      <c r="U317" s="57"/>
    </row>
    <row r="318" spans="4:21" ht="12.75" customHeight="1" x14ac:dyDescent="0.3">
      <c r="E318" s="308" t="s">
        <v>4807</v>
      </c>
      <c r="F318" s="115"/>
      <c r="I318" s="114"/>
      <c r="J318" s="114">
        <v>19864</v>
      </c>
      <c r="K318" s="114">
        <f>ROUND(J318*S$3,0)</f>
        <v>20261</v>
      </c>
      <c r="L318" s="114">
        <f>ROUND(K318*T$3,0)</f>
        <v>21112</v>
      </c>
      <c r="M318" s="114">
        <f>ROUND(L318*U$3,0)</f>
        <v>21893</v>
      </c>
      <c r="N318" s="114">
        <f>ROUND(M318*V$3,0)</f>
        <v>22703</v>
      </c>
      <c r="O318" s="114">
        <f>ROUND(N318*W$3,0)</f>
        <v>23543</v>
      </c>
      <c r="R318" s="57"/>
      <c r="S318" s="57"/>
      <c r="T318" s="57"/>
      <c r="U318" s="57"/>
    </row>
    <row r="319" spans="4:21" ht="12.75" customHeight="1" x14ac:dyDescent="0.3">
      <c r="E319" s="115" t="s">
        <v>4808</v>
      </c>
      <c r="F319" s="308"/>
      <c r="I319" s="114"/>
      <c r="J319" s="114">
        <v>15420</v>
      </c>
      <c r="K319" s="114">
        <f>ROUND(J319*S$2,0)</f>
        <v>15821</v>
      </c>
      <c r="L319" s="114">
        <f>ROUND(K319*T$2,0)</f>
        <v>16153</v>
      </c>
      <c r="M319" s="114">
        <f>ROUND(L319*U$2,0)</f>
        <v>16525</v>
      </c>
      <c r="N319" s="114">
        <f>ROUND(M319*V$2,0)</f>
        <v>16905</v>
      </c>
      <c r="O319" s="114">
        <f>ROUND(N319*W$2,0)</f>
        <v>17294</v>
      </c>
      <c r="R319" s="57"/>
      <c r="S319" s="57"/>
      <c r="T319" s="57"/>
      <c r="U319" s="57"/>
    </row>
    <row r="320" spans="4:21" ht="12.75" customHeight="1" x14ac:dyDescent="0.3">
      <c r="E320" s="115" t="s">
        <v>4809</v>
      </c>
      <c r="F320" s="308"/>
      <c r="I320" s="114"/>
      <c r="J320" s="114">
        <v>14428.24</v>
      </c>
      <c r="K320" s="114">
        <f t="shared" ref="K320:O320" si="113">+J320*1.03</f>
        <v>14861.0872</v>
      </c>
      <c r="L320" s="114">
        <f t="shared" si="113"/>
        <v>15306.919816</v>
      </c>
      <c r="M320" s="114">
        <f t="shared" si="113"/>
        <v>15766.12741048</v>
      </c>
      <c r="N320" s="114">
        <f t="shared" si="113"/>
        <v>16239.111232794399</v>
      </c>
      <c r="O320" s="114">
        <f t="shared" si="113"/>
        <v>16726.284569778232</v>
      </c>
      <c r="R320" s="57"/>
      <c r="S320" s="57"/>
      <c r="T320" s="57"/>
      <c r="U320" s="57"/>
    </row>
    <row r="321" spans="4:21" ht="12.75" customHeight="1" x14ac:dyDescent="0.3">
      <c r="E321" s="308"/>
      <c r="F321" s="115"/>
      <c r="I321" s="114"/>
      <c r="J321" s="114"/>
      <c r="K321" s="114"/>
      <c r="L321" s="114"/>
      <c r="M321" s="114"/>
      <c r="N321" s="114"/>
      <c r="O321" s="114"/>
      <c r="R321" s="57"/>
      <c r="S321" s="57"/>
      <c r="T321" s="57"/>
      <c r="U321" s="57"/>
    </row>
    <row r="322" spans="4:21" ht="12.75" customHeight="1" thickBot="1" x14ac:dyDescent="0.35">
      <c r="E322" s="115" t="str">
        <f>"Totaal "&amp;D309</f>
        <v>Totaal 43812</v>
      </c>
      <c r="F322" s="115"/>
      <c r="I322" s="114"/>
      <c r="J322" s="1971">
        <v>929968.24</v>
      </c>
      <c r="K322" s="1971">
        <f>SUM(K311:K321)</f>
        <v>952198.08719999995</v>
      </c>
      <c r="L322" s="1971">
        <f>SUM(L311:L321)</f>
        <v>979493.91981600004</v>
      </c>
      <c r="M322" s="1971">
        <f>SUM(M311:M321)</f>
        <v>1007108.1274104801</v>
      </c>
      <c r="N322" s="1971">
        <f>SUM(N311:N321)</f>
        <v>1035545.1112327944</v>
      </c>
      <c r="O322" s="1971">
        <f>SUM(O311:O321)</f>
        <v>1064828.2845697782</v>
      </c>
      <c r="R322" s="57"/>
      <c r="S322" s="57"/>
      <c r="T322" s="57"/>
      <c r="U322" s="57"/>
    </row>
    <row r="323" spans="4:21" ht="12.75" customHeight="1" thickTop="1" x14ac:dyDescent="0.3">
      <c r="D323" s="143"/>
      <c r="E323" s="115"/>
      <c r="F323" s="115"/>
      <c r="I323" s="114"/>
      <c r="J323" s="114"/>
      <c r="K323" s="114"/>
      <c r="L323" s="114"/>
      <c r="M323" s="114"/>
      <c r="N323" s="114"/>
      <c r="O323" s="114"/>
      <c r="R323" s="57"/>
      <c r="S323" s="57"/>
      <c r="T323" s="57"/>
      <c r="U323" s="57"/>
    </row>
    <row r="324" spans="4:21" ht="12.75" customHeight="1" x14ac:dyDescent="0.25">
      <c r="D324" s="143">
        <v>44510</v>
      </c>
      <c r="E324" s="115" t="s">
        <v>4612</v>
      </c>
      <c r="F324" s="115"/>
      <c r="I324" s="114"/>
      <c r="J324" s="114">
        <v>197823</v>
      </c>
      <c r="K324" s="114">
        <f t="shared" ref="K324:M324" si="114">ROUND((K322+K307)*0.21,0)</f>
        <v>202552</v>
      </c>
      <c r="L324" s="114">
        <f t="shared" si="114"/>
        <v>208334</v>
      </c>
      <c r="M324" s="114">
        <f t="shared" si="114"/>
        <v>214190</v>
      </c>
      <c r="N324" s="114">
        <f t="shared" ref="N324:O324" si="115">ROUND((N322+N307)*0.21,0)</f>
        <v>220220</v>
      </c>
      <c r="O324" s="114">
        <f t="shared" si="115"/>
        <v>226429</v>
      </c>
    </row>
    <row r="325" spans="4:21" ht="12.75" customHeight="1" x14ac:dyDescent="0.25">
      <c r="D325" s="143"/>
      <c r="G325" s="633"/>
      <c r="I325" s="114"/>
      <c r="J325" s="114"/>
      <c r="K325" s="114"/>
      <c r="L325" s="114"/>
      <c r="M325" s="114"/>
      <c r="N325" s="114"/>
      <c r="O325" s="114"/>
    </row>
    <row r="326" spans="4:21" ht="12.75" customHeight="1" x14ac:dyDescent="0.25">
      <c r="D326" s="393">
        <v>648002</v>
      </c>
      <c r="E326" s="381" t="s">
        <v>4810</v>
      </c>
      <c r="F326" s="115"/>
      <c r="G326" s="114"/>
      <c r="J326" s="114"/>
      <c r="K326" s="114"/>
      <c r="L326" s="114"/>
      <c r="M326" s="114"/>
      <c r="N326" s="114"/>
      <c r="O326" s="114"/>
    </row>
    <row r="327" spans="4:21" ht="12.75" customHeight="1" x14ac:dyDescent="0.25">
      <c r="D327" s="143"/>
      <c r="E327" s="306" t="s">
        <v>4811</v>
      </c>
      <c r="F327" s="115"/>
      <c r="G327" s="114"/>
      <c r="J327" s="114"/>
      <c r="K327" s="114"/>
      <c r="L327" s="114"/>
      <c r="M327" s="114"/>
      <c r="N327" s="114"/>
      <c r="O327" s="114"/>
    </row>
    <row r="328" spans="4:21" ht="12.75" customHeight="1" x14ac:dyDescent="0.25">
      <c r="D328" s="143"/>
      <c r="E328" s="306"/>
      <c r="F328" s="115"/>
      <c r="G328" s="114"/>
      <c r="J328" s="114"/>
      <c r="K328" s="114"/>
      <c r="L328" s="114"/>
      <c r="M328" s="114"/>
      <c r="N328" s="114"/>
      <c r="O328" s="114"/>
    </row>
    <row r="329" spans="4:21" ht="12.75" customHeight="1" x14ac:dyDescent="0.25">
      <c r="D329" s="143"/>
      <c r="E329" s="306"/>
      <c r="F329" s="115"/>
      <c r="G329" s="114"/>
      <c r="J329" s="114"/>
      <c r="K329" s="114"/>
      <c r="L329" s="114"/>
      <c r="M329" s="114"/>
      <c r="N329" s="114"/>
      <c r="O329" s="114"/>
    </row>
    <row r="330" spans="4:21" ht="12.75" customHeight="1" x14ac:dyDescent="0.25">
      <c r="D330" s="393">
        <v>648002</v>
      </c>
      <c r="E330" s="381" t="s">
        <v>4735</v>
      </c>
      <c r="F330" s="115"/>
      <c r="G330" s="383"/>
      <c r="J330" s="483">
        <v>2025</v>
      </c>
      <c r="K330" s="483">
        <v>2026</v>
      </c>
      <c r="L330" s="483">
        <v>2027</v>
      </c>
      <c r="M330" s="483">
        <v>2028</v>
      </c>
      <c r="N330" s="483">
        <v>2029</v>
      </c>
      <c r="O330" s="483">
        <v>2030</v>
      </c>
    </row>
    <row r="331" spans="4:21" ht="12.75" customHeight="1" x14ac:dyDescent="0.25">
      <c r="D331" s="143">
        <v>442401</v>
      </c>
      <c r="E331" s="115" t="s">
        <v>4812</v>
      </c>
      <c r="F331" s="115"/>
    </row>
    <row r="332" spans="4:21" ht="12.75" customHeight="1" x14ac:dyDescent="0.25">
      <c r="D332" s="143"/>
      <c r="E332" s="115"/>
      <c r="F332" s="115"/>
    </row>
    <row r="333" spans="4:21" ht="12.75" customHeight="1" x14ac:dyDescent="0.25">
      <c r="D333" s="143"/>
      <c r="E333" s="115" t="s">
        <v>4813</v>
      </c>
      <c r="F333" s="115"/>
    </row>
    <row r="334" spans="4:21" ht="12.75" customHeight="1" x14ac:dyDescent="0.25">
      <c r="D334" s="424" t="s">
        <v>4814</v>
      </c>
      <c r="E334" s="114">
        <v>29948</v>
      </c>
      <c r="F334" s="114" t="s">
        <v>663</v>
      </c>
      <c r="H334" s="637">
        <v>0.193</v>
      </c>
      <c r="J334" s="114"/>
      <c r="K334" s="114"/>
      <c r="L334" s="114"/>
      <c r="M334" s="114"/>
      <c r="N334" s="114"/>
      <c r="O334" s="114"/>
    </row>
    <row r="335" spans="4:21" ht="12.75" customHeight="1" x14ac:dyDescent="0.25">
      <c r="D335" s="424" t="s">
        <v>4815</v>
      </c>
      <c r="E335" s="114">
        <v>30068</v>
      </c>
      <c r="F335" s="114" t="s">
        <v>663</v>
      </c>
      <c r="H335" s="637">
        <v>0.19600000000000001</v>
      </c>
      <c r="J335" s="114"/>
      <c r="K335" s="114"/>
      <c r="L335" s="114"/>
      <c r="M335" s="114"/>
      <c r="N335" s="114"/>
      <c r="O335" s="114"/>
    </row>
    <row r="336" spans="4:21" ht="12.75" customHeight="1" x14ac:dyDescent="0.25">
      <c r="D336" s="424" t="s">
        <v>4816</v>
      </c>
      <c r="E336" s="114">
        <v>30182</v>
      </c>
      <c r="F336" s="114" t="s">
        <v>663</v>
      </c>
      <c r="H336" s="637">
        <v>0.19900000000000001</v>
      </c>
      <c r="J336" s="114"/>
      <c r="K336" s="114"/>
      <c r="L336" s="114"/>
      <c r="M336" s="114"/>
      <c r="N336" s="114"/>
      <c r="O336" s="114"/>
    </row>
    <row r="337" spans="4:15" ht="12.75" customHeight="1" x14ac:dyDescent="0.25">
      <c r="D337" s="424" t="s">
        <v>4817</v>
      </c>
      <c r="E337" s="114">
        <v>30182</v>
      </c>
      <c r="F337" s="114" t="s">
        <v>663</v>
      </c>
      <c r="H337" s="637">
        <v>0.20200000000000001</v>
      </c>
      <c r="J337" s="114"/>
      <c r="K337" s="114"/>
      <c r="L337" s="114"/>
      <c r="M337" s="114"/>
      <c r="N337" s="114"/>
      <c r="O337" s="114"/>
    </row>
    <row r="338" spans="4:15" ht="12.75" customHeight="1" x14ac:dyDescent="0.25">
      <c r="D338" s="2135" t="s">
        <v>662</v>
      </c>
      <c r="E338" s="2123">
        <v>30182</v>
      </c>
      <c r="F338" s="2123" t="s">
        <v>663</v>
      </c>
      <c r="G338" s="2136"/>
      <c r="H338" s="2137">
        <v>0.20200000000000001</v>
      </c>
      <c r="I338" s="2136"/>
      <c r="J338" s="2123">
        <v>6096.7640000000001</v>
      </c>
      <c r="K338" s="2123"/>
      <c r="L338" s="2123"/>
      <c r="M338" s="2123"/>
      <c r="N338" s="2123"/>
      <c r="O338" s="2123"/>
    </row>
    <row r="339" spans="4:15" ht="12.75" customHeight="1" x14ac:dyDescent="0.25">
      <c r="D339" s="2135" t="s">
        <v>664</v>
      </c>
      <c r="E339" s="2123">
        <v>30182</v>
      </c>
      <c r="F339" s="2123" t="s">
        <v>663</v>
      </c>
      <c r="G339" s="2136"/>
      <c r="H339" s="2137">
        <v>0.20200000000000001</v>
      </c>
      <c r="I339" s="2136"/>
      <c r="J339" s="2123"/>
      <c r="K339" s="2123">
        <f>E339*H339</f>
        <v>6096.7640000000001</v>
      </c>
      <c r="L339" s="2123"/>
      <c r="M339" s="2123"/>
      <c r="N339" s="2123"/>
      <c r="O339" s="2123"/>
    </row>
    <row r="340" spans="4:15" ht="12.75" customHeight="1" x14ac:dyDescent="0.25">
      <c r="D340" s="2135" t="s">
        <v>665</v>
      </c>
      <c r="E340" s="2123">
        <v>30182</v>
      </c>
      <c r="F340" s="2123" t="s">
        <v>663</v>
      </c>
      <c r="G340" s="2136"/>
      <c r="H340" s="2137">
        <v>0.20200000000000001</v>
      </c>
      <c r="I340" s="2136"/>
      <c r="J340" s="2123"/>
      <c r="K340" s="2123"/>
      <c r="L340" s="2123">
        <f>E340*H340</f>
        <v>6096.7640000000001</v>
      </c>
      <c r="M340" s="2123"/>
      <c r="N340" s="2123"/>
      <c r="O340" s="2123"/>
    </row>
    <row r="341" spans="4:15" ht="12.75" customHeight="1" x14ac:dyDescent="0.25">
      <c r="D341" s="2135" t="s">
        <v>666</v>
      </c>
      <c r="E341" s="2123">
        <v>30183</v>
      </c>
      <c r="F341" s="2123" t="s">
        <v>663</v>
      </c>
      <c r="G341" s="2136"/>
      <c r="H341" s="2137">
        <v>0.20200000000000001</v>
      </c>
      <c r="I341" s="2136"/>
      <c r="J341" s="2123"/>
      <c r="K341" s="2123"/>
      <c r="L341" s="2123"/>
      <c r="M341" s="2123">
        <f>+E341*H341</f>
        <v>6096.9660000000003</v>
      </c>
      <c r="N341" s="2123">
        <f>+E341*H341</f>
        <v>6096.9660000000003</v>
      </c>
      <c r="O341" s="2123">
        <f>+E341*H341</f>
        <v>6096.9660000000003</v>
      </c>
    </row>
    <row r="342" spans="4:15" ht="12.75" customHeight="1" x14ac:dyDescent="0.25">
      <c r="D342" s="424"/>
      <c r="E342" s="114"/>
      <c r="F342" s="114"/>
      <c r="H342" s="114"/>
      <c r="J342" s="114"/>
      <c r="K342" s="114"/>
      <c r="L342" s="114"/>
      <c r="M342" s="114"/>
      <c r="N342" s="114"/>
      <c r="O342" s="114"/>
    </row>
    <row r="343" spans="4:15" ht="12.75" customHeight="1" thickBot="1" x14ac:dyDescent="0.3">
      <c r="E343" s="115" t="str">
        <f>"Totaal "&amp;D331</f>
        <v>Totaal 442401</v>
      </c>
      <c r="F343" s="115"/>
      <c r="H343" s="114"/>
      <c r="J343" s="1971">
        <v>6096.7640000000001</v>
      </c>
      <c r="K343" s="1971">
        <f>SUM(K334:K342)</f>
        <v>6096.7640000000001</v>
      </c>
      <c r="L343" s="1971">
        <f>SUM(L334:L342)</f>
        <v>6096.7640000000001</v>
      </c>
      <c r="M343" s="1971">
        <f>SUM(M334:M342)</f>
        <v>6096.9660000000003</v>
      </c>
      <c r="N343" s="1971">
        <f>SUM(N334:N342)</f>
        <v>6096.9660000000003</v>
      </c>
      <c r="O343" s="1971">
        <f>SUM(O334:O342)</f>
        <v>6096.9660000000003</v>
      </c>
    </row>
    <row r="344" spans="4:15" ht="12.75" customHeight="1" thickTop="1" x14ac:dyDescent="0.25">
      <c r="E344" s="115"/>
      <c r="F344" s="115"/>
      <c r="H344" s="114"/>
      <c r="J344" s="114"/>
      <c r="K344" s="114"/>
      <c r="L344" s="114"/>
      <c r="M344" s="114"/>
      <c r="N344" s="114"/>
      <c r="O344" s="114"/>
    </row>
    <row r="345" spans="4:15" ht="12.75" customHeight="1" x14ac:dyDescent="0.25">
      <c r="E345" s="115"/>
      <c r="F345" s="115"/>
      <c r="H345" s="383"/>
      <c r="J345" s="483">
        <v>2025</v>
      </c>
      <c r="K345" s="483">
        <v>2026</v>
      </c>
      <c r="L345" s="483">
        <v>2027</v>
      </c>
      <c r="M345" s="483">
        <v>2028</v>
      </c>
      <c r="N345" s="483">
        <v>2029</v>
      </c>
      <c r="O345" s="483">
        <v>2030</v>
      </c>
    </row>
    <row r="346" spans="4:15" ht="12.75" customHeight="1" x14ac:dyDescent="0.25">
      <c r="D346" s="393">
        <v>648002</v>
      </c>
      <c r="E346" s="381" t="s">
        <v>4818</v>
      </c>
      <c r="F346" s="115"/>
    </row>
    <row r="347" spans="4:15" ht="12.75" customHeight="1" x14ac:dyDescent="0.25">
      <c r="E347" s="114"/>
      <c r="F347" s="115"/>
      <c r="G347" s="114"/>
      <c r="J347" s="114"/>
      <c r="K347" s="114"/>
      <c r="L347" s="114"/>
      <c r="M347" s="114"/>
      <c r="N347" s="114"/>
      <c r="O347" s="114"/>
    </row>
    <row r="348" spans="4:15" ht="12.75" customHeight="1" thickBot="1" x14ac:dyDescent="0.3">
      <c r="E348" s="115"/>
      <c r="F348" s="115"/>
      <c r="G348" s="114"/>
      <c r="J348" s="1971">
        <v>0</v>
      </c>
      <c r="K348" s="1971">
        <v>0</v>
      </c>
      <c r="L348" s="1971">
        <v>0</v>
      </c>
      <c r="M348" s="1971">
        <v>0</v>
      </c>
      <c r="N348" s="1971">
        <v>0</v>
      </c>
      <c r="O348" s="1971">
        <v>0</v>
      </c>
    </row>
    <row r="349" spans="4:15" ht="12.75" customHeight="1" thickTop="1" x14ac:dyDescent="0.25">
      <c r="I349" s="114"/>
      <c r="J349" s="114"/>
      <c r="K349" s="114"/>
      <c r="L349" s="114"/>
      <c r="M349" s="114"/>
      <c r="N349" s="114"/>
      <c r="O349" s="114"/>
    </row>
    <row r="350" spans="4:15" ht="12.75" customHeight="1" x14ac:dyDescent="0.25">
      <c r="D350" s="393">
        <v>648901</v>
      </c>
      <c r="E350" s="381" t="s">
        <v>4737</v>
      </c>
      <c r="F350" s="382"/>
      <c r="I350" s="383"/>
      <c r="J350" s="483">
        <v>2025</v>
      </c>
      <c r="K350" s="483">
        <v>2026</v>
      </c>
      <c r="L350" s="483">
        <v>2027</v>
      </c>
      <c r="M350" s="483">
        <v>2028</v>
      </c>
      <c r="N350" s="483">
        <v>2029</v>
      </c>
      <c r="O350" s="483">
        <v>2030</v>
      </c>
    </row>
    <row r="351" spans="4:15" ht="12.75" customHeight="1" x14ac:dyDescent="0.25">
      <c r="D351" s="384"/>
      <c r="E351" s="383" t="s">
        <v>533</v>
      </c>
      <c r="F351" s="384"/>
      <c r="I351" s="114"/>
      <c r="J351" s="114"/>
      <c r="K351" s="114"/>
      <c r="L351" s="114"/>
      <c r="M351" s="114"/>
      <c r="N351" s="114"/>
      <c r="O351" s="114"/>
    </row>
    <row r="352" spans="4:15" ht="12.75" customHeight="1" x14ac:dyDescent="0.25">
      <c r="D352" s="143">
        <v>41100</v>
      </c>
      <c r="E352" s="115" t="s">
        <v>541</v>
      </c>
    </row>
    <row r="353" spans="4:16" ht="12.75" customHeight="1" x14ac:dyDescent="0.25">
      <c r="D353" s="143"/>
      <c r="E353" s="308" t="s">
        <v>2672</v>
      </c>
      <c r="I353" s="114"/>
      <c r="J353" s="114">
        <v>0</v>
      </c>
      <c r="K353" s="114">
        <f t="shared" ref="K353:K356" si="116">ROUND(J353*V$3,0)</f>
        <v>0</v>
      </c>
      <c r="L353" s="114">
        <f t="shared" ref="L353:O357" si="117">ROUND(K353*X$3,0)</f>
        <v>0</v>
      </c>
      <c r="M353" s="114">
        <f t="shared" si="117"/>
        <v>0</v>
      </c>
      <c r="N353" s="114">
        <f t="shared" si="117"/>
        <v>0</v>
      </c>
      <c r="O353" s="114">
        <f t="shared" si="117"/>
        <v>0</v>
      </c>
    </row>
    <row r="354" spans="4:16" ht="12.75" customHeight="1" x14ac:dyDescent="0.25">
      <c r="D354" s="143"/>
      <c r="E354" s="308" t="s">
        <v>2671</v>
      </c>
      <c r="I354" s="114"/>
      <c r="J354" s="114">
        <v>0</v>
      </c>
      <c r="K354" s="114">
        <f t="shared" si="116"/>
        <v>0</v>
      </c>
      <c r="L354" s="114">
        <f t="shared" si="117"/>
        <v>0</v>
      </c>
      <c r="M354" s="114">
        <f t="shared" si="117"/>
        <v>0</v>
      </c>
      <c r="N354" s="114">
        <f t="shared" si="117"/>
        <v>0</v>
      </c>
      <c r="O354" s="114">
        <f t="shared" si="117"/>
        <v>0</v>
      </c>
    </row>
    <row r="355" spans="4:16" ht="12.75" customHeight="1" x14ac:dyDescent="0.25">
      <c r="D355" s="143"/>
      <c r="E355" s="308" t="s">
        <v>3742</v>
      </c>
      <c r="I355" s="114"/>
      <c r="J355" s="114">
        <v>0</v>
      </c>
      <c r="K355" s="114">
        <f t="shared" si="116"/>
        <v>0</v>
      </c>
      <c r="L355" s="114">
        <f t="shared" si="117"/>
        <v>0</v>
      </c>
      <c r="M355" s="114">
        <f t="shared" si="117"/>
        <v>0</v>
      </c>
      <c r="N355" s="114">
        <f t="shared" si="117"/>
        <v>0</v>
      </c>
      <c r="O355" s="114">
        <f t="shared" si="117"/>
        <v>0</v>
      </c>
    </row>
    <row r="356" spans="4:16" ht="12.75" customHeight="1" x14ac:dyDescent="0.25">
      <c r="D356" s="143"/>
      <c r="E356" s="308" t="s">
        <v>4819</v>
      </c>
      <c r="I356" s="114"/>
      <c r="J356" s="114">
        <v>0</v>
      </c>
      <c r="K356" s="114">
        <f t="shared" si="116"/>
        <v>0</v>
      </c>
      <c r="L356" s="114">
        <f t="shared" si="117"/>
        <v>0</v>
      </c>
      <c r="M356" s="114">
        <f t="shared" si="117"/>
        <v>0</v>
      </c>
      <c r="N356" s="114">
        <f t="shared" si="117"/>
        <v>0</v>
      </c>
      <c r="O356" s="114">
        <f t="shared" si="117"/>
        <v>0</v>
      </c>
    </row>
    <row r="357" spans="4:16" ht="12.75" customHeight="1" x14ac:dyDescent="0.25">
      <c r="D357" s="143"/>
      <c r="E357" s="308" t="s">
        <v>3264</v>
      </c>
      <c r="I357" s="114"/>
      <c r="J357" s="114">
        <v>0</v>
      </c>
      <c r="K357" s="114">
        <v>0</v>
      </c>
      <c r="L357" s="114">
        <f t="shared" si="117"/>
        <v>0</v>
      </c>
      <c r="M357" s="114">
        <f t="shared" si="117"/>
        <v>0</v>
      </c>
      <c r="N357" s="114">
        <f t="shared" si="117"/>
        <v>0</v>
      </c>
      <c r="O357" s="114">
        <f t="shared" si="117"/>
        <v>0</v>
      </c>
      <c r="P357" s="115" t="s">
        <v>4668</v>
      </c>
    </row>
    <row r="358" spans="4:16" ht="12.75" customHeight="1" x14ac:dyDescent="0.25">
      <c r="D358" s="143"/>
      <c r="E358" s="308" t="s">
        <v>3089</v>
      </c>
      <c r="I358" s="114"/>
      <c r="J358" s="114">
        <v>133409.78</v>
      </c>
      <c r="K358" s="114">
        <v>124754</v>
      </c>
      <c r="L358" s="114">
        <f t="shared" ref="L358:O362" si="118">ROUND(K358*T$3,0)</f>
        <v>129994</v>
      </c>
      <c r="M358" s="114">
        <f t="shared" si="118"/>
        <v>134804</v>
      </c>
      <c r="N358" s="114">
        <f t="shared" si="118"/>
        <v>139792</v>
      </c>
      <c r="O358" s="114">
        <f t="shared" si="118"/>
        <v>144964</v>
      </c>
    </row>
    <row r="359" spans="4:16" ht="12.75" customHeight="1" x14ac:dyDescent="0.25">
      <c r="D359" s="143"/>
      <c r="E359" s="308" t="s">
        <v>3142</v>
      </c>
      <c r="I359" s="114"/>
      <c r="J359" s="114">
        <v>65965.460000000006</v>
      </c>
      <c r="K359" s="114">
        <v>109928.64</v>
      </c>
      <c r="L359" s="114">
        <f t="shared" si="118"/>
        <v>114546</v>
      </c>
      <c r="M359" s="114">
        <f t="shared" si="118"/>
        <v>118784</v>
      </c>
      <c r="N359" s="114">
        <f t="shared" si="118"/>
        <v>123179</v>
      </c>
      <c r="O359" s="114">
        <f t="shared" si="118"/>
        <v>127737</v>
      </c>
    </row>
    <row r="360" spans="4:16" ht="12.75" customHeight="1" x14ac:dyDescent="0.25">
      <c r="D360" s="143"/>
      <c r="E360" s="308" t="s">
        <v>1029</v>
      </c>
      <c r="I360" s="114"/>
      <c r="J360" s="114">
        <v>1116</v>
      </c>
      <c r="K360" s="114">
        <v>1115</v>
      </c>
      <c r="L360" s="114">
        <f t="shared" si="118"/>
        <v>1162</v>
      </c>
      <c r="M360" s="114">
        <f t="shared" si="118"/>
        <v>1205</v>
      </c>
      <c r="N360" s="114">
        <f t="shared" si="118"/>
        <v>1250</v>
      </c>
      <c r="O360" s="114">
        <f t="shared" si="118"/>
        <v>1296</v>
      </c>
    </row>
    <row r="361" spans="4:16" ht="12.75" customHeight="1" x14ac:dyDescent="0.25">
      <c r="D361" s="143"/>
      <c r="E361" s="308" t="s">
        <v>1028</v>
      </c>
      <c r="I361" s="114"/>
      <c r="J361" s="114">
        <v>1483</v>
      </c>
      <c r="K361" s="114">
        <v>1122</v>
      </c>
      <c r="L361" s="114">
        <f t="shared" si="118"/>
        <v>1169</v>
      </c>
      <c r="M361" s="114">
        <f t="shared" si="118"/>
        <v>1212</v>
      </c>
      <c r="N361" s="114">
        <f t="shared" si="118"/>
        <v>1257</v>
      </c>
      <c r="O361" s="114">
        <f t="shared" si="118"/>
        <v>1304</v>
      </c>
    </row>
    <row r="362" spans="4:16" ht="12.75" customHeight="1" x14ac:dyDescent="0.25">
      <c r="D362" s="143"/>
      <c r="E362" s="308" t="s">
        <v>1030</v>
      </c>
      <c r="I362" s="114"/>
      <c r="J362" s="114">
        <v>2888</v>
      </c>
      <c r="K362" s="114">
        <v>3039</v>
      </c>
      <c r="L362" s="114">
        <f t="shared" si="118"/>
        <v>3167</v>
      </c>
      <c r="M362" s="114">
        <f t="shared" si="118"/>
        <v>3284</v>
      </c>
      <c r="N362" s="114">
        <f t="shared" si="118"/>
        <v>3406</v>
      </c>
      <c r="O362" s="114">
        <f t="shared" si="118"/>
        <v>3532</v>
      </c>
    </row>
    <row r="363" spans="4:16" ht="12.75" customHeight="1" thickBot="1" x14ac:dyDescent="0.3">
      <c r="D363" s="384"/>
      <c r="E363" s="115" t="str">
        <f>"Totaal "&amp;D352</f>
        <v>Totaal 41100</v>
      </c>
      <c r="F363" s="384"/>
      <c r="I363" s="114"/>
      <c r="J363" s="1971">
        <v>204862.24</v>
      </c>
      <c r="K363" s="1971">
        <f>SUM(K351:K362)</f>
        <v>239958.64</v>
      </c>
      <c r="L363" s="1971">
        <f t="shared" ref="L363:M363" si="119">SUM(L351:L362)</f>
        <v>250038</v>
      </c>
      <c r="M363" s="1971">
        <f t="shared" si="119"/>
        <v>259289</v>
      </c>
      <c r="N363" s="1971">
        <f t="shared" ref="N363:O363" si="120">SUM(N351:N362)</f>
        <v>268884</v>
      </c>
      <c r="O363" s="1971">
        <f t="shared" si="120"/>
        <v>278833</v>
      </c>
    </row>
    <row r="364" spans="4:16" ht="12.75" customHeight="1" thickTop="1" x14ac:dyDescent="0.25">
      <c r="E364" s="115"/>
      <c r="I364" s="114"/>
      <c r="J364" s="114"/>
      <c r="K364" s="114"/>
      <c r="L364" s="114"/>
      <c r="M364" s="114"/>
      <c r="N364" s="114"/>
      <c r="O364" s="114"/>
    </row>
    <row r="365" spans="4:16" ht="12.75" customHeight="1" x14ac:dyDescent="0.25">
      <c r="E365" s="301" t="s">
        <v>4669</v>
      </c>
      <c r="I365" s="114"/>
      <c r="J365" s="114"/>
      <c r="K365" s="114"/>
      <c r="L365" s="114"/>
      <c r="M365" s="114"/>
      <c r="N365" s="114"/>
      <c r="O365" s="114"/>
    </row>
    <row r="366" spans="4:16" ht="12.75" customHeight="1" x14ac:dyDescent="0.25">
      <c r="E366" s="396" t="s">
        <v>2064</v>
      </c>
      <c r="I366" s="114"/>
      <c r="J366" s="114"/>
      <c r="K366" s="114"/>
      <c r="L366" s="114"/>
      <c r="M366" s="114"/>
      <c r="N366" s="114"/>
      <c r="O366" s="114"/>
    </row>
    <row r="367" spans="4:16" ht="12.75" customHeight="1" x14ac:dyDescent="0.25">
      <c r="E367" s="301" t="s">
        <v>2065</v>
      </c>
      <c r="I367" s="114"/>
      <c r="J367" s="114"/>
      <c r="K367" s="114"/>
      <c r="L367" s="114"/>
      <c r="M367" s="114"/>
      <c r="N367" s="114"/>
      <c r="O367" s="114"/>
    </row>
    <row r="368" spans="4:16" ht="12.75" customHeight="1" x14ac:dyDescent="0.25">
      <c r="E368" s="301"/>
      <c r="I368" s="114"/>
      <c r="J368" s="114"/>
      <c r="K368" s="114"/>
      <c r="L368" s="114"/>
      <c r="M368" s="114"/>
      <c r="N368" s="114"/>
      <c r="O368" s="114"/>
    </row>
    <row r="369" spans="4:20" ht="12.75" customHeight="1" x14ac:dyDescent="0.25">
      <c r="E369" s="396" t="s">
        <v>2069</v>
      </c>
      <c r="I369" s="114"/>
      <c r="J369" s="114"/>
      <c r="K369" s="114"/>
      <c r="L369" s="114"/>
      <c r="M369" s="114"/>
      <c r="N369" s="114"/>
      <c r="O369" s="114"/>
    </row>
    <row r="370" spans="4:20" ht="12.75" customHeight="1" thickBot="1" x14ac:dyDescent="0.3">
      <c r="D370" s="143">
        <v>43812</v>
      </c>
      <c r="E370" s="301" t="s">
        <v>4671</v>
      </c>
      <c r="I370" s="114"/>
      <c r="J370" s="1971">
        <v>26814</v>
      </c>
      <c r="K370" s="1971">
        <v>27619</v>
      </c>
      <c r="L370" s="1971">
        <f>ROUND(K370*T$2,0)</f>
        <v>28199</v>
      </c>
      <c r="M370" s="1971">
        <f>ROUND(L370*U$2,0)</f>
        <v>28848</v>
      </c>
      <c r="N370" s="1971">
        <f>ROUND(M370*V$2,0)</f>
        <v>29512</v>
      </c>
      <c r="O370" s="1971">
        <f>ROUND(N370*W$2,0)</f>
        <v>30191</v>
      </c>
    </row>
    <row r="371" spans="4:20" ht="12.75" customHeight="1" thickTop="1" x14ac:dyDescent="0.25">
      <c r="E371" s="115"/>
      <c r="I371" s="114"/>
      <c r="J371" s="114"/>
      <c r="K371" s="114"/>
      <c r="L371" s="114"/>
      <c r="M371" s="114"/>
      <c r="N371" s="114"/>
      <c r="O371" s="114"/>
    </row>
    <row r="372" spans="4:20" ht="12.75" customHeight="1" thickBot="1" x14ac:dyDescent="0.3">
      <c r="D372" s="143">
        <v>83800</v>
      </c>
      <c r="E372" s="301" t="s">
        <v>4672</v>
      </c>
      <c r="I372" s="114"/>
      <c r="J372" s="1971">
        <v>-9021</v>
      </c>
      <c r="K372" s="1971">
        <v>-9291</v>
      </c>
      <c r="L372" s="1971">
        <f>ROUND(K372*T$2,0)</f>
        <v>-9486</v>
      </c>
      <c r="M372" s="1971">
        <f>ROUND(L372*U$2,0)</f>
        <v>-9704</v>
      </c>
      <c r="N372" s="1971">
        <f>ROUND(M372*V$2,0)</f>
        <v>-9927</v>
      </c>
      <c r="O372" s="1971">
        <f>ROUND(N372*W$2,0)</f>
        <v>-10155</v>
      </c>
    </row>
    <row r="373" spans="4:20" ht="12.75" customHeight="1" thickTop="1" x14ac:dyDescent="0.25">
      <c r="E373" s="115"/>
      <c r="I373" s="114"/>
      <c r="J373" s="114"/>
      <c r="K373" s="114"/>
      <c r="L373" s="114"/>
      <c r="M373" s="114"/>
      <c r="N373" s="114"/>
      <c r="O373" s="114"/>
    </row>
    <row r="374" spans="4:20" ht="12.75" customHeight="1" x14ac:dyDescent="0.25">
      <c r="I374" s="114"/>
      <c r="J374" s="114"/>
      <c r="K374" s="114"/>
      <c r="L374" s="114"/>
      <c r="M374" s="114"/>
      <c r="N374" s="114"/>
      <c r="O374" s="114"/>
    </row>
    <row r="375" spans="4:20" ht="12.75" customHeight="1" x14ac:dyDescent="0.25">
      <c r="D375" s="393">
        <v>648001</v>
      </c>
      <c r="E375" s="381" t="s">
        <v>4727</v>
      </c>
      <c r="F375" s="382"/>
      <c r="I375" s="383"/>
      <c r="J375" s="483">
        <v>2025</v>
      </c>
      <c r="K375" s="483">
        <v>2026</v>
      </c>
      <c r="L375" s="483">
        <v>2027</v>
      </c>
      <c r="M375" s="483">
        <v>2028</v>
      </c>
      <c r="N375" s="483">
        <v>2029</v>
      </c>
      <c r="O375" s="483">
        <v>2030</v>
      </c>
    </row>
    <row r="376" spans="4:20" ht="12.75" customHeight="1" x14ac:dyDescent="0.25">
      <c r="D376" s="143">
        <v>83800</v>
      </c>
      <c r="E376" s="115" t="s">
        <v>4820</v>
      </c>
      <c r="I376" s="114"/>
      <c r="J376" s="114"/>
      <c r="K376" s="114"/>
      <c r="L376" s="114"/>
      <c r="M376" s="114"/>
      <c r="N376" s="114"/>
      <c r="O376" s="114"/>
    </row>
    <row r="377" spans="4:20" ht="12.75" customHeight="1" x14ac:dyDescent="0.25">
      <c r="I377" s="114"/>
      <c r="J377" s="114"/>
      <c r="K377" s="114"/>
      <c r="L377" s="114"/>
      <c r="M377" s="114"/>
      <c r="N377" s="114"/>
      <c r="O377" s="114"/>
    </row>
    <row r="378" spans="4:20" ht="12.75" customHeight="1" x14ac:dyDescent="0.25">
      <c r="D378" s="115"/>
      <c r="E378" s="632" t="s">
        <v>4761</v>
      </c>
      <c r="F378" s="531"/>
      <c r="H378" s="638" t="s">
        <v>4762</v>
      </c>
      <c r="I378" s="638" t="s">
        <v>1339</v>
      </c>
      <c r="J378" s="114"/>
      <c r="K378" s="114"/>
      <c r="L378" s="114"/>
      <c r="M378" s="114"/>
      <c r="N378" s="114"/>
      <c r="O378" s="114"/>
      <c r="S378" s="154" t="s">
        <v>4762</v>
      </c>
      <c r="T378" s="154" t="s">
        <v>1339</v>
      </c>
    </row>
    <row r="379" spans="4:20" ht="12.75" customHeight="1" x14ac:dyDescent="0.3">
      <c r="D379" s="115"/>
      <c r="E379" s="115" t="s">
        <v>4821</v>
      </c>
      <c r="F379" s="115"/>
      <c r="H379" s="37">
        <v>1050</v>
      </c>
      <c r="I379" s="247">
        <v>271</v>
      </c>
      <c r="J379" s="114">
        <v>-271392</v>
      </c>
      <c r="K379" s="114">
        <f t="shared" ref="K379:K387" si="121">-H379*I379</f>
        <v>-284550</v>
      </c>
      <c r="L379" s="114">
        <f t="shared" ref="L379:L387" si="122">ROUND(K379*T$2,0)</f>
        <v>-290526</v>
      </c>
      <c r="M379" s="114">
        <f t="shared" ref="M379:M387" si="123">ROUND(L379*U$2,0)</f>
        <v>-297208</v>
      </c>
      <c r="N379" s="114">
        <f t="shared" ref="N379:O387" si="124">ROUND(M379*V$2,0)</f>
        <v>-304044</v>
      </c>
      <c r="O379" s="114">
        <f t="shared" si="124"/>
        <v>-311037</v>
      </c>
      <c r="S379" s="115">
        <v>1300</v>
      </c>
      <c r="T379" s="115">
        <v>281</v>
      </c>
    </row>
    <row r="380" spans="4:20" ht="12.75" customHeight="1" x14ac:dyDescent="0.3">
      <c r="D380" s="115"/>
      <c r="E380" s="115" t="s">
        <v>4822</v>
      </c>
      <c r="F380" s="115"/>
      <c r="H380" s="37">
        <v>100</v>
      </c>
      <c r="I380" s="247">
        <v>271</v>
      </c>
      <c r="J380" s="114">
        <v>-24672</v>
      </c>
      <c r="K380" s="114">
        <f t="shared" si="121"/>
        <v>-27100</v>
      </c>
      <c r="L380" s="114">
        <f t="shared" si="122"/>
        <v>-27669</v>
      </c>
      <c r="M380" s="114">
        <f t="shared" si="123"/>
        <v>-28305</v>
      </c>
      <c r="N380" s="114">
        <f t="shared" si="124"/>
        <v>-28956</v>
      </c>
      <c r="O380" s="114">
        <f t="shared" si="124"/>
        <v>-29622</v>
      </c>
      <c r="S380" s="115">
        <v>100</v>
      </c>
      <c r="T380" s="115">
        <v>281</v>
      </c>
    </row>
    <row r="381" spans="4:20" ht="12.75" customHeight="1" x14ac:dyDescent="0.3">
      <c r="D381" s="115"/>
      <c r="E381" s="115" t="s">
        <v>4750</v>
      </c>
      <c r="F381" s="115"/>
      <c r="H381" s="37">
        <v>1300</v>
      </c>
      <c r="I381" s="247">
        <v>113.8</v>
      </c>
      <c r="J381" s="114">
        <v>-158312</v>
      </c>
      <c r="K381" s="114">
        <f t="shared" si="121"/>
        <v>-147940</v>
      </c>
      <c r="L381" s="114">
        <f t="shared" si="122"/>
        <v>-151047</v>
      </c>
      <c r="M381" s="114">
        <f t="shared" si="123"/>
        <v>-154521</v>
      </c>
      <c r="N381" s="114">
        <f t="shared" si="124"/>
        <v>-158075</v>
      </c>
      <c r="O381" s="114">
        <f t="shared" si="124"/>
        <v>-161711</v>
      </c>
      <c r="S381" s="115">
        <v>1400</v>
      </c>
      <c r="T381" s="115">
        <v>46</v>
      </c>
    </row>
    <row r="382" spans="4:20" ht="12.75" customHeight="1" x14ac:dyDescent="0.3">
      <c r="D382" s="115"/>
      <c r="E382" s="115" t="s">
        <v>4823</v>
      </c>
      <c r="F382" s="115"/>
      <c r="H382" s="37">
        <v>1300</v>
      </c>
      <c r="I382" s="247">
        <v>9.02</v>
      </c>
      <c r="J382" s="114">
        <v>0</v>
      </c>
      <c r="K382" s="114">
        <f t="shared" si="121"/>
        <v>-11726</v>
      </c>
      <c r="L382" s="114">
        <f t="shared" si="122"/>
        <v>-11972</v>
      </c>
      <c r="M382" s="114">
        <f t="shared" si="123"/>
        <v>-12247</v>
      </c>
      <c r="N382" s="114">
        <f t="shared" si="124"/>
        <v>-12529</v>
      </c>
      <c r="O382" s="114">
        <f t="shared" si="124"/>
        <v>-12817</v>
      </c>
    </row>
    <row r="383" spans="4:20" ht="12.75" customHeight="1" x14ac:dyDescent="0.3">
      <c r="D383" s="115"/>
      <c r="E383" s="115" t="s">
        <v>4824</v>
      </c>
      <c r="F383" s="115"/>
      <c r="H383" s="37">
        <v>909.99999999999989</v>
      </c>
      <c r="I383" s="247">
        <v>-25</v>
      </c>
      <c r="J383" s="114">
        <v>28270</v>
      </c>
      <c r="K383" s="114">
        <f t="shared" si="121"/>
        <v>22749.999999999996</v>
      </c>
      <c r="L383" s="114">
        <f t="shared" si="122"/>
        <v>23228</v>
      </c>
      <c r="M383" s="114">
        <f t="shared" si="123"/>
        <v>23762</v>
      </c>
      <c r="N383" s="114">
        <f t="shared" si="124"/>
        <v>24309</v>
      </c>
      <c r="O383" s="114">
        <f t="shared" si="124"/>
        <v>24868</v>
      </c>
      <c r="S383" s="115">
        <v>1400</v>
      </c>
      <c r="T383" s="115">
        <v>-25</v>
      </c>
    </row>
    <row r="384" spans="4:20" ht="12.75" customHeight="1" x14ac:dyDescent="0.3">
      <c r="D384" s="115"/>
      <c r="E384" s="115" t="s">
        <v>4825</v>
      </c>
      <c r="F384" s="115"/>
      <c r="H384" s="37">
        <v>365</v>
      </c>
      <c r="I384" s="247">
        <v>8.52</v>
      </c>
      <c r="J384" s="114">
        <v>-12336</v>
      </c>
      <c r="K384" s="114">
        <f t="shared" si="121"/>
        <v>-3109.7999999999997</v>
      </c>
      <c r="L384" s="114">
        <f t="shared" si="122"/>
        <v>-3175</v>
      </c>
      <c r="M384" s="114">
        <f t="shared" si="123"/>
        <v>-3248</v>
      </c>
      <c r="N384" s="114">
        <f t="shared" si="124"/>
        <v>-3323</v>
      </c>
      <c r="O384" s="114">
        <f t="shared" si="124"/>
        <v>-3399</v>
      </c>
      <c r="S384" s="115">
        <v>700</v>
      </c>
      <c r="T384" s="115">
        <v>20</v>
      </c>
    </row>
    <row r="385" spans="4:20" ht="12.75" customHeight="1" x14ac:dyDescent="0.3">
      <c r="D385" s="115"/>
      <c r="E385" s="115" t="s">
        <v>4826</v>
      </c>
      <c r="F385" s="115"/>
      <c r="H385" s="37">
        <v>100</v>
      </c>
      <c r="I385" s="247">
        <v>24.44</v>
      </c>
      <c r="J385" s="114">
        <v>-12335</v>
      </c>
      <c r="K385" s="114">
        <f t="shared" si="121"/>
        <v>-2444</v>
      </c>
      <c r="L385" s="114">
        <f t="shared" si="122"/>
        <v>-2495</v>
      </c>
      <c r="M385" s="114">
        <f t="shared" si="123"/>
        <v>-2552</v>
      </c>
      <c r="N385" s="114">
        <f t="shared" si="124"/>
        <v>-2611</v>
      </c>
      <c r="O385" s="114">
        <f t="shared" si="124"/>
        <v>-2671</v>
      </c>
      <c r="S385" s="115">
        <v>700</v>
      </c>
      <c r="T385" s="115">
        <v>39</v>
      </c>
    </row>
    <row r="386" spans="4:20" ht="12.75" customHeight="1" x14ac:dyDescent="0.3">
      <c r="D386" s="115"/>
      <c r="E386" s="115" t="s">
        <v>4827</v>
      </c>
      <c r="F386" s="115"/>
      <c r="H386" s="37">
        <v>170</v>
      </c>
      <c r="I386" s="247">
        <v>21.03</v>
      </c>
      <c r="J386" s="114">
        <v>-12334</v>
      </c>
      <c r="K386" s="114">
        <f t="shared" si="121"/>
        <v>-3575.1000000000004</v>
      </c>
      <c r="L386" s="114">
        <f t="shared" si="122"/>
        <v>-3650</v>
      </c>
      <c r="M386" s="114">
        <f t="shared" si="123"/>
        <v>-3734</v>
      </c>
      <c r="N386" s="114">
        <f t="shared" si="124"/>
        <v>-3820</v>
      </c>
      <c r="O386" s="114">
        <f t="shared" si="124"/>
        <v>-3908</v>
      </c>
    </row>
    <row r="387" spans="4:20" ht="12.75" customHeight="1" x14ac:dyDescent="0.3">
      <c r="D387" s="115"/>
      <c r="E387" s="115" t="s">
        <v>4828</v>
      </c>
      <c r="F387" s="115"/>
      <c r="H387" s="37">
        <v>635</v>
      </c>
      <c r="I387" s="247">
        <v>52.27</v>
      </c>
      <c r="J387" s="114">
        <v>-24055</v>
      </c>
      <c r="K387" s="114">
        <f t="shared" si="121"/>
        <v>-33191.450000000004</v>
      </c>
      <c r="L387" s="114">
        <f t="shared" si="122"/>
        <v>-33888</v>
      </c>
      <c r="M387" s="114">
        <f t="shared" si="123"/>
        <v>-34667</v>
      </c>
      <c r="N387" s="114">
        <f t="shared" si="124"/>
        <v>-35464</v>
      </c>
      <c r="O387" s="114">
        <f t="shared" si="124"/>
        <v>-36280</v>
      </c>
    </row>
    <row r="388" spans="4:20" ht="12.75" customHeight="1" x14ac:dyDescent="0.3">
      <c r="D388" s="115"/>
      <c r="E388" s="115"/>
      <c r="F388" s="115"/>
      <c r="H388" s="37"/>
      <c r="I388" s="247"/>
      <c r="J388" s="114"/>
      <c r="K388" s="114"/>
      <c r="L388" s="114"/>
      <c r="M388" s="114"/>
      <c r="N388" s="114"/>
      <c r="O388" s="114"/>
    </row>
    <row r="389" spans="4:20" ht="12.75" customHeight="1" thickBot="1" x14ac:dyDescent="0.3">
      <c r="E389" s="115" t="s">
        <v>619</v>
      </c>
      <c r="I389" s="114"/>
      <c r="J389" s="1971">
        <v>-462497</v>
      </c>
      <c r="K389" s="1971">
        <f>SUM(K379:K387)</f>
        <v>-490886.35</v>
      </c>
      <c r="L389" s="1971">
        <f>SUM(L379:L387)</f>
        <v>-501194</v>
      </c>
      <c r="M389" s="1971">
        <f>SUM(M379:M387)</f>
        <v>-512720</v>
      </c>
      <c r="N389" s="1971">
        <f>SUM(N379:N387)</f>
        <v>-524513</v>
      </c>
      <c r="O389" s="1971">
        <f>SUM(O379:O387)</f>
        <v>-536577</v>
      </c>
    </row>
    <row r="390" spans="4:20" ht="12.75" customHeight="1" thickTop="1" x14ac:dyDescent="0.25">
      <c r="I390" s="114"/>
      <c r="J390" s="114"/>
      <c r="K390" s="114"/>
      <c r="L390" s="114"/>
      <c r="M390" s="114"/>
      <c r="N390" s="114"/>
      <c r="O390" s="114"/>
    </row>
    <row r="391" spans="4:20" ht="12.75" customHeight="1" x14ac:dyDescent="0.25">
      <c r="I391" s="114"/>
      <c r="J391" s="114"/>
      <c r="K391" s="114"/>
      <c r="L391" s="114"/>
      <c r="M391" s="114"/>
      <c r="N391" s="114"/>
      <c r="O391" s="114"/>
    </row>
    <row r="392" spans="4:20" ht="12.75" customHeight="1" x14ac:dyDescent="0.25">
      <c r="D392" s="393">
        <v>648002</v>
      </c>
      <c r="E392" s="381" t="s">
        <v>4795</v>
      </c>
      <c r="F392" s="382"/>
      <c r="H392" s="306"/>
      <c r="I392" s="383"/>
      <c r="J392" s="483">
        <v>2025</v>
      </c>
      <c r="K392" s="483">
        <v>2026</v>
      </c>
      <c r="L392" s="483">
        <v>2027</v>
      </c>
      <c r="M392" s="483">
        <v>2028</v>
      </c>
      <c r="N392" s="483">
        <v>2029</v>
      </c>
      <c r="O392" s="483">
        <v>2030</v>
      </c>
    </row>
    <row r="393" spans="4:20" ht="12.75" customHeight="1" x14ac:dyDescent="0.25">
      <c r="D393" s="143">
        <v>83800</v>
      </c>
      <c r="E393" s="115" t="s">
        <v>4829</v>
      </c>
      <c r="H393" s="306"/>
      <c r="I393" s="114"/>
      <c r="J393" s="114"/>
      <c r="K393" s="114"/>
      <c r="L393" s="114"/>
      <c r="M393" s="114"/>
      <c r="N393" s="114"/>
      <c r="O393" s="114"/>
    </row>
    <row r="394" spans="4:20" ht="12.75" customHeight="1" x14ac:dyDescent="0.25">
      <c r="D394" s="143"/>
      <c r="E394" s="115"/>
      <c r="H394" s="306"/>
      <c r="I394" s="114"/>
      <c r="J394" s="114"/>
      <c r="K394" s="114"/>
      <c r="L394" s="114"/>
      <c r="M394" s="114"/>
      <c r="N394" s="114"/>
      <c r="O394" s="114"/>
    </row>
    <row r="395" spans="4:20" ht="12.75" customHeight="1" x14ac:dyDescent="0.25">
      <c r="D395" s="143"/>
      <c r="E395" s="308" t="s">
        <v>4830</v>
      </c>
      <c r="H395" s="306"/>
      <c r="I395" s="114"/>
      <c r="J395" s="114">
        <v>-16448</v>
      </c>
      <c r="K395" s="114">
        <f>ROUND(J395*S$2,0)</f>
        <v>-16876</v>
      </c>
      <c r="L395" s="114">
        <f>ROUND(K395*T$2,0)</f>
        <v>-17230</v>
      </c>
      <c r="M395" s="114">
        <f>ROUND(L395*U$2,0)</f>
        <v>-17626</v>
      </c>
      <c r="N395" s="114">
        <f>ROUND(M395*V$2,0)</f>
        <v>-18031</v>
      </c>
      <c r="O395" s="114">
        <f>ROUND(N395*W$2,0)</f>
        <v>-18446</v>
      </c>
    </row>
    <row r="396" spans="4:20" ht="12.75" customHeight="1" x14ac:dyDescent="0.25">
      <c r="D396" s="143"/>
      <c r="E396" s="308" t="s">
        <v>4831</v>
      </c>
      <c r="H396" s="306"/>
      <c r="I396" s="114"/>
      <c r="J396" s="114">
        <v>-30840</v>
      </c>
      <c r="K396" s="114">
        <f t="shared" ref="K396:K397" si="125">ROUND(J396*S$2,0)</f>
        <v>-31642</v>
      </c>
      <c r="L396" s="114">
        <f t="shared" ref="L396:O397" si="126">ROUND(K396*T$2,0)</f>
        <v>-32306</v>
      </c>
      <c r="M396" s="114">
        <f t="shared" si="126"/>
        <v>-33049</v>
      </c>
      <c r="N396" s="114">
        <f t="shared" si="126"/>
        <v>-33809</v>
      </c>
      <c r="O396" s="114">
        <f t="shared" si="126"/>
        <v>-34587</v>
      </c>
    </row>
    <row r="397" spans="4:20" ht="12.75" customHeight="1" x14ac:dyDescent="0.25">
      <c r="D397" s="143"/>
      <c r="E397" s="115" t="s">
        <v>4832</v>
      </c>
      <c r="H397" s="306"/>
      <c r="I397" s="114"/>
      <c r="J397" s="114">
        <v>-18504</v>
      </c>
      <c r="K397" s="114">
        <f t="shared" si="125"/>
        <v>-18985</v>
      </c>
      <c r="L397" s="114">
        <f t="shared" si="126"/>
        <v>-19384</v>
      </c>
      <c r="M397" s="114">
        <f t="shared" si="126"/>
        <v>-19830</v>
      </c>
      <c r="N397" s="114">
        <f t="shared" si="126"/>
        <v>-20286</v>
      </c>
      <c r="O397" s="114">
        <f t="shared" si="126"/>
        <v>-20753</v>
      </c>
    </row>
    <row r="398" spans="4:20" ht="12.75" customHeight="1" thickBot="1" x14ac:dyDescent="0.3">
      <c r="D398" s="143"/>
      <c r="E398" s="115"/>
      <c r="H398" s="306"/>
      <c r="I398" s="114"/>
      <c r="J398" s="1971">
        <v>-65792</v>
      </c>
      <c r="K398" s="1971">
        <f t="shared" ref="K398:M398" si="127">SUM(K395:K397)</f>
        <v>-67503</v>
      </c>
      <c r="L398" s="1971">
        <f t="shared" si="127"/>
        <v>-68920</v>
      </c>
      <c r="M398" s="1971">
        <f t="shared" si="127"/>
        <v>-70505</v>
      </c>
      <c r="N398" s="1971">
        <f t="shared" ref="N398:O398" si="128">SUM(N395:N397)</f>
        <v>-72126</v>
      </c>
      <c r="O398" s="1971">
        <f t="shared" si="128"/>
        <v>-73786</v>
      </c>
    </row>
    <row r="399" spans="4:20" ht="12.75" customHeight="1" thickTop="1" x14ac:dyDescent="0.25">
      <c r="D399" s="143"/>
      <c r="E399" s="115"/>
      <c r="H399" s="306"/>
    </row>
    <row r="400" spans="4:20" ht="12.75" customHeight="1" x14ac:dyDescent="0.25">
      <c r="D400" s="143"/>
      <c r="E400" s="115"/>
      <c r="H400" s="306"/>
      <c r="I400" s="303"/>
      <c r="J400" s="303"/>
      <c r="K400" s="303"/>
      <c r="L400" s="303"/>
      <c r="M400" s="303"/>
      <c r="N400" s="303"/>
      <c r="O400" s="303"/>
    </row>
    <row r="401" spans="4:20" ht="12.75" customHeight="1" x14ac:dyDescent="0.25">
      <c r="D401" s="393">
        <v>648004</v>
      </c>
      <c r="E401" s="381" t="s">
        <v>4738</v>
      </c>
      <c r="F401" s="382"/>
      <c r="I401" s="396"/>
      <c r="J401" s="422">
        <v>2025</v>
      </c>
      <c r="K401" s="422">
        <v>2026</v>
      </c>
      <c r="L401" s="422">
        <v>2027</v>
      </c>
      <c r="M401" s="422">
        <v>2028</v>
      </c>
      <c r="N401" s="422">
        <v>2029</v>
      </c>
      <c r="O401" s="422">
        <v>2030</v>
      </c>
    </row>
    <row r="402" spans="4:20" ht="12.75" customHeight="1" x14ac:dyDescent="0.25">
      <c r="D402" s="143">
        <v>83700</v>
      </c>
      <c r="E402" s="497" t="s">
        <v>4833</v>
      </c>
      <c r="F402" s="557"/>
      <c r="H402" s="401"/>
      <c r="I402" s="401"/>
      <c r="J402" s="401"/>
      <c r="K402" s="401"/>
      <c r="L402" s="401"/>
      <c r="M402" s="401"/>
      <c r="N402" s="401"/>
      <c r="O402" s="401"/>
    </row>
    <row r="403" spans="4:20" ht="12.75" customHeight="1" x14ac:dyDescent="0.25">
      <c r="E403" s="497"/>
      <c r="F403" s="557"/>
      <c r="H403" s="401"/>
      <c r="I403" s="401"/>
      <c r="J403" s="401"/>
      <c r="K403" s="401"/>
      <c r="L403" s="401"/>
      <c r="M403" s="401"/>
      <c r="N403" s="401"/>
      <c r="O403" s="401"/>
    </row>
    <row r="404" spans="4:20" ht="12.75" customHeight="1" x14ac:dyDescent="0.25">
      <c r="E404" s="639" t="s">
        <v>4834</v>
      </c>
      <c r="F404" s="557"/>
      <c r="H404" s="401"/>
      <c r="I404" s="558"/>
      <c r="J404" s="558">
        <v>4884707.477500001</v>
      </c>
      <c r="K404" s="558">
        <f>K102+K108+K114+K129+K134+K139+K145+K154+K164+K169</f>
        <v>5130881.3786000004</v>
      </c>
      <c r="L404" s="558">
        <f>L102+L108+L114+L129+L134+L139+L145+L154+L164+L169</f>
        <v>5227905.6838160008</v>
      </c>
      <c r="M404" s="558">
        <f>M102+M108+M114+M129+M134+M139+M145+M154+M164+M169</f>
        <v>5351963.0934104798</v>
      </c>
      <c r="N404" s="558">
        <f>N102+N108+N114+N129+N134+N139+N145+N154+N164+N169</f>
        <v>5479441.0772327948</v>
      </c>
      <c r="O404" s="558">
        <f>O102+O108+O114+O129+O134+O139+O145+O154+O164+O169</f>
        <v>5658325.2505697785</v>
      </c>
    </row>
    <row r="405" spans="4:20" ht="12.75" customHeight="1" x14ac:dyDescent="0.25">
      <c r="E405" s="639" t="s">
        <v>4835</v>
      </c>
      <c r="F405" s="557"/>
      <c r="H405" s="401"/>
      <c r="I405" s="558"/>
      <c r="J405" s="558">
        <v>267130</v>
      </c>
      <c r="K405" s="558">
        <f>K86+K92</f>
        <v>301749</v>
      </c>
      <c r="L405" s="558">
        <f>L86+L92</f>
        <v>319738</v>
      </c>
      <c r="M405" s="558">
        <f>M86+M92</f>
        <v>337591</v>
      </c>
      <c r="N405" s="558">
        <f>N86+N92</f>
        <v>355819</v>
      </c>
      <c r="O405" s="558">
        <f>O86+O92</f>
        <v>374311</v>
      </c>
    </row>
    <row r="406" spans="4:20" ht="12.75" customHeight="1" x14ac:dyDescent="0.25">
      <c r="E406" s="639" t="s">
        <v>4836</v>
      </c>
      <c r="F406" s="557"/>
      <c r="H406" s="401"/>
      <c r="I406" s="558"/>
      <c r="J406" s="558">
        <v>75000</v>
      </c>
      <c r="K406" s="558">
        <v>75000</v>
      </c>
      <c r="L406" s="558">
        <v>75000</v>
      </c>
      <c r="M406" s="558">
        <v>75001</v>
      </c>
      <c r="N406" s="558">
        <v>75001</v>
      </c>
      <c r="O406" s="558">
        <v>75001</v>
      </c>
    </row>
    <row r="407" spans="4:20" ht="12.75" customHeight="1" x14ac:dyDescent="0.25">
      <c r="E407" s="639" t="s">
        <v>4837</v>
      </c>
      <c r="F407" s="640"/>
      <c r="H407" s="401"/>
      <c r="I407" s="558"/>
      <c r="J407" s="641">
        <v>154685.24406430955</v>
      </c>
      <c r="K407" s="641">
        <f t="shared" ref="K407:M407" si="129">K460</f>
        <v>204340.1473625502</v>
      </c>
      <c r="L407" s="641">
        <f t="shared" si="129"/>
        <v>211178.29860216944</v>
      </c>
      <c r="M407" s="641">
        <f t="shared" si="129"/>
        <v>211163.96711848283</v>
      </c>
      <c r="N407" s="641">
        <f t="shared" ref="N407:O407" si="130">N460</f>
        <v>218078.86336812939</v>
      </c>
      <c r="O407" s="641">
        <f t="shared" si="130"/>
        <v>226148.01813988789</v>
      </c>
    </row>
    <row r="408" spans="4:20" ht="12.75" customHeight="1" x14ac:dyDescent="0.25">
      <c r="E408" s="497" t="s">
        <v>4838</v>
      </c>
      <c r="F408" s="557"/>
      <c r="H408" s="401"/>
      <c r="I408" s="558"/>
      <c r="J408" s="558">
        <v>5381522.7215643106</v>
      </c>
      <c r="K408" s="558">
        <f t="shared" ref="K408" si="131">SUM(K404:K407)</f>
        <v>5711970.5259625502</v>
      </c>
      <c r="L408" s="558">
        <f t="shared" ref="L408:M408" si="132">SUM(L404:L407)</f>
        <v>5833821.9824181702</v>
      </c>
      <c r="M408" s="558">
        <f t="shared" si="132"/>
        <v>5975719.0605289629</v>
      </c>
      <c r="N408" s="558">
        <f t="shared" ref="N408:O408" si="133">SUM(N404:N407)</f>
        <v>6128339.9406009242</v>
      </c>
      <c r="O408" s="558">
        <f t="shared" si="133"/>
        <v>6333785.2687096661</v>
      </c>
    </row>
    <row r="409" spans="4:20" ht="12.75" customHeight="1" x14ac:dyDescent="0.25">
      <c r="E409" s="497" t="s">
        <v>4839</v>
      </c>
      <c r="F409" s="557"/>
      <c r="H409" s="401"/>
      <c r="I409" s="558"/>
      <c r="J409" s="558">
        <v>13840</v>
      </c>
      <c r="K409" s="558">
        <f>E417</f>
        <v>14090</v>
      </c>
      <c r="L409" s="558">
        <f>E418</f>
        <v>14390</v>
      </c>
      <c r="M409" s="558">
        <f>+E419</f>
        <v>14740</v>
      </c>
      <c r="N409" s="558">
        <f>+E419</f>
        <v>14740</v>
      </c>
      <c r="O409" s="558">
        <f>+E419</f>
        <v>14740</v>
      </c>
      <c r="Q409" s="558">
        <f>+F415</f>
        <v>0</v>
      </c>
    </row>
    <row r="410" spans="4:20" ht="12.75" customHeight="1" x14ac:dyDescent="0.25">
      <c r="E410" s="497" t="s">
        <v>4840</v>
      </c>
      <c r="F410" s="557"/>
      <c r="H410" s="401"/>
      <c r="I410" s="642"/>
      <c r="J410" s="643">
        <v>388.84</v>
      </c>
      <c r="K410" s="643">
        <f>ROUND(K408/K409,2)</f>
        <v>405.39</v>
      </c>
      <c r="L410" s="643">
        <f>ROUND(L408/L409,2)</f>
        <v>405.41</v>
      </c>
      <c r="M410" s="643">
        <f>ROUND(M408/M409,2)</f>
        <v>405.41</v>
      </c>
      <c r="N410" s="643">
        <f>ROUND(N408/N409,2)</f>
        <v>415.76</v>
      </c>
      <c r="O410" s="643">
        <f>ROUND(O408/O409,2)</f>
        <v>429.7</v>
      </c>
      <c r="Q410" s="114"/>
      <c r="R410" s="114"/>
      <c r="S410" s="114"/>
    </row>
    <row r="411" spans="4:20" ht="12.75" customHeight="1" x14ac:dyDescent="0.25">
      <c r="E411" s="497" t="s">
        <v>4841</v>
      </c>
      <c r="F411" s="557"/>
      <c r="H411" s="401"/>
      <c r="I411" s="642"/>
      <c r="J411" s="642">
        <v>32.4</v>
      </c>
      <c r="K411" s="642">
        <f>ROUND(K410/12,2)</f>
        <v>33.78</v>
      </c>
      <c r="L411" s="642">
        <f>ROUND(L410/12,2)</f>
        <v>33.78</v>
      </c>
      <c r="M411" s="642">
        <f>ROUND(M410/12,2)</f>
        <v>33.78</v>
      </c>
      <c r="N411" s="642">
        <f>ROUND(N410/12,2)</f>
        <v>34.65</v>
      </c>
      <c r="O411" s="642">
        <f>ROUND(O410/12,2)</f>
        <v>35.81</v>
      </c>
      <c r="S411" s="115">
        <f>403.68/12</f>
        <v>33.64</v>
      </c>
    </row>
    <row r="412" spans="4:20" ht="12.75" customHeight="1" x14ac:dyDescent="0.25">
      <c r="E412" s="497" t="s">
        <v>4842</v>
      </c>
      <c r="F412" s="557"/>
      <c r="H412" s="401"/>
      <c r="I412" s="644"/>
      <c r="J412" s="644">
        <v>5.4687499999999993E-2</v>
      </c>
      <c r="K412" s="644">
        <f>(K411-J411)/J411</f>
        <v>4.2592592592592675E-2</v>
      </c>
      <c r="L412" s="644">
        <f>(L411-K411)/K411</f>
        <v>0</v>
      </c>
      <c r="M412" s="644">
        <f>(M411-L411)/L411</f>
        <v>0</v>
      </c>
      <c r="N412" s="644">
        <f>(N411-M411)/M411</f>
        <v>2.5754884547069194E-2</v>
      </c>
      <c r="O412" s="644">
        <f>(O411-N411)/N411</f>
        <v>3.3477633477633585E-2</v>
      </c>
      <c r="S412" s="115">
        <f>+S411*12</f>
        <v>403.68</v>
      </c>
    </row>
    <row r="413" spans="4:20" ht="12.75" customHeight="1" x14ac:dyDescent="0.25">
      <c r="D413" s="497"/>
      <c r="E413" s="557"/>
      <c r="F413" s="557"/>
      <c r="G413" s="401"/>
      <c r="H413" s="401"/>
      <c r="I413" s="401"/>
      <c r="J413" s="401"/>
      <c r="K413" s="401"/>
      <c r="L413" s="401"/>
      <c r="M413" s="401"/>
      <c r="N413" s="401"/>
      <c r="O413" s="401"/>
    </row>
    <row r="414" spans="4:20" ht="12.75" customHeight="1" x14ac:dyDescent="0.25">
      <c r="D414" s="115"/>
      <c r="E414" s="114"/>
      <c r="F414" s="401"/>
      <c r="H414" s="645"/>
      <c r="J414" s="114"/>
      <c r="K414" s="248"/>
      <c r="L414" s="114"/>
      <c r="M414" s="114"/>
      <c r="N414" s="114"/>
      <c r="O414" s="114"/>
      <c r="R414" s="115" t="s">
        <v>4695</v>
      </c>
      <c r="T414" s="115">
        <v>80</v>
      </c>
    </row>
    <row r="415" spans="4:20" ht="12.75" customHeight="1" x14ac:dyDescent="0.25">
      <c r="D415" s="115"/>
      <c r="E415" s="114"/>
      <c r="F415" s="401"/>
      <c r="H415" s="645"/>
      <c r="J415" s="114"/>
      <c r="R415" s="115" t="s">
        <v>4697</v>
      </c>
      <c r="T415" s="115">
        <v>100</v>
      </c>
    </row>
    <row r="416" spans="4:20" ht="12.75" customHeight="1" x14ac:dyDescent="0.25">
      <c r="D416" s="115"/>
      <c r="E416" s="114">
        <f>13690+150</f>
        <v>13840</v>
      </c>
      <c r="F416" s="401" t="s">
        <v>4843</v>
      </c>
      <c r="H416" s="645">
        <f>J411</f>
        <v>32.4</v>
      </c>
      <c r="J416" s="114">
        <v>-5380992</v>
      </c>
      <c r="K416" s="114"/>
      <c r="L416" s="114"/>
      <c r="M416" s="114"/>
      <c r="N416" s="114"/>
      <c r="O416" s="114"/>
    </row>
    <row r="417" spans="4:22" ht="12.75" customHeight="1" x14ac:dyDescent="0.25">
      <c r="D417" s="115"/>
      <c r="E417" s="114">
        <f>13940+150</f>
        <v>14090</v>
      </c>
      <c r="F417" s="401" t="s">
        <v>4843</v>
      </c>
      <c r="H417" s="645">
        <f>K411</f>
        <v>33.78</v>
      </c>
      <c r="J417" s="114"/>
      <c r="K417" s="114">
        <f>+E417*H417*-12</f>
        <v>-5711522.4000000004</v>
      </c>
      <c r="L417" s="114"/>
      <c r="M417" s="114"/>
      <c r="N417" s="114"/>
      <c r="O417" s="114"/>
    </row>
    <row r="418" spans="4:22" ht="12.75" customHeight="1" x14ac:dyDescent="0.25">
      <c r="D418" s="115"/>
      <c r="E418" s="114">
        <f>14240+150</f>
        <v>14390</v>
      </c>
      <c r="F418" s="401" t="s">
        <v>4843</v>
      </c>
      <c r="H418" s="645">
        <f>L411</f>
        <v>33.78</v>
      </c>
      <c r="J418" s="114"/>
      <c r="K418" s="114"/>
      <c r="L418" s="114">
        <f>+E418*H418*-12</f>
        <v>-5833130.4000000004</v>
      </c>
      <c r="M418" s="114"/>
      <c r="N418" s="114"/>
      <c r="O418" s="114"/>
    </row>
    <row r="419" spans="4:22" ht="12.75" customHeight="1" x14ac:dyDescent="0.25">
      <c r="D419" s="115"/>
      <c r="E419" s="114">
        <f>14590+150</f>
        <v>14740</v>
      </c>
      <c r="F419" s="401" t="s">
        <v>4843</v>
      </c>
      <c r="H419" s="645">
        <f>+M411</f>
        <v>33.78</v>
      </c>
      <c r="J419" s="114"/>
      <c r="K419" s="114"/>
      <c r="M419" s="114">
        <f>+E419*H419*-12</f>
        <v>-5975006.4000000004</v>
      </c>
      <c r="N419" s="114"/>
      <c r="O419" s="114"/>
    </row>
    <row r="420" spans="4:22" ht="12.75" customHeight="1" x14ac:dyDescent="0.25">
      <c r="D420" s="115"/>
      <c r="E420" s="114">
        <f>14590+150</f>
        <v>14740</v>
      </c>
      <c r="F420" s="401" t="s">
        <v>4843</v>
      </c>
      <c r="H420" s="645">
        <f>+N411</f>
        <v>34.65</v>
      </c>
      <c r="J420" s="114"/>
      <c r="K420" s="114"/>
      <c r="M420" s="114"/>
      <c r="N420" s="114">
        <f>+E420*H420*-12</f>
        <v>-6128892</v>
      </c>
      <c r="O420" s="114"/>
    </row>
    <row r="421" spans="4:22" ht="12.75" customHeight="1" x14ac:dyDescent="0.25">
      <c r="D421" s="115"/>
      <c r="E421" s="544">
        <f>14590+150</f>
        <v>14740</v>
      </c>
      <c r="F421" s="2067" t="s">
        <v>4843</v>
      </c>
      <c r="G421" s="358"/>
      <c r="H421" s="2068">
        <f>+O411</f>
        <v>35.81</v>
      </c>
      <c r="J421" s="114"/>
      <c r="K421" s="114"/>
      <c r="M421" s="114"/>
      <c r="N421" s="114"/>
      <c r="O421" s="114">
        <f>+E421*H421*-12</f>
        <v>-6334072.8000000007</v>
      </c>
    </row>
    <row r="422" spans="4:22" ht="12.75" customHeight="1" x14ac:dyDescent="0.25">
      <c r="D422" s="639"/>
      <c r="E422" s="401"/>
      <c r="F422" s="401"/>
      <c r="H422" s="114"/>
      <c r="J422" s="114"/>
      <c r="K422" s="114"/>
      <c r="L422" s="114"/>
      <c r="M422" s="114"/>
      <c r="N422" s="114"/>
      <c r="O422" s="114"/>
      <c r="T422" s="115">
        <f>SUM(T414:T415)</f>
        <v>180</v>
      </c>
      <c r="U422" s="115">
        <f>SUM(U414:U415)</f>
        <v>0</v>
      </c>
    </row>
    <row r="423" spans="4:22" ht="12.75" customHeight="1" thickBot="1" x14ac:dyDescent="0.3">
      <c r="D423" s="434"/>
      <c r="E423" s="115" t="str">
        <f>"Totaal "</f>
        <v xml:space="preserve">Totaal </v>
      </c>
      <c r="F423" s="115"/>
      <c r="H423" s="114"/>
      <c r="J423" s="1971">
        <v>-5380992</v>
      </c>
      <c r="K423" s="1971">
        <f>SUM(K414:K422)</f>
        <v>-5711522.4000000004</v>
      </c>
      <c r="L423" s="1971">
        <f>SUM(L414:L422)</f>
        <v>-5833130.4000000004</v>
      </c>
      <c r="M423" s="1971">
        <f>SUM(M414:M422)</f>
        <v>-5975006.4000000004</v>
      </c>
      <c r="N423" s="1971">
        <f>SUM(N414:N422)</f>
        <v>-6128892</v>
      </c>
      <c r="O423" s="1971">
        <f>SUM(O414:O422)</f>
        <v>-6334072.8000000007</v>
      </c>
    </row>
    <row r="424" spans="4:22" ht="12.75" customHeight="1" thickTop="1" x14ac:dyDescent="0.25">
      <c r="D424" s="434"/>
      <c r="E424" s="384"/>
      <c r="F424" s="384"/>
      <c r="I424" s="114"/>
      <c r="J424" s="114"/>
      <c r="K424" s="114"/>
      <c r="L424" s="114"/>
      <c r="M424" s="114"/>
      <c r="N424" s="114"/>
      <c r="O424" s="114"/>
      <c r="R424" s="646" t="s">
        <v>4844</v>
      </c>
      <c r="T424" s="115">
        <v>12573</v>
      </c>
    </row>
    <row r="425" spans="4:22" ht="12.75" customHeight="1" x14ac:dyDescent="0.25">
      <c r="I425" s="636" t="s">
        <v>4845</v>
      </c>
      <c r="J425" s="114">
        <v>915245</v>
      </c>
      <c r="K425" s="114">
        <f>K85+K91+K100+K107+K113+K127+K144</f>
        <v>962333</v>
      </c>
      <c r="L425" s="114">
        <f>L85+L91+L100+L107+L113+L127+L144</f>
        <v>981114</v>
      </c>
      <c r="M425" s="114">
        <f>M85+M91+M100+M107+M113+M127+M144</f>
        <v>1004932</v>
      </c>
      <c r="N425" s="114">
        <f>N85+N91+N100+N107+N113+N127+N144</f>
        <v>1029365</v>
      </c>
      <c r="O425" s="114">
        <f>O85+O91+O100+O107+O113+O127+O144</f>
        <v>1062741</v>
      </c>
      <c r="R425" s="115" t="s">
        <v>4697</v>
      </c>
      <c r="T425" s="115">
        <f>ROUND(200/3*2,0)</f>
        <v>133</v>
      </c>
      <c r="V425" s="115">
        <f>7.99/5</f>
        <v>1.5980000000000001</v>
      </c>
    </row>
    <row r="426" spans="4:22" ht="12.75" customHeight="1" x14ac:dyDescent="0.25">
      <c r="D426" s="115"/>
      <c r="G426" s="301"/>
      <c r="I426" s="636"/>
      <c r="J426" s="114"/>
      <c r="K426" s="114"/>
      <c r="L426" s="114"/>
      <c r="M426" s="114"/>
      <c r="N426" s="114"/>
      <c r="O426" s="114"/>
      <c r="T426" s="115" t="e">
        <f>SUM(#REF!)</f>
        <v>#REF!</v>
      </c>
      <c r="U426" s="383">
        <v>2021</v>
      </c>
    </row>
    <row r="427" spans="4:22" ht="12.75" customHeight="1" x14ac:dyDescent="0.25">
      <c r="D427" s="433">
        <v>648003</v>
      </c>
      <c r="E427" s="647" t="s">
        <v>4718</v>
      </c>
      <c r="F427" s="648"/>
      <c r="I427" s="394"/>
      <c r="J427" s="114"/>
      <c r="K427" s="114"/>
      <c r="L427" s="114"/>
      <c r="M427" s="114"/>
      <c r="N427" s="114"/>
      <c r="O427" s="114"/>
      <c r="R427" s="115" t="s">
        <v>4846</v>
      </c>
      <c r="T427" s="115">
        <v>125</v>
      </c>
    </row>
    <row r="428" spans="4:22" ht="12.75" customHeight="1" x14ac:dyDescent="0.25">
      <c r="D428" s="384"/>
      <c r="E428" s="383" t="s">
        <v>533</v>
      </c>
      <c r="F428" s="384"/>
      <c r="I428" s="394"/>
      <c r="J428" s="114"/>
      <c r="K428" s="114"/>
      <c r="L428" s="114"/>
      <c r="M428" s="114"/>
      <c r="N428" s="114"/>
      <c r="O428" s="114"/>
      <c r="R428" s="115" t="s">
        <v>4847</v>
      </c>
      <c r="T428" s="115">
        <f>300/2</f>
        <v>150</v>
      </c>
    </row>
    <row r="429" spans="4:22" ht="12.75" customHeight="1" x14ac:dyDescent="0.25">
      <c r="D429" s="384"/>
      <c r="E429" s="115" t="s">
        <v>4713</v>
      </c>
      <c r="F429" s="384"/>
      <c r="I429" s="394"/>
      <c r="J429" s="114"/>
      <c r="K429" s="114"/>
      <c r="L429" s="114"/>
      <c r="M429" s="114"/>
      <c r="N429" s="114"/>
      <c r="O429" s="114"/>
      <c r="T429" s="115" t="e">
        <f>SUM(T426:T428)</f>
        <v>#REF!</v>
      </c>
      <c r="U429" s="383">
        <v>2022</v>
      </c>
    </row>
    <row r="430" spans="4:22" ht="12.75" customHeight="1" x14ac:dyDescent="0.25">
      <c r="D430" s="384"/>
      <c r="E430" s="115" t="s">
        <v>4714</v>
      </c>
      <c r="F430" s="384"/>
      <c r="I430" s="394"/>
      <c r="J430" s="114"/>
      <c r="K430" s="114"/>
      <c r="L430" s="114"/>
      <c r="M430" s="114"/>
      <c r="N430" s="114"/>
      <c r="O430" s="114"/>
      <c r="R430" s="115" t="s">
        <v>4847</v>
      </c>
      <c r="T430" s="115">
        <v>150</v>
      </c>
    </row>
    <row r="431" spans="4:22" ht="12.75" customHeight="1" thickBot="1" x14ac:dyDescent="0.3">
      <c r="D431" s="384">
        <v>44510</v>
      </c>
      <c r="E431" s="115" t="s">
        <v>4715</v>
      </c>
      <c r="F431" s="384"/>
      <c r="I431" s="394"/>
      <c r="J431" s="1971">
        <v>-915245</v>
      </c>
      <c r="K431" s="1971">
        <f>-K425</f>
        <v>-962333</v>
      </c>
      <c r="L431" s="1971">
        <f>-L425</f>
        <v>-981114</v>
      </c>
      <c r="M431" s="1971">
        <f>-M425</f>
        <v>-1004932</v>
      </c>
      <c r="N431" s="1971">
        <f>-N425</f>
        <v>-1029365</v>
      </c>
      <c r="O431" s="1971">
        <f>-O425</f>
        <v>-1062741</v>
      </c>
      <c r="R431" s="115" t="s">
        <v>4848</v>
      </c>
      <c r="T431" s="115">
        <v>150</v>
      </c>
    </row>
    <row r="432" spans="4:22" ht="12.75" customHeight="1" thickTop="1" x14ac:dyDescent="0.25">
      <c r="D432" s="115"/>
      <c r="G432" s="301"/>
      <c r="I432" s="636"/>
      <c r="J432" s="649"/>
      <c r="K432" s="649"/>
      <c r="L432" s="649"/>
      <c r="M432" s="649"/>
      <c r="N432" s="649"/>
      <c r="O432" s="649"/>
      <c r="T432" s="115" t="e">
        <f>SUM(T429:T431)</f>
        <v>#REF!</v>
      </c>
      <c r="U432" s="383">
        <v>2023</v>
      </c>
    </row>
    <row r="434" spans="1:23" ht="12.75" customHeight="1" x14ac:dyDescent="0.25">
      <c r="D434" s="500" t="s">
        <v>4849</v>
      </c>
      <c r="E434" s="500"/>
      <c r="F434" s="500"/>
      <c r="G434" s="359"/>
      <c r="H434" s="359"/>
      <c r="I434" s="359"/>
      <c r="J434" s="501">
        <v>2025</v>
      </c>
      <c r="K434" s="501">
        <v>2026</v>
      </c>
      <c r="L434" s="501">
        <v>2027</v>
      </c>
      <c r="M434" s="501">
        <v>2028</v>
      </c>
      <c r="N434" s="501">
        <v>2029</v>
      </c>
      <c r="O434" s="501">
        <v>2030</v>
      </c>
    </row>
    <row r="435" spans="1:23" ht="12.75" customHeight="1" x14ac:dyDescent="0.25">
      <c r="D435" s="502"/>
      <c r="E435" s="502"/>
      <c r="F435" s="502"/>
      <c r="G435" s="359"/>
      <c r="H435" s="359"/>
      <c r="I435" s="510"/>
      <c r="J435" s="503"/>
      <c r="K435" s="503"/>
      <c r="L435" s="503"/>
      <c r="M435" s="503"/>
      <c r="N435" s="503"/>
      <c r="O435" s="503"/>
    </row>
    <row r="436" spans="1:23" s="359" customFormat="1" ht="12.75" customHeight="1" x14ac:dyDescent="0.25">
      <c r="A436" s="499"/>
      <c r="D436" s="504" t="s">
        <v>935</v>
      </c>
      <c r="E436" s="504"/>
      <c r="F436" s="504"/>
      <c r="I436" s="510"/>
      <c r="J436" s="503"/>
      <c r="K436" s="503"/>
      <c r="L436" s="503"/>
      <c r="M436" s="503"/>
      <c r="N436" s="503"/>
      <c r="O436" s="503"/>
      <c r="Q436" s="115"/>
      <c r="R436" s="115"/>
      <c r="S436" s="115"/>
      <c r="T436" s="115"/>
    </row>
    <row r="437" spans="1:23" s="359" customFormat="1" ht="12.75" customHeight="1" x14ac:dyDescent="0.25">
      <c r="A437" s="499"/>
      <c r="D437" s="502" t="s">
        <v>936</v>
      </c>
      <c r="E437" s="502"/>
      <c r="F437" s="502"/>
      <c r="I437" s="510"/>
      <c r="J437" s="503">
        <v>204862.24</v>
      </c>
      <c r="K437" s="503">
        <f>K149+K150</f>
        <v>239958.64</v>
      </c>
      <c r="L437" s="503">
        <f>L149+L150</f>
        <v>250038</v>
      </c>
      <c r="M437" s="503">
        <f>M149+M150</f>
        <v>259289</v>
      </c>
      <c r="N437" s="503">
        <f>N149+N150</f>
        <v>268884</v>
      </c>
      <c r="O437" s="503">
        <f>O149+O150</f>
        <v>278833</v>
      </c>
      <c r="Q437" s="115"/>
      <c r="R437" s="115"/>
      <c r="S437" s="115"/>
      <c r="T437" s="115"/>
    </row>
    <row r="438" spans="1:23" s="359" customFormat="1" ht="12.75" customHeight="1" x14ac:dyDescent="0.25">
      <c r="A438" s="499"/>
      <c r="D438" s="502" t="s">
        <v>965</v>
      </c>
      <c r="E438" s="502"/>
      <c r="F438" s="502"/>
      <c r="I438" s="510"/>
      <c r="J438" s="503">
        <v>77462</v>
      </c>
      <c r="K438" s="503">
        <f>K151+K152+K153</f>
        <v>80871</v>
      </c>
      <c r="L438" s="503">
        <f>L151+L152+L153</f>
        <v>86590</v>
      </c>
      <c r="M438" s="503">
        <f>M151+M152+M153</f>
        <v>92354</v>
      </c>
      <c r="N438" s="503">
        <f>N151+N152+N153</f>
        <v>98129</v>
      </c>
      <c r="O438" s="503">
        <f>O151+O152+O153</f>
        <v>103913</v>
      </c>
      <c r="Q438" s="115"/>
      <c r="R438" s="115"/>
      <c r="S438" s="115"/>
      <c r="T438" s="115"/>
    </row>
    <row r="439" spans="1:23" s="359" customFormat="1" ht="12.75" customHeight="1" x14ac:dyDescent="0.25">
      <c r="A439" s="499"/>
      <c r="D439" s="115" t="s">
        <v>937</v>
      </c>
      <c r="E439" s="115"/>
      <c r="F439" s="114"/>
      <c r="G439" s="114"/>
      <c r="H439" s="114"/>
      <c r="I439" s="114"/>
      <c r="J439" s="503">
        <v>5012767.2375000007</v>
      </c>
      <c r="K439" s="503">
        <f>K28+K29+K30+K31+K32+K33+K34+K35+K36</f>
        <v>5670190.0886000004</v>
      </c>
      <c r="L439" s="503">
        <f>L28+L29+L30+L31+L32+L33+L34+L35+L36</f>
        <v>5781129.6838160008</v>
      </c>
      <c r="M439" s="503">
        <f>M28+M29+M30+M31+M32+M33+M34+M35+M36</f>
        <v>5921136.0934104798</v>
      </c>
      <c r="N439" s="503">
        <f>N28+N29+N30+N31+N32+N33+N34+N35+N36</f>
        <v>6064886.0772327948</v>
      </c>
      <c r="O439" s="503">
        <f>O28+O29+O30+O31+O32+O33+O34+O35+O36</f>
        <v>6260253.2505697785</v>
      </c>
      <c r="Q439" s="115"/>
      <c r="R439" s="115"/>
      <c r="S439" s="115"/>
      <c r="T439" s="115"/>
    </row>
    <row r="440" spans="1:23" s="359" customFormat="1" ht="12.75" customHeight="1" thickBot="1" x14ac:dyDescent="0.3">
      <c r="A440" s="499"/>
      <c r="D440" s="502" t="s">
        <v>938</v>
      </c>
      <c r="E440" s="502"/>
      <c r="F440" s="502"/>
      <c r="I440" s="510"/>
      <c r="J440" s="1972">
        <v>5295091.477500001</v>
      </c>
      <c r="K440" s="1972">
        <f>SUM(K437:K439)</f>
        <v>5991019.7286</v>
      </c>
      <c r="L440" s="1972">
        <f>SUM(L437:L439)</f>
        <v>6117757.6838160008</v>
      </c>
      <c r="M440" s="1972">
        <f>SUM(M437:M439)</f>
        <v>6272779.0934104798</v>
      </c>
      <c r="N440" s="1972">
        <f>SUM(N437:N439)</f>
        <v>6431899.0772327948</v>
      </c>
      <c r="O440" s="1972">
        <f>SUM(O437:O439)</f>
        <v>6642999.2505697785</v>
      </c>
      <c r="Q440" s="115"/>
      <c r="R440" s="115"/>
      <c r="S440" s="115"/>
      <c r="T440" s="115"/>
    </row>
    <row r="441" spans="1:23" s="359" customFormat="1" ht="12.75" customHeight="1" thickTop="1" x14ac:dyDescent="0.25">
      <c r="A441" s="499"/>
      <c r="D441" s="502"/>
      <c r="E441" s="502"/>
      <c r="F441" s="502"/>
      <c r="I441" s="510"/>
      <c r="J441" s="503"/>
      <c r="K441" s="503"/>
      <c r="L441" s="503"/>
      <c r="M441" s="503"/>
      <c r="N441" s="503"/>
      <c r="O441" s="503"/>
      <c r="Q441" s="115"/>
      <c r="R441" s="115"/>
      <c r="S441" s="115"/>
      <c r="T441" s="115"/>
    </row>
    <row r="442" spans="1:23" s="359" customFormat="1" ht="12.75" customHeight="1" x14ac:dyDescent="0.25">
      <c r="A442" s="499"/>
      <c r="D442" s="301"/>
      <c r="E442" s="301"/>
      <c r="F442" s="301"/>
      <c r="G442" s="301"/>
      <c r="H442" s="301"/>
      <c r="I442" s="114"/>
      <c r="J442" s="151"/>
      <c r="K442" s="151"/>
      <c r="L442" s="151"/>
      <c r="M442" s="151"/>
      <c r="N442" s="151"/>
      <c r="O442" s="151"/>
      <c r="R442" s="115"/>
      <c r="S442" s="115"/>
    </row>
    <row r="443" spans="1:23" s="359" customFormat="1" ht="42" customHeight="1" x14ac:dyDescent="0.25">
      <c r="A443" s="499"/>
      <c r="D443" s="505" t="s">
        <v>939</v>
      </c>
      <c r="E443" s="396"/>
      <c r="F443" s="396"/>
      <c r="G443" s="301"/>
      <c r="H443" s="301"/>
      <c r="I443" s="114"/>
      <c r="J443" s="151"/>
      <c r="K443" s="151"/>
      <c r="L443" s="151"/>
      <c r="M443" s="151"/>
      <c r="N443" s="151"/>
      <c r="O443" s="151"/>
      <c r="Q443" s="571"/>
      <c r="R443" s="571" t="s">
        <v>940</v>
      </c>
      <c r="S443" s="571" t="s">
        <v>941</v>
      </c>
      <c r="T443" s="571" t="s">
        <v>942</v>
      </c>
      <c r="U443" s="571" t="s">
        <v>943</v>
      </c>
      <c r="V443" s="571" t="s">
        <v>944</v>
      </c>
      <c r="W443" s="2097" t="s">
        <v>5284</v>
      </c>
    </row>
    <row r="444" spans="1:23" s="359" customFormat="1" ht="12.75" customHeight="1" x14ac:dyDescent="0.3">
      <c r="A444" s="499"/>
      <c r="D444" s="507" t="s">
        <v>945</v>
      </c>
      <c r="E444" s="115"/>
      <c r="F444" s="115"/>
      <c r="G444" s="115"/>
      <c r="H444" s="115"/>
      <c r="I444" s="508"/>
      <c r="J444" s="508"/>
      <c r="K444" s="508"/>
      <c r="L444" s="151"/>
      <c r="M444" s="151"/>
      <c r="N444" s="151"/>
      <c r="O444" s="151"/>
      <c r="P444" s="115"/>
      <c r="Q444" s="115"/>
      <c r="R444" s="115"/>
      <c r="S444" s="115"/>
      <c r="T444" s="115"/>
      <c r="U444" s="115"/>
      <c r="W444" s="358"/>
    </row>
    <row r="445" spans="1:23" s="359" customFormat="1" ht="12.75" customHeight="1" x14ac:dyDescent="0.3">
      <c r="A445" s="499"/>
      <c r="D445" s="507"/>
      <c r="E445" s="115"/>
      <c r="F445" s="115"/>
      <c r="G445" s="115"/>
      <c r="H445" s="115"/>
      <c r="I445" s="508"/>
      <c r="J445" s="508"/>
      <c r="K445" s="508"/>
      <c r="L445" s="151"/>
      <c r="M445" s="151"/>
      <c r="N445" s="151"/>
      <c r="O445" s="151"/>
      <c r="P445" s="115"/>
      <c r="Q445" s="115"/>
      <c r="R445" s="115"/>
      <c r="S445" s="115"/>
      <c r="T445" s="115"/>
      <c r="U445" s="115"/>
      <c r="W445" s="358"/>
    </row>
    <row r="446" spans="1:23" s="359" customFormat="1" ht="12.75" customHeight="1" x14ac:dyDescent="0.3">
      <c r="A446" s="499"/>
      <c r="D446" s="115" t="s">
        <v>946</v>
      </c>
      <c r="E446" s="115"/>
      <c r="F446" s="115"/>
      <c r="G446" s="115"/>
      <c r="H446" s="115"/>
      <c r="J446" s="151">
        <v>17146.607596199949</v>
      </c>
      <c r="K446" s="151">
        <f>+K$437*S446</f>
        <v>21629.87544017706</v>
      </c>
      <c r="L446" s="151">
        <f>+L$437*T446</f>
        <v>23532.589222042126</v>
      </c>
      <c r="M446" s="151">
        <f>+M$437*U446</f>
        <v>25745.325479816162</v>
      </c>
      <c r="N446" s="151">
        <f>+N$437*V446</f>
        <v>28068.282962542293</v>
      </c>
      <c r="O446" s="547">
        <f>+O$437*W446</f>
        <v>29106.839913474043</v>
      </c>
      <c r="P446" s="115"/>
      <c r="R446" s="508">
        <v>0.10002862957699615</v>
      </c>
      <c r="S446" s="509">
        <v>9.0140015130011811E-2</v>
      </c>
      <c r="T446" s="509">
        <v>9.4116051248378754E-2</v>
      </c>
      <c r="U446" s="509">
        <v>9.9292008067508306E-2</v>
      </c>
      <c r="V446" s="509">
        <v>0.10438807427196223</v>
      </c>
      <c r="W446" s="2083">
        <v>0.10438807427196223</v>
      </c>
    </row>
    <row r="447" spans="1:23" s="359" customFormat="1" ht="12.75" customHeight="1" x14ac:dyDescent="0.3">
      <c r="A447" s="499"/>
      <c r="D447" s="115" t="s">
        <v>947</v>
      </c>
      <c r="E447" s="115"/>
      <c r="F447" s="115"/>
      <c r="G447" s="115"/>
      <c r="H447" s="115"/>
      <c r="J447" s="151">
        <v>399.5157598368657</v>
      </c>
      <c r="K447" s="151">
        <f t="shared" ref="K447:K453" si="134">+K$437*S447</f>
        <v>525.02269580195627</v>
      </c>
      <c r="L447" s="151">
        <f t="shared" ref="L447:L453" si="135">+L$437*T447</f>
        <v>545.30037815174182</v>
      </c>
      <c r="M447" s="151">
        <f t="shared" ref="M447:M453" si="136">+M$437*U447</f>
        <v>563.64916310573142</v>
      </c>
      <c r="N447" s="151">
        <f t="shared" ref="N447:O453" si="137">+N$437*V447</f>
        <v>582.61156983159151</v>
      </c>
      <c r="O447" s="547">
        <f t="shared" si="137"/>
        <v>604.16883061413898</v>
      </c>
      <c r="P447" s="115"/>
      <c r="R447" s="508">
        <v>2.3306659189979155E-3</v>
      </c>
      <c r="S447" s="509">
        <v>2.1879716262850806E-3</v>
      </c>
      <c r="T447" s="509">
        <v>2.1808700203638722E-3</v>
      </c>
      <c r="U447" s="509">
        <v>2.1738259745138874E-3</v>
      </c>
      <c r="V447" s="509">
        <v>2.1667766391142334E-3</v>
      </c>
      <c r="W447" s="2083">
        <v>2.1667766391142334E-3</v>
      </c>
    </row>
    <row r="448" spans="1:23" s="359" customFormat="1" ht="12.75" customHeight="1" x14ac:dyDescent="0.3">
      <c r="A448" s="499"/>
      <c r="D448" s="115" t="s">
        <v>948</v>
      </c>
      <c r="E448" s="115"/>
      <c r="F448" s="115"/>
      <c r="G448" s="115"/>
      <c r="H448" s="115"/>
      <c r="J448" s="151">
        <v>32801.816079325785</v>
      </c>
      <c r="K448" s="151">
        <f t="shared" si="134"/>
        <v>41965.566427425336</v>
      </c>
      <c r="L448" s="151">
        <f t="shared" si="135"/>
        <v>43603.25869662773</v>
      </c>
      <c r="M448" s="151">
        <f t="shared" si="136"/>
        <v>45087.193297767008</v>
      </c>
      <c r="N448" s="151">
        <f t="shared" si="137"/>
        <v>46621.927494226635</v>
      </c>
      <c r="O448" s="547">
        <f t="shared" si="137"/>
        <v>48346.989441534992</v>
      </c>
      <c r="P448" s="115"/>
      <c r="R448" s="508">
        <v>0.19135684371635128</v>
      </c>
      <c r="S448" s="509">
        <v>0.17488666558297436</v>
      </c>
      <c r="T448" s="509">
        <v>0.17438652803424973</v>
      </c>
      <c r="U448" s="509">
        <v>0.17388779816254066</v>
      </c>
      <c r="V448" s="509">
        <v>0.17339048621050948</v>
      </c>
      <c r="W448" s="2083">
        <v>0.17339048621050948</v>
      </c>
    </row>
    <row r="449" spans="1:23" s="359" customFormat="1" ht="12.75" customHeight="1" x14ac:dyDescent="0.3">
      <c r="A449" s="499"/>
      <c r="D449" s="115" t="s">
        <v>949</v>
      </c>
      <c r="E449" s="115"/>
      <c r="F449" s="115"/>
      <c r="G449" s="115"/>
      <c r="H449" s="115"/>
      <c r="J449" s="151">
        <v>43506.761563940963</v>
      </c>
      <c r="K449" s="151">
        <f t="shared" si="134"/>
        <v>54469.651445440002</v>
      </c>
      <c r="L449" s="151">
        <f t="shared" si="135"/>
        <v>55543.191281999992</v>
      </c>
      <c r="M449" s="151">
        <f t="shared" si="136"/>
        <v>57207.450647999998</v>
      </c>
      <c r="N449" s="151">
        <f t="shared" si="137"/>
        <v>58920.282036000004</v>
      </c>
      <c r="O449" s="547">
        <f t="shared" si="137"/>
        <v>61100.396457000003</v>
      </c>
      <c r="P449" s="115"/>
      <c r="R449" s="508">
        <v>0.2538065744000943</v>
      </c>
      <c r="S449" s="509">
        <v>0.226996</v>
      </c>
      <c r="T449" s="509">
        <v>0.22213899999999998</v>
      </c>
      <c r="U449" s="509">
        <v>0.22063199999999999</v>
      </c>
      <c r="V449" s="509">
        <v>0.21912900000000002</v>
      </c>
      <c r="W449" s="2083">
        <v>0.21912900000000002</v>
      </c>
    </row>
    <row r="450" spans="1:23" s="359" customFormat="1" ht="12.75" customHeight="1" x14ac:dyDescent="0.3">
      <c r="A450" s="499"/>
      <c r="D450" s="308" t="s">
        <v>950</v>
      </c>
      <c r="E450" s="115"/>
      <c r="F450" s="115"/>
      <c r="G450" s="115"/>
      <c r="H450" s="115"/>
      <c r="J450" s="151">
        <v>6023.0830772225399</v>
      </c>
      <c r="K450" s="151">
        <f t="shared" si="134"/>
        <v>7413.5259698304981</v>
      </c>
      <c r="L450" s="151">
        <f t="shared" si="135"/>
        <v>7692.7735654381713</v>
      </c>
      <c r="M450" s="151">
        <f t="shared" si="136"/>
        <v>7944.381900174375</v>
      </c>
      <c r="N450" s="151">
        <f t="shared" si="137"/>
        <v>8204.518236122085</v>
      </c>
      <c r="O450" s="547">
        <f t="shared" si="137"/>
        <v>8508.0943207205673</v>
      </c>
      <c r="P450" s="115"/>
      <c r="R450" s="508">
        <v>3.513702303285287E-2</v>
      </c>
      <c r="S450" s="509">
        <v>3.0895015782013507E-2</v>
      </c>
      <c r="T450" s="509">
        <v>3.0766417766252215E-2</v>
      </c>
      <c r="U450" s="509">
        <v>3.0639101158068314E-2</v>
      </c>
      <c r="V450" s="509">
        <v>3.051322591199954E-2</v>
      </c>
      <c r="W450" s="2083">
        <v>3.051322591199954E-2</v>
      </c>
    </row>
    <row r="451" spans="1:23" s="359" customFormat="1" ht="12.75" customHeight="1" x14ac:dyDescent="0.3">
      <c r="A451" s="499"/>
      <c r="D451" s="308" t="s">
        <v>951</v>
      </c>
      <c r="E451" s="115"/>
      <c r="F451" s="115"/>
      <c r="G451" s="115"/>
      <c r="H451" s="115"/>
      <c r="J451" s="151">
        <v>0</v>
      </c>
      <c r="K451" s="151">
        <f t="shared" si="134"/>
        <v>0</v>
      </c>
      <c r="L451" s="151">
        <f t="shared" si="135"/>
        <v>0</v>
      </c>
      <c r="M451" s="151">
        <f t="shared" si="136"/>
        <v>0</v>
      </c>
      <c r="N451" s="151">
        <f t="shared" si="137"/>
        <v>0</v>
      </c>
      <c r="O451" s="547">
        <f t="shared" si="137"/>
        <v>0</v>
      </c>
      <c r="P451" s="115"/>
      <c r="R451" s="508">
        <v>0</v>
      </c>
      <c r="S451" s="509">
        <v>0</v>
      </c>
      <c r="T451" s="509">
        <v>0</v>
      </c>
      <c r="U451" s="509">
        <v>0</v>
      </c>
      <c r="V451" s="509">
        <v>0</v>
      </c>
      <c r="W451" s="2083">
        <v>0</v>
      </c>
    </row>
    <row r="452" spans="1:23" s="359" customFormat="1" ht="12.75" customHeight="1" x14ac:dyDescent="0.3">
      <c r="A452" s="499"/>
      <c r="D452" s="308" t="s">
        <v>952</v>
      </c>
      <c r="E452" s="115"/>
      <c r="F452" s="115"/>
      <c r="G452" s="115"/>
      <c r="H452" s="115"/>
      <c r="J452" s="151">
        <v>19235.330466467665</v>
      </c>
      <c r="K452" s="151">
        <f t="shared" si="134"/>
        <v>30236.446197104819</v>
      </c>
      <c r="L452" s="151">
        <f t="shared" si="135"/>
        <v>27914.375967141379</v>
      </c>
      <c r="M452" s="151">
        <f t="shared" si="136"/>
        <v>28947.170147855828</v>
      </c>
      <c r="N452" s="151">
        <f t="shared" si="137"/>
        <v>30018.390129151496</v>
      </c>
      <c r="O452" s="547">
        <f t="shared" si="137"/>
        <v>31129.103163005977</v>
      </c>
      <c r="P452" s="115"/>
      <c r="R452" s="508">
        <v>0.11221366881037274</v>
      </c>
      <c r="S452" s="509">
        <v>0.12600690767835998</v>
      </c>
      <c r="T452" s="509">
        <v>0.11164053450732041</v>
      </c>
      <c r="U452" s="509">
        <v>0.11164056380276767</v>
      </c>
      <c r="V452" s="509">
        <v>0.11164067080656155</v>
      </c>
      <c r="W452" s="2083">
        <v>0.11164067080656155</v>
      </c>
    </row>
    <row r="453" spans="1:23" s="359" customFormat="1" ht="12.75" customHeight="1" x14ac:dyDescent="0.3">
      <c r="A453" s="499"/>
      <c r="D453" s="308" t="s">
        <v>953</v>
      </c>
      <c r="E453" s="115"/>
      <c r="F453" s="115"/>
      <c r="G453" s="115"/>
      <c r="H453" s="115"/>
      <c r="J453" s="151">
        <v>0</v>
      </c>
      <c r="K453" s="151">
        <f t="shared" si="134"/>
        <v>0</v>
      </c>
      <c r="L453" s="151">
        <f t="shared" si="135"/>
        <v>0</v>
      </c>
      <c r="M453" s="151">
        <f t="shared" si="136"/>
        <v>0</v>
      </c>
      <c r="N453" s="151">
        <f t="shared" si="137"/>
        <v>0</v>
      </c>
      <c r="O453" s="547">
        <f t="shared" si="137"/>
        <v>0</v>
      </c>
      <c r="P453" s="115"/>
      <c r="R453" s="508">
        <v>0</v>
      </c>
      <c r="S453" s="509">
        <v>0</v>
      </c>
      <c r="T453" s="509">
        <v>0</v>
      </c>
      <c r="U453" s="509">
        <v>0</v>
      </c>
      <c r="V453" s="509">
        <v>0</v>
      </c>
      <c r="W453" s="2083">
        <v>0</v>
      </c>
    </row>
    <row r="454" spans="1:23" ht="12.75" customHeight="1" x14ac:dyDescent="0.25">
      <c r="D454" s="115"/>
      <c r="E454" s="115"/>
      <c r="F454" s="115"/>
      <c r="I454" s="359"/>
      <c r="J454" s="359"/>
      <c r="K454" s="151"/>
      <c r="L454" s="359"/>
      <c r="M454" s="359" t="s">
        <v>923</v>
      </c>
      <c r="N454" s="359"/>
      <c r="O454" s="358"/>
      <c r="Q454" s="359"/>
      <c r="R454" s="508"/>
      <c r="S454" s="508"/>
      <c r="T454" s="508"/>
      <c r="U454" s="508"/>
      <c r="V454" s="508"/>
      <c r="W454" s="2090"/>
    </row>
    <row r="455" spans="1:23" ht="12.75" customHeight="1" x14ac:dyDescent="0.3">
      <c r="D455" s="507" t="s">
        <v>954</v>
      </c>
      <c r="E455" s="115"/>
      <c r="F455" s="115"/>
      <c r="I455" s="359"/>
      <c r="J455" s="359"/>
      <c r="K455" s="151"/>
      <c r="L455" s="359"/>
      <c r="M455" s="359"/>
      <c r="N455" s="359"/>
      <c r="O455" s="358"/>
      <c r="Q455" s="359"/>
      <c r="R455" s="508"/>
      <c r="S455" s="508"/>
      <c r="T455" s="508"/>
      <c r="U455" s="508"/>
      <c r="V455" s="508"/>
      <c r="W455" s="2090"/>
    </row>
    <row r="456" spans="1:23" ht="12.75" customHeight="1" x14ac:dyDescent="0.25">
      <c r="D456" s="115"/>
      <c r="E456" s="115"/>
      <c r="F456" s="115"/>
      <c r="I456" s="359"/>
      <c r="J456" s="359"/>
      <c r="K456" s="151"/>
      <c r="L456" s="359"/>
      <c r="M456" s="359"/>
      <c r="N456" s="359"/>
      <c r="O456" s="358"/>
      <c r="Q456" s="359"/>
      <c r="R456" s="508"/>
      <c r="S456" s="508"/>
      <c r="T456" s="508"/>
      <c r="U456" s="508"/>
      <c r="V456" s="508"/>
      <c r="W456" s="2090"/>
    </row>
    <row r="457" spans="1:23" ht="12.75" customHeight="1" x14ac:dyDescent="0.3">
      <c r="D457" s="115" t="s">
        <v>955</v>
      </c>
      <c r="E457" s="115"/>
      <c r="F457" s="115"/>
      <c r="I457" s="359"/>
      <c r="J457" s="151">
        <v>7003.4919145507929</v>
      </c>
      <c r="K457" s="151">
        <f t="shared" ref="K457:K458" si="138">+K$437*S457</f>
        <v>7741.8954424505191</v>
      </c>
      <c r="L457" s="151">
        <f t="shared" ref="L457:L458" si="139">+L$437*T457</f>
        <v>11896.662002768293</v>
      </c>
      <c r="M457" s="151">
        <f t="shared" ref="M457:M458" si="140">+M$437*U457</f>
        <v>11825.61833476374</v>
      </c>
      <c r="N457" s="151">
        <f t="shared" ref="N457:O458" si="141">+N$437*V457</f>
        <v>11881.609600255268</v>
      </c>
      <c r="O457" s="547">
        <f t="shared" si="141"/>
        <v>12321.24205853817</v>
      </c>
      <c r="Q457" s="359"/>
      <c r="R457" s="508">
        <v>4.085646064597323E-2</v>
      </c>
      <c r="S457" s="509">
        <v>3.2263457746095403E-2</v>
      </c>
      <c r="T457" s="509">
        <v>4.7579415939850316E-2</v>
      </c>
      <c r="U457" s="509">
        <v>4.5607867417297838E-2</v>
      </c>
      <c r="V457" s="509">
        <v>4.4188607727701418E-2</v>
      </c>
      <c r="W457" s="2083">
        <v>4.4188607727701418E-2</v>
      </c>
    </row>
    <row r="458" spans="1:23" ht="12.75" customHeight="1" x14ac:dyDescent="0.3">
      <c r="D458" s="115" t="s">
        <v>956</v>
      </c>
      <c r="E458" s="115"/>
      <c r="F458" s="115"/>
      <c r="I458" s="359"/>
      <c r="J458" s="151">
        <v>28568.637606764984</v>
      </c>
      <c r="K458" s="151">
        <f t="shared" si="138"/>
        <v>40358.163744320002</v>
      </c>
      <c r="L458" s="151">
        <f t="shared" si="139"/>
        <v>40450.14748800001</v>
      </c>
      <c r="M458" s="151">
        <f t="shared" si="140"/>
        <v>33843.178146999999</v>
      </c>
      <c r="N458" s="151">
        <f t="shared" si="141"/>
        <v>33781.24134</v>
      </c>
      <c r="O458" s="547">
        <f t="shared" si="141"/>
        <v>35031.183955</v>
      </c>
      <c r="Q458" s="359"/>
      <c r="R458" s="508">
        <v>0.16666163569987213</v>
      </c>
      <c r="S458" s="509">
        <v>0.168188</v>
      </c>
      <c r="T458" s="509">
        <v>0.16177600000000003</v>
      </c>
      <c r="U458" s="509">
        <v>0.130523</v>
      </c>
      <c r="V458" s="509">
        <v>0.125635</v>
      </c>
      <c r="W458" s="2083">
        <v>0.125635</v>
      </c>
    </row>
    <row r="459" spans="1:23" ht="12.75" customHeight="1" x14ac:dyDescent="0.25">
      <c r="D459" s="411"/>
      <c r="E459" s="301"/>
      <c r="F459" s="301"/>
      <c r="G459" s="359"/>
      <c r="H459" s="359"/>
      <c r="I459" s="510"/>
      <c r="J459" s="151"/>
      <c r="K459" s="151"/>
      <c r="L459" s="151"/>
      <c r="M459" s="151"/>
      <c r="N459" s="151"/>
      <c r="O459" s="547"/>
      <c r="Q459" s="359"/>
      <c r="W459" s="358"/>
    </row>
    <row r="460" spans="1:23" ht="12.75" customHeight="1" thickBot="1" x14ac:dyDescent="0.3">
      <c r="D460" s="301" t="s">
        <v>957</v>
      </c>
      <c r="E460" s="301"/>
      <c r="F460" s="301"/>
      <c r="G460" s="359"/>
      <c r="H460" s="359"/>
      <c r="I460" s="510"/>
      <c r="J460" s="1972">
        <v>154685.24406430955</v>
      </c>
      <c r="K460" s="1972">
        <f t="shared" ref="K460:M460" si="142">SUM(K446:K459)</f>
        <v>204340.1473625502</v>
      </c>
      <c r="L460" s="1972">
        <f t="shared" si="142"/>
        <v>211178.29860216944</v>
      </c>
      <c r="M460" s="1972">
        <f t="shared" si="142"/>
        <v>211163.96711848283</v>
      </c>
      <c r="N460" s="1972">
        <f t="shared" ref="N460:O460" si="143">SUM(N446:N459)</f>
        <v>218078.86336812939</v>
      </c>
      <c r="O460" s="2138">
        <f t="shared" si="143"/>
        <v>226148.01813988789</v>
      </c>
      <c r="R460" s="149"/>
      <c r="S460" s="149"/>
      <c r="T460" s="149"/>
      <c r="U460" s="149"/>
      <c r="V460" s="149"/>
      <c r="W460" s="2112"/>
    </row>
    <row r="461" spans="1:23" ht="12.75" customHeight="1" thickTop="1" x14ac:dyDescent="0.25">
      <c r="E461" s="301"/>
      <c r="F461" s="301"/>
      <c r="G461" s="359"/>
      <c r="H461" s="359"/>
      <c r="I461" s="510"/>
      <c r="J461" s="503"/>
      <c r="K461" s="503"/>
      <c r="L461" s="503"/>
      <c r="M461" s="503"/>
      <c r="N461" s="503"/>
      <c r="O461" s="503"/>
      <c r="W461" s="358"/>
    </row>
    <row r="462" spans="1:23" ht="12.75" customHeight="1" x14ac:dyDescent="0.25">
      <c r="D462" s="301" t="s">
        <v>959</v>
      </c>
      <c r="E462" s="301"/>
      <c r="F462" s="301"/>
      <c r="G462" s="359"/>
      <c r="H462" s="359"/>
      <c r="I462" s="510"/>
      <c r="J462" s="503">
        <v>5680126.477500001</v>
      </c>
      <c r="K462" s="503">
        <f>K51-K39</f>
        <v>6000310.7286</v>
      </c>
      <c r="L462" s="503">
        <f>L51-L39</f>
        <v>6127243.6838160008</v>
      </c>
      <c r="M462" s="503">
        <f>M51-M39</f>
        <v>6282483.0934104798</v>
      </c>
      <c r="N462" s="503">
        <f>N51-N39</f>
        <v>6441826.0772327948</v>
      </c>
      <c r="O462" s="503">
        <f>O51-O39</f>
        <v>6653154.2505697785</v>
      </c>
      <c r="P462" s="381" t="s">
        <v>958</v>
      </c>
      <c r="R462" s="508">
        <f>SUM(R446:R459)</f>
        <v>0.90239150180151062</v>
      </c>
      <c r="S462" s="508">
        <f t="shared" ref="S462:U462" si="144">SUM(S446:S459)</f>
        <v>0.85156403354574006</v>
      </c>
      <c r="T462" s="508">
        <f t="shared" si="144"/>
        <v>0.84458481751641523</v>
      </c>
      <c r="U462" s="508">
        <f t="shared" si="144"/>
        <v>0.8143961645826967</v>
      </c>
      <c r="V462" s="508">
        <f t="shared" ref="V462:W462" si="145">SUM(V446:V459)</f>
        <v>0.81105184156784849</v>
      </c>
      <c r="W462" s="2090">
        <f t="shared" si="145"/>
        <v>0.81105184156784849</v>
      </c>
    </row>
    <row r="463" spans="1:23" ht="12.75" customHeight="1" x14ac:dyDescent="0.25">
      <c r="D463" s="301" t="s">
        <v>960</v>
      </c>
      <c r="E463" s="301"/>
      <c r="F463" s="301"/>
      <c r="G463" s="359"/>
      <c r="H463" s="359"/>
      <c r="I463" s="510"/>
      <c r="J463" s="503">
        <v>154685.24406430955</v>
      </c>
      <c r="K463" s="503">
        <f>K460</f>
        <v>204340.1473625502</v>
      </c>
      <c r="L463" s="503">
        <f>L460</f>
        <v>211178.29860216944</v>
      </c>
      <c r="M463" s="503">
        <f>M460</f>
        <v>211163.96711848283</v>
      </c>
      <c r="N463" s="503">
        <f>N460</f>
        <v>218078.86336812939</v>
      </c>
      <c r="O463" s="503">
        <f>O460</f>
        <v>226148.01813988789</v>
      </c>
    </row>
    <row r="464" spans="1:23" ht="12.75" customHeight="1" x14ac:dyDescent="0.25">
      <c r="D464" s="301" t="s">
        <v>961</v>
      </c>
      <c r="E464" s="301"/>
      <c r="F464" s="301"/>
      <c r="G464" s="359"/>
      <c r="H464" s="359"/>
      <c r="I464" s="510"/>
      <c r="J464" s="511">
        <v>-5834811.7215643106</v>
      </c>
      <c r="K464" s="511">
        <f>-SUM(K462:K463)</f>
        <v>-6204650.8759625498</v>
      </c>
      <c r="L464" s="511">
        <f>-SUM(L462:L463)</f>
        <v>-6338421.9824181702</v>
      </c>
      <c r="M464" s="511">
        <f>-SUM(M462:M463)</f>
        <v>-6493647.0605289629</v>
      </c>
      <c r="N464" s="511">
        <f>-SUM(N462:N463)</f>
        <v>-6659904.9406009242</v>
      </c>
      <c r="O464" s="511">
        <f>-SUM(O462:O463)</f>
        <v>-6879302.2687096661</v>
      </c>
    </row>
    <row r="465" spans="4:21" ht="12.75" customHeight="1" x14ac:dyDescent="0.25">
      <c r="E465" s="301"/>
      <c r="F465" s="301"/>
      <c r="G465" s="359"/>
      <c r="H465" s="359"/>
      <c r="I465" s="510"/>
      <c r="J465" s="503"/>
      <c r="K465" s="503"/>
      <c r="L465" s="503"/>
      <c r="M465" s="503"/>
      <c r="N465" s="503"/>
      <c r="O465" s="503"/>
    </row>
    <row r="466" spans="4:21" ht="12.75" customHeight="1" x14ac:dyDescent="0.25">
      <c r="E466" s="301"/>
      <c r="F466" s="301"/>
      <c r="G466" s="359"/>
      <c r="H466" s="359"/>
      <c r="I466" s="510"/>
      <c r="J466" s="503"/>
      <c r="K466" s="503"/>
      <c r="L466" s="503"/>
      <c r="M466" s="503"/>
      <c r="N466" s="503"/>
      <c r="O466" s="503"/>
    </row>
    <row r="467" spans="4:21" ht="12.75" customHeight="1" x14ac:dyDescent="0.25">
      <c r="D467" s="301" t="s">
        <v>962</v>
      </c>
      <c r="E467" s="301"/>
      <c r="F467" s="301"/>
      <c r="G467" s="359"/>
      <c r="H467" s="359"/>
      <c r="I467" s="510"/>
      <c r="J467" s="510">
        <v>0</v>
      </c>
      <c r="K467" s="510">
        <f>SUM(K462:K466)</f>
        <v>0</v>
      </c>
      <c r="L467" s="510">
        <f>SUM(L462:L466)</f>
        <v>0</v>
      </c>
      <c r="M467" s="510">
        <f>SUM(M462:M466)</f>
        <v>0</v>
      </c>
      <c r="N467" s="510">
        <f>SUM(N462:N466)</f>
        <v>0</v>
      </c>
      <c r="O467" s="510">
        <f>SUM(O462:O466)</f>
        <v>0</v>
      </c>
    </row>
    <row r="468" spans="4:21" ht="12.75" customHeight="1" x14ac:dyDescent="0.25">
      <c r="D468" s="301" t="s">
        <v>963</v>
      </c>
      <c r="E468" s="301"/>
      <c r="F468" s="301"/>
      <c r="G468" s="359"/>
      <c r="H468" s="359"/>
      <c r="I468" s="512"/>
      <c r="J468" s="512">
        <v>1</v>
      </c>
      <c r="K468" s="512">
        <f t="shared" ref="K468:M468" si="146">IF((-K464/(K462+K463))&gt;0,-K464/(K462+K463),K464/(K462++K463))</f>
        <v>1</v>
      </c>
      <c r="L468" s="512">
        <f t="shared" si="146"/>
        <v>1</v>
      </c>
      <c r="M468" s="512">
        <f t="shared" si="146"/>
        <v>1</v>
      </c>
      <c r="N468" s="512">
        <f t="shared" ref="N468:O468" si="147">IF((-N464/(N462+N463))&gt;0,-N464/(N462+N463),N464/(N462++N463))</f>
        <v>1</v>
      </c>
      <c r="O468" s="512">
        <f t="shared" si="147"/>
        <v>1</v>
      </c>
      <c r="R468" s="115">
        <f>5966600+195800</f>
        <v>6162400</v>
      </c>
    </row>
    <row r="469" spans="4:21" ht="12.75" customHeight="1" x14ac:dyDescent="0.25">
      <c r="D469" s="502"/>
      <c r="E469" s="502"/>
      <c r="F469" s="502"/>
      <c r="G469" s="359"/>
      <c r="H469" s="359"/>
      <c r="I469" s="510"/>
      <c r="J469" s="503"/>
      <c r="K469" s="503"/>
      <c r="L469" s="503"/>
      <c r="M469" s="503"/>
      <c r="N469" s="503"/>
      <c r="O469" s="503"/>
      <c r="P469" s="359"/>
      <c r="Q469" s="650"/>
      <c r="R469" s="650"/>
      <c r="S469" s="359"/>
      <c r="T469" s="359"/>
      <c r="U469" s="359"/>
    </row>
    <row r="470" spans="4:21" ht="12.75" customHeight="1" x14ac:dyDescent="0.25">
      <c r="E470" s="301"/>
      <c r="F470" s="301"/>
      <c r="G470" s="359"/>
      <c r="H470" s="359"/>
      <c r="I470" s="510"/>
      <c r="J470" s="503"/>
      <c r="K470" s="503"/>
      <c r="L470" s="503"/>
      <c r="M470" s="503"/>
      <c r="N470" s="503"/>
      <c r="O470" s="503"/>
      <c r="P470" s="359"/>
      <c r="U470" s="513"/>
    </row>
    <row r="471" spans="4:21" ht="12.75" customHeight="1" x14ac:dyDescent="0.25">
      <c r="E471" s="301"/>
      <c r="F471" s="301"/>
      <c r="G471" s="359"/>
      <c r="H471" s="359"/>
      <c r="I471" s="510"/>
      <c r="J471" s="503"/>
      <c r="K471" s="503"/>
      <c r="L471" s="503"/>
      <c r="M471" s="503"/>
      <c r="N471" s="503"/>
      <c r="O471" s="503"/>
      <c r="P471" s="359"/>
      <c r="U471" s="513"/>
    </row>
    <row r="472" spans="4:21" ht="12.75" customHeight="1" x14ac:dyDescent="0.25">
      <c r="E472" s="301"/>
      <c r="F472" s="301"/>
      <c r="G472" s="359"/>
      <c r="H472" s="359"/>
      <c r="I472" s="510"/>
      <c r="J472" s="503"/>
      <c r="K472" s="503"/>
      <c r="L472" s="503"/>
      <c r="M472" s="503"/>
      <c r="N472" s="503"/>
      <c r="O472" s="503"/>
      <c r="P472" s="359"/>
      <c r="U472" s="513"/>
    </row>
    <row r="473" spans="4:21" ht="12.75" customHeight="1" x14ac:dyDescent="0.25">
      <c r="E473" s="301"/>
      <c r="F473" s="301"/>
      <c r="G473" s="359"/>
      <c r="H473" s="359"/>
      <c r="I473" s="510"/>
      <c r="J473" s="503"/>
      <c r="K473" s="503"/>
      <c r="L473" s="503"/>
      <c r="M473" s="503"/>
      <c r="N473" s="503"/>
      <c r="O473" s="503"/>
      <c r="P473" s="359"/>
      <c r="Q473" s="115" t="s">
        <v>4850</v>
      </c>
      <c r="U473" s="513"/>
    </row>
    <row r="474" spans="4:21" ht="12.75" customHeight="1" x14ac:dyDescent="0.25">
      <c r="E474" s="301"/>
      <c r="F474" s="301"/>
      <c r="G474" s="359"/>
      <c r="H474" s="359"/>
      <c r="I474" s="510"/>
      <c r="J474" s="503"/>
      <c r="K474" s="503"/>
      <c r="L474" s="503"/>
      <c r="M474" s="503"/>
      <c r="N474" s="503"/>
      <c r="O474" s="503"/>
      <c r="P474" s="359"/>
      <c r="U474" s="513"/>
    </row>
    <row r="475" spans="4:21" ht="12.75" customHeight="1" x14ac:dyDescent="0.25">
      <c r="E475" s="301"/>
      <c r="F475" s="301"/>
      <c r="G475" s="359"/>
      <c r="H475" s="359"/>
      <c r="I475" s="510"/>
      <c r="J475" s="503"/>
      <c r="K475" s="503"/>
      <c r="L475" s="503"/>
      <c r="M475" s="503"/>
      <c r="N475" s="503"/>
      <c r="O475" s="503"/>
      <c r="P475" s="359"/>
      <c r="U475" s="513"/>
    </row>
    <row r="476" spans="4:21" ht="12.75" customHeight="1" x14ac:dyDescent="0.25">
      <c r="E476" s="301"/>
      <c r="F476" s="301"/>
      <c r="G476" s="359"/>
      <c r="H476" s="359"/>
      <c r="I476" s="510"/>
      <c r="J476" s="503"/>
      <c r="K476" s="503"/>
      <c r="L476" s="503"/>
      <c r="M476" s="503"/>
      <c r="N476" s="503"/>
      <c r="O476" s="503"/>
      <c r="P476" s="359"/>
      <c r="U476" s="513"/>
    </row>
    <row r="477" spans="4:21" ht="12.75" customHeight="1" x14ac:dyDescent="0.25">
      <c r="E477" s="301"/>
      <c r="F477" s="301"/>
      <c r="G477" s="359"/>
      <c r="H477" s="359"/>
      <c r="I477" s="510"/>
      <c r="J477" s="503"/>
      <c r="K477" s="503"/>
      <c r="L477" s="503"/>
      <c r="M477" s="503"/>
      <c r="N477" s="503"/>
      <c r="O477" s="503"/>
      <c r="P477" s="359"/>
      <c r="U477" s="513"/>
    </row>
    <row r="478" spans="4:21" ht="12.75" customHeight="1" x14ac:dyDescent="0.25">
      <c r="E478" s="301"/>
      <c r="F478" s="301"/>
      <c r="G478" s="359"/>
      <c r="H478" s="359"/>
      <c r="I478" s="510"/>
      <c r="J478" s="503"/>
      <c r="K478" s="503"/>
      <c r="L478" s="503"/>
      <c r="M478" s="503"/>
      <c r="N478" s="503"/>
      <c r="O478" s="503"/>
      <c r="P478" s="359"/>
      <c r="U478" s="513"/>
    </row>
    <row r="479" spans="4:21" ht="12.75" customHeight="1" x14ac:dyDescent="0.25">
      <c r="E479" s="301"/>
      <c r="F479" s="301"/>
      <c r="G479" s="359"/>
      <c r="H479" s="359"/>
      <c r="I479" s="512"/>
      <c r="J479" s="512"/>
      <c r="K479" s="512"/>
      <c r="L479" s="512"/>
      <c r="M479" s="512"/>
      <c r="N479" s="512"/>
      <c r="O479" s="512"/>
      <c r="S479" s="513"/>
      <c r="T479" s="359"/>
      <c r="U479" s="359"/>
    </row>
  </sheetData>
  <mergeCells count="4">
    <mergeCell ref="D79:D80"/>
    <mergeCell ref="F79:F80"/>
    <mergeCell ref="G79:H80"/>
    <mergeCell ref="E187:K188"/>
  </mergeCells>
  <phoneticPr fontId="52" type="noConversion"/>
  <hyperlinks>
    <hyperlink ref="A1" location="Inhoudsopgave!A1" display="Inhoudsopgave" xr:uid="{E0FA259F-861D-4D16-9D0B-C5382C9EB61F}"/>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76" min="3" max="14" man="1"/>
    <brk id="155" min="3" max="14" man="1"/>
    <brk id="182" min="3" max="14" man="1"/>
    <brk id="262" min="3" max="14" man="1"/>
    <brk id="344" min="3" max="14" man="1"/>
    <brk id="425" min="3" max="14" man="1"/>
  </rowBreaks>
  <colBreaks count="1" manualBreakCount="1">
    <brk id="15" max="1048575" man="1"/>
  </colBreaks>
  <ignoredErrors>
    <ignoredError sqref="K318:N318" formula="1"/>
  </ignoredErrors>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525F-306F-44FE-808B-076F00CB0E1C}">
  <sheetPr codeName="Blad65"/>
  <dimension ref="A1:W564"/>
  <sheetViews>
    <sheetView showGridLines="0" topLeftCell="A322" zoomScaleNormal="100" zoomScaleSheetLayoutView="50" workbookViewId="0">
      <selection activeCell="L292" sqref="L292"/>
    </sheetView>
  </sheetViews>
  <sheetFormatPr defaultColWidth="9.109375" defaultRowHeight="12.75" customHeight="1" x14ac:dyDescent="0.25"/>
  <cols>
    <col min="1" max="1" width="9.88671875" style="336" bestFit="1" customWidth="1"/>
    <col min="2" max="3" width="13.33203125" style="115" customWidth="1"/>
    <col min="4" max="4" width="9.6640625" style="301" customWidth="1"/>
    <col min="5" max="6" width="9.6640625" style="143" customWidth="1"/>
    <col min="7" max="9" width="12.6640625" style="115" customWidth="1"/>
    <col min="10" max="15" width="11.6640625" style="115" customWidth="1"/>
    <col min="16" max="16" width="10.44140625" style="115" customWidth="1"/>
    <col min="17" max="17" width="16.5546875" style="115" customWidth="1"/>
    <col min="18" max="18" width="12.88671875" style="115" bestFit="1" customWidth="1"/>
    <col min="19" max="21" width="9.5546875" style="115" bestFit="1" customWidth="1"/>
    <col min="22" max="16384" width="9.109375" style="115"/>
  </cols>
  <sheetData>
    <row r="1" spans="1:23" ht="12.75" customHeight="1" x14ac:dyDescent="0.3">
      <c r="A1" s="157" t="s">
        <v>0</v>
      </c>
      <c r="P1" s="515"/>
      <c r="Q1" s="451">
        <v>2024</v>
      </c>
      <c r="R1" s="451">
        <v>2025</v>
      </c>
      <c r="S1" s="451">
        <v>2026</v>
      </c>
      <c r="T1" s="451">
        <v>2027</v>
      </c>
      <c r="U1" s="451">
        <v>2028</v>
      </c>
      <c r="V1" s="451">
        <v>2029</v>
      </c>
      <c r="W1" s="451">
        <v>2030</v>
      </c>
    </row>
    <row r="2" spans="1:23" ht="12.75" customHeight="1" x14ac:dyDescent="0.3">
      <c r="D2" s="301" t="s">
        <v>504</v>
      </c>
      <c r="H2" s="115" t="s">
        <v>4851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301" t="s">
        <v>713</v>
      </c>
      <c r="H5" s="115" t="s">
        <v>2631</v>
      </c>
    </row>
    <row r="6" spans="1:23" ht="12.75" customHeight="1" x14ac:dyDescent="0.25">
      <c r="D6" s="301" t="s">
        <v>4852</v>
      </c>
      <c r="H6" s="115" t="s">
        <v>4853</v>
      </c>
    </row>
    <row r="32" spans="4:15" ht="12.75" customHeight="1" x14ac:dyDescent="0.25">
      <c r="D32" s="452" t="s">
        <v>507</v>
      </c>
      <c r="E32" s="438"/>
      <c r="F32" s="438"/>
      <c r="G32" s="453"/>
      <c r="H32" s="453"/>
      <c r="I32" s="453"/>
      <c r="J32" s="453"/>
      <c r="K32" s="453"/>
      <c r="L32" s="453"/>
      <c r="M32" s="453"/>
      <c r="N32" s="453"/>
      <c r="O32" s="453"/>
    </row>
    <row r="33" spans="4:18" ht="12.75" customHeight="1" x14ac:dyDescent="0.25">
      <c r="D33" s="438"/>
      <c r="E33" s="438"/>
      <c r="F33" s="438"/>
      <c r="G33" s="453"/>
      <c r="H33" s="453"/>
      <c r="I33" s="453"/>
      <c r="J33" s="453"/>
      <c r="K33" s="453"/>
      <c r="L33" s="453"/>
      <c r="M33" s="453"/>
      <c r="N33" s="453"/>
      <c r="O33" s="453"/>
    </row>
    <row r="34" spans="4:18" ht="12.75" customHeight="1" x14ac:dyDescent="0.25">
      <c r="D34" s="1973" t="s">
        <v>508</v>
      </c>
      <c r="E34" s="1974"/>
      <c r="F34" s="1974"/>
      <c r="G34" s="1975"/>
      <c r="H34" s="1975"/>
      <c r="I34" s="1975"/>
      <c r="J34" s="1976">
        <v>2025</v>
      </c>
      <c r="K34" s="1976">
        <v>2026</v>
      </c>
      <c r="L34" s="1977">
        <v>2027</v>
      </c>
      <c r="M34" s="1977">
        <v>2028</v>
      </c>
      <c r="N34" s="1977">
        <v>2029</v>
      </c>
      <c r="O34" s="1977">
        <v>2030</v>
      </c>
    </row>
    <row r="35" spans="4:18" ht="12.75" customHeight="1" x14ac:dyDescent="0.3">
      <c r="D35" s="454" t="str">
        <f>G94</f>
        <v>Milieubeleid</v>
      </c>
      <c r="E35" s="455"/>
      <c r="F35" s="456"/>
      <c r="G35" s="453"/>
      <c r="H35" s="453"/>
      <c r="I35" s="453"/>
      <c r="J35" s="457">
        <v>94224</v>
      </c>
      <c r="K35" s="457">
        <f>K97</f>
        <v>122362</v>
      </c>
      <c r="L35" s="457">
        <f>L97</f>
        <v>124931</v>
      </c>
      <c r="M35" s="457">
        <f>M97</f>
        <v>127805</v>
      </c>
      <c r="N35" s="457">
        <f>N97</f>
        <v>130744</v>
      </c>
      <c r="O35" s="457">
        <f>O97</f>
        <v>133751</v>
      </c>
      <c r="Q35" s="83"/>
      <c r="R35" s="83"/>
    </row>
    <row r="36" spans="4:18" ht="12.75" customHeight="1" x14ac:dyDescent="0.3">
      <c r="D36" s="454" t="str">
        <f>G99</f>
        <v>Geluidsonderzoeken</v>
      </c>
      <c r="E36" s="455"/>
      <c r="F36" s="456"/>
      <c r="G36" s="453"/>
      <c r="H36" s="453"/>
      <c r="I36" s="453"/>
      <c r="J36" s="25">
        <v>25037</v>
      </c>
      <c r="K36" s="25">
        <f>K102</f>
        <v>99000</v>
      </c>
      <c r="L36" s="25">
        <f>L102</f>
        <v>0</v>
      </c>
      <c r="M36" s="25">
        <f>M102</f>
        <v>0</v>
      </c>
      <c r="N36" s="25">
        <f>N102</f>
        <v>0</v>
      </c>
      <c r="O36" s="25">
        <f>O102</f>
        <v>0</v>
      </c>
      <c r="Q36" s="83"/>
      <c r="R36" s="83"/>
    </row>
    <row r="37" spans="4:18" ht="12.75" customHeight="1" x14ac:dyDescent="0.3">
      <c r="D37" s="454" t="str">
        <f>G104</f>
        <v>Bevordering duurzaamheid</v>
      </c>
      <c r="E37" s="455"/>
      <c r="F37" s="456"/>
      <c r="G37" s="453"/>
      <c r="H37" s="453"/>
      <c r="I37" s="453"/>
      <c r="J37" s="25">
        <v>21832</v>
      </c>
      <c r="K37" s="25">
        <f>K108</f>
        <v>22400</v>
      </c>
      <c r="L37" s="25">
        <f>L108</f>
        <v>22870</v>
      </c>
      <c r="M37" s="25">
        <f>M108</f>
        <v>23396</v>
      </c>
      <c r="N37" s="25">
        <f>N108</f>
        <v>23934</v>
      </c>
      <c r="O37" s="25">
        <f>O108</f>
        <v>24484</v>
      </c>
      <c r="Q37" s="83"/>
      <c r="R37" s="83"/>
    </row>
    <row r="38" spans="4:18" ht="12.75" customHeight="1" x14ac:dyDescent="0.3">
      <c r="D38" s="454" t="str">
        <f>G110</f>
        <v>Duurzaamheid</v>
      </c>
      <c r="E38" s="455"/>
      <c r="F38" s="456"/>
      <c r="G38" s="453"/>
      <c r="H38" s="453"/>
      <c r="I38" s="453"/>
      <c r="J38" s="25">
        <v>357931</v>
      </c>
      <c r="K38" s="25">
        <f>K114</f>
        <v>487437</v>
      </c>
      <c r="L38" s="25">
        <f>L114</f>
        <v>192162</v>
      </c>
      <c r="M38" s="25">
        <f>M114</f>
        <v>115661</v>
      </c>
      <c r="N38" s="25">
        <f>N114</f>
        <v>118321</v>
      </c>
      <c r="O38" s="25">
        <f>O114</f>
        <v>121043</v>
      </c>
      <c r="Q38" s="83"/>
      <c r="R38" s="83"/>
    </row>
    <row r="39" spans="4:18" ht="12.75" customHeight="1" x14ac:dyDescent="0.3">
      <c r="D39" s="454" t="str">
        <f>G116</f>
        <v>Vergunningverlening milieu</v>
      </c>
      <c r="E39" s="455"/>
      <c r="F39" s="456"/>
      <c r="G39" s="453"/>
      <c r="H39" s="453"/>
      <c r="I39" s="453"/>
      <c r="J39" s="25">
        <v>4900</v>
      </c>
      <c r="K39" s="25">
        <f>K119</f>
        <v>5400</v>
      </c>
      <c r="L39" s="25">
        <f>L119</f>
        <v>5545</v>
      </c>
      <c r="M39" s="25">
        <f>M119</f>
        <v>5682</v>
      </c>
      <c r="N39" s="25">
        <f>N119</f>
        <v>5719</v>
      </c>
      <c r="O39" s="25">
        <f>O119</f>
        <v>0</v>
      </c>
      <c r="Q39" s="83"/>
      <c r="R39" s="83"/>
    </row>
    <row r="40" spans="4:18" ht="12.75" customHeight="1" x14ac:dyDescent="0.3">
      <c r="D40" s="454" t="str">
        <f>G121</f>
        <v>Bestrijding van plaagdieren</v>
      </c>
      <c r="E40" s="455"/>
      <c r="F40" s="456"/>
      <c r="G40" s="453"/>
      <c r="H40" s="453"/>
      <c r="I40" s="453"/>
      <c r="J40" s="28">
        <v>35670</v>
      </c>
      <c r="K40" s="28">
        <f>K124</f>
        <v>36598</v>
      </c>
      <c r="L40" s="25">
        <f>L124</f>
        <v>37367</v>
      </c>
      <c r="M40" s="25">
        <f>M124</f>
        <v>38226</v>
      </c>
      <c r="N40" s="25">
        <f>N124</f>
        <v>39106</v>
      </c>
      <c r="O40" s="25">
        <f>O124</f>
        <v>40006</v>
      </c>
      <c r="Q40" s="83"/>
      <c r="R40" s="83"/>
    </row>
    <row r="41" spans="4:18" ht="12.75" customHeight="1" x14ac:dyDescent="0.3">
      <c r="D41" s="454" t="str">
        <f>G126</f>
        <v>Handhaving milieuwetgeving</v>
      </c>
      <c r="E41" s="455"/>
      <c r="F41" s="456"/>
      <c r="G41" s="453"/>
      <c r="H41" s="453"/>
      <c r="I41" s="453"/>
      <c r="J41" s="25">
        <v>4295</v>
      </c>
      <c r="K41" s="25">
        <f>K129</f>
        <v>4407</v>
      </c>
      <c r="L41" s="25">
        <f>L129</f>
        <v>4500</v>
      </c>
      <c r="M41" s="25">
        <f>M129</f>
        <v>4604</v>
      </c>
      <c r="N41" s="25">
        <f>N129</f>
        <v>4710</v>
      </c>
      <c r="O41" s="25">
        <f>O129</f>
        <v>4818</v>
      </c>
      <c r="Q41" s="83"/>
      <c r="R41" s="83"/>
    </row>
    <row r="42" spans="4:18" ht="12.75" customHeight="1" x14ac:dyDescent="0.3">
      <c r="D42" s="454" t="str">
        <f>G137</f>
        <v>Capaciteit klimaatbeleid</v>
      </c>
      <c r="E42" s="455"/>
      <c r="F42" s="456"/>
      <c r="G42" s="453"/>
      <c r="H42" s="453"/>
      <c r="I42" s="453"/>
      <c r="J42" s="25">
        <v>294300</v>
      </c>
      <c r="K42" s="25">
        <f>K141</f>
        <v>1259000</v>
      </c>
      <c r="L42" s="25">
        <f>L141</f>
        <v>283100</v>
      </c>
      <c r="M42" s="25">
        <f>M141</f>
        <v>325000</v>
      </c>
      <c r="N42" s="25">
        <f>N141</f>
        <v>325000</v>
      </c>
      <c r="O42" s="25">
        <f>O141</f>
        <v>325000</v>
      </c>
      <c r="Q42" s="83"/>
      <c r="R42" s="83"/>
    </row>
    <row r="43" spans="4:18" ht="12.75" customHeight="1" x14ac:dyDescent="0.3">
      <c r="D43" s="454" t="str">
        <f>G143</f>
        <v>De Groene Zone Isoleren</v>
      </c>
      <c r="E43" s="455"/>
      <c r="F43" s="456"/>
      <c r="G43" s="453"/>
      <c r="H43" s="453"/>
      <c r="I43" s="453"/>
      <c r="J43" s="25">
        <v>51200</v>
      </c>
      <c r="K43" s="25">
        <f>K146</f>
        <v>52400</v>
      </c>
      <c r="L43" s="25">
        <f>L146</f>
        <v>53700</v>
      </c>
      <c r="M43" s="25">
        <f>M146</f>
        <v>0</v>
      </c>
      <c r="N43" s="25">
        <f>N146</f>
        <v>0</v>
      </c>
      <c r="O43" s="25">
        <f>O146</f>
        <v>0</v>
      </c>
      <c r="Q43" s="83"/>
      <c r="R43" s="83"/>
    </row>
    <row r="44" spans="4:18" ht="12.75" customHeight="1" x14ac:dyDescent="0.3">
      <c r="D44" s="454" t="str">
        <f>G148</f>
        <v>Verduurzaming maatschappelijk vastgoed van derden</v>
      </c>
      <c r="E44" s="455"/>
      <c r="F44" s="456"/>
      <c r="G44" s="453"/>
      <c r="H44" s="453"/>
      <c r="I44" s="453"/>
      <c r="J44" s="25">
        <v>250000</v>
      </c>
      <c r="K44" s="25">
        <f t="shared" ref="K44:M44" si="0">K345</f>
        <v>690000</v>
      </c>
      <c r="L44" s="25">
        <f t="shared" si="0"/>
        <v>0</v>
      </c>
      <c r="M44" s="25">
        <f t="shared" si="0"/>
        <v>0</v>
      </c>
      <c r="N44" s="25">
        <f t="shared" ref="N44:O44" si="1">N345</f>
        <v>0</v>
      </c>
      <c r="O44" s="25">
        <f t="shared" si="1"/>
        <v>0</v>
      </c>
      <c r="Q44" s="83"/>
      <c r="R44" s="83"/>
    </row>
    <row r="45" spans="4:18" ht="12.75" customHeight="1" x14ac:dyDescent="0.3">
      <c r="D45" s="461" t="s">
        <v>5372</v>
      </c>
      <c r="E45" s="455"/>
      <c r="F45" s="456"/>
      <c r="G45" s="453"/>
      <c r="H45" s="453"/>
      <c r="I45" s="453"/>
      <c r="J45" s="25">
        <f>J156</f>
        <v>0</v>
      </c>
      <c r="K45" s="25">
        <f t="shared" ref="K45:O45" si="2">K156</f>
        <v>50000</v>
      </c>
      <c r="L45" s="25">
        <f t="shared" si="2"/>
        <v>0</v>
      </c>
      <c r="M45" s="25">
        <f t="shared" si="2"/>
        <v>0</v>
      </c>
      <c r="N45" s="25">
        <f t="shared" si="2"/>
        <v>0</v>
      </c>
      <c r="O45" s="25">
        <f t="shared" si="2"/>
        <v>0</v>
      </c>
      <c r="Q45" s="83"/>
      <c r="R45" s="83"/>
    </row>
    <row r="46" spans="4:18" ht="12.75" customHeight="1" x14ac:dyDescent="0.3">
      <c r="D46" s="461" t="s">
        <v>5377</v>
      </c>
      <c r="E46" s="455"/>
      <c r="F46" s="456"/>
      <c r="G46" s="453"/>
      <c r="H46" s="453"/>
      <c r="I46" s="453"/>
      <c r="J46" s="25">
        <f>J161</f>
        <v>0</v>
      </c>
      <c r="K46" s="25">
        <f t="shared" ref="K46:O46" si="3">K161</f>
        <v>50000</v>
      </c>
      <c r="L46" s="25">
        <f t="shared" si="3"/>
        <v>0</v>
      </c>
      <c r="M46" s="25">
        <f t="shared" si="3"/>
        <v>0</v>
      </c>
      <c r="N46" s="25">
        <f t="shared" si="3"/>
        <v>0</v>
      </c>
      <c r="O46" s="25">
        <f t="shared" si="3"/>
        <v>0</v>
      </c>
      <c r="Q46" s="83"/>
      <c r="R46" s="83"/>
    </row>
    <row r="47" spans="4:18" ht="12.75" customHeight="1" x14ac:dyDescent="0.3">
      <c r="D47" s="454" t="str">
        <f>G163</f>
        <v>Warmtenet</v>
      </c>
      <c r="E47" s="455"/>
      <c r="F47" s="456"/>
      <c r="G47" s="453"/>
      <c r="H47" s="453"/>
      <c r="I47" s="453"/>
      <c r="J47" s="25">
        <f>J169</f>
        <v>0</v>
      </c>
      <c r="K47" s="25">
        <f t="shared" ref="K47:N47" si="4">K169</f>
        <v>0</v>
      </c>
      <c r="L47" s="25">
        <f t="shared" si="4"/>
        <v>703266</v>
      </c>
      <c r="M47" s="25">
        <f t="shared" si="4"/>
        <v>703266</v>
      </c>
      <c r="N47" s="25">
        <f t="shared" si="4"/>
        <v>703266</v>
      </c>
      <c r="O47" s="25">
        <f t="shared" ref="O47" si="5">O169</f>
        <v>703266</v>
      </c>
      <c r="Q47" s="83"/>
      <c r="R47" s="83"/>
    </row>
    <row r="48" spans="4:18" ht="12.75" customHeight="1" x14ac:dyDescent="0.3">
      <c r="D48" s="454"/>
      <c r="E48" s="455"/>
      <c r="F48" s="456"/>
      <c r="G48" s="453"/>
      <c r="H48" s="453"/>
      <c r="I48" s="453"/>
      <c r="J48" s="25"/>
      <c r="K48" s="25"/>
      <c r="L48" s="25"/>
      <c r="M48" s="25"/>
      <c r="N48" s="25"/>
      <c r="O48" s="25"/>
      <c r="Q48" s="83"/>
      <c r="R48" s="83"/>
    </row>
    <row r="49" spans="4:18" ht="12.75" customHeight="1" x14ac:dyDescent="0.3">
      <c r="D49" s="454" t="str">
        <f>G171</f>
        <v>ODZOB milieu vergunningen</v>
      </c>
      <c r="E49" s="455"/>
      <c r="F49" s="456"/>
      <c r="G49" s="453"/>
      <c r="H49" s="453"/>
      <c r="I49" s="518"/>
      <c r="J49" s="25">
        <v>208973</v>
      </c>
      <c r="K49" s="25">
        <f>K174</f>
        <v>214406</v>
      </c>
      <c r="L49" s="25">
        <f>L174</f>
        <v>218909</v>
      </c>
      <c r="M49" s="25">
        <f>M174</f>
        <v>223944</v>
      </c>
      <c r="N49" s="25">
        <f>N174</f>
        <v>229095</v>
      </c>
      <c r="O49" s="25">
        <f>O174</f>
        <v>234364</v>
      </c>
      <c r="Q49" s="83"/>
      <c r="R49" s="83"/>
    </row>
    <row r="50" spans="4:18" ht="12.75" customHeight="1" x14ac:dyDescent="0.3">
      <c r="D50" s="454" t="str">
        <f>G176</f>
        <v>ODZOB milieu m.b.t. leges</v>
      </c>
      <c r="E50" s="455"/>
      <c r="F50" s="456"/>
      <c r="G50" s="453"/>
      <c r="H50" s="453"/>
      <c r="I50" s="518"/>
      <c r="J50" s="25">
        <v>10731</v>
      </c>
      <c r="K50" s="25">
        <f>K179</f>
        <v>11010</v>
      </c>
      <c r="L50" s="25">
        <f>L179</f>
        <v>11241</v>
      </c>
      <c r="M50" s="25">
        <f>M179</f>
        <v>11500</v>
      </c>
      <c r="N50" s="25">
        <f>N179</f>
        <v>11765</v>
      </c>
      <c r="O50" s="25">
        <f>O179</f>
        <v>12036</v>
      </c>
      <c r="Q50" s="83"/>
      <c r="R50" s="83"/>
    </row>
    <row r="51" spans="4:18" ht="12.75" customHeight="1" x14ac:dyDescent="0.3">
      <c r="D51" s="454" t="str">
        <f>G181</f>
        <v>ODZOB Milieu Juridische ondersteuning</v>
      </c>
      <c r="E51" s="455"/>
      <c r="F51" s="456"/>
      <c r="G51" s="453"/>
      <c r="H51" s="453"/>
      <c r="I51" s="518"/>
      <c r="J51" s="25">
        <v>27141</v>
      </c>
      <c r="K51" s="25">
        <f>K184</f>
        <v>27847</v>
      </c>
      <c r="L51" s="25">
        <f>L184</f>
        <v>28432</v>
      </c>
      <c r="M51" s="25">
        <f>M184</f>
        <v>29086</v>
      </c>
      <c r="N51" s="25">
        <f>N184</f>
        <v>29755</v>
      </c>
      <c r="O51" s="25">
        <f>O184</f>
        <v>30439</v>
      </c>
      <c r="Q51" s="83"/>
      <c r="R51" s="83"/>
    </row>
    <row r="52" spans="4:18" ht="12.75" customHeight="1" x14ac:dyDescent="0.3">
      <c r="D52" s="454" t="str">
        <f>G186</f>
        <v>ODZOB Onderzoek en advies</v>
      </c>
      <c r="E52" s="455"/>
      <c r="F52" s="456"/>
      <c r="G52" s="453"/>
      <c r="H52" s="453"/>
      <c r="I52" s="518"/>
      <c r="J52" s="25">
        <v>6918</v>
      </c>
      <c r="K52" s="25">
        <f>K189</f>
        <v>7098</v>
      </c>
      <c r="L52" s="25">
        <f>L189</f>
        <v>7247</v>
      </c>
      <c r="M52" s="25">
        <f>M189</f>
        <v>7414</v>
      </c>
      <c r="N52" s="25">
        <f>N189</f>
        <v>7585</v>
      </c>
      <c r="O52" s="25">
        <f>O189</f>
        <v>7759</v>
      </c>
      <c r="Q52" s="83"/>
      <c r="R52" s="83"/>
    </row>
    <row r="53" spans="4:18" ht="12.75" customHeight="1" x14ac:dyDescent="0.3">
      <c r="D53" s="454"/>
      <c r="E53" s="455"/>
      <c r="F53" s="456"/>
      <c r="G53" s="453"/>
      <c r="H53" s="453"/>
      <c r="I53" s="518"/>
      <c r="J53" s="28"/>
      <c r="K53" s="28"/>
      <c r="L53" s="25"/>
      <c r="M53" s="25"/>
      <c r="N53" s="25"/>
      <c r="O53" s="25"/>
      <c r="Q53" s="83"/>
      <c r="R53" s="83"/>
    </row>
    <row r="54" spans="4:18" ht="12.75" customHeight="1" x14ac:dyDescent="0.3">
      <c r="D54" s="454" t="str">
        <f>G191</f>
        <v>Directe toerekening milieubeheer</v>
      </c>
      <c r="E54" s="455"/>
      <c r="F54" s="456"/>
      <c r="G54" s="453"/>
      <c r="H54" s="453"/>
      <c r="I54" s="518"/>
      <c r="J54" s="25">
        <v>907147.06</v>
      </c>
      <c r="K54" s="25">
        <f>K195</f>
        <v>636385.71</v>
      </c>
      <c r="L54" s="25">
        <f>L195</f>
        <v>850873</v>
      </c>
      <c r="M54" s="25">
        <f>M195</f>
        <v>953013</v>
      </c>
      <c r="N54" s="25">
        <f>N195</f>
        <v>1005849</v>
      </c>
      <c r="O54" s="25">
        <f>O195</f>
        <v>566821</v>
      </c>
      <c r="Q54" s="83"/>
      <c r="R54" s="83"/>
    </row>
    <row r="55" spans="4:18" ht="12.75" customHeight="1" x14ac:dyDescent="0.3">
      <c r="D55" s="454" t="str">
        <f>G197</f>
        <v>Directe toerekening vergunning milieu titel 2</v>
      </c>
      <c r="E55" s="455"/>
      <c r="F55" s="456"/>
      <c r="G55" s="453"/>
      <c r="H55" s="453"/>
      <c r="I55" s="518"/>
      <c r="J55" s="28">
        <v>5459.85</v>
      </c>
      <c r="K55" s="28">
        <f>K200</f>
        <v>0</v>
      </c>
      <c r="L55" s="25">
        <f>L200</f>
        <v>0</v>
      </c>
      <c r="M55" s="25">
        <f>M200</f>
        <v>0</v>
      </c>
      <c r="N55" s="25">
        <f>N200</f>
        <v>0</v>
      </c>
      <c r="O55" s="25">
        <f>O200</f>
        <v>0</v>
      </c>
      <c r="Q55" s="83"/>
      <c r="R55" s="83"/>
    </row>
    <row r="56" spans="4:18" ht="12.75" customHeight="1" x14ac:dyDescent="0.25">
      <c r="D56" s="454"/>
      <c r="E56" s="455"/>
      <c r="F56" s="456"/>
      <c r="G56" s="453"/>
      <c r="H56" s="453"/>
      <c r="I56" s="518"/>
      <c r="J56" s="28"/>
      <c r="K56" s="28"/>
      <c r="L56" s="25"/>
      <c r="M56" s="25"/>
      <c r="N56" s="25"/>
      <c r="O56" s="25"/>
      <c r="R56" s="580"/>
    </row>
    <row r="57" spans="4:18" ht="12.75" customHeight="1" x14ac:dyDescent="0.25">
      <c r="D57" s="454"/>
      <c r="E57" s="455"/>
      <c r="F57" s="456"/>
      <c r="G57" s="453"/>
      <c r="H57" s="453"/>
      <c r="I57" s="518"/>
      <c r="J57" s="28"/>
      <c r="K57" s="28"/>
      <c r="L57" s="25"/>
      <c r="M57" s="25"/>
      <c r="N57" s="25"/>
      <c r="O57" s="25"/>
    </row>
    <row r="58" spans="4:18" ht="12.75" customHeight="1" x14ac:dyDescent="0.25">
      <c r="D58" s="454"/>
      <c r="E58" s="455"/>
      <c r="F58" s="456"/>
      <c r="G58" s="453"/>
      <c r="H58" s="453"/>
      <c r="I58" s="518"/>
      <c r="J58" s="28"/>
      <c r="K58" s="28"/>
      <c r="L58" s="25"/>
      <c r="M58" s="25"/>
      <c r="N58" s="25"/>
      <c r="O58" s="25"/>
    </row>
    <row r="59" spans="4:18" ht="12.75" customHeight="1" x14ac:dyDescent="0.25">
      <c r="D59" s="454"/>
      <c r="E59" s="455"/>
      <c r="F59" s="456"/>
      <c r="G59" s="453"/>
      <c r="H59" s="453" t="s">
        <v>2219</v>
      </c>
      <c r="I59" s="518"/>
      <c r="J59" s="28"/>
      <c r="K59" s="28"/>
      <c r="L59" s="25"/>
      <c r="M59" s="25"/>
      <c r="N59" s="25"/>
      <c r="O59" s="25"/>
    </row>
    <row r="60" spans="4:18" ht="12.75" customHeight="1" x14ac:dyDescent="0.25">
      <c r="D60" s="454"/>
      <c r="E60" s="455"/>
      <c r="F60" s="456"/>
      <c r="G60" s="453"/>
      <c r="H60" s="453"/>
      <c r="I60" s="518"/>
      <c r="J60" s="35"/>
      <c r="K60" s="25"/>
      <c r="L60" s="25"/>
      <c r="M60" s="25"/>
      <c r="N60" s="25"/>
      <c r="O60" s="25"/>
    </row>
    <row r="61" spans="4:18" ht="12.75" customHeight="1" x14ac:dyDescent="0.25">
      <c r="D61" s="454"/>
      <c r="E61" s="455"/>
      <c r="F61" s="456"/>
      <c r="G61" s="453"/>
      <c r="H61" s="453"/>
      <c r="I61" s="518"/>
      <c r="J61" s="35"/>
      <c r="K61" s="84"/>
      <c r="L61" s="25"/>
      <c r="M61" s="25"/>
      <c r="N61" s="25"/>
      <c r="O61" s="25"/>
    </row>
    <row r="62" spans="4:18" ht="12.75" customHeight="1" x14ac:dyDescent="0.25">
      <c r="D62" s="454"/>
      <c r="E62" s="455"/>
      <c r="F62" s="456"/>
      <c r="G62" s="453"/>
      <c r="H62" s="453"/>
      <c r="I62" s="518"/>
      <c r="J62" s="35"/>
      <c r="K62" s="84"/>
      <c r="L62" s="25"/>
      <c r="M62" s="25"/>
      <c r="N62" s="25"/>
      <c r="O62" s="25"/>
    </row>
    <row r="63" spans="4:18" ht="12.75" customHeight="1" x14ac:dyDescent="0.25">
      <c r="D63" s="454"/>
      <c r="E63" s="455"/>
      <c r="F63" s="456"/>
      <c r="G63" s="453"/>
      <c r="H63" s="453"/>
      <c r="I63" s="518"/>
      <c r="J63" s="35"/>
      <c r="K63" s="84"/>
      <c r="L63" s="25"/>
      <c r="M63" s="25"/>
      <c r="N63" s="25"/>
      <c r="O63" s="25"/>
    </row>
    <row r="64" spans="4:18" ht="12.75" customHeight="1" x14ac:dyDescent="0.25">
      <c r="D64" s="454"/>
      <c r="E64" s="455"/>
      <c r="F64" s="456"/>
      <c r="G64" s="453"/>
      <c r="H64" s="453"/>
      <c r="I64" s="518"/>
      <c r="J64" s="35"/>
      <c r="K64" s="84"/>
      <c r="L64" s="25"/>
      <c r="M64" s="25"/>
      <c r="N64" s="25"/>
      <c r="O64" s="25"/>
    </row>
    <row r="65" spans="4:15" ht="12.75" customHeight="1" x14ac:dyDescent="0.25">
      <c r="D65" s="454"/>
      <c r="E65" s="455"/>
      <c r="F65" s="456"/>
      <c r="G65" s="453"/>
      <c r="H65" s="453"/>
      <c r="I65" s="579"/>
      <c r="J65" s="85"/>
      <c r="K65" s="86"/>
      <c r="L65" s="87"/>
      <c r="M65" s="87"/>
      <c r="N65" s="87"/>
      <c r="O65" s="87"/>
    </row>
    <row r="66" spans="4:15" ht="12.75" customHeight="1" x14ac:dyDescent="0.25">
      <c r="D66" s="1978" t="s">
        <v>525</v>
      </c>
      <c r="E66" s="1979"/>
      <c r="F66" s="1980"/>
      <c r="G66" s="1981"/>
      <c r="H66" s="1981"/>
      <c r="I66" s="1981"/>
      <c r="J66" s="1982">
        <v>2305758.91</v>
      </c>
      <c r="K66" s="1982">
        <f>SUM(K35:K65)</f>
        <v>3775750.71</v>
      </c>
      <c r="L66" s="1983">
        <f>SUM(L35:L65)</f>
        <v>2544143</v>
      </c>
      <c r="M66" s="1983">
        <f>SUM(M35:M65)</f>
        <v>2568597</v>
      </c>
      <c r="N66" s="1983">
        <f>SUM(N35:N65)</f>
        <v>2634849</v>
      </c>
      <c r="O66" s="1983">
        <f>SUM(O35:O65)</f>
        <v>2203787</v>
      </c>
    </row>
    <row r="67" spans="4:15" ht="12.75" customHeight="1" x14ac:dyDescent="0.25">
      <c r="D67" s="454"/>
      <c r="E67" s="455"/>
      <c r="F67" s="456"/>
      <c r="G67" s="453"/>
      <c r="H67" s="453"/>
      <c r="I67" s="453"/>
      <c r="J67" s="453"/>
      <c r="K67" s="453"/>
      <c r="L67" s="453"/>
      <c r="M67" s="453"/>
      <c r="N67" s="453"/>
      <c r="O67" s="453"/>
    </row>
    <row r="68" spans="4:15" ht="12.75" customHeight="1" x14ac:dyDescent="0.25">
      <c r="D68" s="1973" t="s">
        <v>526</v>
      </c>
      <c r="E68" s="1974"/>
      <c r="F68" s="1974"/>
      <c r="G68" s="1975"/>
      <c r="H68" s="1975"/>
      <c r="I68" s="1976"/>
      <c r="J68" s="1975">
        <v>2025</v>
      </c>
      <c r="K68" s="1975">
        <v>2026</v>
      </c>
      <c r="L68" s="1976">
        <v>2027</v>
      </c>
      <c r="M68" s="1976">
        <v>2028</v>
      </c>
      <c r="N68" s="1976">
        <v>2029</v>
      </c>
      <c r="O68" s="1976">
        <v>2030</v>
      </c>
    </row>
    <row r="69" spans="4:15" ht="12.75" customHeight="1" x14ac:dyDescent="0.25">
      <c r="D69" s="2231" t="str">
        <f>G202</f>
        <v>Geluidsonderzoeken</v>
      </c>
      <c r="E69" s="1335"/>
      <c r="F69" s="1335"/>
      <c r="G69" s="1336"/>
      <c r="H69" s="1336"/>
      <c r="I69" s="2232"/>
      <c r="J69" s="2233">
        <f>J205</f>
        <v>0</v>
      </c>
      <c r="K69" s="2233">
        <f t="shared" ref="K69:O69" si="6">K205</f>
        <v>-86000</v>
      </c>
      <c r="L69" s="2233">
        <f t="shared" si="6"/>
        <v>0</v>
      </c>
      <c r="M69" s="2233">
        <f t="shared" si="6"/>
        <v>0</v>
      </c>
      <c r="N69" s="2233">
        <f t="shared" si="6"/>
        <v>0</v>
      </c>
      <c r="O69" s="2233">
        <f t="shared" si="6"/>
        <v>0</v>
      </c>
    </row>
    <row r="70" spans="4:15" ht="12.75" customHeight="1" x14ac:dyDescent="0.25">
      <c r="D70" s="454" t="str">
        <f>G207</f>
        <v>Zonnepanelen</v>
      </c>
      <c r="E70" s="455"/>
      <c r="F70" s="456"/>
      <c r="G70" s="453"/>
      <c r="H70" s="453"/>
      <c r="I70" s="453"/>
      <c r="J70" s="581">
        <v>-24900</v>
      </c>
      <c r="K70" s="581">
        <f>K210</f>
        <v>-24900</v>
      </c>
      <c r="L70" s="457">
        <f>L210</f>
        <v>-24900</v>
      </c>
      <c r="M70" s="457">
        <f>M210</f>
        <v>-24900</v>
      </c>
      <c r="N70" s="457">
        <f>N210</f>
        <v>-24900</v>
      </c>
      <c r="O70" s="457">
        <f>O210</f>
        <v>-24900</v>
      </c>
    </row>
    <row r="71" spans="4:15" ht="12.75" customHeight="1" x14ac:dyDescent="0.25">
      <c r="D71" s="454" t="str">
        <f>G212</f>
        <v>Berekening hogere waarden</v>
      </c>
      <c r="E71" s="455"/>
      <c r="F71" s="456"/>
      <c r="G71" s="453"/>
      <c r="H71" s="453"/>
      <c r="I71" s="453"/>
      <c r="J71" s="581">
        <v>-10197</v>
      </c>
      <c r="K71" s="581">
        <f>K215</f>
        <v>-10462</v>
      </c>
      <c r="L71" s="457">
        <f>L215</f>
        <v>-10682</v>
      </c>
      <c r="M71" s="457">
        <f>M215</f>
        <v>-10928</v>
      </c>
      <c r="N71" s="457">
        <f>N215</f>
        <v>-11179</v>
      </c>
      <c r="O71" s="457">
        <f>O215</f>
        <v>-11436</v>
      </c>
    </row>
    <row r="72" spans="4:15" ht="12.75" customHeight="1" x14ac:dyDescent="0.25">
      <c r="D72" s="454" t="str">
        <f>G217</f>
        <v>Uitvoering milieuwetgeving (titel 2)</v>
      </c>
      <c r="E72" s="455"/>
      <c r="F72" s="456"/>
      <c r="G72" s="453"/>
      <c r="H72" s="453"/>
      <c r="I72" s="453"/>
      <c r="J72" s="581">
        <v>-3908</v>
      </c>
      <c r="K72" s="581">
        <f>K220</f>
        <v>-4010</v>
      </c>
      <c r="L72" s="457">
        <f>L220</f>
        <v>-4094</v>
      </c>
      <c r="M72" s="457">
        <f>M220</f>
        <v>-4188</v>
      </c>
      <c r="N72" s="457">
        <f>N220</f>
        <v>-4284</v>
      </c>
      <c r="O72" s="457">
        <f>O220</f>
        <v>-4383</v>
      </c>
    </row>
    <row r="73" spans="4:15" ht="12.75" customHeight="1" x14ac:dyDescent="0.25">
      <c r="D73" s="454" t="str">
        <f>G223</f>
        <v>Capaciteit klimaatbeleid</v>
      </c>
      <c r="E73" s="455"/>
      <c r="F73" s="456"/>
      <c r="G73" s="453"/>
      <c r="H73" s="453"/>
      <c r="I73" s="453"/>
      <c r="J73" s="581">
        <v>-325000</v>
      </c>
      <c r="K73" s="581">
        <f>K226</f>
        <v>-325000</v>
      </c>
      <c r="L73" s="457">
        <f>L226</f>
        <v>-325000</v>
      </c>
      <c r="M73" s="457">
        <f>M226</f>
        <v>-325000</v>
      </c>
      <c r="N73" s="457">
        <f>N226</f>
        <v>-325000</v>
      </c>
      <c r="O73" s="457">
        <f>O226</f>
        <v>-325000</v>
      </c>
    </row>
    <row r="74" spans="4:15" ht="12.75" customHeight="1" x14ac:dyDescent="0.25">
      <c r="D74" s="454" t="str">
        <f>G228</f>
        <v>De Groene Zone Isoleren</v>
      </c>
      <c r="E74" s="455"/>
      <c r="F74" s="456"/>
      <c r="G74" s="453"/>
      <c r="H74" s="453"/>
      <c r="I74" s="518"/>
      <c r="J74" s="457">
        <v>-51200</v>
      </c>
      <c r="K74" s="457">
        <f>K231</f>
        <v>-52400</v>
      </c>
      <c r="L74" s="457">
        <f>L231</f>
        <v>-53700</v>
      </c>
      <c r="M74" s="457">
        <f>M231</f>
        <v>0</v>
      </c>
      <c r="N74" s="457">
        <f>N231</f>
        <v>0</v>
      </c>
      <c r="O74" s="457">
        <f>O231</f>
        <v>0</v>
      </c>
    </row>
    <row r="75" spans="4:15" ht="12.75" customHeight="1" x14ac:dyDescent="0.25">
      <c r="D75" s="461" t="s">
        <v>5372</v>
      </c>
      <c r="E75" s="455"/>
      <c r="F75" s="456"/>
      <c r="G75" s="453"/>
      <c r="H75" s="453"/>
      <c r="I75" s="518"/>
      <c r="J75" s="457">
        <f>J236</f>
        <v>0</v>
      </c>
      <c r="K75" s="457">
        <f t="shared" ref="K75:O75" si="7">K236</f>
        <v>-137000</v>
      </c>
      <c r="L75" s="457">
        <f t="shared" si="7"/>
        <v>0</v>
      </c>
      <c r="M75" s="457">
        <f t="shared" si="7"/>
        <v>0</v>
      </c>
      <c r="N75" s="457">
        <f t="shared" si="7"/>
        <v>0</v>
      </c>
      <c r="O75" s="457">
        <f t="shared" si="7"/>
        <v>0</v>
      </c>
    </row>
    <row r="76" spans="4:15" ht="12.75" customHeight="1" x14ac:dyDescent="0.25">
      <c r="D76" s="461" t="s">
        <v>5377</v>
      </c>
      <c r="E76" s="455"/>
      <c r="F76" s="456"/>
      <c r="G76" s="453"/>
      <c r="H76" s="453"/>
      <c r="I76" s="518"/>
      <c r="J76" s="457">
        <f>J241</f>
        <v>0</v>
      </c>
      <c r="K76" s="457">
        <f t="shared" ref="K76:O76" si="8">K241</f>
        <v>-50000</v>
      </c>
      <c r="L76" s="457">
        <f t="shared" si="8"/>
        <v>0</v>
      </c>
      <c r="M76" s="457">
        <f t="shared" si="8"/>
        <v>0</v>
      </c>
      <c r="N76" s="457">
        <f t="shared" si="8"/>
        <v>0</v>
      </c>
      <c r="O76" s="457">
        <f t="shared" si="8"/>
        <v>0</v>
      </c>
    </row>
    <row r="77" spans="4:15" ht="12.75" customHeight="1" x14ac:dyDescent="0.25">
      <c r="D77" s="454" t="str">
        <f>G243</f>
        <v>Warmtenet</v>
      </c>
      <c r="E77" s="455"/>
      <c r="F77" s="456"/>
      <c r="G77" s="453"/>
      <c r="H77" s="453"/>
      <c r="I77" s="518"/>
      <c r="J77" s="457">
        <f>J247</f>
        <v>0</v>
      </c>
      <c r="K77" s="457">
        <f t="shared" ref="K77:N77" si="9">K247</f>
        <v>0</v>
      </c>
      <c r="L77" s="457">
        <f t="shared" si="9"/>
        <v>-1000000</v>
      </c>
      <c r="M77" s="457">
        <f t="shared" si="9"/>
        <v>-1000000</v>
      </c>
      <c r="N77" s="457">
        <f t="shared" si="9"/>
        <v>-1000000</v>
      </c>
      <c r="O77" s="457">
        <f t="shared" ref="O77" si="10">O247</f>
        <v>-1000000</v>
      </c>
    </row>
    <row r="78" spans="4:15" ht="12.75" customHeight="1" x14ac:dyDescent="0.25">
      <c r="D78" s="454"/>
      <c r="E78" s="455"/>
      <c r="F78" s="456"/>
      <c r="G78" s="453"/>
      <c r="H78" s="453"/>
      <c r="I78" s="518"/>
      <c r="J78" s="469"/>
      <c r="K78" s="581"/>
      <c r="L78" s="457"/>
      <c r="M78" s="457"/>
      <c r="N78" s="457"/>
      <c r="O78" s="457"/>
    </row>
    <row r="79" spans="4:15" ht="12.75" customHeight="1" x14ac:dyDescent="0.25">
      <c r="D79" s="454"/>
      <c r="E79" s="455"/>
      <c r="F79" s="456"/>
      <c r="G79" s="453"/>
      <c r="H79" s="453"/>
      <c r="I79" s="518"/>
      <c r="J79" s="469"/>
      <c r="K79" s="581"/>
      <c r="L79" s="457"/>
      <c r="M79" s="457"/>
      <c r="N79" s="457"/>
      <c r="O79" s="457"/>
    </row>
    <row r="80" spans="4:15" ht="12.75" customHeight="1" x14ac:dyDescent="0.25">
      <c r="D80" s="454"/>
      <c r="E80" s="455"/>
      <c r="F80" s="456"/>
      <c r="G80" s="453"/>
      <c r="H80" s="453"/>
      <c r="I80" s="518"/>
      <c r="J80" s="469"/>
      <c r="K80" s="581"/>
      <c r="L80" s="457"/>
      <c r="M80" s="457"/>
      <c r="N80" s="457"/>
      <c r="O80" s="457"/>
    </row>
    <row r="81" spans="1:20" ht="12.75" customHeight="1" x14ac:dyDescent="0.25">
      <c r="D81" s="454"/>
      <c r="E81" s="455"/>
      <c r="F81" s="456"/>
      <c r="G81" s="453"/>
      <c r="H81" s="453"/>
      <c r="I81" s="518"/>
      <c r="J81" s="469"/>
      <c r="K81" s="581"/>
      <c r="L81" s="457"/>
      <c r="M81" s="457"/>
      <c r="N81" s="457"/>
      <c r="O81" s="457"/>
    </row>
    <row r="82" spans="1:20" ht="12.75" customHeight="1" x14ac:dyDescent="0.25">
      <c r="D82" s="454"/>
      <c r="E82" s="455"/>
      <c r="F82" s="456"/>
      <c r="G82" s="453"/>
      <c r="H82" s="453"/>
      <c r="I82" s="518"/>
      <c r="J82" s="469"/>
      <c r="K82" s="581"/>
      <c r="L82" s="457"/>
      <c r="M82" s="457"/>
      <c r="N82" s="457"/>
      <c r="O82" s="457"/>
    </row>
    <row r="83" spans="1:20" ht="12.75" customHeight="1" x14ac:dyDescent="0.25">
      <c r="D83" s="464"/>
      <c r="E83" s="465"/>
      <c r="F83" s="466"/>
      <c r="G83" s="467"/>
      <c r="H83" s="467"/>
      <c r="I83" s="579"/>
      <c r="J83" s="469"/>
      <c r="K83" s="582"/>
      <c r="L83" s="468"/>
      <c r="M83" s="468"/>
      <c r="N83" s="468"/>
      <c r="O83" s="468"/>
    </row>
    <row r="84" spans="1:20" ht="12.75" customHeight="1" x14ac:dyDescent="0.25">
      <c r="D84" s="1978" t="s">
        <v>328</v>
      </c>
      <c r="E84" s="1979"/>
      <c r="F84" s="1980"/>
      <c r="G84" s="1981"/>
      <c r="H84" s="1981"/>
      <c r="I84" s="1981"/>
      <c r="J84" s="1982">
        <f>SUM(J69:J83)</f>
        <v>-415205</v>
      </c>
      <c r="K84" s="1982">
        <f t="shared" ref="K84:O84" si="11">SUM(K69:K83)</f>
        <v>-689772</v>
      </c>
      <c r="L84" s="1982">
        <f t="shared" si="11"/>
        <v>-1418376</v>
      </c>
      <c r="M84" s="1982">
        <f t="shared" si="11"/>
        <v>-1365016</v>
      </c>
      <c r="N84" s="1982">
        <f t="shared" si="11"/>
        <v>-1365363</v>
      </c>
      <c r="O84" s="1982">
        <f t="shared" si="11"/>
        <v>-1365719</v>
      </c>
    </row>
    <row r="85" spans="1:20" ht="12.75" customHeight="1" x14ac:dyDescent="0.25">
      <c r="D85" s="454"/>
      <c r="E85" s="455"/>
      <c r="F85" s="456"/>
      <c r="G85" s="453"/>
      <c r="H85" s="453"/>
      <c r="I85" s="453"/>
      <c r="J85" s="463"/>
      <c r="K85" s="469"/>
      <c r="L85" s="463"/>
      <c r="M85" s="463"/>
      <c r="N85" s="463"/>
      <c r="O85" s="463"/>
    </row>
    <row r="86" spans="1:20" ht="12.75" customHeight="1" x14ac:dyDescent="0.25">
      <c r="D86" s="1978" t="s">
        <v>976</v>
      </c>
      <c r="E86" s="1984"/>
      <c r="F86" s="1984"/>
      <c r="G86" s="1981"/>
      <c r="H86" s="1981"/>
      <c r="I86" s="1985"/>
      <c r="J86" s="1986">
        <v>1890553.9100000001</v>
      </c>
      <c r="K86" s="1987">
        <f>K66+K84</f>
        <v>3085978.71</v>
      </c>
      <c r="L86" s="1987">
        <f>L66+L84</f>
        <v>1125767</v>
      </c>
      <c r="M86" s="1987">
        <f>M66+M84</f>
        <v>1203581</v>
      </c>
      <c r="N86" s="1987">
        <f>N66+N84</f>
        <v>1269486</v>
      </c>
      <c r="O86" s="1987">
        <f>O66+O84</f>
        <v>838068</v>
      </c>
      <c r="P86" s="469"/>
      <c r="Q86" s="469"/>
      <c r="R86" s="469"/>
      <c r="S86" s="469"/>
      <c r="T86" s="469"/>
    </row>
    <row r="87" spans="1:20" ht="12.75" customHeight="1" x14ac:dyDescent="0.25">
      <c r="D87" s="453"/>
      <c r="E87" s="453"/>
      <c r="F87" s="453"/>
      <c r="G87" s="453"/>
      <c r="H87" s="453"/>
      <c r="I87" s="453"/>
      <c r="J87" s="469"/>
      <c r="K87" s="469"/>
      <c r="L87" s="469"/>
      <c r="M87" s="469"/>
      <c r="N87" s="469"/>
      <c r="O87" s="469"/>
    </row>
    <row r="88" spans="1:20" ht="12.75" customHeight="1" x14ac:dyDescent="0.25">
      <c r="D88" s="438"/>
      <c r="E88" s="438"/>
      <c r="F88" s="438"/>
      <c r="G88" s="453"/>
      <c r="H88" s="453"/>
      <c r="I88" s="453"/>
      <c r="J88" s="469"/>
      <c r="K88" s="469"/>
      <c r="L88" s="469"/>
      <c r="M88" s="469"/>
      <c r="N88" s="469"/>
      <c r="O88" s="469"/>
    </row>
    <row r="89" spans="1:20" ht="12.75" customHeight="1" x14ac:dyDescent="0.25">
      <c r="D89" s="312" t="s">
        <v>528</v>
      </c>
      <c r="E89" s="382"/>
      <c r="F89" s="382"/>
    </row>
    <row r="91" spans="1:20" ht="12.75" customHeight="1" x14ac:dyDescent="0.25">
      <c r="D91" s="2631" t="s">
        <v>531</v>
      </c>
      <c r="E91" s="1989" t="s">
        <v>530</v>
      </c>
      <c r="F91" s="2631"/>
      <c r="G91" s="2632" t="s">
        <v>206</v>
      </c>
      <c r="H91" s="2526"/>
      <c r="I91" s="471"/>
      <c r="J91" s="1991"/>
      <c r="K91" s="1992"/>
      <c r="L91" s="1992"/>
      <c r="M91" s="1992"/>
      <c r="N91" s="1992"/>
      <c r="O91" s="1992"/>
    </row>
    <row r="92" spans="1:20" ht="12.75" customHeight="1" x14ac:dyDescent="0.25">
      <c r="D92" s="2553"/>
      <c r="E92" s="472" t="s">
        <v>532</v>
      </c>
      <c r="F92" s="2553"/>
      <c r="G92" s="2527"/>
      <c r="H92" s="2528"/>
      <c r="I92" s="473"/>
      <c r="J92" s="1992">
        <v>2025</v>
      </c>
      <c r="K92" s="1992">
        <v>2026</v>
      </c>
      <c r="L92" s="1992">
        <v>2027</v>
      </c>
      <c r="M92" s="1992">
        <v>2028</v>
      </c>
      <c r="N92" s="1992">
        <v>2028</v>
      </c>
      <c r="O92" s="1992">
        <v>2028</v>
      </c>
    </row>
    <row r="93" spans="1:20" ht="12.75" customHeight="1" x14ac:dyDescent="0.25">
      <c r="D93" s="1993"/>
      <c r="E93" s="1994"/>
      <c r="F93" s="1988"/>
      <c r="G93" s="1990"/>
      <c r="H93" s="471"/>
      <c r="I93" s="471"/>
      <c r="J93" s="1995"/>
      <c r="K93" s="1995"/>
      <c r="L93" s="1995"/>
      <c r="M93" s="1995"/>
      <c r="N93" s="1995"/>
      <c r="O93" s="1995"/>
    </row>
    <row r="94" spans="1:20" ht="12.75" customHeight="1" x14ac:dyDescent="0.25">
      <c r="D94" s="333">
        <v>649001</v>
      </c>
      <c r="E94" s="331"/>
      <c r="F94" s="331"/>
      <c r="G94" s="583" t="s">
        <v>4854</v>
      </c>
      <c r="H94" s="584"/>
      <c r="I94" s="584"/>
      <c r="J94" s="335"/>
      <c r="K94" s="335"/>
      <c r="L94" s="335"/>
      <c r="M94" s="335"/>
      <c r="N94" s="335"/>
      <c r="O94" s="335"/>
    </row>
    <row r="95" spans="1:20" ht="12.75" customHeight="1" x14ac:dyDescent="0.25">
      <c r="D95" s="333"/>
      <c r="E95" s="331"/>
      <c r="F95" s="331"/>
      <c r="G95" s="585" t="s">
        <v>533</v>
      </c>
      <c r="H95" s="584"/>
      <c r="I95" s="584"/>
      <c r="J95" s="335"/>
      <c r="K95" s="335"/>
      <c r="L95" s="335"/>
      <c r="M95" s="335"/>
      <c r="N95" s="335"/>
      <c r="O95" s="335"/>
    </row>
    <row r="96" spans="1:20" ht="12.75" customHeight="1" x14ac:dyDescent="0.25">
      <c r="A96" s="336">
        <f>D94</f>
        <v>649001</v>
      </c>
      <c r="B96" s="584" t="str">
        <f>G94</f>
        <v>Milieubeleid</v>
      </c>
      <c r="D96" s="337">
        <v>43812</v>
      </c>
      <c r="E96" s="337"/>
      <c r="F96" s="337"/>
      <c r="G96" s="586" t="s">
        <v>535</v>
      </c>
      <c r="H96" s="584"/>
      <c r="I96" s="587"/>
      <c r="J96" s="317">
        <v>94224</v>
      </c>
      <c r="K96" s="317">
        <f>K259</f>
        <v>122362</v>
      </c>
      <c r="L96" s="317">
        <f>L259</f>
        <v>124931</v>
      </c>
      <c r="M96" s="317">
        <f>M259</f>
        <v>127805</v>
      </c>
      <c r="N96" s="317">
        <f>N259</f>
        <v>130744</v>
      </c>
      <c r="O96" s="317">
        <f>O259</f>
        <v>133751</v>
      </c>
    </row>
    <row r="97" spans="1:15" ht="12.75" customHeight="1" thickBot="1" x14ac:dyDescent="0.3">
      <c r="D97" s="340"/>
      <c r="E97" s="340"/>
      <c r="F97" s="340"/>
      <c r="G97" s="586" t="s">
        <v>536</v>
      </c>
      <c r="H97" s="584"/>
      <c r="I97" s="587"/>
      <c r="J97" s="480">
        <v>94224</v>
      </c>
      <c r="K97" s="480">
        <f>SUM(K96:K96)</f>
        <v>122362</v>
      </c>
      <c r="L97" s="480">
        <f>SUM(L96:L96)</f>
        <v>124931</v>
      </c>
      <c r="M97" s="480">
        <f>SUM(M96:M96)</f>
        <v>127805</v>
      </c>
      <c r="N97" s="480">
        <f>SUM(N96:N96)</f>
        <v>130744</v>
      </c>
      <c r="O97" s="480">
        <f>SUM(O96:O96)</f>
        <v>133751</v>
      </c>
    </row>
    <row r="98" spans="1:15" ht="12.75" customHeight="1" thickTop="1" x14ac:dyDescent="0.25">
      <c r="D98" s="340"/>
      <c r="E98" s="340"/>
      <c r="F98" s="340"/>
      <c r="G98" s="586"/>
      <c r="H98" s="584"/>
      <c r="I98" s="587"/>
      <c r="J98" s="344"/>
      <c r="K98" s="344"/>
      <c r="L98" s="344"/>
      <c r="M98" s="344"/>
      <c r="N98" s="344"/>
      <c r="O98" s="344"/>
    </row>
    <row r="99" spans="1:15" ht="12.75" customHeight="1" x14ac:dyDescent="0.25">
      <c r="D99" s="333">
        <v>649002</v>
      </c>
      <c r="E99" s="331"/>
      <c r="F99" s="331"/>
      <c r="G99" s="583" t="s">
        <v>4855</v>
      </c>
      <c r="H99" s="584"/>
      <c r="I99" s="587"/>
      <c r="J99" s="317"/>
      <c r="K99" s="317"/>
      <c r="L99" s="317"/>
      <c r="M99" s="317"/>
      <c r="N99" s="317"/>
      <c r="O99" s="317"/>
    </row>
    <row r="100" spans="1:15" ht="12.75" customHeight="1" x14ac:dyDescent="0.25">
      <c r="D100" s="340"/>
      <c r="E100" s="340"/>
      <c r="F100" s="340"/>
      <c r="G100" s="585" t="s">
        <v>533</v>
      </c>
      <c r="H100" s="584"/>
      <c r="I100" s="587"/>
      <c r="J100" s="317"/>
      <c r="K100" s="317"/>
      <c r="L100" s="317"/>
      <c r="M100" s="317"/>
      <c r="N100" s="317"/>
      <c r="O100" s="317"/>
    </row>
    <row r="101" spans="1:15" ht="12.75" customHeight="1" x14ac:dyDescent="0.25">
      <c r="A101" s="336">
        <f>D99</f>
        <v>649002</v>
      </c>
      <c r="B101" s="584" t="str">
        <f>G99</f>
        <v>Geluidsonderzoeken</v>
      </c>
      <c r="D101" s="337">
        <v>43812</v>
      </c>
      <c r="E101" s="337"/>
      <c r="F101" s="337"/>
      <c r="G101" s="586" t="s">
        <v>535</v>
      </c>
      <c r="H101" s="584"/>
      <c r="I101" s="587"/>
      <c r="J101" s="317">
        <v>25037</v>
      </c>
      <c r="K101" s="317">
        <f>K266</f>
        <v>99000</v>
      </c>
      <c r="L101" s="317">
        <f>L266</f>
        <v>0</v>
      </c>
      <c r="M101" s="317">
        <f>M266</f>
        <v>0</v>
      </c>
      <c r="N101" s="317">
        <f>N266</f>
        <v>0</v>
      </c>
      <c r="O101" s="317">
        <f>O266</f>
        <v>0</v>
      </c>
    </row>
    <row r="102" spans="1:15" ht="12.75" customHeight="1" thickBot="1" x14ac:dyDescent="0.3">
      <c r="D102" s="340"/>
      <c r="E102" s="340"/>
      <c r="F102" s="340"/>
      <c r="G102" s="586" t="s">
        <v>536</v>
      </c>
      <c r="H102" s="584"/>
      <c r="I102" s="587"/>
      <c r="J102" s="342">
        <v>25037</v>
      </c>
      <c r="K102" s="342">
        <f>SUM(K100:K101)</f>
        <v>99000</v>
      </c>
      <c r="L102" s="342">
        <f>SUM(L100:L101)</f>
        <v>0</v>
      </c>
      <c r="M102" s="342">
        <f>SUM(M100:M101)</f>
        <v>0</v>
      </c>
      <c r="N102" s="342">
        <f>SUM(N100:N101)</f>
        <v>0</v>
      </c>
      <c r="O102" s="342">
        <f>SUM(O100:O101)</f>
        <v>0</v>
      </c>
    </row>
    <row r="103" spans="1:15" ht="12.75" customHeight="1" thickTop="1" x14ac:dyDescent="0.25">
      <c r="D103" s="340"/>
      <c r="E103" s="340"/>
      <c r="F103" s="340"/>
      <c r="G103" s="586"/>
      <c r="H103" s="584"/>
      <c r="I103" s="587"/>
      <c r="J103" s="344"/>
      <c r="K103" s="344"/>
      <c r="L103" s="344"/>
      <c r="M103" s="344"/>
      <c r="N103" s="344"/>
      <c r="O103" s="344"/>
    </row>
    <row r="104" spans="1:15" ht="12.75" customHeight="1" x14ac:dyDescent="0.25">
      <c r="D104" s="333">
        <v>649003</v>
      </c>
      <c r="E104" s="331"/>
      <c r="F104" s="331"/>
      <c r="G104" s="583" t="s">
        <v>4856</v>
      </c>
      <c r="H104" s="584"/>
      <c r="I104" s="587"/>
      <c r="J104" s="317"/>
      <c r="K104" s="317"/>
      <c r="L104" s="317"/>
      <c r="M104" s="317"/>
      <c r="N104" s="317"/>
      <c r="O104" s="317"/>
    </row>
    <row r="105" spans="1:15" ht="12.75" customHeight="1" x14ac:dyDescent="0.25">
      <c r="D105" s="340"/>
      <c r="E105" s="340"/>
      <c r="F105" s="340"/>
      <c r="G105" s="585" t="s">
        <v>533</v>
      </c>
      <c r="H105" s="584"/>
      <c r="I105" s="587"/>
      <c r="J105" s="317"/>
      <c r="K105" s="317"/>
      <c r="L105" s="317"/>
      <c r="M105" s="317"/>
      <c r="N105" s="317"/>
      <c r="O105" s="317"/>
    </row>
    <row r="106" spans="1:15" ht="12.75" customHeight="1" x14ac:dyDescent="0.25">
      <c r="A106" s="336">
        <f>D104</f>
        <v>649003</v>
      </c>
      <c r="B106" s="584" t="str">
        <f>G104</f>
        <v>Bevordering duurzaamheid</v>
      </c>
      <c r="D106" s="337">
        <v>44380</v>
      </c>
      <c r="E106" s="337"/>
      <c r="F106" s="337"/>
      <c r="G106" s="586" t="s">
        <v>4857</v>
      </c>
      <c r="H106" s="584"/>
      <c r="I106" s="587"/>
      <c r="J106" s="317">
        <v>21832</v>
      </c>
      <c r="K106" s="317">
        <f>K273</f>
        <v>22400</v>
      </c>
      <c r="L106" s="317">
        <f>L273</f>
        <v>22870</v>
      </c>
      <c r="M106" s="317">
        <f>M273</f>
        <v>23396</v>
      </c>
      <c r="N106" s="317">
        <f>N273</f>
        <v>23934</v>
      </c>
      <c r="O106" s="317">
        <f>O273</f>
        <v>24484</v>
      </c>
    </row>
    <row r="107" spans="1:15" ht="12.75" customHeight="1" x14ac:dyDescent="0.25">
      <c r="B107" s="584"/>
      <c r="D107" s="337"/>
      <c r="E107" s="337"/>
      <c r="F107" s="337"/>
      <c r="G107" s="586"/>
      <c r="H107" s="584"/>
      <c r="I107" s="587"/>
      <c r="J107" s="318"/>
      <c r="K107" s="318"/>
      <c r="L107" s="318"/>
      <c r="M107" s="318"/>
      <c r="N107" s="318"/>
      <c r="O107" s="318"/>
    </row>
    <row r="108" spans="1:15" ht="12.75" customHeight="1" thickBot="1" x14ac:dyDescent="0.3">
      <c r="D108" s="340"/>
      <c r="E108" s="340"/>
      <c r="F108" s="340"/>
      <c r="G108" s="586" t="s">
        <v>536</v>
      </c>
      <c r="H108" s="584"/>
      <c r="I108" s="587"/>
      <c r="J108" s="342">
        <v>21832</v>
      </c>
      <c r="K108" s="342">
        <f>SUM(K105:K107)</f>
        <v>22400</v>
      </c>
      <c r="L108" s="342">
        <f>SUM(L105:L107)</f>
        <v>22870</v>
      </c>
      <c r="M108" s="342">
        <f>SUM(M105:M107)</f>
        <v>23396</v>
      </c>
      <c r="N108" s="342">
        <f>SUM(N105:N107)</f>
        <v>23934</v>
      </c>
      <c r="O108" s="342">
        <f>SUM(O105:O107)</f>
        <v>24484</v>
      </c>
    </row>
    <row r="109" spans="1:15" ht="12.75" customHeight="1" thickTop="1" x14ac:dyDescent="0.25">
      <c r="D109" s="340"/>
      <c r="E109" s="340"/>
      <c r="F109" s="340"/>
      <c r="G109" s="586"/>
      <c r="H109" s="584"/>
      <c r="I109" s="587"/>
      <c r="J109" s="317"/>
      <c r="K109" s="317"/>
      <c r="L109" s="317"/>
      <c r="M109" s="317"/>
      <c r="N109" s="317"/>
      <c r="O109" s="317"/>
    </row>
    <row r="110" spans="1:15" ht="12.75" customHeight="1" x14ac:dyDescent="0.25">
      <c r="D110" s="333">
        <v>649005</v>
      </c>
      <c r="E110" s="331"/>
      <c r="F110" s="331"/>
      <c r="G110" s="583" t="s">
        <v>4858</v>
      </c>
      <c r="H110" s="584"/>
      <c r="I110" s="587"/>
      <c r="J110" s="335"/>
      <c r="K110" s="335"/>
      <c r="L110" s="335"/>
      <c r="M110" s="335"/>
      <c r="N110" s="335"/>
      <c r="O110" s="335"/>
    </row>
    <row r="111" spans="1:15" ht="12.75" customHeight="1" x14ac:dyDescent="0.25">
      <c r="D111" s="333"/>
      <c r="E111" s="331"/>
      <c r="F111" s="331"/>
      <c r="G111" s="585" t="s">
        <v>533</v>
      </c>
      <c r="H111" s="584"/>
      <c r="I111" s="587"/>
      <c r="J111" s="335"/>
      <c r="K111" s="335"/>
      <c r="L111" s="335"/>
      <c r="M111" s="335"/>
      <c r="N111" s="335"/>
      <c r="O111" s="335"/>
    </row>
    <row r="112" spans="1:15" ht="12.75" customHeight="1" x14ac:dyDescent="0.25">
      <c r="A112" s="336">
        <f>D110</f>
        <v>649005</v>
      </c>
      <c r="B112" s="584" t="str">
        <f>G110</f>
        <v>Duurzaamheid</v>
      </c>
      <c r="D112" s="337">
        <v>43511</v>
      </c>
      <c r="E112" s="337"/>
      <c r="F112" s="340"/>
      <c r="G112" s="586" t="s">
        <v>560</v>
      </c>
      <c r="I112" s="316"/>
      <c r="J112" s="318">
        <v>12250</v>
      </c>
      <c r="K112" s="318">
        <f>K279</f>
        <v>12568</v>
      </c>
      <c r="L112" s="318">
        <f>L279</f>
        <v>12832</v>
      </c>
      <c r="M112" s="318">
        <f>M279</f>
        <v>13127</v>
      </c>
      <c r="N112" s="318">
        <f>N279</f>
        <v>13429</v>
      </c>
      <c r="O112" s="318">
        <f>O279</f>
        <v>13738</v>
      </c>
    </row>
    <row r="113" spans="1:15" ht="12.75" customHeight="1" x14ac:dyDescent="0.25">
      <c r="A113" s="336">
        <f>D110</f>
        <v>649005</v>
      </c>
      <c r="B113" s="584" t="str">
        <f>G110</f>
        <v>Duurzaamheid</v>
      </c>
      <c r="D113" s="337">
        <v>43812</v>
      </c>
      <c r="E113" s="337"/>
      <c r="F113" s="337"/>
      <c r="G113" s="586" t="s">
        <v>535</v>
      </c>
      <c r="H113" s="584"/>
      <c r="I113" s="587"/>
      <c r="J113" s="318">
        <v>345681</v>
      </c>
      <c r="K113" s="318">
        <f>K293</f>
        <v>474869</v>
      </c>
      <c r="L113" s="318">
        <f>L293</f>
        <v>179330</v>
      </c>
      <c r="M113" s="318">
        <f>M293</f>
        <v>102534</v>
      </c>
      <c r="N113" s="318">
        <f>N293</f>
        <v>104892</v>
      </c>
      <c r="O113" s="318">
        <f>O293</f>
        <v>107305</v>
      </c>
    </row>
    <row r="114" spans="1:15" ht="12.75" customHeight="1" thickBot="1" x14ac:dyDescent="0.3">
      <c r="D114" s="340"/>
      <c r="E114" s="340"/>
      <c r="F114" s="340"/>
      <c r="G114" s="586" t="s">
        <v>536</v>
      </c>
      <c r="H114" s="584"/>
      <c r="I114" s="587"/>
      <c r="J114" s="480">
        <v>357931</v>
      </c>
      <c r="K114" s="480">
        <f>SUM(K112:K113)</f>
        <v>487437</v>
      </c>
      <c r="L114" s="480">
        <f>SUM(L112:L113)</f>
        <v>192162</v>
      </c>
      <c r="M114" s="480">
        <f>SUM(M112:M113)</f>
        <v>115661</v>
      </c>
      <c r="N114" s="480">
        <f>SUM(N112:N113)</f>
        <v>118321</v>
      </c>
      <c r="O114" s="480">
        <f>SUM(O112:O113)</f>
        <v>121043</v>
      </c>
    </row>
    <row r="115" spans="1:15" ht="12.75" customHeight="1" thickTop="1" x14ac:dyDescent="0.25">
      <c r="D115" s="340"/>
      <c r="E115" s="340"/>
      <c r="F115" s="340"/>
      <c r="G115" s="586"/>
      <c r="H115" s="584"/>
      <c r="I115" s="587"/>
      <c r="J115" s="317"/>
      <c r="K115" s="317"/>
      <c r="L115" s="317"/>
      <c r="M115" s="317"/>
      <c r="N115" s="317"/>
      <c r="O115" s="317"/>
    </row>
    <row r="116" spans="1:15" ht="12.75" customHeight="1" x14ac:dyDescent="0.25">
      <c r="D116" s="333">
        <v>649006</v>
      </c>
      <c r="E116" s="331"/>
      <c r="F116" s="331"/>
      <c r="G116" s="332" t="s">
        <v>4859</v>
      </c>
      <c r="I116" s="316"/>
      <c r="J116" s="335"/>
      <c r="K116" s="335"/>
      <c r="L116" s="335"/>
      <c r="M116" s="335"/>
      <c r="N116" s="335"/>
      <c r="O116" s="335"/>
    </row>
    <row r="117" spans="1:15" ht="12.75" customHeight="1" x14ac:dyDescent="0.25">
      <c r="D117" s="333"/>
      <c r="E117" s="331"/>
      <c r="F117" s="331"/>
      <c r="G117" s="334" t="s">
        <v>533</v>
      </c>
      <c r="I117" s="316"/>
      <c r="J117" s="335"/>
      <c r="K117" s="335"/>
      <c r="L117" s="335"/>
      <c r="M117" s="335"/>
      <c r="N117" s="335"/>
      <c r="O117" s="335"/>
    </row>
    <row r="118" spans="1:15" ht="12.75" customHeight="1" x14ac:dyDescent="0.25">
      <c r="A118" s="336">
        <f>D116</f>
        <v>649006</v>
      </c>
      <c r="B118" s="115" t="str">
        <f>G116</f>
        <v>Vergunningverlening milieu</v>
      </c>
      <c r="D118" s="337">
        <v>43812</v>
      </c>
      <c r="E118" s="337"/>
      <c r="F118" s="337"/>
      <c r="G118" s="586" t="s">
        <v>535</v>
      </c>
      <c r="I118" s="316"/>
      <c r="J118" s="318">
        <v>4900</v>
      </c>
      <c r="K118" s="318">
        <f>K299</f>
        <v>5400</v>
      </c>
      <c r="L118" s="318">
        <f>L299</f>
        <v>5545</v>
      </c>
      <c r="M118" s="318">
        <f>M299</f>
        <v>5682</v>
      </c>
      <c r="N118" s="318">
        <f>N299</f>
        <v>5719</v>
      </c>
      <c r="O118" s="318">
        <f>O299</f>
        <v>0</v>
      </c>
    </row>
    <row r="119" spans="1:15" ht="12.75" customHeight="1" thickBot="1" x14ac:dyDescent="0.3">
      <c r="D119" s="340"/>
      <c r="E119" s="340"/>
      <c r="F119" s="340"/>
      <c r="G119" s="319" t="s">
        <v>536</v>
      </c>
      <c r="I119" s="316"/>
      <c r="J119" s="342">
        <v>4900</v>
      </c>
      <c r="K119" s="342">
        <f>SUM(K117:K118)</f>
        <v>5400</v>
      </c>
      <c r="L119" s="342">
        <f>SUM(L117:L118)</f>
        <v>5545</v>
      </c>
      <c r="M119" s="342">
        <f>SUM(M117:M118)</f>
        <v>5682</v>
      </c>
      <c r="N119" s="342">
        <f>SUM(N117:N118)</f>
        <v>5719</v>
      </c>
      <c r="O119" s="342">
        <f>SUM(O117:O118)</f>
        <v>0</v>
      </c>
    </row>
    <row r="120" spans="1:15" ht="12.75" customHeight="1" thickTop="1" x14ac:dyDescent="0.25">
      <c r="D120" s="340"/>
      <c r="E120" s="340"/>
      <c r="F120" s="340"/>
      <c r="G120" s="319"/>
      <c r="I120" s="316"/>
      <c r="J120" s="317"/>
      <c r="K120" s="317"/>
      <c r="L120" s="317"/>
      <c r="M120" s="317"/>
      <c r="N120" s="317"/>
      <c r="O120" s="317"/>
    </row>
    <row r="121" spans="1:15" ht="12.75" customHeight="1" x14ac:dyDescent="0.25">
      <c r="C121" s="316"/>
      <c r="D121" s="333">
        <v>649013</v>
      </c>
      <c r="E121" s="331"/>
      <c r="F121" s="331"/>
      <c r="G121" s="332" t="s">
        <v>4860</v>
      </c>
      <c r="I121" s="316"/>
      <c r="J121" s="317"/>
      <c r="K121" s="317"/>
      <c r="L121" s="317"/>
      <c r="M121" s="317"/>
      <c r="N121" s="317"/>
      <c r="O121" s="317"/>
    </row>
    <row r="122" spans="1:15" ht="12.75" customHeight="1" x14ac:dyDescent="0.25">
      <c r="C122" s="316"/>
      <c r="D122" s="340"/>
      <c r="E122" s="340"/>
      <c r="F122" s="340"/>
      <c r="G122" s="334" t="s">
        <v>533</v>
      </c>
      <c r="I122" s="316"/>
      <c r="J122" s="317"/>
      <c r="K122" s="317"/>
      <c r="L122" s="317"/>
      <c r="M122" s="317"/>
      <c r="N122" s="317"/>
      <c r="O122" s="317"/>
    </row>
    <row r="123" spans="1:15" ht="12.75" customHeight="1" x14ac:dyDescent="0.25">
      <c r="A123" s="336">
        <f>D121</f>
        <v>649013</v>
      </c>
      <c r="B123" s="115" t="str">
        <f>G121</f>
        <v>Bestrijding van plaagdieren</v>
      </c>
      <c r="D123" s="337">
        <v>43812</v>
      </c>
      <c r="E123" s="337"/>
      <c r="F123" s="337"/>
      <c r="G123" s="319" t="s">
        <v>535</v>
      </c>
      <c r="I123" s="316"/>
      <c r="J123" s="318">
        <v>35670</v>
      </c>
      <c r="K123" s="318">
        <f>K306</f>
        <v>36598</v>
      </c>
      <c r="L123" s="318">
        <f>L306</f>
        <v>37367</v>
      </c>
      <c r="M123" s="318">
        <f>M306</f>
        <v>38226</v>
      </c>
      <c r="N123" s="318">
        <f>N306</f>
        <v>39106</v>
      </c>
      <c r="O123" s="318">
        <f>O306</f>
        <v>40006</v>
      </c>
    </row>
    <row r="124" spans="1:15" ht="12.75" customHeight="1" thickBot="1" x14ac:dyDescent="0.3">
      <c r="A124" s="306"/>
      <c r="D124" s="340"/>
      <c r="E124" s="340"/>
      <c r="F124" s="340"/>
      <c r="G124" s="319" t="s">
        <v>536</v>
      </c>
      <c r="I124" s="316"/>
      <c r="J124" s="342">
        <v>35670</v>
      </c>
      <c r="K124" s="342">
        <f>SUM(K122:K123)</f>
        <v>36598</v>
      </c>
      <c r="L124" s="342">
        <f>SUM(L122:L123)</f>
        <v>37367</v>
      </c>
      <c r="M124" s="342">
        <f>SUM(M122:M123)</f>
        <v>38226</v>
      </c>
      <c r="N124" s="342">
        <f>SUM(N122:N123)</f>
        <v>39106</v>
      </c>
      <c r="O124" s="342">
        <f>SUM(O122:O123)</f>
        <v>40006</v>
      </c>
    </row>
    <row r="125" spans="1:15" ht="12.75" customHeight="1" thickTop="1" x14ac:dyDescent="0.25">
      <c r="D125" s="340"/>
      <c r="E125" s="588"/>
      <c r="F125" s="588"/>
      <c r="G125" s="586"/>
      <c r="H125" s="584"/>
      <c r="I125" s="587"/>
      <c r="J125" s="317"/>
      <c r="K125" s="317"/>
      <c r="L125" s="317"/>
      <c r="M125" s="317"/>
      <c r="N125" s="317"/>
      <c r="O125" s="317"/>
    </row>
    <row r="126" spans="1:15" ht="12.75" customHeight="1" x14ac:dyDescent="0.25">
      <c r="D126" s="333">
        <v>649014</v>
      </c>
      <c r="E126" s="589"/>
      <c r="F126" s="331"/>
      <c r="G126" s="583" t="s">
        <v>4861</v>
      </c>
      <c r="H126" s="584"/>
      <c r="I126" s="587"/>
      <c r="J126" s="317"/>
      <c r="K126" s="317"/>
      <c r="L126" s="317"/>
      <c r="M126" s="317"/>
      <c r="N126" s="317"/>
      <c r="O126" s="317"/>
    </row>
    <row r="127" spans="1:15" ht="12.75" customHeight="1" x14ac:dyDescent="0.25">
      <c r="D127" s="340"/>
      <c r="E127" s="588"/>
      <c r="F127" s="340"/>
      <c r="G127" s="585" t="s">
        <v>533</v>
      </c>
      <c r="H127" s="584"/>
      <c r="I127" s="587"/>
      <c r="J127" s="317"/>
      <c r="K127" s="317"/>
      <c r="L127" s="317"/>
      <c r="M127" s="317"/>
      <c r="N127" s="317"/>
      <c r="O127" s="317"/>
    </row>
    <row r="128" spans="1:15" ht="12.75" customHeight="1" x14ac:dyDescent="0.25">
      <c r="A128" s="336">
        <f>D126</f>
        <v>649014</v>
      </c>
      <c r="B128" s="584" t="str">
        <f>G126</f>
        <v>Handhaving milieuwetgeving</v>
      </c>
      <c r="D128" s="337">
        <v>43812</v>
      </c>
      <c r="E128" s="337"/>
      <c r="F128" s="337"/>
      <c r="G128" s="586" t="s">
        <v>535</v>
      </c>
      <c r="H128" s="584"/>
      <c r="I128" s="587"/>
      <c r="J128" s="318">
        <v>4295</v>
      </c>
      <c r="K128" s="318">
        <f>K317</f>
        <v>4407</v>
      </c>
      <c r="L128" s="318">
        <f>L317</f>
        <v>4500</v>
      </c>
      <c r="M128" s="318">
        <f>M317</f>
        <v>4604</v>
      </c>
      <c r="N128" s="318">
        <f>N317</f>
        <v>4710</v>
      </c>
      <c r="O128" s="318">
        <f>O317</f>
        <v>4818</v>
      </c>
    </row>
    <row r="129" spans="1:15" ht="12.75" customHeight="1" thickBot="1" x14ac:dyDescent="0.3">
      <c r="D129" s="340"/>
      <c r="E129" s="588"/>
      <c r="F129" s="340"/>
      <c r="G129" s="586" t="s">
        <v>536</v>
      </c>
      <c r="H129" s="584"/>
      <c r="I129" s="587"/>
      <c r="J129" s="480">
        <v>4295</v>
      </c>
      <c r="K129" s="480">
        <f>SUM(K128)</f>
        <v>4407</v>
      </c>
      <c r="L129" s="480">
        <f>SUM(L128)</f>
        <v>4500</v>
      </c>
      <c r="M129" s="480">
        <f>SUM(M128)</f>
        <v>4604</v>
      </c>
      <c r="N129" s="480">
        <f>SUM(N128)</f>
        <v>4710</v>
      </c>
      <c r="O129" s="480">
        <f>SUM(O128)</f>
        <v>4818</v>
      </c>
    </row>
    <row r="130" spans="1:15" ht="12.75" customHeight="1" thickTop="1" x14ac:dyDescent="0.25">
      <c r="D130" s="340"/>
      <c r="E130" s="588"/>
      <c r="F130" s="340"/>
      <c r="G130" s="586"/>
      <c r="H130" s="584"/>
      <c r="I130" s="587"/>
      <c r="J130" s="318"/>
      <c r="K130" s="318"/>
      <c r="L130" s="318"/>
      <c r="M130" s="318"/>
      <c r="N130" s="318"/>
      <c r="O130" s="318"/>
    </row>
    <row r="131" spans="1:15" ht="12.75" customHeight="1" x14ac:dyDescent="0.25">
      <c r="D131" s="333">
        <v>649017</v>
      </c>
      <c r="E131" s="589"/>
      <c r="F131" s="331"/>
      <c r="G131" s="583" t="s">
        <v>5369</v>
      </c>
      <c r="H131" s="584"/>
      <c r="I131" s="587"/>
      <c r="J131" s="317"/>
      <c r="K131" s="317"/>
      <c r="L131" s="317"/>
      <c r="M131" s="317"/>
      <c r="N131" s="317"/>
      <c r="O131" s="317"/>
    </row>
    <row r="132" spans="1:15" ht="12.75" customHeight="1" x14ac:dyDescent="0.25">
      <c r="D132" s="340"/>
      <c r="E132" s="588"/>
      <c r="F132" s="340"/>
      <c r="G132" s="585" t="s">
        <v>533</v>
      </c>
      <c r="H132" s="584"/>
      <c r="I132" s="587"/>
      <c r="J132" s="317"/>
      <c r="K132" s="317"/>
      <c r="L132" s="317"/>
      <c r="M132" s="317"/>
      <c r="N132" s="317"/>
      <c r="O132" s="317"/>
    </row>
    <row r="133" spans="1:15" ht="12.75" customHeight="1" x14ac:dyDescent="0.25">
      <c r="A133" s="336">
        <f>D131</f>
        <v>649017</v>
      </c>
      <c r="B133" s="584" t="str">
        <f>G131</f>
        <v>Energiearmoede</v>
      </c>
      <c r="D133" s="2273">
        <v>43812</v>
      </c>
      <c r="E133" s="2273"/>
      <c r="F133" s="2273"/>
      <c r="G133" s="2274" t="s">
        <v>535</v>
      </c>
      <c r="H133" s="2275"/>
      <c r="I133" s="2276"/>
      <c r="J133" s="2277">
        <v>0</v>
      </c>
      <c r="K133" s="2277">
        <v>80000</v>
      </c>
      <c r="L133" s="2277">
        <v>0</v>
      </c>
      <c r="M133" s="2277">
        <v>0</v>
      </c>
      <c r="N133" s="2277">
        <v>0</v>
      </c>
      <c r="O133" s="2277">
        <v>0</v>
      </c>
    </row>
    <row r="134" spans="1:15" ht="12.75" customHeight="1" thickBot="1" x14ac:dyDescent="0.3">
      <c r="D134" s="340"/>
      <c r="E134" s="588"/>
      <c r="F134" s="340"/>
      <c r="G134" s="586" t="s">
        <v>536</v>
      </c>
      <c r="H134" s="584"/>
      <c r="I134" s="587"/>
      <c r="J134" s="480">
        <v>4295</v>
      </c>
      <c r="K134" s="480">
        <f>SUM(K133)</f>
        <v>80000</v>
      </c>
      <c r="L134" s="480">
        <f>SUM(L133)</f>
        <v>0</v>
      </c>
      <c r="M134" s="480">
        <f>SUM(M133)</f>
        <v>0</v>
      </c>
      <c r="N134" s="480">
        <f>SUM(N133)</f>
        <v>0</v>
      </c>
      <c r="O134" s="480">
        <f>SUM(O133)</f>
        <v>0</v>
      </c>
    </row>
    <row r="135" spans="1:15" ht="12.75" customHeight="1" thickTop="1" x14ac:dyDescent="0.25">
      <c r="D135" s="340"/>
      <c r="E135" s="588"/>
      <c r="F135" s="340"/>
      <c r="G135" s="586"/>
      <c r="H135" s="584"/>
      <c r="I135" s="587"/>
      <c r="J135" s="318"/>
      <c r="K135" s="318"/>
      <c r="L135" s="318"/>
      <c r="M135" s="318"/>
      <c r="N135" s="318"/>
      <c r="O135" s="318"/>
    </row>
    <row r="136" spans="1:15" ht="12.75" customHeight="1" x14ac:dyDescent="0.25">
      <c r="D136" s="340"/>
      <c r="E136" s="588"/>
      <c r="F136" s="340"/>
      <c r="G136" s="586"/>
      <c r="H136" s="584"/>
      <c r="I136" s="587"/>
      <c r="J136" s="318"/>
      <c r="K136" s="318"/>
      <c r="L136" s="318"/>
      <c r="M136" s="318"/>
      <c r="N136" s="318"/>
      <c r="O136" s="318"/>
    </row>
    <row r="137" spans="1:15" ht="12.6" customHeight="1" x14ac:dyDescent="0.25">
      <c r="D137" s="333">
        <v>649018</v>
      </c>
      <c r="E137" s="331"/>
      <c r="F137" s="331"/>
      <c r="G137" s="332" t="s">
        <v>4862</v>
      </c>
      <c r="I137" s="316"/>
      <c r="J137" s="317"/>
      <c r="K137" s="317"/>
      <c r="L137" s="317"/>
      <c r="M137" s="317"/>
      <c r="N137" s="317"/>
      <c r="O137" s="317"/>
    </row>
    <row r="138" spans="1:15" ht="12.75" customHeight="1" x14ac:dyDescent="0.25">
      <c r="D138" s="333"/>
      <c r="E138" s="331"/>
      <c r="F138" s="331"/>
      <c r="G138" s="334" t="s">
        <v>533</v>
      </c>
      <c r="I138" s="316"/>
      <c r="J138" s="317"/>
      <c r="K138" s="317"/>
      <c r="L138" s="317"/>
      <c r="M138" s="317"/>
      <c r="N138" s="317"/>
      <c r="O138" s="317"/>
    </row>
    <row r="139" spans="1:15" ht="12.75" customHeight="1" x14ac:dyDescent="0.25">
      <c r="A139" s="479">
        <f>D137</f>
        <v>649018</v>
      </c>
      <c r="B139" s="115" t="str">
        <f>G137</f>
        <v>Capaciteit klimaatbeleid</v>
      </c>
      <c r="D139" s="340">
        <v>41100</v>
      </c>
      <c r="E139" s="340"/>
      <c r="F139" s="340"/>
      <c r="G139" s="586" t="s">
        <v>700</v>
      </c>
      <c r="H139" s="584"/>
      <c r="I139" s="587"/>
      <c r="J139" s="318">
        <v>170005</v>
      </c>
      <c r="K139" s="318">
        <f>K324</f>
        <v>371992</v>
      </c>
      <c r="L139" s="318">
        <f>L324</f>
        <v>387616</v>
      </c>
      <c r="M139" s="318">
        <f>M324</f>
        <v>401958</v>
      </c>
      <c r="N139" s="318">
        <f>N324</f>
        <v>416830</v>
      </c>
      <c r="O139" s="318">
        <f>O324</f>
        <v>432253</v>
      </c>
    </row>
    <row r="140" spans="1:15" ht="12.75" customHeight="1" x14ac:dyDescent="0.25">
      <c r="A140" s="336">
        <f>D137</f>
        <v>649018</v>
      </c>
      <c r="B140" s="115" t="str">
        <f>G137</f>
        <v>Capaciteit klimaatbeleid</v>
      </c>
      <c r="D140" s="337">
        <v>43511</v>
      </c>
      <c r="E140" s="337"/>
      <c r="F140" s="340"/>
      <c r="G140" s="586" t="s">
        <v>560</v>
      </c>
      <c r="I140" s="316"/>
      <c r="J140" s="318">
        <v>124295</v>
      </c>
      <c r="K140" s="318">
        <f>K333</f>
        <v>887008</v>
      </c>
      <c r="L140" s="318">
        <f t="shared" ref="L140:O140" si="12">L333</f>
        <v>-104516</v>
      </c>
      <c r="M140" s="318">
        <f t="shared" si="12"/>
        <v>-76958</v>
      </c>
      <c r="N140" s="318">
        <f t="shared" si="12"/>
        <v>-91830</v>
      </c>
      <c r="O140" s="318">
        <f t="shared" si="12"/>
        <v>-107253</v>
      </c>
    </row>
    <row r="141" spans="1:15" ht="12.75" customHeight="1" thickBot="1" x14ac:dyDescent="0.3">
      <c r="D141" s="340"/>
      <c r="E141" s="340"/>
      <c r="F141" s="340"/>
      <c r="G141" s="319" t="s">
        <v>536</v>
      </c>
      <c r="I141" s="316"/>
      <c r="J141" s="342">
        <f t="shared" ref="J141:L141" si="13">SUM(J137:J140)</f>
        <v>294300</v>
      </c>
      <c r="K141" s="342">
        <f t="shared" si="13"/>
        <v>1259000</v>
      </c>
      <c r="L141" s="342">
        <f t="shared" si="13"/>
        <v>283100</v>
      </c>
      <c r="M141" s="342">
        <f>SUM(M137:M140)</f>
        <v>325000</v>
      </c>
      <c r="N141" s="342">
        <f t="shared" ref="N141:O141" si="14">SUM(N137:N140)</f>
        <v>325000</v>
      </c>
      <c r="O141" s="342">
        <f t="shared" si="14"/>
        <v>325000</v>
      </c>
    </row>
    <row r="142" spans="1:15" ht="12.75" customHeight="1" thickTop="1" x14ac:dyDescent="0.25">
      <c r="D142" s="340"/>
      <c r="E142" s="588"/>
      <c r="F142" s="588"/>
      <c r="G142" s="586"/>
      <c r="H142" s="584"/>
      <c r="I142" s="587"/>
      <c r="J142" s="317"/>
      <c r="K142" s="317"/>
      <c r="L142" s="317"/>
      <c r="M142" s="317"/>
      <c r="N142" s="317"/>
      <c r="O142" s="317"/>
    </row>
    <row r="143" spans="1:15" ht="12.75" customHeight="1" x14ac:dyDescent="0.25">
      <c r="D143" s="333">
        <v>649019</v>
      </c>
      <c r="E143" s="589"/>
      <c r="F143" s="331"/>
      <c r="G143" s="583" t="s">
        <v>4863</v>
      </c>
      <c r="H143" s="584"/>
      <c r="I143" s="587"/>
      <c r="J143" s="317"/>
      <c r="K143" s="317"/>
      <c r="L143" s="317"/>
      <c r="M143" s="317"/>
      <c r="N143" s="317"/>
      <c r="O143" s="317"/>
    </row>
    <row r="144" spans="1:15" ht="12.75" customHeight="1" x14ac:dyDescent="0.25">
      <c r="D144" s="340"/>
      <c r="E144" s="588"/>
      <c r="F144" s="340"/>
      <c r="G144" s="585" t="s">
        <v>533</v>
      </c>
      <c r="H144" s="584"/>
      <c r="I144" s="587"/>
      <c r="J144" s="317"/>
      <c r="K144" s="317"/>
      <c r="L144" s="317"/>
      <c r="M144" s="317"/>
      <c r="N144" s="317"/>
      <c r="O144" s="317"/>
    </row>
    <row r="145" spans="1:15" ht="12.75" customHeight="1" x14ac:dyDescent="0.25">
      <c r="A145" s="336">
        <f>D143</f>
        <v>649019</v>
      </c>
      <c r="B145" s="584" t="str">
        <f>G143</f>
        <v>De Groene Zone Isoleren</v>
      </c>
      <c r="D145" s="337">
        <v>43812</v>
      </c>
      <c r="E145" s="337"/>
      <c r="F145" s="337"/>
      <c r="G145" s="586" t="s">
        <v>535</v>
      </c>
      <c r="H145" s="584"/>
      <c r="I145" s="587"/>
      <c r="J145" s="318">
        <v>51200</v>
      </c>
      <c r="K145" s="318">
        <f t="shared" ref="K145:M145" si="15">K339</f>
        <v>52400</v>
      </c>
      <c r="L145" s="318">
        <f t="shared" si="15"/>
        <v>53700</v>
      </c>
      <c r="M145" s="318">
        <f t="shared" si="15"/>
        <v>0</v>
      </c>
      <c r="N145" s="318">
        <f t="shared" ref="N145:O145" si="16">N339</f>
        <v>0</v>
      </c>
      <c r="O145" s="318">
        <f t="shared" si="16"/>
        <v>0</v>
      </c>
    </row>
    <row r="146" spans="1:15" ht="12.75" customHeight="1" thickBot="1" x14ac:dyDescent="0.3">
      <c r="D146" s="340"/>
      <c r="E146" s="588"/>
      <c r="F146" s="340"/>
      <c r="G146" s="586" t="s">
        <v>536</v>
      </c>
      <c r="H146" s="584"/>
      <c r="I146" s="587"/>
      <c r="J146" s="480">
        <v>51200</v>
      </c>
      <c r="K146" s="480">
        <f>SUM(K145)</f>
        <v>52400</v>
      </c>
      <c r="L146" s="480">
        <f>SUM(L145)</f>
        <v>53700</v>
      </c>
      <c r="M146" s="480">
        <f>SUM(M145)</f>
        <v>0</v>
      </c>
      <c r="N146" s="480">
        <f>SUM(N145)</f>
        <v>0</v>
      </c>
      <c r="O146" s="480">
        <f>SUM(O145)</f>
        <v>0</v>
      </c>
    </row>
    <row r="147" spans="1:15" ht="12.75" customHeight="1" thickTop="1" x14ac:dyDescent="0.25">
      <c r="D147" s="340"/>
      <c r="E147" s="588"/>
      <c r="F147" s="588"/>
      <c r="G147" s="586"/>
      <c r="H147" s="584"/>
      <c r="I147" s="587"/>
      <c r="J147" s="317"/>
      <c r="K147" s="317"/>
      <c r="L147" s="317"/>
      <c r="M147" s="317"/>
      <c r="N147" s="317"/>
      <c r="O147" s="317"/>
    </row>
    <row r="148" spans="1:15" ht="12.75" customHeight="1" x14ac:dyDescent="0.25">
      <c r="D148" s="333">
        <v>649020</v>
      </c>
      <c r="E148" s="589"/>
      <c r="F148" s="331"/>
      <c r="G148" s="583" t="s">
        <v>4864</v>
      </c>
      <c r="H148" s="584"/>
      <c r="I148" s="587"/>
      <c r="J148" s="317"/>
      <c r="K148" s="317"/>
      <c r="L148" s="317"/>
      <c r="M148" s="317"/>
      <c r="N148" s="317"/>
      <c r="O148" s="317"/>
    </row>
    <row r="149" spans="1:15" ht="12.75" customHeight="1" x14ac:dyDescent="0.25">
      <c r="D149" s="340"/>
      <c r="E149" s="588"/>
      <c r="F149" s="340"/>
      <c r="G149" s="585" t="s">
        <v>533</v>
      </c>
      <c r="H149" s="584"/>
      <c r="I149" s="587"/>
      <c r="J149" s="317"/>
      <c r="K149" s="317"/>
      <c r="L149" s="317"/>
      <c r="M149" s="317"/>
      <c r="N149" s="317"/>
      <c r="O149" s="317"/>
    </row>
    <row r="150" spans="1:15" ht="12.75" customHeight="1" x14ac:dyDescent="0.25">
      <c r="A150" s="336">
        <f>D148</f>
        <v>649020</v>
      </c>
      <c r="B150" s="584" t="str">
        <f>G148</f>
        <v>Verduurzaming maatschappelijk vastgoed van derden</v>
      </c>
      <c r="D150" s="337">
        <v>43812</v>
      </c>
      <c r="E150" s="337"/>
      <c r="F150" s="337"/>
      <c r="G150" s="586" t="s">
        <v>535</v>
      </c>
      <c r="H150" s="584"/>
      <c r="I150" s="587"/>
      <c r="J150" s="318">
        <v>250000</v>
      </c>
      <c r="K150" s="318">
        <f t="shared" ref="K150:M150" si="17">K345</f>
        <v>690000</v>
      </c>
      <c r="L150" s="318">
        <f t="shared" si="17"/>
        <v>0</v>
      </c>
      <c r="M150" s="318">
        <f t="shared" si="17"/>
        <v>0</v>
      </c>
      <c r="N150" s="318">
        <f t="shared" ref="N150:O150" si="18">N345</f>
        <v>0</v>
      </c>
      <c r="O150" s="318">
        <f t="shared" si="18"/>
        <v>0</v>
      </c>
    </row>
    <row r="151" spans="1:15" ht="12.75" customHeight="1" thickBot="1" x14ac:dyDescent="0.3">
      <c r="D151" s="340"/>
      <c r="E151" s="588"/>
      <c r="F151" s="340"/>
      <c r="G151" s="586" t="s">
        <v>536</v>
      </c>
      <c r="H151" s="584"/>
      <c r="I151" s="587"/>
      <c r="J151" s="480">
        <v>250000</v>
      </c>
      <c r="K151" s="480">
        <f>SUM(K150)</f>
        <v>690000</v>
      </c>
      <c r="L151" s="480">
        <f>SUM(L150)</f>
        <v>0</v>
      </c>
      <c r="M151" s="480">
        <f>SUM(M150)</f>
        <v>0</v>
      </c>
      <c r="N151" s="480">
        <f>SUM(N150)</f>
        <v>0</v>
      </c>
      <c r="O151" s="480">
        <f>SUM(O150)</f>
        <v>0</v>
      </c>
    </row>
    <row r="152" spans="1:15" ht="12.75" customHeight="1" thickTop="1" x14ac:dyDescent="0.25">
      <c r="D152" s="340"/>
      <c r="E152" s="588"/>
      <c r="F152" s="588"/>
      <c r="G152" s="586"/>
      <c r="H152" s="584"/>
      <c r="I152" s="587"/>
      <c r="J152" s="317"/>
      <c r="K152" s="317"/>
      <c r="L152" s="317"/>
      <c r="M152" s="317"/>
      <c r="N152" s="317"/>
      <c r="O152" s="317"/>
    </row>
    <row r="153" spans="1:15" ht="12.75" customHeight="1" x14ac:dyDescent="0.25">
      <c r="C153" s="316"/>
      <c r="D153" s="333">
        <v>649022</v>
      </c>
      <c r="E153" s="331"/>
      <c r="F153" s="331"/>
      <c r="G153" s="332" t="s">
        <v>5372</v>
      </c>
      <c r="I153" s="316"/>
      <c r="J153" s="317"/>
      <c r="K153" s="317"/>
      <c r="L153" s="317"/>
      <c r="M153" s="317"/>
      <c r="N153" s="317"/>
      <c r="O153" s="317"/>
    </row>
    <row r="154" spans="1:15" ht="12.75" customHeight="1" x14ac:dyDescent="0.25">
      <c r="C154" s="316"/>
      <c r="D154" s="340"/>
      <c r="E154" s="340"/>
      <c r="F154" s="340"/>
      <c r="G154" s="334" t="s">
        <v>533</v>
      </c>
      <c r="I154" s="316"/>
      <c r="J154" s="317"/>
      <c r="K154" s="317"/>
      <c r="L154" s="317"/>
      <c r="M154" s="317"/>
      <c r="N154" s="317"/>
      <c r="O154" s="317"/>
    </row>
    <row r="155" spans="1:15" ht="12.75" customHeight="1" x14ac:dyDescent="0.25">
      <c r="A155" s="336">
        <f>D153</f>
        <v>649022</v>
      </c>
      <c r="B155" s="115" t="str">
        <f>G153</f>
        <v>Soorten management plan</v>
      </c>
      <c r="D155" s="2273">
        <v>43812</v>
      </c>
      <c r="E155" s="2273"/>
      <c r="F155" s="2273"/>
      <c r="G155" s="2279" t="s">
        <v>535</v>
      </c>
      <c r="H155" s="1720"/>
      <c r="I155" s="2280"/>
      <c r="J155" s="2277">
        <v>0</v>
      </c>
      <c r="K155" s="2277">
        <v>50000</v>
      </c>
      <c r="L155" s="2277">
        <f>L338</f>
        <v>0</v>
      </c>
      <c r="M155" s="2277">
        <f>M338</f>
        <v>0</v>
      </c>
      <c r="N155" s="2277">
        <f>N338</f>
        <v>0</v>
      </c>
      <c r="O155" s="2277">
        <f>O338</f>
        <v>0</v>
      </c>
    </row>
    <row r="156" spans="1:15" ht="12.75" customHeight="1" thickBot="1" x14ac:dyDescent="0.3">
      <c r="A156" s="306"/>
      <c r="D156" s="340"/>
      <c r="E156" s="340"/>
      <c r="F156" s="340"/>
      <c r="G156" s="319" t="s">
        <v>536</v>
      </c>
      <c r="I156" s="316"/>
      <c r="J156" s="342">
        <v>0</v>
      </c>
      <c r="K156" s="342">
        <f>SUM(K154:K155)</f>
        <v>50000</v>
      </c>
      <c r="L156" s="342">
        <f>SUM(L154:L155)</f>
        <v>0</v>
      </c>
      <c r="M156" s="342">
        <f>SUM(M154:M155)</f>
        <v>0</v>
      </c>
      <c r="N156" s="342">
        <f>SUM(N154:N155)</f>
        <v>0</v>
      </c>
      <c r="O156" s="342">
        <f>SUM(O154:O155)</f>
        <v>0</v>
      </c>
    </row>
    <row r="157" spans="1:15" ht="12.6" customHeight="1" thickTop="1" x14ac:dyDescent="0.25">
      <c r="D157" s="340"/>
      <c r="E157" s="588"/>
      <c r="F157" s="588"/>
      <c r="G157" s="586"/>
      <c r="H157" s="584"/>
      <c r="I157" s="587"/>
      <c r="J157" s="317"/>
      <c r="K157" s="317"/>
      <c r="L157" s="317"/>
      <c r="M157" s="317"/>
      <c r="N157" s="317"/>
      <c r="O157" s="317"/>
    </row>
    <row r="158" spans="1:15" ht="12.6" customHeight="1" x14ac:dyDescent="0.25">
      <c r="C158" s="316"/>
      <c r="D158" s="333">
        <v>649022</v>
      </c>
      <c r="E158" s="331"/>
      <c r="F158" s="331"/>
      <c r="G158" s="332" t="s">
        <v>5377</v>
      </c>
      <c r="I158" s="316"/>
      <c r="J158" s="317"/>
      <c r="K158" s="317"/>
      <c r="L158" s="317"/>
      <c r="M158" s="317"/>
      <c r="N158" s="317"/>
      <c r="O158" s="317"/>
    </row>
    <row r="159" spans="1:15" ht="12.6" customHeight="1" x14ac:dyDescent="0.25">
      <c r="C159" s="316"/>
      <c r="D159" s="340"/>
      <c r="E159" s="340"/>
      <c r="F159" s="340"/>
      <c r="G159" s="334" t="s">
        <v>533</v>
      </c>
      <c r="I159" s="316"/>
      <c r="J159" s="317"/>
      <c r="K159" s="317"/>
      <c r="L159" s="317"/>
      <c r="M159" s="317"/>
      <c r="N159" s="317"/>
      <c r="O159" s="317"/>
    </row>
    <row r="160" spans="1:15" ht="12.6" customHeight="1" x14ac:dyDescent="0.25">
      <c r="A160" s="336">
        <f>D158</f>
        <v>649022</v>
      </c>
      <c r="B160" s="115" t="str">
        <f>G158</f>
        <v>Groene daken</v>
      </c>
      <c r="D160" s="337">
        <v>44380</v>
      </c>
      <c r="E160" s="337"/>
      <c r="F160" s="337"/>
      <c r="G160" s="319" t="s">
        <v>5378</v>
      </c>
      <c r="I160" s="316"/>
      <c r="J160" s="318">
        <v>0</v>
      </c>
      <c r="K160" s="318">
        <v>50000</v>
      </c>
      <c r="L160" s="318">
        <f>L343</f>
        <v>0</v>
      </c>
      <c r="M160" s="318">
        <f>M343</f>
        <v>0</v>
      </c>
      <c r="N160" s="318">
        <f>N343</f>
        <v>0</v>
      </c>
      <c r="O160" s="318">
        <f>O343</f>
        <v>0</v>
      </c>
    </row>
    <row r="161" spans="1:16" ht="12.75" customHeight="1" thickBot="1" x14ac:dyDescent="0.3">
      <c r="A161" s="306"/>
      <c r="D161" s="340"/>
      <c r="E161" s="340"/>
      <c r="F161" s="340"/>
      <c r="G161" s="319" t="s">
        <v>536</v>
      </c>
      <c r="I161" s="316"/>
      <c r="J161" s="342">
        <v>0</v>
      </c>
      <c r="K161" s="342">
        <f>SUM(K159:K160)</f>
        <v>50000</v>
      </c>
      <c r="L161" s="342">
        <f>SUM(L159:L160)</f>
        <v>0</v>
      </c>
      <c r="M161" s="342">
        <f>SUM(M159:M160)</f>
        <v>0</v>
      </c>
      <c r="N161" s="342">
        <f>SUM(N159:N160)</f>
        <v>0</v>
      </c>
      <c r="O161" s="342">
        <f>SUM(O159:O160)</f>
        <v>0</v>
      </c>
    </row>
    <row r="162" spans="1:16" ht="12.75" customHeight="1" thickTop="1" x14ac:dyDescent="0.25">
      <c r="D162" s="340"/>
      <c r="E162" s="588"/>
      <c r="F162" s="588"/>
      <c r="G162" s="586"/>
      <c r="H162" s="584"/>
      <c r="I162" s="587"/>
      <c r="J162" s="317"/>
      <c r="K162" s="317"/>
      <c r="L162" s="317"/>
      <c r="M162" s="317"/>
      <c r="N162" s="317"/>
      <c r="O162" s="317"/>
    </row>
    <row r="163" spans="1:16" ht="12.75" customHeight="1" x14ac:dyDescent="0.25">
      <c r="D163" s="333">
        <v>649024</v>
      </c>
      <c r="E163" s="588"/>
      <c r="F163" s="588"/>
      <c r="G163" s="583" t="s">
        <v>4865</v>
      </c>
      <c r="H163" s="584"/>
      <c r="I163" s="587"/>
      <c r="J163" s="317"/>
      <c r="K163" s="317"/>
      <c r="L163" s="317"/>
      <c r="M163" s="317"/>
      <c r="N163" s="317"/>
      <c r="O163" s="317"/>
    </row>
    <row r="164" spans="1:16" ht="12.75" customHeight="1" x14ac:dyDescent="0.25">
      <c r="D164" s="340"/>
      <c r="E164" s="588"/>
      <c r="F164" s="588"/>
      <c r="G164" s="585" t="s">
        <v>533</v>
      </c>
      <c r="H164" s="584"/>
      <c r="I164" s="587"/>
      <c r="J164" s="317"/>
      <c r="K164" s="317"/>
      <c r="L164" s="317"/>
      <c r="M164" s="317"/>
      <c r="N164" s="317"/>
      <c r="O164" s="317"/>
    </row>
    <row r="165" spans="1:16" ht="12.75" customHeight="1" x14ac:dyDescent="0.25">
      <c r="A165" s="336">
        <f>D163</f>
        <v>649024</v>
      </c>
      <c r="B165" s="584" t="str">
        <f>G163</f>
        <v>Warmtenet</v>
      </c>
      <c r="D165" s="337">
        <v>42100</v>
      </c>
      <c r="E165" s="588"/>
      <c r="F165" s="588"/>
      <c r="G165" s="586" t="s">
        <v>4866</v>
      </c>
      <c r="H165" s="584"/>
      <c r="I165" s="587"/>
      <c r="J165" s="317">
        <f>J355</f>
        <v>0</v>
      </c>
      <c r="K165" s="317">
        <f t="shared" ref="K165:N165" si="19">K355</f>
        <v>0</v>
      </c>
      <c r="L165" s="317">
        <f t="shared" si="19"/>
        <v>140600</v>
      </c>
      <c r="M165" s="317">
        <f t="shared" si="19"/>
        <v>140600</v>
      </c>
      <c r="N165" s="317">
        <f t="shared" si="19"/>
        <v>140600</v>
      </c>
      <c r="O165" s="317">
        <f t="shared" ref="O165" si="20">O355</f>
        <v>140600</v>
      </c>
    </row>
    <row r="166" spans="1:16" ht="12.75" customHeight="1" x14ac:dyDescent="0.25">
      <c r="A166" s="336">
        <f>D163</f>
        <v>649024</v>
      </c>
      <c r="B166" s="584" t="str">
        <f>G163</f>
        <v>Warmtenet</v>
      </c>
      <c r="D166" s="337">
        <v>43802</v>
      </c>
      <c r="E166" s="588"/>
      <c r="F166" s="588"/>
      <c r="G166" s="590" t="s">
        <v>1611</v>
      </c>
      <c r="H166" s="584"/>
      <c r="I166" s="587"/>
      <c r="J166" s="317">
        <f>J357</f>
        <v>0</v>
      </c>
      <c r="K166" s="317">
        <f t="shared" ref="K166:N166" si="21">K357</f>
        <v>0</v>
      </c>
      <c r="L166" s="317">
        <f t="shared" si="21"/>
        <v>210000</v>
      </c>
      <c r="M166" s="317">
        <f t="shared" si="21"/>
        <v>210000</v>
      </c>
      <c r="N166" s="317">
        <f t="shared" si="21"/>
        <v>210000</v>
      </c>
      <c r="O166" s="317">
        <f t="shared" ref="O166" si="22">O357</f>
        <v>210000</v>
      </c>
    </row>
    <row r="167" spans="1:16" ht="12.75" customHeight="1" x14ac:dyDescent="0.25">
      <c r="A167" s="336">
        <f>D163</f>
        <v>649024</v>
      </c>
      <c r="B167" s="584" t="str">
        <f>G163</f>
        <v>Warmtenet</v>
      </c>
      <c r="D167" s="337">
        <v>43812</v>
      </c>
      <c r="E167" s="588"/>
      <c r="F167" s="588"/>
      <c r="G167" s="586" t="s">
        <v>535</v>
      </c>
      <c r="H167" s="584"/>
      <c r="I167" s="587"/>
      <c r="J167" s="317">
        <f>J359</f>
        <v>0</v>
      </c>
      <c r="K167" s="317">
        <f t="shared" ref="K167:N167" si="23">K359</f>
        <v>0</v>
      </c>
      <c r="L167" s="317">
        <f t="shared" si="23"/>
        <v>50000</v>
      </c>
      <c r="M167" s="317">
        <f t="shared" si="23"/>
        <v>50000</v>
      </c>
      <c r="N167" s="317">
        <f t="shared" si="23"/>
        <v>50000</v>
      </c>
      <c r="O167" s="317">
        <f t="shared" ref="O167" si="24">O359</f>
        <v>50000</v>
      </c>
    </row>
    <row r="168" spans="1:16" ht="12.75" customHeight="1" x14ac:dyDescent="0.25">
      <c r="A168" s="336">
        <f>D163</f>
        <v>649024</v>
      </c>
      <c r="B168" s="584" t="str">
        <f>G163</f>
        <v>Warmtenet</v>
      </c>
      <c r="D168" s="337">
        <v>43812</v>
      </c>
      <c r="E168" s="588"/>
      <c r="F168" s="588"/>
      <c r="G168" s="586" t="s">
        <v>4867</v>
      </c>
      <c r="H168" s="584"/>
      <c r="I168" s="587"/>
      <c r="J168" s="317">
        <f>J362</f>
        <v>0</v>
      </c>
      <c r="K168" s="317">
        <f t="shared" ref="K168:N168" si="25">K362</f>
        <v>0</v>
      </c>
      <c r="L168" s="317">
        <f t="shared" si="25"/>
        <v>302666</v>
      </c>
      <c r="M168" s="317">
        <f t="shared" si="25"/>
        <v>302666</v>
      </c>
      <c r="N168" s="317">
        <f t="shared" si="25"/>
        <v>302666</v>
      </c>
      <c r="O168" s="317">
        <f t="shared" ref="O168" si="26">O362</f>
        <v>302666</v>
      </c>
    </row>
    <row r="169" spans="1:16" ht="12.75" customHeight="1" thickBot="1" x14ac:dyDescent="0.3">
      <c r="D169" s="340"/>
      <c r="E169" s="588"/>
      <c r="F169" s="588"/>
      <c r="G169" s="586"/>
      <c r="H169" s="584"/>
      <c r="I169" s="584"/>
      <c r="J169" s="342">
        <f>SUM(J165:J168)</f>
        <v>0</v>
      </c>
      <c r="K169" s="342">
        <f t="shared" ref="K169:N169" si="27">SUM(K165:K168)</f>
        <v>0</v>
      </c>
      <c r="L169" s="342">
        <f t="shared" si="27"/>
        <v>703266</v>
      </c>
      <c r="M169" s="342">
        <f t="shared" si="27"/>
        <v>703266</v>
      </c>
      <c r="N169" s="342">
        <f t="shared" si="27"/>
        <v>703266</v>
      </c>
      <c r="O169" s="342">
        <f t="shared" ref="O169" si="28">SUM(O165:O168)</f>
        <v>703266</v>
      </c>
    </row>
    <row r="170" spans="1:16" ht="12.75" customHeight="1" thickTop="1" x14ac:dyDescent="0.25">
      <c r="D170" s="340"/>
      <c r="E170" s="588"/>
      <c r="F170" s="588"/>
      <c r="G170" s="586"/>
      <c r="H170" s="584"/>
      <c r="I170" s="587"/>
      <c r="J170" s="317"/>
      <c r="K170" s="317"/>
      <c r="L170" s="317"/>
      <c r="M170" s="317"/>
      <c r="N170" s="317"/>
      <c r="O170" s="317"/>
    </row>
    <row r="171" spans="1:16" ht="12.75" customHeight="1" x14ac:dyDescent="0.25">
      <c r="D171" s="333">
        <v>649007</v>
      </c>
      <c r="E171" s="331"/>
      <c r="F171" s="331"/>
      <c r="G171" s="332" t="s">
        <v>4868</v>
      </c>
      <c r="I171" s="316"/>
      <c r="J171" s="317"/>
      <c r="K171" s="317"/>
      <c r="L171" s="317"/>
      <c r="M171" s="317"/>
      <c r="N171" s="317"/>
      <c r="O171" s="317"/>
    </row>
    <row r="172" spans="1:16" ht="12.75" customHeight="1" x14ac:dyDescent="0.25">
      <c r="D172" s="333"/>
      <c r="E172" s="331"/>
      <c r="F172" s="331"/>
      <c r="G172" s="334" t="s">
        <v>533</v>
      </c>
      <c r="I172" s="316"/>
      <c r="J172" s="317"/>
      <c r="K172" s="317"/>
      <c r="L172" s="317"/>
      <c r="M172" s="317"/>
      <c r="N172" s="317"/>
      <c r="O172" s="317"/>
    </row>
    <row r="173" spans="1:16" ht="12.75" customHeight="1" x14ac:dyDescent="0.25">
      <c r="A173" s="336">
        <f>D171</f>
        <v>649007</v>
      </c>
      <c r="B173" s="115" t="str">
        <f>G171</f>
        <v>ODZOB milieu vergunningen</v>
      </c>
      <c r="D173" s="337">
        <v>43511</v>
      </c>
      <c r="E173" s="337"/>
      <c r="F173" s="340"/>
      <c r="G173" s="586" t="s">
        <v>560</v>
      </c>
      <c r="I173" s="316"/>
      <c r="J173" s="318">
        <v>208973</v>
      </c>
      <c r="K173" s="318">
        <f>K371</f>
        <v>214406</v>
      </c>
      <c r="L173" s="318">
        <f>L371</f>
        <v>218909</v>
      </c>
      <c r="M173" s="318">
        <f>M371</f>
        <v>223944</v>
      </c>
      <c r="N173" s="318">
        <f>N371</f>
        <v>229095</v>
      </c>
      <c r="O173" s="318">
        <f>O371</f>
        <v>234364</v>
      </c>
      <c r="P173" s="115" t="s">
        <v>4869</v>
      </c>
    </row>
    <row r="174" spans="1:16" ht="12.75" customHeight="1" thickBot="1" x14ac:dyDescent="0.3">
      <c r="D174" s="340"/>
      <c r="E174" s="340"/>
      <c r="F174" s="340"/>
      <c r="G174" s="319" t="s">
        <v>536</v>
      </c>
      <c r="I174" s="316"/>
      <c r="J174" s="342">
        <v>208973</v>
      </c>
      <c r="K174" s="342">
        <f>SUM(K171:K173)</f>
        <v>214406</v>
      </c>
      <c r="L174" s="342">
        <f>SUM(L171:L173)</f>
        <v>218909</v>
      </c>
      <c r="M174" s="342">
        <f>SUM(M171:M173)</f>
        <v>223944</v>
      </c>
      <c r="N174" s="342">
        <f>SUM(N171:N173)</f>
        <v>229095</v>
      </c>
      <c r="O174" s="342">
        <f>SUM(O171:O173)</f>
        <v>234364</v>
      </c>
    </row>
    <row r="175" spans="1:16" ht="12.75" customHeight="1" thickTop="1" x14ac:dyDescent="0.25">
      <c r="D175" s="340"/>
      <c r="E175" s="340"/>
      <c r="F175" s="340"/>
      <c r="G175" s="319"/>
      <c r="I175" s="316"/>
      <c r="J175" s="317"/>
      <c r="K175" s="317"/>
      <c r="L175" s="317"/>
      <c r="M175" s="317"/>
      <c r="N175" s="317"/>
      <c r="O175" s="317"/>
    </row>
    <row r="176" spans="1:16" ht="12.75" customHeight="1" x14ac:dyDescent="0.25">
      <c r="D176" s="333">
        <v>649010</v>
      </c>
      <c r="E176" s="331"/>
      <c r="F176" s="331"/>
      <c r="G176" s="332" t="s">
        <v>4870</v>
      </c>
      <c r="I176" s="316"/>
      <c r="J176" s="317"/>
      <c r="K176" s="317"/>
      <c r="L176" s="317"/>
      <c r="M176" s="317"/>
      <c r="N176" s="317"/>
      <c r="O176" s="317"/>
    </row>
    <row r="177" spans="1:15" ht="12.75" customHeight="1" x14ac:dyDescent="0.25">
      <c r="D177" s="333"/>
      <c r="E177" s="331"/>
      <c r="F177" s="331"/>
      <c r="G177" s="334" t="s">
        <v>533</v>
      </c>
      <c r="I177" s="316"/>
      <c r="J177" s="317"/>
      <c r="K177" s="317"/>
      <c r="L177" s="317"/>
      <c r="M177" s="317"/>
      <c r="N177" s="317"/>
      <c r="O177" s="317"/>
    </row>
    <row r="178" spans="1:15" ht="12.75" customHeight="1" x14ac:dyDescent="0.25">
      <c r="A178" s="336">
        <f>D176</f>
        <v>649010</v>
      </c>
      <c r="B178" s="115" t="str">
        <f>G176</f>
        <v>ODZOB milieu m.b.t. leges</v>
      </c>
      <c r="D178" s="337">
        <v>43511</v>
      </c>
      <c r="E178" s="337"/>
      <c r="F178" s="340"/>
      <c r="G178" s="586" t="s">
        <v>560</v>
      </c>
      <c r="I178" s="316"/>
      <c r="J178" s="318">
        <v>10731</v>
      </c>
      <c r="K178" s="318">
        <f>K378</f>
        <v>11010</v>
      </c>
      <c r="L178" s="318">
        <f>L378</f>
        <v>11241</v>
      </c>
      <c r="M178" s="318">
        <f>M378</f>
        <v>11500</v>
      </c>
      <c r="N178" s="318">
        <f>N378</f>
        <v>11765</v>
      </c>
      <c r="O178" s="318">
        <f>O378</f>
        <v>12036</v>
      </c>
    </row>
    <row r="179" spans="1:15" ht="12.75" customHeight="1" thickBot="1" x14ac:dyDescent="0.3">
      <c r="D179" s="340"/>
      <c r="E179" s="340"/>
      <c r="F179" s="340"/>
      <c r="G179" s="319" t="s">
        <v>536</v>
      </c>
      <c r="I179" s="316"/>
      <c r="J179" s="480">
        <v>10731</v>
      </c>
      <c r="K179" s="480">
        <f>SUM(K178)</f>
        <v>11010</v>
      </c>
      <c r="L179" s="480">
        <f>SUM(L178)</f>
        <v>11241</v>
      </c>
      <c r="M179" s="480">
        <f>SUM(M178)</f>
        <v>11500</v>
      </c>
      <c r="N179" s="480">
        <f>SUM(N178)</f>
        <v>11765</v>
      </c>
      <c r="O179" s="480">
        <f>SUM(O178)</f>
        <v>12036</v>
      </c>
    </row>
    <row r="180" spans="1:15" ht="12.75" customHeight="1" thickTop="1" x14ac:dyDescent="0.25">
      <c r="D180" s="340"/>
      <c r="E180" s="340"/>
      <c r="F180" s="340"/>
      <c r="G180" s="319"/>
      <c r="I180" s="316"/>
      <c r="J180" s="317"/>
      <c r="K180" s="317"/>
      <c r="L180" s="317"/>
      <c r="M180" s="317"/>
      <c r="N180" s="317"/>
      <c r="O180" s="317"/>
    </row>
    <row r="181" spans="1:15" ht="12.75" customHeight="1" x14ac:dyDescent="0.25">
      <c r="D181" s="333">
        <v>649011</v>
      </c>
      <c r="E181" s="331"/>
      <c r="F181" s="331"/>
      <c r="G181" s="381" t="s">
        <v>4871</v>
      </c>
      <c r="I181" s="316"/>
      <c r="J181" s="317"/>
      <c r="K181" s="317"/>
      <c r="L181" s="317"/>
      <c r="M181" s="317"/>
      <c r="N181" s="317"/>
      <c r="O181" s="317"/>
    </row>
    <row r="182" spans="1:15" ht="12.75" customHeight="1" x14ac:dyDescent="0.25">
      <c r="D182" s="333"/>
      <c r="E182" s="331"/>
      <c r="F182" s="331"/>
      <c r="G182" s="334" t="s">
        <v>533</v>
      </c>
      <c r="I182" s="316"/>
      <c r="J182" s="317"/>
      <c r="K182" s="317"/>
      <c r="L182" s="317"/>
      <c r="M182" s="317"/>
      <c r="N182" s="317"/>
      <c r="O182" s="317"/>
    </row>
    <row r="183" spans="1:15" ht="12.75" customHeight="1" x14ac:dyDescent="0.25">
      <c r="A183" s="336">
        <f>D181</f>
        <v>649011</v>
      </c>
      <c r="B183" s="115" t="str">
        <f>G181</f>
        <v>ODZOB Milieu Juridische ondersteuning</v>
      </c>
      <c r="D183" s="337">
        <v>43511</v>
      </c>
      <c r="E183" s="337"/>
      <c r="F183" s="340"/>
      <c r="G183" s="586" t="s">
        <v>560</v>
      </c>
      <c r="I183" s="316"/>
      <c r="J183" s="318">
        <v>27141</v>
      </c>
      <c r="K183" s="318">
        <f>K387</f>
        <v>27847</v>
      </c>
      <c r="L183" s="318">
        <f>L387</f>
        <v>28432</v>
      </c>
      <c r="M183" s="318">
        <f>M387</f>
        <v>29086</v>
      </c>
      <c r="N183" s="318">
        <f>N387</f>
        <v>29755</v>
      </c>
      <c r="O183" s="318">
        <f>O387</f>
        <v>30439</v>
      </c>
    </row>
    <row r="184" spans="1:15" ht="12.75" customHeight="1" thickBot="1" x14ac:dyDescent="0.3">
      <c r="D184" s="340"/>
      <c r="E184" s="340"/>
      <c r="F184" s="340"/>
      <c r="G184" s="319" t="s">
        <v>536</v>
      </c>
      <c r="I184" s="316"/>
      <c r="J184" s="480">
        <v>27141</v>
      </c>
      <c r="K184" s="480">
        <f>SUM(K183)</f>
        <v>27847</v>
      </c>
      <c r="L184" s="480">
        <f>SUM(L183)</f>
        <v>28432</v>
      </c>
      <c r="M184" s="480">
        <f>SUM(M183)</f>
        <v>29086</v>
      </c>
      <c r="N184" s="480">
        <f>SUM(N183)</f>
        <v>29755</v>
      </c>
      <c r="O184" s="480">
        <f>SUM(O183)</f>
        <v>30439</v>
      </c>
    </row>
    <row r="185" spans="1:15" ht="12.75" customHeight="1" thickTop="1" x14ac:dyDescent="0.25">
      <c r="D185" s="340"/>
      <c r="E185" s="340"/>
      <c r="F185" s="340"/>
      <c r="G185" s="319"/>
      <c r="I185" s="316"/>
      <c r="J185" s="317"/>
      <c r="K185" s="317"/>
      <c r="L185" s="317"/>
      <c r="M185" s="317"/>
      <c r="N185" s="317"/>
      <c r="O185" s="317"/>
    </row>
    <row r="186" spans="1:15" ht="12.75" customHeight="1" x14ac:dyDescent="0.25">
      <c r="D186" s="333">
        <v>649012</v>
      </c>
      <c r="E186" s="331"/>
      <c r="F186" s="331"/>
      <c r="G186" s="381" t="s">
        <v>4872</v>
      </c>
      <c r="I186" s="316"/>
      <c r="J186" s="317"/>
      <c r="K186" s="317"/>
      <c r="L186" s="317"/>
      <c r="M186" s="317"/>
      <c r="N186" s="317"/>
      <c r="O186" s="317"/>
    </row>
    <row r="187" spans="1:15" ht="12.75" customHeight="1" x14ac:dyDescent="0.25">
      <c r="D187" s="333"/>
      <c r="E187" s="331"/>
      <c r="F187" s="331"/>
      <c r="G187" s="334" t="s">
        <v>533</v>
      </c>
      <c r="I187" s="316"/>
      <c r="J187" s="317"/>
      <c r="K187" s="317"/>
      <c r="L187" s="317"/>
      <c r="M187" s="317"/>
      <c r="N187" s="317"/>
      <c r="O187" s="317"/>
    </row>
    <row r="188" spans="1:15" ht="12.75" customHeight="1" x14ac:dyDescent="0.25">
      <c r="A188" s="336">
        <f>D186</f>
        <v>649012</v>
      </c>
      <c r="B188" s="115" t="str">
        <f>G186</f>
        <v>ODZOB Onderzoek en advies</v>
      </c>
      <c r="D188" s="337">
        <v>43511</v>
      </c>
      <c r="E188" s="337"/>
      <c r="F188" s="340"/>
      <c r="G188" s="586" t="s">
        <v>560</v>
      </c>
      <c r="I188" s="316"/>
      <c r="J188" s="318">
        <v>6918</v>
      </c>
      <c r="K188" s="318">
        <f>K394</f>
        <v>7098</v>
      </c>
      <c r="L188" s="318">
        <f>L394</f>
        <v>7247</v>
      </c>
      <c r="M188" s="318">
        <f>M394</f>
        <v>7414</v>
      </c>
      <c r="N188" s="318">
        <f>N394</f>
        <v>7585</v>
      </c>
      <c r="O188" s="318">
        <f>O394</f>
        <v>7759</v>
      </c>
    </row>
    <row r="189" spans="1:15" ht="12.75" customHeight="1" thickBot="1" x14ac:dyDescent="0.3">
      <c r="D189" s="340"/>
      <c r="E189" s="340"/>
      <c r="F189" s="340"/>
      <c r="G189" s="319" t="s">
        <v>536</v>
      </c>
      <c r="I189" s="316"/>
      <c r="J189" s="480">
        <v>6918</v>
      </c>
      <c r="K189" s="480">
        <f>SUM(K188)</f>
        <v>7098</v>
      </c>
      <c r="L189" s="480">
        <f>SUM(L188)</f>
        <v>7247</v>
      </c>
      <c r="M189" s="480">
        <f>SUM(M188)</f>
        <v>7414</v>
      </c>
      <c r="N189" s="480">
        <f>SUM(N188)</f>
        <v>7585</v>
      </c>
      <c r="O189" s="480">
        <f>SUM(O188)</f>
        <v>7759</v>
      </c>
    </row>
    <row r="190" spans="1:15" ht="12.75" customHeight="1" thickTop="1" x14ac:dyDescent="0.25">
      <c r="D190" s="347"/>
      <c r="E190" s="476"/>
      <c r="F190" s="476"/>
      <c r="G190" s="591"/>
      <c r="H190" s="584"/>
      <c r="I190" s="587"/>
      <c r="J190" s="317"/>
      <c r="K190" s="317"/>
      <c r="L190" s="317"/>
      <c r="M190" s="317"/>
      <c r="N190" s="317"/>
      <c r="O190" s="317"/>
    </row>
    <row r="191" spans="1:15" ht="12.75" customHeight="1" x14ac:dyDescent="0.25">
      <c r="D191" s="333">
        <v>649902</v>
      </c>
      <c r="E191" s="331"/>
      <c r="F191" s="331"/>
      <c r="G191" s="583" t="s">
        <v>4873</v>
      </c>
      <c r="H191" s="584"/>
      <c r="I191" s="587"/>
      <c r="J191" s="317"/>
      <c r="K191" s="317"/>
      <c r="L191" s="317"/>
      <c r="M191" s="317"/>
      <c r="N191" s="317"/>
      <c r="O191" s="317"/>
    </row>
    <row r="192" spans="1:15" ht="12.75" customHeight="1" x14ac:dyDescent="0.25">
      <c r="D192" s="347"/>
      <c r="E192" s="476"/>
      <c r="F192" s="476"/>
      <c r="G192" s="585" t="s">
        <v>533</v>
      </c>
      <c r="H192" s="584"/>
      <c r="I192" s="587"/>
      <c r="J192" s="317"/>
      <c r="K192" s="317"/>
      <c r="L192" s="317"/>
      <c r="M192" s="317"/>
      <c r="N192" s="317"/>
      <c r="O192" s="317"/>
    </row>
    <row r="193" spans="1:19" ht="12.75" customHeight="1" x14ac:dyDescent="0.25">
      <c r="A193" s="479">
        <f>D191</f>
        <v>649902</v>
      </c>
      <c r="B193" s="584" t="str">
        <f>G191</f>
        <v>Directe toerekening milieubeheer</v>
      </c>
      <c r="D193" s="340">
        <v>41100</v>
      </c>
      <c r="E193" s="340"/>
      <c r="F193" s="340"/>
      <c r="G193" s="586" t="s">
        <v>700</v>
      </c>
      <c r="H193" s="584"/>
      <c r="I193" s="587"/>
      <c r="J193" s="318">
        <v>847478.06</v>
      </c>
      <c r="K193" s="318">
        <f>K419</f>
        <v>589800.71</v>
      </c>
      <c r="L193" s="318">
        <f t="shared" ref="L193:O193" si="29">L419</f>
        <v>508288</v>
      </c>
      <c r="M193" s="318">
        <f t="shared" si="29"/>
        <v>527094</v>
      </c>
      <c r="N193" s="318">
        <f t="shared" si="29"/>
        <v>546597</v>
      </c>
      <c r="O193" s="318">
        <f t="shared" si="29"/>
        <v>566821</v>
      </c>
    </row>
    <row r="194" spans="1:19" ht="12.75" customHeight="1" x14ac:dyDescent="0.25">
      <c r="A194" s="336">
        <f>D191</f>
        <v>649902</v>
      </c>
      <c r="B194" s="584" t="str">
        <f>G191</f>
        <v>Directe toerekening milieubeheer</v>
      </c>
      <c r="D194" s="340">
        <v>47300</v>
      </c>
      <c r="E194" s="340"/>
      <c r="F194" s="340"/>
      <c r="G194" s="586" t="s">
        <v>1033</v>
      </c>
      <c r="H194" s="584"/>
      <c r="I194" s="587"/>
      <c r="J194" s="318">
        <v>59669</v>
      </c>
      <c r="K194" s="318">
        <v>46585</v>
      </c>
      <c r="L194" s="318">
        <v>342585</v>
      </c>
      <c r="M194" s="318">
        <v>425919</v>
      </c>
      <c r="N194" s="318">
        <v>459252</v>
      </c>
      <c r="O194" s="318">
        <v>0</v>
      </c>
      <c r="P194" s="114"/>
      <c r="Q194" s="114"/>
    </row>
    <row r="195" spans="1:19" ht="12.75" customHeight="1" thickBot="1" x14ac:dyDescent="0.3">
      <c r="D195" s="340"/>
      <c r="E195" s="340"/>
      <c r="F195" s="340"/>
      <c r="G195" s="586" t="s">
        <v>536</v>
      </c>
      <c r="H195" s="584"/>
      <c r="I195" s="587"/>
      <c r="J195" s="342">
        <v>907147.06</v>
      </c>
      <c r="K195" s="342">
        <f>SUM(K193:K194)</f>
        <v>636385.71</v>
      </c>
      <c r="L195" s="342">
        <f>SUM(L193:L194)</f>
        <v>850873</v>
      </c>
      <c r="M195" s="342">
        <f>SUM(M193:M194)</f>
        <v>953013</v>
      </c>
      <c r="N195" s="342">
        <f>SUM(N193:N194)</f>
        <v>1005849</v>
      </c>
      <c r="O195" s="342">
        <f>SUM(O193:O194)</f>
        <v>566821</v>
      </c>
      <c r="Q195" s="114"/>
      <c r="R195" s="114"/>
      <c r="S195" s="114"/>
    </row>
    <row r="196" spans="1:19" ht="12.75" customHeight="1" thickTop="1" x14ac:dyDescent="0.25">
      <c r="D196" s="340"/>
      <c r="E196" s="340"/>
      <c r="F196" s="340"/>
      <c r="G196" s="319"/>
      <c r="I196" s="316"/>
      <c r="J196" s="317"/>
      <c r="K196" s="317"/>
      <c r="L196" s="317"/>
      <c r="M196" s="317"/>
      <c r="N196" s="317"/>
      <c r="O196" s="317"/>
    </row>
    <row r="197" spans="1:19" ht="12.75" customHeight="1" x14ac:dyDescent="0.25">
      <c r="D197" s="333">
        <v>649901</v>
      </c>
      <c r="E197" s="331"/>
      <c r="F197" s="331"/>
      <c r="G197" s="332" t="s">
        <v>4874</v>
      </c>
      <c r="I197" s="316"/>
      <c r="J197" s="317"/>
      <c r="K197" s="317"/>
      <c r="L197" s="317"/>
      <c r="M197" s="317"/>
      <c r="N197" s="317"/>
      <c r="O197" s="317"/>
    </row>
    <row r="198" spans="1:19" ht="12.75" customHeight="1" x14ac:dyDescent="0.25">
      <c r="D198" s="333"/>
      <c r="E198" s="331"/>
      <c r="F198" s="331"/>
      <c r="G198" s="334" t="s">
        <v>533</v>
      </c>
      <c r="I198" s="316"/>
      <c r="J198" s="317"/>
      <c r="K198" s="317"/>
      <c r="L198" s="317"/>
      <c r="M198" s="317"/>
      <c r="N198" s="317"/>
      <c r="O198" s="317"/>
    </row>
    <row r="199" spans="1:19" ht="12.75" customHeight="1" x14ac:dyDescent="0.25">
      <c r="A199" s="336">
        <f>D197</f>
        <v>649901</v>
      </c>
      <c r="B199" s="115" t="str">
        <f>G197</f>
        <v>Directe toerekening vergunning milieu titel 2</v>
      </c>
      <c r="D199" s="337">
        <v>41100</v>
      </c>
      <c r="E199" s="337"/>
      <c r="F199" s="337"/>
      <c r="G199" s="319" t="s">
        <v>700</v>
      </c>
      <c r="I199" s="316"/>
      <c r="J199" s="318">
        <v>5459.85</v>
      </c>
      <c r="K199" s="318">
        <f>K427</f>
        <v>0</v>
      </c>
      <c r="L199" s="318">
        <f>L427</f>
        <v>0</v>
      </c>
      <c r="M199" s="318">
        <f>M427</f>
        <v>0</v>
      </c>
      <c r="N199" s="318">
        <f>N427</f>
        <v>0</v>
      </c>
      <c r="O199" s="318">
        <f>O427</f>
        <v>0</v>
      </c>
    </row>
    <row r="200" spans="1:19" ht="12.75" customHeight="1" thickBot="1" x14ac:dyDescent="0.3">
      <c r="D200" s="340"/>
      <c r="E200" s="340"/>
      <c r="F200" s="340"/>
      <c r="G200" s="319" t="s">
        <v>536</v>
      </c>
      <c r="I200" s="316"/>
      <c r="J200" s="342">
        <v>5459.85</v>
      </c>
      <c r="K200" s="342">
        <f>SUM(K198:K199)</f>
        <v>0</v>
      </c>
      <c r="L200" s="342">
        <f>SUM(L198:L199)</f>
        <v>0</v>
      </c>
      <c r="M200" s="342">
        <f>SUM(M198:M199)</f>
        <v>0</v>
      </c>
      <c r="N200" s="342">
        <f>SUM(N198:N199)</f>
        <v>0</v>
      </c>
      <c r="O200" s="342">
        <f>SUM(O198:O199)</f>
        <v>0</v>
      </c>
    </row>
    <row r="201" spans="1:19" ht="12.75" customHeight="1" thickTop="1" x14ac:dyDescent="0.25">
      <c r="D201" s="340"/>
      <c r="E201" s="340"/>
      <c r="F201" s="340"/>
      <c r="G201" s="319"/>
      <c r="I201" s="316"/>
      <c r="J201" s="317"/>
      <c r="K201" s="317"/>
      <c r="L201" s="317"/>
      <c r="M201" s="317"/>
      <c r="N201" s="317"/>
      <c r="O201" s="317"/>
    </row>
    <row r="202" spans="1:19" ht="12.75" customHeight="1" x14ac:dyDescent="0.25">
      <c r="D202" s="476">
        <v>649002</v>
      </c>
      <c r="E202" s="340"/>
      <c r="F202" s="340"/>
      <c r="G202" s="332" t="s">
        <v>4855</v>
      </c>
      <c r="I202" s="316"/>
      <c r="J202" s="317"/>
      <c r="K202" s="317"/>
      <c r="L202" s="317"/>
      <c r="M202" s="317"/>
      <c r="N202" s="317"/>
      <c r="O202" s="317"/>
    </row>
    <row r="203" spans="1:19" ht="12.75" customHeight="1" x14ac:dyDescent="0.25">
      <c r="D203" s="340"/>
      <c r="E203" s="340"/>
      <c r="F203" s="340"/>
      <c r="G203" s="334" t="s">
        <v>554</v>
      </c>
      <c r="I203" s="316"/>
      <c r="J203" s="317"/>
      <c r="K203" s="317"/>
      <c r="L203" s="317"/>
      <c r="M203" s="317"/>
      <c r="N203" s="317"/>
      <c r="O203" s="317"/>
    </row>
    <row r="204" spans="1:19" ht="12.75" customHeight="1" x14ac:dyDescent="0.25">
      <c r="D204" s="340">
        <v>84310</v>
      </c>
      <c r="E204" s="340"/>
      <c r="F204" s="340"/>
      <c r="G204" s="319" t="s">
        <v>4884</v>
      </c>
      <c r="I204" s="316"/>
      <c r="J204" s="317">
        <f>K434</f>
        <v>0</v>
      </c>
      <c r="K204" s="317">
        <f t="shared" ref="K204:O204" si="30">L434</f>
        <v>-86000</v>
      </c>
      <c r="L204" s="317">
        <f t="shared" si="30"/>
        <v>0</v>
      </c>
      <c r="M204" s="317">
        <f t="shared" si="30"/>
        <v>0</v>
      </c>
      <c r="N204" s="317">
        <f t="shared" si="30"/>
        <v>0</v>
      </c>
      <c r="O204" s="317">
        <f t="shared" si="30"/>
        <v>0</v>
      </c>
    </row>
    <row r="205" spans="1:19" ht="12.75" customHeight="1" thickBot="1" x14ac:dyDescent="0.3">
      <c r="D205" s="340"/>
      <c r="E205" s="340"/>
      <c r="F205" s="340"/>
      <c r="G205" s="319"/>
      <c r="I205" s="316"/>
      <c r="J205" s="342">
        <f>SUM(J204)</f>
        <v>0</v>
      </c>
      <c r="K205" s="342">
        <f t="shared" ref="K205:O205" si="31">SUM(K204)</f>
        <v>-86000</v>
      </c>
      <c r="L205" s="342">
        <f t="shared" si="31"/>
        <v>0</v>
      </c>
      <c r="M205" s="342">
        <f t="shared" si="31"/>
        <v>0</v>
      </c>
      <c r="N205" s="342">
        <f t="shared" si="31"/>
        <v>0</v>
      </c>
      <c r="O205" s="342">
        <f t="shared" si="31"/>
        <v>0</v>
      </c>
    </row>
    <row r="206" spans="1:19" ht="12.75" customHeight="1" thickTop="1" x14ac:dyDescent="0.25">
      <c r="D206" s="340"/>
      <c r="E206" s="340"/>
      <c r="F206" s="340"/>
      <c r="G206" s="319"/>
      <c r="I206" s="316"/>
      <c r="J206" s="317"/>
      <c r="K206" s="317"/>
      <c r="L206" s="317"/>
      <c r="M206" s="317"/>
      <c r="N206" s="317"/>
      <c r="O206" s="317"/>
    </row>
    <row r="207" spans="1:19" ht="12.75" customHeight="1" x14ac:dyDescent="0.25">
      <c r="D207" s="333">
        <v>649015</v>
      </c>
      <c r="E207" s="331"/>
      <c r="F207" s="331"/>
      <c r="G207" s="583" t="s">
        <v>4875</v>
      </c>
      <c r="H207" s="584"/>
      <c r="I207" s="587"/>
      <c r="J207" s="317"/>
      <c r="K207" s="317"/>
      <c r="L207" s="317"/>
      <c r="M207" s="317"/>
      <c r="N207" s="317"/>
      <c r="O207" s="317"/>
    </row>
    <row r="208" spans="1:19" ht="12.75" customHeight="1" x14ac:dyDescent="0.25">
      <c r="D208" s="347"/>
      <c r="E208" s="476"/>
      <c r="F208" s="476"/>
      <c r="G208" s="585" t="s">
        <v>554</v>
      </c>
      <c r="H208" s="584"/>
      <c r="I208" s="587"/>
      <c r="J208" s="317"/>
      <c r="K208" s="317"/>
      <c r="L208" s="317"/>
      <c r="M208" s="317"/>
      <c r="N208" s="317"/>
      <c r="O208" s="317"/>
    </row>
    <row r="209" spans="1:23" ht="12.75" customHeight="1" x14ac:dyDescent="0.25">
      <c r="A209" s="336">
        <f>D207</f>
        <v>649015</v>
      </c>
      <c r="B209" s="584" t="str">
        <f>G207</f>
        <v>Zonnepanelen</v>
      </c>
      <c r="D209" s="340">
        <v>84310</v>
      </c>
      <c r="E209" s="340"/>
      <c r="F209" s="340"/>
      <c r="G209" s="586" t="s">
        <v>2134</v>
      </c>
      <c r="H209" s="584"/>
      <c r="I209" s="587"/>
      <c r="J209" s="318">
        <v>-24900</v>
      </c>
      <c r="K209" s="318">
        <v>-24900</v>
      </c>
      <c r="L209" s="318">
        <v>-24900</v>
      </c>
      <c r="M209" s="318">
        <v>-24900</v>
      </c>
      <c r="N209" s="318">
        <v>-24900</v>
      </c>
      <c r="O209" s="318">
        <v>-24900</v>
      </c>
    </row>
    <row r="210" spans="1:23" ht="12.75" customHeight="1" thickBot="1" x14ac:dyDescent="0.3">
      <c r="D210" s="340"/>
      <c r="E210" s="340"/>
      <c r="F210" s="340"/>
      <c r="G210" s="586" t="s">
        <v>536</v>
      </c>
      <c r="H210" s="584"/>
      <c r="I210" s="587"/>
      <c r="J210" s="342">
        <v>-24900</v>
      </c>
      <c r="K210" s="342">
        <f>SUM(K208:K209)</f>
        <v>-24900</v>
      </c>
      <c r="L210" s="342">
        <f>SUM(L208:L209)</f>
        <v>-24900</v>
      </c>
      <c r="M210" s="342">
        <f>SUM(M208:M209)</f>
        <v>-24900</v>
      </c>
      <c r="N210" s="342">
        <f>SUM(N208:N209)</f>
        <v>-24900</v>
      </c>
      <c r="O210" s="342">
        <f>SUM(O208:O209)</f>
        <v>-24900</v>
      </c>
    </row>
    <row r="211" spans="1:23" ht="12.75" customHeight="1" thickTop="1" x14ac:dyDescent="0.25">
      <c r="D211" s="340"/>
      <c r="E211" s="340"/>
      <c r="F211" s="340"/>
      <c r="G211" s="586"/>
      <c r="H211" s="584"/>
      <c r="I211" s="587"/>
      <c r="J211" s="317"/>
      <c r="K211" s="317"/>
      <c r="L211" s="317"/>
      <c r="M211" s="317"/>
      <c r="N211" s="317"/>
      <c r="O211" s="317"/>
    </row>
    <row r="212" spans="1:23" ht="12.75" customHeight="1" x14ac:dyDescent="0.25">
      <c r="D212" s="333">
        <v>649008</v>
      </c>
      <c r="E212" s="331"/>
      <c r="F212" s="331"/>
      <c r="G212" s="332" t="s">
        <v>4876</v>
      </c>
      <c r="I212" s="316"/>
      <c r="J212" s="317"/>
      <c r="K212" s="317"/>
      <c r="L212" s="317"/>
      <c r="M212" s="317"/>
      <c r="N212" s="317"/>
      <c r="O212" s="317"/>
    </row>
    <row r="213" spans="1:23" ht="12.75" customHeight="1" x14ac:dyDescent="0.25">
      <c r="D213" s="340"/>
      <c r="E213" s="340"/>
      <c r="F213" s="340"/>
      <c r="G213" s="334" t="s">
        <v>554</v>
      </c>
      <c r="I213" s="316"/>
      <c r="J213" s="317"/>
      <c r="K213" s="317"/>
      <c r="L213" s="317"/>
      <c r="M213" s="317"/>
      <c r="N213" s="317"/>
      <c r="O213" s="317"/>
    </row>
    <row r="214" spans="1:23" ht="12.75" customHeight="1" x14ac:dyDescent="0.25">
      <c r="A214" s="336">
        <f>D212</f>
        <v>649008</v>
      </c>
      <c r="B214" s="115" t="str">
        <f>G212</f>
        <v>Berekening hogere waarden</v>
      </c>
      <c r="D214" s="337">
        <v>83700</v>
      </c>
      <c r="E214" s="337"/>
      <c r="F214" s="337"/>
      <c r="G214" s="319" t="s">
        <v>737</v>
      </c>
      <c r="I214" s="316"/>
      <c r="J214" s="156">
        <v>-10197</v>
      </c>
      <c r="K214" s="156">
        <f t="shared" ref="K214:M214" si="32">K451</f>
        <v>-10462</v>
      </c>
      <c r="L214" s="156">
        <f t="shared" si="32"/>
        <v>-10682</v>
      </c>
      <c r="M214" s="156">
        <f t="shared" si="32"/>
        <v>-10928</v>
      </c>
      <c r="N214" s="156">
        <f t="shared" ref="N214:O214" si="33">N451</f>
        <v>-11179</v>
      </c>
      <c r="O214" s="156">
        <f t="shared" si="33"/>
        <v>-11436</v>
      </c>
    </row>
    <row r="215" spans="1:23" ht="12.75" customHeight="1" thickBot="1" x14ac:dyDescent="0.3">
      <c r="D215" s="340"/>
      <c r="E215" s="340"/>
      <c r="F215" s="340"/>
      <c r="G215" s="319" t="s">
        <v>536</v>
      </c>
      <c r="I215" s="316"/>
      <c r="J215" s="342">
        <v>-10197</v>
      </c>
      <c r="K215" s="342">
        <f>SUM(K214)</f>
        <v>-10462</v>
      </c>
      <c r="L215" s="342">
        <f>SUM(L214)</f>
        <v>-10682</v>
      </c>
      <c r="M215" s="342">
        <f>SUM(M214)</f>
        <v>-10928</v>
      </c>
      <c r="N215" s="342">
        <f>SUM(N214)</f>
        <v>-11179</v>
      </c>
      <c r="O215" s="342">
        <f>SUM(O214)</f>
        <v>-11436</v>
      </c>
      <c r="Q215" s="115" t="s">
        <v>4877</v>
      </c>
      <c r="R215" s="115">
        <v>2026</v>
      </c>
      <c r="S215" s="115">
        <v>2027</v>
      </c>
      <c r="T215" s="115">
        <v>2028</v>
      </c>
      <c r="U215" s="115">
        <v>2029</v>
      </c>
    </row>
    <row r="216" spans="1:23" ht="12.75" customHeight="1" thickTop="1" x14ac:dyDescent="0.25">
      <c r="D216" s="340"/>
      <c r="E216" s="340"/>
      <c r="F216" s="340"/>
      <c r="G216" s="319"/>
      <c r="I216" s="316"/>
      <c r="J216" s="317"/>
      <c r="K216" s="317"/>
      <c r="L216" s="317"/>
      <c r="M216" s="317"/>
      <c r="N216" s="317"/>
      <c r="O216" s="317"/>
    </row>
    <row r="217" spans="1:23" ht="12.75" customHeight="1" x14ac:dyDescent="0.25">
      <c r="D217" s="333">
        <v>649009</v>
      </c>
      <c r="E217" s="331"/>
      <c r="F217" s="331"/>
      <c r="G217" s="332" t="s">
        <v>4878</v>
      </c>
      <c r="I217" s="316"/>
      <c r="J217" s="335"/>
      <c r="K217" s="335"/>
      <c r="L217" s="335"/>
      <c r="M217" s="335"/>
      <c r="N217" s="335"/>
      <c r="O217" s="335"/>
      <c r="S217" s="114"/>
      <c r="T217" s="114"/>
      <c r="U217" s="114"/>
      <c r="V217" s="114"/>
      <c r="W217" s="114"/>
    </row>
    <row r="218" spans="1:23" ht="12.75" customHeight="1" x14ac:dyDescent="0.25">
      <c r="D218" s="333"/>
      <c r="E218" s="331"/>
      <c r="F218" s="331"/>
      <c r="G218" s="334" t="s">
        <v>554</v>
      </c>
      <c r="I218" s="316"/>
      <c r="J218" s="335"/>
      <c r="K218" s="335"/>
      <c r="L218" s="335"/>
      <c r="M218" s="335"/>
      <c r="N218" s="335"/>
      <c r="O218" s="335"/>
      <c r="Q218" s="114" t="s">
        <v>4879</v>
      </c>
      <c r="R218" s="114"/>
      <c r="S218" s="114">
        <v>400600</v>
      </c>
      <c r="T218" s="114">
        <v>400600</v>
      </c>
      <c r="U218" s="114">
        <v>400600</v>
      </c>
      <c r="V218" s="114"/>
      <c r="W218" s="114"/>
    </row>
    <row r="219" spans="1:23" ht="12.75" customHeight="1" x14ac:dyDescent="0.25">
      <c r="A219" s="336">
        <f>D217</f>
        <v>649009</v>
      </c>
      <c r="B219" s="115" t="str">
        <f>G217</f>
        <v>Uitvoering milieuwetgeving (titel 2)</v>
      </c>
      <c r="D219" s="337">
        <v>83700</v>
      </c>
      <c r="E219" s="337"/>
      <c r="F219" s="337"/>
      <c r="G219" s="319" t="s">
        <v>737</v>
      </c>
      <c r="I219" s="316"/>
      <c r="J219" s="318">
        <v>-3908</v>
      </c>
      <c r="K219" s="318">
        <f t="shared" ref="K219:M219" si="34">K445</f>
        <v>-4010</v>
      </c>
      <c r="L219" s="318">
        <f t="shared" si="34"/>
        <v>-4094</v>
      </c>
      <c r="M219" s="318">
        <f t="shared" si="34"/>
        <v>-4188</v>
      </c>
      <c r="N219" s="318">
        <f t="shared" ref="N219:O219" si="35">N445</f>
        <v>-4284</v>
      </c>
      <c r="O219" s="318">
        <f t="shared" si="35"/>
        <v>-4383</v>
      </c>
      <c r="Q219" s="115" t="s">
        <v>4880</v>
      </c>
      <c r="S219" s="114">
        <v>302066</v>
      </c>
      <c r="T219" s="114">
        <v>302066</v>
      </c>
      <c r="U219" s="114">
        <v>302066</v>
      </c>
      <c r="V219" s="114"/>
      <c r="W219" s="114"/>
    </row>
    <row r="220" spans="1:23" ht="12.75" customHeight="1" thickBot="1" x14ac:dyDescent="0.3">
      <c r="D220" s="337"/>
      <c r="E220" s="337"/>
      <c r="F220" s="337"/>
      <c r="G220" s="319" t="s">
        <v>536</v>
      </c>
      <c r="I220" s="316"/>
      <c r="J220" s="480">
        <v>-3908</v>
      </c>
      <c r="K220" s="480">
        <f>SUM(K219)</f>
        <v>-4010</v>
      </c>
      <c r="L220" s="480">
        <f>SUM(L219)</f>
        <v>-4094</v>
      </c>
      <c r="M220" s="480">
        <f>SUM(M219)</f>
        <v>-4188</v>
      </c>
      <c r="N220" s="480">
        <f>SUM(N219)</f>
        <v>-4284</v>
      </c>
      <c r="O220" s="480">
        <f>SUM(O219)</f>
        <v>-4383</v>
      </c>
      <c r="Q220" s="114" t="s">
        <v>4881</v>
      </c>
      <c r="R220" s="114"/>
      <c r="S220" s="114">
        <v>297334</v>
      </c>
      <c r="T220" s="114">
        <v>297334</v>
      </c>
      <c r="U220" s="114">
        <v>297334</v>
      </c>
      <c r="V220" s="114"/>
      <c r="W220" s="114"/>
    </row>
    <row r="221" spans="1:23" ht="12.75" customHeight="1" thickTop="1" x14ac:dyDescent="0.25">
      <c r="D221" s="340"/>
      <c r="E221" s="340"/>
      <c r="F221" s="340"/>
      <c r="G221" s="319"/>
      <c r="J221" s="344"/>
      <c r="K221" s="344"/>
      <c r="L221" s="344"/>
      <c r="M221" s="344"/>
      <c r="N221" s="344"/>
      <c r="O221" s="344"/>
      <c r="Q221" s="114"/>
      <c r="R221" s="114"/>
      <c r="S221" s="114"/>
      <c r="T221" s="114"/>
      <c r="U221" s="114"/>
      <c r="V221" s="114"/>
      <c r="W221" s="114"/>
    </row>
    <row r="222" spans="1:23" ht="12.75" customHeight="1" x14ac:dyDescent="0.25">
      <c r="D222" s="340"/>
      <c r="E222" s="340"/>
      <c r="F222" s="340"/>
      <c r="G222" s="319"/>
      <c r="I222" s="316"/>
      <c r="J222" s="317"/>
      <c r="K222" s="317"/>
      <c r="L222" s="317"/>
      <c r="M222" s="317"/>
      <c r="N222" s="317"/>
      <c r="O222" s="317"/>
      <c r="Q222" s="115" t="s">
        <v>4882</v>
      </c>
      <c r="S222" s="114">
        <v>-600000</v>
      </c>
      <c r="T222" s="114">
        <v>-600000</v>
      </c>
      <c r="U222" s="114">
        <v>-600000</v>
      </c>
      <c r="V222" s="114"/>
      <c r="W222" s="114"/>
    </row>
    <row r="223" spans="1:23" ht="12.75" customHeight="1" x14ac:dyDescent="0.25">
      <c r="D223" s="333">
        <v>649018</v>
      </c>
      <c r="E223" s="331"/>
      <c r="F223" s="331"/>
      <c r="G223" s="583" t="s">
        <v>4862</v>
      </c>
      <c r="H223" s="584"/>
      <c r="I223" s="587"/>
      <c r="J223" s="317"/>
      <c r="K223" s="317"/>
      <c r="L223" s="317"/>
      <c r="M223" s="317"/>
      <c r="N223" s="317"/>
      <c r="O223" s="317"/>
      <c r="Q223" s="115" t="s">
        <v>4883</v>
      </c>
      <c r="S223" s="114">
        <v>-400000</v>
      </c>
      <c r="T223" s="114">
        <v>-400000</v>
      </c>
      <c r="U223" s="114">
        <v>-400000</v>
      </c>
      <c r="V223" s="114"/>
      <c r="W223" s="114"/>
    </row>
    <row r="224" spans="1:23" ht="12.75" customHeight="1" x14ac:dyDescent="0.25">
      <c r="D224" s="347"/>
      <c r="E224" s="476"/>
      <c r="F224" s="476"/>
      <c r="G224" s="585" t="s">
        <v>554</v>
      </c>
      <c r="H224" s="584"/>
      <c r="I224" s="587"/>
      <c r="J224" s="317"/>
      <c r="K224" s="317"/>
      <c r="L224" s="317"/>
      <c r="M224" s="317"/>
      <c r="N224" s="317"/>
      <c r="O224" s="317"/>
      <c r="S224" s="114"/>
      <c r="T224" s="114"/>
      <c r="U224" s="114"/>
      <c r="V224" s="114"/>
      <c r="W224" s="114"/>
    </row>
    <row r="225" spans="1:23" ht="12.75" customHeight="1" x14ac:dyDescent="0.25">
      <c r="A225" s="336">
        <f>D223</f>
        <v>649018</v>
      </c>
      <c r="B225" s="584" t="str">
        <f>G223</f>
        <v>Capaciteit klimaatbeleid</v>
      </c>
      <c r="D225" s="340">
        <v>84310</v>
      </c>
      <c r="E225" s="340"/>
      <c r="F225" s="340"/>
      <c r="G225" s="586" t="s">
        <v>2134</v>
      </c>
      <c r="H225" s="584"/>
      <c r="I225" s="587"/>
      <c r="J225" s="318">
        <v>-325000</v>
      </c>
      <c r="K225" s="318">
        <f t="shared" ref="K225:M225" si="36">K457</f>
        <v>-325000</v>
      </c>
      <c r="L225" s="318">
        <f t="shared" si="36"/>
        <v>-325000</v>
      </c>
      <c r="M225" s="318">
        <f t="shared" si="36"/>
        <v>-325000</v>
      </c>
      <c r="N225" s="318">
        <f t="shared" ref="N225:O225" si="37">N457</f>
        <v>-325000</v>
      </c>
      <c r="O225" s="318">
        <f t="shared" si="37"/>
        <v>-325000</v>
      </c>
      <c r="S225" s="114"/>
      <c r="T225" s="114"/>
      <c r="U225" s="114"/>
      <c r="V225" s="114"/>
      <c r="W225" s="114"/>
    </row>
    <row r="226" spans="1:23" ht="12.75" customHeight="1" thickBot="1" x14ac:dyDescent="0.3">
      <c r="D226" s="340"/>
      <c r="E226" s="340"/>
      <c r="F226" s="340"/>
      <c r="G226" s="586" t="s">
        <v>536</v>
      </c>
      <c r="H226" s="584"/>
      <c r="I226" s="587"/>
      <c r="J226" s="342">
        <v>-325000</v>
      </c>
      <c r="K226" s="342">
        <f>SUM(K224:K225)</f>
        <v>-325000</v>
      </c>
      <c r="L226" s="342">
        <f>SUM(L224:L225)</f>
        <v>-325000</v>
      </c>
      <c r="M226" s="342">
        <f>SUM(M224:M225)</f>
        <v>-325000</v>
      </c>
      <c r="N226" s="342">
        <f>SUM(N224:N225)</f>
        <v>-325000</v>
      </c>
      <c r="O226" s="342">
        <f>SUM(O224:O225)</f>
        <v>-325000</v>
      </c>
      <c r="S226" s="114"/>
      <c r="T226" s="114"/>
      <c r="U226" s="114"/>
      <c r="V226" s="114"/>
      <c r="W226" s="114"/>
    </row>
    <row r="227" spans="1:23" ht="12.75" customHeight="1" thickTop="1" x14ac:dyDescent="0.25">
      <c r="D227" s="340"/>
      <c r="E227" s="340"/>
      <c r="F227" s="340"/>
      <c r="G227" s="319"/>
      <c r="I227" s="316"/>
      <c r="J227" s="317"/>
      <c r="K227" s="317"/>
      <c r="L227" s="317"/>
      <c r="M227" s="317"/>
      <c r="N227" s="317"/>
      <c r="O227" s="317"/>
      <c r="S227" s="114"/>
      <c r="T227" s="114"/>
      <c r="U227" s="114"/>
      <c r="V227" s="114"/>
      <c r="W227" s="114"/>
    </row>
    <row r="228" spans="1:23" ht="12.75" customHeight="1" x14ac:dyDescent="0.25">
      <c r="D228" s="333">
        <v>649019</v>
      </c>
      <c r="E228" s="331"/>
      <c r="F228" s="331"/>
      <c r="G228" s="583" t="s">
        <v>4863</v>
      </c>
      <c r="H228" s="584"/>
      <c r="I228" s="587"/>
      <c r="J228" s="317"/>
      <c r="K228" s="317"/>
      <c r="L228" s="317"/>
      <c r="M228" s="317"/>
      <c r="N228" s="317"/>
      <c r="O228" s="317"/>
      <c r="S228" s="114"/>
      <c r="T228" s="114"/>
      <c r="U228" s="114"/>
      <c r="V228" s="114"/>
      <c r="W228" s="114"/>
    </row>
    <row r="229" spans="1:23" ht="12.75" customHeight="1" x14ac:dyDescent="0.25">
      <c r="D229" s="347"/>
      <c r="E229" s="476"/>
      <c r="F229" s="476"/>
      <c r="G229" s="585" t="s">
        <v>554</v>
      </c>
      <c r="H229" s="584"/>
      <c r="I229" s="587"/>
      <c r="J229" s="317"/>
      <c r="K229" s="317"/>
      <c r="L229" s="317"/>
      <c r="M229" s="317"/>
      <c r="N229" s="317"/>
      <c r="O229" s="317"/>
      <c r="S229" s="114"/>
      <c r="T229" s="114"/>
      <c r="U229" s="114"/>
      <c r="V229" s="114"/>
      <c r="W229" s="114"/>
    </row>
    <row r="230" spans="1:23" ht="12.75" customHeight="1" x14ac:dyDescent="0.25">
      <c r="A230" s="336">
        <f>D228</f>
        <v>649019</v>
      </c>
      <c r="B230" s="584" t="str">
        <f>G228</f>
        <v>De Groene Zone Isoleren</v>
      </c>
      <c r="D230" s="340">
        <v>84310</v>
      </c>
      <c r="E230" s="340"/>
      <c r="F230" s="340"/>
      <c r="G230" s="586" t="s">
        <v>2134</v>
      </c>
      <c r="H230" s="584"/>
      <c r="I230" s="587"/>
      <c r="J230" s="318">
        <v>-51200</v>
      </c>
      <c r="K230" s="318">
        <f t="shared" ref="K230:M230" si="38">K463</f>
        <v>-52400</v>
      </c>
      <c r="L230" s="318">
        <f t="shared" si="38"/>
        <v>-53700</v>
      </c>
      <c r="M230" s="318">
        <f t="shared" si="38"/>
        <v>0</v>
      </c>
      <c r="N230" s="318">
        <f t="shared" ref="N230:O230" si="39">N463</f>
        <v>0</v>
      </c>
      <c r="O230" s="318">
        <f t="shared" si="39"/>
        <v>0</v>
      </c>
      <c r="S230" s="114"/>
      <c r="T230" s="114"/>
      <c r="U230" s="114"/>
      <c r="V230" s="114"/>
      <c r="W230" s="114"/>
    </row>
    <row r="231" spans="1:23" ht="12.75" customHeight="1" thickBot="1" x14ac:dyDescent="0.3">
      <c r="D231" s="340"/>
      <c r="E231" s="340"/>
      <c r="F231" s="340"/>
      <c r="G231" s="586" t="s">
        <v>536</v>
      </c>
      <c r="H231" s="584"/>
      <c r="I231" s="587"/>
      <c r="J231" s="342">
        <v>-51200</v>
      </c>
      <c r="K231" s="342">
        <f>SUM(K229:K230)</f>
        <v>-52400</v>
      </c>
      <c r="L231" s="342">
        <f>SUM(L229:L230)</f>
        <v>-53700</v>
      </c>
      <c r="M231" s="342">
        <f>SUM(M229:M230)</f>
        <v>0</v>
      </c>
      <c r="N231" s="342">
        <f>SUM(N229:N230)</f>
        <v>0</v>
      </c>
      <c r="O231" s="342">
        <f>SUM(O229:O230)</f>
        <v>0</v>
      </c>
      <c r="S231" s="114"/>
      <c r="T231" s="114"/>
      <c r="U231" s="114"/>
      <c r="V231" s="114"/>
      <c r="W231" s="114"/>
    </row>
    <row r="232" spans="1:23" ht="12.75" customHeight="1" thickTop="1" x14ac:dyDescent="0.25">
      <c r="D232" s="340"/>
      <c r="E232" s="340"/>
      <c r="F232" s="340"/>
      <c r="G232" s="586"/>
      <c r="H232" s="584"/>
      <c r="I232" s="584"/>
      <c r="J232" s="317"/>
      <c r="K232" s="317"/>
      <c r="L232" s="317"/>
      <c r="M232" s="317"/>
      <c r="N232" s="317"/>
      <c r="O232" s="317"/>
      <c r="S232" s="114"/>
      <c r="T232" s="114"/>
      <c r="U232" s="114"/>
      <c r="V232" s="114"/>
      <c r="W232" s="114"/>
    </row>
    <row r="233" spans="1:23" ht="12.75" customHeight="1" x14ac:dyDescent="0.25">
      <c r="D233" s="333">
        <v>649020</v>
      </c>
      <c r="E233" s="331"/>
      <c r="F233" s="331"/>
      <c r="G233" s="583" t="s">
        <v>5372</v>
      </c>
      <c r="H233" s="584"/>
      <c r="I233" s="587"/>
      <c r="J233" s="317"/>
      <c r="K233" s="317"/>
      <c r="L233" s="317"/>
      <c r="M233" s="317"/>
      <c r="N233" s="317"/>
      <c r="O233" s="317"/>
      <c r="S233" s="114"/>
      <c r="T233" s="114"/>
      <c r="U233" s="114"/>
      <c r="V233" s="114"/>
      <c r="W233" s="114"/>
    </row>
    <row r="234" spans="1:23" ht="12.75" customHeight="1" x14ac:dyDescent="0.25">
      <c r="D234" s="347"/>
      <c r="E234" s="476"/>
      <c r="F234" s="476"/>
      <c r="G234" s="585" t="s">
        <v>554</v>
      </c>
      <c r="H234" s="584"/>
      <c r="I234" s="587"/>
      <c r="J234" s="317"/>
      <c r="K234" s="317"/>
      <c r="L234" s="317"/>
      <c r="M234" s="317"/>
      <c r="N234" s="317"/>
      <c r="O234" s="317"/>
      <c r="S234" s="114"/>
      <c r="T234" s="114"/>
      <c r="U234" s="114"/>
      <c r="V234" s="114"/>
      <c r="W234" s="114"/>
    </row>
    <row r="235" spans="1:23" ht="12.75" customHeight="1" x14ac:dyDescent="0.25">
      <c r="A235" s="336">
        <f>D233</f>
        <v>649020</v>
      </c>
      <c r="B235" s="584" t="str">
        <f>G233</f>
        <v>Soorten management plan</v>
      </c>
      <c r="D235" s="2278">
        <v>84340</v>
      </c>
      <c r="E235" s="2278"/>
      <c r="F235" s="2278"/>
      <c r="G235" s="2274" t="s">
        <v>5376</v>
      </c>
      <c r="H235" s="2275"/>
      <c r="I235" s="2276"/>
      <c r="J235" s="2277">
        <v>0</v>
      </c>
      <c r="K235" s="2277">
        <v>-137000</v>
      </c>
      <c r="L235" s="2277">
        <f>L475</f>
        <v>0</v>
      </c>
      <c r="M235" s="2277">
        <f>M475</f>
        <v>0</v>
      </c>
      <c r="N235" s="2277">
        <f>N475</f>
        <v>0</v>
      </c>
      <c r="O235" s="2277">
        <f>O475</f>
        <v>0</v>
      </c>
      <c r="S235" s="114"/>
      <c r="T235" s="114"/>
      <c r="U235" s="114"/>
      <c r="V235" s="114"/>
      <c r="W235" s="114"/>
    </row>
    <row r="236" spans="1:23" ht="12.75" customHeight="1" thickBot="1" x14ac:dyDescent="0.3">
      <c r="D236" s="340"/>
      <c r="E236" s="340"/>
      <c r="F236" s="340"/>
      <c r="G236" s="586" t="s">
        <v>536</v>
      </c>
      <c r="H236" s="584"/>
      <c r="I236" s="587"/>
      <c r="J236" s="342">
        <v>0</v>
      </c>
      <c r="K236" s="342">
        <f>SUM(K234:K235)</f>
        <v>-137000</v>
      </c>
      <c r="L236" s="342">
        <f>SUM(L234:L235)</f>
        <v>0</v>
      </c>
      <c r="M236" s="342">
        <f>SUM(M234:M235)</f>
        <v>0</v>
      </c>
      <c r="N236" s="342">
        <f>SUM(N234:N235)</f>
        <v>0</v>
      </c>
      <c r="O236" s="342">
        <f>SUM(O234:O235)</f>
        <v>0</v>
      </c>
      <c r="S236" s="114"/>
      <c r="T236" s="114"/>
      <c r="U236" s="114"/>
      <c r="V236" s="114"/>
      <c r="W236" s="114"/>
    </row>
    <row r="237" spans="1:23" ht="12.75" customHeight="1" thickTop="1" x14ac:dyDescent="0.25">
      <c r="D237" s="340"/>
      <c r="E237" s="340"/>
      <c r="F237" s="340"/>
      <c r="G237" s="586"/>
      <c r="H237" s="584"/>
      <c r="I237" s="584"/>
      <c r="J237" s="317"/>
      <c r="K237" s="317"/>
      <c r="L237" s="317"/>
      <c r="M237" s="317"/>
      <c r="N237" s="317"/>
      <c r="O237" s="317"/>
      <c r="S237" s="114"/>
      <c r="T237" s="114"/>
      <c r="U237" s="114"/>
      <c r="V237" s="114"/>
      <c r="W237" s="114"/>
    </row>
    <row r="238" spans="1:23" ht="12.75" customHeight="1" x14ac:dyDescent="0.25">
      <c r="D238" s="333">
        <v>649023</v>
      </c>
      <c r="E238" s="331"/>
      <c r="F238" s="331"/>
      <c r="G238" s="583" t="s">
        <v>5377</v>
      </c>
      <c r="H238" s="584"/>
      <c r="I238" s="587"/>
      <c r="J238" s="317"/>
      <c r="K238" s="317"/>
      <c r="L238" s="317"/>
      <c r="M238" s="317"/>
      <c r="N238" s="317"/>
      <c r="O238" s="317"/>
      <c r="S238" s="114"/>
      <c r="T238" s="114"/>
      <c r="U238" s="114"/>
      <c r="V238" s="114"/>
      <c r="W238" s="114"/>
    </row>
    <row r="239" spans="1:23" ht="12.75" customHeight="1" x14ac:dyDescent="0.25">
      <c r="D239" s="347"/>
      <c r="E239" s="476"/>
      <c r="F239" s="476"/>
      <c r="G239" s="585" t="s">
        <v>554</v>
      </c>
      <c r="H239" s="584"/>
      <c r="I239" s="587"/>
      <c r="J239" s="317"/>
      <c r="K239" s="317"/>
      <c r="L239" s="317">
        <v>0</v>
      </c>
      <c r="M239" s="317"/>
      <c r="N239" s="317"/>
      <c r="O239" s="317"/>
      <c r="S239" s="114"/>
      <c r="T239" s="114"/>
      <c r="U239" s="114"/>
      <c r="V239" s="114"/>
      <c r="W239" s="114"/>
    </row>
    <row r="240" spans="1:23" ht="12.75" customHeight="1" x14ac:dyDescent="0.25">
      <c r="A240" s="336">
        <f>D238</f>
        <v>649023</v>
      </c>
      <c r="B240" s="584" t="str">
        <f>G238</f>
        <v>Groene daken</v>
      </c>
      <c r="D240" s="2278">
        <v>84350</v>
      </c>
      <c r="E240" s="2278"/>
      <c r="F240" s="2278"/>
      <c r="G240" s="2274" t="s">
        <v>5373</v>
      </c>
      <c r="H240" s="2275"/>
      <c r="I240" s="2276"/>
      <c r="J240" s="2277">
        <v>0</v>
      </c>
      <c r="K240" s="2277">
        <v>-50000</v>
      </c>
      <c r="L240" s="2277">
        <v>0</v>
      </c>
      <c r="M240" s="2277">
        <v>0</v>
      </c>
      <c r="N240" s="2277">
        <v>0</v>
      </c>
      <c r="O240" s="2277">
        <v>0</v>
      </c>
      <c r="S240" s="114"/>
      <c r="T240" s="114"/>
      <c r="U240" s="114"/>
      <c r="V240" s="114"/>
      <c r="W240" s="114"/>
    </row>
    <row r="241" spans="1:23" ht="12.75" customHeight="1" thickBot="1" x14ac:dyDescent="0.3">
      <c r="D241" s="340"/>
      <c r="E241" s="340"/>
      <c r="F241" s="340"/>
      <c r="G241" s="586" t="s">
        <v>536</v>
      </c>
      <c r="H241" s="584"/>
      <c r="I241" s="587"/>
      <c r="J241" s="342">
        <v>0</v>
      </c>
      <c r="K241" s="342">
        <f>SUM(K239:K240)</f>
        <v>-50000</v>
      </c>
      <c r="L241" s="342">
        <f>SUM(L239:L240)</f>
        <v>0</v>
      </c>
      <c r="M241" s="342">
        <f>SUM(M239:M240)</f>
        <v>0</v>
      </c>
      <c r="N241" s="342">
        <f>SUM(N239:N240)</f>
        <v>0</v>
      </c>
      <c r="O241" s="342">
        <f>SUM(O239:O240)</f>
        <v>0</v>
      </c>
      <c r="S241" s="114"/>
      <c r="T241" s="114"/>
      <c r="U241" s="114"/>
      <c r="V241" s="114"/>
      <c r="W241" s="114"/>
    </row>
    <row r="242" spans="1:23" ht="12.75" customHeight="1" thickTop="1" x14ac:dyDescent="0.25">
      <c r="D242" s="340"/>
      <c r="E242" s="340"/>
      <c r="F242" s="340"/>
      <c r="G242" s="586"/>
      <c r="H242" s="584"/>
      <c r="I242" s="584"/>
      <c r="J242" s="317"/>
      <c r="K242" s="317"/>
      <c r="L242" s="317"/>
      <c r="M242" s="317"/>
      <c r="N242" s="317"/>
      <c r="O242" s="317"/>
      <c r="S242" s="114"/>
      <c r="T242" s="114"/>
      <c r="U242" s="114"/>
      <c r="V242" s="114"/>
      <c r="W242" s="114"/>
    </row>
    <row r="243" spans="1:23" ht="12.75" customHeight="1" x14ac:dyDescent="0.25">
      <c r="D243" s="347" t="s">
        <v>124</v>
      </c>
      <c r="E243" s="340"/>
      <c r="F243" s="340"/>
      <c r="G243" s="583" t="s">
        <v>4865</v>
      </c>
      <c r="H243" s="584"/>
      <c r="I243" s="584"/>
      <c r="J243" s="317"/>
      <c r="K243" s="317"/>
      <c r="L243" s="317"/>
      <c r="M243" s="317"/>
      <c r="N243" s="317"/>
      <c r="O243" s="317"/>
      <c r="S243" s="114"/>
      <c r="T243" s="114"/>
      <c r="U243" s="114"/>
      <c r="V243" s="114"/>
      <c r="W243" s="114"/>
    </row>
    <row r="244" spans="1:23" ht="12.75" customHeight="1" x14ac:dyDescent="0.25">
      <c r="D244" s="340"/>
      <c r="E244" s="340"/>
      <c r="F244" s="340"/>
      <c r="G244" s="585" t="s">
        <v>554</v>
      </c>
      <c r="H244" s="584"/>
      <c r="I244" s="584"/>
      <c r="J244" s="317"/>
      <c r="K244" s="317"/>
      <c r="L244" s="317"/>
      <c r="M244" s="317"/>
      <c r="N244" s="317"/>
      <c r="O244" s="317"/>
      <c r="S244" s="114"/>
      <c r="T244" s="114"/>
      <c r="U244" s="114"/>
      <c r="V244" s="114"/>
      <c r="W244" s="114"/>
    </row>
    <row r="245" spans="1:23" ht="12" customHeight="1" x14ac:dyDescent="0.25">
      <c r="A245" s="336" t="str">
        <f>D243</f>
        <v>649024</v>
      </c>
      <c r="B245" s="584" t="str">
        <f>G243</f>
        <v>Warmtenet</v>
      </c>
      <c r="D245" s="337">
        <v>83800</v>
      </c>
      <c r="E245" s="340"/>
      <c r="F245" s="340"/>
      <c r="G245" s="586" t="s">
        <v>535</v>
      </c>
      <c r="H245" s="584"/>
      <c r="I245" s="584"/>
      <c r="J245" s="317">
        <f>J481</f>
        <v>0</v>
      </c>
      <c r="K245" s="317">
        <f t="shared" ref="K245:N245" si="40">K481</f>
        <v>0</v>
      </c>
      <c r="L245" s="317">
        <f t="shared" si="40"/>
        <v>-600000</v>
      </c>
      <c r="M245" s="317">
        <f t="shared" si="40"/>
        <v>-600000</v>
      </c>
      <c r="N245" s="317">
        <f t="shared" si="40"/>
        <v>-600000</v>
      </c>
      <c r="O245" s="317">
        <f t="shared" ref="O245" si="41">O481</f>
        <v>-600000</v>
      </c>
      <c r="S245" s="114"/>
      <c r="T245" s="114"/>
      <c r="U245" s="114"/>
      <c r="V245" s="114"/>
      <c r="W245" s="114"/>
    </row>
    <row r="246" spans="1:23" ht="12.75" customHeight="1" x14ac:dyDescent="0.25">
      <c r="A246" s="336" t="str">
        <f>D243</f>
        <v>649024</v>
      </c>
      <c r="B246" s="584" t="str">
        <f>G243</f>
        <v>Warmtenet</v>
      </c>
      <c r="D246" s="337">
        <v>84310</v>
      </c>
      <c r="E246" s="340"/>
      <c r="F246" s="340"/>
      <c r="G246" s="586" t="s">
        <v>4884</v>
      </c>
      <c r="H246" s="584"/>
      <c r="I246" s="584"/>
      <c r="J246" s="317">
        <f>J484</f>
        <v>0</v>
      </c>
      <c r="K246" s="317">
        <f t="shared" ref="K246:N246" si="42">K484</f>
        <v>0</v>
      </c>
      <c r="L246" s="317">
        <f t="shared" si="42"/>
        <v>-400000</v>
      </c>
      <c r="M246" s="317">
        <f t="shared" si="42"/>
        <v>-400000</v>
      </c>
      <c r="N246" s="317">
        <f t="shared" si="42"/>
        <v>-400000</v>
      </c>
      <c r="O246" s="317">
        <f t="shared" ref="O246" si="43">O484</f>
        <v>-400000</v>
      </c>
    </row>
    <row r="247" spans="1:23" ht="12.75" customHeight="1" thickBot="1" x14ac:dyDescent="0.3">
      <c r="D247" s="340"/>
      <c r="E247" s="340"/>
      <c r="F247" s="340"/>
      <c r="G247" s="586" t="s">
        <v>536</v>
      </c>
      <c r="H247" s="584"/>
      <c r="I247" s="584"/>
      <c r="J247" s="342">
        <f t="shared" ref="J247:O247" si="44">SUM(J245:J246)</f>
        <v>0</v>
      </c>
      <c r="K247" s="342">
        <f t="shared" si="44"/>
        <v>0</v>
      </c>
      <c r="L247" s="342">
        <f t="shared" si="44"/>
        <v>-1000000</v>
      </c>
      <c r="M247" s="342">
        <f t="shared" si="44"/>
        <v>-1000000</v>
      </c>
      <c r="N247" s="342">
        <f t="shared" si="44"/>
        <v>-1000000</v>
      </c>
      <c r="O247" s="342">
        <f t="shared" si="44"/>
        <v>-1000000</v>
      </c>
    </row>
    <row r="248" spans="1:23" ht="12.75" customHeight="1" thickTop="1" x14ac:dyDescent="0.25">
      <c r="D248" s="167"/>
      <c r="E248" s="167"/>
      <c r="F248" s="167"/>
      <c r="G248" s="592"/>
      <c r="H248" s="593"/>
      <c r="I248" s="593"/>
      <c r="J248" s="142"/>
      <c r="K248" s="142"/>
      <c r="L248" s="142"/>
      <c r="M248" s="142"/>
      <c r="N248" s="142"/>
      <c r="O248" s="142"/>
    </row>
    <row r="249" spans="1:23" ht="12.75" customHeight="1" x14ac:dyDescent="0.25">
      <c r="D249" s="384"/>
      <c r="E249" s="384"/>
      <c r="F249" s="384"/>
      <c r="J249" s="114"/>
      <c r="K249" s="114"/>
      <c r="L249" s="114"/>
      <c r="M249" s="114"/>
      <c r="N249" s="114"/>
      <c r="O249" s="114"/>
    </row>
    <row r="250" spans="1:23" ht="12.75" customHeight="1" x14ac:dyDescent="0.25">
      <c r="D250" s="384"/>
      <c r="E250" s="594" t="s">
        <v>561</v>
      </c>
      <c r="F250" s="115"/>
      <c r="H250" s="114"/>
      <c r="I250" s="114"/>
    </row>
    <row r="251" spans="1:23" ht="12.75" customHeight="1" x14ac:dyDescent="0.25">
      <c r="D251" s="384"/>
      <c r="E251" s="383"/>
      <c r="F251" s="115"/>
      <c r="H251" s="114"/>
      <c r="I251" s="114"/>
    </row>
    <row r="252" spans="1:23" ht="12.75" customHeight="1" x14ac:dyDescent="0.25">
      <c r="D252" s="393">
        <v>649001</v>
      </c>
      <c r="E252" s="381" t="s">
        <v>4854</v>
      </c>
      <c r="F252" s="115"/>
      <c r="H252" s="114"/>
      <c r="I252" s="114"/>
      <c r="J252" s="486"/>
      <c r="K252" s="407">
        <v>2026</v>
      </c>
      <c r="L252" s="407">
        <v>2027</v>
      </c>
      <c r="M252" s="407">
        <v>2028</v>
      </c>
      <c r="N252" s="407">
        <v>2029</v>
      </c>
      <c r="O252" s="407">
        <v>2030</v>
      </c>
    </row>
    <row r="253" spans="1:23" ht="12.75" customHeight="1" x14ac:dyDescent="0.25">
      <c r="D253" s="393"/>
      <c r="E253" s="383" t="s">
        <v>533</v>
      </c>
      <c r="F253" s="115"/>
      <c r="H253" s="114"/>
      <c r="I253" s="114"/>
      <c r="J253" s="396"/>
      <c r="K253" s="396"/>
      <c r="L253" s="396"/>
      <c r="M253" s="396"/>
      <c r="N253" s="396"/>
      <c r="O253" s="396"/>
    </row>
    <row r="254" spans="1:23" ht="12.75" customHeight="1" x14ac:dyDescent="0.25">
      <c r="D254" s="143">
        <v>43812</v>
      </c>
      <c r="E254" s="490" t="s">
        <v>4885</v>
      </c>
      <c r="F254" s="115"/>
      <c r="G254" s="308"/>
      <c r="H254" s="114"/>
      <c r="I254" s="114"/>
      <c r="J254" s="114"/>
      <c r="K254" s="114"/>
      <c r="L254" s="114"/>
      <c r="M254" s="114"/>
      <c r="N254" s="114"/>
      <c r="O254" s="114"/>
    </row>
    <row r="255" spans="1:23" ht="12.75" customHeight="1" x14ac:dyDescent="0.25">
      <c r="D255" s="143"/>
      <c r="E255" s="490" t="s">
        <v>4886</v>
      </c>
      <c r="F255" s="115"/>
      <c r="G255" s="308"/>
      <c r="H255" s="114"/>
      <c r="I255" s="114"/>
      <c r="J255" s="114"/>
      <c r="K255" s="114">
        <f>ROUND(13412*S$2,0)</f>
        <v>13761</v>
      </c>
      <c r="L255" s="114">
        <f t="shared" ref="L255:L258" si="45">ROUND(K255*T$2,0)</f>
        <v>14050</v>
      </c>
      <c r="M255" s="114">
        <f t="shared" ref="M255:M258" si="46">ROUND(L255*U$2,0)</f>
        <v>14373</v>
      </c>
      <c r="N255" s="114">
        <f t="shared" ref="N255:O258" si="47">ROUND(M255*V$2,0)</f>
        <v>14704</v>
      </c>
      <c r="O255" s="114">
        <f t="shared" si="47"/>
        <v>15042</v>
      </c>
    </row>
    <row r="256" spans="1:23" ht="12.75" customHeight="1" x14ac:dyDescent="0.25">
      <c r="D256" s="143"/>
      <c r="E256" s="490" t="s">
        <v>4887</v>
      </c>
      <c r="F256" s="115"/>
      <c r="G256" s="308"/>
      <c r="H256" s="114"/>
      <c r="I256" s="114"/>
      <c r="J256" s="114"/>
      <c r="K256" s="114">
        <f>ROUND(64116*S$2,0)</f>
        <v>65783</v>
      </c>
      <c r="L256" s="114">
        <f t="shared" si="45"/>
        <v>67164</v>
      </c>
      <c r="M256" s="114">
        <f t="shared" si="46"/>
        <v>68709</v>
      </c>
      <c r="N256" s="114">
        <f t="shared" si="47"/>
        <v>70289</v>
      </c>
      <c r="O256" s="114">
        <f t="shared" si="47"/>
        <v>71906</v>
      </c>
    </row>
    <row r="257" spans="4:15" ht="12.75" customHeight="1" x14ac:dyDescent="0.25">
      <c r="D257" s="143"/>
      <c r="E257" s="490" t="s">
        <v>4888</v>
      </c>
      <c r="F257" s="115"/>
      <c r="G257" s="308"/>
      <c r="H257" s="114"/>
      <c r="I257" s="114"/>
      <c r="J257" s="114"/>
      <c r="K257" s="114">
        <f>ROUND(28088*S$2,0)</f>
        <v>28818</v>
      </c>
      <c r="L257" s="114">
        <f t="shared" si="45"/>
        <v>29423</v>
      </c>
      <c r="M257" s="114">
        <f t="shared" si="46"/>
        <v>30100</v>
      </c>
      <c r="N257" s="114">
        <f t="shared" si="47"/>
        <v>30792</v>
      </c>
      <c r="O257" s="114">
        <f t="shared" si="47"/>
        <v>31500</v>
      </c>
    </row>
    <row r="258" spans="4:15" ht="12.75" customHeight="1" x14ac:dyDescent="0.25">
      <c r="D258" s="143"/>
      <c r="E258" s="490" t="s">
        <v>4889</v>
      </c>
      <c r="F258" s="115"/>
      <c r="G258" s="308"/>
      <c r="H258" s="114"/>
      <c r="I258" s="114"/>
      <c r="J258" s="114"/>
      <c r="K258" s="114">
        <f>ROUND(13645*S$2,0)</f>
        <v>14000</v>
      </c>
      <c r="L258" s="114">
        <f t="shared" si="45"/>
        <v>14294</v>
      </c>
      <c r="M258" s="114">
        <f t="shared" si="46"/>
        <v>14623</v>
      </c>
      <c r="N258" s="114">
        <f t="shared" si="47"/>
        <v>14959</v>
      </c>
      <c r="O258" s="114">
        <f t="shared" si="47"/>
        <v>15303</v>
      </c>
    </row>
    <row r="259" spans="4:15" ht="12.75" customHeight="1" thickBot="1" x14ac:dyDescent="0.3">
      <c r="E259" s="115" t="str">
        <f>"Totaal "&amp;D254</f>
        <v>Totaal 43812</v>
      </c>
      <c r="F259" s="115"/>
      <c r="H259" s="114"/>
      <c r="I259" s="114"/>
      <c r="J259" s="114"/>
      <c r="K259" s="1971">
        <f>SUM(K255:K258)</f>
        <v>122362</v>
      </c>
      <c r="L259" s="1971">
        <f t="shared" ref="L259:N259" si="48">SUM(L255:L258)</f>
        <v>124931</v>
      </c>
      <c r="M259" s="1971">
        <f t="shared" si="48"/>
        <v>127805</v>
      </c>
      <c r="N259" s="1971">
        <f t="shared" si="48"/>
        <v>130744</v>
      </c>
      <c r="O259" s="1971">
        <f t="shared" ref="O259" si="49">SUM(O255:O258)</f>
        <v>133751</v>
      </c>
    </row>
    <row r="260" spans="4:15" ht="12.75" customHeight="1" thickTop="1" x14ac:dyDescent="0.25">
      <c r="F260" s="115"/>
      <c r="H260" s="114"/>
      <c r="I260" s="114"/>
      <c r="J260" s="114"/>
      <c r="K260" s="114"/>
      <c r="L260" s="114"/>
      <c r="M260" s="114"/>
      <c r="N260" s="114"/>
      <c r="O260" s="114"/>
    </row>
    <row r="261" spans="4:15" ht="12.75" customHeight="1" x14ac:dyDescent="0.25">
      <c r="D261" s="393">
        <v>649002</v>
      </c>
      <c r="E261" s="381" t="s">
        <v>4855</v>
      </c>
      <c r="F261" s="115"/>
      <c r="G261" s="595"/>
      <c r="H261" s="114"/>
      <c r="I261" s="114"/>
      <c r="J261" s="486"/>
      <c r="K261" s="407">
        <v>2026</v>
      </c>
      <c r="L261" s="407">
        <v>2027</v>
      </c>
      <c r="M261" s="407">
        <v>2028</v>
      </c>
      <c r="N261" s="407">
        <v>2029</v>
      </c>
      <c r="O261" s="407">
        <v>2030</v>
      </c>
    </row>
    <row r="262" spans="4:15" ht="12.75" customHeight="1" x14ac:dyDescent="0.25">
      <c r="D262" s="393"/>
      <c r="E262" s="383" t="s">
        <v>533</v>
      </c>
      <c r="F262" s="115"/>
      <c r="G262" s="595"/>
      <c r="H262" s="114"/>
      <c r="I262" s="114"/>
      <c r="J262" s="486"/>
      <c r="K262" s="486"/>
      <c r="L262" s="486"/>
      <c r="M262" s="486"/>
      <c r="N262" s="486"/>
      <c r="O262" s="486"/>
    </row>
    <row r="263" spans="4:15" ht="12.75" customHeight="1" x14ac:dyDescent="0.25">
      <c r="D263" s="143">
        <v>43812</v>
      </c>
      <c r="E263" s="115" t="s">
        <v>4890</v>
      </c>
      <c r="F263" s="115"/>
      <c r="H263" s="114"/>
      <c r="I263" s="114"/>
      <c r="J263" s="114"/>
      <c r="K263" s="114">
        <v>0</v>
      </c>
      <c r="L263" s="114">
        <f>ROUND(K263*T$2,0)</f>
        <v>0</v>
      </c>
      <c r="M263" s="114">
        <f>ROUND(L263*U$2,0)</f>
        <v>0</v>
      </c>
      <c r="N263" s="114">
        <f>ROUND(M263*V$2,0)</f>
        <v>0</v>
      </c>
      <c r="O263" s="114">
        <f>ROUND(N263*W$2,0)</f>
        <v>0</v>
      </c>
    </row>
    <row r="264" spans="4:15" ht="12.75" customHeight="1" x14ac:dyDescent="0.25">
      <c r="D264" s="143"/>
      <c r="E264" s="2213" t="s">
        <v>5345</v>
      </c>
      <c r="F264" s="2213"/>
      <c r="G264" s="2213"/>
      <c r="H264" s="2214"/>
      <c r="I264" s="2214"/>
      <c r="J264" s="2214"/>
      <c r="K264" s="2214">
        <v>64000</v>
      </c>
      <c r="L264" s="2214"/>
      <c r="M264" s="2214"/>
      <c r="N264" s="2214"/>
      <c r="O264" s="2214"/>
    </row>
    <row r="265" spans="4:15" ht="12.75" customHeight="1" x14ac:dyDescent="0.25">
      <c r="D265" s="143"/>
      <c r="E265" s="2213" t="s">
        <v>5366</v>
      </c>
      <c r="F265" s="2213"/>
      <c r="G265" s="2213"/>
      <c r="H265" s="2214"/>
      <c r="I265" s="2214"/>
      <c r="J265" s="2214"/>
      <c r="K265" s="2214">
        <v>35000</v>
      </c>
      <c r="L265" s="2214"/>
      <c r="M265" s="2214"/>
      <c r="N265" s="2214"/>
      <c r="O265" s="2214"/>
    </row>
    <row r="266" spans="4:15" ht="12.75" customHeight="1" thickBot="1" x14ac:dyDescent="0.3">
      <c r="E266" s="115" t="str">
        <f>"Totaal "&amp;D263</f>
        <v>Totaal 43812</v>
      </c>
      <c r="F266" s="115"/>
      <c r="H266" s="114"/>
      <c r="I266" s="114"/>
      <c r="J266" s="114"/>
      <c r="K266" s="1971">
        <f>SUM(K263:K265)</f>
        <v>99000</v>
      </c>
      <c r="L266" s="1971">
        <f t="shared" ref="L266:N266" si="50">SUM(L263:L265)</f>
        <v>0</v>
      </c>
      <c r="M266" s="1971">
        <f t="shared" si="50"/>
        <v>0</v>
      </c>
      <c r="N266" s="1971">
        <f t="shared" si="50"/>
        <v>0</v>
      </c>
      <c r="O266" s="1971">
        <f>SUM(O263:O265)</f>
        <v>0</v>
      </c>
    </row>
    <row r="267" spans="4:15" ht="12.75" customHeight="1" thickTop="1" x14ac:dyDescent="0.25">
      <c r="E267" s="115"/>
      <c r="F267" s="115"/>
      <c r="H267" s="114"/>
      <c r="I267" s="114"/>
      <c r="J267" s="114"/>
      <c r="K267" s="114"/>
      <c r="L267" s="114"/>
      <c r="M267" s="114"/>
      <c r="N267" s="114"/>
      <c r="O267" s="114"/>
    </row>
    <row r="268" spans="4:15" ht="12.75" customHeight="1" x14ac:dyDescent="0.25">
      <c r="D268" s="393">
        <v>649003</v>
      </c>
      <c r="E268" s="381" t="s">
        <v>4856</v>
      </c>
      <c r="F268" s="115"/>
      <c r="J268" s="486"/>
      <c r="K268" s="407">
        <v>2026</v>
      </c>
      <c r="L268" s="407">
        <v>2027</v>
      </c>
      <c r="M268" s="407">
        <v>2028</v>
      </c>
      <c r="N268" s="407">
        <v>2029</v>
      </c>
      <c r="O268" s="407">
        <v>2030</v>
      </c>
    </row>
    <row r="269" spans="4:15" ht="12.75" customHeight="1" x14ac:dyDescent="0.25">
      <c r="D269" s="393"/>
      <c r="E269" s="383" t="s">
        <v>533</v>
      </c>
      <c r="F269" s="115"/>
      <c r="J269" s="114"/>
      <c r="K269" s="114"/>
      <c r="L269" s="114"/>
      <c r="M269" s="114"/>
      <c r="N269" s="114"/>
      <c r="O269" s="114"/>
    </row>
    <row r="270" spans="4:15" ht="12.75" customHeight="1" x14ac:dyDescent="0.25">
      <c r="D270" s="143">
        <v>44380</v>
      </c>
      <c r="E270" s="115" t="s">
        <v>4891</v>
      </c>
      <c r="F270" s="115"/>
      <c r="J270" s="114"/>
      <c r="K270" s="114">
        <f>ROUND(21832*S$2,0)</f>
        <v>22400</v>
      </c>
      <c r="L270" s="114">
        <f>ROUND(K270*T$2,0)</f>
        <v>22870</v>
      </c>
      <c r="M270" s="114">
        <f>ROUND(L270*U$2,0)</f>
        <v>23396</v>
      </c>
      <c r="N270" s="114">
        <f>ROUND(M270*V$2,0)</f>
        <v>23934</v>
      </c>
      <c r="O270" s="114">
        <f>ROUND(N270*W$2,0)</f>
        <v>24484</v>
      </c>
    </row>
    <row r="271" spans="4:15" ht="12.75" customHeight="1" x14ac:dyDescent="0.25">
      <c r="D271" s="393"/>
      <c r="E271" s="596" t="s">
        <v>4892</v>
      </c>
      <c r="F271" s="115"/>
      <c r="J271" s="114"/>
      <c r="K271" s="114"/>
      <c r="L271" s="114"/>
      <c r="M271" s="114"/>
      <c r="N271" s="114"/>
      <c r="O271" s="114"/>
    </row>
    <row r="272" spans="4:15" ht="12.75" customHeight="1" x14ac:dyDescent="0.25">
      <c r="D272" s="393"/>
      <c r="E272" s="115"/>
      <c r="F272" s="115"/>
      <c r="J272" s="114"/>
      <c r="K272" s="114"/>
      <c r="L272" s="114"/>
      <c r="M272" s="114"/>
      <c r="N272" s="114"/>
      <c r="O272" s="114"/>
    </row>
    <row r="273" spans="4:15" ht="12.75" customHeight="1" thickBot="1" x14ac:dyDescent="0.3">
      <c r="D273" s="393"/>
      <c r="E273" s="115" t="str">
        <f>"Totaal "&amp;D270</f>
        <v>Totaal 44380</v>
      </c>
      <c r="F273" s="115"/>
      <c r="J273" s="114"/>
      <c r="K273" s="1971">
        <f>SUM(K270:K272)</f>
        <v>22400</v>
      </c>
      <c r="L273" s="1971">
        <f>SUM(L270:L272)</f>
        <v>22870</v>
      </c>
      <c r="M273" s="1971">
        <f>SUM(M270:M272)</f>
        <v>23396</v>
      </c>
      <c r="N273" s="1971">
        <f>SUM(N270:N272)</f>
        <v>23934</v>
      </c>
      <c r="O273" s="1971">
        <f>SUM(O270:O272)</f>
        <v>24484</v>
      </c>
    </row>
    <row r="274" spans="4:15" ht="12.75" customHeight="1" thickTop="1" x14ac:dyDescent="0.25">
      <c r="D274" s="393"/>
      <c r="E274" s="115"/>
      <c r="F274" s="115"/>
      <c r="J274" s="114"/>
      <c r="K274" s="114"/>
      <c r="L274" s="114"/>
      <c r="M274" s="114"/>
      <c r="N274" s="114"/>
      <c r="O274" s="114"/>
    </row>
    <row r="275" spans="4:15" ht="12.75" customHeight="1" x14ac:dyDescent="0.25">
      <c r="D275" s="393">
        <v>649005</v>
      </c>
      <c r="E275" s="381" t="s">
        <v>4858</v>
      </c>
      <c r="F275" s="115"/>
      <c r="H275" s="114"/>
      <c r="I275" s="114"/>
      <c r="J275" s="486"/>
      <c r="K275" s="407">
        <v>2026</v>
      </c>
      <c r="L275" s="407">
        <v>2027</v>
      </c>
      <c r="M275" s="407">
        <v>2028</v>
      </c>
      <c r="N275" s="407">
        <v>2029</v>
      </c>
      <c r="O275" s="407">
        <v>2030</v>
      </c>
    </row>
    <row r="276" spans="4:15" ht="12.75" customHeight="1" x14ac:dyDescent="0.25">
      <c r="D276" s="393"/>
      <c r="E276" s="383" t="s">
        <v>533</v>
      </c>
      <c r="F276" s="115"/>
      <c r="H276" s="114"/>
      <c r="I276" s="114"/>
      <c r="J276" s="396"/>
      <c r="K276" s="396"/>
      <c r="L276" s="396"/>
      <c r="M276" s="396"/>
      <c r="N276" s="396"/>
      <c r="O276" s="396"/>
    </row>
    <row r="277" spans="4:15" ht="12.75" customHeight="1" x14ac:dyDescent="0.25">
      <c r="D277" s="143">
        <v>43511</v>
      </c>
      <c r="E277" s="308" t="s">
        <v>4893</v>
      </c>
      <c r="F277" s="115"/>
      <c r="H277" s="114"/>
      <c r="I277" s="114"/>
      <c r="J277" s="114"/>
      <c r="K277" s="114">
        <f>ROUND(584*S$2,0)</f>
        <v>599</v>
      </c>
      <c r="L277" s="114">
        <f t="shared" ref="L277:O278" si="51">ROUND(K277*T$2,0)</f>
        <v>612</v>
      </c>
      <c r="M277" s="114">
        <f t="shared" si="51"/>
        <v>626</v>
      </c>
      <c r="N277" s="114">
        <f t="shared" si="51"/>
        <v>640</v>
      </c>
      <c r="O277" s="114">
        <f t="shared" si="51"/>
        <v>655</v>
      </c>
    </row>
    <row r="278" spans="4:15" ht="12.75" customHeight="1" x14ac:dyDescent="0.25">
      <c r="D278" s="393"/>
      <c r="E278" s="308" t="s">
        <v>4894</v>
      </c>
      <c r="F278" s="115"/>
      <c r="H278" s="114"/>
      <c r="I278" s="114"/>
      <c r="J278" s="114"/>
      <c r="K278" s="114">
        <f>ROUND(11666*S$2,0)</f>
        <v>11969</v>
      </c>
      <c r="L278" s="114">
        <f t="shared" si="51"/>
        <v>12220</v>
      </c>
      <c r="M278" s="114">
        <f t="shared" si="51"/>
        <v>12501</v>
      </c>
      <c r="N278" s="114">
        <f t="shared" si="51"/>
        <v>12789</v>
      </c>
      <c r="O278" s="114">
        <f t="shared" si="51"/>
        <v>13083</v>
      </c>
    </row>
    <row r="279" spans="4:15" ht="12.75" customHeight="1" thickBot="1" x14ac:dyDescent="0.3">
      <c r="D279" s="393"/>
      <c r="E279" s="115" t="s">
        <v>4895</v>
      </c>
      <c r="F279" s="115"/>
      <c r="H279" s="114"/>
      <c r="I279" s="114"/>
      <c r="J279" s="114"/>
      <c r="K279" s="1971">
        <f>SUM(K277:K278)</f>
        <v>12568</v>
      </c>
      <c r="L279" s="1971">
        <f>SUM(L277:L278)</f>
        <v>12832</v>
      </c>
      <c r="M279" s="1971">
        <f>SUM(M277:M278)</f>
        <v>13127</v>
      </c>
      <c r="N279" s="1971">
        <f>SUM(N277:N278)</f>
        <v>13429</v>
      </c>
      <c r="O279" s="1971">
        <f>SUM(O277:O278)</f>
        <v>13738</v>
      </c>
    </row>
    <row r="280" spans="4:15" ht="12.75" customHeight="1" thickTop="1" x14ac:dyDescent="0.25">
      <c r="D280" s="393"/>
      <c r="E280" s="115"/>
      <c r="F280" s="115"/>
      <c r="H280" s="114"/>
      <c r="I280" s="114"/>
      <c r="J280" s="396"/>
      <c r="K280" s="396"/>
      <c r="L280" s="396"/>
      <c r="M280" s="396"/>
      <c r="N280" s="396"/>
      <c r="O280" s="396"/>
    </row>
    <row r="281" spans="4:15" ht="12.75" customHeight="1" x14ac:dyDescent="0.25">
      <c r="D281" s="143">
        <v>43812</v>
      </c>
      <c r="E281" s="490" t="s">
        <v>4896</v>
      </c>
      <c r="F281" s="115"/>
      <c r="G281" s="308"/>
      <c r="H281" s="114"/>
      <c r="I281" s="114"/>
      <c r="J281" s="114"/>
      <c r="K281" s="114"/>
      <c r="L281" s="114"/>
      <c r="M281" s="114"/>
      <c r="N281" s="114"/>
      <c r="O281" s="114"/>
    </row>
    <row r="282" spans="4:15" ht="12.75" customHeight="1" x14ac:dyDescent="0.25">
      <c r="D282" s="143"/>
      <c r="E282" s="490" t="s">
        <v>4897</v>
      </c>
      <c r="F282" s="115"/>
      <c r="H282" s="114"/>
      <c r="I282" s="114"/>
      <c r="J282" s="114"/>
      <c r="K282" s="114">
        <f>ROUND(11666*S$2,0)</f>
        <v>11969</v>
      </c>
      <c r="L282" s="114">
        <f t="shared" ref="L282:O286" si="52">ROUND(K282*T$2,0)</f>
        <v>12220</v>
      </c>
      <c r="M282" s="114">
        <f t="shared" si="52"/>
        <v>12501</v>
      </c>
      <c r="N282" s="114">
        <f t="shared" si="52"/>
        <v>12789</v>
      </c>
      <c r="O282" s="114">
        <f t="shared" si="52"/>
        <v>13083</v>
      </c>
    </row>
    <row r="283" spans="4:15" ht="12.75" customHeight="1" x14ac:dyDescent="0.25">
      <c r="D283" s="143"/>
      <c r="E283" s="490" t="s">
        <v>4898</v>
      </c>
      <c r="F283" s="115"/>
      <c r="H283" s="114"/>
      <c r="I283" s="114"/>
      <c r="J283" s="114"/>
      <c r="K283" s="114">
        <f>ROUND(5618*S$2,0)</f>
        <v>5764</v>
      </c>
      <c r="L283" s="114">
        <f t="shared" si="52"/>
        <v>5885</v>
      </c>
      <c r="M283" s="114">
        <f t="shared" si="52"/>
        <v>6020</v>
      </c>
      <c r="N283" s="114">
        <f t="shared" si="52"/>
        <v>6158</v>
      </c>
      <c r="O283" s="114">
        <f t="shared" si="52"/>
        <v>6300</v>
      </c>
    </row>
    <row r="284" spans="4:15" ht="12.75" customHeight="1" x14ac:dyDescent="0.25">
      <c r="D284" s="143"/>
      <c r="E284" s="490" t="s">
        <v>4899</v>
      </c>
      <c r="F284" s="115"/>
      <c r="H284" s="114"/>
      <c r="I284" s="114"/>
      <c r="J284" s="114"/>
      <c r="K284" s="114">
        <f>ROUND(56176*S$2,0)</f>
        <v>57637</v>
      </c>
      <c r="L284" s="114">
        <f t="shared" si="52"/>
        <v>58847</v>
      </c>
      <c r="M284" s="114">
        <f t="shared" si="52"/>
        <v>60200</v>
      </c>
      <c r="N284" s="114">
        <f t="shared" si="52"/>
        <v>61585</v>
      </c>
      <c r="O284" s="114">
        <f t="shared" si="52"/>
        <v>63001</v>
      </c>
    </row>
    <row r="285" spans="4:15" ht="12.75" customHeight="1" x14ac:dyDescent="0.25">
      <c r="D285" s="143"/>
      <c r="E285" s="308" t="s">
        <v>4900</v>
      </c>
      <c r="F285" s="115"/>
      <c r="J285" s="114"/>
      <c r="K285" s="114">
        <f>ROUND(16603*S$2,0)</f>
        <v>17035</v>
      </c>
      <c r="L285" s="114">
        <f t="shared" si="52"/>
        <v>17393</v>
      </c>
      <c r="M285" s="114">
        <f t="shared" si="52"/>
        <v>17793</v>
      </c>
      <c r="N285" s="114">
        <f t="shared" si="52"/>
        <v>18202</v>
      </c>
      <c r="O285" s="114">
        <f t="shared" si="52"/>
        <v>18621</v>
      </c>
    </row>
    <row r="286" spans="4:15" ht="12.75" customHeight="1" x14ac:dyDescent="0.25">
      <c r="D286" s="393"/>
      <c r="E286" s="308" t="s">
        <v>4901</v>
      </c>
      <c r="F286" s="115"/>
      <c r="J286" s="114"/>
      <c r="K286" s="114">
        <f>ROUND(5618*S$2,0)</f>
        <v>5764</v>
      </c>
      <c r="L286" s="114">
        <f t="shared" si="52"/>
        <v>5885</v>
      </c>
      <c r="M286" s="114">
        <f t="shared" si="52"/>
        <v>6020</v>
      </c>
      <c r="N286" s="114">
        <f t="shared" si="52"/>
        <v>6158</v>
      </c>
      <c r="O286" s="114">
        <f t="shared" si="52"/>
        <v>6300</v>
      </c>
    </row>
    <row r="287" spans="4:15" ht="12.75" customHeight="1" x14ac:dyDescent="0.25">
      <c r="D287" s="393"/>
      <c r="E287" s="308" t="s">
        <v>4902</v>
      </c>
      <c r="F287" s="115"/>
      <c r="J287" s="114"/>
      <c r="K287" s="114"/>
      <c r="L287" s="114"/>
      <c r="M287" s="114"/>
      <c r="N287" s="114"/>
      <c r="O287" s="114"/>
    </row>
    <row r="288" spans="4:15" ht="12.75" customHeight="1" x14ac:dyDescent="0.25">
      <c r="D288" s="143"/>
      <c r="E288" s="490" t="s">
        <v>4903</v>
      </c>
      <c r="F288" s="115"/>
      <c r="H288" s="114"/>
      <c r="I288" s="114"/>
      <c r="J288" s="114"/>
      <c r="K288" s="114">
        <f>ROUND(37311*S$2,0)</f>
        <v>38281</v>
      </c>
      <c r="L288" s="114">
        <f t="shared" ref="L288:O289" si="53">ROUND(K288*T$2,0)</f>
        <v>39085</v>
      </c>
      <c r="M288" s="114">
        <f t="shared" si="53"/>
        <v>39984</v>
      </c>
      <c r="N288" s="114">
        <f t="shared" si="53"/>
        <v>40904</v>
      </c>
      <c r="O288" s="114">
        <f t="shared" si="53"/>
        <v>41845</v>
      </c>
    </row>
    <row r="289" spans="4:15" ht="12.75" customHeight="1" x14ac:dyDescent="0.25">
      <c r="D289" s="143"/>
      <c r="E289" s="490" t="s">
        <v>4904</v>
      </c>
      <c r="F289" s="115"/>
      <c r="H289" s="114"/>
      <c r="I289" s="114"/>
      <c r="J289" s="114"/>
      <c r="K289" s="114">
        <f>ROUND(-37311*S$2,0)</f>
        <v>-38281</v>
      </c>
      <c r="L289" s="114">
        <f t="shared" si="53"/>
        <v>-39085</v>
      </c>
      <c r="M289" s="114">
        <f t="shared" si="53"/>
        <v>-39984</v>
      </c>
      <c r="N289" s="114">
        <f t="shared" si="53"/>
        <v>-40904</v>
      </c>
      <c r="O289" s="114">
        <f t="shared" si="53"/>
        <v>-41845</v>
      </c>
    </row>
    <row r="290" spans="4:15" ht="12.75" customHeight="1" x14ac:dyDescent="0.25">
      <c r="D290" s="143"/>
      <c r="E290" s="490" t="s">
        <v>4905</v>
      </c>
      <c r="F290" s="115"/>
      <c r="H290" s="114"/>
      <c r="I290" s="114"/>
      <c r="J290" s="114"/>
      <c r="K290" s="114">
        <f>ROUND(40000*S2,-2)</f>
        <v>41000</v>
      </c>
      <c r="L290" s="114">
        <f>ROUND(K290*T2,-2)</f>
        <v>41900</v>
      </c>
      <c r="M290" s="114"/>
      <c r="N290" s="114"/>
      <c r="O290" s="114"/>
    </row>
    <row r="291" spans="4:15" ht="12.75" customHeight="1" x14ac:dyDescent="0.25">
      <c r="D291" s="143"/>
      <c r="E291" s="490" t="s">
        <v>4906</v>
      </c>
      <c r="F291" s="115"/>
      <c r="H291" s="114"/>
      <c r="I291" s="114"/>
      <c r="J291" s="114"/>
      <c r="K291" s="114">
        <f>ROUND(35000*S3,-2)</f>
        <v>35700</v>
      </c>
      <c r="L291" s="114">
        <f>ROUND(K291*T3,-2)</f>
        <v>37200</v>
      </c>
      <c r="M291" s="114"/>
      <c r="N291" s="114"/>
      <c r="O291" s="114"/>
    </row>
    <row r="292" spans="4:15" ht="12.75" customHeight="1" x14ac:dyDescent="0.25">
      <c r="D292" s="143"/>
      <c r="E292" s="2272" t="s">
        <v>5368</v>
      </c>
      <c r="F292" s="1720"/>
      <c r="G292" s="1720"/>
      <c r="H292" s="2177"/>
      <c r="I292" s="2177"/>
      <c r="J292" s="2177"/>
      <c r="K292" s="2177">
        <v>300000</v>
      </c>
      <c r="L292" s="2177"/>
      <c r="M292" s="2177"/>
      <c r="N292" s="2177"/>
      <c r="O292" s="2177"/>
    </row>
    <row r="293" spans="4:15" ht="12.75" customHeight="1" thickBot="1" x14ac:dyDescent="0.3">
      <c r="E293" s="115" t="str">
        <f>"Totaal "&amp;D281</f>
        <v>Totaal 43812</v>
      </c>
      <c r="F293" s="115"/>
      <c r="H293" s="114"/>
      <c r="I293" s="114"/>
      <c r="J293" s="114"/>
      <c r="K293" s="1971">
        <f>SUM(K282:K292)</f>
        <v>474869</v>
      </c>
      <c r="L293" s="1971">
        <f>SUM(L282:L292)</f>
        <v>179330</v>
      </c>
      <c r="M293" s="1971">
        <f>SUM(M282:M292)</f>
        <v>102534</v>
      </c>
      <c r="N293" s="1971">
        <f>SUM(N282:N292)</f>
        <v>104892</v>
      </c>
      <c r="O293" s="1971">
        <f>SUM(O282:O292)</f>
        <v>107305</v>
      </c>
    </row>
    <row r="294" spans="4:15" ht="12.75" customHeight="1" thickTop="1" x14ac:dyDescent="0.25">
      <c r="E294" s="115"/>
      <c r="F294" s="115"/>
      <c r="H294" s="114"/>
      <c r="I294" s="114"/>
      <c r="J294" s="114"/>
      <c r="K294" s="114"/>
      <c r="L294" s="114"/>
      <c r="M294" s="114"/>
      <c r="N294" s="114"/>
      <c r="O294" s="114"/>
    </row>
    <row r="295" spans="4:15" ht="12.75" customHeight="1" x14ac:dyDescent="0.25">
      <c r="D295" s="597">
        <v>649006</v>
      </c>
      <c r="E295" s="598" t="s">
        <v>4859</v>
      </c>
      <c r="F295" s="115"/>
      <c r="G295" s="492"/>
      <c r="H295" s="114"/>
      <c r="I295" s="114"/>
      <c r="J295" s="114"/>
      <c r="K295" s="114"/>
      <c r="L295" s="114"/>
      <c r="M295" s="114"/>
      <c r="N295" s="114"/>
      <c r="O295" s="114"/>
    </row>
    <row r="296" spans="4:15" ht="12.75" customHeight="1" x14ac:dyDescent="0.25">
      <c r="D296" s="542">
        <v>43812</v>
      </c>
      <c r="E296" s="599" t="s">
        <v>4907</v>
      </c>
      <c r="F296" s="115"/>
      <c r="G296" s="492"/>
      <c r="H296" s="114"/>
      <c r="I296" s="114"/>
      <c r="J296" s="114"/>
      <c r="K296" s="114">
        <f>1600+3800</f>
        <v>5400</v>
      </c>
      <c r="L296" s="114">
        <f>1645+3900</f>
        <v>5545</v>
      </c>
      <c r="M296" s="114">
        <f>1682+4000</f>
        <v>5682</v>
      </c>
      <c r="N296" s="114">
        <f>1719+4000</f>
        <v>5719</v>
      </c>
      <c r="O296" s="544">
        <v>0</v>
      </c>
    </row>
    <row r="297" spans="4:15" ht="12.75" customHeight="1" x14ac:dyDescent="0.25">
      <c r="D297" s="600"/>
      <c r="E297" s="493" t="s">
        <v>4908</v>
      </c>
      <c r="F297" s="115"/>
      <c r="G297" s="492"/>
      <c r="H297" s="114"/>
      <c r="I297" s="114"/>
      <c r="J297" s="114"/>
      <c r="K297" s="114"/>
      <c r="L297" s="114"/>
      <c r="M297" s="114"/>
      <c r="N297" s="114"/>
      <c r="O297" s="114"/>
    </row>
    <row r="298" spans="4:15" ht="12.75" customHeight="1" x14ac:dyDescent="0.25">
      <c r="D298" s="600"/>
      <c r="E298" s="491"/>
      <c r="F298" s="115"/>
      <c r="G298" s="492"/>
      <c r="H298" s="114"/>
      <c r="I298" s="114"/>
      <c r="J298" s="114"/>
      <c r="K298" s="114"/>
      <c r="L298" s="114"/>
      <c r="M298" s="114"/>
      <c r="N298" s="114"/>
      <c r="O298" s="114"/>
    </row>
    <row r="299" spans="4:15" ht="12.75" customHeight="1" thickBot="1" x14ac:dyDescent="0.3">
      <c r="D299" s="492"/>
      <c r="E299" s="115" t="str">
        <f>"Totaal "&amp;D296</f>
        <v>Totaal 43812</v>
      </c>
      <c r="F299" s="115"/>
      <c r="G299" s="492"/>
      <c r="H299" s="114"/>
      <c r="I299" s="114"/>
      <c r="J299" s="114"/>
      <c r="K299" s="1971">
        <f>SUM(K295:K298)</f>
        <v>5400</v>
      </c>
      <c r="L299" s="1971">
        <f>SUM(L295:L298)</f>
        <v>5545</v>
      </c>
      <c r="M299" s="1971">
        <f>SUM(M295:M298)</f>
        <v>5682</v>
      </c>
      <c r="N299" s="1971">
        <f>SUM(N295:N298)</f>
        <v>5719</v>
      </c>
      <c r="O299" s="1971">
        <f>SUM(O295:O298)</f>
        <v>0</v>
      </c>
    </row>
    <row r="300" spans="4:15" ht="12.75" customHeight="1" thickTop="1" x14ac:dyDescent="0.25">
      <c r="D300" s="143"/>
      <c r="E300" s="115"/>
      <c r="F300" s="115"/>
      <c r="H300" s="114"/>
      <c r="I300" s="114"/>
    </row>
    <row r="301" spans="4:15" ht="12.75" customHeight="1" x14ac:dyDescent="0.25">
      <c r="D301" s="393">
        <v>649013</v>
      </c>
      <c r="E301" s="381" t="s">
        <v>4860</v>
      </c>
      <c r="F301" s="115"/>
      <c r="H301" s="399"/>
      <c r="I301" s="399"/>
      <c r="K301" s="407">
        <v>2026</v>
      </c>
      <c r="L301" s="407">
        <v>2027</v>
      </c>
      <c r="M301" s="407">
        <v>2028</v>
      </c>
      <c r="N301" s="407">
        <v>2029</v>
      </c>
      <c r="O301" s="407">
        <v>2030</v>
      </c>
    </row>
    <row r="302" spans="4:15" ht="12.75" customHeight="1" x14ac:dyDescent="0.25">
      <c r="D302" s="143">
        <v>43812</v>
      </c>
      <c r="E302" s="308" t="s">
        <v>4909</v>
      </c>
      <c r="F302" s="115"/>
      <c r="H302" s="399"/>
      <c r="I302" s="399"/>
      <c r="J302" s="114"/>
      <c r="K302" s="114">
        <f>ROUND(1289*S$2,0)</f>
        <v>1323</v>
      </c>
      <c r="L302" s="114">
        <f>ROUND(K302*T$2,0)</f>
        <v>1351</v>
      </c>
      <c r="M302" s="114">
        <f>ROUND(L302*U$2,0)</f>
        <v>1382</v>
      </c>
      <c r="N302" s="114">
        <f>ROUND(M302*V$2,0)</f>
        <v>1414</v>
      </c>
      <c r="O302" s="114">
        <f>ROUND(N302*W$2,0)</f>
        <v>1447</v>
      </c>
    </row>
    <row r="303" spans="4:15" ht="12.75" customHeight="1" x14ac:dyDescent="0.25">
      <c r="D303" s="384"/>
      <c r="E303" s="308" t="s">
        <v>4910</v>
      </c>
      <c r="F303" s="115"/>
      <c r="H303" s="399"/>
      <c r="I303" s="399"/>
      <c r="J303" s="114"/>
      <c r="K303" s="114"/>
      <c r="L303" s="114"/>
      <c r="M303" s="114"/>
      <c r="N303" s="114"/>
      <c r="O303" s="114"/>
    </row>
    <row r="304" spans="4:15" ht="12.75" customHeight="1" x14ac:dyDescent="0.25">
      <c r="E304" s="115" t="s">
        <v>4911</v>
      </c>
      <c r="F304" s="115"/>
      <c r="G304" s="308"/>
      <c r="H304" s="399"/>
      <c r="I304" s="399"/>
      <c r="J304" s="114"/>
      <c r="K304" s="114">
        <f>ROUND(676*S$2,0)</f>
        <v>694</v>
      </c>
      <c r="L304" s="114">
        <f t="shared" ref="L304:O305" si="54">ROUND(K304*T$2,0)</f>
        <v>709</v>
      </c>
      <c r="M304" s="114">
        <f t="shared" si="54"/>
        <v>725</v>
      </c>
      <c r="N304" s="114">
        <f t="shared" si="54"/>
        <v>742</v>
      </c>
      <c r="O304" s="114">
        <f t="shared" si="54"/>
        <v>759</v>
      </c>
    </row>
    <row r="305" spans="4:15" ht="12.75" customHeight="1" x14ac:dyDescent="0.25">
      <c r="E305" s="308" t="s">
        <v>4912</v>
      </c>
      <c r="F305" s="115"/>
      <c r="G305" s="308"/>
      <c r="H305" s="399"/>
      <c r="I305" s="399"/>
      <c r="J305" s="114"/>
      <c r="K305" s="114">
        <f>ROUND(33705*S$2,0)</f>
        <v>34581</v>
      </c>
      <c r="L305" s="114">
        <f t="shared" si="54"/>
        <v>35307</v>
      </c>
      <c r="M305" s="114">
        <f t="shared" si="54"/>
        <v>36119</v>
      </c>
      <c r="N305" s="114">
        <f t="shared" si="54"/>
        <v>36950</v>
      </c>
      <c r="O305" s="114">
        <f t="shared" si="54"/>
        <v>37800</v>
      </c>
    </row>
    <row r="306" spans="4:15" ht="12.75" customHeight="1" thickBot="1" x14ac:dyDescent="0.3">
      <c r="E306" s="115" t="str">
        <f>"Totaal "&amp;D302</f>
        <v>Totaal 43812</v>
      </c>
      <c r="F306" s="115"/>
      <c r="H306" s="399"/>
      <c r="I306" s="399"/>
      <c r="J306" s="114"/>
      <c r="K306" s="1971">
        <f>SUM(K302:K305)</f>
        <v>36598</v>
      </c>
      <c r="L306" s="1971">
        <f>SUM(L302:L305)</f>
        <v>37367</v>
      </c>
      <c r="M306" s="1971">
        <f>SUM(M302:M305)</f>
        <v>38226</v>
      </c>
      <c r="N306" s="1971">
        <f>SUM(N302:N305)</f>
        <v>39106</v>
      </c>
      <c r="O306" s="1971">
        <f>SUM(O302:O305)</f>
        <v>40006</v>
      </c>
    </row>
    <row r="307" spans="4:15" ht="12.75" customHeight="1" thickTop="1" x14ac:dyDescent="0.25">
      <c r="D307" s="601"/>
      <c r="E307" s="601"/>
      <c r="F307" s="405"/>
      <c r="G307" s="405"/>
      <c r="H307" s="399"/>
      <c r="I307" s="399"/>
    </row>
    <row r="308" spans="4:15" ht="12.75" customHeight="1" x14ac:dyDescent="0.25">
      <c r="D308" s="393">
        <v>649014</v>
      </c>
      <c r="E308" s="381" t="s">
        <v>4861</v>
      </c>
      <c r="F308" s="115"/>
      <c r="G308" s="595"/>
      <c r="H308" s="114"/>
      <c r="I308" s="114"/>
      <c r="J308" s="396"/>
      <c r="K308" s="422">
        <v>2026</v>
      </c>
      <c r="L308" s="422">
        <v>2027</v>
      </c>
      <c r="M308" s="422">
        <v>2028</v>
      </c>
      <c r="N308" s="422">
        <v>2029</v>
      </c>
      <c r="O308" s="422">
        <v>2030</v>
      </c>
    </row>
    <row r="309" spans="4:15" ht="12.75" customHeight="1" x14ac:dyDescent="0.25">
      <c r="D309" s="393"/>
      <c r="E309" s="381"/>
      <c r="F309" s="115"/>
      <c r="G309" s="595"/>
      <c r="H309" s="114"/>
      <c r="I309" s="114"/>
    </row>
    <row r="310" spans="4:15" ht="12.75" customHeight="1" x14ac:dyDescent="0.25">
      <c r="D310" s="393"/>
      <c r="E310" s="2510" t="s">
        <v>4913</v>
      </c>
      <c r="F310" s="2510"/>
      <c r="G310" s="2510"/>
      <c r="H310" s="2510"/>
      <c r="I310" s="2510"/>
      <c r="J310" s="439"/>
      <c r="K310" s="439"/>
      <c r="L310" s="439"/>
      <c r="M310" s="439"/>
      <c r="N310" s="439"/>
      <c r="O310" s="439"/>
    </row>
    <row r="311" spans="4:15" ht="12.75" customHeight="1" x14ac:dyDescent="0.25">
      <c r="D311" s="393"/>
      <c r="E311" s="2510"/>
      <c r="F311" s="2510"/>
      <c r="G311" s="2510"/>
      <c r="H311" s="2510"/>
      <c r="I311" s="2510"/>
      <c r="J311" s="439"/>
      <c r="K311" s="439"/>
      <c r="L311" s="439"/>
      <c r="M311" s="439"/>
      <c r="N311" s="439"/>
      <c r="O311" s="439"/>
    </row>
    <row r="312" spans="4:15" ht="12.75" customHeight="1" x14ac:dyDescent="0.25">
      <c r="D312" s="393"/>
      <c r="E312" s="2510"/>
      <c r="F312" s="2510"/>
      <c r="G312" s="2510"/>
      <c r="H312" s="2510"/>
      <c r="I312" s="2510"/>
      <c r="J312" s="439"/>
      <c r="K312" s="439"/>
      <c r="L312" s="439"/>
      <c r="M312" s="439"/>
      <c r="N312" s="439"/>
      <c r="O312" s="439"/>
    </row>
    <row r="313" spans="4:15" ht="12.75" customHeight="1" x14ac:dyDescent="0.25">
      <c r="D313" s="393"/>
      <c r="E313" s="2510"/>
      <c r="F313" s="2510"/>
      <c r="G313" s="2510"/>
      <c r="H313" s="2510"/>
      <c r="I313" s="2510"/>
      <c r="J313" s="439"/>
      <c r="K313" s="439"/>
      <c r="L313" s="439"/>
      <c r="M313" s="439"/>
      <c r="N313" s="439"/>
      <c r="O313" s="439"/>
    </row>
    <row r="314" spans="4:15" ht="12.75" customHeight="1" x14ac:dyDescent="0.25">
      <c r="D314" s="393"/>
      <c r="E314" s="2510"/>
      <c r="F314" s="2510"/>
      <c r="G314" s="2510"/>
      <c r="H314" s="2510"/>
      <c r="I314" s="2510"/>
      <c r="J314" s="439"/>
      <c r="K314" s="439"/>
      <c r="L314" s="439"/>
      <c r="M314" s="439"/>
      <c r="N314" s="439"/>
      <c r="O314" s="439"/>
    </row>
    <row r="315" spans="4:15" ht="12.75" customHeight="1" x14ac:dyDescent="0.25">
      <c r="D315" s="393"/>
      <c r="E315" s="2510"/>
      <c r="F315" s="2510"/>
      <c r="G315" s="2510"/>
      <c r="H315" s="2510"/>
      <c r="I315" s="2510"/>
      <c r="J315" s="439"/>
      <c r="K315" s="439"/>
      <c r="L315" s="439"/>
      <c r="M315" s="439"/>
      <c r="N315" s="439"/>
      <c r="O315" s="439"/>
    </row>
    <row r="316" spans="4:15" ht="12.75" customHeight="1" x14ac:dyDescent="0.25">
      <c r="D316" s="143">
        <v>43812</v>
      </c>
      <c r="E316" s="308" t="s">
        <v>4914</v>
      </c>
      <c r="F316" s="115"/>
      <c r="H316" s="399"/>
      <c r="I316" s="399"/>
      <c r="J316" s="114"/>
      <c r="K316" s="114">
        <f>ROUND(4295*S$2,0)</f>
        <v>4407</v>
      </c>
      <c r="L316" s="114">
        <f>ROUND(K316*T$2,0)</f>
        <v>4500</v>
      </c>
      <c r="M316" s="114">
        <f>ROUND(L316*U$2,0)</f>
        <v>4604</v>
      </c>
      <c r="N316" s="114">
        <f>ROUND(M316*V$2,0)</f>
        <v>4710</v>
      </c>
      <c r="O316" s="114">
        <f>ROUND(N316*W$2,0)</f>
        <v>4818</v>
      </c>
    </row>
    <row r="317" spans="4:15" ht="12.75" customHeight="1" thickBot="1" x14ac:dyDescent="0.3">
      <c r="E317" s="115" t="str">
        <f>"Totaal "&amp;D316</f>
        <v>Totaal 43812</v>
      </c>
      <c r="F317" s="115"/>
      <c r="H317" s="399"/>
      <c r="I317" s="399"/>
      <c r="J317" s="114"/>
      <c r="K317" s="1971">
        <f>SUM(K316:K316)</f>
        <v>4407</v>
      </c>
      <c r="L317" s="1971">
        <f>SUM(L316:L316)</f>
        <v>4500</v>
      </c>
      <c r="M317" s="1971">
        <f>SUM(M316:M316)</f>
        <v>4604</v>
      </c>
      <c r="N317" s="1971">
        <f>SUM(N316:N316)</f>
        <v>4710</v>
      </c>
      <c r="O317" s="1971">
        <f>SUM(O316:O316)</f>
        <v>4818</v>
      </c>
    </row>
    <row r="318" spans="4:15" ht="12.75" customHeight="1" thickTop="1" x14ac:dyDescent="0.25">
      <c r="E318" s="115"/>
      <c r="F318" s="115"/>
      <c r="H318" s="399"/>
      <c r="I318" s="399"/>
      <c r="J318" s="114"/>
      <c r="K318" s="114"/>
      <c r="L318" s="114"/>
      <c r="M318" s="114"/>
      <c r="N318" s="114"/>
      <c r="O318" s="114"/>
    </row>
    <row r="319" spans="4:15" ht="12.75" customHeight="1" x14ac:dyDescent="0.25">
      <c r="E319" s="115"/>
      <c r="F319" s="115"/>
      <c r="H319" s="399"/>
      <c r="I319" s="399"/>
      <c r="J319" s="114"/>
      <c r="K319" s="114"/>
      <c r="L319" s="114"/>
      <c r="M319" s="114"/>
      <c r="N319" s="114"/>
      <c r="O319" s="114"/>
    </row>
    <row r="320" spans="4:15" ht="12.75" customHeight="1" x14ac:dyDescent="0.25">
      <c r="D320" s="597">
        <v>649017</v>
      </c>
      <c r="E320" s="598" t="s">
        <v>5369</v>
      </c>
      <c r="F320" s="115"/>
      <c r="G320" s="492"/>
      <c r="H320" s="399"/>
      <c r="I320" s="399"/>
      <c r="J320" s="114"/>
      <c r="K320" s="114"/>
      <c r="L320" s="114"/>
      <c r="M320" s="114"/>
      <c r="N320" s="114"/>
      <c r="O320" s="114"/>
    </row>
    <row r="321" spans="1:16" ht="12.75" customHeight="1" x14ac:dyDescent="0.25">
      <c r="D321" s="2184">
        <v>43812</v>
      </c>
      <c r="E321" s="1720" t="s">
        <v>5370</v>
      </c>
      <c r="F321" s="1720"/>
      <c r="G321" s="1720"/>
      <c r="H321" s="2175"/>
      <c r="I321" s="2175"/>
      <c r="J321" s="2177"/>
      <c r="K321" s="2177"/>
      <c r="L321" s="2177"/>
      <c r="M321" s="2177"/>
      <c r="N321" s="2177"/>
      <c r="O321" s="2177"/>
    </row>
    <row r="322" spans="1:16" ht="12.75" customHeight="1" x14ac:dyDescent="0.25">
      <c r="E322" s="115"/>
      <c r="F322" s="115"/>
      <c r="H322" s="399"/>
      <c r="I322" s="399"/>
      <c r="J322" s="114"/>
      <c r="K322" s="114"/>
      <c r="L322" s="114"/>
      <c r="M322" s="114"/>
      <c r="N322" s="114"/>
      <c r="O322" s="114"/>
    </row>
    <row r="323" spans="1:16" ht="12.75" customHeight="1" x14ac:dyDescent="0.25">
      <c r="D323" s="597">
        <v>649018</v>
      </c>
      <c r="E323" s="598" t="s">
        <v>4862</v>
      </c>
      <c r="F323" s="115"/>
      <c r="G323" s="492"/>
      <c r="H323" s="114"/>
      <c r="I323" s="114"/>
      <c r="J323" s="114"/>
      <c r="K323" s="114"/>
      <c r="L323" s="114"/>
      <c r="M323" s="114"/>
      <c r="N323" s="114"/>
      <c r="O323" s="114"/>
    </row>
    <row r="324" spans="1:16" ht="12.75" customHeight="1" x14ac:dyDescent="0.25">
      <c r="D324" s="600">
        <v>41100</v>
      </c>
      <c r="E324" s="491" t="s">
        <v>4917</v>
      </c>
      <c r="F324" s="115"/>
      <c r="G324" s="492"/>
      <c r="H324" s="114"/>
      <c r="I324" s="114"/>
      <c r="J324" s="114"/>
      <c r="K324" s="548">
        <f>-K417</f>
        <v>371992</v>
      </c>
      <c r="L324" s="548">
        <f>-L417</f>
        <v>387616</v>
      </c>
      <c r="M324" s="548">
        <f>-M417</f>
        <v>401958</v>
      </c>
      <c r="N324" s="548">
        <f>-N417</f>
        <v>416830</v>
      </c>
      <c r="O324" s="548">
        <f>-O417</f>
        <v>432253</v>
      </c>
      <c r="P324" s="115" t="s">
        <v>4918</v>
      </c>
    </row>
    <row r="325" spans="1:16" ht="12.75" customHeight="1" x14ac:dyDescent="0.25">
      <c r="D325" s="600"/>
      <c r="E325" s="491" t="s">
        <v>4919</v>
      </c>
      <c r="F325" s="115"/>
      <c r="G325" s="492"/>
      <c r="H325" s="114"/>
      <c r="I325" s="114"/>
      <c r="J325" s="114"/>
      <c r="L325" s="114"/>
      <c r="M325" s="114"/>
      <c r="N325" s="114"/>
      <c r="O325" s="114"/>
    </row>
    <row r="326" spans="1:16" ht="12.75" customHeight="1" thickBot="1" x14ac:dyDescent="0.3">
      <c r="D326" s="600"/>
      <c r="E326" s="493" t="s">
        <v>536</v>
      </c>
      <c r="F326" s="115"/>
      <c r="G326" s="492"/>
      <c r="H326" s="114"/>
      <c r="I326" s="114"/>
      <c r="J326" s="114"/>
      <c r="K326" s="1971">
        <f>SUM(K324:K325)</f>
        <v>371992</v>
      </c>
      <c r="L326" s="1971">
        <f t="shared" ref="L326:O326" si="55">SUM(L324:L325)</f>
        <v>387616</v>
      </c>
      <c r="M326" s="1971">
        <f t="shared" si="55"/>
        <v>401958</v>
      </c>
      <c r="N326" s="1971">
        <f t="shared" si="55"/>
        <v>416830</v>
      </c>
      <c r="O326" s="1971">
        <f t="shared" si="55"/>
        <v>432253</v>
      </c>
    </row>
    <row r="327" spans="1:16" ht="12.75" customHeight="1" thickTop="1" x14ac:dyDescent="0.25">
      <c r="D327" s="600"/>
      <c r="E327" s="491"/>
      <c r="F327" s="115"/>
      <c r="G327" s="492"/>
      <c r="H327" s="114"/>
      <c r="I327" s="114"/>
      <c r="J327" s="114"/>
      <c r="L327" s="114"/>
      <c r="M327" s="114"/>
      <c r="N327" s="114"/>
      <c r="O327" s="114"/>
    </row>
    <row r="328" spans="1:16" ht="12.75" customHeight="1" x14ac:dyDescent="0.25">
      <c r="D328" s="600"/>
      <c r="E328" s="491"/>
      <c r="F328" s="115"/>
      <c r="G328" s="492"/>
      <c r="H328" s="114"/>
      <c r="I328" s="114"/>
      <c r="J328" s="114"/>
      <c r="L328" s="114"/>
      <c r="M328" s="114"/>
      <c r="N328" s="114"/>
      <c r="O328" s="114"/>
    </row>
    <row r="329" spans="1:16" ht="12.75" customHeight="1" x14ac:dyDescent="0.25">
      <c r="D329" s="542">
        <v>43511</v>
      </c>
      <c r="E329" s="599" t="s">
        <v>4915</v>
      </c>
      <c r="F329" s="115"/>
      <c r="G329" s="492"/>
      <c r="H329" s="114"/>
      <c r="I329" s="114"/>
      <c r="J329" s="114"/>
      <c r="K329" s="114">
        <f>325000-K324</f>
        <v>-46992</v>
      </c>
      <c r="L329" s="114">
        <f>325000-L324</f>
        <v>-62616</v>
      </c>
      <c r="M329" s="114">
        <f>325000-M324</f>
        <v>-76958</v>
      </c>
      <c r="N329" s="114">
        <f>325000-N324</f>
        <v>-91830</v>
      </c>
      <c r="O329" s="114">
        <f>325000-O324</f>
        <v>-107253</v>
      </c>
      <c r="P329" s="115" t="s">
        <v>4916</v>
      </c>
    </row>
    <row r="330" spans="1:16" ht="12.75" customHeight="1" x14ac:dyDescent="0.25">
      <c r="D330" s="600">
        <v>43511</v>
      </c>
      <c r="E330" s="491" t="s">
        <v>4920</v>
      </c>
      <c r="F330" s="115"/>
      <c r="G330" s="492"/>
      <c r="H330" s="114"/>
      <c r="I330" s="114"/>
      <c r="K330" s="114">
        <f>-K290</f>
        <v>-41000</v>
      </c>
      <c r="L330" s="114">
        <f>-L290</f>
        <v>-41900</v>
      </c>
      <c r="M330" s="114">
        <f>-M290</f>
        <v>0</v>
      </c>
      <c r="N330" s="114">
        <f>-N290</f>
        <v>0</v>
      </c>
      <c r="O330" s="114">
        <f>-O290</f>
        <v>0</v>
      </c>
    </row>
    <row r="331" spans="1:16" s="1720" customFormat="1" ht="12.75" customHeight="1" x14ac:dyDescent="0.25">
      <c r="A331" s="2191"/>
      <c r="D331" s="2192">
        <v>43511</v>
      </c>
      <c r="E331" s="2193" t="s">
        <v>5309</v>
      </c>
      <c r="G331" s="2194"/>
      <c r="H331" s="2177"/>
      <c r="I331" s="2177"/>
      <c r="J331" s="2177"/>
      <c r="K331" s="2177">
        <v>975000</v>
      </c>
      <c r="L331" s="2177">
        <v>0</v>
      </c>
      <c r="M331" s="2177"/>
      <c r="N331" s="2177"/>
      <c r="O331" s="2177"/>
    </row>
    <row r="332" spans="1:16" s="1720" customFormat="1" ht="12.75" customHeight="1" x14ac:dyDescent="0.25">
      <c r="A332" s="2191"/>
      <c r="D332" s="2192"/>
      <c r="E332" s="2193" t="s">
        <v>5347</v>
      </c>
      <c r="G332" s="2194"/>
      <c r="H332" s="2177"/>
      <c r="I332" s="2177"/>
      <c r="J332" s="2177"/>
      <c r="K332" s="2177">
        <v>8000</v>
      </c>
      <c r="L332" s="2177">
        <v>0</v>
      </c>
      <c r="M332" s="2177"/>
      <c r="N332" s="2177"/>
      <c r="O332" s="2177"/>
    </row>
    <row r="333" spans="1:16" ht="12.75" customHeight="1" thickBot="1" x14ac:dyDescent="0.3">
      <c r="D333" s="492"/>
      <c r="E333" s="115" t="s">
        <v>1139</v>
      </c>
      <c r="F333" s="115"/>
      <c r="G333" s="492"/>
      <c r="H333" s="114"/>
      <c r="I333" s="114"/>
      <c r="J333" s="114"/>
      <c r="K333" s="1971">
        <f>SUM(K329:K331)</f>
        <v>887008</v>
      </c>
      <c r="L333" s="1971">
        <f>SUM(L329:L332)</f>
        <v>-104516</v>
      </c>
      <c r="M333" s="1971">
        <f t="shared" ref="M333:O333" si="56">SUM(M329:M332)</f>
        <v>-76958</v>
      </c>
      <c r="N333" s="1971">
        <f t="shared" si="56"/>
        <v>-91830</v>
      </c>
      <c r="O333" s="1971">
        <f t="shared" si="56"/>
        <v>-107253</v>
      </c>
    </row>
    <row r="334" spans="1:16" ht="12.75" customHeight="1" thickTop="1" x14ac:dyDescent="0.25">
      <c r="D334" s="492"/>
      <c r="E334" s="115"/>
      <c r="F334" s="115"/>
      <c r="G334" s="492"/>
      <c r="H334" s="114"/>
      <c r="I334" s="114"/>
      <c r="J334" s="114"/>
      <c r="K334" s="114"/>
      <c r="L334" s="114"/>
      <c r="M334" s="114"/>
      <c r="N334" s="114"/>
      <c r="O334" s="114"/>
    </row>
    <row r="335" spans="1:16" ht="12.75" customHeight="1" x14ac:dyDescent="0.25">
      <c r="D335" s="597">
        <v>649019</v>
      </c>
      <c r="E335" s="598" t="s">
        <v>4921</v>
      </c>
      <c r="F335" s="115"/>
      <c r="G335" s="492"/>
      <c r="H335" s="114"/>
      <c r="I335" s="114"/>
      <c r="J335" s="114"/>
      <c r="K335" s="114"/>
      <c r="L335" s="114"/>
      <c r="M335" s="114"/>
      <c r="N335" s="114"/>
      <c r="O335" s="114"/>
    </row>
    <row r="336" spans="1:16" ht="12.75" customHeight="1" x14ac:dyDescent="0.25">
      <c r="D336" s="542">
        <v>43812</v>
      </c>
      <c r="E336" s="491" t="s">
        <v>4922</v>
      </c>
      <c r="F336" s="115"/>
      <c r="G336" s="492"/>
      <c r="H336" s="114"/>
      <c r="I336" s="114"/>
      <c r="J336" s="114"/>
      <c r="K336" s="114">
        <v>52400</v>
      </c>
      <c r="L336" s="114">
        <v>53700</v>
      </c>
      <c r="M336" s="114">
        <v>0</v>
      </c>
      <c r="N336" s="114">
        <v>0</v>
      </c>
      <c r="O336" s="114">
        <v>0</v>
      </c>
      <c r="P336" s="115" t="s">
        <v>4916</v>
      </c>
    </row>
    <row r="337" spans="4:15" ht="12.75" customHeight="1" x14ac:dyDescent="0.25">
      <c r="D337" s="600"/>
      <c r="E337" s="491" t="s">
        <v>4923</v>
      </c>
      <c r="F337" s="115"/>
      <c r="G337" s="492"/>
      <c r="H337" s="114"/>
      <c r="I337" s="114"/>
      <c r="J337" s="114"/>
      <c r="K337" s="114"/>
      <c r="L337" s="114"/>
      <c r="M337" s="114"/>
      <c r="N337" s="114"/>
      <c r="O337" s="114"/>
    </row>
    <row r="338" spans="4:15" ht="12.75" customHeight="1" x14ac:dyDescent="0.25">
      <c r="D338" s="600"/>
      <c r="E338" s="491"/>
      <c r="F338" s="115"/>
      <c r="G338" s="492"/>
      <c r="H338" s="114"/>
      <c r="I338" s="114"/>
      <c r="J338" s="114"/>
      <c r="K338" s="114"/>
      <c r="L338" s="114"/>
      <c r="M338" s="114"/>
      <c r="N338" s="114"/>
      <c r="O338" s="114"/>
    </row>
    <row r="339" spans="4:15" ht="12.75" customHeight="1" thickBot="1" x14ac:dyDescent="0.3">
      <c r="D339" s="492"/>
      <c r="E339" s="115" t="str">
        <f>"Totaal "&amp;D336</f>
        <v>Totaal 43812</v>
      </c>
      <c r="F339" s="115"/>
      <c r="G339" s="492"/>
      <c r="H339" s="114"/>
      <c r="I339" s="114"/>
      <c r="J339" s="114"/>
      <c r="K339" s="1971">
        <f>SUM(K335:K338)</f>
        <v>52400</v>
      </c>
      <c r="L339" s="1971">
        <f>SUM(L335:L338)</f>
        <v>53700</v>
      </c>
      <c r="M339" s="1971">
        <f>SUM(M335:M338)</f>
        <v>0</v>
      </c>
      <c r="N339" s="1971">
        <f>SUM(N335:N338)</f>
        <v>0</v>
      </c>
      <c r="O339" s="1971">
        <f>SUM(O335:O338)</f>
        <v>0</v>
      </c>
    </row>
    <row r="340" spans="4:15" ht="12.75" customHeight="1" thickTop="1" x14ac:dyDescent="0.25">
      <c r="D340" s="492"/>
      <c r="E340" s="115"/>
      <c r="F340" s="115"/>
      <c r="G340" s="492"/>
      <c r="H340" s="114"/>
      <c r="I340" s="114"/>
      <c r="J340" s="114"/>
      <c r="K340" s="114"/>
      <c r="L340" s="114"/>
      <c r="M340" s="114"/>
      <c r="N340" s="114"/>
      <c r="O340" s="114"/>
    </row>
    <row r="341" spans="4:15" ht="12.75" customHeight="1" x14ac:dyDescent="0.25">
      <c r="D341" s="597">
        <v>649020</v>
      </c>
      <c r="E341" s="598" t="s">
        <v>4864</v>
      </c>
      <c r="F341" s="115"/>
      <c r="G341" s="492"/>
      <c r="H341" s="114"/>
      <c r="I341" s="114"/>
      <c r="J341" s="114"/>
      <c r="K341" s="114"/>
      <c r="L341" s="114"/>
      <c r="M341" s="114"/>
      <c r="N341" s="114"/>
      <c r="O341" s="114"/>
    </row>
    <row r="342" spans="4:15" ht="12.75" customHeight="1" x14ac:dyDescent="0.25">
      <c r="D342" s="542">
        <v>43812</v>
      </c>
      <c r="E342" s="491" t="s">
        <v>4924</v>
      </c>
      <c r="F342" s="115"/>
      <c r="G342" s="492"/>
      <c r="H342" s="114"/>
      <c r="I342" s="114"/>
      <c r="J342" s="114"/>
      <c r="K342" s="114">
        <v>250000</v>
      </c>
      <c r="L342" s="114">
        <v>0</v>
      </c>
      <c r="M342" s="114">
        <v>0</v>
      </c>
      <c r="N342" s="114">
        <v>0</v>
      </c>
      <c r="O342" s="114">
        <v>0</v>
      </c>
    </row>
    <row r="343" spans="4:15" ht="12.75" customHeight="1" x14ac:dyDescent="0.25">
      <c r="D343" s="600"/>
      <c r="E343" s="491" t="s">
        <v>4925</v>
      </c>
      <c r="F343" s="115"/>
      <c r="G343" s="492"/>
      <c r="H343" s="114"/>
      <c r="I343" s="114"/>
      <c r="J343" s="114"/>
      <c r="K343" s="114"/>
      <c r="L343" s="114"/>
      <c r="M343" s="114"/>
      <c r="N343" s="114"/>
      <c r="O343" s="114"/>
    </row>
    <row r="344" spans="4:15" ht="12.75" customHeight="1" x14ac:dyDescent="0.25">
      <c r="D344" s="600"/>
      <c r="E344" s="2193" t="s">
        <v>5371</v>
      </c>
      <c r="F344" s="1720"/>
      <c r="G344" s="2194"/>
      <c r="H344" s="2177"/>
      <c r="I344" s="2177"/>
      <c r="J344" s="2177"/>
      <c r="K344" s="2177">
        <v>440000</v>
      </c>
      <c r="L344" s="2177"/>
      <c r="M344" s="2177"/>
      <c r="N344" s="2177"/>
      <c r="O344" s="2177"/>
    </row>
    <row r="345" spans="4:15" ht="12.75" customHeight="1" thickBot="1" x14ac:dyDescent="0.3">
      <c r="D345" s="492"/>
      <c r="E345" s="115" t="str">
        <f>"Totaal "&amp;D342</f>
        <v>Totaal 43812</v>
      </c>
      <c r="F345" s="115"/>
      <c r="G345" s="492"/>
      <c r="H345" s="114"/>
      <c r="I345" s="114"/>
      <c r="J345" s="114"/>
      <c r="K345" s="1971">
        <f>SUM(K341:K344)</f>
        <v>690000</v>
      </c>
      <c r="L345" s="1971">
        <f>SUM(L341:L344)</f>
        <v>0</v>
      </c>
      <c r="M345" s="1971">
        <f>SUM(M341:M344)</f>
        <v>0</v>
      </c>
      <c r="N345" s="1971">
        <f>SUM(N341:N344)</f>
        <v>0</v>
      </c>
      <c r="O345" s="1971">
        <f>SUM(O341:O344)</f>
        <v>0</v>
      </c>
    </row>
    <row r="346" spans="4:15" ht="12.75" customHeight="1" thickTop="1" x14ac:dyDescent="0.25">
      <c r="D346" s="492"/>
      <c r="E346" s="115"/>
      <c r="F346" s="115"/>
      <c r="G346" s="492"/>
      <c r="H346" s="114"/>
      <c r="I346" s="114"/>
      <c r="J346" s="114"/>
      <c r="K346" s="114"/>
      <c r="L346" s="114"/>
      <c r="M346" s="114"/>
      <c r="N346" s="114"/>
      <c r="O346" s="114"/>
    </row>
    <row r="347" spans="4:15" ht="12.75" customHeight="1" x14ac:dyDescent="0.25">
      <c r="D347" s="602">
        <v>649024</v>
      </c>
      <c r="E347" s="381" t="s">
        <v>4865</v>
      </c>
      <c r="F347" s="115"/>
      <c r="G347" s="492"/>
      <c r="H347" s="114"/>
      <c r="I347" s="114"/>
      <c r="J347" s="114"/>
      <c r="K347" s="114"/>
      <c r="L347" s="114"/>
      <c r="M347" s="114"/>
      <c r="N347" s="114"/>
      <c r="O347" s="114"/>
    </row>
    <row r="348" spans="4:15" ht="12.75" customHeight="1" x14ac:dyDescent="0.25">
      <c r="D348" s="492"/>
      <c r="E348" s="383" t="s">
        <v>533</v>
      </c>
      <c r="F348" s="115"/>
      <c r="G348" s="492"/>
      <c r="H348" s="114"/>
      <c r="I348" s="114"/>
      <c r="J348" s="114"/>
      <c r="K348" s="114"/>
      <c r="L348" s="114"/>
      <c r="M348" s="114"/>
      <c r="N348" s="114"/>
      <c r="O348" s="114"/>
    </row>
    <row r="349" spans="4:15" ht="12.75" customHeight="1" x14ac:dyDescent="0.25">
      <c r="D349" s="492"/>
      <c r="E349" s="2520" t="s">
        <v>4926</v>
      </c>
      <c r="F349" s="2520"/>
      <c r="G349" s="2520"/>
      <c r="H349" s="2520"/>
      <c r="I349" s="2520"/>
      <c r="J349" s="2520"/>
      <c r="K349" s="2520"/>
      <c r="L349" s="2520"/>
      <c r="M349" s="2520"/>
      <c r="N349" s="2520"/>
      <c r="O349" s="2045"/>
    </row>
    <row r="350" spans="4:15" ht="12.75" customHeight="1" x14ac:dyDescent="0.25">
      <c r="D350" s="492"/>
      <c r="E350" s="2520"/>
      <c r="F350" s="2520"/>
      <c r="G350" s="2520"/>
      <c r="H350" s="2520"/>
      <c r="I350" s="2520"/>
      <c r="J350" s="2520"/>
      <c r="K350" s="2520"/>
      <c r="L350" s="2520"/>
      <c r="M350" s="2520"/>
      <c r="N350" s="2520"/>
      <c r="O350" s="2045"/>
    </row>
    <row r="351" spans="4:15" ht="12.75" customHeight="1" x14ac:dyDescent="0.25">
      <c r="D351" s="492"/>
      <c r="E351" s="2520"/>
      <c r="F351" s="2520"/>
      <c r="G351" s="2520"/>
      <c r="H351" s="2520"/>
      <c r="I351" s="2520"/>
      <c r="J351" s="2520"/>
      <c r="K351" s="2520"/>
      <c r="L351" s="2520"/>
      <c r="M351" s="2520"/>
      <c r="N351" s="2520"/>
      <c r="O351" s="2045"/>
    </row>
    <row r="352" spans="4:15" ht="12.75" customHeight="1" x14ac:dyDescent="0.25">
      <c r="D352" s="492"/>
      <c r="E352" s="2520"/>
      <c r="F352" s="2520"/>
      <c r="G352" s="2520"/>
      <c r="H352" s="2520"/>
      <c r="I352" s="2520"/>
      <c r="J352" s="2520"/>
      <c r="K352" s="2520"/>
      <c r="L352" s="2520"/>
      <c r="M352" s="2520"/>
      <c r="N352" s="2520"/>
      <c r="O352" s="2045"/>
    </row>
    <row r="353" spans="4:15" ht="12.75" customHeight="1" x14ac:dyDescent="0.25">
      <c r="D353" s="492"/>
      <c r="E353" s="115" t="s">
        <v>4927</v>
      </c>
      <c r="F353" s="115"/>
      <c r="G353" s="492"/>
      <c r="H353" s="114"/>
      <c r="I353" s="114"/>
      <c r="J353" s="154"/>
      <c r="K353" s="422">
        <v>2026</v>
      </c>
      <c r="L353" s="422">
        <v>2027</v>
      </c>
      <c r="M353" s="422">
        <v>2028</v>
      </c>
      <c r="N353" s="422">
        <v>2029</v>
      </c>
      <c r="O353" s="422">
        <v>2030</v>
      </c>
    </row>
    <row r="354" spans="4:15" ht="12.75" customHeight="1" x14ac:dyDescent="0.25">
      <c r="D354" s="492"/>
      <c r="E354" s="115"/>
      <c r="F354" s="115"/>
      <c r="G354" s="492"/>
      <c r="H354" s="114"/>
      <c r="I354" s="114"/>
      <c r="J354" s="154"/>
      <c r="K354" s="154"/>
      <c r="L354" s="154"/>
      <c r="M354" s="154"/>
      <c r="N354" s="154"/>
      <c r="O354" s="154"/>
    </row>
    <row r="355" spans="4:15" ht="12.75" customHeight="1" thickBot="1" x14ac:dyDescent="0.3">
      <c r="D355" s="604">
        <v>42100</v>
      </c>
      <c r="E355" s="115" t="s">
        <v>4928</v>
      </c>
      <c r="F355" s="115"/>
      <c r="G355" s="604"/>
      <c r="H355" s="114"/>
      <c r="I355" s="114"/>
      <c r="J355" s="114"/>
      <c r="K355" s="1971">
        <v>0</v>
      </c>
      <c r="L355" s="1971">
        <v>140600</v>
      </c>
      <c r="M355" s="1971">
        <v>140600</v>
      </c>
      <c r="N355" s="1971">
        <v>140600</v>
      </c>
      <c r="O355" s="1971">
        <v>140600</v>
      </c>
    </row>
    <row r="356" spans="4:15" ht="12.75" customHeight="1" thickTop="1" x14ac:dyDescent="0.25">
      <c r="D356" s="492"/>
      <c r="E356" s="115"/>
      <c r="F356" s="115"/>
      <c r="G356" s="492"/>
      <c r="H356" s="114"/>
      <c r="I356" s="114"/>
      <c r="J356" s="114"/>
      <c r="K356" s="114"/>
      <c r="L356" s="114"/>
      <c r="M356" s="114"/>
      <c r="N356" s="114"/>
      <c r="O356" s="114"/>
    </row>
    <row r="357" spans="4:15" ht="12.75" customHeight="1" thickBot="1" x14ac:dyDescent="0.3">
      <c r="D357" s="492">
        <v>43802</v>
      </c>
      <c r="E357" s="115" t="s">
        <v>4929</v>
      </c>
      <c r="F357" s="115"/>
      <c r="G357" s="492"/>
      <c r="H357" s="114"/>
      <c r="I357" s="114"/>
      <c r="J357" s="114"/>
      <c r="K357" s="1971">
        <v>0</v>
      </c>
      <c r="L357" s="1971">
        <v>210000</v>
      </c>
      <c r="M357" s="1971">
        <v>210000</v>
      </c>
      <c r="N357" s="1971">
        <v>210000</v>
      </c>
      <c r="O357" s="1971">
        <v>210000</v>
      </c>
    </row>
    <row r="358" spans="4:15" ht="12.75" customHeight="1" thickTop="1" x14ac:dyDescent="0.25">
      <c r="D358" s="492"/>
      <c r="E358" s="115"/>
      <c r="F358" s="115"/>
      <c r="G358" s="492"/>
      <c r="H358" s="114"/>
      <c r="I358" s="114"/>
      <c r="J358" s="114"/>
      <c r="K358" s="114"/>
      <c r="L358" s="114"/>
      <c r="M358" s="114"/>
      <c r="N358" s="114"/>
      <c r="O358" s="114"/>
    </row>
    <row r="359" spans="4:15" ht="12.75" customHeight="1" thickBot="1" x14ac:dyDescent="0.3">
      <c r="D359" s="492">
        <v>43812</v>
      </c>
      <c r="E359" s="115" t="s">
        <v>4930</v>
      </c>
      <c r="F359" s="115"/>
      <c r="G359" s="492"/>
      <c r="H359" s="114"/>
      <c r="I359" s="114"/>
      <c r="J359" s="114"/>
      <c r="K359" s="1971">
        <v>0</v>
      </c>
      <c r="L359" s="1971">
        <v>50000</v>
      </c>
      <c r="M359" s="1971">
        <v>50000</v>
      </c>
      <c r="N359" s="1971">
        <v>50000</v>
      </c>
      <c r="O359" s="1971">
        <v>50000</v>
      </c>
    </row>
    <row r="360" spans="4:15" ht="12.75" customHeight="1" thickTop="1" x14ac:dyDescent="0.25">
      <c r="D360" s="492"/>
      <c r="E360" s="115"/>
      <c r="F360" s="115"/>
      <c r="G360" s="492"/>
      <c r="H360" s="114"/>
      <c r="I360" s="114"/>
      <c r="J360" s="114"/>
      <c r="K360" s="114"/>
      <c r="L360" s="114"/>
      <c r="M360" s="114"/>
      <c r="N360" s="114"/>
      <c r="O360" s="114"/>
    </row>
    <row r="361" spans="4:15" ht="12.75" customHeight="1" x14ac:dyDescent="0.25">
      <c r="D361" s="492">
        <v>43812</v>
      </c>
      <c r="E361" s="115" t="s">
        <v>4931</v>
      </c>
      <c r="F361" s="115"/>
      <c r="G361" s="492"/>
      <c r="H361" s="114"/>
      <c r="I361" s="114"/>
      <c r="J361" s="114"/>
      <c r="K361" s="114"/>
      <c r="L361" s="114"/>
      <c r="M361" s="114"/>
      <c r="N361" s="114"/>
      <c r="O361" s="114"/>
    </row>
    <row r="362" spans="4:15" ht="12.75" customHeight="1" thickBot="1" x14ac:dyDescent="0.3">
      <c r="D362" s="492"/>
      <c r="E362" s="115" t="s">
        <v>4932</v>
      </c>
      <c r="F362" s="115"/>
      <c r="G362" s="492"/>
      <c r="H362" s="114"/>
      <c r="I362" s="114"/>
      <c r="J362" s="114"/>
      <c r="K362" s="1971">
        <v>0</v>
      </c>
      <c r="L362" s="1971">
        <v>302666</v>
      </c>
      <c r="M362" s="1971">
        <v>302666</v>
      </c>
      <c r="N362" s="1971">
        <v>302666</v>
      </c>
      <c r="O362" s="1971">
        <v>302666</v>
      </c>
    </row>
    <row r="363" spans="4:15" ht="12.75" customHeight="1" thickTop="1" x14ac:dyDescent="0.25">
      <c r="D363" s="492"/>
      <c r="E363" s="115"/>
      <c r="F363" s="115"/>
      <c r="G363" s="492"/>
      <c r="H363" s="114"/>
      <c r="I363" s="114"/>
      <c r="J363" s="114"/>
      <c r="K363" s="114"/>
      <c r="L363" s="114"/>
      <c r="M363" s="114"/>
      <c r="N363" s="114"/>
      <c r="O363" s="114"/>
    </row>
    <row r="364" spans="4:15" ht="12.75" customHeight="1" x14ac:dyDescent="0.25">
      <c r="D364" s="492"/>
      <c r="E364" s="115"/>
      <c r="F364" s="115"/>
      <c r="G364" s="492"/>
      <c r="H364" s="114"/>
      <c r="I364" s="114"/>
      <c r="J364" s="114"/>
      <c r="K364" s="114"/>
      <c r="L364" s="114"/>
      <c r="M364" s="114"/>
      <c r="N364" s="114"/>
      <c r="O364" s="114"/>
    </row>
    <row r="365" spans="4:15" ht="12.75" customHeight="1" x14ac:dyDescent="0.25">
      <c r="D365" s="492"/>
      <c r="E365" s="115"/>
      <c r="F365" s="115"/>
      <c r="G365" s="492"/>
      <c r="H365" s="114"/>
      <c r="I365" s="114"/>
      <c r="J365" s="114"/>
      <c r="K365" s="114"/>
      <c r="L365" s="114"/>
      <c r="M365" s="114"/>
      <c r="N365" s="114"/>
      <c r="O365" s="114"/>
    </row>
    <row r="366" spans="4:15" ht="12.75" customHeight="1" x14ac:dyDescent="0.25">
      <c r="D366" s="492"/>
      <c r="E366" s="115"/>
      <c r="F366" s="115"/>
      <c r="G366" s="492"/>
      <c r="H366" s="114"/>
      <c r="I366" s="114"/>
      <c r="J366" s="114"/>
      <c r="K366" s="114"/>
      <c r="L366" s="114"/>
      <c r="M366" s="114"/>
      <c r="N366" s="114"/>
      <c r="O366" s="114"/>
    </row>
    <row r="367" spans="4:15" ht="12.75" customHeight="1" x14ac:dyDescent="0.25">
      <c r="D367" s="393">
        <v>649007</v>
      </c>
      <c r="E367" s="381" t="s">
        <v>4933</v>
      </c>
      <c r="F367" s="115"/>
      <c r="H367" s="114"/>
      <c r="I367" s="114"/>
      <c r="J367" s="154"/>
      <c r="K367" s="605">
        <v>2026</v>
      </c>
      <c r="L367" s="605">
        <v>2027</v>
      </c>
      <c r="M367" s="605">
        <v>2028</v>
      </c>
      <c r="N367" s="605">
        <v>2029</v>
      </c>
      <c r="O367" s="605">
        <v>2030</v>
      </c>
    </row>
    <row r="368" spans="4:15" ht="12.75" customHeight="1" x14ac:dyDescent="0.25">
      <c r="D368" s="143">
        <v>43511</v>
      </c>
      <c r="E368" s="115" t="s">
        <v>4934</v>
      </c>
      <c r="F368" s="115"/>
      <c r="H368" s="114"/>
      <c r="I368" s="114"/>
    </row>
    <row r="369" spans="4:15" ht="12.75" customHeight="1" x14ac:dyDescent="0.25">
      <c r="D369" s="393"/>
      <c r="E369" s="115" t="s">
        <v>4935</v>
      </c>
      <c r="F369" s="115"/>
      <c r="H369" s="114"/>
      <c r="I369" s="114"/>
      <c r="J369" s="114"/>
      <c r="K369" s="114">
        <f t="shared" ref="K369:M369" si="57">K401</f>
        <v>214406</v>
      </c>
      <c r="L369" s="114">
        <f t="shared" si="57"/>
        <v>218909</v>
      </c>
      <c r="M369" s="114">
        <f t="shared" si="57"/>
        <v>223944</v>
      </c>
      <c r="N369" s="114">
        <f t="shared" ref="N369:O369" si="58">N401</f>
        <v>229095</v>
      </c>
      <c r="O369" s="114">
        <f t="shared" si="58"/>
        <v>234364</v>
      </c>
    </row>
    <row r="370" spans="4:15" ht="12.75" customHeight="1" x14ac:dyDescent="0.25">
      <c r="D370" s="393"/>
      <c r="E370" s="115"/>
      <c r="F370" s="115"/>
      <c r="H370" s="114"/>
      <c r="I370" s="114"/>
      <c r="J370" s="114"/>
      <c r="K370" s="114"/>
      <c r="L370" s="114"/>
      <c r="M370" s="114"/>
      <c r="N370" s="114"/>
      <c r="O370" s="114"/>
    </row>
    <row r="371" spans="4:15" ht="12.75" customHeight="1" thickBot="1" x14ac:dyDescent="0.3">
      <c r="D371" s="393"/>
      <c r="E371" s="115" t="str">
        <f>"Totaal "&amp;D368</f>
        <v>Totaal 43511</v>
      </c>
      <c r="F371" s="115"/>
      <c r="H371" s="114"/>
      <c r="I371" s="114"/>
      <c r="J371" s="114"/>
      <c r="K371" s="1971">
        <f>SUM(K368:K369)</f>
        <v>214406</v>
      </c>
      <c r="L371" s="1971">
        <f>SUM(L368:L369)</f>
        <v>218909</v>
      </c>
      <c r="M371" s="1971">
        <f>SUM(M368:M369)</f>
        <v>223944</v>
      </c>
      <c r="N371" s="1971">
        <f>SUM(N368:N369)</f>
        <v>229095</v>
      </c>
      <c r="O371" s="1971">
        <f>SUM(O368:O369)</f>
        <v>234364</v>
      </c>
    </row>
    <row r="372" spans="4:15" ht="12.75" customHeight="1" thickTop="1" x14ac:dyDescent="0.25">
      <c r="E372" s="115"/>
      <c r="F372" s="115"/>
      <c r="H372" s="114"/>
      <c r="I372" s="114"/>
    </row>
    <row r="373" spans="4:15" ht="12.75" customHeight="1" x14ac:dyDescent="0.25">
      <c r="E373" s="115"/>
      <c r="F373" s="115"/>
      <c r="H373" s="114"/>
      <c r="I373" s="114"/>
    </row>
    <row r="374" spans="4:15" ht="12.75" customHeight="1" x14ac:dyDescent="0.25">
      <c r="D374" s="393">
        <v>649010</v>
      </c>
      <c r="E374" s="381" t="s">
        <v>4936</v>
      </c>
      <c r="F374" s="115"/>
      <c r="H374" s="114"/>
      <c r="I374" s="114"/>
      <c r="J374" s="154"/>
      <c r="K374" s="605">
        <v>2026</v>
      </c>
      <c r="L374" s="605">
        <v>2027</v>
      </c>
      <c r="M374" s="605">
        <v>2028</v>
      </c>
      <c r="N374" s="605">
        <v>2029</v>
      </c>
      <c r="O374" s="605">
        <v>2030</v>
      </c>
    </row>
    <row r="375" spans="4:15" ht="12.75" customHeight="1" x14ac:dyDescent="0.25">
      <c r="D375" s="143">
        <v>43511</v>
      </c>
      <c r="E375" s="115" t="s">
        <v>4937</v>
      </c>
      <c r="F375" s="115"/>
      <c r="H375" s="114"/>
      <c r="I375" s="114"/>
    </row>
    <row r="376" spans="4:15" ht="12.75" customHeight="1" x14ac:dyDescent="0.25">
      <c r="D376" s="393"/>
      <c r="E376" s="115" t="s">
        <v>4938</v>
      </c>
      <c r="F376" s="115"/>
      <c r="H376" s="114"/>
      <c r="I376" s="114"/>
      <c r="J376" s="548"/>
      <c r="K376" s="548">
        <f>ROUND(10731*S$2,0)</f>
        <v>11010</v>
      </c>
      <c r="L376" s="548">
        <f>ROUND(K376*T$2,0)</f>
        <v>11241</v>
      </c>
      <c r="M376" s="548">
        <f>ROUND(L376*U$2,0)</f>
        <v>11500</v>
      </c>
      <c r="N376" s="548">
        <f>ROUND(M376*V$2,0)</f>
        <v>11765</v>
      </c>
      <c r="O376" s="548">
        <f>ROUND(N376*W$2,0)</f>
        <v>12036</v>
      </c>
    </row>
    <row r="377" spans="4:15" ht="12.75" customHeight="1" x14ac:dyDescent="0.25">
      <c r="D377" s="393"/>
      <c r="E377" s="115"/>
      <c r="F377" s="115"/>
      <c r="H377" s="114"/>
      <c r="I377" s="114"/>
      <c r="J377" s="114"/>
      <c r="K377" s="114"/>
      <c r="L377" s="114"/>
      <c r="M377" s="114"/>
      <c r="N377" s="114"/>
      <c r="O377" s="114"/>
    </row>
    <row r="378" spans="4:15" ht="12.75" customHeight="1" thickBot="1" x14ac:dyDescent="0.3">
      <c r="D378" s="393"/>
      <c r="E378" s="115" t="str">
        <f>"Totaal "&amp;D375</f>
        <v>Totaal 43511</v>
      </c>
      <c r="F378" s="115"/>
      <c r="H378" s="114"/>
      <c r="I378" s="114"/>
      <c r="J378" s="114"/>
      <c r="K378" s="1971">
        <f>SUM(K375:K376)</f>
        <v>11010</v>
      </c>
      <c r="L378" s="1971">
        <f>SUM(L375:L376)</f>
        <v>11241</v>
      </c>
      <c r="M378" s="1971">
        <f>SUM(M375:M376)</f>
        <v>11500</v>
      </c>
      <c r="N378" s="1971">
        <f>SUM(N375:N376)</f>
        <v>11765</v>
      </c>
      <c r="O378" s="1971">
        <f>SUM(O375:O376)</f>
        <v>12036</v>
      </c>
    </row>
    <row r="379" spans="4:15" ht="12.75" customHeight="1" thickTop="1" x14ac:dyDescent="0.25">
      <c r="E379" s="383"/>
      <c r="F379" s="115"/>
    </row>
    <row r="380" spans="4:15" ht="12.75" customHeight="1" x14ac:dyDescent="0.25">
      <c r="E380" s="115" t="s">
        <v>4939</v>
      </c>
      <c r="F380" s="115"/>
    </row>
    <row r="381" spans="4:15" ht="12.75" customHeight="1" x14ac:dyDescent="0.25">
      <c r="E381" s="115"/>
      <c r="F381" s="115"/>
    </row>
    <row r="382" spans="4:15" ht="12.75" customHeight="1" x14ac:dyDescent="0.25">
      <c r="E382" s="115"/>
      <c r="F382" s="115"/>
    </row>
    <row r="383" spans="4:15" ht="12.75" customHeight="1" x14ac:dyDescent="0.25">
      <c r="D383" s="393">
        <v>649011</v>
      </c>
      <c r="E383" s="381" t="s">
        <v>4871</v>
      </c>
      <c r="F383" s="115"/>
      <c r="H383" s="114"/>
      <c r="I383" s="114"/>
      <c r="J383" s="154"/>
      <c r="K383" s="605">
        <v>2026</v>
      </c>
      <c r="L383" s="605">
        <v>2027</v>
      </c>
      <c r="M383" s="605">
        <v>2028</v>
      </c>
      <c r="N383" s="605">
        <v>2029</v>
      </c>
      <c r="O383" s="605">
        <v>2030</v>
      </c>
    </row>
    <row r="384" spans="4:15" ht="12.75" customHeight="1" x14ac:dyDescent="0.25">
      <c r="D384" s="143">
        <v>43511</v>
      </c>
      <c r="E384" s="115" t="s">
        <v>4934</v>
      </c>
      <c r="F384" s="115"/>
      <c r="H384" s="114"/>
      <c r="I384" s="114"/>
    </row>
    <row r="385" spans="4:16" ht="12.75" customHeight="1" x14ac:dyDescent="0.25">
      <c r="D385" s="393"/>
      <c r="E385" s="115" t="s">
        <v>4935</v>
      </c>
      <c r="F385" s="115"/>
      <c r="H385" s="114"/>
      <c r="I385" s="114"/>
      <c r="J385" s="114"/>
      <c r="K385" s="114">
        <f t="shared" ref="K385:M385" si="59">K402</f>
        <v>27847</v>
      </c>
      <c r="L385" s="114">
        <f t="shared" si="59"/>
        <v>28432</v>
      </c>
      <c r="M385" s="114">
        <f t="shared" si="59"/>
        <v>29086</v>
      </c>
      <c r="N385" s="114">
        <f t="shared" ref="N385:O385" si="60">N402</f>
        <v>29755</v>
      </c>
      <c r="O385" s="114">
        <f t="shared" si="60"/>
        <v>30439</v>
      </c>
    </row>
    <row r="386" spans="4:16" ht="12.75" customHeight="1" x14ac:dyDescent="0.25">
      <c r="D386" s="393"/>
      <c r="E386" s="115"/>
      <c r="F386" s="115"/>
      <c r="H386" s="114"/>
      <c r="I386" s="114"/>
      <c r="J386" s="114"/>
      <c r="K386" s="114"/>
      <c r="L386" s="114"/>
      <c r="M386" s="114"/>
      <c r="N386" s="114"/>
      <c r="O386" s="114"/>
    </row>
    <row r="387" spans="4:16" ht="12.75" customHeight="1" thickBot="1" x14ac:dyDescent="0.3">
      <c r="D387" s="393"/>
      <c r="E387" s="115" t="str">
        <f>"Totaal "&amp;D384</f>
        <v>Totaal 43511</v>
      </c>
      <c r="F387" s="115"/>
      <c r="H387" s="114"/>
      <c r="I387" s="114"/>
      <c r="J387" s="114"/>
      <c r="K387" s="1971">
        <f>SUM(K384:K385)</f>
        <v>27847</v>
      </c>
      <c r="L387" s="1971">
        <f>SUM(L384:L385)</f>
        <v>28432</v>
      </c>
      <c r="M387" s="1971">
        <f>SUM(M384:M385)</f>
        <v>29086</v>
      </c>
      <c r="N387" s="1971">
        <f>SUM(N384:N385)</f>
        <v>29755</v>
      </c>
      <c r="O387" s="1971">
        <f>SUM(O384:O385)</f>
        <v>30439</v>
      </c>
    </row>
    <row r="388" spans="4:16" ht="12.75" customHeight="1" thickTop="1" x14ac:dyDescent="0.25">
      <c r="D388" s="393"/>
      <c r="E388" s="115"/>
      <c r="F388" s="115"/>
      <c r="H388" s="114"/>
      <c r="I388" s="114"/>
      <c r="J388" s="114"/>
      <c r="K388" s="114"/>
      <c r="L388" s="114"/>
      <c r="M388" s="114"/>
      <c r="N388" s="114"/>
      <c r="O388" s="114"/>
      <c r="P388" s="114"/>
    </row>
    <row r="389" spans="4:16" ht="12.75" customHeight="1" x14ac:dyDescent="0.25">
      <c r="D389" s="393"/>
      <c r="E389" s="115"/>
      <c r="F389" s="115"/>
      <c r="H389" s="114"/>
      <c r="I389" s="114"/>
      <c r="J389" s="114"/>
      <c r="K389" s="114"/>
      <c r="L389" s="114"/>
      <c r="M389" s="114"/>
      <c r="N389" s="114"/>
      <c r="O389" s="114"/>
    </row>
    <row r="390" spans="4:16" ht="12.75" customHeight="1" x14ac:dyDescent="0.25">
      <c r="D390" s="393">
        <v>649012</v>
      </c>
      <c r="E390" s="381" t="s">
        <v>4872</v>
      </c>
      <c r="F390" s="115"/>
      <c r="H390" s="114"/>
      <c r="I390" s="114"/>
      <c r="J390" s="154"/>
      <c r="K390" s="605">
        <v>2026</v>
      </c>
      <c r="L390" s="605">
        <v>2027</v>
      </c>
      <c r="M390" s="605">
        <v>2028</v>
      </c>
      <c r="N390" s="605">
        <v>2029</v>
      </c>
      <c r="O390" s="605">
        <v>2030</v>
      </c>
    </row>
    <row r="391" spans="4:16" ht="12.75" customHeight="1" x14ac:dyDescent="0.25">
      <c r="D391" s="143">
        <v>43511</v>
      </c>
      <c r="E391" s="115" t="s">
        <v>4934</v>
      </c>
      <c r="F391" s="115"/>
      <c r="H391" s="114"/>
      <c r="I391" s="114"/>
    </row>
    <row r="392" spans="4:16" ht="12.75" customHeight="1" x14ac:dyDescent="0.25">
      <c r="D392" s="393"/>
      <c r="E392" s="115" t="s">
        <v>4935</v>
      </c>
      <c r="F392" s="115"/>
      <c r="H392" s="114"/>
      <c r="I392" s="114"/>
      <c r="J392" s="114"/>
      <c r="K392" s="114">
        <f t="shared" ref="K392:M392" si="61">K403</f>
        <v>7098</v>
      </c>
      <c r="L392" s="114">
        <f t="shared" si="61"/>
        <v>7247</v>
      </c>
      <c r="M392" s="114">
        <f t="shared" si="61"/>
        <v>7414</v>
      </c>
      <c r="N392" s="114">
        <f t="shared" ref="N392:O392" si="62">N403</f>
        <v>7585</v>
      </c>
      <c r="O392" s="114">
        <f t="shared" si="62"/>
        <v>7759</v>
      </c>
    </row>
    <row r="393" spans="4:16" ht="12.75" customHeight="1" x14ac:dyDescent="0.25">
      <c r="D393" s="393"/>
      <c r="E393" s="115"/>
      <c r="F393" s="115"/>
      <c r="H393" s="114"/>
      <c r="I393" s="114"/>
      <c r="J393" s="114"/>
      <c r="K393" s="114"/>
      <c r="L393" s="114"/>
      <c r="M393" s="114"/>
      <c r="N393" s="114"/>
      <c r="O393" s="114"/>
    </row>
    <row r="394" spans="4:16" ht="12.75" customHeight="1" thickBot="1" x14ac:dyDescent="0.3">
      <c r="D394" s="393"/>
      <c r="E394" s="115" t="str">
        <f>"Totaal "&amp;D391</f>
        <v>Totaal 43511</v>
      </c>
      <c r="F394" s="115"/>
      <c r="H394" s="114"/>
      <c r="I394" s="114"/>
      <c r="J394" s="114"/>
      <c r="K394" s="1971">
        <f>SUM(K391:K392)</f>
        <v>7098</v>
      </c>
      <c r="L394" s="1971">
        <f>SUM(L391:L392)</f>
        <v>7247</v>
      </c>
      <c r="M394" s="1971">
        <f>SUM(M391:M392)</f>
        <v>7414</v>
      </c>
      <c r="N394" s="1971">
        <f>SUM(N391:N392)</f>
        <v>7585</v>
      </c>
      <c r="O394" s="1971">
        <f>SUM(O391:O392)</f>
        <v>7759</v>
      </c>
    </row>
    <row r="395" spans="4:16" ht="12.75" customHeight="1" thickTop="1" x14ac:dyDescent="0.25">
      <c r="E395" s="115"/>
      <c r="F395" s="115"/>
    </row>
    <row r="396" spans="4:16" ht="12.75" customHeight="1" x14ac:dyDescent="0.25">
      <c r="E396" s="115"/>
      <c r="F396" s="115"/>
    </row>
    <row r="397" spans="4:16" ht="12.75" customHeight="1" x14ac:dyDescent="0.25">
      <c r="D397" s="384"/>
      <c r="E397" s="115" t="s">
        <v>4940</v>
      </c>
      <c r="F397" s="115"/>
      <c r="J397" s="486"/>
      <c r="K397" s="605">
        <v>2026</v>
      </c>
      <c r="L397" s="605">
        <v>2027</v>
      </c>
      <c r="M397" s="605">
        <v>2028</v>
      </c>
      <c r="N397" s="605">
        <v>2029</v>
      </c>
      <c r="O397" s="605">
        <v>2030</v>
      </c>
    </row>
    <row r="398" spans="4:16" ht="12.75" customHeight="1" x14ac:dyDescent="0.25">
      <c r="D398" s="384"/>
      <c r="E398" s="381" t="s">
        <v>4941</v>
      </c>
      <c r="F398" s="115"/>
      <c r="J398" s="114"/>
      <c r="K398" s="114"/>
      <c r="L398" s="114"/>
      <c r="M398" s="114"/>
      <c r="N398" s="114"/>
      <c r="O398" s="114"/>
    </row>
    <row r="399" spans="4:16" ht="12.75" customHeight="1" x14ac:dyDescent="0.3">
      <c r="D399" s="384" t="s">
        <v>84</v>
      </c>
      <c r="E399" s="115" t="s">
        <v>4942</v>
      </c>
      <c r="F399" s="115"/>
      <c r="J399" s="548"/>
      <c r="K399" s="548">
        <f>ROUND(20041*S$2,0)</f>
        <v>20562</v>
      </c>
      <c r="L399" s="548">
        <f t="shared" ref="L399:L409" si="63">ROUND(K399*T$2,0)</f>
        <v>20994</v>
      </c>
      <c r="M399" s="548">
        <f t="shared" ref="M399:M409" si="64">ROUND(L399*U$2,0)</f>
        <v>21477</v>
      </c>
      <c r="N399" s="548">
        <f t="shared" ref="N399:O409" si="65">ROUND(M399*V$2,0)</f>
        <v>21971</v>
      </c>
      <c r="O399" s="548">
        <f t="shared" si="65"/>
        <v>22476</v>
      </c>
      <c r="P399" s="88"/>
    </row>
    <row r="400" spans="4:16" ht="12.75" customHeight="1" x14ac:dyDescent="0.3">
      <c r="D400" s="384" t="s">
        <v>97</v>
      </c>
      <c r="E400" s="115" t="s">
        <v>4943</v>
      </c>
      <c r="F400" s="115"/>
      <c r="J400" s="548"/>
      <c r="K400" s="548">
        <f>ROUND(20469*S$2,0)</f>
        <v>21001</v>
      </c>
      <c r="L400" s="548">
        <f t="shared" si="63"/>
        <v>21442</v>
      </c>
      <c r="M400" s="548">
        <f t="shared" si="64"/>
        <v>21935</v>
      </c>
      <c r="N400" s="548">
        <f t="shared" si="65"/>
        <v>22440</v>
      </c>
      <c r="O400" s="548">
        <f t="shared" si="65"/>
        <v>22956</v>
      </c>
      <c r="P400" s="88"/>
    </row>
    <row r="401" spans="4:17" ht="12.75" customHeight="1" x14ac:dyDescent="0.3">
      <c r="D401" s="384" t="s">
        <v>123</v>
      </c>
      <c r="E401" s="115" t="s">
        <v>4944</v>
      </c>
      <c r="F401" s="115"/>
      <c r="J401" s="548"/>
      <c r="K401" s="548">
        <f>ROUND(208973*S$2,0)</f>
        <v>214406</v>
      </c>
      <c r="L401" s="548">
        <f t="shared" si="63"/>
        <v>218909</v>
      </c>
      <c r="M401" s="548">
        <f t="shared" si="64"/>
        <v>223944</v>
      </c>
      <c r="N401" s="548">
        <f t="shared" si="65"/>
        <v>229095</v>
      </c>
      <c r="O401" s="548">
        <f t="shared" si="65"/>
        <v>234364</v>
      </c>
      <c r="P401" s="88"/>
    </row>
    <row r="402" spans="4:17" ht="12.75" customHeight="1" x14ac:dyDescent="0.3">
      <c r="D402" s="384" t="s">
        <v>123</v>
      </c>
      <c r="E402" s="115" t="s">
        <v>4945</v>
      </c>
      <c r="F402" s="115"/>
      <c r="J402" s="548"/>
      <c r="K402" s="548">
        <f>ROUND(27141*S$2,0)</f>
        <v>27847</v>
      </c>
      <c r="L402" s="548">
        <f t="shared" si="63"/>
        <v>28432</v>
      </c>
      <c r="M402" s="548">
        <f t="shared" si="64"/>
        <v>29086</v>
      </c>
      <c r="N402" s="548">
        <f t="shared" si="65"/>
        <v>29755</v>
      </c>
      <c r="O402" s="548">
        <f t="shared" si="65"/>
        <v>30439</v>
      </c>
      <c r="P402" s="88"/>
    </row>
    <row r="403" spans="4:17" ht="12.75" customHeight="1" x14ac:dyDescent="0.3">
      <c r="D403" s="384" t="s">
        <v>123</v>
      </c>
      <c r="E403" s="115" t="s">
        <v>4946</v>
      </c>
      <c r="F403" s="115"/>
      <c r="J403" s="548"/>
      <c r="K403" s="548">
        <f>ROUND(6918*S$2,0)</f>
        <v>7098</v>
      </c>
      <c r="L403" s="548">
        <f t="shared" si="63"/>
        <v>7247</v>
      </c>
      <c r="M403" s="548">
        <f t="shared" si="64"/>
        <v>7414</v>
      </c>
      <c r="N403" s="548">
        <f t="shared" si="65"/>
        <v>7585</v>
      </c>
      <c r="O403" s="548">
        <f t="shared" si="65"/>
        <v>7759</v>
      </c>
      <c r="P403" s="88"/>
    </row>
    <row r="404" spans="4:17" ht="12.75" customHeight="1" x14ac:dyDescent="0.3">
      <c r="D404" s="384" t="s">
        <v>129</v>
      </c>
      <c r="E404" s="115" t="s">
        <v>4947</v>
      </c>
      <c r="F404" s="115"/>
      <c r="J404" s="548"/>
      <c r="K404" s="548">
        <f>ROUND(31633*S$2,0)</f>
        <v>32455</v>
      </c>
      <c r="L404" s="548">
        <f t="shared" si="63"/>
        <v>33137</v>
      </c>
      <c r="M404" s="548">
        <f t="shared" si="64"/>
        <v>33899</v>
      </c>
      <c r="N404" s="548">
        <f t="shared" si="65"/>
        <v>34679</v>
      </c>
      <c r="O404" s="548">
        <f t="shared" si="65"/>
        <v>35477</v>
      </c>
      <c r="P404" s="88"/>
    </row>
    <row r="405" spans="4:17" ht="12.75" customHeight="1" x14ac:dyDescent="0.3">
      <c r="D405" s="384" t="s">
        <v>129</v>
      </c>
      <c r="E405" s="115" t="s">
        <v>4948</v>
      </c>
      <c r="F405" s="115"/>
      <c r="J405" s="548"/>
      <c r="K405" s="548">
        <f>ROUND(144626*S$2,0)</f>
        <v>148386</v>
      </c>
      <c r="L405" s="548">
        <f t="shared" si="63"/>
        <v>151502</v>
      </c>
      <c r="M405" s="548">
        <f t="shared" si="64"/>
        <v>154987</v>
      </c>
      <c r="N405" s="548">
        <f t="shared" si="65"/>
        <v>158552</v>
      </c>
      <c r="O405" s="548">
        <f t="shared" si="65"/>
        <v>162199</v>
      </c>
      <c r="P405" s="88"/>
    </row>
    <row r="406" spans="4:17" ht="12.75" customHeight="1" x14ac:dyDescent="0.3">
      <c r="D406" s="384" t="s">
        <v>129</v>
      </c>
      <c r="E406" s="115" t="s">
        <v>4949</v>
      </c>
      <c r="F406" s="115"/>
      <c r="J406" s="548"/>
      <c r="K406" s="548">
        <f>ROUND(39206*S$2,0)</f>
        <v>40225</v>
      </c>
      <c r="L406" s="548">
        <f t="shared" si="63"/>
        <v>41070</v>
      </c>
      <c r="M406" s="548">
        <f t="shared" si="64"/>
        <v>42015</v>
      </c>
      <c r="N406" s="548">
        <f t="shared" si="65"/>
        <v>42981</v>
      </c>
      <c r="O406" s="548">
        <f t="shared" si="65"/>
        <v>43970</v>
      </c>
      <c r="P406" s="88"/>
    </row>
    <row r="407" spans="4:17" ht="12.75" customHeight="1" x14ac:dyDescent="0.3">
      <c r="D407" s="384" t="s">
        <v>129</v>
      </c>
      <c r="E407" s="115" t="s">
        <v>4950</v>
      </c>
      <c r="F407" s="115"/>
      <c r="J407" s="548"/>
      <c r="K407" s="548">
        <f>ROUND(185914*S$2,0)</f>
        <v>190748</v>
      </c>
      <c r="L407" s="548">
        <f t="shared" si="63"/>
        <v>194754</v>
      </c>
      <c r="M407" s="548">
        <f t="shared" si="64"/>
        <v>199233</v>
      </c>
      <c r="N407" s="548">
        <f t="shared" si="65"/>
        <v>203815</v>
      </c>
      <c r="O407" s="548">
        <f t="shared" si="65"/>
        <v>208503</v>
      </c>
      <c r="P407" s="88"/>
    </row>
    <row r="408" spans="4:17" ht="12.75" customHeight="1" x14ac:dyDescent="0.3">
      <c r="D408" s="143" t="s">
        <v>129</v>
      </c>
      <c r="E408" s="115" t="s">
        <v>4951</v>
      </c>
      <c r="F408" s="115"/>
      <c r="J408" s="548"/>
      <c r="K408" s="548">
        <f>ROUND(23683*S$2,0)</f>
        <v>24299</v>
      </c>
      <c r="L408" s="548">
        <f t="shared" si="63"/>
        <v>24809</v>
      </c>
      <c r="M408" s="548">
        <f t="shared" si="64"/>
        <v>25380</v>
      </c>
      <c r="N408" s="548">
        <f t="shared" si="65"/>
        <v>25964</v>
      </c>
      <c r="O408" s="548">
        <f t="shared" si="65"/>
        <v>26561</v>
      </c>
      <c r="P408" s="88"/>
    </row>
    <row r="409" spans="4:17" ht="12.75" customHeight="1" x14ac:dyDescent="0.3">
      <c r="D409" s="143" t="s">
        <v>129</v>
      </c>
      <c r="E409" s="115" t="s">
        <v>4952</v>
      </c>
      <c r="F409" s="115"/>
      <c r="J409" s="548"/>
      <c r="K409" s="548">
        <f>ROUND(12828*S$2,0)</f>
        <v>13162</v>
      </c>
      <c r="L409" s="548">
        <f t="shared" si="63"/>
        <v>13438</v>
      </c>
      <c r="M409" s="548">
        <f t="shared" si="64"/>
        <v>13747</v>
      </c>
      <c r="N409" s="548">
        <f t="shared" si="65"/>
        <v>14063</v>
      </c>
      <c r="O409" s="548">
        <f t="shared" si="65"/>
        <v>14386</v>
      </c>
      <c r="P409" s="88"/>
    </row>
    <row r="410" spans="4:17" ht="12.75" customHeight="1" x14ac:dyDescent="0.25">
      <c r="E410" s="115"/>
      <c r="F410" s="115"/>
    </row>
    <row r="411" spans="4:17" ht="12.75" customHeight="1" thickBot="1" x14ac:dyDescent="0.3">
      <c r="E411" s="115"/>
      <c r="F411" s="115"/>
      <c r="J411" s="114"/>
      <c r="K411" s="1971">
        <f>SUM(K399:K410)</f>
        <v>740189</v>
      </c>
      <c r="L411" s="1971">
        <f>SUM(L399:L410)</f>
        <v>755734</v>
      </c>
      <c r="M411" s="1971">
        <f>SUM(M399:M410)</f>
        <v>773117</v>
      </c>
      <c r="N411" s="1971">
        <f>SUM(N399:N410)</f>
        <v>790900</v>
      </c>
      <c r="O411" s="1971">
        <f>SUM(O399:O410)</f>
        <v>809090</v>
      </c>
      <c r="Q411" s="114"/>
    </row>
    <row r="412" spans="4:17" ht="12.75" customHeight="1" thickTop="1" x14ac:dyDescent="0.25">
      <c r="E412" s="115"/>
      <c r="F412" s="115"/>
    </row>
    <row r="413" spans="4:17" ht="12.75" customHeight="1" x14ac:dyDescent="0.25">
      <c r="D413" s="393">
        <v>649902</v>
      </c>
      <c r="E413" s="381" t="s">
        <v>4873</v>
      </c>
      <c r="F413" s="115"/>
      <c r="J413" s="154"/>
      <c r="K413" s="605">
        <v>2026</v>
      </c>
      <c r="L413" s="605">
        <v>2027</v>
      </c>
      <c r="M413" s="605">
        <v>2028</v>
      </c>
      <c r="N413" s="605">
        <v>2029</v>
      </c>
      <c r="O413" s="605">
        <v>2030</v>
      </c>
    </row>
    <row r="414" spans="4:17" ht="12.75" customHeight="1" x14ac:dyDescent="0.25">
      <c r="D414" s="433"/>
      <c r="E414" s="383" t="s">
        <v>533</v>
      </c>
      <c r="F414" s="115"/>
      <c r="J414" s="114"/>
      <c r="K414" s="114"/>
      <c r="L414" s="114"/>
      <c r="M414" s="114"/>
      <c r="N414" s="114"/>
      <c r="O414" s="114"/>
    </row>
    <row r="415" spans="4:17" ht="12.75" customHeight="1" x14ac:dyDescent="0.25">
      <c r="D415" s="384">
        <v>41100</v>
      </c>
      <c r="E415" s="115" t="s">
        <v>700</v>
      </c>
      <c r="F415" s="115"/>
    </row>
    <row r="416" spans="4:17" ht="12.75" customHeight="1" x14ac:dyDescent="0.25">
      <c r="D416" s="384"/>
      <c r="E416" s="308" t="s">
        <v>4953</v>
      </c>
      <c r="F416" s="115"/>
      <c r="J416" s="114"/>
      <c r="K416" s="114">
        <v>859792.71</v>
      </c>
      <c r="L416" s="114">
        <f t="shared" ref="L416:O417" si="66">ROUND(K416*T$3,0)</f>
        <v>895904</v>
      </c>
      <c r="M416" s="114">
        <f t="shared" si="66"/>
        <v>929052</v>
      </c>
      <c r="N416" s="114">
        <f t="shared" si="66"/>
        <v>963427</v>
      </c>
      <c r="O416" s="114">
        <f t="shared" si="66"/>
        <v>999074</v>
      </c>
    </row>
    <row r="417" spans="4:16" ht="12.75" customHeight="1" x14ac:dyDescent="0.25">
      <c r="D417" s="384"/>
      <c r="E417" s="308" t="s">
        <v>4954</v>
      </c>
      <c r="F417" s="115"/>
      <c r="J417" s="114"/>
      <c r="K417" s="114">
        <v>-371992</v>
      </c>
      <c r="L417" s="114">
        <f t="shared" si="66"/>
        <v>-387616</v>
      </c>
      <c r="M417" s="114">
        <f t="shared" si="66"/>
        <v>-401958</v>
      </c>
      <c r="N417" s="114">
        <f t="shared" si="66"/>
        <v>-416830</v>
      </c>
      <c r="O417" s="114">
        <f t="shared" si="66"/>
        <v>-432253</v>
      </c>
      <c r="P417" s="115" t="s">
        <v>4955</v>
      </c>
    </row>
    <row r="418" spans="4:16" ht="12.75" customHeight="1" x14ac:dyDescent="0.25">
      <c r="D418" s="301">
        <v>41100</v>
      </c>
      <c r="E418" s="301" t="s">
        <v>4956</v>
      </c>
      <c r="F418" s="381"/>
      <c r="H418" s="399"/>
      <c r="I418" s="399"/>
      <c r="J418" s="114"/>
      <c r="K418" s="114">
        <f>ROUND(100000*S$3,-2)</f>
        <v>102000</v>
      </c>
      <c r="L418" s="114"/>
      <c r="M418" s="114"/>
      <c r="N418" s="114"/>
      <c r="O418" s="114"/>
    </row>
    <row r="419" spans="4:16" ht="12.75" customHeight="1" thickBot="1" x14ac:dyDescent="0.3">
      <c r="D419" s="384"/>
      <c r="E419" s="115" t="str">
        <f>"Totaal "&amp;D415</f>
        <v>Totaal 41100</v>
      </c>
      <c r="F419" s="115"/>
      <c r="J419" s="114"/>
      <c r="K419" s="1971">
        <f>SUM(K416:K418)</f>
        <v>589800.71</v>
      </c>
      <c r="L419" s="1971">
        <f>SUM(L416:L418)</f>
        <v>508288</v>
      </c>
      <c r="M419" s="1971">
        <f>SUM(M416:M418)</f>
        <v>527094</v>
      </c>
      <c r="N419" s="1971">
        <f>SUM(N416:N418)</f>
        <v>546597</v>
      </c>
      <c r="O419" s="1971">
        <f>SUM(O416:O418)</f>
        <v>566821</v>
      </c>
    </row>
    <row r="420" spans="4:16" ht="12.75" customHeight="1" thickTop="1" x14ac:dyDescent="0.25">
      <c r="E420" s="115"/>
      <c r="F420" s="115"/>
    </row>
    <row r="421" spans="4:16" ht="12.75" customHeight="1" x14ac:dyDescent="0.25">
      <c r="D421" s="393">
        <v>649901</v>
      </c>
      <c r="E421" s="381" t="s">
        <v>4957</v>
      </c>
      <c r="F421" s="115"/>
      <c r="J421" s="154"/>
      <c r="K421" s="605">
        <v>2026</v>
      </c>
      <c r="L421" s="605">
        <v>2027</v>
      </c>
      <c r="M421" s="605">
        <v>2028</v>
      </c>
      <c r="N421" s="605">
        <v>2029</v>
      </c>
      <c r="O421" s="605">
        <v>2030</v>
      </c>
    </row>
    <row r="422" spans="4:16" ht="12.75" customHeight="1" x14ac:dyDescent="0.25">
      <c r="D422" s="393"/>
      <c r="E422" s="383" t="s">
        <v>533</v>
      </c>
      <c r="F422" s="115"/>
      <c r="J422" s="114"/>
      <c r="K422" s="114"/>
      <c r="L422" s="114"/>
      <c r="M422" s="114"/>
      <c r="N422" s="114"/>
      <c r="O422" s="114"/>
    </row>
    <row r="423" spans="4:16" ht="12.75" customHeight="1" x14ac:dyDescent="0.25">
      <c r="D423" s="393"/>
      <c r="E423" s="115" t="s">
        <v>4958</v>
      </c>
      <c r="F423" s="115"/>
      <c r="J423" s="114"/>
      <c r="K423" s="114"/>
      <c r="L423" s="114"/>
      <c r="M423" s="114"/>
      <c r="N423" s="114"/>
      <c r="O423" s="114"/>
    </row>
    <row r="424" spans="4:16" ht="12.75" customHeight="1" x14ac:dyDescent="0.25">
      <c r="D424" s="393"/>
      <c r="E424" s="115" t="s">
        <v>4959</v>
      </c>
      <c r="F424" s="115"/>
      <c r="J424" s="114"/>
      <c r="K424" s="114"/>
      <c r="L424" s="114"/>
      <c r="M424" s="114"/>
      <c r="N424" s="114"/>
      <c r="O424" s="114"/>
    </row>
    <row r="425" spans="4:16" ht="12.75" customHeight="1" x14ac:dyDescent="0.25">
      <c r="D425" s="143">
        <v>41100</v>
      </c>
      <c r="E425" s="115" t="s">
        <v>700</v>
      </c>
      <c r="F425" s="115"/>
    </row>
    <row r="426" spans="4:16" ht="12.75" customHeight="1" x14ac:dyDescent="0.25">
      <c r="D426" s="143"/>
      <c r="E426" s="308" t="s">
        <v>2996</v>
      </c>
      <c r="F426" s="115"/>
      <c r="J426" s="114"/>
      <c r="K426" s="114">
        <v>0</v>
      </c>
      <c r="L426" s="114">
        <f>ROUND(K426*T$3,0)</f>
        <v>0</v>
      </c>
      <c r="M426" s="114">
        <f>ROUND(L426*U$3,0)</f>
        <v>0</v>
      </c>
      <c r="N426" s="114">
        <f>ROUND(M426*V$3,0)</f>
        <v>0</v>
      </c>
      <c r="O426" s="114">
        <f>ROUND(N426*W$3,0)</f>
        <v>0</v>
      </c>
    </row>
    <row r="427" spans="4:16" ht="12.75" customHeight="1" thickBot="1" x14ac:dyDescent="0.3">
      <c r="D427" s="384"/>
      <c r="E427" s="115" t="str">
        <f>"Totaal "&amp;D425</f>
        <v>Totaal 41100</v>
      </c>
      <c r="F427" s="115"/>
      <c r="J427" s="114"/>
      <c r="K427" s="1971">
        <f t="shared" ref="K427:M427" si="67">K426</f>
        <v>0</v>
      </c>
      <c r="L427" s="1971">
        <f t="shared" si="67"/>
        <v>0</v>
      </c>
      <c r="M427" s="1971">
        <f t="shared" si="67"/>
        <v>0</v>
      </c>
      <c r="N427" s="1971">
        <f t="shared" ref="N427:O427" si="68">N426</f>
        <v>0</v>
      </c>
      <c r="O427" s="1971">
        <f t="shared" si="68"/>
        <v>0</v>
      </c>
    </row>
    <row r="428" spans="4:16" ht="12.75" customHeight="1" thickTop="1" x14ac:dyDescent="0.25">
      <c r="D428" s="384"/>
      <c r="E428" s="115"/>
      <c r="F428" s="115"/>
      <c r="J428" s="114"/>
      <c r="K428" s="114"/>
      <c r="L428" s="114"/>
      <c r="M428" s="114"/>
      <c r="N428" s="114"/>
      <c r="O428" s="114"/>
    </row>
    <row r="429" spans="4:16" ht="12.75" customHeight="1" x14ac:dyDescent="0.25">
      <c r="D429" s="384"/>
      <c r="E429" s="115"/>
      <c r="F429" s="115"/>
      <c r="J429" s="114"/>
      <c r="K429" s="114"/>
      <c r="L429" s="114"/>
      <c r="M429" s="114"/>
      <c r="N429" s="114"/>
      <c r="O429" s="114"/>
    </row>
    <row r="430" spans="4:16" ht="12.75" customHeight="1" x14ac:dyDescent="0.25">
      <c r="D430" s="648">
        <v>649002</v>
      </c>
      <c r="E430" s="381" t="s">
        <v>4855</v>
      </c>
      <c r="F430" s="381"/>
      <c r="J430" s="114"/>
      <c r="K430" s="114"/>
      <c r="L430" s="114"/>
      <c r="M430" s="114"/>
      <c r="N430" s="114"/>
      <c r="O430" s="114"/>
    </row>
    <row r="431" spans="4:16" ht="12.75" customHeight="1" x14ac:dyDescent="0.25">
      <c r="D431" s="384"/>
      <c r="E431" s="383" t="s">
        <v>1127</v>
      </c>
      <c r="F431" s="115"/>
      <c r="J431" s="114"/>
      <c r="K431" s="114"/>
      <c r="L431" s="114"/>
      <c r="M431" s="114"/>
      <c r="N431" s="114"/>
      <c r="O431" s="114"/>
    </row>
    <row r="432" spans="4:16" ht="12.75" customHeight="1" x14ac:dyDescent="0.25">
      <c r="D432" s="384"/>
      <c r="E432" s="2213" t="s">
        <v>5346</v>
      </c>
      <c r="F432" s="2213"/>
      <c r="G432" s="2213"/>
      <c r="H432" s="2213"/>
      <c r="I432" s="2213"/>
      <c r="J432" s="2214"/>
      <c r="K432" s="2214"/>
      <c r="L432" s="2214">
        <v>-64000</v>
      </c>
      <c r="M432" s="2214"/>
      <c r="N432" s="2214"/>
      <c r="O432" s="2214"/>
    </row>
    <row r="433" spans="1:15" ht="12.75" customHeight="1" x14ac:dyDescent="0.25">
      <c r="D433" s="384"/>
      <c r="E433" s="2213" t="s">
        <v>5367</v>
      </c>
      <c r="F433" s="2213"/>
      <c r="G433" s="2213"/>
      <c r="H433" s="2213"/>
      <c r="I433" s="2213"/>
      <c r="J433" s="2214"/>
      <c r="K433" s="2214"/>
      <c r="L433" s="2214">
        <v>-22000</v>
      </c>
      <c r="M433" s="2214"/>
      <c r="N433" s="2214"/>
      <c r="O433" s="2214"/>
    </row>
    <row r="434" spans="1:15" ht="12.75" customHeight="1" thickBot="1" x14ac:dyDescent="0.3">
      <c r="D434" s="384"/>
      <c r="E434" s="115"/>
      <c r="F434" s="115"/>
      <c r="J434" s="114"/>
      <c r="K434" s="1971">
        <f>SUM(K432:K433)</f>
        <v>0</v>
      </c>
      <c r="L434" s="1971">
        <f t="shared" ref="L434:O434" si="69">SUM(L432:L433)</f>
        <v>-86000</v>
      </c>
      <c r="M434" s="1971">
        <f t="shared" si="69"/>
        <v>0</v>
      </c>
      <c r="N434" s="1971">
        <f t="shared" si="69"/>
        <v>0</v>
      </c>
      <c r="O434" s="1971">
        <f t="shared" si="69"/>
        <v>0</v>
      </c>
    </row>
    <row r="435" spans="1:15" ht="12.75" customHeight="1" thickTop="1" x14ac:dyDescent="0.25">
      <c r="D435" s="384"/>
      <c r="E435" s="115"/>
      <c r="F435" s="115"/>
      <c r="J435" s="114"/>
      <c r="K435" s="114"/>
      <c r="L435" s="114"/>
      <c r="M435" s="114"/>
      <c r="N435" s="114"/>
      <c r="O435" s="114"/>
    </row>
    <row r="436" spans="1:15" ht="12.75" customHeight="1" x14ac:dyDescent="0.25">
      <c r="E436" s="301"/>
      <c r="F436" s="381"/>
      <c r="H436" s="399"/>
      <c r="I436" s="399"/>
      <c r="J436" s="114"/>
      <c r="K436" s="114"/>
      <c r="L436" s="114"/>
      <c r="M436" s="114"/>
      <c r="N436" s="114"/>
      <c r="O436" s="114"/>
    </row>
    <row r="437" spans="1:15" ht="12.75" customHeight="1" x14ac:dyDescent="0.25">
      <c r="D437" s="393">
        <v>649015</v>
      </c>
      <c r="E437" s="381" t="s">
        <v>4875</v>
      </c>
      <c r="F437" s="115"/>
      <c r="H437" s="114"/>
      <c r="I437" s="114"/>
      <c r="J437" s="114"/>
      <c r="K437" s="114"/>
      <c r="L437" s="114"/>
      <c r="M437" s="114"/>
      <c r="N437" s="114"/>
      <c r="O437" s="114"/>
    </row>
    <row r="438" spans="1:15" ht="12.75" customHeight="1" x14ac:dyDescent="0.25">
      <c r="D438" s="393"/>
      <c r="E438" s="383" t="s">
        <v>554</v>
      </c>
      <c r="F438" s="115"/>
      <c r="H438" s="114"/>
      <c r="I438" s="114"/>
      <c r="J438" s="114"/>
      <c r="K438" s="114"/>
      <c r="L438" s="114"/>
      <c r="M438" s="114"/>
      <c r="N438" s="114"/>
      <c r="O438" s="114"/>
    </row>
    <row r="439" spans="1:15" ht="12.75" customHeight="1" x14ac:dyDescent="0.25">
      <c r="D439" s="143">
        <v>84310</v>
      </c>
      <c r="E439" s="2510" t="s">
        <v>4960</v>
      </c>
      <c r="F439" s="2510"/>
      <c r="G439" s="2510"/>
      <c r="H439" s="2510"/>
      <c r="I439" s="2510"/>
      <c r="J439" s="2510"/>
      <c r="K439" s="2510"/>
      <c r="L439" s="2510"/>
      <c r="M439" s="399"/>
      <c r="N439" s="399"/>
      <c r="O439" s="399"/>
    </row>
    <row r="440" spans="1:15" ht="12.75" customHeight="1" x14ac:dyDescent="0.25">
      <c r="E440" s="2510"/>
      <c r="F440" s="2510"/>
      <c r="G440" s="2510"/>
      <c r="H440" s="2510"/>
      <c r="I440" s="2510"/>
      <c r="J440" s="2510"/>
      <c r="K440" s="2510"/>
      <c r="L440" s="2510"/>
      <c r="M440" s="399"/>
      <c r="N440" s="399"/>
      <c r="O440" s="399"/>
    </row>
    <row r="441" spans="1:15" ht="12.75" customHeight="1" x14ac:dyDescent="0.25">
      <c r="E441" s="115"/>
      <c r="F441" s="115"/>
    </row>
    <row r="442" spans="1:15" s="381" customFormat="1" ht="12.75" customHeight="1" x14ac:dyDescent="0.25">
      <c r="A442" s="393"/>
      <c r="D442" s="393">
        <v>649009</v>
      </c>
      <c r="E442" s="381" t="s">
        <v>4961</v>
      </c>
      <c r="J442" s="606"/>
      <c r="K442" s="607">
        <v>2026</v>
      </c>
      <c r="L442" s="607">
        <v>2027</v>
      </c>
      <c r="M442" s="607">
        <v>2028</v>
      </c>
      <c r="N442" s="607">
        <v>2029</v>
      </c>
      <c r="O442" s="607">
        <v>2030</v>
      </c>
    </row>
    <row r="443" spans="1:15" ht="12.75" customHeight="1" x14ac:dyDescent="0.25">
      <c r="D443" s="143">
        <v>83700</v>
      </c>
      <c r="E443" s="115" t="s">
        <v>4962</v>
      </c>
      <c r="F443" s="115"/>
      <c r="J443" s="114"/>
      <c r="K443" s="114">
        <f>ROUND(-3908*S$2,0)</f>
        <v>-4010</v>
      </c>
      <c r="L443" s="114">
        <f>ROUND(K443*T$2,0)</f>
        <v>-4094</v>
      </c>
      <c r="M443" s="114">
        <f>ROUND(L443*U$2,0)</f>
        <v>-4188</v>
      </c>
      <c r="N443" s="114">
        <f>ROUND(M443*V$2,0)</f>
        <v>-4284</v>
      </c>
      <c r="O443" s="114">
        <f>ROUND(N443*W$2,0)</f>
        <v>-4383</v>
      </c>
    </row>
    <row r="444" spans="1:15" ht="12.75" customHeight="1" x14ac:dyDescent="0.25">
      <c r="D444" s="115"/>
      <c r="E444" s="308"/>
      <c r="F444" s="115"/>
      <c r="J444" s="114"/>
      <c r="K444" s="114"/>
      <c r="L444" s="114"/>
      <c r="M444" s="114"/>
      <c r="N444" s="114"/>
      <c r="O444" s="114"/>
    </row>
    <row r="445" spans="1:15" ht="12.75" customHeight="1" thickBot="1" x14ac:dyDescent="0.3">
      <c r="D445" s="115"/>
      <c r="E445" s="308"/>
      <c r="F445" s="115"/>
      <c r="J445" s="114"/>
      <c r="K445" s="1971">
        <f>SUM(K443:K444)</f>
        <v>-4010</v>
      </c>
      <c r="L445" s="1971">
        <f>SUM(L443:L444)</f>
        <v>-4094</v>
      </c>
      <c r="M445" s="1971">
        <f>SUM(M443:M444)</f>
        <v>-4188</v>
      </c>
      <c r="N445" s="1971">
        <f>SUM(N443:N444)</f>
        <v>-4284</v>
      </c>
      <c r="O445" s="1971">
        <f>SUM(O443:O444)</f>
        <v>-4383</v>
      </c>
    </row>
    <row r="446" spans="1:15" ht="12.75" customHeight="1" thickTop="1" x14ac:dyDescent="0.25">
      <c r="D446" s="143"/>
      <c r="E446" s="114"/>
      <c r="F446" s="115"/>
      <c r="G446" s="114"/>
    </row>
    <row r="447" spans="1:15" ht="12.75" customHeight="1" x14ac:dyDescent="0.25">
      <c r="D447" s="393">
        <v>649008</v>
      </c>
      <c r="E447" s="381" t="s">
        <v>4876</v>
      </c>
      <c r="F447" s="115"/>
      <c r="G447" s="114"/>
      <c r="J447" s="154"/>
      <c r="K447" s="605">
        <v>2026</v>
      </c>
      <c r="L447" s="605">
        <v>2027</v>
      </c>
      <c r="M447" s="605">
        <v>2028</v>
      </c>
      <c r="N447" s="605">
        <v>2028</v>
      </c>
      <c r="O447" s="605">
        <v>2028</v>
      </c>
    </row>
    <row r="448" spans="1:15" ht="12.75" customHeight="1" x14ac:dyDescent="0.25">
      <c r="D448" s="143"/>
      <c r="E448" s="114" t="s">
        <v>4963</v>
      </c>
      <c r="F448" s="115"/>
      <c r="G448" s="114"/>
    </row>
    <row r="449" spans="4:16" ht="12.75" customHeight="1" x14ac:dyDescent="0.25">
      <c r="D449" s="143">
        <v>83700</v>
      </c>
      <c r="E449" s="115" t="s">
        <v>4964</v>
      </c>
      <c r="F449" s="115"/>
      <c r="J449" s="114"/>
      <c r="K449" s="114">
        <f>ROUND(-10197*S$2,0)</f>
        <v>-10462</v>
      </c>
      <c r="L449" s="114">
        <f>ROUND(K449*T$2,0)</f>
        <v>-10682</v>
      </c>
      <c r="M449" s="114">
        <f>ROUND(L449*U$2,0)</f>
        <v>-10928</v>
      </c>
      <c r="N449" s="114">
        <f>ROUND(M449*V$2,0)</f>
        <v>-11179</v>
      </c>
      <c r="O449" s="114">
        <f>ROUND(N449*W$2,0)</f>
        <v>-11436</v>
      </c>
    </row>
    <row r="450" spans="4:16" ht="12.75" customHeight="1" x14ac:dyDescent="0.25">
      <c r="D450" s="115"/>
      <c r="E450" s="400"/>
      <c r="F450" s="115"/>
      <c r="J450" s="114"/>
      <c r="K450" s="114"/>
      <c r="L450" s="114"/>
      <c r="M450" s="114"/>
      <c r="N450" s="114"/>
      <c r="O450" s="114"/>
    </row>
    <row r="451" spans="4:16" ht="12.75" customHeight="1" thickBot="1" x14ac:dyDescent="0.3">
      <c r="D451" s="115"/>
      <c r="E451" s="400"/>
      <c r="F451" s="484"/>
      <c r="G451" s="484"/>
      <c r="J451" s="558"/>
      <c r="K451" s="1996">
        <f t="shared" ref="K451:M451" si="70">SUM(K449:K450)</f>
        <v>-10462</v>
      </c>
      <c r="L451" s="1996">
        <f t="shared" si="70"/>
        <v>-10682</v>
      </c>
      <c r="M451" s="1996">
        <f t="shared" si="70"/>
        <v>-10928</v>
      </c>
      <c r="N451" s="1996">
        <f t="shared" ref="N451:O451" si="71">SUM(N449:N450)</f>
        <v>-11179</v>
      </c>
      <c r="O451" s="1996">
        <f t="shared" si="71"/>
        <v>-11436</v>
      </c>
    </row>
    <row r="452" spans="4:16" ht="12.75" customHeight="1" thickTop="1" x14ac:dyDescent="0.25">
      <c r="D452" s="597">
        <v>649018</v>
      </c>
      <c r="E452" s="598" t="s">
        <v>4862</v>
      </c>
      <c r="F452" s="115"/>
      <c r="G452" s="492"/>
      <c r="H452" s="114"/>
      <c r="I452" s="114"/>
      <c r="J452" s="114"/>
      <c r="K452" s="114"/>
      <c r="L452" s="114"/>
      <c r="M452" s="114"/>
      <c r="N452" s="114"/>
      <c r="O452" s="114"/>
    </row>
    <row r="453" spans="4:16" ht="12.75" customHeight="1" x14ac:dyDescent="0.25">
      <c r="D453" s="542">
        <v>84310</v>
      </c>
      <c r="E453" s="599" t="s">
        <v>4965</v>
      </c>
      <c r="F453" s="115"/>
      <c r="G453" s="492"/>
      <c r="H453" s="114"/>
      <c r="I453" s="114"/>
      <c r="J453" s="114"/>
      <c r="K453" s="114">
        <f>-293600-31400</f>
        <v>-325000</v>
      </c>
      <c r="L453" s="114">
        <f>-292800-32200</f>
        <v>-325000</v>
      </c>
      <c r="M453" s="114">
        <f>-292800-32200</f>
        <v>-325000</v>
      </c>
      <c r="N453" s="114">
        <f>-292800-32200</f>
        <v>-325000</v>
      </c>
      <c r="O453" s="114">
        <f>-292800-32200</f>
        <v>-325000</v>
      </c>
      <c r="P453" s="115" t="s">
        <v>4966</v>
      </c>
    </row>
    <row r="454" spans="4:16" ht="12.75" customHeight="1" x14ac:dyDescent="0.25">
      <c r="D454" s="600"/>
      <c r="E454" s="491" t="s">
        <v>4917</v>
      </c>
      <c r="F454" s="115"/>
      <c r="G454" s="492"/>
      <c r="H454" s="114"/>
      <c r="I454" s="114"/>
      <c r="J454" s="114"/>
      <c r="K454" s="114"/>
      <c r="L454" s="114"/>
      <c r="M454" s="114"/>
      <c r="N454" s="114"/>
      <c r="O454" s="114"/>
    </row>
    <row r="455" spans="4:16" ht="12.75" customHeight="1" x14ac:dyDescent="0.25">
      <c r="D455" s="600"/>
      <c r="E455" s="491" t="s">
        <v>4967</v>
      </c>
      <c r="F455" s="115"/>
      <c r="G455" s="492"/>
      <c r="H455" s="114"/>
      <c r="I455" s="114"/>
      <c r="J455" s="114"/>
      <c r="K455" s="114"/>
      <c r="L455" s="114"/>
      <c r="M455" s="114"/>
      <c r="N455" s="114"/>
      <c r="O455" s="114"/>
    </row>
    <row r="456" spans="4:16" ht="12.75" customHeight="1" x14ac:dyDescent="0.25">
      <c r="D456" s="600"/>
      <c r="E456" s="491" t="s">
        <v>4968</v>
      </c>
      <c r="F456" s="115"/>
      <c r="G456" s="492"/>
      <c r="H456" s="114"/>
      <c r="I456" s="114"/>
      <c r="J456" s="114"/>
      <c r="K456" s="114"/>
      <c r="L456" s="114"/>
      <c r="M456" s="114"/>
      <c r="N456" s="114"/>
      <c r="O456" s="114"/>
    </row>
    <row r="457" spans="4:16" ht="12.75" customHeight="1" thickBot="1" x14ac:dyDescent="0.3">
      <c r="D457" s="492"/>
      <c r="E457" s="115" t="str">
        <f>"Totaal "&amp;D453</f>
        <v>Totaal 84310</v>
      </c>
      <c r="F457" s="115"/>
      <c r="G457" s="492"/>
      <c r="H457" s="114"/>
      <c r="I457" s="114"/>
      <c r="J457" s="114"/>
      <c r="K457" s="1971">
        <f>SUM(K452:K456)</f>
        <v>-325000</v>
      </c>
      <c r="L457" s="1971">
        <f>SUM(L452:L456)</f>
        <v>-325000</v>
      </c>
      <c r="M457" s="1971">
        <f>SUM(M452:M456)</f>
        <v>-325000</v>
      </c>
      <c r="N457" s="1971">
        <f>SUM(N452:N456)</f>
        <v>-325000</v>
      </c>
      <c r="O457" s="1971">
        <f>SUM(O452:O456)</f>
        <v>-325000</v>
      </c>
    </row>
    <row r="458" spans="4:16" ht="12.75" customHeight="1" thickTop="1" x14ac:dyDescent="0.25">
      <c r="D458" s="115"/>
      <c r="E458" s="400"/>
      <c r="F458" s="484"/>
      <c r="G458" s="484"/>
      <c r="J458" s="558"/>
      <c r="K458" s="558"/>
      <c r="L458" s="558"/>
      <c r="M458" s="558"/>
      <c r="N458" s="558"/>
      <c r="O458" s="558"/>
    </row>
    <row r="459" spans="4:16" ht="12.75" customHeight="1" x14ac:dyDescent="0.25">
      <c r="D459" s="597">
        <v>649019</v>
      </c>
      <c r="E459" s="598" t="s">
        <v>4921</v>
      </c>
      <c r="F459" s="115"/>
      <c r="G459" s="492"/>
      <c r="H459" s="114"/>
      <c r="I459" s="114"/>
      <c r="J459" s="114"/>
      <c r="K459" s="114"/>
      <c r="L459" s="114"/>
      <c r="M459" s="114"/>
      <c r="N459" s="114"/>
      <c r="O459" s="114"/>
    </row>
    <row r="460" spans="4:16" ht="12.75" customHeight="1" x14ac:dyDescent="0.25">
      <c r="D460" s="542">
        <v>84310</v>
      </c>
      <c r="E460" s="491" t="s">
        <v>4922</v>
      </c>
      <c r="F460" s="115"/>
      <c r="G460" s="492"/>
      <c r="H460" s="114"/>
      <c r="I460" s="114"/>
      <c r="J460" s="114"/>
      <c r="K460" s="114">
        <v>-52400</v>
      </c>
      <c r="L460" s="114">
        <v>-53700</v>
      </c>
      <c r="M460" s="114">
        <v>0</v>
      </c>
      <c r="N460" s="114">
        <v>0</v>
      </c>
      <c r="O460" s="114">
        <v>0</v>
      </c>
      <c r="P460" s="115" t="s">
        <v>4966</v>
      </c>
    </row>
    <row r="461" spans="4:16" ht="12.75" customHeight="1" x14ac:dyDescent="0.25">
      <c r="D461" s="600"/>
      <c r="E461" s="491" t="s">
        <v>4923</v>
      </c>
      <c r="F461" s="115"/>
      <c r="G461" s="492"/>
      <c r="H461" s="114"/>
      <c r="I461" s="114"/>
      <c r="J461" s="114"/>
      <c r="K461" s="114"/>
      <c r="L461" s="114"/>
      <c r="M461" s="114"/>
      <c r="N461" s="114"/>
      <c r="O461" s="114"/>
    </row>
    <row r="462" spans="4:16" ht="12.75" customHeight="1" x14ac:dyDescent="0.25">
      <c r="D462" s="600"/>
      <c r="E462" s="491"/>
      <c r="F462" s="115"/>
      <c r="G462" s="492"/>
      <c r="H462" s="114"/>
      <c r="I462" s="114"/>
      <c r="J462" s="114"/>
      <c r="K462" s="114"/>
      <c r="L462" s="114"/>
      <c r="M462" s="114"/>
      <c r="N462" s="114"/>
      <c r="O462" s="114"/>
    </row>
    <row r="463" spans="4:16" ht="12.75" customHeight="1" thickBot="1" x14ac:dyDescent="0.3">
      <c r="D463" s="492"/>
      <c r="E463" s="115" t="str">
        <f>"Totaal "&amp;D460</f>
        <v>Totaal 84310</v>
      </c>
      <c r="F463" s="115"/>
      <c r="G463" s="492"/>
      <c r="H463" s="114"/>
      <c r="I463" s="114"/>
      <c r="J463" s="114"/>
      <c r="K463" s="1971">
        <f>SUM(K459:K462)</f>
        <v>-52400</v>
      </c>
      <c r="L463" s="1971">
        <f>SUM(L459:L462)</f>
        <v>-53700</v>
      </c>
      <c r="M463" s="1971">
        <f>SUM(M459:M462)</f>
        <v>0</v>
      </c>
      <c r="N463" s="1971">
        <f>SUM(N459:N462)</f>
        <v>0</v>
      </c>
      <c r="O463" s="1971">
        <f>SUM(O459:O462)</f>
        <v>0</v>
      </c>
    </row>
    <row r="464" spans="4:16" ht="12.75" customHeight="1" thickTop="1" x14ac:dyDescent="0.25">
      <c r="F464" s="115"/>
    </row>
    <row r="465" spans="4:15" ht="12.75" customHeight="1" x14ac:dyDescent="0.25">
      <c r="F465" s="115"/>
    </row>
    <row r="466" spans="4:15" ht="12.75" customHeight="1" x14ac:dyDescent="0.25">
      <c r="D466" s="312">
        <v>649020</v>
      </c>
      <c r="E466" s="312" t="s">
        <v>5374</v>
      </c>
      <c r="F466" s="381"/>
    </row>
    <row r="467" spans="4:15" ht="12.75" customHeight="1" x14ac:dyDescent="0.25">
      <c r="E467" s="2184" t="s">
        <v>5375</v>
      </c>
      <c r="F467" s="1720"/>
      <c r="G467" s="1720"/>
      <c r="H467" s="1720"/>
      <c r="I467" s="1720"/>
      <c r="J467" s="1720"/>
      <c r="K467" s="1720"/>
      <c r="L467" s="1720"/>
      <c r="M467" s="1720"/>
      <c r="N467" s="1720"/>
      <c r="O467" s="1720"/>
    </row>
    <row r="468" spans="4:15" ht="12.75" customHeight="1" x14ac:dyDescent="0.25">
      <c r="F468" s="115"/>
    </row>
    <row r="469" spans="4:15" ht="12.75" customHeight="1" x14ac:dyDescent="0.25">
      <c r="F469" s="115"/>
    </row>
    <row r="470" spans="4:15" ht="12.75" customHeight="1" x14ac:dyDescent="0.25">
      <c r="F470" s="115"/>
    </row>
    <row r="471" spans="4:15" ht="12.75" customHeight="1" x14ac:dyDescent="0.25">
      <c r="F471" s="115"/>
    </row>
    <row r="472" spans="4:15" ht="12.75" customHeight="1" x14ac:dyDescent="0.25">
      <c r="D472" s="393">
        <v>649024</v>
      </c>
      <c r="E472" s="312" t="s">
        <v>4865</v>
      </c>
      <c r="F472" s="381"/>
      <c r="I472" s="114"/>
      <c r="J472" s="114"/>
      <c r="K472" s="114"/>
      <c r="L472" s="114"/>
      <c r="M472" s="114"/>
      <c r="N472" s="114"/>
      <c r="O472" s="114"/>
    </row>
    <row r="473" spans="4:15" ht="12.75" customHeight="1" x14ac:dyDescent="0.25">
      <c r="E473" s="396" t="s">
        <v>554</v>
      </c>
      <c r="F473" s="115"/>
      <c r="I473" s="114"/>
      <c r="J473" s="114"/>
      <c r="K473" s="114"/>
      <c r="L473" s="114"/>
      <c r="M473" s="114"/>
      <c r="N473" s="114"/>
      <c r="O473" s="114"/>
    </row>
    <row r="474" spans="4:15" ht="12.75" customHeight="1" x14ac:dyDescent="0.3">
      <c r="D474" s="497"/>
      <c r="E474" s="2630" t="s">
        <v>4969</v>
      </c>
      <c r="F474" s="2577"/>
      <c r="G474" s="2577"/>
      <c r="H474" s="2577"/>
      <c r="I474" s="2577"/>
      <c r="J474" s="2577"/>
      <c r="K474" s="2577"/>
      <c r="L474" s="2577"/>
      <c r="M474" s="2577"/>
      <c r="N474" s="2577"/>
      <c r="O474" s="603"/>
    </row>
    <row r="475" spans="4:15" ht="12.75" customHeight="1" x14ac:dyDescent="0.3">
      <c r="D475" s="608"/>
      <c r="E475" s="2630"/>
      <c r="F475" s="2577"/>
      <c r="G475" s="2577"/>
      <c r="H475" s="2577"/>
      <c r="I475" s="2577"/>
      <c r="J475" s="2577"/>
      <c r="K475" s="2577"/>
      <c r="L475" s="2577"/>
      <c r="M475" s="2577"/>
      <c r="N475" s="2577"/>
      <c r="O475" s="603"/>
    </row>
    <row r="476" spans="4:15" ht="12.75" customHeight="1" x14ac:dyDescent="0.3">
      <c r="D476" s="608"/>
      <c r="E476" s="2577"/>
      <c r="F476" s="2577"/>
      <c r="G476" s="2577"/>
      <c r="H476" s="2577"/>
      <c r="I476" s="2577"/>
      <c r="J476" s="2577"/>
      <c r="K476" s="2577"/>
      <c r="L476" s="2577"/>
      <c r="M476" s="2577"/>
      <c r="N476" s="2577"/>
      <c r="O476" s="603"/>
    </row>
    <row r="477" spans="4:15" ht="12.75" customHeight="1" x14ac:dyDescent="0.3">
      <c r="D477" s="608"/>
      <c r="E477" s="603"/>
      <c r="F477" s="603"/>
      <c r="G477" s="603"/>
      <c r="H477" s="603"/>
      <c r="I477" s="603"/>
      <c r="J477" s="154"/>
      <c r="K477" s="605">
        <v>2026</v>
      </c>
      <c r="L477" s="605">
        <v>2027</v>
      </c>
      <c r="M477" s="605">
        <v>2028</v>
      </c>
      <c r="N477" s="605">
        <v>2029</v>
      </c>
      <c r="O477" s="605">
        <v>2030</v>
      </c>
    </row>
    <row r="478" spans="4:15" ht="12.75" customHeight="1" x14ac:dyDescent="0.3">
      <c r="D478" s="608"/>
      <c r="E478" s="603"/>
      <c r="F478" s="603"/>
      <c r="G478" s="603"/>
      <c r="H478" s="603"/>
      <c r="I478" s="603"/>
      <c r="J478" s="603"/>
      <c r="K478" s="603"/>
      <c r="L478" s="603"/>
      <c r="M478" s="603"/>
      <c r="N478" s="603"/>
      <c r="O478" s="603"/>
    </row>
    <row r="479" spans="4:15" ht="12.75" customHeight="1" x14ac:dyDescent="0.25">
      <c r="D479" s="143">
        <v>83800</v>
      </c>
      <c r="E479" s="301" t="s">
        <v>4970</v>
      </c>
      <c r="F479" s="115"/>
      <c r="I479" s="114"/>
      <c r="J479" s="114"/>
      <c r="K479" s="114"/>
      <c r="L479" s="114">
        <v>-105000</v>
      </c>
      <c r="M479" s="114">
        <v>-105000</v>
      </c>
      <c r="N479" s="114">
        <v>-105000</v>
      </c>
      <c r="O479" s="114">
        <v>-105000</v>
      </c>
    </row>
    <row r="480" spans="4:15" ht="12.75" customHeight="1" x14ac:dyDescent="0.25">
      <c r="D480" s="143">
        <v>83800</v>
      </c>
      <c r="E480" s="301" t="s">
        <v>4971</v>
      </c>
      <c r="F480" s="115"/>
      <c r="I480" s="114"/>
      <c r="J480" s="114"/>
      <c r="K480" s="114"/>
      <c r="L480" s="114">
        <v>-495000</v>
      </c>
      <c r="M480" s="114">
        <v>-495000</v>
      </c>
      <c r="N480" s="114">
        <v>-495000</v>
      </c>
      <c r="O480" s="114">
        <v>-495000</v>
      </c>
    </row>
    <row r="481" spans="4:15" ht="12.75" customHeight="1" thickBot="1" x14ac:dyDescent="0.3">
      <c r="D481" s="143"/>
      <c r="E481" s="301" t="s">
        <v>4972</v>
      </c>
      <c r="F481" s="115"/>
      <c r="I481" s="114"/>
      <c r="J481" s="114"/>
      <c r="K481" s="1971">
        <f t="shared" ref="K481:N481" si="72">SUM(K479:K480)</f>
        <v>0</v>
      </c>
      <c r="L481" s="1971">
        <f t="shared" si="72"/>
        <v>-600000</v>
      </c>
      <c r="M481" s="1971">
        <f t="shared" si="72"/>
        <v>-600000</v>
      </c>
      <c r="N481" s="1971">
        <f t="shared" si="72"/>
        <v>-600000</v>
      </c>
      <c r="O481" s="1971">
        <f t="shared" ref="O481" si="73">SUM(O479:O480)</f>
        <v>-600000</v>
      </c>
    </row>
    <row r="482" spans="4:15" ht="12.75" customHeight="1" thickTop="1" x14ac:dyDescent="0.25">
      <c r="D482" s="143"/>
      <c r="E482" s="301"/>
      <c r="F482" s="115"/>
      <c r="I482" s="114"/>
      <c r="J482" s="114"/>
      <c r="K482" s="114"/>
      <c r="L482" s="114"/>
      <c r="M482" s="114"/>
      <c r="N482" s="114"/>
      <c r="O482" s="114"/>
    </row>
    <row r="483" spans="4:15" ht="12.75" customHeight="1" x14ac:dyDescent="0.25">
      <c r="D483" s="143">
        <v>84310</v>
      </c>
      <c r="E483" s="301" t="s">
        <v>4973</v>
      </c>
      <c r="F483" s="115"/>
      <c r="I483" s="114"/>
      <c r="J483" s="114"/>
      <c r="K483" s="114"/>
      <c r="L483" s="114"/>
      <c r="M483" s="114"/>
      <c r="N483" s="114"/>
      <c r="O483" s="114"/>
    </row>
    <row r="484" spans="4:15" ht="12.75" customHeight="1" thickBot="1" x14ac:dyDescent="0.3">
      <c r="E484" s="301" t="s">
        <v>4974</v>
      </c>
      <c r="F484" s="115"/>
      <c r="I484" s="114"/>
      <c r="J484" s="114"/>
      <c r="K484" s="1971">
        <v>0</v>
      </c>
      <c r="L484" s="1971">
        <v>-400000</v>
      </c>
      <c r="M484" s="1971">
        <v>-400000</v>
      </c>
      <c r="N484" s="1971">
        <v>-400000</v>
      </c>
      <c r="O484" s="1971">
        <v>-400000</v>
      </c>
    </row>
    <row r="485" spans="4:15" ht="12.75" customHeight="1" thickTop="1" x14ac:dyDescent="0.25">
      <c r="E485" s="301"/>
      <c r="F485" s="115"/>
      <c r="I485" s="114"/>
      <c r="J485" s="114"/>
      <c r="K485" s="114"/>
      <c r="L485" s="114"/>
      <c r="M485" s="114"/>
      <c r="N485" s="114"/>
      <c r="O485" s="114"/>
    </row>
    <row r="486" spans="4:15" ht="12.75" customHeight="1" x14ac:dyDescent="0.25">
      <c r="E486" s="301" t="s">
        <v>4975</v>
      </c>
      <c r="F486" s="115"/>
    </row>
    <row r="487" spans="4:15" ht="12.75" customHeight="1" x14ac:dyDescent="0.25">
      <c r="E487" s="301"/>
      <c r="F487" s="115"/>
      <c r="J487" s="114"/>
      <c r="K487" s="114"/>
      <c r="L487" s="114"/>
      <c r="M487" s="114"/>
      <c r="N487" s="114"/>
      <c r="O487" s="114"/>
    </row>
    <row r="488" spans="4:15" ht="12.75" customHeight="1" x14ac:dyDescent="0.25">
      <c r="E488" s="301"/>
      <c r="F488" s="115"/>
      <c r="J488" s="114"/>
      <c r="K488" s="114"/>
      <c r="L488" s="114"/>
      <c r="M488" s="114"/>
      <c r="N488" s="114"/>
      <c r="O488" s="114"/>
    </row>
    <row r="489" spans="4:15" ht="12.75" customHeight="1" x14ac:dyDescent="0.25">
      <c r="E489" s="301"/>
      <c r="F489" s="115"/>
      <c r="L489" s="114"/>
    </row>
    <row r="490" spans="4:15" ht="12.75" customHeight="1" x14ac:dyDescent="0.25">
      <c r="F490" s="115"/>
      <c r="L490" s="114"/>
    </row>
    <row r="491" spans="4:15" ht="12.75" customHeight="1" x14ac:dyDescent="0.25">
      <c r="F491" s="115"/>
    </row>
    <row r="492" spans="4:15" ht="12.75" customHeight="1" x14ac:dyDescent="0.25">
      <c r="F492" s="115"/>
    </row>
    <row r="493" spans="4:15" ht="12.75" customHeight="1" x14ac:dyDescent="0.25">
      <c r="F493" s="115"/>
    </row>
    <row r="494" spans="4:15" ht="12.75" customHeight="1" x14ac:dyDescent="0.25">
      <c r="F494" s="115"/>
    </row>
    <row r="495" spans="4:15" ht="12.75" customHeight="1" x14ac:dyDescent="0.25">
      <c r="F495" s="115"/>
    </row>
    <row r="496" spans="4:15" ht="12.75" customHeight="1" x14ac:dyDescent="0.25">
      <c r="D496" s="500" t="s">
        <v>4976</v>
      </c>
      <c r="E496" s="500"/>
      <c r="F496" s="500"/>
      <c r="G496" s="359"/>
      <c r="H496" s="359"/>
      <c r="I496" s="359"/>
      <c r="J496" s="609"/>
      <c r="K496" s="605">
        <v>2026</v>
      </c>
      <c r="L496" s="605">
        <v>2027</v>
      </c>
      <c r="M496" s="605">
        <v>2028</v>
      </c>
      <c r="N496" s="605">
        <v>2029</v>
      </c>
      <c r="O496" s="605">
        <v>2030</v>
      </c>
    </row>
    <row r="497" spans="4:22" ht="12.75" customHeight="1" x14ac:dyDescent="0.25">
      <c r="D497" s="502"/>
      <c r="E497" s="502"/>
      <c r="F497" s="502"/>
      <c r="G497" s="359"/>
      <c r="H497" s="359"/>
      <c r="I497" s="359"/>
      <c r="J497" s="503"/>
      <c r="K497" s="503"/>
      <c r="L497" s="503"/>
      <c r="M497" s="503"/>
      <c r="N497" s="503"/>
      <c r="O497" s="503"/>
      <c r="R497" s="359"/>
      <c r="S497" s="359"/>
    </row>
    <row r="498" spans="4:22" ht="12.75" customHeight="1" x14ac:dyDescent="0.25">
      <c r="D498" s="504" t="s">
        <v>935</v>
      </c>
      <c r="E498" s="504"/>
      <c r="F498" s="504"/>
      <c r="G498" s="359"/>
      <c r="H498" s="359"/>
      <c r="I498" s="359"/>
      <c r="J498" s="503"/>
      <c r="K498" s="503"/>
      <c r="L498" s="503"/>
      <c r="M498" s="503"/>
      <c r="N498" s="503"/>
      <c r="O498" s="503"/>
      <c r="R498" s="359"/>
      <c r="S498" s="359"/>
    </row>
    <row r="499" spans="4:22" ht="12.75" customHeight="1" x14ac:dyDescent="0.25">
      <c r="D499" s="502" t="s">
        <v>936</v>
      </c>
      <c r="E499" s="502"/>
      <c r="F499" s="502"/>
      <c r="G499" s="359"/>
      <c r="H499" s="359"/>
      <c r="I499" s="359"/>
      <c r="J499" s="503"/>
      <c r="K499" s="503">
        <f>K199</f>
        <v>0</v>
      </c>
      <c r="L499" s="503">
        <f>L199</f>
        <v>0</v>
      </c>
      <c r="M499" s="503">
        <f>M199</f>
        <v>0</v>
      </c>
      <c r="N499" s="503">
        <f>N199</f>
        <v>0</v>
      </c>
      <c r="O499" s="503">
        <f>O199</f>
        <v>0</v>
      </c>
      <c r="R499" s="359"/>
      <c r="S499" s="359"/>
    </row>
    <row r="500" spans="4:22" ht="12.75" customHeight="1" x14ac:dyDescent="0.25">
      <c r="D500" s="115" t="s">
        <v>937</v>
      </c>
      <c r="E500" s="115"/>
      <c r="F500" s="114"/>
      <c r="G500" s="114"/>
      <c r="H500" s="114"/>
      <c r="I500" s="114"/>
      <c r="J500" s="503"/>
      <c r="K500" s="503">
        <f>K173+K178</f>
        <v>225416</v>
      </c>
      <c r="L500" s="503">
        <f>L173+L178</f>
        <v>230150</v>
      </c>
      <c r="M500" s="503">
        <f>M173+M178</f>
        <v>235444</v>
      </c>
      <c r="N500" s="503">
        <f>N173+N178</f>
        <v>240860</v>
      </c>
      <c r="O500" s="503">
        <f>O173+O178</f>
        <v>246400</v>
      </c>
      <c r="R500" s="359"/>
      <c r="S500" s="359"/>
    </row>
    <row r="501" spans="4:22" ht="12.75" customHeight="1" thickBot="1" x14ac:dyDescent="0.3">
      <c r="D501" s="502" t="s">
        <v>938</v>
      </c>
      <c r="E501" s="502"/>
      <c r="F501" s="502"/>
      <c r="G501" s="359"/>
      <c r="H501" s="359"/>
      <c r="I501" s="359"/>
      <c r="J501" s="503"/>
      <c r="K501" s="1972">
        <f>SUM(K499:K500)</f>
        <v>225416</v>
      </c>
      <c r="L501" s="1972">
        <f>SUM(L499:L500)</f>
        <v>230150</v>
      </c>
      <c r="M501" s="1972">
        <f>SUM(M499:M500)</f>
        <v>235444</v>
      </c>
      <c r="N501" s="1972">
        <f>SUM(N499:N500)</f>
        <v>240860</v>
      </c>
      <c r="O501" s="1972">
        <f>SUM(O499:O500)</f>
        <v>246400</v>
      </c>
      <c r="Q501" s="359"/>
      <c r="R501" s="359"/>
    </row>
    <row r="502" spans="4:22" ht="12.75" customHeight="1" thickTop="1" x14ac:dyDescent="0.25">
      <c r="D502" s="502"/>
      <c r="E502" s="502"/>
      <c r="F502" s="502"/>
      <c r="G502" s="359"/>
      <c r="H502" s="359"/>
      <c r="I502" s="359"/>
      <c r="J502" s="503"/>
      <c r="K502" s="503"/>
      <c r="L502" s="503"/>
      <c r="M502" s="503"/>
      <c r="N502" s="503"/>
      <c r="O502" s="503"/>
      <c r="Q502" s="359"/>
      <c r="R502" s="359"/>
    </row>
    <row r="503" spans="4:22" ht="12.75" customHeight="1" x14ac:dyDescent="0.25">
      <c r="D503" s="505" t="s">
        <v>939</v>
      </c>
      <c r="E503" s="396"/>
      <c r="F503" s="396"/>
      <c r="G503" s="301"/>
      <c r="H503" s="301"/>
      <c r="I503" s="301"/>
      <c r="J503" s="151"/>
      <c r="K503" s="151"/>
      <c r="L503" s="151"/>
      <c r="M503" s="151"/>
      <c r="N503" s="151"/>
      <c r="O503" s="151"/>
      <c r="P503" s="571"/>
      <c r="R503" s="571" t="s">
        <v>940</v>
      </c>
      <c r="S503" s="571" t="s">
        <v>941</v>
      </c>
      <c r="T503" s="571" t="s">
        <v>942</v>
      </c>
      <c r="U503" s="571" t="s">
        <v>943</v>
      </c>
      <c r="V503" s="571" t="s">
        <v>944</v>
      </c>
    </row>
    <row r="504" spans="4:22" ht="12.75" customHeight="1" x14ac:dyDescent="0.3">
      <c r="D504" s="507" t="s">
        <v>945</v>
      </c>
      <c r="E504" s="115"/>
      <c r="F504" s="115"/>
      <c r="I504" s="508"/>
      <c r="J504" s="508"/>
      <c r="K504" s="508"/>
      <c r="L504" s="151"/>
      <c r="M504" s="151"/>
      <c r="N504" s="151"/>
      <c r="O504" s="151"/>
    </row>
    <row r="505" spans="4:22" ht="12.75" customHeight="1" x14ac:dyDescent="0.3">
      <c r="D505" s="115" t="s">
        <v>946</v>
      </c>
      <c r="E505" s="115"/>
      <c r="F505" s="115"/>
      <c r="I505" s="359"/>
      <c r="J505" s="151"/>
      <c r="K505" s="151">
        <f>K$499*S505</f>
        <v>0</v>
      </c>
      <c r="L505" s="151">
        <f>L$499*T505</f>
        <v>0</v>
      </c>
      <c r="M505" s="151">
        <f>M$499*U505</f>
        <v>0</v>
      </c>
      <c r="N505" s="151">
        <f>N$499*V505</f>
        <v>0</v>
      </c>
      <c r="O505" s="151">
        <f>O$499*W505</f>
        <v>0</v>
      </c>
      <c r="Q505" s="359"/>
      <c r="R505" s="508">
        <v>0.10002862957699615</v>
      </c>
      <c r="S505" s="509">
        <v>9.0140015130011811E-2</v>
      </c>
      <c r="T505" s="509">
        <v>9.4116051248378754E-2</v>
      </c>
      <c r="U505" s="509">
        <v>9.9292008067508306E-2</v>
      </c>
      <c r="V505" s="509">
        <v>0.10438807427196223</v>
      </c>
    </row>
    <row r="506" spans="4:22" ht="12.75" customHeight="1" x14ac:dyDescent="0.3">
      <c r="D506" s="115" t="s">
        <v>947</v>
      </c>
      <c r="E506" s="115"/>
      <c r="F506" s="115"/>
      <c r="I506" s="359"/>
      <c r="J506" s="151"/>
      <c r="K506" s="151">
        <f t="shared" ref="K506:K512" si="74">K$499*S506</f>
        <v>0</v>
      </c>
      <c r="L506" s="151">
        <f t="shared" ref="L506:L512" si="75">L$499*T506</f>
        <v>0</v>
      </c>
      <c r="M506" s="151">
        <f t="shared" ref="M506:M512" si="76">M$499*U506</f>
        <v>0</v>
      </c>
      <c r="N506" s="151">
        <f t="shared" ref="N506:O512" si="77">N$499*V506</f>
        <v>0</v>
      </c>
      <c r="O506" s="151">
        <f t="shared" si="77"/>
        <v>0</v>
      </c>
      <c r="Q506" s="359"/>
      <c r="R506" s="508">
        <v>2.3306659189979155E-3</v>
      </c>
      <c r="S506" s="509">
        <v>2.1879716262850806E-3</v>
      </c>
      <c r="T506" s="509">
        <v>2.1808700203638722E-3</v>
      </c>
      <c r="U506" s="509">
        <v>2.1738259745138874E-3</v>
      </c>
      <c r="V506" s="509">
        <v>2.1667766391142334E-3</v>
      </c>
    </row>
    <row r="507" spans="4:22" ht="12.75" customHeight="1" x14ac:dyDescent="0.3">
      <c r="D507" s="115" t="s">
        <v>948</v>
      </c>
      <c r="E507" s="115"/>
      <c r="F507" s="115"/>
      <c r="I507" s="359"/>
      <c r="J507" s="151"/>
      <c r="K507" s="151">
        <f t="shared" si="74"/>
        <v>0</v>
      </c>
      <c r="L507" s="151">
        <f t="shared" si="75"/>
        <v>0</v>
      </c>
      <c r="M507" s="151">
        <f t="shared" si="76"/>
        <v>0</v>
      </c>
      <c r="N507" s="151">
        <f t="shared" si="77"/>
        <v>0</v>
      </c>
      <c r="O507" s="151">
        <f t="shared" si="77"/>
        <v>0</v>
      </c>
      <c r="Q507" s="359"/>
      <c r="R507" s="508">
        <v>0.19135684371635128</v>
      </c>
      <c r="S507" s="509">
        <v>0.17488666558297436</v>
      </c>
      <c r="T507" s="509">
        <v>0.17438652803424973</v>
      </c>
      <c r="U507" s="509">
        <v>0.17388779816254066</v>
      </c>
      <c r="V507" s="509">
        <v>0.17339048621050948</v>
      </c>
    </row>
    <row r="508" spans="4:22" ht="12.75" customHeight="1" x14ac:dyDescent="0.3">
      <c r="D508" s="115" t="s">
        <v>949</v>
      </c>
      <c r="E508" s="115"/>
      <c r="F508" s="115"/>
      <c r="I508" s="359"/>
      <c r="J508" s="151"/>
      <c r="K508" s="151">
        <f t="shared" si="74"/>
        <v>0</v>
      </c>
      <c r="L508" s="151">
        <f t="shared" si="75"/>
        <v>0</v>
      </c>
      <c r="M508" s="151">
        <f t="shared" si="76"/>
        <v>0</v>
      </c>
      <c r="N508" s="151">
        <f t="shared" si="77"/>
        <v>0</v>
      </c>
      <c r="O508" s="151">
        <f t="shared" si="77"/>
        <v>0</v>
      </c>
      <c r="Q508" s="359"/>
      <c r="R508" s="508">
        <v>0.2538065744000943</v>
      </c>
      <c r="S508" s="509">
        <v>0.226996</v>
      </c>
      <c r="T508" s="509">
        <v>0.22213899999999998</v>
      </c>
      <c r="U508" s="509">
        <v>0.22063199999999999</v>
      </c>
      <c r="V508" s="509">
        <v>0.21912900000000002</v>
      </c>
    </row>
    <row r="509" spans="4:22" ht="12.75" customHeight="1" x14ac:dyDescent="0.3">
      <c r="D509" s="308" t="s">
        <v>950</v>
      </c>
      <c r="E509" s="115"/>
      <c r="F509" s="115"/>
      <c r="I509" s="359"/>
      <c r="J509" s="151"/>
      <c r="K509" s="151">
        <f t="shared" si="74"/>
        <v>0</v>
      </c>
      <c r="L509" s="151">
        <f t="shared" si="75"/>
        <v>0</v>
      </c>
      <c r="M509" s="151">
        <f t="shared" si="76"/>
        <v>0</v>
      </c>
      <c r="N509" s="151">
        <f t="shared" si="77"/>
        <v>0</v>
      </c>
      <c r="O509" s="151">
        <f t="shared" si="77"/>
        <v>0</v>
      </c>
      <c r="Q509" s="359"/>
      <c r="R509" s="508">
        <v>3.513702303285287E-2</v>
      </c>
      <c r="S509" s="509">
        <v>3.0895015782013507E-2</v>
      </c>
      <c r="T509" s="509">
        <v>3.0766417766252215E-2</v>
      </c>
      <c r="U509" s="509">
        <v>3.0639101158068314E-2</v>
      </c>
      <c r="V509" s="509">
        <v>3.051322591199954E-2</v>
      </c>
    </row>
    <row r="510" spans="4:22" ht="12.75" customHeight="1" x14ac:dyDescent="0.3">
      <c r="D510" s="308" t="s">
        <v>951</v>
      </c>
      <c r="E510" s="115"/>
      <c r="F510" s="115"/>
      <c r="I510" s="359"/>
      <c r="J510" s="151"/>
      <c r="K510" s="151">
        <f t="shared" si="74"/>
        <v>0</v>
      </c>
      <c r="L510" s="151">
        <f t="shared" si="75"/>
        <v>0</v>
      </c>
      <c r="M510" s="151">
        <f t="shared" si="76"/>
        <v>0</v>
      </c>
      <c r="N510" s="151">
        <f t="shared" si="77"/>
        <v>0</v>
      </c>
      <c r="O510" s="151">
        <f t="shared" si="77"/>
        <v>0</v>
      </c>
      <c r="Q510" s="359"/>
      <c r="R510" s="508">
        <v>0</v>
      </c>
      <c r="S510" s="509">
        <v>0</v>
      </c>
      <c r="T510" s="509">
        <v>0</v>
      </c>
      <c r="U510" s="509">
        <v>0</v>
      </c>
      <c r="V510" s="509">
        <v>0</v>
      </c>
    </row>
    <row r="511" spans="4:22" ht="12.75" customHeight="1" x14ac:dyDescent="0.3">
      <c r="D511" s="308" t="s">
        <v>952</v>
      </c>
      <c r="E511" s="115"/>
      <c r="F511" s="115"/>
      <c r="I511" s="359"/>
      <c r="J511" s="151"/>
      <c r="K511" s="151">
        <f t="shared" si="74"/>
        <v>0</v>
      </c>
      <c r="L511" s="151">
        <f t="shared" si="75"/>
        <v>0</v>
      </c>
      <c r="M511" s="151">
        <f t="shared" si="76"/>
        <v>0</v>
      </c>
      <c r="N511" s="151">
        <f t="shared" si="77"/>
        <v>0</v>
      </c>
      <c r="O511" s="151">
        <f t="shared" si="77"/>
        <v>0</v>
      </c>
      <c r="Q511" s="359"/>
      <c r="R511" s="508">
        <v>0.11221366881037274</v>
      </c>
      <c r="S511" s="509">
        <v>0.12600690767835998</v>
      </c>
      <c r="T511" s="509">
        <v>0.11164053450732041</v>
      </c>
      <c r="U511" s="509">
        <v>0.11164056380276767</v>
      </c>
      <c r="V511" s="509">
        <v>0.11164067080656155</v>
      </c>
    </row>
    <row r="512" spans="4:22" ht="12.75" customHeight="1" x14ac:dyDescent="0.3">
      <c r="D512" s="308" t="s">
        <v>953</v>
      </c>
      <c r="E512" s="115"/>
      <c r="F512" s="115"/>
      <c r="I512" s="359"/>
      <c r="J512" s="151"/>
      <c r="K512" s="151">
        <f t="shared" si="74"/>
        <v>0</v>
      </c>
      <c r="L512" s="151">
        <f t="shared" si="75"/>
        <v>0</v>
      </c>
      <c r="M512" s="151">
        <f t="shared" si="76"/>
        <v>0</v>
      </c>
      <c r="N512" s="151">
        <f t="shared" si="77"/>
        <v>0</v>
      </c>
      <c r="O512" s="151">
        <f t="shared" si="77"/>
        <v>0</v>
      </c>
      <c r="Q512" s="359"/>
      <c r="R512" s="508">
        <v>0</v>
      </c>
      <c r="S512" s="509">
        <v>0</v>
      </c>
      <c r="T512" s="509">
        <v>0</v>
      </c>
      <c r="U512" s="509">
        <v>0</v>
      </c>
      <c r="V512" s="509">
        <v>0</v>
      </c>
    </row>
    <row r="513" spans="4:22" ht="12.75" customHeight="1" x14ac:dyDescent="0.25">
      <c r="D513" s="115"/>
      <c r="E513" s="115"/>
      <c r="F513" s="115"/>
      <c r="I513" s="359"/>
      <c r="J513" s="359"/>
      <c r="K513" s="359"/>
      <c r="L513" s="359"/>
      <c r="M513" s="359"/>
      <c r="N513" s="359"/>
      <c r="O513" s="359"/>
      <c r="Q513" s="359"/>
      <c r="R513" s="508"/>
      <c r="S513" s="508"/>
      <c r="T513" s="508"/>
      <c r="U513" s="508"/>
      <c r="V513" s="508"/>
    </row>
    <row r="514" spans="4:22" ht="12.75" customHeight="1" x14ac:dyDescent="0.3">
      <c r="D514" s="507" t="s">
        <v>954</v>
      </c>
      <c r="E514" s="115"/>
      <c r="F514" s="115"/>
      <c r="I514" s="359"/>
      <c r="J514" s="359"/>
      <c r="K514" s="359"/>
      <c r="L514" s="359"/>
      <c r="M514" s="359"/>
      <c r="N514" s="359"/>
      <c r="O514" s="359"/>
      <c r="Q514" s="359"/>
      <c r="R514" s="508"/>
      <c r="S514" s="508"/>
      <c r="T514" s="508"/>
      <c r="U514" s="508"/>
      <c r="V514" s="508"/>
    </row>
    <row r="515" spans="4:22" ht="12.75" customHeight="1" x14ac:dyDescent="0.3">
      <c r="D515" s="115" t="s">
        <v>955</v>
      </c>
      <c r="E515" s="115"/>
      <c r="F515" s="115"/>
      <c r="I515" s="359"/>
      <c r="J515" s="151"/>
      <c r="K515" s="151">
        <f t="shared" ref="K515:K516" si="78">K$499*S515</f>
        <v>0</v>
      </c>
      <c r="L515" s="151">
        <f t="shared" ref="L515:L516" si="79">L$499*T515</f>
        <v>0</v>
      </c>
      <c r="M515" s="151">
        <f t="shared" ref="M515:M516" si="80">M$499*U515</f>
        <v>0</v>
      </c>
      <c r="N515" s="151">
        <f t="shared" ref="N515:O516" si="81">N$499*V515</f>
        <v>0</v>
      </c>
      <c r="O515" s="151">
        <f t="shared" si="81"/>
        <v>0</v>
      </c>
      <c r="Q515" s="359"/>
      <c r="R515" s="508">
        <v>4.085646064597323E-2</v>
      </c>
      <c r="S515" s="509">
        <v>3.2263457746095403E-2</v>
      </c>
      <c r="T515" s="509">
        <v>4.7579415939850316E-2</v>
      </c>
      <c r="U515" s="509">
        <v>4.5607867417297838E-2</v>
      </c>
      <c r="V515" s="509">
        <v>4.4188607727701418E-2</v>
      </c>
    </row>
    <row r="516" spans="4:22" ht="12.75" customHeight="1" x14ac:dyDescent="0.3">
      <c r="D516" s="115" t="s">
        <v>956</v>
      </c>
      <c r="E516" s="115"/>
      <c r="F516" s="115"/>
      <c r="I516" s="359"/>
      <c r="J516" s="151"/>
      <c r="K516" s="151">
        <f t="shared" si="78"/>
        <v>0</v>
      </c>
      <c r="L516" s="151">
        <f t="shared" si="79"/>
        <v>0</v>
      </c>
      <c r="M516" s="151">
        <f t="shared" si="80"/>
        <v>0</v>
      </c>
      <c r="N516" s="151">
        <f t="shared" si="81"/>
        <v>0</v>
      </c>
      <c r="O516" s="151">
        <f t="shared" si="81"/>
        <v>0</v>
      </c>
      <c r="Q516" s="359"/>
      <c r="R516" s="508">
        <v>0.16666163569987213</v>
      </c>
      <c r="S516" s="509">
        <v>0.168188</v>
      </c>
      <c r="T516" s="509">
        <v>0.16177600000000003</v>
      </c>
      <c r="U516" s="509">
        <v>0.130523</v>
      </c>
      <c r="V516" s="509">
        <v>0.125635</v>
      </c>
    </row>
    <row r="517" spans="4:22" ht="12.75" customHeight="1" x14ac:dyDescent="0.25">
      <c r="D517" s="411"/>
      <c r="E517" s="301"/>
      <c r="F517" s="301"/>
      <c r="G517" s="359"/>
      <c r="H517" s="359"/>
      <c r="I517" s="510"/>
      <c r="J517" s="151"/>
      <c r="K517" s="151"/>
      <c r="L517" s="151"/>
      <c r="M517" s="151"/>
      <c r="N517" s="151"/>
      <c r="O517" s="151"/>
      <c r="Q517" s="359"/>
      <c r="R517" s="149"/>
      <c r="S517" s="149"/>
      <c r="T517" s="149"/>
      <c r="U517" s="149"/>
      <c r="V517" s="149"/>
    </row>
    <row r="518" spans="4:22" ht="12.75" customHeight="1" thickBot="1" x14ac:dyDescent="0.3">
      <c r="D518" s="301" t="s">
        <v>957</v>
      </c>
      <c r="E518" s="301"/>
      <c r="F518" s="301"/>
      <c r="G518" s="359"/>
      <c r="H518" s="359"/>
      <c r="I518" s="510"/>
      <c r="J518" s="503"/>
      <c r="K518" s="1972">
        <f>SUM(K505:K517)</f>
        <v>0</v>
      </c>
      <c r="L518" s="1972">
        <f>SUM(L505:L517)</f>
        <v>0</v>
      </c>
      <c r="M518" s="1972">
        <f>SUM(M505:M517)</f>
        <v>0</v>
      </c>
      <c r="N518" s="1972">
        <f>SUM(N505:N517)</f>
        <v>0</v>
      </c>
      <c r="O518" s="1972">
        <f>SUM(O505:O517)</f>
        <v>0</v>
      </c>
    </row>
    <row r="519" spans="4:22" ht="12.75" customHeight="1" thickTop="1" x14ac:dyDescent="0.25">
      <c r="E519" s="301"/>
      <c r="F519" s="301"/>
      <c r="G519" s="359"/>
      <c r="H519" s="359"/>
      <c r="I519" s="510"/>
      <c r="J519" s="503"/>
      <c r="K519" s="503"/>
      <c r="L519" s="503"/>
      <c r="M519" s="503"/>
      <c r="N519" s="503"/>
      <c r="O519" s="503"/>
      <c r="P519" s="381" t="s">
        <v>4977</v>
      </c>
      <c r="Q519" s="381"/>
      <c r="R519" s="610">
        <f>SUM(R504:R518)</f>
        <v>0.90239150180151062</v>
      </c>
      <c r="S519" s="610">
        <f>SUM(S504:S518)</f>
        <v>0.85156403354574006</v>
      </c>
      <c r="T519" s="610">
        <f>SUM(T504:T518)</f>
        <v>0.84458481751641523</v>
      </c>
      <c r="U519" s="610">
        <f>SUM(U504:U518)</f>
        <v>0.8143961645826967</v>
      </c>
      <c r="V519" s="610">
        <f>SUM(V504:V518)</f>
        <v>0.81105184156784849</v>
      </c>
    </row>
    <row r="520" spans="4:22" ht="12.75" customHeight="1" x14ac:dyDescent="0.25">
      <c r="D520" s="301" t="s">
        <v>959</v>
      </c>
      <c r="E520" s="301"/>
      <c r="F520" s="301"/>
      <c r="G520" s="359"/>
      <c r="H520" s="359"/>
      <c r="I520" s="510"/>
      <c r="J520" s="503"/>
      <c r="K520" s="503">
        <f>K501</f>
        <v>225416</v>
      </c>
      <c r="L520" s="503">
        <f>L501</f>
        <v>230150</v>
      </c>
      <c r="M520" s="503">
        <f>M501</f>
        <v>235444</v>
      </c>
      <c r="N520" s="503">
        <f>N501</f>
        <v>240860</v>
      </c>
      <c r="O520" s="503">
        <f>O501</f>
        <v>246400</v>
      </c>
    </row>
    <row r="521" spans="4:22" ht="12.75" customHeight="1" x14ac:dyDescent="0.25">
      <c r="D521" s="301" t="s">
        <v>960</v>
      </c>
      <c r="E521" s="301"/>
      <c r="F521" s="301"/>
      <c r="G521" s="359"/>
      <c r="H521" s="359"/>
      <c r="I521" s="510"/>
      <c r="J521" s="503"/>
      <c r="K521" s="503">
        <f t="shared" ref="K521:M521" si="82">K518</f>
        <v>0</v>
      </c>
      <c r="L521" s="503">
        <f t="shared" si="82"/>
        <v>0</v>
      </c>
      <c r="M521" s="503">
        <f t="shared" si="82"/>
        <v>0</v>
      </c>
      <c r="N521" s="503">
        <f t="shared" ref="N521:O521" si="83">N518</f>
        <v>0</v>
      </c>
      <c r="O521" s="503">
        <f t="shared" si="83"/>
        <v>0</v>
      </c>
    </row>
    <row r="522" spans="4:22" ht="12.75" customHeight="1" x14ac:dyDescent="0.25">
      <c r="D522" s="301" t="s">
        <v>961</v>
      </c>
      <c r="E522" s="301"/>
      <c r="F522" s="301"/>
      <c r="G522" s="359"/>
      <c r="H522" s="359"/>
      <c r="I522" s="510"/>
      <c r="J522" s="503"/>
      <c r="K522" s="511">
        <f>K219</f>
        <v>-4010</v>
      </c>
      <c r="L522" s="511">
        <f>L219</f>
        <v>-4094</v>
      </c>
      <c r="M522" s="511">
        <f>M219</f>
        <v>-4188</v>
      </c>
      <c r="N522" s="511">
        <f>N219</f>
        <v>-4284</v>
      </c>
      <c r="O522" s="511">
        <f>O219</f>
        <v>-4383</v>
      </c>
    </row>
    <row r="523" spans="4:22" ht="12.75" customHeight="1" x14ac:dyDescent="0.25">
      <c r="E523" s="301"/>
      <c r="F523" s="301"/>
      <c r="G523" s="359"/>
      <c r="H523" s="359"/>
      <c r="I523" s="510"/>
      <c r="J523" s="503"/>
      <c r="K523" s="503"/>
      <c r="L523" s="503"/>
      <c r="M523" s="503"/>
      <c r="N523" s="503"/>
      <c r="O523" s="503"/>
    </row>
    <row r="524" spans="4:22" ht="12.75" customHeight="1" x14ac:dyDescent="0.25">
      <c r="D524" s="301" t="s">
        <v>962</v>
      </c>
      <c r="E524" s="301"/>
      <c r="F524" s="301"/>
      <c r="G524" s="359"/>
      <c r="H524" s="359"/>
      <c r="I524" s="510"/>
      <c r="J524" s="510"/>
      <c r="K524" s="510">
        <f>SUM(K520:K523)</f>
        <v>221406</v>
      </c>
      <c r="L524" s="510">
        <f>SUM(L520:L523)</f>
        <v>226056</v>
      </c>
      <c r="M524" s="510">
        <f>SUM(M520:M523)</f>
        <v>231256</v>
      </c>
      <c r="N524" s="510">
        <f>SUM(N520:N523)</f>
        <v>236576</v>
      </c>
      <c r="O524" s="510">
        <f>SUM(O520:O523)</f>
        <v>242017</v>
      </c>
    </row>
    <row r="525" spans="4:22" ht="12.75" customHeight="1" x14ac:dyDescent="0.25">
      <c r="D525" s="301" t="s">
        <v>963</v>
      </c>
      <c r="E525" s="301"/>
      <c r="F525" s="301"/>
      <c r="G525" s="359"/>
      <c r="H525" s="359"/>
      <c r="I525" s="512"/>
      <c r="J525" s="512"/>
      <c r="K525" s="512">
        <f t="shared" ref="K525:M525" si="84">IF((-K522/(K520+K521))&gt;0,-K522/(K520+K521),K522/(K520++K521))</f>
        <v>1.7789331724456115E-2</v>
      </c>
      <c r="L525" s="512">
        <f t="shared" si="84"/>
        <v>1.7788398870301977E-2</v>
      </c>
      <c r="M525" s="512">
        <f t="shared" si="84"/>
        <v>1.7787669254684765E-2</v>
      </c>
      <c r="N525" s="512">
        <f t="shared" ref="N525" si="85">IF((-N522/(N520+N521))&gt;0,-N522/(N520+N521),N522/(N520++N521))</f>
        <v>1.7786265880594537E-2</v>
      </c>
      <c r="O525" s="512">
        <f>IF((-O522/(O520+O521))&gt;0,-O522/(O520+O521),O522/(O520++O521))</f>
        <v>1.7788149350649349E-2</v>
      </c>
    </row>
    <row r="526" spans="4:22" ht="12.75" customHeight="1" x14ac:dyDescent="0.25">
      <c r="E526" s="301"/>
      <c r="F526" s="301"/>
      <c r="G526" s="359"/>
      <c r="H526" s="359"/>
      <c r="I526" s="359"/>
      <c r="J526" s="503"/>
      <c r="K526" s="503"/>
      <c r="L526" s="503"/>
      <c r="M526" s="503"/>
      <c r="N526" s="503"/>
      <c r="O526" s="503"/>
      <c r="R526" s="359"/>
      <c r="S526" s="359"/>
    </row>
    <row r="527" spans="4:22" ht="12.75" customHeight="1" x14ac:dyDescent="0.25">
      <c r="D527" s="502"/>
      <c r="E527" s="567"/>
      <c r="F527" s="567"/>
      <c r="G527" s="359"/>
      <c r="H527" s="359"/>
      <c r="I527" s="359"/>
      <c r="J527" s="510"/>
      <c r="K527" s="510"/>
      <c r="L527" s="510"/>
      <c r="M527" s="510"/>
      <c r="N527" s="510"/>
      <c r="O527" s="510"/>
      <c r="P527" s="488"/>
      <c r="Q527" s="488"/>
    </row>
    <row r="528" spans="4:22" ht="12.75" customHeight="1" x14ac:dyDescent="0.25">
      <c r="D528" s="502"/>
      <c r="E528" s="567"/>
      <c r="F528" s="567"/>
      <c r="G528" s="359"/>
      <c r="H528" s="359"/>
      <c r="I528" s="359"/>
      <c r="J528" s="510"/>
      <c r="K528" s="510"/>
      <c r="L528" s="510"/>
      <c r="M528" s="510"/>
      <c r="N528" s="510"/>
      <c r="O528" s="510"/>
      <c r="P528" s="488"/>
      <c r="Q528" s="488"/>
    </row>
    <row r="529" spans="4:17" ht="12.75" customHeight="1" x14ac:dyDescent="0.25">
      <c r="D529" s="502"/>
      <c r="E529" s="567"/>
      <c r="F529" s="567"/>
      <c r="G529" s="359"/>
      <c r="H529" s="359"/>
      <c r="I529" s="359"/>
      <c r="J529" s="510"/>
      <c r="K529" s="510"/>
      <c r="L529" s="510"/>
      <c r="M529" s="510"/>
      <c r="N529" s="510"/>
      <c r="O529" s="510"/>
      <c r="P529" s="488"/>
      <c r="Q529" s="488"/>
    </row>
    <row r="530" spans="4:17" ht="12.75" customHeight="1" x14ac:dyDescent="0.25">
      <c r="D530" s="502"/>
      <c r="E530" s="567"/>
      <c r="F530" s="567"/>
      <c r="G530" s="359"/>
      <c r="H530" s="359"/>
      <c r="I530" s="359"/>
      <c r="J530" s="510"/>
      <c r="K530" s="510"/>
      <c r="L530" s="510"/>
      <c r="M530" s="510"/>
      <c r="N530" s="510"/>
      <c r="O530" s="510"/>
      <c r="P530" s="488"/>
      <c r="Q530" s="488"/>
    </row>
    <row r="531" spans="4:17" ht="12.75" customHeight="1" x14ac:dyDescent="0.25">
      <c r="D531" s="502"/>
      <c r="E531" s="567"/>
      <c r="F531" s="567"/>
      <c r="G531" s="359"/>
      <c r="H531" s="359"/>
      <c r="I531" s="359"/>
      <c r="J531" s="510"/>
      <c r="K531" s="510"/>
      <c r="L531" s="510"/>
      <c r="M531" s="510"/>
      <c r="N531" s="510"/>
      <c r="O531" s="510"/>
      <c r="P531" s="488"/>
      <c r="Q531" s="488"/>
    </row>
    <row r="532" spans="4:17" ht="12.75" customHeight="1" x14ac:dyDescent="0.25">
      <c r="D532" s="504"/>
      <c r="E532" s="569"/>
      <c r="F532" s="569"/>
      <c r="G532" s="359"/>
      <c r="H532" s="359"/>
      <c r="I532" s="359"/>
      <c r="J532" s="510"/>
      <c r="K532" s="510"/>
      <c r="L532" s="510"/>
      <c r="M532" s="510"/>
      <c r="N532" s="510"/>
      <c r="O532" s="510"/>
      <c r="P532" s="488"/>
      <c r="Q532" s="488"/>
    </row>
    <row r="533" spans="4:17" ht="12.75" customHeight="1" x14ac:dyDescent="0.25">
      <c r="D533" s="502"/>
      <c r="E533" s="567"/>
      <c r="F533" s="567"/>
      <c r="G533" s="359"/>
      <c r="H533" s="359"/>
      <c r="I533" s="359"/>
      <c r="J533" s="510"/>
      <c r="K533" s="510"/>
      <c r="L533" s="510"/>
      <c r="M533" s="510"/>
      <c r="N533" s="510"/>
      <c r="O533" s="510"/>
      <c r="P533" s="488"/>
      <c r="Q533" s="488"/>
    </row>
    <row r="534" spans="4:17" ht="12.75" customHeight="1" x14ac:dyDescent="0.25">
      <c r="D534" s="396"/>
      <c r="E534" s="531"/>
      <c r="F534" s="531"/>
      <c r="G534" s="359"/>
      <c r="H534" s="359"/>
      <c r="I534" s="359"/>
      <c r="J534" s="510"/>
      <c r="K534" s="510"/>
      <c r="L534" s="510"/>
      <c r="M534" s="510"/>
      <c r="N534" s="510"/>
      <c r="O534" s="510"/>
      <c r="P534" s="488"/>
      <c r="Q534" s="488"/>
    </row>
    <row r="535" spans="4:17" ht="12.75" customHeight="1" x14ac:dyDescent="0.25">
      <c r="G535" s="301"/>
      <c r="H535" s="301"/>
      <c r="I535" s="301"/>
      <c r="J535" s="114"/>
      <c r="K535" s="114"/>
      <c r="L535" s="114"/>
      <c r="M535" s="114"/>
      <c r="N535" s="114"/>
      <c r="O535" s="114"/>
      <c r="P535" s="488"/>
      <c r="Q535" s="488"/>
    </row>
    <row r="536" spans="4:17" ht="12.75" customHeight="1" x14ac:dyDescent="0.25">
      <c r="G536" s="301"/>
      <c r="H536" s="301"/>
      <c r="I536" s="301"/>
      <c r="J536" s="114"/>
      <c r="K536" s="114"/>
      <c r="L536" s="114"/>
      <c r="M536" s="114"/>
      <c r="N536" s="114"/>
      <c r="O536" s="114"/>
      <c r="P536" s="488"/>
      <c r="Q536" s="488"/>
    </row>
    <row r="537" spans="4:17" ht="12.75" customHeight="1" x14ac:dyDescent="0.25">
      <c r="D537" s="396"/>
      <c r="E537" s="531"/>
      <c r="F537" s="531"/>
      <c r="G537" s="301"/>
      <c r="H537" s="301"/>
      <c r="I537" s="301"/>
      <c r="J537" s="114"/>
      <c r="K537" s="114"/>
      <c r="L537" s="114"/>
      <c r="M537" s="114"/>
      <c r="N537" s="114"/>
      <c r="O537" s="114"/>
      <c r="P537" s="488"/>
      <c r="Q537" s="488"/>
    </row>
    <row r="538" spans="4:17" ht="12.75" customHeight="1" x14ac:dyDescent="0.25">
      <c r="G538" s="359"/>
      <c r="H538" s="359"/>
      <c r="I538" s="359"/>
      <c r="J538" s="510"/>
      <c r="K538" s="510"/>
      <c r="L538" s="510"/>
      <c r="M538" s="510"/>
      <c r="N538" s="510"/>
      <c r="O538" s="510"/>
    </row>
    <row r="539" spans="4:17" ht="12.75" customHeight="1" x14ac:dyDescent="0.25">
      <c r="G539" s="359"/>
      <c r="H539" s="359"/>
      <c r="I539" s="359"/>
      <c r="J539" s="510"/>
      <c r="K539" s="510"/>
      <c r="L539" s="510"/>
      <c r="M539" s="510"/>
      <c r="N539" s="510"/>
      <c r="O539" s="510"/>
    </row>
    <row r="540" spans="4:17" ht="12.75" customHeight="1" x14ac:dyDescent="0.25">
      <c r="G540" s="359"/>
      <c r="H540" s="359"/>
      <c r="I540" s="359"/>
      <c r="J540" s="510"/>
      <c r="K540" s="510"/>
      <c r="L540" s="510"/>
      <c r="M540" s="510"/>
      <c r="N540" s="510"/>
      <c r="O540" s="510"/>
    </row>
    <row r="541" spans="4:17" ht="12.75" customHeight="1" x14ac:dyDescent="0.25">
      <c r="G541" s="359"/>
      <c r="H541" s="359"/>
      <c r="I541" s="359"/>
      <c r="J541" s="510"/>
      <c r="K541" s="510"/>
      <c r="L541" s="510"/>
      <c r="M541" s="510"/>
      <c r="N541" s="510"/>
      <c r="O541" s="510"/>
    </row>
    <row r="542" spans="4:17" ht="12.75" customHeight="1" x14ac:dyDescent="0.25">
      <c r="G542" s="359"/>
      <c r="H542" s="359"/>
      <c r="I542" s="359"/>
      <c r="J542" s="510"/>
      <c r="K542" s="510"/>
      <c r="L542" s="510"/>
      <c r="M542" s="510"/>
      <c r="N542" s="510"/>
      <c r="O542" s="510"/>
    </row>
    <row r="543" spans="4:17" ht="12.75" customHeight="1" x14ac:dyDescent="0.25">
      <c r="G543" s="359"/>
      <c r="H543" s="359"/>
      <c r="I543" s="359"/>
      <c r="J543" s="510"/>
      <c r="K543" s="510"/>
      <c r="L543" s="510"/>
      <c r="M543" s="510"/>
      <c r="N543" s="510"/>
      <c r="O543" s="510"/>
    </row>
    <row r="544" spans="4:17" ht="12.75" customHeight="1" x14ac:dyDescent="0.25">
      <c r="G544" s="359"/>
      <c r="H544" s="359"/>
      <c r="I544" s="359"/>
      <c r="J544" s="510"/>
      <c r="K544" s="510"/>
      <c r="L544" s="510"/>
      <c r="M544" s="510"/>
      <c r="N544" s="510"/>
      <c r="O544" s="510"/>
    </row>
    <row r="545" spans="4:15" ht="12.75" customHeight="1" x14ac:dyDescent="0.25">
      <c r="G545" s="359"/>
      <c r="H545" s="359"/>
      <c r="I545" s="359"/>
      <c r="J545" s="510"/>
      <c r="K545" s="510"/>
      <c r="L545" s="510"/>
      <c r="M545" s="510"/>
      <c r="N545" s="510"/>
      <c r="O545" s="510"/>
    </row>
    <row r="546" spans="4:15" ht="12.75" customHeight="1" x14ac:dyDescent="0.25">
      <c r="G546" s="359"/>
      <c r="H546" s="359"/>
      <c r="I546" s="359"/>
      <c r="J546" s="510"/>
      <c r="K546" s="510"/>
      <c r="L546" s="510"/>
      <c r="M546" s="510"/>
      <c r="N546" s="510"/>
      <c r="O546" s="510"/>
    </row>
    <row r="547" spans="4:15" ht="12.75" customHeight="1" x14ac:dyDescent="0.25">
      <c r="G547" s="359"/>
      <c r="H547" s="359"/>
      <c r="I547" s="359"/>
      <c r="J547" s="510"/>
      <c r="K547" s="510"/>
      <c r="L547" s="510"/>
      <c r="M547" s="510"/>
      <c r="N547" s="510"/>
      <c r="O547" s="510"/>
    </row>
    <row r="548" spans="4:15" ht="12.75" customHeight="1" x14ac:dyDescent="0.25">
      <c r="G548" s="359"/>
      <c r="H548" s="359"/>
      <c r="I548" s="359"/>
      <c r="J548" s="510"/>
      <c r="K548" s="510"/>
      <c r="L548" s="510"/>
      <c r="M548" s="510"/>
      <c r="N548" s="510"/>
      <c r="O548" s="510"/>
    </row>
    <row r="549" spans="4:15" ht="12.75" customHeight="1" x14ac:dyDescent="0.25">
      <c r="D549" s="502"/>
      <c r="E549" s="567"/>
      <c r="F549" s="567"/>
      <c r="G549" s="359"/>
      <c r="H549" s="359"/>
      <c r="I549" s="359"/>
      <c r="J549" s="510"/>
      <c r="K549" s="510"/>
      <c r="L549" s="510"/>
      <c r="M549" s="510"/>
      <c r="N549" s="510"/>
      <c r="O549" s="510"/>
    </row>
    <row r="550" spans="4:15" ht="12.75" customHeight="1" x14ac:dyDescent="0.25">
      <c r="G550" s="359"/>
      <c r="H550" s="359"/>
      <c r="I550" s="359"/>
      <c r="J550" s="510"/>
      <c r="K550" s="510"/>
      <c r="L550" s="510"/>
      <c r="M550" s="510"/>
      <c r="N550" s="510"/>
      <c r="O550" s="510"/>
    </row>
    <row r="551" spans="4:15" ht="12.75" customHeight="1" x14ac:dyDescent="0.25">
      <c r="G551" s="359"/>
      <c r="H551" s="359"/>
      <c r="I551" s="359"/>
      <c r="J551" s="510"/>
      <c r="K551" s="510"/>
      <c r="L551" s="510"/>
      <c r="M551" s="510"/>
      <c r="N551" s="510"/>
      <c r="O551" s="510"/>
    </row>
    <row r="552" spans="4:15" ht="12.75" customHeight="1" x14ac:dyDescent="0.25">
      <c r="G552" s="359"/>
      <c r="H552" s="359"/>
      <c r="I552" s="359"/>
      <c r="J552" s="510"/>
      <c r="K552" s="510"/>
      <c r="L552" s="510"/>
      <c r="M552" s="510"/>
      <c r="N552" s="510"/>
      <c r="O552" s="510"/>
    </row>
    <row r="553" spans="4:15" ht="12.75" customHeight="1" x14ac:dyDescent="0.25">
      <c r="D553" s="502"/>
      <c r="E553" s="567"/>
      <c r="F553" s="567"/>
      <c r="G553" s="359"/>
      <c r="H553" s="359"/>
      <c r="I553" s="359"/>
      <c r="J553" s="510"/>
      <c r="K553" s="510"/>
      <c r="L553" s="510"/>
      <c r="M553" s="510"/>
      <c r="N553" s="510"/>
      <c r="O553" s="510"/>
    </row>
    <row r="554" spans="4:15" ht="12.75" customHeight="1" x14ac:dyDescent="0.25">
      <c r="G554" s="359"/>
      <c r="H554" s="359"/>
      <c r="I554" s="359"/>
      <c r="J554" s="510"/>
      <c r="K554" s="510"/>
      <c r="L554" s="510"/>
      <c r="M554" s="510"/>
      <c r="N554" s="510"/>
      <c r="O554" s="510"/>
    </row>
    <row r="555" spans="4:15" ht="12.75" customHeight="1" x14ac:dyDescent="0.25">
      <c r="G555" s="359"/>
      <c r="H555" s="359"/>
      <c r="I555" s="359"/>
      <c r="J555" s="512"/>
      <c r="K555" s="512"/>
      <c r="L555" s="512"/>
      <c r="M555" s="512"/>
      <c r="N555" s="512"/>
      <c r="O555" s="512"/>
    </row>
    <row r="563" spans="10:15" ht="12.75" customHeight="1" x14ac:dyDescent="0.25">
      <c r="J563" s="114"/>
      <c r="K563" s="114"/>
      <c r="L563" s="114"/>
      <c r="M563" s="114"/>
      <c r="N563" s="114"/>
      <c r="O563" s="114"/>
    </row>
    <row r="564" spans="10:15" ht="12.75" customHeight="1" x14ac:dyDescent="0.25">
      <c r="J564" s="114"/>
      <c r="K564" s="114"/>
      <c r="L564" s="114"/>
      <c r="M564" s="114"/>
      <c r="N564" s="114"/>
      <c r="O564" s="114"/>
    </row>
  </sheetData>
  <mergeCells count="7">
    <mergeCell ref="E474:N476"/>
    <mergeCell ref="D91:D92"/>
    <mergeCell ref="F91:F92"/>
    <mergeCell ref="G91:H92"/>
    <mergeCell ref="E310:I315"/>
    <mergeCell ref="E439:L440"/>
    <mergeCell ref="E349:N352"/>
  </mergeCells>
  <phoneticPr fontId="52" type="noConversion"/>
  <hyperlinks>
    <hyperlink ref="A1" location="Inhoudsopgave!A1" display="Inhoudsopgave" xr:uid="{C360FBD4-8D46-402B-AD80-1F0BC8C4443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88" min="3" max="14" man="1"/>
    <brk id="249" min="3" max="14" man="1"/>
    <brk id="307" min="3" max="14" man="1"/>
    <brk id="395" min="3" max="14" man="1"/>
    <brk id="491" min="3" max="14" man="1"/>
    <brk id="558" min="3" max="13" man="1"/>
  </rowBreaks>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9DFE3-F2B8-472A-876A-C5B5E861740A}">
  <sheetPr codeName="Blad66"/>
  <dimension ref="A1:W142"/>
  <sheetViews>
    <sheetView showGridLines="0" view="pageBreakPreview" topLeftCell="A13" zoomScaleNormal="100" zoomScaleSheetLayoutView="100" workbookViewId="0"/>
  </sheetViews>
  <sheetFormatPr defaultColWidth="9.109375" defaultRowHeight="12.75" customHeight="1" x14ac:dyDescent="0.25"/>
  <cols>
    <col min="1" max="1" width="10.109375" style="336" bestFit="1" customWidth="1"/>
    <col min="2" max="3" width="14.44140625" style="115" customWidth="1"/>
    <col min="4" max="5" width="9.6640625" style="301" customWidth="1"/>
    <col min="6" max="6" width="9.6640625" style="143" customWidth="1"/>
    <col min="7" max="9" width="12.6640625" style="115" customWidth="1"/>
    <col min="10" max="15" width="11.6640625" style="115" customWidth="1"/>
    <col min="16" max="16" width="12.44140625" style="115" customWidth="1"/>
    <col min="17" max="20" width="11.5546875" style="115" customWidth="1"/>
    <col min="21" max="21" width="11.5546875" style="115" bestFit="1" customWidth="1"/>
    <col min="22" max="22" width="10.33203125" style="115" bestFit="1" customWidth="1"/>
    <col min="23" max="23" width="11.109375" style="115" bestFit="1" customWidth="1"/>
    <col min="24" max="16384" width="9.109375" style="115"/>
  </cols>
  <sheetData>
    <row r="1" spans="1:23" ht="12.75" customHeight="1" x14ac:dyDescent="0.3">
      <c r="A1" s="157" t="s">
        <v>0</v>
      </c>
      <c r="P1" s="515"/>
      <c r="Q1" s="451">
        <v>2024</v>
      </c>
      <c r="R1" s="451">
        <v>2025</v>
      </c>
      <c r="S1" s="451">
        <v>2026</v>
      </c>
      <c r="T1" s="451">
        <v>2027</v>
      </c>
      <c r="U1" s="451">
        <v>2028</v>
      </c>
      <c r="V1" s="451">
        <v>2029</v>
      </c>
      <c r="W1" s="451">
        <v>2030</v>
      </c>
    </row>
    <row r="2" spans="1:23" ht="12.75" customHeight="1" x14ac:dyDescent="0.3">
      <c r="D2" s="301" t="s">
        <v>504</v>
      </c>
      <c r="H2" s="115" t="s">
        <v>4851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301" t="s">
        <v>713</v>
      </c>
      <c r="H5" s="115" t="s">
        <v>4978</v>
      </c>
    </row>
    <row r="6" spans="1:23" ht="12.75" customHeight="1" x14ac:dyDescent="0.25">
      <c r="D6" s="301" t="s">
        <v>4852</v>
      </c>
      <c r="H6" s="115" t="s">
        <v>4979</v>
      </c>
    </row>
    <row r="21" spans="4:15" ht="12.75" customHeight="1" x14ac:dyDescent="0.25">
      <c r="D21" s="452" t="s">
        <v>507</v>
      </c>
      <c r="E21" s="438"/>
      <c r="F21" s="516"/>
      <c r="G21" s="453"/>
      <c r="H21" s="453"/>
      <c r="I21" s="453"/>
      <c r="J21" s="453"/>
      <c r="K21" s="453"/>
      <c r="L21" s="453"/>
      <c r="M21" s="453"/>
      <c r="N21" s="453"/>
      <c r="O21" s="453"/>
    </row>
    <row r="22" spans="4:15" ht="12.75" customHeight="1" x14ac:dyDescent="0.25">
      <c r="D22" s="438"/>
      <c r="E22" s="438"/>
      <c r="F22" s="516"/>
      <c r="G22" s="453"/>
      <c r="H22" s="453"/>
      <c r="I22" s="453"/>
      <c r="J22" s="453"/>
      <c r="K22" s="453"/>
      <c r="L22" s="453"/>
      <c r="M22" s="453"/>
      <c r="N22" s="453"/>
      <c r="O22" s="453"/>
    </row>
    <row r="23" spans="4:15" ht="12.75" customHeight="1" x14ac:dyDescent="0.25">
      <c r="D23" s="1973" t="s">
        <v>508</v>
      </c>
      <c r="E23" s="1974"/>
      <c r="F23" s="1997"/>
      <c r="G23" s="1975"/>
      <c r="H23" s="1975"/>
      <c r="I23" s="1975"/>
      <c r="J23" s="1976">
        <v>2025</v>
      </c>
      <c r="K23" s="1976">
        <v>2026</v>
      </c>
      <c r="L23" s="1976">
        <v>2027</v>
      </c>
      <c r="M23" s="1976">
        <v>2028</v>
      </c>
      <c r="N23" s="1976">
        <v>2029</v>
      </c>
      <c r="O23" s="1976">
        <v>2030</v>
      </c>
    </row>
    <row r="24" spans="4:15" ht="12.75" customHeight="1" x14ac:dyDescent="0.25">
      <c r="D24" s="454" t="str">
        <f>G51</f>
        <v>Algemene begraafplaats (titel 1)</v>
      </c>
      <c r="E24" s="455"/>
      <c r="F24" s="456"/>
      <c r="G24" s="453"/>
      <c r="H24" s="453"/>
      <c r="I24" s="453"/>
      <c r="J24" s="7">
        <v>2107</v>
      </c>
      <c r="K24" s="7">
        <f>K54</f>
        <v>7809</v>
      </c>
      <c r="L24" s="7">
        <f>L54</f>
        <v>8111</v>
      </c>
      <c r="M24" s="7">
        <f>M54</f>
        <v>8438</v>
      </c>
      <c r="N24" s="7">
        <f>N54</f>
        <v>8489</v>
      </c>
      <c r="O24" s="7">
        <f>O54</f>
        <v>8543</v>
      </c>
    </row>
    <row r="25" spans="4:15" ht="12.75" customHeight="1" x14ac:dyDescent="0.25">
      <c r="D25" s="454" t="str">
        <f>G56</f>
        <v>Directe toerekening begraafplaats (titel 1)</v>
      </c>
      <c r="E25" s="455"/>
      <c r="F25" s="456"/>
      <c r="G25" s="453"/>
      <c r="H25" s="453"/>
      <c r="I25" s="453"/>
      <c r="J25" s="7">
        <v>3624</v>
      </c>
      <c r="K25" s="7">
        <f>K60</f>
        <v>5012</v>
      </c>
      <c r="L25" s="7">
        <f>L60</f>
        <v>5136</v>
      </c>
      <c r="M25" s="7">
        <f>M60</f>
        <v>5249</v>
      </c>
      <c r="N25" s="7">
        <f>N60</f>
        <v>5367</v>
      </c>
      <c r="O25" s="7">
        <f>O60</f>
        <v>5489</v>
      </c>
    </row>
    <row r="26" spans="4:15" ht="12.75" customHeight="1" x14ac:dyDescent="0.25">
      <c r="D26" s="454"/>
      <c r="E26" s="455"/>
      <c r="F26" s="456"/>
      <c r="G26" s="453"/>
      <c r="H26" s="453"/>
      <c r="I26" s="453"/>
      <c r="J26" s="7"/>
      <c r="K26" s="7"/>
      <c r="L26" s="7"/>
      <c r="M26" s="7"/>
      <c r="N26" s="7"/>
      <c r="O26" s="7"/>
    </row>
    <row r="27" spans="4:15" ht="12.75" customHeight="1" x14ac:dyDescent="0.25">
      <c r="D27" s="454"/>
      <c r="E27" s="455"/>
      <c r="F27" s="456"/>
      <c r="G27" s="453"/>
      <c r="H27" s="453"/>
      <c r="I27" s="453"/>
      <c r="J27" s="7"/>
      <c r="K27" s="7"/>
      <c r="L27" s="7"/>
      <c r="M27" s="7"/>
      <c r="N27" s="7"/>
      <c r="O27" s="7"/>
    </row>
    <row r="28" spans="4:15" ht="12.75" customHeight="1" x14ac:dyDescent="0.25">
      <c r="D28" s="454"/>
      <c r="E28" s="455"/>
      <c r="F28" s="456"/>
      <c r="G28" s="453"/>
      <c r="H28" s="453"/>
      <c r="I28" s="453"/>
      <c r="J28" s="7"/>
      <c r="K28" s="7"/>
      <c r="L28" s="7"/>
      <c r="M28" s="7"/>
      <c r="N28" s="7"/>
      <c r="O28" s="7"/>
    </row>
    <row r="29" spans="4:15" ht="12.75" customHeight="1" x14ac:dyDescent="0.25">
      <c r="D29" s="454"/>
      <c r="E29" s="455"/>
      <c r="F29" s="456"/>
      <c r="G29" s="453"/>
      <c r="H29" s="453"/>
      <c r="I29" s="518"/>
      <c r="J29" s="10"/>
      <c r="K29" s="10"/>
      <c r="L29" s="10"/>
      <c r="M29" s="10"/>
      <c r="N29" s="10"/>
      <c r="O29" s="10"/>
    </row>
    <row r="30" spans="4:15" ht="12.75" customHeight="1" x14ac:dyDescent="0.25">
      <c r="D30" s="454"/>
      <c r="E30" s="455"/>
      <c r="F30" s="456"/>
      <c r="G30" s="453"/>
      <c r="H30" s="453"/>
      <c r="I30" s="518"/>
      <c r="J30" s="10"/>
      <c r="K30" s="10"/>
      <c r="L30" s="10"/>
      <c r="M30" s="10"/>
      <c r="N30" s="10"/>
      <c r="O30" s="10"/>
    </row>
    <row r="31" spans="4:15" ht="12.75" customHeight="1" x14ac:dyDescent="0.25">
      <c r="D31" s="454"/>
      <c r="E31" s="455"/>
      <c r="F31" s="456"/>
      <c r="G31" s="453"/>
      <c r="H31" s="453"/>
      <c r="I31" s="579"/>
      <c r="J31" s="8"/>
      <c r="K31" s="8"/>
      <c r="L31" s="8"/>
      <c r="M31" s="8"/>
      <c r="N31" s="8"/>
      <c r="O31" s="8"/>
    </row>
    <row r="32" spans="4:15" ht="12.75" customHeight="1" x14ac:dyDescent="0.25">
      <c r="D32" s="1978" t="s">
        <v>525</v>
      </c>
      <c r="E32" s="1979"/>
      <c r="F32" s="1980"/>
      <c r="G32" s="1981"/>
      <c r="H32" s="1981"/>
      <c r="I32" s="1981"/>
      <c r="J32" s="1998">
        <v>5731</v>
      </c>
      <c r="K32" s="1998">
        <f>SUM(K24:K31)</f>
        <v>12821</v>
      </c>
      <c r="L32" s="1998">
        <f>SUM(L24:L31)</f>
        <v>13247</v>
      </c>
      <c r="M32" s="1998">
        <f>SUM(M24:M31)</f>
        <v>13687</v>
      </c>
      <c r="N32" s="1998">
        <f>SUM(N24:N31)</f>
        <v>13856</v>
      </c>
      <c r="O32" s="1998">
        <f>SUM(O24:O31)</f>
        <v>14032</v>
      </c>
    </row>
    <row r="33" spans="1:22" ht="12.75" customHeight="1" x14ac:dyDescent="0.25">
      <c r="D33" s="438"/>
      <c r="E33" s="455"/>
      <c r="F33" s="456"/>
      <c r="G33" s="453"/>
      <c r="H33" s="453"/>
      <c r="I33" s="453"/>
      <c r="J33" s="453"/>
      <c r="K33" s="453"/>
      <c r="L33" s="453"/>
      <c r="M33" s="453"/>
      <c r="N33" s="453"/>
      <c r="O33" s="453"/>
    </row>
    <row r="34" spans="1:22" ht="12.75" customHeight="1" x14ac:dyDescent="0.25">
      <c r="D34" s="1973" t="s">
        <v>526</v>
      </c>
      <c r="E34" s="1974"/>
      <c r="F34" s="1997"/>
      <c r="G34" s="1975"/>
      <c r="H34" s="1975"/>
      <c r="I34" s="1975"/>
      <c r="J34" s="1976">
        <v>2025</v>
      </c>
      <c r="K34" s="1976">
        <v>2026</v>
      </c>
      <c r="L34" s="1976">
        <v>2027</v>
      </c>
      <c r="M34" s="1976">
        <v>2028</v>
      </c>
      <c r="N34" s="1976">
        <v>2029</v>
      </c>
      <c r="O34" s="1976">
        <v>2030</v>
      </c>
    </row>
    <row r="35" spans="1:22" ht="12.75" customHeight="1" x14ac:dyDescent="0.25">
      <c r="D35" s="454" t="str">
        <f>G62</f>
        <v>Algemene begraafplaats (titel 1)</v>
      </c>
      <c r="E35" s="455"/>
      <c r="F35" s="456"/>
      <c r="G35" s="453"/>
      <c r="H35" s="453"/>
      <c r="I35" s="453"/>
      <c r="J35" s="457">
        <v>-4067</v>
      </c>
      <c r="K35" s="457">
        <f>K65</f>
        <v>-4067</v>
      </c>
      <c r="L35" s="457">
        <f>L65</f>
        <v>-4067</v>
      </c>
      <c r="M35" s="457">
        <f>M65</f>
        <v>-4063</v>
      </c>
      <c r="N35" s="457">
        <f>N65</f>
        <v>-4063</v>
      </c>
      <c r="O35" s="457">
        <f>O65</f>
        <v>-4063</v>
      </c>
    </row>
    <row r="36" spans="1:22" ht="12.75" customHeight="1" x14ac:dyDescent="0.25">
      <c r="D36" s="454"/>
      <c r="E36" s="455"/>
      <c r="F36" s="456"/>
      <c r="G36" s="453"/>
      <c r="H36" s="453"/>
      <c r="I36" s="518"/>
      <c r="J36" s="457"/>
      <c r="K36" s="457"/>
      <c r="L36" s="457"/>
      <c r="M36" s="457"/>
      <c r="N36" s="457"/>
      <c r="O36" s="457"/>
    </row>
    <row r="37" spans="1:22" ht="12.75" customHeight="1" x14ac:dyDescent="0.25">
      <c r="D37" s="454"/>
      <c r="E37" s="455"/>
      <c r="F37" s="456"/>
      <c r="G37" s="453"/>
      <c r="H37" s="453"/>
      <c r="I37" s="518"/>
      <c r="J37" s="463"/>
      <c r="K37" s="463"/>
      <c r="L37" s="463"/>
      <c r="M37" s="463"/>
      <c r="N37" s="463"/>
      <c r="O37" s="463"/>
    </row>
    <row r="38" spans="1:22" ht="12.75" customHeight="1" x14ac:dyDescent="0.25">
      <c r="D38" s="454"/>
      <c r="E38" s="455"/>
      <c r="F38" s="456"/>
      <c r="G38" s="453"/>
      <c r="H38" s="453"/>
      <c r="I38" s="518"/>
      <c r="J38" s="463"/>
      <c r="K38" s="463"/>
      <c r="L38" s="463"/>
      <c r="M38" s="463"/>
      <c r="N38" s="463"/>
      <c r="O38" s="463"/>
    </row>
    <row r="39" spans="1:22" ht="12.75" customHeight="1" x14ac:dyDescent="0.25">
      <c r="D39" s="454"/>
      <c r="E39" s="455"/>
      <c r="F39" s="456"/>
      <c r="G39" s="453"/>
      <c r="H39" s="453"/>
      <c r="I39" s="518"/>
      <c r="J39" s="463"/>
      <c r="K39" s="463"/>
      <c r="L39" s="463"/>
      <c r="M39" s="463"/>
      <c r="N39" s="463"/>
      <c r="O39" s="463"/>
    </row>
    <row r="40" spans="1:22" ht="12.75" customHeight="1" x14ac:dyDescent="0.25">
      <c r="D40" s="454"/>
      <c r="E40" s="455"/>
      <c r="F40" s="456"/>
      <c r="G40" s="453"/>
      <c r="H40" s="453"/>
      <c r="I40" s="518"/>
      <c r="J40" s="463"/>
      <c r="K40" s="463"/>
      <c r="L40" s="463"/>
      <c r="M40" s="463"/>
      <c r="N40" s="463"/>
      <c r="O40" s="463"/>
    </row>
    <row r="41" spans="1:22" ht="12.75" customHeight="1" x14ac:dyDescent="0.25">
      <c r="D41" s="464"/>
      <c r="E41" s="465"/>
      <c r="F41" s="466"/>
      <c r="G41" s="467"/>
      <c r="H41" s="467"/>
      <c r="I41" s="579"/>
      <c r="J41" s="463"/>
      <c r="K41" s="463"/>
      <c r="L41" s="463"/>
      <c r="M41" s="463"/>
      <c r="N41" s="463"/>
      <c r="O41" s="463"/>
    </row>
    <row r="42" spans="1:22" ht="12.75" customHeight="1" x14ac:dyDescent="0.25">
      <c r="D42" s="1978" t="s">
        <v>328</v>
      </c>
      <c r="E42" s="1979"/>
      <c r="F42" s="1980"/>
      <c r="G42" s="1981"/>
      <c r="H42" s="1981"/>
      <c r="I42" s="1981"/>
      <c r="J42" s="1998">
        <v>-4067</v>
      </c>
      <c r="K42" s="1998">
        <f>SUM(K35:K41)</f>
        <v>-4067</v>
      </c>
      <c r="L42" s="1998">
        <f>SUM(L35:L41)</f>
        <v>-4067</v>
      </c>
      <c r="M42" s="1998">
        <f>SUM(M35:M41)</f>
        <v>-4063</v>
      </c>
      <c r="N42" s="1998">
        <f>SUM(N35:N41)</f>
        <v>-4063</v>
      </c>
      <c r="O42" s="1998">
        <f>SUM(O35:O41)</f>
        <v>-4063</v>
      </c>
    </row>
    <row r="43" spans="1:22" ht="12.75" customHeight="1" x14ac:dyDescent="0.25">
      <c r="D43" s="438"/>
      <c r="E43" s="455"/>
      <c r="F43" s="456"/>
      <c r="G43" s="453"/>
      <c r="H43" s="453"/>
      <c r="I43" s="453"/>
      <c r="J43" s="469"/>
      <c r="K43" s="469"/>
      <c r="L43" s="469"/>
      <c r="M43" s="469"/>
      <c r="N43" s="469"/>
      <c r="O43" s="469"/>
    </row>
    <row r="44" spans="1:22" ht="12.75" customHeight="1" x14ac:dyDescent="0.25">
      <c r="D44" s="1978" t="s">
        <v>976</v>
      </c>
      <c r="E44" s="1984"/>
      <c r="F44" s="1999"/>
      <c r="G44" s="1981"/>
      <c r="H44" s="1981"/>
      <c r="I44" s="1981"/>
      <c r="J44" s="1986">
        <v>1664</v>
      </c>
      <c r="K44" s="1986">
        <f>K32+K42</f>
        <v>8754</v>
      </c>
      <c r="L44" s="1986">
        <f>L32+L42</f>
        <v>9180</v>
      </c>
      <c r="M44" s="1986">
        <f>M32+M42</f>
        <v>9624</v>
      </c>
      <c r="N44" s="1986">
        <f>N32+N42</f>
        <v>9793</v>
      </c>
      <c r="O44" s="1986">
        <f>O32+O42</f>
        <v>9969</v>
      </c>
    </row>
    <row r="45" spans="1:22" ht="12.75" customHeight="1" x14ac:dyDescent="0.25">
      <c r="D45" s="438"/>
      <c r="E45" s="438"/>
      <c r="F45" s="516"/>
      <c r="G45" s="453"/>
      <c r="H45" s="453"/>
      <c r="I45" s="453"/>
      <c r="J45" s="469"/>
      <c r="K45" s="469"/>
      <c r="L45" s="469"/>
      <c r="M45" s="469"/>
      <c r="N45" s="469"/>
      <c r="O45" s="469"/>
    </row>
    <row r="46" spans="1:22" ht="12.75" customHeight="1" x14ac:dyDescent="0.25">
      <c r="D46" s="312" t="s">
        <v>528</v>
      </c>
      <c r="E46" s="312"/>
      <c r="F46" s="382"/>
    </row>
    <row r="48" spans="1:22" ht="12.75" customHeight="1" x14ac:dyDescent="0.25">
      <c r="A48" s="470"/>
      <c r="B48" s="453"/>
      <c r="C48" s="453"/>
      <c r="D48" s="2631" t="s">
        <v>531</v>
      </c>
      <c r="E48" s="1989" t="s">
        <v>530</v>
      </c>
      <c r="F48" s="2631" t="s">
        <v>531</v>
      </c>
      <c r="G48" s="2632" t="s">
        <v>206</v>
      </c>
      <c r="H48" s="2526"/>
      <c r="I48" s="471"/>
      <c r="J48" s="1991"/>
      <c r="K48" s="1992"/>
      <c r="L48" s="1992"/>
      <c r="M48" s="1992"/>
      <c r="N48" s="1992"/>
      <c r="O48" s="1992"/>
      <c r="P48" s="453"/>
      <c r="Q48" s="453"/>
      <c r="R48" s="453"/>
      <c r="S48" s="453"/>
      <c r="T48" s="453"/>
      <c r="U48" s="453"/>
      <c r="V48" s="453"/>
    </row>
    <row r="49" spans="1:22" ht="12.75" customHeight="1" x14ac:dyDescent="0.25">
      <c r="A49" s="470"/>
      <c r="B49" s="453"/>
      <c r="C49" s="453"/>
      <c r="D49" s="2553"/>
      <c r="E49" s="472" t="s">
        <v>532</v>
      </c>
      <c r="F49" s="2553"/>
      <c r="G49" s="2527"/>
      <c r="H49" s="2528"/>
      <c r="I49" s="473"/>
      <c r="J49" s="1992">
        <v>2025</v>
      </c>
      <c r="K49" s="1992">
        <v>2026</v>
      </c>
      <c r="L49" s="1992">
        <v>2027</v>
      </c>
      <c r="M49" s="1992">
        <v>2028</v>
      </c>
      <c r="N49" s="1992">
        <v>2028</v>
      </c>
      <c r="O49" s="1992">
        <v>2028</v>
      </c>
      <c r="P49" s="453"/>
      <c r="Q49" s="453"/>
      <c r="R49" s="453"/>
      <c r="S49" s="453"/>
      <c r="T49" s="453"/>
      <c r="U49" s="453"/>
      <c r="V49" s="453"/>
    </row>
    <row r="50" spans="1:22" ht="12.75" customHeight="1" x14ac:dyDescent="0.25">
      <c r="D50" s="352"/>
      <c r="E50" s="2000"/>
      <c r="F50" s="2000"/>
      <c r="G50" s="354"/>
      <c r="H50" s="355"/>
      <c r="I50" s="355"/>
      <c r="J50" s="335"/>
      <c r="K50" s="316"/>
      <c r="L50" s="316"/>
      <c r="M50" s="316"/>
      <c r="N50" s="316"/>
      <c r="O50" s="316"/>
    </row>
    <row r="51" spans="1:22" ht="12.75" customHeight="1" x14ac:dyDescent="0.25">
      <c r="D51" s="333">
        <v>650001</v>
      </c>
      <c r="E51" s="331"/>
      <c r="F51" s="331"/>
      <c r="G51" s="332" t="s">
        <v>4980</v>
      </c>
      <c r="J51" s="335"/>
      <c r="K51" s="335"/>
      <c r="L51" s="335"/>
      <c r="M51" s="335"/>
      <c r="N51" s="335"/>
      <c r="O51" s="335"/>
    </row>
    <row r="52" spans="1:22" ht="12.75" customHeight="1" x14ac:dyDescent="0.25">
      <c r="D52" s="333"/>
      <c r="E52" s="331"/>
      <c r="F52" s="331"/>
      <c r="G52" s="334" t="s">
        <v>533</v>
      </c>
      <c r="J52" s="335"/>
      <c r="K52" s="335"/>
      <c r="L52" s="335"/>
      <c r="M52" s="335"/>
      <c r="N52" s="335"/>
      <c r="O52" s="335"/>
    </row>
    <row r="53" spans="1:22" ht="12.75" customHeight="1" x14ac:dyDescent="0.25">
      <c r="A53" s="336">
        <f>D51</f>
        <v>650001</v>
      </c>
      <c r="B53" s="115" t="str">
        <f>G51</f>
        <v>Algemene begraafplaats (titel 1)</v>
      </c>
      <c r="D53" s="337">
        <v>43812</v>
      </c>
      <c r="E53" s="337"/>
      <c r="F53" s="337"/>
      <c r="G53" s="319" t="s">
        <v>535</v>
      </c>
      <c r="J53" s="317">
        <v>2107</v>
      </c>
      <c r="K53" s="318">
        <f t="shared" ref="K53:M53" si="0">K84</f>
        <v>7809</v>
      </c>
      <c r="L53" s="318">
        <f t="shared" si="0"/>
        <v>8111</v>
      </c>
      <c r="M53" s="318">
        <f t="shared" si="0"/>
        <v>8438</v>
      </c>
      <c r="N53" s="318">
        <f t="shared" ref="N53:O53" si="1">N84</f>
        <v>8489</v>
      </c>
      <c r="O53" s="318">
        <f t="shared" si="1"/>
        <v>8543</v>
      </c>
    </row>
    <row r="54" spans="1:22" ht="12.75" customHeight="1" thickBot="1" x14ac:dyDescent="0.3">
      <c r="D54" s="340"/>
      <c r="E54" s="340"/>
      <c r="F54" s="340"/>
      <c r="G54" s="319" t="s">
        <v>536</v>
      </c>
      <c r="J54" s="342">
        <v>2107</v>
      </c>
      <c r="K54" s="480">
        <f>SUM(K53:K53)</f>
        <v>7809</v>
      </c>
      <c r="L54" s="480">
        <f>SUM(L53:L53)</f>
        <v>8111</v>
      </c>
      <c r="M54" s="480">
        <f>SUM(M53:M53)</f>
        <v>8438</v>
      </c>
      <c r="N54" s="480">
        <f>SUM(N53:N53)</f>
        <v>8489</v>
      </c>
      <c r="O54" s="480">
        <f>SUM(O53:O53)</f>
        <v>8543</v>
      </c>
    </row>
    <row r="55" spans="1:22" ht="12.75" customHeight="1" thickTop="1" x14ac:dyDescent="0.25">
      <c r="D55" s="340"/>
      <c r="E55" s="340"/>
      <c r="F55" s="340"/>
      <c r="G55" s="319"/>
      <c r="J55" s="344"/>
      <c r="K55" s="344"/>
      <c r="L55" s="344"/>
      <c r="M55" s="344"/>
      <c r="N55" s="344"/>
      <c r="O55" s="344"/>
    </row>
    <row r="56" spans="1:22" ht="12.75" customHeight="1" x14ac:dyDescent="0.25">
      <c r="D56" s="333">
        <v>650901</v>
      </c>
      <c r="E56" s="331"/>
      <c r="F56" s="331"/>
      <c r="G56" s="332" t="s">
        <v>4981</v>
      </c>
      <c r="J56" s="317"/>
      <c r="K56" s="317"/>
      <c r="L56" s="317"/>
      <c r="M56" s="317"/>
      <c r="N56" s="317"/>
      <c r="O56" s="317"/>
    </row>
    <row r="57" spans="1:22" ht="12.75" customHeight="1" x14ac:dyDescent="0.25">
      <c r="D57" s="333"/>
      <c r="E57" s="331"/>
      <c r="F57" s="331"/>
      <c r="G57" s="334" t="s">
        <v>533</v>
      </c>
      <c r="J57" s="317"/>
      <c r="K57" s="317"/>
      <c r="L57" s="317"/>
      <c r="M57" s="317"/>
      <c r="N57" s="317"/>
      <c r="O57" s="317"/>
    </row>
    <row r="58" spans="1:22" ht="12.75" customHeight="1" x14ac:dyDescent="0.25">
      <c r="A58" s="336">
        <f>D56</f>
        <v>650901</v>
      </c>
      <c r="B58" s="115" t="str">
        <f>G56</f>
        <v>Directe toerekening begraafplaats (titel 1)</v>
      </c>
      <c r="D58" s="340">
        <v>41100</v>
      </c>
      <c r="E58" s="340"/>
      <c r="F58" s="340"/>
      <c r="G58" s="319" t="s">
        <v>700</v>
      </c>
      <c r="J58" s="317">
        <v>1555</v>
      </c>
      <c r="K58" s="317">
        <f t="shared" ref="K58:M58" si="2">K90</f>
        <v>2943</v>
      </c>
      <c r="L58" s="317">
        <f t="shared" si="2"/>
        <v>3067</v>
      </c>
      <c r="M58" s="317">
        <f t="shared" si="2"/>
        <v>3180</v>
      </c>
      <c r="N58" s="317">
        <f t="shared" ref="N58:O58" si="3">N90</f>
        <v>3298</v>
      </c>
      <c r="O58" s="317">
        <f t="shared" si="3"/>
        <v>3420</v>
      </c>
    </row>
    <row r="59" spans="1:22" ht="12.75" customHeight="1" x14ac:dyDescent="0.25">
      <c r="A59" s="336">
        <f>D56</f>
        <v>650901</v>
      </c>
      <c r="B59" s="115" t="str">
        <f>G56</f>
        <v>Directe toerekening begraafplaats (titel 1)</v>
      </c>
      <c r="D59" s="337">
        <v>47300</v>
      </c>
      <c r="E59" s="337"/>
      <c r="F59" s="337"/>
      <c r="G59" s="319" t="s">
        <v>1033</v>
      </c>
      <c r="J59" s="317">
        <v>2069</v>
      </c>
      <c r="K59" s="318">
        <v>2069</v>
      </c>
      <c r="L59" s="318">
        <v>2069</v>
      </c>
      <c r="M59" s="318">
        <v>2069</v>
      </c>
      <c r="N59" s="318">
        <v>2069</v>
      </c>
      <c r="O59" s="318">
        <v>2069</v>
      </c>
    </row>
    <row r="60" spans="1:22" ht="12.75" customHeight="1" thickBot="1" x14ac:dyDescent="0.3">
      <c r="D60" s="340"/>
      <c r="E60" s="340"/>
      <c r="F60" s="340"/>
      <c r="G60" s="319"/>
      <c r="J60" s="342">
        <v>3624</v>
      </c>
      <c r="K60" s="342">
        <f>SUM(K58:K59)</f>
        <v>5012</v>
      </c>
      <c r="L60" s="342">
        <f>SUM(L58:L59)</f>
        <v>5136</v>
      </c>
      <c r="M60" s="342">
        <f>SUM(M58:M59)</f>
        <v>5249</v>
      </c>
      <c r="N60" s="342">
        <f>SUM(N58:N59)</f>
        <v>5367</v>
      </c>
      <c r="O60" s="342">
        <f>SUM(O58:O59)</f>
        <v>5489</v>
      </c>
    </row>
    <row r="61" spans="1:22" ht="12.75" customHeight="1" thickTop="1" x14ac:dyDescent="0.25">
      <c r="D61" s="340"/>
      <c r="E61" s="384"/>
      <c r="F61" s="340"/>
      <c r="J61" s="317"/>
      <c r="K61" s="317"/>
      <c r="L61" s="317"/>
      <c r="M61" s="317"/>
      <c r="N61" s="317"/>
      <c r="O61" s="317"/>
    </row>
    <row r="62" spans="1:22" ht="12.75" customHeight="1" x14ac:dyDescent="0.25">
      <c r="D62" s="333">
        <v>650001</v>
      </c>
      <c r="E62" s="331"/>
      <c r="F62" s="331"/>
      <c r="G62" s="332" t="s">
        <v>4980</v>
      </c>
      <c r="J62" s="317"/>
      <c r="K62" s="317"/>
      <c r="L62" s="317"/>
      <c r="M62" s="317"/>
      <c r="N62" s="317"/>
      <c r="O62" s="317"/>
    </row>
    <row r="63" spans="1:22" ht="12.75" customHeight="1" x14ac:dyDescent="0.25">
      <c r="D63" s="340"/>
      <c r="E63" s="340"/>
      <c r="F63" s="340"/>
      <c r="G63" s="334" t="s">
        <v>554</v>
      </c>
      <c r="J63" s="317"/>
      <c r="K63" s="317"/>
      <c r="L63" s="317"/>
      <c r="M63" s="317"/>
      <c r="N63" s="317"/>
      <c r="O63" s="317"/>
    </row>
    <row r="64" spans="1:22" ht="12.75" customHeight="1" x14ac:dyDescent="0.25">
      <c r="A64" s="336">
        <f>D62</f>
        <v>650001</v>
      </c>
      <c r="B64" s="115" t="str">
        <f>G62</f>
        <v>Algemene begraafplaats (titel 1)</v>
      </c>
      <c r="D64" s="337">
        <v>83700</v>
      </c>
      <c r="E64" s="337"/>
      <c r="F64" s="337"/>
      <c r="G64" s="319" t="s">
        <v>737</v>
      </c>
      <c r="J64" s="142">
        <v>-4067</v>
      </c>
      <c r="K64" s="156">
        <f t="shared" ref="K64:M64" si="4">K106</f>
        <v>-4067</v>
      </c>
      <c r="L64" s="156">
        <f t="shared" si="4"/>
        <v>-4067</v>
      </c>
      <c r="M64" s="156">
        <f t="shared" si="4"/>
        <v>-4063</v>
      </c>
      <c r="N64" s="156">
        <f t="shared" ref="N64:O64" si="5">N106</f>
        <v>-4063</v>
      </c>
      <c r="O64" s="156">
        <f t="shared" si="5"/>
        <v>-4063</v>
      </c>
    </row>
    <row r="65" spans="4:21" ht="12.75" customHeight="1" thickBot="1" x14ac:dyDescent="0.3">
      <c r="D65" s="340"/>
      <c r="E65" s="340"/>
      <c r="F65" s="340"/>
      <c r="G65" s="319" t="s">
        <v>536</v>
      </c>
      <c r="J65" s="342">
        <v>-4067</v>
      </c>
      <c r="K65" s="342">
        <f>SUM(K63:K64)</f>
        <v>-4067</v>
      </c>
      <c r="L65" s="342">
        <f>SUM(L63:L64)</f>
        <v>-4067</v>
      </c>
      <c r="M65" s="342">
        <f>SUM(M63:M64)</f>
        <v>-4063</v>
      </c>
      <c r="N65" s="342">
        <f>SUM(N63:N64)</f>
        <v>-4063</v>
      </c>
      <c r="O65" s="342">
        <f>SUM(O63:O64)</f>
        <v>-4063</v>
      </c>
    </row>
    <row r="66" spans="4:21" ht="12.75" customHeight="1" thickTop="1" x14ac:dyDescent="0.25">
      <c r="D66" s="167"/>
      <c r="E66" s="167"/>
      <c r="F66" s="167"/>
      <c r="G66" s="168"/>
      <c r="H66" s="149"/>
      <c r="I66" s="149"/>
      <c r="J66" s="390"/>
      <c r="K66" s="390"/>
      <c r="L66" s="390"/>
      <c r="M66" s="390"/>
      <c r="N66" s="390"/>
      <c r="O66" s="390"/>
    </row>
    <row r="67" spans="4:21" ht="12.75" customHeight="1" x14ac:dyDescent="0.25">
      <c r="D67" s="384"/>
      <c r="E67" s="384"/>
      <c r="F67" s="384"/>
      <c r="J67" s="114"/>
      <c r="K67" s="114"/>
      <c r="L67" s="114"/>
      <c r="M67" s="114"/>
      <c r="N67" s="114"/>
      <c r="O67" s="114"/>
    </row>
    <row r="68" spans="4:21" ht="12.75" customHeight="1" x14ac:dyDescent="0.25">
      <c r="D68" s="384"/>
      <c r="E68" s="384"/>
      <c r="F68" s="384"/>
      <c r="J68" s="114"/>
      <c r="K68" s="114"/>
      <c r="L68" s="114"/>
      <c r="M68" s="114"/>
      <c r="N68" s="114"/>
      <c r="O68" s="114"/>
    </row>
    <row r="69" spans="4:21" ht="12.75" customHeight="1" x14ac:dyDescent="0.25">
      <c r="D69" s="312" t="s">
        <v>561</v>
      </c>
      <c r="G69" s="383"/>
      <c r="J69" s="114"/>
      <c r="K69" s="114"/>
      <c r="L69" s="114"/>
      <c r="M69" s="114"/>
      <c r="N69" s="114"/>
      <c r="O69" s="114"/>
      <c r="S69" s="115">
        <f>755600+1183000+35000+28100+2926400+5381000+4100</f>
        <v>10313200</v>
      </c>
      <c r="U69" s="115">
        <f>9219000+10313200</f>
        <v>19532200</v>
      </c>
    </row>
    <row r="70" spans="4:21" ht="12.75" customHeight="1" x14ac:dyDescent="0.25">
      <c r="D70" s="396"/>
      <c r="E70" s="396"/>
      <c r="F70" s="531"/>
      <c r="J70" s="486"/>
      <c r="K70" s="486"/>
      <c r="L70" s="486"/>
      <c r="M70" s="486"/>
      <c r="N70" s="486"/>
      <c r="O70" s="486"/>
    </row>
    <row r="71" spans="4:21" ht="12.75" customHeight="1" x14ac:dyDescent="0.25">
      <c r="D71" s="393">
        <v>650001</v>
      </c>
      <c r="E71" s="381" t="s">
        <v>4982</v>
      </c>
      <c r="F71" s="115"/>
      <c r="H71" s="114"/>
      <c r="I71" s="114"/>
      <c r="J71" s="114"/>
      <c r="K71" s="114"/>
      <c r="L71" s="114"/>
      <c r="M71" s="114"/>
      <c r="N71" s="114"/>
      <c r="O71" s="114"/>
      <c r="S71" s="115">
        <f>913200+899000+35900+28700+3028000+5679400+4100</f>
        <v>10588300</v>
      </c>
      <c r="U71" s="115">
        <f>10201500+10588300</f>
        <v>20789800</v>
      </c>
    </row>
    <row r="72" spans="4:21" ht="12.75" customHeight="1" x14ac:dyDescent="0.25">
      <c r="D72" s="384"/>
      <c r="E72" s="401" t="s">
        <v>4983</v>
      </c>
      <c r="F72" s="115"/>
      <c r="G72" s="405"/>
      <c r="H72" s="399"/>
      <c r="I72" s="399"/>
      <c r="J72" s="399"/>
      <c r="K72" s="399"/>
      <c r="L72" s="399"/>
      <c r="M72" s="399"/>
      <c r="N72" s="399"/>
      <c r="O72" s="399"/>
    </row>
    <row r="73" spans="4:21" ht="12.75" customHeight="1" x14ac:dyDescent="0.25">
      <c r="D73" s="384"/>
      <c r="E73" s="401"/>
      <c r="F73" s="115"/>
      <c r="G73" s="405"/>
      <c r="H73" s="399"/>
      <c r="I73" s="399"/>
      <c r="J73" s="399"/>
      <c r="K73" s="399"/>
      <c r="L73" s="399"/>
      <c r="M73" s="399"/>
      <c r="N73" s="399"/>
      <c r="O73" s="399"/>
    </row>
    <row r="74" spans="4:21" ht="12.75" customHeight="1" x14ac:dyDescent="0.25">
      <c r="D74" s="384"/>
      <c r="E74" s="115"/>
      <c r="F74" s="115"/>
      <c r="H74" s="399"/>
      <c r="I74" s="399"/>
      <c r="J74" s="422">
        <v>2025</v>
      </c>
      <c r="K74" s="422">
        <v>2026</v>
      </c>
      <c r="L74" s="422">
        <v>2027</v>
      </c>
      <c r="M74" s="422">
        <v>2028</v>
      </c>
      <c r="N74" s="422">
        <v>2028</v>
      </c>
      <c r="O74" s="422">
        <v>2028</v>
      </c>
    </row>
    <row r="75" spans="4:21" ht="12.75" customHeight="1" x14ac:dyDescent="0.25">
      <c r="D75" s="143">
        <v>43812</v>
      </c>
      <c r="E75" s="115" t="s">
        <v>3900</v>
      </c>
      <c r="F75" s="115"/>
      <c r="H75" s="399"/>
      <c r="I75" s="399"/>
    </row>
    <row r="76" spans="4:21" ht="12.75" customHeight="1" x14ac:dyDescent="0.25">
      <c r="D76" s="384"/>
      <c r="E76" s="308" t="s">
        <v>4984</v>
      </c>
      <c r="F76" s="115"/>
      <c r="H76" s="399"/>
      <c r="I76" s="399"/>
      <c r="J76" s="114">
        <v>181</v>
      </c>
      <c r="K76" s="114">
        <f t="shared" ref="K76:O77" si="6">ROUND(J76*S$2,0)</f>
        <v>186</v>
      </c>
      <c r="L76" s="114">
        <f t="shared" si="6"/>
        <v>190</v>
      </c>
      <c r="M76" s="114">
        <f t="shared" si="6"/>
        <v>194</v>
      </c>
      <c r="N76" s="114">
        <f t="shared" si="6"/>
        <v>198</v>
      </c>
      <c r="O76" s="114">
        <f t="shared" si="6"/>
        <v>203</v>
      </c>
    </row>
    <row r="77" spans="4:21" ht="12.75" customHeight="1" x14ac:dyDescent="0.25">
      <c r="D77" s="384"/>
      <c r="E77" s="308" t="s">
        <v>4985</v>
      </c>
      <c r="F77" s="115"/>
      <c r="H77" s="399"/>
      <c r="I77" s="399"/>
      <c r="J77" s="114">
        <v>547</v>
      </c>
      <c r="K77" s="114">
        <f t="shared" si="6"/>
        <v>561</v>
      </c>
      <c r="L77" s="114">
        <f t="shared" si="6"/>
        <v>573</v>
      </c>
      <c r="M77" s="114">
        <f t="shared" si="6"/>
        <v>586</v>
      </c>
      <c r="N77" s="114">
        <f t="shared" si="6"/>
        <v>599</v>
      </c>
      <c r="O77" s="114">
        <f t="shared" si="6"/>
        <v>613</v>
      </c>
      <c r="Q77" s="114"/>
      <c r="R77" s="114"/>
      <c r="S77" s="114"/>
      <c r="T77" s="114"/>
    </row>
    <row r="78" spans="4:21" ht="12.75" customHeight="1" x14ac:dyDescent="0.25">
      <c r="D78" s="384"/>
      <c r="E78" s="308" t="s">
        <v>4986</v>
      </c>
      <c r="F78" s="115"/>
      <c r="H78" s="399"/>
      <c r="I78" s="399"/>
      <c r="J78" s="114"/>
      <c r="K78" s="114"/>
      <c r="L78" s="114"/>
      <c r="M78" s="114"/>
      <c r="N78" s="114"/>
      <c r="O78" s="114"/>
    </row>
    <row r="79" spans="4:21" ht="12.75" customHeight="1" x14ac:dyDescent="0.25">
      <c r="D79" s="384"/>
      <c r="E79" s="115" t="s">
        <v>4987</v>
      </c>
      <c r="F79" s="115"/>
      <c r="H79" s="399"/>
      <c r="I79" s="399"/>
      <c r="J79" s="394" t="s">
        <v>1916</v>
      </c>
      <c r="K79" s="394" t="s">
        <v>1916</v>
      </c>
      <c r="L79" s="394" t="s">
        <v>1916</v>
      </c>
      <c r="M79" s="394" t="s">
        <v>1916</v>
      </c>
      <c r="N79" s="394" t="s">
        <v>1916</v>
      </c>
      <c r="O79" s="394" t="s">
        <v>1916</v>
      </c>
    </row>
    <row r="80" spans="4:21" ht="12.75" customHeight="1" x14ac:dyDescent="0.25">
      <c r="D80" s="384"/>
      <c r="E80" s="308" t="s">
        <v>4988</v>
      </c>
      <c r="F80" s="115"/>
      <c r="H80" s="399"/>
      <c r="I80" s="399"/>
      <c r="J80" s="114">
        <v>1379</v>
      </c>
      <c r="K80" s="114">
        <f>ROUND(J80*S$2,0)</f>
        <v>1415</v>
      </c>
      <c r="L80" s="114">
        <f>ROUND(K80*T$2,0)</f>
        <v>1445</v>
      </c>
      <c r="M80" s="114">
        <f>ROUND(L80*U$2,0)</f>
        <v>1478</v>
      </c>
      <c r="N80" s="114">
        <f>ROUND(M80*V$2,0)</f>
        <v>1512</v>
      </c>
      <c r="O80" s="114">
        <f>ROUND(N80*W$2,0)</f>
        <v>1547</v>
      </c>
    </row>
    <row r="81" spans="4:19" ht="12.75" customHeight="1" x14ac:dyDescent="0.25">
      <c r="D81" s="384"/>
      <c r="E81" s="308" t="s">
        <v>4989</v>
      </c>
      <c r="F81" s="115"/>
      <c r="H81" s="399"/>
      <c r="I81" s="399"/>
      <c r="J81" s="114"/>
      <c r="K81" s="114">
        <v>5647</v>
      </c>
      <c r="L81" s="114">
        <v>5903</v>
      </c>
      <c r="M81" s="114">
        <v>6180</v>
      </c>
      <c r="N81" s="114">
        <v>6180</v>
      </c>
      <c r="O81" s="544">
        <v>6180</v>
      </c>
      <c r="S81" s="115">
        <f>1012/1052*100%</f>
        <v>0.96197718631178708</v>
      </c>
    </row>
    <row r="82" spans="4:19" ht="12.75" customHeight="1" x14ac:dyDescent="0.25">
      <c r="D82" s="384"/>
      <c r="E82" s="308" t="s">
        <v>4990</v>
      </c>
      <c r="F82" s="115"/>
      <c r="H82" s="399"/>
      <c r="I82" s="399"/>
      <c r="J82" s="114"/>
      <c r="K82" s="114"/>
      <c r="L82" s="114"/>
      <c r="M82" s="114"/>
      <c r="N82" s="114"/>
      <c r="O82" s="114"/>
    </row>
    <row r="83" spans="4:19" ht="12.75" customHeight="1" x14ac:dyDescent="0.25">
      <c r="D83" s="384"/>
      <c r="E83" s="308"/>
      <c r="F83" s="115"/>
      <c r="H83" s="399"/>
      <c r="I83" s="399"/>
      <c r="J83" s="114"/>
      <c r="K83" s="114"/>
      <c r="L83" s="114"/>
      <c r="M83" s="114"/>
      <c r="N83" s="114"/>
      <c r="O83" s="114"/>
    </row>
    <row r="84" spans="4:19" ht="12.75" customHeight="1" thickBot="1" x14ac:dyDescent="0.3">
      <c r="D84" s="384"/>
      <c r="E84" s="115" t="str">
        <f>"Totaal "&amp;D75</f>
        <v>Totaal 43812</v>
      </c>
      <c r="F84" s="115"/>
      <c r="H84" s="399"/>
      <c r="I84" s="399"/>
      <c r="J84" s="1971">
        <v>2107</v>
      </c>
      <c r="K84" s="1971">
        <f t="shared" ref="K84:N84" si="7">SUM(K76:K81)</f>
        <v>7809</v>
      </c>
      <c r="L84" s="1971">
        <f t="shared" si="7"/>
        <v>8111</v>
      </c>
      <c r="M84" s="1971">
        <f t="shared" si="7"/>
        <v>8438</v>
      </c>
      <c r="N84" s="1971">
        <f t="shared" si="7"/>
        <v>8489</v>
      </c>
      <c r="O84" s="1971">
        <f t="shared" ref="O84" si="8">SUM(O76:O81)</f>
        <v>8543</v>
      </c>
      <c r="P84" s="114"/>
    </row>
    <row r="85" spans="4:19" ht="12.75" customHeight="1" thickTop="1" x14ac:dyDescent="0.25">
      <c r="D85" s="384"/>
      <c r="E85" s="115"/>
      <c r="F85" s="115"/>
      <c r="H85" s="399"/>
      <c r="I85" s="399"/>
      <c r="J85" s="114"/>
      <c r="K85" s="114"/>
      <c r="L85" s="114"/>
      <c r="M85" s="114"/>
      <c r="N85" s="114"/>
      <c r="O85" s="114"/>
      <c r="P85" s="114"/>
    </row>
    <row r="86" spans="4:19" ht="12.75" customHeight="1" x14ac:dyDescent="0.25">
      <c r="D86" s="393">
        <v>650901</v>
      </c>
      <c r="E86" s="381" t="s">
        <v>4981</v>
      </c>
      <c r="F86" s="115"/>
      <c r="H86" s="399"/>
      <c r="I86" s="399"/>
      <c r="J86" s="114"/>
      <c r="K86" s="114"/>
      <c r="L86" s="114"/>
      <c r="M86" s="114"/>
      <c r="N86" s="114"/>
      <c r="O86" s="114"/>
      <c r="P86" s="114"/>
    </row>
    <row r="87" spans="4:19" ht="12.75" customHeight="1" x14ac:dyDescent="0.25">
      <c r="D87" s="393"/>
      <c r="E87" s="383"/>
      <c r="F87" s="115"/>
      <c r="H87" s="399"/>
      <c r="I87" s="399"/>
      <c r="J87" s="114"/>
      <c r="K87" s="114"/>
      <c r="L87" s="114"/>
      <c r="M87" s="114"/>
      <c r="N87" s="114"/>
      <c r="O87" s="114"/>
      <c r="P87" s="114"/>
    </row>
    <row r="88" spans="4:19" ht="12.75" customHeight="1" x14ac:dyDescent="0.25">
      <c r="D88" s="384">
        <v>41100</v>
      </c>
      <c r="E88" s="115" t="s">
        <v>700</v>
      </c>
      <c r="F88" s="115"/>
      <c r="H88" s="399"/>
      <c r="I88" s="399"/>
      <c r="J88" s="114"/>
      <c r="K88" s="114"/>
      <c r="L88" s="114"/>
      <c r="M88" s="114"/>
      <c r="N88" s="114"/>
      <c r="O88" s="114"/>
      <c r="P88" s="114"/>
    </row>
    <row r="89" spans="4:19" ht="12.75" customHeight="1" x14ac:dyDescent="0.25">
      <c r="D89" s="384"/>
      <c r="E89" s="308" t="s">
        <v>3089</v>
      </c>
      <c r="F89" s="115"/>
      <c r="H89" s="399"/>
      <c r="I89" s="399"/>
      <c r="J89" s="114">
        <v>1555</v>
      </c>
      <c r="K89" s="114">
        <v>2943</v>
      </c>
      <c r="L89" s="114">
        <f>ROUND(K89*T$3,0)</f>
        <v>3067</v>
      </c>
      <c r="M89" s="114">
        <f>ROUND(L89*U$3,0)</f>
        <v>3180</v>
      </c>
      <c r="N89" s="114">
        <f>ROUND(M89*V$3,0)</f>
        <v>3298</v>
      </c>
      <c r="O89" s="114">
        <f>ROUND(N89*W$3,0)</f>
        <v>3420</v>
      </c>
      <c r="P89" s="114"/>
    </row>
    <row r="90" spans="4:19" ht="12.75" customHeight="1" thickBot="1" x14ac:dyDescent="0.3">
      <c r="D90" s="384"/>
      <c r="E90" s="115" t="str">
        <f>"Totaal "&amp;D88</f>
        <v>Totaal 41100</v>
      </c>
      <c r="F90" s="115"/>
      <c r="H90" s="399"/>
      <c r="I90" s="399"/>
      <c r="J90" s="1971">
        <v>1555</v>
      </c>
      <c r="K90" s="1971">
        <f>SUM(K87:K89)</f>
        <v>2943</v>
      </c>
      <c r="L90" s="1971">
        <f>SUM(L87:L89)</f>
        <v>3067</v>
      </c>
      <c r="M90" s="1971">
        <f>SUM(M87:M89)</f>
        <v>3180</v>
      </c>
      <c r="N90" s="1971">
        <f>SUM(N87:N89)</f>
        <v>3298</v>
      </c>
      <c r="O90" s="1971">
        <f>SUM(O87:O89)</f>
        <v>3420</v>
      </c>
      <c r="P90" s="114"/>
    </row>
    <row r="91" spans="4:19" ht="12.75" customHeight="1" thickTop="1" x14ac:dyDescent="0.25">
      <c r="D91" s="384"/>
      <c r="E91" s="115"/>
      <c r="F91" s="115"/>
      <c r="H91" s="114"/>
      <c r="I91" s="114"/>
      <c r="J91" s="114"/>
      <c r="K91" s="114"/>
      <c r="L91" s="114"/>
      <c r="M91" s="114"/>
      <c r="N91" s="114"/>
      <c r="O91" s="114"/>
      <c r="P91" s="114"/>
    </row>
    <row r="92" spans="4:19" ht="12.75" customHeight="1" x14ac:dyDescent="0.25">
      <c r="D92" s="393">
        <v>650001</v>
      </c>
      <c r="E92" s="381" t="s">
        <v>4991</v>
      </c>
      <c r="F92" s="115"/>
      <c r="H92" s="114"/>
      <c r="I92" s="114"/>
      <c r="J92" s="114"/>
      <c r="K92" s="114"/>
      <c r="L92" s="114"/>
      <c r="M92" s="114"/>
      <c r="N92" s="114"/>
      <c r="O92" s="114"/>
    </row>
    <row r="93" spans="4:19" ht="12.75" customHeight="1" x14ac:dyDescent="0.25">
      <c r="D93" s="393"/>
      <c r="E93" s="381"/>
      <c r="F93" s="115"/>
      <c r="H93" s="114"/>
      <c r="I93" s="114"/>
      <c r="J93" s="114"/>
      <c r="K93" s="114"/>
      <c r="L93" s="114"/>
      <c r="M93" s="114"/>
      <c r="N93" s="114"/>
      <c r="O93" s="114"/>
    </row>
    <row r="94" spans="4:19" ht="12.75" customHeight="1" x14ac:dyDescent="0.25">
      <c r="D94" s="393"/>
      <c r="E94" s="2510" t="s">
        <v>4992</v>
      </c>
      <c r="F94" s="2510"/>
      <c r="G94" s="2510"/>
      <c r="H94" s="2510"/>
      <c r="I94" s="2510"/>
      <c r="J94" s="2510"/>
      <c r="K94" s="2510"/>
      <c r="L94" s="399"/>
      <c r="M94" s="399"/>
      <c r="N94" s="399"/>
      <c r="O94" s="399"/>
    </row>
    <row r="95" spans="4:19" ht="12.75" customHeight="1" x14ac:dyDescent="0.25">
      <c r="D95" s="393"/>
      <c r="E95" s="2510"/>
      <c r="F95" s="2510"/>
      <c r="G95" s="2510"/>
      <c r="H95" s="2510"/>
      <c r="I95" s="2510"/>
      <c r="J95" s="2510"/>
      <c r="K95" s="2510"/>
      <c r="L95" s="399"/>
      <c r="M95" s="399"/>
      <c r="N95" s="399"/>
      <c r="O95" s="399"/>
    </row>
    <row r="96" spans="4:19" ht="12.75" customHeight="1" x14ac:dyDescent="0.25">
      <c r="D96" s="393"/>
      <c r="E96" s="2510"/>
      <c r="F96" s="2510"/>
      <c r="G96" s="2510"/>
      <c r="H96" s="2510"/>
      <c r="I96" s="2510"/>
      <c r="J96" s="2510"/>
      <c r="K96" s="2510"/>
      <c r="L96" s="399"/>
      <c r="M96" s="399"/>
      <c r="N96" s="399"/>
      <c r="O96" s="399"/>
    </row>
    <row r="97" spans="1:20" ht="12.75" customHeight="1" x14ac:dyDescent="0.25">
      <c r="D97" s="393"/>
      <c r="E97" s="2510"/>
      <c r="F97" s="2510"/>
      <c r="G97" s="2510"/>
      <c r="H97" s="2510"/>
      <c r="I97" s="2510"/>
      <c r="J97" s="2510"/>
      <c r="K97" s="2510"/>
      <c r="L97" s="114"/>
      <c r="M97" s="114"/>
      <c r="N97" s="114"/>
      <c r="O97" s="114"/>
    </row>
    <row r="98" spans="1:20" ht="12.75" customHeight="1" x14ac:dyDescent="0.25">
      <c r="D98" s="393"/>
      <c r="E98" s="298"/>
      <c r="F98" s="298"/>
      <c r="G98" s="298"/>
      <c r="H98" s="298"/>
      <c r="I98" s="298"/>
      <c r="J98" s="114"/>
      <c r="K98" s="114"/>
      <c r="L98" s="114"/>
      <c r="M98" s="114"/>
      <c r="N98" s="114"/>
      <c r="O98" s="114"/>
    </row>
    <row r="99" spans="1:20" ht="12.75" customHeight="1" x14ac:dyDescent="0.25">
      <c r="D99" s="143">
        <v>83700</v>
      </c>
      <c r="E99" s="115" t="s">
        <v>737</v>
      </c>
      <c r="F99" s="115"/>
      <c r="H99" s="114"/>
      <c r="I99" s="114"/>
      <c r="J99" s="422">
        <v>2025</v>
      </c>
      <c r="K99" s="422">
        <v>2026</v>
      </c>
      <c r="L99" s="422">
        <v>2027</v>
      </c>
      <c r="M99" s="422">
        <v>2028</v>
      </c>
      <c r="N99" s="422">
        <v>2028</v>
      </c>
      <c r="O99" s="422">
        <v>2028</v>
      </c>
    </row>
    <row r="100" spans="1:20" ht="12.75" customHeight="1" x14ac:dyDescent="0.25">
      <c r="D100" s="143"/>
      <c r="E100" s="115"/>
      <c r="F100" s="115"/>
      <c r="H100" s="114"/>
      <c r="I100" s="114"/>
      <c r="J100" s="396"/>
      <c r="K100" s="396"/>
      <c r="L100" s="396"/>
      <c r="M100" s="396"/>
      <c r="N100" s="396"/>
      <c r="O100" s="396"/>
    </row>
    <row r="101" spans="1:20" ht="12.75" customHeight="1" x14ac:dyDescent="0.25">
      <c r="D101" s="143"/>
      <c r="E101" s="423" t="s">
        <v>4993</v>
      </c>
      <c r="F101" s="115"/>
      <c r="H101" s="114"/>
      <c r="I101" s="114"/>
      <c r="J101" s="114"/>
      <c r="K101" s="114"/>
      <c r="L101" s="114"/>
      <c r="M101" s="114"/>
      <c r="N101" s="114"/>
      <c r="O101" s="114"/>
    </row>
    <row r="102" spans="1:20" ht="12.75" customHeight="1" x14ac:dyDescent="0.25">
      <c r="D102" s="336"/>
      <c r="E102" s="308" t="s">
        <v>4994</v>
      </c>
      <c r="F102" s="115"/>
      <c r="H102" s="114"/>
      <c r="I102" s="114"/>
      <c r="J102" s="114">
        <v>-270</v>
      </c>
      <c r="K102" s="114">
        <v>-270</v>
      </c>
      <c r="L102" s="114">
        <v>-270</v>
      </c>
      <c r="M102" s="114">
        <v>-269</v>
      </c>
      <c r="N102" s="114">
        <v>-269</v>
      </c>
      <c r="O102" s="544">
        <v>-269</v>
      </c>
      <c r="P102" s="115" t="s">
        <v>4995</v>
      </c>
    </row>
    <row r="103" spans="1:20" ht="12.75" customHeight="1" x14ac:dyDescent="0.25">
      <c r="D103" s="336"/>
      <c r="E103" s="308" t="s">
        <v>4996</v>
      </c>
      <c r="F103" s="115"/>
      <c r="H103" s="114"/>
      <c r="I103" s="114"/>
      <c r="J103" s="114">
        <v>-2775</v>
      </c>
      <c r="K103" s="114">
        <v>-2775</v>
      </c>
      <c r="L103" s="114">
        <v>-2775</v>
      </c>
      <c r="M103" s="114">
        <v>-2774</v>
      </c>
      <c r="N103" s="114">
        <v>-2774</v>
      </c>
      <c r="O103" s="544">
        <v>-2774</v>
      </c>
      <c r="P103" s="115" t="s">
        <v>4997</v>
      </c>
    </row>
    <row r="104" spans="1:20" ht="12.75" customHeight="1" x14ac:dyDescent="0.25">
      <c r="D104" s="336"/>
      <c r="E104" s="308" t="s">
        <v>4998</v>
      </c>
      <c r="F104" s="115"/>
      <c r="H104" s="114"/>
      <c r="I104" s="114"/>
      <c r="J104" s="114">
        <v>-930</v>
      </c>
      <c r="K104" s="114">
        <v>-930</v>
      </c>
      <c r="L104" s="114">
        <v>-930</v>
      </c>
      <c r="M104" s="114">
        <v>-929</v>
      </c>
      <c r="N104" s="114">
        <v>-929</v>
      </c>
      <c r="O104" s="544">
        <v>-929</v>
      </c>
      <c r="P104" s="115" t="s">
        <v>4999</v>
      </c>
    </row>
    <row r="105" spans="1:20" ht="12.75" customHeight="1" x14ac:dyDescent="0.25">
      <c r="D105" s="336"/>
      <c r="E105" s="308" t="s">
        <v>5000</v>
      </c>
      <c r="F105" s="115"/>
      <c r="H105" s="114"/>
      <c r="I105" s="114"/>
      <c r="J105" s="114">
        <v>-92</v>
      </c>
      <c r="K105" s="114">
        <v>-92</v>
      </c>
      <c r="L105" s="114">
        <v>-92</v>
      </c>
      <c r="M105" s="114">
        <v>-91</v>
      </c>
      <c r="N105" s="114">
        <v>-91</v>
      </c>
      <c r="O105" s="544">
        <v>-91</v>
      </c>
      <c r="P105" s="115" t="s">
        <v>5001</v>
      </c>
    </row>
    <row r="106" spans="1:20" ht="12.75" customHeight="1" thickBot="1" x14ac:dyDescent="0.3">
      <c r="D106" s="393"/>
      <c r="E106" s="115" t="s">
        <v>5002</v>
      </c>
      <c r="F106" s="115"/>
      <c r="H106" s="114"/>
      <c r="I106" s="114"/>
      <c r="J106" s="1971">
        <v>-4067</v>
      </c>
      <c r="K106" s="1971">
        <f>SUM(K102:K105)</f>
        <v>-4067</v>
      </c>
      <c r="L106" s="1971">
        <f>SUM(L102:L105)</f>
        <v>-4067</v>
      </c>
      <c r="M106" s="1971">
        <f>SUM(M102:M105)</f>
        <v>-4063</v>
      </c>
      <c r="N106" s="1971">
        <f>SUM(N102:N105)</f>
        <v>-4063</v>
      </c>
      <c r="O106" s="1971">
        <f>SUM(O102:O105)</f>
        <v>-4063</v>
      </c>
      <c r="P106" s="115" t="s">
        <v>5003</v>
      </c>
    </row>
    <row r="107" spans="1:20" s="359" customFormat="1" ht="12.75" customHeight="1" thickTop="1" x14ac:dyDescent="0.25">
      <c r="A107" s="499"/>
      <c r="D107" s="393"/>
      <c r="E107" s="382"/>
      <c r="F107" s="381"/>
      <c r="G107" s="115"/>
      <c r="H107" s="114"/>
      <c r="I107" s="114"/>
      <c r="J107" s="114"/>
      <c r="K107" s="114"/>
      <c r="L107" s="114"/>
      <c r="M107" s="114"/>
      <c r="N107" s="114"/>
      <c r="O107" s="114"/>
      <c r="P107" s="115"/>
      <c r="Q107" s="115"/>
      <c r="R107" s="115"/>
      <c r="S107" s="115"/>
      <c r="T107" s="115"/>
    </row>
    <row r="108" spans="1:20" s="359" customFormat="1" ht="12.75" customHeight="1" x14ac:dyDescent="0.25">
      <c r="A108" s="499"/>
      <c r="D108" s="500" t="s">
        <v>5004</v>
      </c>
      <c r="E108" s="500"/>
      <c r="F108" s="500"/>
      <c r="J108" s="501">
        <v>2025</v>
      </c>
      <c r="K108" s="501">
        <v>2026</v>
      </c>
      <c r="L108" s="501">
        <v>2027</v>
      </c>
      <c r="M108" s="501">
        <v>2028</v>
      </c>
      <c r="N108" s="501">
        <v>2028</v>
      </c>
      <c r="O108" s="501">
        <v>2028</v>
      </c>
      <c r="P108" s="115"/>
      <c r="Q108" s="115"/>
      <c r="R108" s="115"/>
      <c r="S108" s="115"/>
      <c r="T108" s="115"/>
    </row>
    <row r="109" spans="1:20" s="359" customFormat="1" ht="12.75" customHeight="1" x14ac:dyDescent="0.25">
      <c r="A109" s="499"/>
      <c r="D109" s="502"/>
      <c r="E109" s="502"/>
      <c r="F109" s="502"/>
      <c r="J109" s="503"/>
      <c r="K109" s="503"/>
      <c r="L109" s="503"/>
      <c r="M109" s="503"/>
      <c r="N109" s="503"/>
      <c r="O109" s="503"/>
      <c r="P109" s="115"/>
      <c r="Q109" s="115"/>
      <c r="R109" s="115"/>
      <c r="S109" s="572"/>
    </row>
    <row r="110" spans="1:20" s="359" customFormat="1" ht="12.75" customHeight="1" x14ac:dyDescent="0.25">
      <c r="A110" s="499"/>
      <c r="D110" s="504" t="s">
        <v>935</v>
      </c>
      <c r="E110" s="504"/>
      <c r="F110" s="504"/>
      <c r="J110" s="503"/>
      <c r="K110" s="503"/>
      <c r="L110" s="503"/>
      <c r="M110" s="503"/>
      <c r="N110" s="503"/>
      <c r="O110" s="503"/>
      <c r="P110" s="115"/>
      <c r="Q110" s="115"/>
      <c r="R110" s="115"/>
    </row>
    <row r="111" spans="1:20" s="359" customFormat="1" ht="12.75" customHeight="1" x14ac:dyDescent="0.25">
      <c r="A111" s="499"/>
      <c r="D111" s="502" t="s">
        <v>936</v>
      </c>
      <c r="E111" s="502"/>
      <c r="F111" s="502"/>
      <c r="J111" s="503">
        <v>1555</v>
      </c>
      <c r="K111" s="503">
        <f t="shared" ref="K111:M112" si="9">K58</f>
        <v>2943</v>
      </c>
      <c r="L111" s="503">
        <f t="shared" si="9"/>
        <v>3067</v>
      </c>
      <c r="M111" s="503">
        <f t="shared" si="9"/>
        <v>3180</v>
      </c>
      <c r="N111" s="503">
        <f t="shared" ref="N111:O111" si="10">N58</f>
        <v>3298</v>
      </c>
      <c r="O111" s="503">
        <f t="shared" si="10"/>
        <v>3420</v>
      </c>
      <c r="P111" s="115"/>
      <c r="Q111" s="115"/>
      <c r="R111" s="115"/>
    </row>
    <row r="112" spans="1:20" s="359" customFormat="1" ht="12.75" customHeight="1" x14ac:dyDescent="0.25">
      <c r="A112" s="499"/>
      <c r="D112" s="502" t="s">
        <v>965</v>
      </c>
      <c r="E112" s="502"/>
      <c r="F112" s="502"/>
      <c r="J112" s="503">
        <v>2069</v>
      </c>
      <c r="K112" s="503">
        <f t="shared" si="9"/>
        <v>2069</v>
      </c>
      <c r="L112" s="503">
        <f t="shared" si="9"/>
        <v>2069</v>
      </c>
      <c r="M112" s="503">
        <f t="shared" si="9"/>
        <v>2069</v>
      </c>
      <c r="N112" s="503">
        <f t="shared" ref="N112:O112" si="11">N59</f>
        <v>2069</v>
      </c>
      <c r="O112" s="503">
        <f t="shared" si="11"/>
        <v>2069</v>
      </c>
      <c r="P112" s="115"/>
      <c r="Q112" s="115"/>
      <c r="R112" s="115"/>
    </row>
    <row r="113" spans="1:23" s="359" customFormat="1" ht="12.75" customHeight="1" x14ac:dyDescent="0.25">
      <c r="A113" s="499"/>
      <c r="D113" s="115" t="s">
        <v>937</v>
      </c>
      <c r="E113" s="115"/>
      <c r="F113" s="114"/>
      <c r="G113" s="114"/>
      <c r="H113" s="114"/>
      <c r="I113" s="114"/>
      <c r="J113" s="503">
        <v>2107</v>
      </c>
      <c r="K113" s="503">
        <f>K53</f>
        <v>7809</v>
      </c>
      <c r="L113" s="503">
        <f>L53</f>
        <v>8111</v>
      </c>
      <c r="M113" s="503">
        <f>M53</f>
        <v>8438</v>
      </c>
      <c r="N113" s="503">
        <f>N53</f>
        <v>8489</v>
      </c>
      <c r="O113" s="503">
        <f>O53</f>
        <v>8543</v>
      </c>
      <c r="P113" s="115"/>
      <c r="Q113" s="115"/>
      <c r="R113" s="115"/>
    </row>
    <row r="114" spans="1:23" s="359" customFormat="1" ht="12.75" customHeight="1" thickBot="1" x14ac:dyDescent="0.3">
      <c r="A114" s="499"/>
      <c r="D114" s="502" t="s">
        <v>938</v>
      </c>
      <c r="E114" s="502"/>
      <c r="F114" s="502"/>
      <c r="J114" s="1972">
        <v>5731</v>
      </c>
      <c r="K114" s="1972">
        <f>SUM(K111:K113)</f>
        <v>12821</v>
      </c>
      <c r="L114" s="1972">
        <f>SUM(L111:L113)</f>
        <v>13247</v>
      </c>
      <c r="M114" s="1972">
        <f>SUM(M111:M113)</f>
        <v>13687</v>
      </c>
      <c r="N114" s="1972">
        <f>SUM(N111:N113)</f>
        <v>13856</v>
      </c>
      <c r="O114" s="1972">
        <f>SUM(O111:O113)</f>
        <v>14032</v>
      </c>
      <c r="P114" s="115"/>
      <c r="Q114" s="115"/>
    </row>
    <row r="115" spans="1:23" s="359" customFormat="1" ht="12.75" customHeight="1" thickTop="1" x14ac:dyDescent="0.25">
      <c r="A115" s="499"/>
      <c r="D115" s="502"/>
      <c r="E115" s="502"/>
      <c r="F115" s="502"/>
      <c r="J115" s="503"/>
      <c r="K115" s="503"/>
      <c r="L115" s="503"/>
      <c r="M115" s="503"/>
      <c r="N115" s="503"/>
      <c r="O115" s="503"/>
      <c r="P115" s="115"/>
      <c r="Q115" s="115"/>
    </row>
    <row r="116" spans="1:23" s="359" customFormat="1" ht="12.75" customHeight="1" x14ac:dyDescent="0.25">
      <c r="A116" s="499"/>
      <c r="D116" s="301"/>
      <c r="E116" s="301"/>
      <c r="F116" s="301"/>
      <c r="G116" s="301"/>
      <c r="H116" s="301"/>
      <c r="I116" s="301"/>
      <c r="J116" s="151"/>
      <c r="K116" s="151"/>
      <c r="L116" s="151"/>
      <c r="M116" s="151"/>
      <c r="N116" s="151"/>
      <c r="O116" s="151"/>
      <c r="P116" s="115"/>
      <c r="Q116" s="115"/>
      <c r="R116" s="115"/>
    </row>
    <row r="117" spans="1:23" s="359" customFormat="1" ht="12.75" customHeight="1" x14ac:dyDescent="0.25">
      <c r="A117" s="499"/>
      <c r="D117" s="505" t="s">
        <v>939</v>
      </c>
      <c r="E117" s="396"/>
      <c r="F117" s="396"/>
      <c r="G117" s="301"/>
      <c r="H117" s="301"/>
      <c r="I117" s="301"/>
      <c r="J117" s="151"/>
      <c r="K117" s="151"/>
      <c r="L117" s="151"/>
      <c r="M117" s="151"/>
      <c r="N117" s="151"/>
      <c r="O117" s="151"/>
      <c r="R117" s="571" t="s">
        <v>940</v>
      </c>
      <c r="S117" s="571" t="s">
        <v>941</v>
      </c>
      <c r="T117" s="571" t="s">
        <v>942</v>
      </c>
      <c r="U117" s="571" t="s">
        <v>943</v>
      </c>
      <c r="V117" s="571" t="s">
        <v>944</v>
      </c>
      <c r="W117" s="2097" t="s">
        <v>5284</v>
      </c>
    </row>
    <row r="118" spans="1:23" s="359" customFormat="1" ht="12.75" customHeight="1" x14ac:dyDescent="0.3">
      <c r="A118" s="499"/>
      <c r="D118" s="507" t="s">
        <v>945</v>
      </c>
      <c r="E118" s="115"/>
      <c r="F118" s="115"/>
      <c r="G118" s="115"/>
      <c r="H118" s="115"/>
      <c r="I118" s="508"/>
      <c r="J118" s="508"/>
      <c r="K118" s="508"/>
      <c r="L118" s="151"/>
      <c r="M118" s="151"/>
      <c r="N118" s="151"/>
      <c r="O118" s="151"/>
      <c r="P118" s="115"/>
      <c r="Q118" s="115"/>
      <c r="R118" s="115"/>
      <c r="S118" s="115"/>
      <c r="T118" s="115"/>
      <c r="U118" s="115"/>
      <c r="V118" s="115"/>
      <c r="W118" s="358"/>
    </row>
    <row r="119" spans="1:23" s="359" customFormat="1" ht="12.75" customHeight="1" x14ac:dyDescent="0.3">
      <c r="A119" s="499"/>
      <c r="D119" s="507"/>
      <c r="E119" s="115"/>
      <c r="F119" s="115"/>
      <c r="G119" s="115"/>
      <c r="H119" s="115"/>
      <c r="I119" s="508"/>
      <c r="J119" s="508"/>
      <c r="K119" s="508"/>
      <c r="L119" s="151"/>
      <c r="M119" s="151"/>
      <c r="N119" s="151"/>
      <c r="O119" s="151"/>
      <c r="P119" s="115"/>
      <c r="Q119" s="115"/>
      <c r="R119" s="115"/>
      <c r="S119" s="115"/>
      <c r="T119" s="115"/>
      <c r="U119" s="115"/>
      <c r="V119" s="115"/>
      <c r="W119" s="358"/>
    </row>
    <row r="120" spans="1:23" s="359" customFormat="1" ht="12.75" customHeight="1" x14ac:dyDescent="0.3">
      <c r="A120" s="499"/>
      <c r="D120" s="115" t="s">
        <v>946</v>
      </c>
      <c r="E120" s="115"/>
      <c r="F120" s="115"/>
      <c r="G120" s="115"/>
      <c r="H120" s="115"/>
      <c r="J120" s="151">
        <v>155.54451899222903</v>
      </c>
      <c r="K120" s="151">
        <f t="shared" ref="K120:K127" si="12">$K$111*S120</f>
        <v>265.28206452762475</v>
      </c>
      <c r="L120" s="151">
        <f t="shared" ref="L120:L127" si="13">$L$111*T120</f>
        <v>288.65392917877762</v>
      </c>
      <c r="M120" s="151">
        <f t="shared" ref="M120:M127" si="14">$M$111*U120</f>
        <v>315.74858565467639</v>
      </c>
      <c r="N120" s="151">
        <f t="shared" ref="N120:O127" si="15">$N$111*V120</f>
        <v>344.27186894893146</v>
      </c>
      <c r="O120" s="547">
        <f t="shared" si="15"/>
        <v>344.27186894893146</v>
      </c>
      <c r="P120" s="115"/>
      <c r="R120" s="508">
        <v>0.10002862957699615</v>
      </c>
      <c r="S120" s="509">
        <v>9.0140015130011811E-2</v>
      </c>
      <c r="T120" s="509">
        <v>9.4116051248378754E-2</v>
      </c>
      <c r="U120" s="509">
        <v>9.9292008067508306E-2</v>
      </c>
      <c r="V120" s="509">
        <v>0.10438807427196223</v>
      </c>
      <c r="W120" s="2083">
        <v>0.10438807427196223</v>
      </c>
    </row>
    <row r="121" spans="1:23" s="359" customFormat="1" ht="12.75" customHeight="1" x14ac:dyDescent="0.3">
      <c r="A121" s="499"/>
      <c r="D121" s="115" t="s">
        <v>947</v>
      </c>
      <c r="E121" s="115"/>
      <c r="F121" s="115"/>
      <c r="G121" s="115"/>
      <c r="H121" s="115"/>
      <c r="J121" s="151">
        <v>3.6241855040417588</v>
      </c>
      <c r="K121" s="151">
        <f t="shared" si="12"/>
        <v>6.4392004961569924</v>
      </c>
      <c r="L121" s="151">
        <f t="shared" si="13"/>
        <v>6.6887283524559962</v>
      </c>
      <c r="M121" s="151">
        <f t="shared" si="14"/>
        <v>6.9127665989541622</v>
      </c>
      <c r="N121" s="151">
        <f t="shared" si="15"/>
        <v>7.146029355798742</v>
      </c>
      <c r="O121" s="547">
        <f t="shared" si="15"/>
        <v>7.146029355798742</v>
      </c>
      <c r="P121" s="115"/>
      <c r="R121" s="508">
        <v>2.3306659189979155E-3</v>
      </c>
      <c r="S121" s="509">
        <v>2.1879716262850806E-3</v>
      </c>
      <c r="T121" s="509">
        <v>2.1808700203638722E-3</v>
      </c>
      <c r="U121" s="509">
        <v>2.1738259745138874E-3</v>
      </c>
      <c r="V121" s="509">
        <v>2.1667766391142334E-3</v>
      </c>
      <c r="W121" s="2083">
        <v>2.1667766391142334E-3</v>
      </c>
    </row>
    <row r="122" spans="1:23" s="359" customFormat="1" ht="12.75" customHeight="1" x14ac:dyDescent="0.3">
      <c r="A122" s="499"/>
      <c r="D122" s="115" t="s">
        <v>948</v>
      </c>
      <c r="E122" s="115"/>
      <c r="F122" s="115"/>
      <c r="G122" s="115"/>
      <c r="H122" s="115"/>
      <c r="J122" s="151">
        <v>297.55989197892626</v>
      </c>
      <c r="K122" s="151">
        <f t="shared" si="12"/>
        <v>514.69145681069358</v>
      </c>
      <c r="L122" s="151">
        <f t="shared" si="13"/>
        <v>534.84348148104391</v>
      </c>
      <c r="M122" s="151">
        <f t="shared" si="14"/>
        <v>552.96319815687934</v>
      </c>
      <c r="N122" s="151">
        <f t="shared" si="15"/>
        <v>571.84182352226026</v>
      </c>
      <c r="O122" s="547">
        <f t="shared" si="15"/>
        <v>571.84182352226026</v>
      </c>
      <c r="P122" s="115"/>
      <c r="R122" s="508">
        <v>0.19135684371635128</v>
      </c>
      <c r="S122" s="509">
        <v>0.17488666558297436</v>
      </c>
      <c r="T122" s="509">
        <v>0.17438652803424973</v>
      </c>
      <c r="U122" s="509">
        <v>0.17388779816254066</v>
      </c>
      <c r="V122" s="509">
        <v>0.17339048621050948</v>
      </c>
      <c r="W122" s="2083">
        <v>0.17339048621050948</v>
      </c>
    </row>
    <row r="123" spans="1:23" s="359" customFormat="1" ht="12.75" customHeight="1" x14ac:dyDescent="0.3">
      <c r="A123" s="499"/>
      <c r="D123" s="115" t="s">
        <v>949</v>
      </c>
      <c r="E123" s="115"/>
      <c r="F123" s="115"/>
      <c r="G123" s="115"/>
      <c r="H123" s="115"/>
      <c r="J123" s="151">
        <v>394.66922319214666</v>
      </c>
      <c r="K123" s="151">
        <f t="shared" si="12"/>
        <v>668.04922799999997</v>
      </c>
      <c r="L123" s="151">
        <f t="shared" si="13"/>
        <v>681.30031299999996</v>
      </c>
      <c r="M123" s="151">
        <f t="shared" si="14"/>
        <v>701.60975999999994</v>
      </c>
      <c r="N123" s="151">
        <f t="shared" si="15"/>
        <v>722.68744200000003</v>
      </c>
      <c r="O123" s="547">
        <f t="shared" si="15"/>
        <v>722.68744200000003</v>
      </c>
      <c r="P123" s="115"/>
      <c r="R123" s="508">
        <v>0.2538065744000943</v>
      </c>
      <c r="S123" s="509">
        <v>0.226996</v>
      </c>
      <c r="T123" s="509">
        <v>0.22213899999999998</v>
      </c>
      <c r="U123" s="509">
        <v>0.22063199999999999</v>
      </c>
      <c r="V123" s="509">
        <v>0.21912900000000002</v>
      </c>
      <c r="W123" s="2083">
        <v>0.21912900000000002</v>
      </c>
    </row>
    <row r="124" spans="1:23" s="359" customFormat="1" ht="12.75" customHeight="1" x14ac:dyDescent="0.3">
      <c r="A124" s="499"/>
      <c r="D124" s="308" t="s">
        <v>950</v>
      </c>
      <c r="E124" s="115"/>
      <c r="F124" s="115"/>
      <c r="G124" s="115"/>
      <c r="H124" s="115"/>
      <c r="J124" s="151">
        <v>54.638070816086213</v>
      </c>
      <c r="K124" s="151">
        <f t="shared" si="12"/>
        <v>90.924031446465747</v>
      </c>
      <c r="L124" s="151">
        <f t="shared" si="13"/>
        <v>94.36060328909555</v>
      </c>
      <c r="M124" s="151">
        <f t="shared" si="14"/>
        <v>97.432341682657238</v>
      </c>
      <c r="N124" s="151">
        <f t="shared" si="15"/>
        <v>100.63261905777448</v>
      </c>
      <c r="O124" s="547">
        <f t="shared" si="15"/>
        <v>100.63261905777448</v>
      </c>
      <c r="P124" s="115"/>
      <c r="R124" s="508">
        <v>3.513702303285287E-2</v>
      </c>
      <c r="S124" s="509">
        <v>3.0895015782013507E-2</v>
      </c>
      <c r="T124" s="509">
        <v>3.0766417766252215E-2</v>
      </c>
      <c r="U124" s="509">
        <v>3.0639101158068314E-2</v>
      </c>
      <c r="V124" s="509">
        <v>3.051322591199954E-2</v>
      </c>
      <c r="W124" s="2083">
        <v>3.051322591199954E-2</v>
      </c>
    </row>
    <row r="125" spans="1:23" s="359" customFormat="1" ht="12.75" customHeight="1" x14ac:dyDescent="0.3">
      <c r="A125" s="499"/>
      <c r="D125" s="308" t="s">
        <v>951</v>
      </c>
      <c r="E125" s="115"/>
      <c r="F125" s="115"/>
      <c r="G125" s="115"/>
      <c r="H125" s="115"/>
      <c r="J125" s="151">
        <v>0</v>
      </c>
      <c r="K125" s="151">
        <f t="shared" si="12"/>
        <v>0</v>
      </c>
      <c r="L125" s="151">
        <f t="shared" si="13"/>
        <v>0</v>
      </c>
      <c r="M125" s="151">
        <f t="shared" si="14"/>
        <v>0</v>
      </c>
      <c r="N125" s="151">
        <f t="shared" si="15"/>
        <v>0</v>
      </c>
      <c r="O125" s="547">
        <f t="shared" si="15"/>
        <v>0</v>
      </c>
      <c r="P125" s="115"/>
      <c r="R125" s="508">
        <v>0</v>
      </c>
      <c r="S125" s="509">
        <v>0</v>
      </c>
      <c r="T125" s="509">
        <v>0</v>
      </c>
      <c r="U125" s="509">
        <v>0</v>
      </c>
      <c r="V125" s="509">
        <v>0</v>
      </c>
      <c r="W125" s="2083">
        <v>0</v>
      </c>
    </row>
    <row r="126" spans="1:23" s="359" customFormat="1" ht="12.75" customHeight="1" x14ac:dyDescent="0.3">
      <c r="A126" s="499"/>
      <c r="D126" s="308" t="s">
        <v>952</v>
      </c>
      <c r="E126" s="115"/>
      <c r="F126" s="115"/>
      <c r="G126" s="115"/>
      <c r="H126" s="115"/>
      <c r="J126" s="151">
        <v>174.4922550001296</v>
      </c>
      <c r="K126" s="151">
        <f t="shared" si="12"/>
        <v>370.8383292974134</v>
      </c>
      <c r="L126" s="151">
        <f t="shared" si="13"/>
        <v>342.40151933395168</v>
      </c>
      <c r="M126" s="151">
        <f t="shared" si="14"/>
        <v>355.01699289280117</v>
      </c>
      <c r="N126" s="151">
        <f t="shared" si="15"/>
        <v>368.19093232004002</v>
      </c>
      <c r="O126" s="547">
        <f t="shared" si="15"/>
        <v>368.19093232004002</v>
      </c>
      <c r="P126" s="115"/>
      <c r="R126" s="508">
        <v>0.11221366881037274</v>
      </c>
      <c r="S126" s="509">
        <v>0.12600690767835998</v>
      </c>
      <c r="T126" s="509">
        <v>0.11164053450732041</v>
      </c>
      <c r="U126" s="509">
        <v>0.11164056380276767</v>
      </c>
      <c r="V126" s="509">
        <v>0.11164067080656155</v>
      </c>
      <c r="W126" s="2083">
        <v>0.11164067080656155</v>
      </c>
    </row>
    <row r="127" spans="1:23" ht="12.75" customHeight="1" x14ac:dyDescent="0.3">
      <c r="D127" s="308" t="s">
        <v>953</v>
      </c>
      <c r="E127" s="115"/>
      <c r="F127" s="115"/>
      <c r="I127" s="359"/>
      <c r="J127" s="151">
        <v>0</v>
      </c>
      <c r="K127" s="151">
        <f t="shared" si="12"/>
        <v>0</v>
      </c>
      <c r="L127" s="151">
        <f t="shared" si="13"/>
        <v>0</v>
      </c>
      <c r="M127" s="151">
        <f t="shared" si="14"/>
        <v>0</v>
      </c>
      <c r="N127" s="151">
        <f t="shared" si="15"/>
        <v>0</v>
      </c>
      <c r="O127" s="547">
        <f t="shared" si="15"/>
        <v>0</v>
      </c>
      <c r="Q127" s="359"/>
      <c r="R127" s="508">
        <v>0</v>
      </c>
      <c r="S127" s="509">
        <v>0</v>
      </c>
      <c r="T127" s="509">
        <v>0</v>
      </c>
      <c r="U127" s="509">
        <v>0</v>
      </c>
      <c r="V127" s="509">
        <v>0</v>
      </c>
      <c r="W127" s="2083">
        <v>0</v>
      </c>
    </row>
    <row r="128" spans="1:23" ht="12.75" customHeight="1" x14ac:dyDescent="0.25">
      <c r="D128" s="115"/>
      <c r="E128" s="115"/>
      <c r="F128" s="115"/>
      <c r="I128" s="359"/>
      <c r="J128" s="359"/>
      <c r="K128" s="151"/>
      <c r="L128" s="151"/>
      <c r="M128" s="151"/>
      <c r="N128" s="151"/>
      <c r="O128" s="547"/>
      <c r="Q128" s="359"/>
      <c r="R128" s="508"/>
      <c r="S128" s="508"/>
      <c r="T128" s="508"/>
      <c r="U128" s="508"/>
      <c r="V128" s="508"/>
      <c r="W128" s="2090"/>
    </row>
    <row r="129" spans="4:23" ht="12.75" customHeight="1" x14ac:dyDescent="0.3">
      <c r="D129" s="507" t="s">
        <v>954</v>
      </c>
      <c r="E129" s="115"/>
      <c r="F129" s="115"/>
      <c r="I129" s="359"/>
      <c r="J129" s="359"/>
      <c r="K129" s="151"/>
      <c r="L129" s="151"/>
      <c r="M129" s="151"/>
      <c r="N129" s="151"/>
      <c r="O129" s="547"/>
      <c r="Q129" s="359"/>
      <c r="R129" s="508"/>
      <c r="S129" s="508"/>
      <c r="T129" s="508"/>
      <c r="U129" s="508"/>
      <c r="V129" s="508"/>
      <c r="W129" s="2090"/>
    </row>
    <row r="130" spans="4:23" ht="12.75" customHeight="1" x14ac:dyDescent="0.25">
      <c r="D130" s="115"/>
      <c r="E130" s="115"/>
      <c r="F130" s="115"/>
      <c r="I130" s="359"/>
      <c r="J130" s="359"/>
      <c r="K130" s="151"/>
      <c r="L130" s="151"/>
      <c r="M130" s="151"/>
      <c r="N130" s="151"/>
      <c r="O130" s="547"/>
      <c r="Q130" s="359"/>
      <c r="R130" s="508"/>
      <c r="S130" s="508"/>
      <c r="T130" s="508"/>
      <c r="U130" s="508"/>
      <c r="V130" s="508"/>
      <c r="W130" s="2090"/>
    </row>
    <row r="131" spans="4:23" ht="12.75" customHeight="1" x14ac:dyDescent="0.3">
      <c r="D131" s="115" t="s">
        <v>955</v>
      </c>
      <c r="E131" s="115"/>
      <c r="F131" s="115"/>
      <c r="I131" s="359"/>
      <c r="J131" s="151">
        <v>63.531796304488374</v>
      </c>
      <c r="K131" s="151">
        <f>$K$111*S131</f>
        <v>94.951356146758769</v>
      </c>
      <c r="L131" s="151">
        <f>$L$111*T131</f>
        <v>145.92606868752091</v>
      </c>
      <c r="M131" s="151">
        <f>$M$111*U131</f>
        <v>145.03301838700713</v>
      </c>
      <c r="N131" s="151">
        <f>$N$111*V131</f>
        <v>145.73402828595928</v>
      </c>
      <c r="O131" s="547">
        <f>$N$111*W131</f>
        <v>145.73402828595928</v>
      </c>
      <c r="Q131" s="359"/>
      <c r="R131" s="508">
        <v>4.085646064597323E-2</v>
      </c>
      <c r="S131" s="509">
        <v>3.2263457746095403E-2</v>
      </c>
      <c r="T131" s="509">
        <v>4.7579415939850316E-2</v>
      </c>
      <c r="U131" s="509">
        <v>4.5607867417297838E-2</v>
      </c>
      <c r="V131" s="509">
        <v>4.4188607727701418E-2</v>
      </c>
      <c r="W131" s="2083">
        <v>4.4188607727701418E-2</v>
      </c>
    </row>
    <row r="132" spans="4:23" ht="12.75" customHeight="1" x14ac:dyDescent="0.3">
      <c r="D132" s="115" t="s">
        <v>956</v>
      </c>
      <c r="E132" s="115"/>
      <c r="F132" s="115"/>
      <c r="I132" s="359"/>
      <c r="J132" s="151">
        <v>259.15884351330118</v>
      </c>
      <c r="K132" s="151">
        <f>$K$111*S132</f>
        <v>494.977284</v>
      </c>
      <c r="L132" s="151">
        <f>$L$111*T132</f>
        <v>496.16699200000011</v>
      </c>
      <c r="M132" s="151">
        <f>$M$111*U132</f>
        <v>415.06313999999998</v>
      </c>
      <c r="N132" s="151">
        <f>$N$111*V132</f>
        <v>414.34422999999998</v>
      </c>
      <c r="O132" s="547">
        <f>$N$111*W132</f>
        <v>414.34422999999998</v>
      </c>
      <c r="Q132" s="359"/>
      <c r="R132" s="508">
        <v>0.16666163569987213</v>
      </c>
      <c r="S132" s="509">
        <v>0.168188</v>
      </c>
      <c r="T132" s="509">
        <v>0.16177600000000003</v>
      </c>
      <c r="U132" s="509">
        <v>0.130523</v>
      </c>
      <c r="V132" s="509">
        <v>0.125635</v>
      </c>
      <c r="W132" s="2083">
        <v>0.125635</v>
      </c>
    </row>
    <row r="133" spans="4:23" ht="12.75" customHeight="1" x14ac:dyDescent="0.25">
      <c r="D133" s="411"/>
      <c r="F133" s="301"/>
      <c r="G133" s="359"/>
      <c r="H133" s="359"/>
      <c r="I133" s="510"/>
      <c r="J133" s="151"/>
      <c r="K133" s="151"/>
      <c r="L133" s="151"/>
      <c r="M133" s="151"/>
      <c r="N133" s="151"/>
      <c r="O133" s="547"/>
      <c r="Q133" s="359"/>
      <c r="W133" s="358"/>
    </row>
    <row r="134" spans="4:23" ht="12.75" customHeight="1" thickBot="1" x14ac:dyDescent="0.3">
      <c r="D134" s="301" t="s">
        <v>957</v>
      </c>
      <c r="F134" s="301"/>
      <c r="G134" s="359"/>
      <c r="H134" s="359"/>
      <c r="I134" s="510"/>
      <c r="J134" s="1972">
        <v>1403.218785301349</v>
      </c>
      <c r="K134" s="1972">
        <f t="shared" ref="K134:M134" si="16">SUM(K120:K133)</f>
        <v>2506.1529507251134</v>
      </c>
      <c r="L134" s="1972">
        <f t="shared" si="16"/>
        <v>2590.3416353228454</v>
      </c>
      <c r="M134" s="1972">
        <f t="shared" si="16"/>
        <v>2589.7798033729759</v>
      </c>
      <c r="N134" s="1972">
        <f t="shared" ref="N134:O134" si="17">SUM(N120:N133)</f>
        <v>2674.8489734907644</v>
      </c>
      <c r="O134" s="2138">
        <f t="shared" si="17"/>
        <v>2674.8489734907644</v>
      </c>
      <c r="R134" s="149"/>
      <c r="S134" s="149"/>
      <c r="T134" s="149"/>
      <c r="U134" s="149"/>
      <c r="V134" s="149"/>
      <c r="W134" s="2112"/>
    </row>
    <row r="135" spans="4:23" ht="12.75" customHeight="1" thickTop="1" x14ac:dyDescent="0.25">
      <c r="F135" s="301"/>
      <c r="G135" s="359"/>
      <c r="H135" s="359"/>
      <c r="I135" s="510"/>
      <c r="J135" s="503"/>
      <c r="K135" s="503"/>
      <c r="L135" s="503"/>
      <c r="M135" s="503"/>
      <c r="N135" s="503"/>
      <c r="O135" s="503"/>
      <c r="W135" s="358"/>
    </row>
    <row r="136" spans="4:23" ht="12.75" customHeight="1" x14ac:dyDescent="0.25">
      <c r="D136" s="301" t="s">
        <v>959</v>
      </c>
      <c r="F136" s="301"/>
      <c r="G136" s="359"/>
      <c r="H136" s="359"/>
      <c r="I136" s="510"/>
      <c r="J136" s="503">
        <v>5731</v>
      </c>
      <c r="K136" s="503">
        <f>K114</f>
        <v>12821</v>
      </c>
      <c r="L136" s="503">
        <f>L114</f>
        <v>13247</v>
      </c>
      <c r="M136" s="503">
        <f>M114</f>
        <v>13687</v>
      </c>
      <c r="N136" s="503">
        <f>N114</f>
        <v>13856</v>
      </c>
      <c r="O136" s="503">
        <f>O114</f>
        <v>14032</v>
      </c>
      <c r="P136" s="381" t="s">
        <v>5005</v>
      </c>
      <c r="R136" s="514">
        <f>SUM(R120:R134)</f>
        <v>0.90239150180151062</v>
      </c>
      <c r="S136" s="514">
        <f t="shared" ref="S136:U136" si="18">SUM(S120:S134)</f>
        <v>0.85156403354574006</v>
      </c>
      <c r="T136" s="514">
        <f t="shared" si="18"/>
        <v>0.84458481751641523</v>
      </c>
      <c r="U136" s="514">
        <f t="shared" si="18"/>
        <v>0.8143961645826967</v>
      </c>
      <c r="V136" s="514">
        <f t="shared" ref="V136:W136" si="19">SUM(V120:V134)</f>
        <v>0.81105184156784849</v>
      </c>
      <c r="W136" s="2087">
        <f t="shared" si="19"/>
        <v>0.81105184156784849</v>
      </c>
    </row>
    <row r="137" spans="4:23" ht="12.75" customHeight="1" x14ac:dyDescent="0.25">
      <c r="D137" s="301" t="s">
        <v>960</v>
      </c>
      <c r="F137" s="301"/>
      <c r="G137" s="359"/>
      <c r="H137" s="359"/>
      <c r="I137" s="510"/>
      <c r="J137" s="503">
        <v>1403.218785301349</v>
      </c>
      <c r="K137" s="503">
        <f t="shared" ref="K137:M137" si="20">K134</f>
        <v>2506.1529507251134</v>
      </c>
      <c r="L137" s="503">
        <f t="shared" si="20"/>
        <v>2590.3416353228454</v>
      </c>
      <c r="M137" s="503">
        <f t="shared" si="20"/>
        <v>2589.7798033729759</v>
      </c>
      <c r="N137" s="503">
        <f t="shared" ref="N137:O137" si="21">N134</f>
        <v>2674.8489734907644</v>
      </c>
      <c r="O137" s="503">
        <f t="shared" si="21"/>
        <v>2674.8489734907644</v>
      </c>
    </row>
    <row r="138" spans="4:23" ht="12.75" customHeight="1" x14ac:dyDescent="0.25">
      <c r="D138" s="301" t="s">
        <v>961</v>
      </c>
      <c r="F138" s="301"/>
      <c r="G138" s="359"/>
      <c r="H138" s="359"/>
      <c r="I138" s="510"/>
      <c r="J138" s="511">
        <v>-4067</v>
      </c>
      <c r="K138" s="511">
        <f>K35</f>
        <v>-4067</v>
      </c>
      <c r="L138" s="511">
        <f>L35</f>
        <v>-4067</v>
      </c>
      <c r="M138" s="511">
        <f>M35</f>
        <v>-4063</v>
      </c>
      <c r="N138" s="511">
        <f>N35</f>
        <v>-4063</v>
      </c>
      <c r="O138" s="511">
        <f>O35</f>
        <v>-4063</v>
      </c>
    </row>
    <row r="139" spans="4:23" ht="12.75" customHeight="1" x14ac:dyDescent="0.25">
      <c r="F139" s="301"/>
      <c r="G139" s="359"/>
      <c r="H139" s="359"/>
      <c r="I139" s="510"/>
      <c r="J139" s="503"/>
      <c r="K139" s="503"/>
      <c r="L139" s="503"/>
      <c r="M139" s="503"/>
      <c r="N139" s="503"/>
      <c r="O139" s="503"/>
    </row>
    <row r="140" spans="4:23" ht="12.75" customHeight="1" x14ac:dyDescent="0.25">
      <c r="F140" s="301"/>
      <c r="G140" s="359"/>
      <c r="H140" s="359"/>
      <c r="I140" s="510"/>
      <c r="J140" s="503"/>
      <c r="K140" s="503"/>
      <c r="L140" s="503"/>
      <c r="M140" s="503"/>
      <c r="N140" s="503"/>
      <c r="O140" s="503"/>
    </row>
    <row r="141" spans="4:23" ht="12.75" customHeight="1" x14ac:dyDescent="0.25">
      <c r="D141" s="301" t="s">
        <v>962</v>
      </c>
      <c r="F141" s="301"/>
      <c r="G141" s="359"/>
      <c r="H141" s="359"/>
      <c r="I141" s="510"/>
      <c r="J141" s="510">
        <v>3067.2187853013493</v>
      </c>
      <c r="K141" s="510">
        <f>SUM(K136:K140)</f>
        <v>11260.152950725114</v>
      </c>
      <c r="L141" s="510">
        <f>SUM(L136:L140)</f>
        <v>11770.341635322846</v>
      </c>
      <c r="M141" s="510">
        <f>SUM(M136:M140)</f>
        <v>12213.779803372976</v>
      </c>
      <c r="N141" s="510">
        <f>SUM(N136:N140)</f>
        <v>12467.848973490763</v>
      </c>
      <c r="O141" s="510">
        <f>SUM(O136:O140)</f>
        <v>12643.848973490763</v>
      </c>
    </row>
    <row r="142" spans="4:23" ht="12.75" customHeight="1" x14ac:dyDescent="0.25">
      <c r="D142" s="301" t="s">
        <v>963</v>
      </c>
      <c r="F142" s="301"/>
      <c r="G142" s="359"/>
      <c r="H142" s="359"/>
      <c r="I142" s="512"/>
      <c r="J142" s="512">
        <v>0.57006942489333956</v>
      </c>
      <c r="K142" s="512">
        <f t="shared" ref="K142:M142" si="22">IF((-K138/(K136+K137))&gt;0,-K138/(K136+K137),K138/(K136++K137))</f>
        <v>0.26534608306414753</v>
      </c>
      <c r="L142" s="512">
        <f t="shared" si="22"/>
        <v>0.25679814792459604</v>
      </c>
      <c r="M142" s="512">
        <f t="shared" si="22"/>
        <v>0.2496193994808506</v>
      </c>
      <c r="N142" s="512">
        <f t="shared" ref="N142:O142" si="23">IF((-N138/(N136+N137))&gt;0,-N138/(N136+N137),N138/(N136++N137))</f>
        <v>0.24578289998992289</v>
      </c>
      <c r="O142" s="512">
        <f t="shared" si="23"/>
        <v>0.24319367502794084</v>
      </c>
    </row>
  </sheetData>
  <mergeCells count="4">
    <mergeCell ref="D48:D49"/>
    <mergeCell ref="F48:F49"/>
    <mergeCell ref="G48:H49"/>
    <mergeCell ref="E94:K97"/>
  </mergeCells>
  <phoneticPr fontId="52" type="noConversion"/>
  <hyperlinks>
    <hyperlink ref="A1" location="Inhoudsopgave!A1" display="Inhoudsopgave" xr:uid="{3EFAA862-0FF1-45B4-855D-F89C69FF646E}"/>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68" min="3" max="14" man="1"/>
  </rowBreaks>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478B-E874-4908-916F-89DF4D2AD77D}">
  <sheetPr codeName="Blad57"/>
  <dimension ref="A1"/>
  <sheetViews>
    <sheetView workbookViewId="0"/>
  </sheetViews>
  <sheetFormatPr defaultRowHeight="14.4" x14ac:dyDescent="0.3"/>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C326-E398-40CC-8ECF-FD7CFCD4AA7B}">
  <sheetPr codeName="Blad67"/>
  <dimension ref="A1:X431"/>
  <sheetViews>
    <sheetView showGridLines="0" view="pageBreakPreview" topLeftCell="A14" zoomScaleNormal="100" zoomScaleSheetLayoutView="100" workbookViewId="0">
      <selection activeCell="J42" sqref="J42"/>
    </sheetView>
  </sheetViews>
  <sheetFormatPr defaultColWidth="9.109375" defaultRowHeight="12.75" customHeight="1" x14ac:dyDescent="0.25"/>
  <cols>
    <col min="1" max="1" width="9.109375" style="301"/>
    <col min="2" max="3" width="9.109375" style="115"/>
    <col min="4" max="4" width="9.6640625" style="301" customWidth="1"/>
    <col min="5" max="6" width="9.6640625" style="143" customWidth="1"/>
    <col min="7" max="9" width="12.6640625" style="115" customWidth="1"/>
    <col min="10" max="15" width="11.6640625" style="115" customWidth="1"/>
    <col min="16" max="16" width="9.109375" style="115"/>
    <col min="17" max="19" width="13.109375" style="115" bestFit="1" customWidth="1"/>
    <col min="20" max="21" width="13.33203125" style="115" bestFit="1" customWidth="1"/>
    <col min="22" max="22" width="10.6640625" style="115" customWidth="1"/>
    <col min="23" max="23" width="11.109375" style="115" bestFit="1" customWidth="1"/>
    <col min="24" max="16384" width="9.109375" style="115"/>
  </cols>
  <sheetData>
    <row r="1" spans="1:23" ht="12.75" customHeight="1" x14ac:dyDescent="0.3">
      <c r="A1" s="157" t="s">
        <v>0</v>
      </c>
      <c r="P1" s="515"/>
      <c r="Q1" s="451">
        <v>2024</v>
      </c>
      <c r="R1" s="451">
        <v>2025</v>
      </c>
      <c r="S1" s="451">
        <v>2026</v>
      </c>
      <c r="T1" s="451">
        <v>2027</v>
      </c>
      <c r="U1" s="451">
        <v>2028</v>
      </c>
      <c r="V1" s="451">
        <v>2029</v>
      </c>
      <c r="W1" s="451">
        <v>2030</v>
      </c>
    </row>
    <row r="2" spans="1:23" ht="12.75" customHeight="1" x14ac:dyDescent="0.3">
      <c r="D2" s="301" t="s">
        <v>504</v>
      </c>
      <c r="H2" s="306" t="s">
        <v>5006</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58</v>
      </c>
    </row>
    <row r="35" spans="4:23" ht="12.75" customHeight="1" x14ac:dyDescent="0.25">
      <c r="D35" s="452" t="s">
        <v>507</v>
      </c>
      <c r="E35" s="438"/>
      <c r="F35" s="438"/>
      <c r="G35" s="453"/>
      <c r="H35" s="453"/>
      <c r="I35" s="453"/>
      <c r="J35" s="453"/>
      <c r="K35" s="453"/>
      <c r="L35" s="453"/>
      <c r="M35" s="453"/>
      <c r="N35" s="453"/>
      <c r="O35" s="453"/>
    </row>
    <row r="36" spans="4:23" ht="12.75" customHeight="1" x14ac:dyDescent="0.25">
      <c r="D36" s="438"/>
      <c r="E36" s="438"/>
      <c r="F36" s="438"/>
      <c r="G36" s="453"/>
      <c r="H36" s="453"/>
      <c r="I36" s="453"/>
      <c r="J36" s="453"/>
      <c r="K36" s="453"/>
      <c r="L36" s="453"/>
      <c r="M36" s="453"/>
      <c r="N36" s="453"/>
      <c r="O36" s="453"/>
    </row>
    <row r="37" spans="4:23" ht="12.75" customHeight="1" x14ac:dyDescent="0.25">
      <c r="D37" s="1973" t="s">
        <v>508</v>
      </c>
      <c r="E37" s="1974"/>
      <c r="F37" s="1974"/>
      <c r="G37" s="1975"/>
      <c r="H37" s="1975"/>
      <c r="I37" s="1976"/>
      <c r="J37" s="1976">
        <v>2025</v>
      </c>
      <c r="K37" s="1976">
        <v>2026</v>
      </c>
      <c r="L37" s="1976">
        <v>2027</v>
      </c>
      <c r="M37" s="1976">
        <v>2028</v>
      </c>
      <c r="N37" s="1976">
        <v>2029</v>
      </c>
      <c r="O37" s="1976">
        <v>2030</v>
      </c>
    </row>
    <row r="38" spans="4:23" ht="12.75" customHeight="1" x14ac:dyDescent="0.25">
      <c r="D38" s="454" t="str">
        <f>G91</f>
        <v>Bestemmingsplannen</v>
      </c>
      <c r="E38" s="455"/>
      <c r="F38" s="456"/>
      <c r="G38" s="453"/>
      <c r="H38" s="453"/>
      <c r="I38" s="518"/>
      <c r="J38" s="457">
        <v>96872</v>
      </c>
      <c r="K38" s="457">
        <f>K94</f>
        <v>149391</v>
      </c>
      <c r="L38" s="457">
        <f>L94</f>
        <v>151478</v>
      </c>
      <c r="M38" s="457">
        <f>M94</f>
        <v>153812</v>
      </c>
      <c r="N38" s="457">
        <f>N94</f>
        <v>156200</v>
      </c>
      <c r="O38" s="457">
        <f>O94</f>
        <v>158642</v>
      </c>
      <c r="Q38" s="381" t="s">
        <v>5007</v>
      </c>
      <c r="R38" s="115" t="s">
        <v>5008</v>
      </c>
      <c r="T38" s="252">
        <v>99100</v>
      </c>
      <c r="U38" s="252">
        <v>101379</v>
      </c>
      <c r="V38" s="114">
        <f>+T38-K38</f>
        <v>-50291</v>
      </c>
      <c r="W38" s="114">
        <f>+U38-L38</f>
        <v>-50099</v>
      </c>
    </row>
    <row r="39" spans="4:23" ht="12.75" customHeight="1" x14ac:dyDescent="0.25">
      <c r="D39" s="454" t="str">
        <f>G102</f>
        <v>Omgevingsplan</v>
      </c>
      <c r="E39" s="455"/>
      <c r="F39" s="456"/>
      <c r="G39" s="453"/>
      <c r="H39" s="453"/>
      <c r="I39" s="518"/>
      <c r="J39" s="25">
        <v>200000</v>
      </c>
      <c r="K39" s="25">
        <f t="shared" ref="K39:M39" si="0">K105</f>
        <v>204300</v>
      </c>
      <c r="L39" s="25">
        <f t="shared" si="0"/>
        <v>211777</v>
      </c>
      <c r="M39" s="25">
        <f t="shared" si="0"/>
        <v>218882</v>
      </c>
      <c r="N39" s="25">
        <f t="shared" ref="N39:O39" si="1">N105</f>
        <v>226214</v>
      </c>
      <c r="O39" s="25">
        <f t="shared" si="1"/>
        <v>233775</v>
      </c>
      <c r="Q39" s="115" t="s">
        <v>5009</v>
      </c>
      <c r="R39" s="115" t="s">
        <v>5010</v>
      </c>
      <c r="T39" s="252">
        <v>207450</v>
      </c>
      <c r="U39" s="252">
        <v>215226</v>
      </c>
      <c r="V39" s="114">
        <f t="shared" ref="V39" si="2">+T39-K39</f>
        <v>3150</v>
      </c>
      <c r="W39" s="114">
        <f t="shared" ref="W39" si="3">+U39-L39</f>
        <v>3449</v>
      </c>
    </row>
    <row r="40" spans="4:23" ht="12.75" customHeight="1" x14ac:dyDescent="0.25">
      <c r="D40" s="454" t="str">
        <f>G96</f>
        <v>Omgevingswet</v>
      </c>
      <c r="E40" s="455"/>
      <c r="F40" s="456"/>
      <c r="G40" s="453"/>
      <c r="H40" s="453"/>
      <c r="I40" s="518"/>
      <c r="J40" s="25">
        <v>57716</v>
      </c>
      <c r="K40" s="25">
        <f>K100</f>
        <v>308870</v>
      </c>
      <c r="L40" s="25">
        <f>L100</f>
        <v>61343</v>
      </c>
      <c r="M40" s="25">
        <f>M100</f>
        <v>63613</v>
      </c>
      <c r="N40" s="25">
        <f>N100</f>
        <v>65967</v>
      </c>
      <c r="O40" s="25">
        <f>O100</f>
        <v>68408</v>
      </c>
      <c r="Q40" s="115" t="s">
        <v>5011</v>
      </c>
      <c r="R40" s="115" t="s">
        <v>5012</v>
      </c>
      <c r="T40" s="252">
        <v>60140</v>
      </c>
      <c r="U40" s="252">
        <v>62666</v>
      </c>
      <c r="V40" s="114">
        <f t="shared" ref="V40" si="4">+T40-K40</f>
        <v>-248730</v>
      </c>
      <c r="W40" s="114">
        <f t="shared" ref="W40" si="5">+U40-L40</f>
        <v>1323</v>
      </c>
    </row>
    <row r="41" spans="4:23" ht="12.75" customHeight="1" x14ac:dyDescent="0.25">
      <c r="D41" s="454" t="str">
        <f>G112</f>
        <v>Samenwerkingsverband Het Groene Woud</v>
      </c>
      <c r="E41" s="455"/>
      <c r="F41" s="456"/>
      <c r="G41" s="453"/>
      <c r="H41" s="453"/>
      <c r="I41" s="518"/>
      <c r="J41" s="25">
        <v>31235</v>
      </c>
      <c r="K41" s="25">
        <f>K115</f>
        <v>31527</v>
      </c>
      <c r="L41" s="25">
        <f>L115</f>
        <v>31769</v>
      </c>
      <c r="M41" s="25">
        <f>M115</f>
        <v>27040</v>
      </c>
      <c r="N41" s="25">
        <f>N115</f>
        <v>27317</v>
      </c>
      <c r="O41" s="25">
        <f>O115</f>
        <v>27600</v>
      </c>
      <c r="Q41" s="115" t="s">
        <v>5013</v>
      </c>
      <c r="R41" s="115" t="s">
        <v>5014</v>
      </c>
      <c r="T41" s="252">
        <v>31493</v>
      </c>
      <c r="U41" s="252">
        <v>31757</v>
      </c>
      <c r="V41" s="114">
        <f t="shared" ref="V41:V47" si="6">+T41-K41</f>
        <v>-34</v>
      </c>
      <c r="W41" s="114">
        <f t="shared" ref="W41:W47" si="7">+U41-L41</f>
        <v>-12</v>
      </c>
    </row>
    <row r="42" spans="4:23" ht="12.75" customHeight="1" x14ac:dyDescent="0.25">
      <c r="D42" s="461" t="s">
        <v>5015</v>
      </c>
      <c r="E42" s="455"/>
      <c r="F42" s="456"/>
      <c r="G42" s="453"/>
      <c r="H42" s="453"/>
      <c r="I42" s="518"/>
      <c r="J42" s="25">
        <v>1549575</v>
      </c>
      <c r="K42" s="25">
        <f t="shared" ref="K42:N42" si="8">K121</f>
        <v>2890718</v>
      </c>
      <c r="L42" s="25">
        <f t="shared" si="8"/>
        <v>58432</v>
      </c>
      <c r="M42" s="25">
        <f t="shared" si="8"/>
        <v>58432</v>
      </c>
      <c r="N42" s="25">
        <f t="shared" si="8"/>
        <v>58432</v>
      </c>
      <c r="O42" s="25">
        <f t="shared" ref="O42" si="9">O121</f>
        <v>58432</v>
      </c>
      <c r="Q42" s="115" t="s">
        <v>5016</v>
      </c>
      <c r="R42" s="115" t="s">
        <v>5017</v>
      </c>
      <c r="T42" s="252">
        <v>0</v>
      </c>
      <c r="U42" s="252">
        <v>0</v>
      </c>
      <c r="V42" s="114">
        <f t="shared" si="6"/>
        <v>-2890718</v>
      </c>
      <c r="W42" s="114">
        <f t="shared" si="7"/>
        <v>-58432</v>
      </c>
    </row>
    <row r="43" spans="4:23" ht="12.75" customHeight="1" x14ac:dyDescent="0.25">
      <c r="D43" s="454" t="str">
        <f>G123</f>
        <v>Herinrichting stationsgebied West</v>
      </c>
      <c r="E43" s="455"/>
      <c r="F43" s="456"/>
      <c r="G43" s="453"/>
      <c r="H43" s="453"/>
      <c r="I43" s="518"/>
      <c r="J43" s="25">
        <v>216447</v>
      </c>
      <c r="K43" s="25">
        <f t="shared" ref="K43:M43" si="10">K128</f>
        <v>820776</v>
      </c>
      <c r="L43" s="25">
        <f t="shared" si="10"/>
        <v>530094</v>
      </c>
      <c r="M43" s="25">
        <f t="shared" si="10"/>
        <v>362214</v>
      </c>
      <c r="N43" s="25">
        <f t="shared" ref="N43:O43" si="11">N128</f>
        <v>364516</v>
      </c>
      <c r="O43" s="25">
        <f t="shared" si="11"/>
        <v>366903</v>
      </c>
      <c r="Q43" s="115" t="s">
        <v>5018</v>
      </c>
      <c r="R43" s="115" t="s">
        <v>5019</v>
      </c>
      <c r="T43" s="252">
        <v>225518</v>
      </c>
      <c r="U43" s="252">
        <v>234988</v>
      </c>
      <c r="V43" s="114">
        <f t="shared" si="6"/>
        <v>-595258</v>
      </c>
      <c r="W43" s="114">
        <f t="shared" si="7"/>
        <v>-295106</v>
      </c>
    </row>
    <row r="44" spans="4:23" ht="12.75" customHeight="1" x14ac:dyDescent="0.25">
      <c r="D44" s="454" t="str">
        <f>G130</f>
        <v>Visie woonwagenzaken</v>
      </c>
      <c r="E44" s="455"/>
      <c r="F44" s="456"/>
      <c r="G44" s="453"/>
      <c r="H44" s="453"/>
      <c r="I44" s="518"/>
      <c r="J44" s="25">
        <f>J133</f>
        <v>0</v>
      </c>
      <c r="K44" s="25">
        <f t="shared" ref="K44:O44" si="12">K133</f>
        <v>50000</v>
      </c>
      <c r="L44" s="25">
        <f t="shared" si="12"/>
        <v>0</v>
      </c>
      <c r="M44" s="25">
        <f t="shared" si="12"/>
        <v>0</v>
      </c>
      <c r="N44" s="25">
        <f t="shared" si="12"/>
        <v>0</v>
      </c>
      <c r="O44" s="25">
        <f t="shared" si="12"/>
        <v>0</v>
      </c>
      <c r="T44" s="252"/>
      <c r="U44" s="252"/>
      <c r="V44" s="114"/>
      <c r="W44" s="114"/>
    </row>
    <row r="45" spans="4:23" ht="12.75" customHeight="1" x14ac:dyDescent="0.25">
      <c r="D45" s="454" t="str">
        <f>G135</f>
        <v>Visie Dorpsplein (dekking uit VAR)</v>
      </c>
      <c r="E45" s="455"/>
      <c r="F45" s="456"/>
      <c r="G45" s="453"/>
      <c r="H45" s="453"/>
      <c r="I45" s="518"/>
      <c r="J45" s="25">
        <f>J138</f>
        <v>0</v>
      </c>
      <c r="K45" s="25">
        <f t="shared" ref="K45:N45" si="13">K138</f>
        <v>100000</v>
      </c>
      <c r="L45" s="25">
        <f t="shared" si="13"/>
        <v>100000</v>
      </c>
      <c r="M45" s="25">
        <f t="shared" si="13"/>
        <v>100000</v>
      </c>
      <c r="N45" s="25">
        <f t="shared" si="13"/>
        <v>0</v>
      </c>
      <c r="O45" s="25">
        <f t="shared" ref="O45" si="14">O138</f>
        <v>0</v>
      </c>
      <c r="T45" s="252"/>
      <c r="U45" s="252"/>
      <c r="V45" s="114"/>
      <c r="W45" s="114"/>
    </row>
    <row r="46" spans="4:23" ht="12.75" customHeight="1" x14ac:dyDescent="0.25">
      <c r="D46" s="461" t="s">
        <v>5020</v>
      </c>
      <c r="E46" s="455"/>
      <c r="F46" s="456"/>
      <c r="G46" s="453"/>
      <c r="H46" s="453"/>
      <c r="I46" s="518"/>
      <c r="J46" s="25">
        <f>J148</f>
        <v>0</v>
      </c>
      <c r="K46" s="25">
        <f t="shared" ref="K46:N46" si="15">K148</f>
        <v>50000</v>
      </c>
      <c r="L46" s="25">
        <f t="shared" si="15"/>
        <v>50000</v>
      </c>
      <c r="M46" s="25">
        <f t="shared" si="15"/>
        <v>0</v>
      </c>
      <c r="N46" s="25">
        <f t="shared" si="15"/>
        <v>0</v>
      </c>
      <c r="O46" s="25">
        <f t="shared" ref="O46" si="16">O148</f>
        <v>0</v>
      </c>
      <c r="T46" s="252"/>
      <c r="U46" s="252"/>
      <c r="V46" s="114"/>
      <c r="W46" s="114"/>
    </row>
    <row r="47" spans="4:23" ht="12.75" customHeight="1" x14ac:dyDescent="0.25">
      <c r="D47" s="454" t="str">
        <f>G107</f>
        <v xml:space="preserve">Samenwerkingsverband Brainport Avenue  </v>
      </c>
      <c r="E47" s="455"/>
      <c r="F47" s="456"/>
      <c r="G47" s="453"/>
      <c r="H47" s="453"/>
      <c r="I47" s="518"/>
      <c r="J47" s="25">
        <v>16853</v>
      </c>
      <c r="K47" s="25">
        <f>K110</f>
        <v>17291</v>
      </c>
      <c r="L47" s="25">
        <f>L110</f>
        <v>17654</v>
      </c>
      <c r="M47" s="25">
        <f>M110</f>
        <v>18060</v>
      </c>
      <c r="N47" s="25">
        <f>N110</f>
        <v>18475</v>
      </c>
      <c r="O47" s="25">
        <f>O110</f>
        <v>18900</v>
      </c>
      <c r="Q47" s="115" t="s">
        <v>5021</v>
      </c>
      <c r="R47" s="115" t="s">
        <v>5022</v>
      </c>
      <c r="T47" s="252">
        <v>17241</v>
      </c>
      <c r="U47" s="252">
        <v>17638</v>
      </c>
      <c r="V47" s="114">
        <f t="shared" si="6"/>
        <v>-50</v>
      </c>
      <c r="W47" s="114">
        <f t="shared" si="7"/>
        <v>-16</v>
      </c>
    </row>
    <row r="48" spans="4:23" ht="12.75" customHeight="1" x14ac:dyDescent="0.25">
      <c r="D48" s="454" t="s">
        <v>5023</v>
      </c>
      <c r="E48" s="455"/>
      <c r="F48" s="456"/>
      <c r="G48" s="453"/>
      <c r="H48" s="453"/>
      <c r="I48" s="518"/>
      <c r="J48" s="25">
        <v>0</v>
      </c>
      <c r="K48" s="25">
        <v>0</v>
      </c>
      <c r="L48" s="25">
        <v>0</v>
      </c>
      <c r="M48" s="25">
        <v>0</v>
      </c>
      <c r="N48" s="25">
        <v>0</v>
      </c>
      <c r="O48" s="25">
        <v>0</v>
      </c>
      <c r="Q48" s="115" t="s">
        <v>5024</v>
      </c>
      <c r="R48" s="115" t="s">
        <v>5025</v>
      </c>
      <c r="T48" s="252">
        <v>0</v>
      </c>
      <c r="U48" s="252">
        <v>0</v>
      </c>
      <c r="V48" s="114">
        <f t="shared" ref="V48:V61" si="17">+T48-K48</f>
        <v>0</v>
      </c>
      <c r="W48" s="114">
        <f t="shared" ref="W48:W61" si="18">+U48-L48</f>
        <v>0</v>
      </c>
    </row>
    <row r="49" spans="4:23" ht="12.75" customHeight="1" x14ac:dyDescent="0.25">
      <c r="D49" s="454" t="s">
        <v>5026</v>
      </c>
      <c r="E49" s="455"/>
      <c r="F49" s="456"/>
      <c r="G49" s="453"/>
      <c r="H49" s="453"/>
      <c r="I49" s="518"/>
      <c r="J49" s="25">
        <v>0</v>
      </c>
      <c r="K49" s="25">
        <v>0</v>
      </c>
      <c r="L49" s="25">
        <v>0</v>
      </c>
      <c r="M49" s="25">
        <v>0</v>
      </c>
      <c r="N49" s="25">
        <v>0</v>
      </c>
      <c r="O49" s="25">
        <v>0</v>
      </c>
      <c r="Q49" s="115" t="s">
        <v>5027</v>
      </c>
      <c r="R49" s="115" t="s">
        <v>5028</v>
      </c>
      <c r="T49" s="252">
        <v>0</v>
      </c>
      <c r="U49" s="252">
        <v>0</v>
      </c>
      <c r="V49" s="114">
        <f t="shared" si="17"/>
        <v>0</v>
      </c>
      <c r="W49" s="114">
        <f t="shared" si="18"/>
        <v>0</v>
      </c>
    </row>
    <row r="50" spans="4:23" ht="12.75" customHeight="1" x14ac:dyDescent="0.25">
      <c r="D50" s="461" t="s">
        <v>5383</v>
      </c>
      <c r="E50" s="455"/>
      <c r="F50" s="456"/>
      <c r="G50" s="453"/>
      <c r="H50" s="453"/>
      <c r="I50" s="518"/>
      <c r="J50" s="25">
        <f>J143</f>
        <v>0</v>
      </c>
      <c r="K50" s="25">
        <f t="shared" ref="K50:O50" si="19">K143</f>
        <v>0</v>
      </c>
      <c r="L50" s="25">
        <f t="shared" si="19"/>
        <v>0</v>
      </c>
      <c r="M50" s="25">
        <f t="shared" si="19"/>
        <v>0</v>
      </c>
      <c r="N50" s="25">
        <f t="shared" si="19"/>
        <v>0</v>
      </c>
      <c r="O50" s="25">
        <f t="shared" si="19"/>
        <v>0</v>
      </c>
      <c r="T50" s="252"/>
      <c r="U50" s="252"/>
      <c r="V50" s="114"/>
      <c r="W50" s="114"/>
    </row>
    <row r="51" spans="4:23" ht="12.75" customHeight="1" x14ac:dyDescent="0.25">
      <c r="D51" s="454" t="str">
        <f>G150</f>
        <v>Schaalsprong regionale ontwikkeling</v>
      </c>
      <c r="E51" s="455"/>
      <c r="F51" s="456"/>
      <c r="G51" s="453"/>
      <c r="H51" s="453"/>
      <c r="I51" s="518"/>
      <c r="J51" s="25">
        <f>J153</f>
        <v>0</v>
      </c>
      <c r="K51" s="25">
        <f t="shared" ref="K51:O51" si="20">K153</f>
        <v>500000</v>
      </c>
      <c r="L51" s="25">
        <f t="shared" si="20"/>
        <v>0</v>
      </c>
      <c r="M51" s="25">
        <f t="shared" si="20"/>
        <v>0</v>
      </c>
      <c r="N51" s="25">
        <f t="shared" si="20"/>
        <v>0</v>
      </c>
      <c r="O51" s="25">
        <f t="shared" si="20"/>
        <v>0</v>
      </c>
      <c r="T51" s="252"/>
      <c r="U51" s="252"/>
      <c r="V51" s="114"/>
      <c r="W51" s="114"/>
    </row>
    <row r="52" spans="4:23" ht="12.75" customHeight="1" x14ac:dyDescent="0.25">
      <c r="D52" s="454" t="str">
        <f>G155</f>
        <v>Directe toerekening ruimtelijke ordening</v>
      </c>
      <c r="E52" s="455"/>
      <c r="F52" s="456"/>
      <c r="G52" s="453"/>
      <c r="H52" s="453"/>
      <c r="I52" s="518"/>
      <c r="J52" s="25">
        <v>1433362.94</v>
      </c>
      <c r="K52" s="25">
        <f>K160</f>
        <v>1411286.71</v>
      </c>
      <c r="L52" s="25">
        <f>L160</f>
        <v>1372798</v>
      </c>
      <c r="M52" s="25">
        <f>M160</f>
        <v>1620796</v>
      </c>
      <c r="N52" s="25">
        <f>N160</f>
        <v>1696602</v>
      </c>
      <c r="O52" s="25">
        <f>O160</f>
        <v>1771293</v>
      </c>
      <c r="Q52" s="115" t="s">
        <v>5029</v>
      </c>
      <c r="R52" s="115" t="s">
        <v>5030</v>
      </c>
      <c r="T52" s="252">
        <v>1337758</v>
      </c>
      <c r="U52" s="252">
        <v>1279569</v>
      </c>
      <c r="V52" s="114">
        <f t="shared" si="17"/>
        <v>-73528.709999999963</v>
      </c>
      <c r="W52" s="114">
        <f t="shared" si="18"/>
        <v>-93229</v>
      </c>
    </row>
    <row r="53" spans="4:23" ht="12.75" customHeight="1" x14ac:dyDescent="0.25">
      <c r="D53" s="454" t="str">
        <f>G162</f>
        <v>Directe toerek ipni, titel 2</v>
      </c>
      <c r="E53" s="455"/>
      <c r="F53" s="456"/>
      <c r="G53" s="453"/>
      <c r="H53" s="453"/>
      <c r="I53" s="518"/>
      <c r="J53" s="25">
        <v>152151.62</v>
      </c>
      <c r="K53" s="25">
        <f>K165</f>
        <v>170945.85</v>
      </c>
      <c r="L53" s="25">
        <f>L165</f>
        <v>178126</v>
      </c>
      <c r="M53" s="25">
        <f>M165</f>
        <v>184717</v>
      </c>
      <c r="N53" s="25">
        <f>N165</f>
        <v>191552</v>
      </c>
      <c r="O53" s="25">
        <f>O165</f>
        <v>198639</v>
      </c>
      <c r="Q53" s="115" t="s">
        <v>5031</v>
      </c>
      <c r="R53" s="115" t="s">
        <v>5032</v>
      </c>
      <c r="T53" s="252">
        <v>158542</v>
      </c>
      <c r="U53" s="252">
        <v>165200</v>
      </c>
      <c r="V53" s="114">
        <f t="shared" si="17"/>
        <v>-12403.850000000006</v>
      </c>
      <c r="W53" s="114">
        <f t="shared" si="18"/>
        <v>-12926</v>
      </c>
    </row>
    <row r="54" spans="4:23" ht="12.75" customHeight="1" x14ac:dyDescent="0.25">
      <c r="D54" s="454" t="str">
        <f>G167</f>
        <v>Directe toerek kostenverhaal</v>
      </c>
      <c r="E54" s="455"/>
      <c r="F54" s="456"/>
      <c r="G54" s="453"/>
      <c r="H54" s="453"/>
      <c r="I54" s="518"/>
      <c r="J54" s="28">
        <v>320783</v>
      </c>
      <c r="K54" s="28">
        <f t="shared" ref="K54:M54" si="21">K170</f>
        <v>407289.67</v>
      </c>
      <c r="L54" s="28">
        <f t="shared" si="21"/>
        <v>424396</v>
      </c>
      <c r="M54" s="28">
        <f t="shared" si="21"/>
        <v>440099</v>
      </c>
      <c r="N54" s="28">
        <f t="shared" ref="N54:O54" si="22">N170</f>
        <v>456383</v>
      </c>
      <c r="O54" s="28">
        <f t="shared" si="22"/>
        <v>473269</v>
      </c>
      <c r="Q54" s="115" t="s">
        <v>5033</v>
      </c>
      <c r="R54" s="115" t="s">
        <v>5034</v>
      </c>
      <c r="T54" s="252">
        <v>334256</v>
      </c>
      <c r="U54" s="252">
        <v>348295</v>
      </c>
      <c r="V54" s="114">
        <f t="shared" si="17"/>
        <v>-73033.669999999984</v>
      </c>
      <c r="W54" s="114">
        <f t="shared" si="18"/>
        <v>-76101</v>
      </c>
    </row>
    <row r="55" spans="4:23" ht="12.75" customHeight="1" x14ac:dyDescent="0.25">
      <c r="D55" s="454"/>
      <c r="E55" s="455"/>
      <c r="F55" s="456"/>
      <c r="G55" s="453"/>
      <c r="H55" s="453"/>
      <c r="I55" s="518"/>
      <c r="J55" s="28"/>
      <c r="K55" s="28"/>
      <c r="L55" s="28"/>
      <c r="M55" s="28"/>
      <c r="N55" s="28"/>
      <c r="O55" s="28"/>
      <c r="V55" s="114">
        <f t="shared" si="17"/>
        <v>0</v>
      </c>
      <c r="W55" s="114">
        <f t="shared" si="18"/>
        <v>0</v>
      </c>
    </row>
    <row r="56" spans="4:23" ht="12.75" customHeight="1" x14ac:dyDescent="0.25">
      <c r="D56" s="454"/>
      <c r="E56" s="455"/>
      <c r="F56" s="456"/>
      <c r="G56" s="453"/>
      <c r="H56" s="453"/>
      <c r="I56" s="518"/>
      <c r="J56" s="28"/>
      <c r="K56" s="28"/>
      <c r="L56" s="28"/>
      <c r="M56" s="28"/>
      <c r="N56" s="28"/>
      <c r="O56" s="28"/>
      <c r="V56" s="114">
        <f t="shared" si="17"/>
        <v>0</v>
      </c>
      <c r="W56" s="114">
        <f t="shared" si="18"/>
        <v>0</v>
      </c>
    </row>
    <row r="57" spans="4:23" ht="12.75" customHeight="1" x14ac:dyDescent="0.25">
      <c r="D57" s="454"/>
      <c r="E57" s="455"/>
      <c r="F57" s="456"/>
      <c r="G57" s="453"/>
      <c r="H57" s="453"/>
      <c r="I57" s="518"/>
      <c r="J57" s="28"/>
      <c r="K57" s="28"/>
      <c r="L57" s="28"/>
      <c r="M57" s="28"/>
      <c r="N57" s="28"/>
      <c r="O57" s="28"/>
      <c r="V57" s="114">
        <f t="shared" si="17"/>
        <v>0</v>
      </c>
      <c r="W57" s="114">
        <f t="shared" si="18"/>
        <v>0</v>
      </c>
    </row>
    <row r="58" spans="4:23" ht="12.75" customHeight="1" x14ac:dyDescent="0.25">
      <c r="D58" s="454"/>
      <c r="E58" s="455"/>
      <c r="F58" s="456"/>
      <c r="G58" s="453"/>
      <c r="H58" s="453"/>
      <c r="I58" s="518"/>
      <c r="J58" s="28"/>
      <c r="K58" s="28"/>
      <c r="L58" s="28"/>
      <c r="M58" s="28"/>
      <c r="N58" s="28"/>
      <c r="O58" s="28"/>
      <c r="V58" s="114">
        <f t="shared" si="17"/>
        <v>0</v>
      </c>
      <c r="W58" s="114">
        <f t="shared" si="18"/>
        <v>0</v>
      </c>
    </row>
    <row r="59" spans="4:23" ht="12.75" customHeight="1" x14ac:dyDescent="0.25">
      <c r="D59" s="454"/>
      <c r="E59" s="455"/>
      <c r="F59" s="456"/>
      <c r="G59" s="453"/>
      <c r="H59" s="453"/>
      <c r="I59" s="518"/>
      <c r="J59" s="28"/>
      <c r="K59" s="28"/>
      <c r="L59" s="28"/>
      <c r="M59" s="28"/>
      <c r="N59" s="28"/>
      <c r="O59" s="28"/>
      <c r="V59" s="114">
        <f t="shared" si="17"/>
        <v>0</v>
      </c>
      <c r="W59" s="114">
        <f t="shared" si="18"/>
        <v>0</v>
      </c>
    </row>
    <row r="60" spans="4:23" ht="12.75" customHeight="1" x14ac:dyDescent="0.25">
      <c r="D60" s="454"/>
      <c r="E60" s="455"/>
      <c r="F60" s="456"/>
      <c r="G60" s="453"/>
      <c r="H60" s="453"/>
      <c r="I60" s="518"/>
      <c r="J60" s="28"/>
      <c r="K60" s="28"/>
      <c r="L60" s="28"/>
      <c r="M60" s="28"/>
      <c r="N60" s="28"/>
      <c r="O60" s="28"/>
      <c r="V60" s="114">
        <f t="shared" si="17"/>
        <v>0</v>
      </c>
      <c r="W60" s="114">
        <f t="shared" si="18"/>
        <v>0</v>
      </c>
    </row>
    <row r="61" spans="4:23" ht="12.75" customHeight="1" x14ac:dyDescent="0.25">
      <c r="D61" s="454"/>
      <c r="E61" s="455"/>
      <c r="F61" s="456"/>
      <c r="G61" s="453"/>
      <c r="H61" s="453"/>
      <c r="I61" s="518"/>
      <c r="J61" s="28"/>
      <c r="K61" s="28"/>
      <c r="L61" s="28"/>
      <c r="M61" s="28"/>
      <c r="N61" s="28"/>
      <c r="O61" s="28"/>
      <c r="V61" s="114">
        <f t="shared" si="17"/>
        <v>0</v>
      </c>
      <c r="W61" s="114">
        <f t="shared" si="18"/>
        <v>0</v>
      </c>
    </row>
    <row r="62" spans="4:23" ht="12.75" customHeight="1" x14ac:dyDescent="0.25">
      <c r="D62" s="454"/>
      <c r="E62" s="455"/>
      <c r="F62" s="456"/>
      <c r="G62" s="453"/>
      <c r="H62" s="453"/>
      <c r="I62" s="518"/>
      <c r="J62" s="28"/>
      <c r="K62" s="28"/>
      <c r="L62" s="28"/>
      <c r="M62" s="28"/>
      <c r="N62" s="28"/>
      <c r="O62" s="28"/>
    </row>
    <row r="63" spans="4:23" ht="12.75" customHeight="1" x14ac:dyDescent="0.25">
      <c r="D63" s="454"/>
      <c r="E63" s="455"/>
      <c r="F63" s="456"/>
      <c r="G63" s="453"/>
      <c r="H63" s="453"/>
      <c r="I63" s="518"/>
      <c r="J63" s="28"/>
      <c r="K63" s="28"/>
      <c r="L63" s="28"/>
      <c r="M63" s="28"/>
      <c r="N63" s="28"/>
      <c r="O63" s="28"/>
    </row>
    <row r="64" spans="4:23" ht="12.75" customHeight="1" x14ac:dyDescent="0.25">
      <c r="D64" s="454"/>
      <c r="E64" s="455"/>
      <c r="F64" s="456"/>
      <c r="G64" s="453"/>
      <c r="H64" s="453"/>
      <c r="I64" s="518"/>
      <c r="J64" s="26"/>
      <c r="K64" s="26"/>
      <c r="L64" s="26"/>
      <c r="M64" s="26"/>
      <c r="N64" s="26"/>
      <c r="O64" s="26"/>
    </row>
    <row r="65" spans="4:15" ht="12.75" customHeight="1" x14ac:dyDescent="0.25">
      <c r="D65" s="1978" t="s">
        <v>525</v>
      </c>
      <c r="E65" s="1979"/>
      <c r="F65" s="1980"/>
      <c r="G65" s="1981"/>
      <c r="H65" s="1981"/>
      <c r="I65" s="1985"/>
      <c r="J65" s="1983">
        <v>4074995.56</v>
      </c>
      <c r="K65" s="1983">
        <f>SUM(K38:K64)</f>
        <v>7112395.2299999995</v>
      </c>
      <c r="L65" s="1983">
        <f>SUM(L38:L64)</f>
        <v>3187867</v>
      </c>
      <c r="M65" s="1983">
        <f>SUM(M38:M64)</f>
        <v>3247665</v>
      </c>
      <c r="N65" s="1983">
        <f>SUM(N38:N64)</f>
        <v>3261658</v>
      </c>
      <c r="O65" s="1983">
        <f>SUM(O38:O64)</f>
        <v>3375861</v>
      </c>
    </row>
    <row r="66" spans="4:15" ht="12.75" customHeight="1" x14ac:dyDescent="0.25">
      <c r="D66" s="438"/>
      <c r="E66" s="455"/>
      <c r="F66" s="456"/>
      <c r="G66" s="453"/>
      <c r="H66" s="453"/>
      <c r="I66" s="453"/>
      <c r="J66" s="453"/>
      <c r="K66" s="453"/>
      <c r="L66" s="453"/>
      <c r="M66" s="453"/>
      <c r="N66" s="453"/>
      <c r="O66" s="453"/>
    </row>
    <row r="67" spans="4:15" ht="12.75" customHeight="1" x14ac:dyDescent="0.25">
      <c r="D67" s="1973" t="s">
        <v>526</v>
      </c>
      <c r="E67" s="1974"/>
      <c r="F67" s="1974"/>
      <c r="G67" s="1975"/>
      <c r="H67" s="1975"/>
      <c r="I67" s="1976"/>
      <c r="J67" s="1976">
        <v>2025</v>
      </c>
      <c r="K67" s="1976">
        <v>2026</v>
      </c>
      <c r="L67" s="1976">
        <v>2027</v>
      </c>
      <c r="M67" s="1976">
        <v>2028</v>
      </c>
      <c r="N67" s="1976">
        <v>2029</v>
      </c>
      <c r="O67" s="1976">
        <v>2030</v>
      </c>
    </row>
    <row r="68" spans="4:15" ht="12.75" customHeight="1" x14ac:dyDescent="0.25">
      <c r="D68" s="454" t="str">
        <f>G172</f>
        <v>Leges voor principeverzoeken (ipni)</v>
      </c>
      <c r="E68" s="455"/>
      <c r="F68" s="456"/>
      <c r="G68" s="453"/>
      <c r="H68" s="453"/>
      <c r="I68" s="518"/>
      <c r="J68" s="457">
        <v>-17499</v>
      </c>
      <c r="K68" s="457">
        <f>K175</f>
        <v>-17954</v>
      </c>
      <c r="L68" s="457">
        <f>L175</f>
        <v>-18331</v>
      </c>
      <c r="M68" s="457">
        <f>M175</f>
        <v>-18753</v>
      </c>
      <c r="N68" s="457">
        <f>N175</f>
        <v>-19184</v>
      </c>
      <c r="O68" s="457">
        <f>O175</f>
        <v>-19625</v>
      </c>
    </row>
    <row r="69" spans="4:15" ht="12.75" customHeight="1" x14ac:dyDescent="0.25">
      <c r="D69" s="454" t="str">
        <f>G177</f>
        <v>Kostenverhaal</v>
      </c>
      <c r="E69" s="455"/>
      <c r="F69" s="456"/>
      <c r="G69" s="453"/>
      <c r="H69" s="453"/>
      <c r="I69" s="518"/>
      <c r="J69" s="457">
        <v>-1870358</v>
      </c>
      <c r="K69" s="457">
        <f t="shared" ref="K69:M69" si="23">K182</f>
        <v>-3298007.67</v>
      </c>
      <c r="L69" s="457">
        <f t="shared" si="23"/>
        <v>-482828</v>
      </c>
      <c r="M69" s="457">
        <f t="shared" si="23"/>
        <v>-498531</v>
      </c>
      <c r="N69" s="457">
        <f t="shared" ref="N69:O69" si="24">N182</f>
        <v>-514815</v>
      </c>
      <c r="O69" s="457">
        <f t="shared" si="24"/>
        <v>-531701</v>
      </c>
    </row>
    <row r="70" spans="4:15" ht="12.75" customHeight="1" x14ac:dyDescent="0.25">
      <c r="D70" s="454" t="str">
        <f>G184</f>
        <v>Herinrichting stationsgebied West</v>
      </c>
      <c r="E70" s="455"/>
      <c r="F70" s="456"/>
      <c r="G70" s="453"/>
      <c r="H70" s="453"/>
      <c r="I70" s="518"/>
      <c r="J70" s="457">
        <v>-28224</v>
      </c>
      <c r="K70" s="457">
        <f t="shared" ref="K70:M70" si="25">K187</f>
        <v>0</v>
      </c>
      <c r="L70" s="457">
        <f t="shared" si="25"/>
        <v>0</v>
      </c>
      <c r="M70" s="457">
        <f t="shared" si="25"/>
        <v>0</v>
      </c>
      <c r="N70" s="457">
        <f t="shared" ref="N70:O70" si="26">N187</f>
        <v>0</v>
      </c>
      <c r="O70" s="457">
        <f t="shared" si="26"/>
        <v>0</v>
      </c>
    </row>
    <row r="71" spans="4:15" ht="12.75" customHeight="1" x14ac:dyDescent="0.25">
      <c r="D71" s="454"/>
      <c r="E71" s="455"/>
      <c r="F71" s="456"/>
      <c r="G71" s="453"/>
      <c r="H71" s="453"/>
      <c r="I71" s="518"/>
      <c r="J71" s="457"/>
      <c r="K71" s="457"/>
      <c r="L71" s="457"/>
      <c r="M71" s="457"/>
      <c r="N71" s="457"/>
      <c r="O71" s="457"/>
    </row>
    <row r="72" spans="4:15" ht="12.75" customHeight="1" x14ac:dyDescent="0.25">
      <c r="D72" s="454"/>
      <c r="E72" s="455"/>
      <c r="F72" s="456"/>
      <c r="G72" s="453"/>
      <c r="H72" s="453"/>
      <c r="I72" s="518"/>
      <c r="J72" s="463"/>
      <c r="K72" s="463"/>
      <c r="L72" s="463"/>
      <c r="M72" s="463"/>
      <c r="N72" s="463"/>
      <c r="O72" s="463"/>
    </row>
    <row r="73" spans="4:15" ht="12.75" customHeight="1" x14ac:dyDescent="0.25">
      <c r="D73" s="454"/>
      <c r="E73" s="455"/>
      <c r="F73" s="456"/>
      <c r="G73" s="453"/>
      <c r="H73" s="453"/>
      <c r="I73" s="518"/>
      <c r="J73" s="463"/>
      <c r="K73" s="463"/>
      <c r="L73" s="463"/>
      <c r="M73" s="463"/>
      <c r="N73" s="463"/>
      <c r="O73" s="463"/>
    </row>
    <row r="74" spans="4:15" ht="12.75" customHeight="1" x14ac:dyDescent="0.25">
      <c r="D74" s="454"/>
      <c r="E74" s="455"/>
      <c r="F74" s="456"/>
      <c r="G74" s="453"/>
      <c r="H74" s="453"/>
      <c r="I74" s="518"/>
      <c r="J74" s="463"/>
      <c r="K74" s="463"/>
      <c r="L74" s="463"/>
      <c r="M74" s="463"/>
      <c r="N74" s="463"/>
      <c r="O74" s="463"/>
    </row>
    <row r="75" spans="4:15" ht="12.75" customHeight="1" x14ac:dyDescent="0.25">
      <c r="D75" s="454"/>
      <c r="E75" s="455"/>
      <c r="F75" s="456"/>
      <c r="G75" s="453"/>
      <c r="H75" s="453"/>
      <c r="I75" s="518"/>
      <c r="J75" s="463"/>
      <c r="K75" s="463"/>
      <c r="L75" s="463"/>
      <c r="M75" s="463"/>
      <c r="N75" s="463"/>
      <c r="O75" s="463"/>
    </row>
    <row r="76" spans="4:15" ht="12.75" customHeight="1" x14ac:dyDescent="0.25">
      <c r="D76" s="454"/>
      <c r="E76" s="455"/>
      <c r="F76" s="456"/>
      <c r="G76" s="453"/>
      <c r="H76" s="453"/>
      <c r="I76" s="518"/>
      <c r="J76" s="463"/>
      <c r="K76" s="463"/>
      <c r="L76" s="463"/>
      <c r="M76" s="463"/>
      <c r="N76" s="463"/>
      <c r="O76" s="463"/>
    </row>
    <row r="77" spans="4:15" ht="12.75" customHeight="1" x14ac:dyDescent="0.25">
      <c r="D77" s="454"/>
      <c r="E77" s="455"/>
      <c r="F77" s="456"/>
      <c r="G77" s="453"/>
      <c r="H77" s="453"/>
      <c r="I77" s="518"/>
      <c r="J77" s="463"/>
      <c r="K77" s="463"/>
      <c r="L77" s="463"/>
      <c r="M77" s="463"/>
      <c r="N77" s="463"/>
      <c r="O77" s="463"/>
    </row>
    <row r="78" spans="4:15" ht="12.75" customHeight="1" x14ac:dyDescent="0.25">
      <c r="D78" s="464"/>
      <c r="E78" s="465"/>
      <c r="F78" s="466"/>
      <c r="G78" s="467"/>
      <c r="H78" s="467"/>
      <c r="I78" s="518"/>
      <c r="J78" s="463"/>
      <c r="K78" s="463"/>
      <c r="L78" s="463"/>
      <c r="M78" s="463"/>
      <c r="N78" s="463"/>
      <c r="O78" s="463"/>
    </row>
    <row r="79" spans="4:15" ht="12.75" customHeight="1" x14ac:dyDescent="0.25">
      <c r="D79" s="1978" t="s">
        <v>328</v>
      </c>
      <c r="E79" s="1979"/>
      <c r="F79" s="1980"/>
      <c r="G79" s="1981"/>
      <c r="H79" s="1981"/>
      <c r="I79" s="1985"/>
      <c r="J79" s="1983">
        <v>-1916081</v>
      </c>
      <c r="K79" s="1983">
        <f>SUM(K68:K78)</f>
        <v>-3315961.67</v>
      </c>
      <c r="L79" s="1983">
        <f>SUM(L68:L78)</f>
        <v>-501159</v>
      </c>
      <c r="M79" s="1983">
        <f>SUM(M68:M78)</f>
        <v>-517284</v>
      </c>
      <c r="N79" s="1983">
        <f>SUM(N68:N78)</f>
        <v>-533999</v>
      </c>
      <c r="O79" s="1983">
        <f>SUM(O68:O78)</f>
        <v>-551326</v>
      </c>
    </row>
    <row r="80" spans="4:15" ht="12.75" customHeight="1" x14ac:dyDescent="0.25">
      <c r="D80" s="438"/>
      <c r="E80" s="455"/>
      <c r="F80" s="456"/>
      <c r="G80" s="453"/>
      <c r="H80" s="453"/>
      <c r="I80" s="453"/>
      <c r="J80" s="469"/>
      <c r="K80" s="469"/>
      <c r="L80" s="469"/>
      <c r="M80" s="469"/>
      <c r="N80" s="469"/>
      <c r="O80" s="469"/>
    </row>
    <row r="81" spans="1:21" ht="12.75" customHeight="1" x14ac:dyDescent="0.25">
      <c r="D81" s="1978" t="s">
        <v>527</v>
      </c>
      <c r="E81" s="1984"/>
      <c r="F81" s="1984"/>
      <c r="G81" s="1981"/>
      <c r="H81" s="1981"/>
      <c r="I81" s="1981"/>
      <c r="J81" s="1986">
        <v>2158914.5600000001</v>
      </c>
      <c r="K81" s="1986">
        <f>K65+K79</f>
        <v>3796433.5599999996</v>
      </c>
      <c r="L81" s="1986">
        <f>L65+L79</f>
        <v>2686708</v>
      </c>
      <c r="M81" s="1986">
        <f>M65+M79</f>
        <v>2730381</v>
      </c>
      <c r="N81" s="1986">
        <f>N65+N79</f>
        <v>2727659</v>
      </c>
      <c r="O81" s="1986">
        <f>O65+O79</f>
        <v>2824535</v>
      </c>
    </row>
    <row r="82" spans="1:21" ht="12.75" customHeight="1" x14ac:dyDescent="0.25">
      <c r="D82" s="438"/>
      <c r="E82" s="455"/>
      <c r="F82" s="456"/>
      <c r="G82" s="453"/>
      <c r="H82" s="453"/>
      <c r="I82" s="453"/>
      <c r="J82" s="469"/>
      <c r="K82" s="469"/>
      <c r="L82" s="469"/>
      <c r="M82" s="469"/>
      <c r="N82" s="469"/>
      <c r="O82" s="469"/>
    </row>
    <row r="83" spans="1:21" ht="12.75" customHeight="1" x14ac:dyDescent="0.25">
      <c r="D83" s="438"/>
      <c r="E83" s="455"/>
      <c r="F83" s="456"/>
      <c r="G83" s="453"/>
      <c r="H83" s="453"/>
      <c r="I83" s="453"/>
      <c r="J83" s="469"/>
      <c r="K83" s="469"/>
      <c r="L83" s="469"/>
      <c r="M83" s="469"/>
      <c r="N83" s="469"/>
      <c r="O83" s="469"/>
    </row>
    <row r="84" spans="1:21" ht="12.75" customHeight="1" x14ac:dyDescent="0.25">
      <c r="D84" s="453"/>
      <c r="E84" s="453"/>
      <c r="F84" s="453"/>
      <c r="G84" s="453"/>
      <c r="H84" s="453"/>
      <c r="I84" s="453"/>
      <c r="J84" s="469"/>
      <c r="K84" s="469"/>
      <c r="L84" s="469"/>
      <c r="M84" s="469"/>
      <c r="N84" s="469"/>
      <c r="O84" s="469"/>
    </row>
    <row r="85" spans="1:21" ht="12.75" customHeight="1" x14ac:dyDescent="0.25">
      <c r="D85" s="438"/>
      <c r="E85" s="438"/>
      <c r="F85" s="438"/>
      <c r="G85" s="453"/>
      <c r="H85" s="453"/>
      <c r="I85" s="453"/>
      <c r="J85" s="469"/>
      <c r="K85" s="469"/>
      <c r="L85" s="469"/>
      <c r="M85" s="469"/>
      <c r="N85" s="469"/>
      <c r="O85" s="469"/>
    </row>
    <row r="86" spans="1:21" ht="12.75" customHeight="1" x14ac:dyDescent="0.25">
      <c r="D86" s="312" t="s">
        <v>528</v>
      </c>
      <c r="E86" s="382"/>
      <c r="F86" s="382"/>
    </row>
    <row r="88" spans="1:21" ht="12.75" customHeight="1" x14ac:dyDescent="0.25">
      <c r="A88" s="470"/>
      <c r="B88" s="453"/>
      <c r="C88" s="453"/>
      <c r="D88" s="2633" t="s">
        <v>529</v>
      </c>
      <c r="E88" s="1989" t="s">
        <v>530</v>
      </c>
      <c r="F88" s="2631" t="s">
        <v>531</v>
      </c>
      <c r="G88" s="2632" t="s">
        <v>206</v>
      </c>
      <c r="H88" s="2526"/>
      <c r="I88" s="2001"/>
      <c r="J88" s="1991"/>
      <c r="K88" s="1991"/>
      <c r="L88" s="1991"/>
      <c r="M88" s="1991"/>
      <c r="N88" s="1991"/>
      <c r="O88" s="1991"/>
      <c r="P88" s="453"/>
      <c r="Q88" s="453"/>
      <c r="R88" s="453"/>
      <c r="S88" s="453"/>
      <c r="T88" s="453"/>
      <c r="U88" s="453"/>
    </row>
    <row r="89" spans="1:21" ht="12.75" customHeight="1" x14ac:dyDescent="0.25">
      <c r="A89" s="470"/>
      <c r="B89" s="453"/>
      <c r="C89" s="453"/>
      <c r="D89" s="2524"/>
      <c r="E89" s="472" t="s">
        <v>532</v>
      </c>
      <c r="F89" s="2553"/>
      <c r="G89" s="2527"/>
      <c r="H89" s="2528"/>
      <c r="I89" s="521"/>
      <c r="J89" s="1992">
        <v>2025</v>
      </c>
      <c r="K89" s="1976">
        <v>2026</v>
      </c>
      <c r="L89" s="1976">
        <v>2027</v>
      </c>
      <c r="M89" s="1976">
        <v>2028</v>
      </c>
      <c r="N89" s="1976">
        <v>2029</v>
      </c>
      <c r="O89" s="1976">
        <v>2030</v>
      </c>
      <c r="P89" s="453"/>
      <c r="Q89" s="453"/>
      <c r="R89" s="453"/>
      <c r="S89" s="453"/>
      <c r="T89" s="453"/>
      <c r="U89" s="453"/>
    </row>
    <row r="90" spans="1:21" ht="12.75" customHeight="1" x14ac:dyDescent="0.25">
      <c r="A90" s="115"/>
      <c r="D90" s="352"/>
      <c r="E90" s="2002"/>
      <c r="F90" s="2003"/>
      <c r="G90" s="2004"/>
      <c r="H90" s="326"/>
      <c r="I90" s="2005"/>
      <c r="J90" s="316"/>
      <c r="K90" s="316"/>
      <c r="L90" s="316"/>
      <c r="M90" s="316"/>
      <c r="N90" s="316"/>
      <c r="O90" s="316"/>
    </row>
    <row r="91" spans="1:21" ht="12.75" customHeight="1" x14ac:dyDescent="0.25">
      <c r="D91" s="333">
        <v>651001</v>
      </c>
      <c r="E91" s="331"/>
      <c r="F91" s="331"/>
      <c r="G91" s="332" t="s">
        <v>5035</v>
      </c>
      <c r="I91" s="316"/>
      <c r="J91" s="335"/>
      <c r="K91" s="335"/>
      <c r="L91" s="335"/>
      <c r="M91" s="335"/>
      <c r="N91" s="335"/>
      <c r="O91" s="335"/>
    </row>
    <row r="92" spans="1:21" ht="12.75" customHeight="1" x14ac:dyDescent="0.25">
      <c r="D92" s="333"/>
      <c r="E92" s="331"/>
      <c r="F92" s="331"/>
      <c r="G92" s="334" t="s">
        <v>533</v>
      </c>
      <c r="I92" s="316"/>
      <c r="J92" s="335"/>
      <c r="K92" s="335"/>
      <c r="L92" s="335"/>
      <c r="M92" s="335"/>
      <c r="N92" s="335"/>
      <c r="O92" s="335"/>
    </row>
    <row r="93" spans="1:21" ht="12.75" customHeight="1" x14ac:dyDescent="0.25">
      <c r="A93" s="336">
        <f>+D91</f>
        <v>651001</v>
      </c>
      <c r="B93" s="115" t="str">
        <f>G91</f>
        <v>Bestemmingsplannen</v>
      </c>
      <c r="D93" s="337">
        <v>43804</v>
      </c>
      <c r="E93" s="337"/>
      <c r="F93" s="337"/>
      <c r="G93" s="319" t="s">
        <v>5036</v>
      </c>
      <c r="I93" s="318"/>
      <c r="J93" s="317">
        <v>96872</v>
      </c>
      <c r="K93" s="317">
        <f t="shared" ref="K93:M93" si="27">K198</f>
        <v>149391</v>
      </c>
      <c r="L93" s="317">
        <f t="shared" si="27"/>
        <v>151478</v>
      </c>
      <c r="M93" s="317">
        <f t="shared" si="27"/>
        <v>153812</v>
      </c>
      <c r="N93" s="317">
        <f t="shared" ref="N93:O93" si="28">N198</f>
        <v>156200</v>
      </c>
      <c r="O93" s="317">
        <f t="shared" si="28"/>
        <v>158642</v>
      </c>
    </row>
    <row r="94" spans="1:21" ht="12.75" customHeight="1" thickBot="1" x14ac:dyDescent="0.3">
      <c r="D94" s="340"/>
      <c r="E94" s="340"/>
      <c r="F94" s="340"/>
      <c r="G94" s="319" t="s">
        <v>536</v>
      </c>
      <c r="I94" s="318"/>
      <c r="J94" s="342">
        <v>96872</v>
      </c>
      <c r="K94" s="342">
        <f>SUM(K92:K93)</f>
        <v>149391</v>
      </c>
      <c r="L94" s="342">
        <f>SUM(L92:L93)</f>
        <v>151478</v>
      </c>
      <c r="M94" s="342">
        <f>SUM(M92:M93)</f>
        <v>153812</v>
      </c>
      <c r="N94" s="342">
        <f>SUM(N92:N93)</f>
        <v>156200</v>
      </c>
      <c r="O94" s="342">
        <f>SUM(O92:O93)</f>
        <v>158642</v>
      </c>
    </row>
    <row r="95" spans="1:21" ht="12.75" customHeight="1" thickTop="1" x14ac:dyDescent="0.25">
      <c r="D95" s="340"/>
      <c r="E95" s="340"/>
      <c r="F95" s="340"/>
      <c r="G95" s="319"/>
      <c r="I95" s="318"/>
      <c r="J95" s="344"/>
      <c r="K95" s="344"/>
      <c r="L95" s="344"/>
      <c r="M95" s="344"/>
      <c r="N95" s="344"/>
      <c r="O95" s="344"/>
    </row>
    <row r="96" spans="1:21" ht="12.75" customHeight="1" x14ac:dyDescent="0.25">
      <c r="D96" s="347">
        <v>651002</v>
      </c>
      <c r="E96" s="476"/>
      <c r="F96" s="476"/>
      <c r="G96" s="552" t="s">
        <v>5037</v>
      </c>
      <c r="I96" s="318"/>
      <c r="J96" s="317"/>
      <c r="K96" s="317"/>
      <c r="L96" s="317"/>
      <c r="M96" s="317"/>
      <c r="N96" s="317"/>
      <c r="O96" s="317"/>
    </row>
    <row r="97" spans="1:15" ht="12.75" customHeight="1" x14ac:dyDescent="0.25">
      <c r="D97" s="347"/>
      <c r="E97" s="476"/>
      <c r="F97" s="476"/>
      <c r="G97" s="334" t="s">
        <v>533</v>
      </c>
      <c r="I97" s="318"/>
      <c r="J97" s="317"/>
      <c r="K97" s="317"/>
      <c r="L97" s="317"/>
      <c r="M97" s="317"/>
      <c r="N97" s="317"/>
      <c r="O97" s="317"/>
    </row>
    <row r="98" spans="1:15" ht="12.75" customHeight="1" x14ac:dyDescent="0.25">
      <c r="A98" s="336">
        <f>D96</f>
        <v>651002</v>
      </c>
      <c r="B98" s="115" t="str">
        <f>G96</f>
        <v>Omgevingswet</v>
      </c>
      <c r="D98" s="340">
        <v>43511</v>
      </c>
      <c r="E98" s="340"/>
      <c r="F98" s="340"/>
      <c r="G98" s="319" t="s">
        <v>560</v>
      </c>
      <c r="I98" s="318"/>
      <c r="J98" s="317">
        <v>57716</v>
      </c>
      <c r="K98" s="317">
        <f>K204</f>
        <v>58870</v>
      </c>
      <c r="L98" s="317">
        <f>L204</f>
        <v>61343</v>
      </c>
      <c r="M98" s="317">
        <f>M204</f>
        <v>63613</v>
      </c>
      <c r="N98" s="317">
        <f>N204</f>
        <v>65967</v>
      </c>
      <c r="O98" s="317">
        <f>O204</f>
        <v>68408</v>
      </c>
    </row>
    <row r="99" spans="1:15" ht="12.75" customHeight="1" x14ac:dyDescent="0.25">
      <c r="A99" s="336">
        <f>D96</f>
        <v>651002</v>
      </c>
      <c r="B99" s="115" t="str">
        <f>G96</f>
        <v>Omgevingswet</v>
      </c>
      <c r="D99" s="340">
        <v>43812</v>
      </c>
      <c r="E99" s="340"/>
      <c r="F99" s="340"/>
      <c r="G99" s="319" t="s">
        <v>535</v>
      </c>
      <c r="I99" s="318"/>
      <c r="J99" s="317">
        <f>J207</f>
        <v>0</v>
      </c>
      <c r="K99" s="317">
        <f t="shared" ref="K99:O99" si="29">K207</f>
        <v>250000</v>
      </c>
      <c r="L99" s="317">
        <f t="shared" si="29"/>
        <v>0</v>
      </c>
      <c r="M99" s="317">
        <f t="shared" si="29"/>
        <v>0</v>
      </c>
      <c r="N99" s="317">
        <f t="shared" si="29"/>
        <v>0</v>
      </c>
      <c r="O99" s="317">
        <f t="shared" si="29"/>
        <v>0</v>
      </c>
    </row>
    <row r="100" spans="1:15" ht="12.6" customHeight="1" thickBot="1" x14ac:dyDescent="0.3">
      <c r="D100" s="340"/>
      <c r="E100" s="340"/>
      <c r="F100" s="340"/>
      <c r="G100" s="319" t="s">
        <v>536</v>
      </c>
      <c r="I100" s="318"/>
      <c r="J100" s="342">
        <f>SUM(J98:J99)</f>
        <v>57716</v>
      </c>
      <c r="K100" s="342">
        <f t="shared" ref="K100:O100" si="30">SUM(K98:K99)</f>
        <v>308870</v>
      </c>
      <c r="L100" s="342">
        <f t="shared" si="30"/>
        <v>61343</v>
      </c>
      <c r="M100" s="342">
        <f t="shared" si="30"/>
        <v>63613</v>
      </c>
      <c r="N100" s="342">
        <f t="shared" si="30"/>
        <v>65967</v>
      </c>
      <c r="O100" s="342">
        <f t="shared" si="30"/>
        <v>68408</v>
      </c>
    </row>
    <row r="101" spans="1:15" ht="12.75" customHeight="1" thickTop="1" x14ac:dyDescent="0.25">
      <c r="D101" s="337"/>
      <c r="E101" s="337"/>
      <c r="F101" s="337"/>
      <c r="G101" s="319"/>
      <c r="I101" s="318"/>
      <c r="J101" s="317"/>
      <c r="K101" s="317"/>
      <c r="L101" s="317"/>
      <c r="M101" s="317"/>
      <c r="N101" s="317"/>
      <c r="O101" s="317"/>
    </row>
    <row r="102" spans="1:15" ht="12.75" customHeight="1" x14ac:dyDescent="0.25">
      <c r="D102" s="347">
        <v>651003</v>
      </c>
      <c r="E102" s="476"/>
      <c r="F102" s="476"/>
      <c r="G102" s="552" t="s">
        <v>5038</v>
      </c>
      <c r="I102" s="318"/>
      <c r="J102" s="317"/>
      <c r="K102" s="317"/>
      <c r="L102" s="317"/>
      <c r="M102" s="317"/>
      <c r="N102" s="317"/>
      <c r="O102" s="317"/>
    </row>
    <row r="103" spans="1:15" ht="12.75" customHeight="1" x14ac:dyDescent="0.25">
      <c r="D103" s="347"/>
      <c r="E103" s="476"/>
      <c r="F103" s="476"/>
      <c r="G103" s="334" t="s">
        <v>533</v>
      </c>
      <c r="I103" s="318"/>
      <c r="J103" s="317"/>
      <c r="K103" s="317"/>
      <c r="L103" s="317"/>
      <c r="M103" s="317"/>
      <c r="N103" s="317"/>
      <c r="O103" s="317"/>
    </row>
    <row r="104" spans="1:15" ht="12.75" customHeight="1" x14ac:dyDescent="0.25">
      <c r="A104" s="336">
        <f>+D102</f>
        <v>651003</v>
      </c>
      <c r="B104" s="115" t="str">
        <f>G102</f>
        <v>Omgevingsplan</v>
      </c>
      <c r="D104" s="340">
        <v>43511</v>
      </c>
      <c r="E104" s="340"/>
      <c r="F104" s="340"/>
      <c r="G104" s="319" t="s">
        <v>560</v>
      </c>
      <c r="I104" s="318"/>
      <c r="J104" s="317">
        <v>200000</v>
      </c>
      <c r="K104" s="317">
        <f t="shared" ref="K104:M104" si="31">K219</f>
        <v>204300</v>
      </c>
      <c r="L104" s="317">
        <f t="shared" si="31"/>
        <v>211777</v>
      </c>
      <c r="M104" s="317">
        <f t="shared" si="31"/>
        <v>218882</v>
      </c>
      <c r="N104" s="317">
        <f t="shared" ref="N104:O104" si="32">N219</f>
        <v>226214</v>
      </c>
      <c r="O104" s="317">
        <f t="shared" si="32"/>
        <v>233775</v>
      </c>
    </row>
    <row r="105" spans="1:15" ht="12.75" customHeight="1" thickBot="1" x14ac:dyDescent="0.3">
      <c r="D105" s="340"/>
      <c r="E105" s="340"/>
      <c r="F105" s="340"/>
      <c r="G105" s="319" t="s">
        <v>536</v>
      </c>
      <c r="I105" s="318"/>
      <c r="J105" s="342">
        <v>200000</v>
      </c>
      <c r="K105" s="342">
        <f>SUM(K104:K104)</f>
        <v>204300</v>
      </c>
      <c r="L105" s="342">
        <f>SUM(L104:L104)</f>
        <v>211777</v>
      </c>
      <c r="M105" s="342">
        <f>SUM(M104:M104)</f>
        <v>218882</v>
      </c>
      <c r="N105" s="342">
        <f>SUM(N104:N104)</f>
        <v>226214</v>
      </c>
      <c r="O105" s="342">
        <f>SUM(O104:O104)</f>
        <v>233775</v>
      </c>
    </row>
    <row r="106" spans="1:15" ht="12.75" customHeight="1" thickTop="1" x14ac:dyDescent="0.25">
      <c r="D106" s="337"/>
      <c r="E106" s="337"/>
      <c r="F106" s="337"/>
      <c r="G106" s="319"/>
      <c r="I106" s="318"/>
      <c r="J106" s="317"/>
      <c r="K106" s="317"/>
      <c r="L106" s="317"/>
      <c r="M106" s="317"/>
      <c r="N106" s="317"/>
      <c r="O106" s="317"/>
    </row>
    <row r="107" spans="1:15" ht="12.75" customHeight="1" x14ac:dyDescent="0.25">
      <c r="D107" s="347">
        <v>651004</v>
      </c>
      <c r="E107" s="476"/>
      <c r="F107" s="476"/>
      <c r="G107" s="552" t="s">
        <v>5039</v>
      </c>
      <c r="I107" s="318"/>
      <c r="J107" s="317"/>
      <c r="K107" s="317"/>
      <c r="L107" s="317"/>
      <c r="M107" s="317"/>
      <c r="N107" s="317"/>
      <c r="O107" s="317"/>
    </row>
    <row r="108" spans="1:15" ht="12.75" customHeight="1" x14ac:dyDescent="0.25">
      <c r="D108" s="347"/>
      <c r="E108" s="476"/>
      <c r="F108" s="476"/>
      <c r="G108" s="334" t="s">
        <v>533</v>
      </c>
      <c r="I108" s="318"/>
      <c r="J108" s="317"/>
      <c r="K108" s="317"/>
      <c r="L108" s="317"/>
      <c r="M108" s="317"/>
      <c r="N108" s="317"/>
      <c r="O108" s="317"/>
    </row>
    <row r="109" spans="1:15" ht="12.75" customHeight="1" x14ac:dyDescent="0.25">
      <c r="A109" s="336">
        <f>+D107</f>
        <v>651004</v>
      </c>
      <c r="B109" s="115" t="str">
        <f>G107</f>
        <v xml:space="preserve">Samenwerkingsverband Brainport Avenue  </v>
      </c>
      <c r="D109" s="340">
        <v>43812</v>
      </c>
      <c r="E109" s="340"/>
      <c r="F109" s="340"/>
      <c r="G109" s="319" t="s">
        <v>535</v>
      </c>
      <c r="I109" s="318"/>
      <c r="J109" s="317">
        <v>16853</v>
      </c>
      <c r="K109" s="317">
        <f>K212</f>
        <v>17291</v>
      </c>
      <c r="L109" s="317">
        <f>L212</f>
        <v>17654</v>
      </c>
      <c r="M109" s="317">
        <f>M212</f>
        <v>18060</v>
      </c>
      <c r="N109" s="317">
        <f>N212</f>
        <v>18475</v>
      </c>
      <c r="O109" s="317">
        <f>O212</f>
        <v>18900</v>
      </c>
    </row>
    <row r="110" spans="1:15" ht="12.75" customHeight="1" thickBot="1" x14ac:dyDescent="0.3">
      <c r="D110" s="340"/>
      <c r="E110" s="340"/>
      <c r="F110" s="340"/>
      <c r="G110" s="319" t="s">
        <v>536</v>
      </c>
      <c r="I110" s="318"/>
      <c r="J110" s="342">
        <v>16853</v>
      </c>
      <c r="K110" s="342">
        <f>SUM(K109:K109)</f>
        <v>17291</v>
      </c>
      <c r="L110" s="342">
        <f>SUM(L109:L109)</f>
        <v>17654</v>
      </c>
      <c r="M110" s="342">
        <f>SUM(M109:M109)</f>
        <v>18060</v>
      </c>
      <c r="N110" s="342">
        <f>SUM(N109:N109)</f>
        <v>18475</v>
      </c>
      <c r="O110" s="342">
        <f>SUM(O109:O109)</f>
        <v>18900</v>
      </c>
    </row>
    <row r="111" spans="1:15" ht="12.75" customHeight="1" thickTop="1" x14ac:dyDescent="0.25">
      <c r="D111" s="340"/>
      <c r="E111" s="340"/>
      <c r="F111" s="340"/>
      <c r="G111" s="319"/>
      <c r="I111" s="318"/>
      <c r="J111" s="317"/>
      <c r="K111" s="317"/>
      <c r="L111" s="317"/>
      <c r="M111" s="317"/>
      <c r="N111" s="317"/>
      <c r="O111" s="317"/>
    </row>
    <row r="112" spans="1:15" ht="12.75" customHeight="1" x14ac:dyDescent="0.25">
      <c r="D112" s="347">
        <v>651005</v>
      </c>
      <c r="E112" s="476"/>
      <c r="F112" s="476"/>
      <c r="G112" s="552" t="s">
        <v>5040</v>
      </c>
      <c r="I112" s="318"/>
      <c r="J112" s="317"/>
      <c r="K112" s="317"/>
      <c r="L112" s="317"/>
      <c r="M112" s="317"/>
      <c r="N112" s="317"/>
      <c r="O112" s="317"/>
    </row>
    <row r="113" spans="1:15" ht="12.75" customHeight="1" x14ac:dyDescent="0.25">
      <c r="D113" s="347"/>
      <c r="E113" s="476"/>
      <c r="F113" s="476"/>
      <c r="G113" s="334" t="s">
        <v>533</v>
      </c>
      <c r="I113" s="318"/>
      <c r="J113" s="317"/>
      <c r="K113" s="317"/>
      <c r="L113" s="317"/>
      <c r="M113" s="317"/>
      <c r="N113" s="317"/>
      <c r="O113" s="317"/>
    </row>
    <row r="114" spans="1:15" ht="12.75" customHeight="1" x14ac:dyDescent="0.25">
      <c r="A114" s="336">
        <f>+D112</f>
        <v>651005</v>
      </c>
      <c r="B114" s="115" t="str">
        <f>G112</f>
        <v>Samenwerkingsverband Het Groene Woud</v>
      </c>
      <c r="D114" s="340">
        <v>44380</v>
      </c>
      <c r="E114" s="340"/>
      <c r="F114" s="340"/>
      <c r="G114" s="319" t="s">
        <v>3402</v>
      </c>
      <c r="I114" s="318"/>
      <c r="J114" s="317">
        <v>31235</v>
      </c>
      <c r="K114" s="317">
        <f>K226</f>
        <v>31527</v>
      </c>
      <c r="L114" s="317">
        <f>L226</f>
        <v>31769</v>
      </c>
      <c r="M114" s="317">
        <f>M226</f>
        <v>27040</v>
      </c>
      <c r="N114" s="317">
        <f>N226</f>
        <v>27317</v>
      </c>
      <c r="O114" s="317">
        <f>O226</f>
        <v>27600</v>
      </c>
    </row>
    <row r="115" spans="1:15" ht="12.75" customHeight="1" thickBot="1" x14ac:dyDescent="0.3">
      <c r="D115" s="340"/>
      <c r="E115" s="340"/>
      <c r="F115" s="340"/>
      <c r="G115" s="319" t="s">
        <v>536</v>
      </c>
      <c r="I115" s="318"/>
      <c r="J115" s="342">
        <v>31235</v>
      </c>
      <c r="K115" s="342">
        <f>SUM(K113:K114)</f>
        <v>31527</v>
      </c>
      <c r="L115" s="342">
        <f>SUM(L113:L114)</f>
        <v>31769</v>
      </c>
      <c r="M115" s="342">
        <f>SUM(M113:M114)</f>
        <v>27040</v>
      </c>
      <c r="N115" s="342">
        <f>SUM(N113:N114)</f>
        <v>27317</v>
      </c>
      <c r="O115" s="342">
        <f>SUM(O113:O114)</f>
        <v>27600</v>
      </c>
    </row>
    <row r="116" spans="1:15" ht="12.75" customHeight="1" thickTop="1" x14ac:dyDescent="0.25">
      <c r="D116" s="340"/>
      <c r="E116" s="340"/>
      <c r="F116" s="340"/>
      <c r="G116" s="319"/>
      <c r="I116" s="318"/>
      <c r="J116" s="317"/>
      <c r="K116" s="317"/>
      <c r="L116" s="317"/>
      <c r="M116" s="317"/>
      <c r="N116" s="317"/>
      <c r="O116" s="317"/>
    </row>
    <row r="117" spans="1:15" ht="12.75" customHeight="1" x14ac:dyDescent="0.25">
      <c r="D117" s="476">
        <v>651007</v>
      </c>
      <c r="E117" s="340"/>
      <c r="F117" s="340"/>
      <c r="G117" s="332" t="s">
        <v>5015</v>
      </c>
      <c r="I117" s="318"/>
      <c r="J117" s="317"/>
      <c r="K117" s="317"/>
      <c r="L117" s="317"/>
      <c r="M117" s="317"/>
      <c r="N117" s="317"/>
      <c r="O117" s="317"/>
    </row>
    <row r="118" spans="1:15" ht="12.75" customHeight="1" x14ac:dyDescent="0.25">
      <c r="D118" s="340"/>
      <c r="E118" s="340"/>
      <c r="F118" s="340"/>
      <c r="G118" s="334" t="s">
        <v>533</v>
      </c>
      <c r="I118" s="318"/>
      <c r="J118" s="317"/>
      <c r="K118" s="317"/>
      <c r="L118" s="317"/>
      <c r="M118" s="317"/>
      <c r="N118" s="317"/>
      <c r="O118" s="317"/>
    </row>
    <row r="119" spans="1:15" ht="12.75" customHeight="1" x14ac:dyDescent="0.25">
      <c r="A119" s="336">
        <v>651007</v>
      </c>
      <c r="B119" s="115" t="s">
        <v>5015</v>
      </c>
      <c r="D119" s="340">
        <v>43100</v>
      </c>
      <c r="E119" s="340" t="s">
        <v>5041</v>
      </c>
      <c r="F119" s="340"/>
      <c r="G119" s="319" t="s">
        <v>1004</v>
      </c>
      <c r="I119" s="318"/>
      <c r="J119" s="317">
        <v>0</v>
      </c>
      <c r="K119" s="317">
        <f>K230+K231</f>
        <v>2832286</v>
      </c>
      <c r="L119" s="317">
        <f t="shared" ref="L119:N119" si="33">L230</f>
        <v>0</v>
      </c>
      <c r="M119" s="317">
        <f t="shared" si="33"/>
        <v>0</v>
      </c>
      <c r="N119" s="317">
        <f t="shared" si="33"/>
        <v>0</v>
      </c>
      <c r="O119" s="317">
        <f t="shared" ref="O119" si="34">O230</f>
        <v>0</v>
      </c>
    </row>
    <row r="120" spans="1:15" ht="12.75" customHeight="1" x14ac:dyDescent="0.25">
      <c r="A120" s="336">
        <v>651007</v>
      </c>
      <c r="B120" s="115" t="s">
        <v>5015</v>
      </c>
      <c r="D120" s="340">
        <v>43812</v>
      </c>
      <c r="E120" s="340" t="s">
        <v>5041</v>
      </c>
      <c r="F120" s="340"/>
      <c r="G120" s="319" t="s">
        <v>535</v>
      </c>
      <c r="I120" s="318"/>
      <c r="J120" s="317">
        <v>133432</v>
      </c>
      <c r="K120" s="317">
        <f>117521-59089</f>
        <v>58432</v>
      </c>
      <c r="L120" s="317">
        <f t="shared" ref="L120:N120" si="35">L232</f>
        <v>58432</v>
      </c>
      <c r="M120" s="317">
        <f t="shared" si="35"/>
        <v>58432</v>
      </c>
      <c r="N120" s="317">
        <f t="shared" si="35"/>
        <v>58432</v>
      </c>
      <c r="O120" s="317">
        <f t="shared" ref="O120" si="36">O232</f>
        <v>58432</v>
      </c>
    </row>
    <row r="121" spans="1:15" ht="12.75" customHeight="1" thickBot="1" x14ac:dyDescent="0.3">
      <c r="D121" s="340"/>
      <c r="E121" s="340"/>
      <c r="F121" s="340"/>
      <c r="G121" s="319"/>
      <c r="I121" s="318"/>
      <c r="J121" s="342">
        <v>1549575</v>
      </c>
      <c r="K121" s="342">
        <f t="shared" ref="K121:N121" si="37">SUM(K118:K120)</f>
        <v>2890718</v>
      </c>
      <c r="L121" s="342">
        <f t="shared" si="37"/>
        <v>58432</v>
      </c>
      <c r="M121" s="342">
        <f t="shared" si="37"/>
        <v>58432</v>
      </c>
      <c r="N121" s="342">
        <f t="shared" si="37"/>
        <v>58432</v>
      </c>
      <c r="O121" s="342">
        <f t="shared" ref="O121" si="38">SUM(O118:O120)</f>
        <v>58432</v>
      </c>
    </row>
    <row r="122" spans="1:15" ht="12.75" customHeight="1" thickTop="1" x14ac:dyDescent="0.25">
      <c r="D122" s="340"/>
      <c r="E122" s="340"/>
      <c r="F122" s="340"/>
      <c r="G122" s="319"/>
      <c r="I122" s="318"/>
      <c r="J122" s="317"/>
      <c r="K122" s="317"/>
      <c r="L122" s="317"/>
      <c r="M122" s="317"/>
      <c r="N122" s="317"/>
      <c r="O122" s="317"/>
    </row>
    <row r="123" spans="1:15" ht="12.75" customHeight="1" x14ac:dyDescent="0.25">
      <c r="D123" s="347">
        <v>651008</v>
      </c>
      <c r="E123" s="476"/>
      <c r="F123" s="476"/>
      <c r="G123" s="381" t="s">
        <v>5042</v>
      </c>
      <c r="I123" s="318"/>
      <c r="J123" s="317"/>
      <c r="K123" s="317"/>
      <c r="L123" s="317"/>
      <c r="M123" s="317"/>
      <c r="N123" s="317"/>
      <c r="O123" s="317"/>
    </row>
    <row r="124" spans="1:15" ht="12.75" customHeight="1" x14ac:dyDescent="0.25">
      <c r="D124" s="347"/>
      <c r="E124" s="476"/>
      <c r="F124" s="476"/>
      <c r="G124" s="334" t="s">
        <v>533</v>
      </c>
      <c r="I124" s="318"/>
      <c r="J124" s="317"/>
      <c r="K124" s="317"/>
      <c r="L124" s="317"/>
      <c r="M124" s="317"/>
      <c r="N124" s="317"/>
      <c r="O124" s="317"/>
    </row>
    <row r="125" spans="1:15" ht="12.75" customHeight="1" x14ac:dyDescent="0.25">
      <c r="A125" s="336">
        <f>+D123</f>
        <v>651008</v>
      </c>
      <c r="B125" s="115" t="str">
        <f>G123</f>
        <v>Herinrichting stationsgebied West</v>
      </c>
      <c r="D125" s="340">
        <v>43511</v>
      </c>
      <c r="E125" s="340"/>
      <c r="F125" s="340"/>
      <c r="G125" s="319" t="s">
        <v>560</v>
      </c>
      <c r="I125" s="318"/>
      <c r="J125" s="317">
        <v>56447</v>
      </c>
      <c r="K125" s="317">
        <f>K245</f>
        <v>357576</v>
      </c>
      <c r="L125" s="317">
        <f t="shared" ref="L125:N125" si="39">L245</f>
        <v>359994</v>
      </c>
      <c r="M125" s="317">
        <f t="shared" si="39"/>
        <v>362214</v>
      </c>
      <c r="N125" s="317">
        <f t="shared" si="39"/>
        <v>364516</v>
      </c>
      <c r="O125" s="317">
        <f t="shared" ref="O125" si="40">O245</f>
        <v>366903</v>
      </c>
    </row>
    <row r="126" spans="1:15" ht="12.75" customHeight="1" x14ac:dyDescent="0.25">
      <c r="A126" s="336">
        <f>+D123</f>
        <v>651008</v>
      </c>
      <c r="B126" s="115" t="str">
        <f>G123</f>
        <v>Herinrichting stationsgebied West</v>
      </c>
      <c r="D126" s="340">
        <v>41100</v>
      </c>
      <c r="E126" s="340"/>
      <c r="F126" s="340"/>
      <c r="G126" s="319" t="s">
        <v>700</v>
      </c>
      <c r="I126" s="318"/>
      <c r="J126" s="317">
        <v>160000</v>
      </c>
      <c r="K126" s="317">
        <f t="shared" ref="K126:M126" si="41">K241</f>
        <v>163200</v>
      </c>
      <c r="L126" s="317">
        <f t="shared" si="41"/>
        <v>170100</v>
      </c>
      <c r="M126" s="317">
        <f t="shared" si="41"/>
        <v>0</v>
      </c>
      <c r="N126" s="317">
        <f t="shared" ref="N126:O126" si="42">N241</f>
        <v>0</v>
      </c>
      <c r="O126" s="317">
        <f t="shared" si="42"/>
        <v>0</v>
      </c>
    </row>
    <row r="127" spans="1:15" ht="12.75" customHeight="1" x14ac:dyDescent="0.25">
      <c r="A127" s="336">
        <f>D123</f>
        <v>651008</v>
      </c>
      <c r="B127" s="115" t="str">
        <f>G123</f>
        <v>Herinrichting stationsgebied West</v>
      </c>
      <c r="D127" s="340">
        <v>43812</v>
      </c>
      <c r="E127" s="340"/>
      <c r="F127" s="340"/>
      <c r="G127" s="319" t="s">
        <v>535</v>
      </c>
      <c r="I127" s="318"/>
      <c r="J127" s="317">
        <f>J248</f>
        <v>0</v>
      </c>
      <c r="K127" s="317">
        <f t="shared" ref="K127:O127" si="43">K248</f>
        <v>300000</v>
      </c>
      <c r="L127" s="317">
        <f t="shared" si="43"/>
        <v>0</v>
      </c>
      <c r="M127" s="317">
        <f t="shared" si="43"/>
        <v>0</v>
      </c>
      <c r="N127" s="317">
        <f t="shared" si="43"/>
        <v>0</v>
      </c>
      <c r="O127" s="317">
        <f t="shared" si="43"/>
        <v>0</v>
      </c>
    </row>
    <row r="128" spans="1:15" ht="12.75" customHeight="1" thickBot="1" x14ac:dyDescent="0.3">
      <c r="D128" s="340"/>
      <c r="E128" s="340"/>
      <c r="F128" s="340"/>
      <c r="G128" s="319" t="s">
        <v>536</v>
      </c>
      <c r="I128" s="318"/>
      <c r="J128" s="342">
        <v>216447</v>
      </c>
      <c r="K128" s="342">
        <f>SUM(K125:K127)</f>
        <v>820776</v>
      </c>
      <c r="L128" s="342">
        <f t="shared" ref="L128:O128" si="44">SUM(L125:L127)</f>
        <v>530094</v>
      </c>
      <c r="M128" s="342">
        <f t="shared" si="44"/>
        <v>362214</v>
      </c>
      <c r="N128" s="342">
        <f t="shared" si="44"/>
        <v>364516</v>
      </c>
      <c r="O128" s="342">
        <f t="shared" si="44"/>
        <v>366903</v>
      </c>
    </row>
    <row r="129" spans="1:15" ht="12.75" customHeight="1" thickTop="1" x14ac:dyDescent="0.25">
      <c r="D129" s="340"/>
      <c r="E129" s="340"/>
      <c r="F129" s="340"/>
      <c r="G129" s="319"/>
      <c r="I129" s="318"/>
      <c r="J129" s="317"/>
      <c r="K129" s="317"/>
      <c r="L129" s="317"/>
      <c r="M129" s="317"/>
      <c r="N129" s="317"/>
      <c r="O129" s="317"/>
    </row>
    <row r="130" spans="1:15" ht="12.75" customHeight="1" x14ac:dyDescent="0.25">
      <c r="D130" s="347">
        <v>651009</v>
      </c>
      <c r="E130" s="340"/>
      <c r="F130" s="340"/>
      <c r="G130" s="553" t="s">
        <v>5399</v>
      </c>
      <c r="I130" s="318"/>
      <c r="J130" s="317"/>
      <c r="K130" s="317"/>
      <c r="L130" s="317"/>
      <c r="M130" s="317"/>
      <c r="N130" s="317"/>
      <c r="O130" s="317"/>
    </row>
    <row r="131" spans="1:15" ht="12.75" customHeight="1" x14ac:dyDescent="0.25">
      <c r="D131" s="340"/>
      <c r="E131" s="340"/>
      <c r="F131" s="340"/>
      <c r="G131" s="554" t="s">
        <v>533</v>
      </c>
      <c r="I131" s="318"/>
      <c r="J131" s="317"/>
      <c r="K131" s="317"/>
      <c r="L131" s="317"/>
      <c r="M131" s="317"/>
      <c r="N131" s="317"/>
      <c r="O131" s="317"/>
    </row>
    <row r="132" spans="1:15" ht="12.75" customHeight="1" x14ac:dyDescent="0.25">
      <c r="A132" s="336">
        <f>D130</f>
        <v>651009</v>
      </c>
      <c r="B132" s="115" t="str">
        <f>G130</f>
        <v>Visie woonwagenzaken</v>
      </c>
      <c r="D132" s="340">
        <v>43511</v>
      </c>
      <c r="E132" s="340"/>
      <c r="F132" s="340"/>
      <c r="G132" s="555" t="s">
        <v>560</v>
      </c>
      <c r="I132" s="318"/>
      <c r="J132" s="317">
        <f>J253</f>
        <v>0</v>
      </c>
      <c r="K132" s="317">
        <v>50000</v>
      </c>
      <c r="L132" s="317">
        <f>L253</f>
        <v>0</v>
      </c>
      <c r="M132" s="317">
        <f>M253</f>
        <v>0</v>
      </c>
      <c r="N132" s="317">
        <f>N253</f>
        <v>0</v>
      </c>
      <c r="O132" s="317">
        <f>O253</f>
        <v>0</v>
      </c>
    </row>
    <row r="133" spans="1:15" ht="12.75" customHeight="1" thickBot="1" x14ac:dyDescent="0.3">
      <c r="D133" s="340"/>
      <c r="E133" s="340"/>
      <c r="F133" s="340"/>
      <c r="G133" s="555" t="s">
        <v>536</v>
      </c>
      <c r="I133" s="318"/>
      <c r="J133" s="342">
        <f>SUM(J131:J132)</f>
        <v>0</v>
      </c>
      <c r="K133" s="342">
        <f t="shared" ref="K133:O133" si="45">SUM(K131:K132)</f>
        <v>50000</v>
      </c>
      <c r="L133" s="342">
        <f t="shared" si="45"/>
        <v>0</v>
      </c>
      <c r="M133" s="342">
        <f t="shared" si="45"/>
        <v>0</v>
      </c>
      <c r="N133" s="342">
        <f t="shared" si="45"/>
        <v>0</v>
      </c>
      <c r="O133" s="342">
        <f t="shared" si="45"/>
        <v>0</v>
      </c>
    </row>
    <row r="134" spans="1:15" ht="12.75" customHeight="1" thickTop="1" x14ac:dyDescent="0.25">
      <c r="D134" s="340"/>
      <c r="E134" s="340"/>
      <c r="F134" s="340"/>
      <c r="G134" s="319"/>
      <c r="I134" s="318"/>
      <c r="J134" s="317"/>
      <c r="K134" s="317"/>
      <c r="L134" s="317"/>
      <c r="M134" s="317"/>
      <c r="N134" s="317"/>
      <c r="O134" s="317"/>
    </row>
    <row r="135" spans="1:15" ht="12.75" customHeight="1" x14ac:dyDescent="0.25">
      <c r="D135" s="347">
        <v>651012</v>
      </c>
      <c r="E135" s="340"/>
      <c r="F135" s="340"/>
      <c r="G135" s="553" t="s">
        <v>5043</v>
      </c>
      <c r="I135" s="318"/>
      <c r="J135" s="317"/>
      <c r="K135" s="317"/>
      <c r="L135" s="317"/>
      <c r="M135" s="317"/>
      <c r="N135" s="317"/>
      <c r="O135" s="317"/>
    </row>
    <row r="136" spans="1:15" ht="12.75" customHeight="1" x14ac:dyDescent="0.25">
      <c r="D136" s="340"/>
      <c r="E136" s="340"/>
      <c r="F136" s="340"/>
      <c r="G136" s="554" t="s">
        <v>533</v>
      </c>
      <c r="I136" s="318"/>
      <c r="J136" s="317"/>
      <c r="K136" s="317"/>
      <c r="L136" s="317"/>
      <c r="M136" s="317"/>
      <c r="N136" s="317"/>
      <c r="O136" s="317"/>
    </row>
    <row r="137" spans="1:15" ht="12.75" customHeight="1" x14ac:dyDescent="0.25">
      <c r="A137" s="336">
        <f>D135</f>
        <v>651012</v>
      </c>
      <c r="B137" s="115" t="str">
        <f>G135</f>
        <v>Visie Dorpsplein (dekking uit VAR)</v>
      </c>
      <c r="D137" s="340">
        <v>43812</v>
      </c>
      <c r="E137" s="340"/>
      <c r="F137" s="340"/>
      <c r="G137" s="555" t="s">
        <v>3900</v>
      </c>
      <c r="I137" s="318"/>
      <c r="J137" s="317">
        <f t="shared" ref="J137:O137" si="46">J258</f>
        <v>0</v>
      </c>
      <c r="K137" s="317">
        <f t="shared" si="46"/>
        <v>100000</v>
      </c>
      <c r="L137" s="317">
        <f t="shared" si="46"/>
        <v>100000</v>
      </c>
      <c r="M137" s="317">
        <f t="shared" si="46"/>
        <v>100000</v>
      </c>
      <c r="N137" s="317">
        <f t="shared" si="46"/>
        <v>0</v>
      </c>
      <c r="O137" s="317">
        <f t="shared" si="46"/>
        <v>0</v>
      </c>
    </row>
    <row r="138" spans="1:15" ht="12.75" customHeight="1" thickBot="1" x14ac:dyDescent="0.3">
      <c r="D138" s="340"/>
      <c r="E138" s="340"/>
      <c r="F138" s="340"/>
      <c r="G138" s="555" t="s">
        <v>536</v>
      </c>
      <c r="I138" s="318"/>
      <c r="J138" s="342">
        <f>SUM(J136:J137)</f>
        <v>0</v>
      </c>
      <c r="K138" s="342">
        <f t="shared" ref="K138:N138" si="47">SUM(K136:K137)</f>
        <v>100000</v>
      </c>
      <c r="L138" s="342">
        <f t="shared" si="47"/>
        <v>100000</v>
      </c>
      <c r="M138" s="342">
        <f t="shared" si="47"/>
        <v>100000</v>
      </c>
      <c r="N138" s="342">
        <f t="shared" si="47"/>
        <v>0</v>
      </c>
      <c r="O138" s="342">
        <f t="shared" ref="O138" si="48">SUM(O136:O137)</f>
        <v>0</v>
      </c>
    </row>
    <row r="139" spans="1:15" ht="12.75" customHeight="1" thickTop="1" x14ac:dyDescent="0.25">
      <c r="D139" s="340"/>
      <c r="E139" s="340"/>
      <c r="F139" s="340"/>
      <c r="G139" s="555"/>
      <c r="I139" s="318"/>
      <c r="J139" s="317"/>
      <c r="K139" s="317"/>
      <c r="L139" s="317"/>
      <c r="M139" s="317"/>
      <c r="N139" s="317"/>
      <c r="O139" s="317"/>
    </row>
    <row r="140" spans="1:15" ht="12.75" customHeight="1" x14ac:dyDescent="0.25">
      <c r="D140" s="347">
        <v>651014</v>
      </c>
      <c r="E140" s="340"/>
      <c r="F140" s="340"/>
      <c r="G140" s="553" t="s">
        <v>5383</v>
      </c>
      <c r="I140" s="318"/>
      <c r="J140" s="317"/>
      <c r="K140" s="317"/>
      <c r="L140" s="317"/>
      <c r="M140" s="317"/>
      <c r="N140" s="317"/>
      <c r="O140" s="317"/>
    </row>
    <row r="141" spans="1:15" ht="12.75" customHeight="1" x14ac:dyDescent="0.25">
      <c r="D141" s="340"/>
      <c r="E141" s="340"/>
      <c r="F141" s="340"/>
      <c r="G141" s="554" t="s">
        <v>533</v>
      </c>
      <c r="I141" s="318"/>
      <c r="J141" s="317"/>
      <c r="K141" s="317"/>
      <c r="L141" s="317"/>
      <c r="M141" s="317"/>
      <c r="N141" s="317"/>
      <c r="O141" s="317"/>
    </row>
    <row r="142" spans="1:15" ht="12.75" customHeight="1" x14ac:dyDescent="0.25">
      <c r="A142" s="336">
        <f>D140</f>
        <v>651014</v>
      </c>
      <c r="B142" s="115" t="str">
        <f>G140</f>
        <v>Project structuurvisie buitengebied</v>
      </c>
      <c r="D142" s="340">
        <v>43812</v>
      </c>
      <c r="E142" s="340"/>
      <c r="F142" s="340"/>
      <c r="G142" s="555" t="s">
        <v>3900</v>
      </c>
      <c r="I142" s="318"/>
      <c r="J142" s="317">
        <f t="shared" ref="J142:O142" si="49">J264</f>
        <v>0</v>
      </c>
      <c r="K142" s="317">
        <f t="shared" si="49"/>
        <v>0</v>
      </c>
      <c r="L142" s="317">
        <f t="shared" si="49"/>
        <v>0</v>
      </c>
      <c r="M142" s="317">
        <f t="shared" si="49"/>
        <v>0</v>
      </c>
      <c r="N142" s="317">
        <f t="shared" si="49"/>
        <v>0</v>
      </c>
      <c r="O142" s="317">
        <f t="shared" si="49"/>
        <v>0</v>
      </c>
    </row>
    <row r="143" spans="1:15" ht="12.75" customHeight="1" thickBot="1" x14ac:dyDescent="0.3">
      <c r="D143" s="340"/>
      <c r="E143" s="340"/>
      <c r="F143" s="340"/>
      <c r="G143" s="555" t="s">
        <v>536</v>
      </c>
      <c r="I143" s="318"/>
      <c r="J143" s="342">
        <f>SUM(J141:J142)</f>
        <v>0</v>
      </c>
      <c r="K143" s="342">
        <f t="shared" ref="K143:O143" si="50">SUM(K141:K142)</f>
        <v>0</v>
      </c>
      <c r="L143" s="342">
        <f t="shared" si="50"/>
        <v>0</v>
      </c>
      <c r="M143" s="342">
        <f t="shared" si="50"/>
        <v>0</v>
      </c>
      <c r="N143" s="342">
        <f t="shared" si="50"/>
        <v>0</v>
      </c>
      <c r="O143" s="342">
        <f t="shared" si="50"/>
        <v>0</v>
      </c>
    </row>
    <row r="144" spans="1:15" ht="12.75" customHeight="1" thickTop="1" x14ac:dyDescent="0.25">
      <c r="D144" s="340"/>
      <c r="E144" s="340"/>
      <c r="F144" s="340"/>
      <c r="G144" s="555"/>
      <c r="I144" s="318"/>
      <c r="J144" s="317"/>
      <c r="K144" s="317"/>
      <c r="L144" s="317"/>
      <c r="M144" s="317"/>
      <c r="N144" s="317"/>
      <c r="O144" s="317"/>
    </row>
    <row r="145" spans="1:15" ht="12.75" customHeight="1" x14ac:dyDescent="0.25">
      <c r="D145" s="347" t="s">
        <v>127</v>
      </c>
      <c r="E145" s="340"/>
      <c r="F145" s="340"/>
      <c r="G145" s="553" t="s">
        <v>5044</v>
      </c>
      <c r="I145" s="318"/>
      <c r="J145" s="317"/>
      <c r="K145" s="317"/>
      <c r="L145" s="317"/>
      <c r="M145" s="317"/>
      <c r="N145" s="317"/>
      <c r="O145" s="317"/>
    </row>
    <row r="146" spans="1:15" ht="12.75" customHeight="1" x14ac:dyDescent="0.25">
      <c r="D146" s="340"/>
      <c r="E146" s="340"/>
      <c r="F146" s="340"/>
      <c r="G146" s="554" t="s">
        <v>533</v>
      </c>
      <c r="I146" s="318"/>
      <c r="J146" s="317"/>
      <c r="K146" s="317"/>
      <c r="L146" s="317"/>
      <c r="M146" s="317"/>
      <c r="N146" s="317"/>
      <c r="O146" s="317"/>
    </row>
    <row r="147" spans="1:15" ht="12.75" customHeight="1" x14ac:dyDescent="0.25">
      <c r="A147" s="301" t="str">
        <f>D145</f>
        <v>651015</v>
      </c>
      <c r="B147" s="115" t="str">
        <f>G145</f>
        <v>Actualisatie Omgevingsvisie (dekking uit VAR)</v>
      </c>
      <c r="D147" s="340">
        <v>43812</v>
      </c>
      <c r="E147" s="340"/>
      <c r="F147" s="340"/>
      <c r="G147" s="555" t="s">
        <v>3900</v>
      </c>
      <c r="I147" s="318"/>
      <c r="J147" s="317">
        <f>J269</f>
        <v>0</v>
      </c>
      <c r="K147" s="317">
        <f t="shared" ref="K147:N147" si="51">K269</f>
        <v>50000</v>
      </c>
      <c r="L147" s="317">
        <f t="shared" si="51"/>
        <v>50000</v>
      </c>
      <c r="M147" s="317">
        <f t="shared" si="51"/>
        <v>0</v>
      </c>
      <c r="N147" s="317">
        <f t="shared" si="51"/>
        <v>0</v>
      </c>
      <c r="O147" s="317">
        <f t="shared" ref="O147" si="52">O269</f>
        <v>0</v>
      </c>
    </row>
    <row r="148" spans="1:15" ht="12.75" customHeight="1" thickBot="1" x14ac:dyDescent="0.3">
      <c r="D148" s="340"/>
      <c r="E148" s="340"/>
      <c r="F148" s="340"/>
      <c r="G148" s="555" t="s">
        <v>536</v>
      </c>
      <c r="I148" s="318"/>
      <c r="J148" s="342">
        <f>SUM(J146:J147)</f>
        <v>0</v>
      </c>
      <c r="K148" s="342">
        <f t="shared" ref="K148" si="53">SUM(K146:K147)</f>
        <v>50000</v>
      </c>
      <c r="L148" s="342">
        <f t="shared" ref="L148" si="54">SUM(L146:L147)</f>
        <v>50000</v>
      </c>
      <c r="M148" s="342">
        <f t="shared" ref="M148" si="55">SUM(M146:M147)</f>
        <v>0</v>
      </c>
      <c r="N148" s="342">
        <f t="shared" ref="N148:O148" si="56">SUM(N146:N147)</f>
        <v>0</v>
      </c>
      <c r="O148" s="342">
        <f t="shared" si="56"/>
        <v>0</v>
      </c>
    </row>
    <row r="149" spans="1:15" ht="12.75" customHeight="1" thickTop="1" x14ac:dyDescent="0.25">
      <c r="D149" s="340"/>
      <c r="E149" s="340"/>
      <c r="F149" s="340"/>
      <c r="G149" s="555"/>
      <c r="I149" s="318"/>
      <c r="J149" s="317"/>
      <c r="K149" s="317"/>
      <c r="L149" s="317"/>
      <c r="M149" s="317"/>
      <c r="N149" s="317"/>
      <c r="O149" s="317"/>
    </row>
    <row r="150" spans="1:15" ht="12.75" customHeight="1" x14ac:dyDescent="0.25">
      <c r="D150" s="347">
        <v>651017</v>
      </c>
      <c r="E150" s="340"/>
      <c r="F150" s="340"/>
      <c r="G150" s="553" t="s">
        <v>5348</v>
      </c>
      <c r="I150" s="318"/>
      <c r="J150" s="317"/>
      <c r="K150" s="317"/>
      <c r="L150" s="317"/>
      <c r="M150" s="317"/>
      <c r="N150" s="317"/>
      <c r="O150" s="317"/>
    </row>
    <row r="151" spans="1:15" ht="12.75" customHeight="1" x14ac:dyDescent="0.25">
      <c r="D151" s="340"/>
      <c r="E151" s="340"/>
      <c r="F151" s="340"/>
      <c r="G151" s="554" t="s">
        <v>533</v>
      </c>
      <c r="I151" s="318"/>
      <c r="J151" s="317"/>
      <c r="K151" s="317"/>
      <c r="L151" s="317"/>
      <c r="M151" s="317"/>
      <c r="N151" s="317"/>
      <c r="O151" s="317"/>
    </row>
    <row r="152" spans="1:15" ht="12.75" customHeight="1" x14ac:dyDescent="0.25">
      <c r="A152" s="336">
        <f>D150</f>
        <v>651017</v>
      </c>
      <c r="B152" s="115" t="str">
        <f>G150</f>
        <v>Schaalsprong regionale ontwikkeling</v>
      </c>
      <c r="D152" s="340">
        <v>43511</v>
      </c>
      <c r="E152" s="340"/>
      <c r="F152" s="340"/>
      <c r="G152" s="555" t="s">
        <v>734</v>
      </c>
      <c r="I152" s="318"/>
      <c r="J152" s="317">
        <f>J275</f>
        <v>0</v>
      </c>
      <c r="K152" s="317">
        <f t="shared" ref="K152:O152" si="57">K275</f>
        <v>500000</v>
      </c>
      <c r="L152" s="317">
        <f t="shared" si="57"/>
        <v>0</v>
      </c>
      <c r="M152" s="317">
        <f t="shared" si="57"/>
        <v>0</v>
      </c>
      <c r="N152" s="317">
        <f t="shared" si="57"/>
        <v>0</v>
      </c>
      <c r="O152" s="317">
        <f t="shared" si="57"/>
        <v>0</v>
      </c>
    </row>
    <row r="153" spans="1:15" ht="12.75" customHeight="1" thickBot="1" x14ac:dyDescent="0.3">
      <c r="D153" s="340"/>
      <c r="E153" s="340"/>
      <c r="F153" s="340"/>
      <c r="G153" s="555" t="s">
        <v>536</v>
      </c>
      <c r="I153" s="318"/>
      <c r="J153" s="342">
        <f>SUM(J151:J152)</f>
        <v>0</v>
      </c>
      <c r="K153" s="342">
        <f t="shared" ref="K153:O153" si="58">SUM(K151:K152)</f>
        <v>500000</v>
      </c>
      <c r="L153" s="342">
        <f t="shared" si="58"/>
        <v>0</v>
      </c>
      <c r="M153" s="342">
        <f t="shared" si="58"/>
        <v>0</v>
      </c>
      <c r="N153" s="342">
        <f t="shared" si="58"/>
        <v>0</v>
      </c>
      <c r="O153" s="342">
        <f t="shared" si="58"/>
        <v>0</v>
      </c>
    </row>
    <row r="154" spans="1:15" ht="12.75" customHeight="1" thickTop="1" x14ac:dyDescent="0.25">
      <c r="D154" s="340"/>
      <c r="E154" s="340"/>
      <c r="F154" s="340"/>
      <c r="G154" s="555"/>
      <c r="I154" s="318"/>
      <c r="J154" s="317"/>
      <c r="K154" s="317"/>
      <c r="L154" s="317"/>
      <c r="M154" s="317"/>
      <c r="N154" s="317"/>
      <c r="O154" s="317"/>
    </row>
    <row r="155" spans="1:15" ht="12.75" customHeight="1" x14ac:dyDescent="0.25">
      <c r="D155" s="347">
        <v>651901</v>
      </c>
      <c r="E155" s="476"/>
      <c r="F155" s="476"/>
      <c r="G155" s="552" t="s">
        <v>5045</v>
      </c>
      <c r="I155" s="318"/>
      <c r="J155" s="317"/>
      <c r="K155" s="317"/>
      <c r="L155" s="317"/>
      <c r="M155" s="317"/>
      <c r="N155" s="317"/>
      <c r="O155" s="317"/>
    </row>
    <row r="156" spans="1:15" ht="12.75" customHeight="1" x14ac:dyDescent="0.25">
      <c r="D156" s="347"/>
      <c r="E156" s="476"/>
      <c r="F156" s="476"/>
      <c r="G156" s="334" t="s">
        <v>533</v>
      </c>
      <c r="I156" s="318"/>
      <c r="J156" s="317"/>
      <c r="K156" s="317"/>
      <c r="L156" s="317"/>
      <c r="M156" s="317"/>
      <c r="N156" s="317"/>
      <c r="O156" s="317"/>
    </row>
    <row r="157" spans="1:15" ht="12.75" customHeight="1" x14ac:dyDescent="0.25">
      <c r="A157" s="336">
        <f>+D155</f>
        <v>651901</v>
      </c>
      <c r="B157" s="115" t="str">
        <f>G155</f>
        <v>Directe toerekening ruimtelijke ordening</v>
      </c>
      <c r="D157" s="340">
        <v>41100</v>
      </c>
      <c r="E157" s="340"/>
      <c r="F157" s="340"/>
      <c r="G157" s="319" t="s">
        <v>700</v>
      </c>
      <c r="I157" s="318"/>
      <c r="J157" s="317">
        <v>1430328.94</v>
      </c>
      <c r="K157" s="317">
        <f>K298</f>
        <v>1408186.71</v>
      </c>
      <c r="L157" s="317">
        <f>L298</f>
        <v>1352991</v>
      </c>
      <c r="M157" s="317">
        <f>M298</f>
        <v>1584200</v>
      </c>
      <c r="N157" s="317">
        <f>N298</f>
        <v>1643319</v>
      </c>
      <c r="O157" s="317">
        <f>O298</f>
        <v>1704625</v>
      </c>
    </row>
    <row r="158" spans="1:15" ht="12.75" customHeight="1" x14ac:dyDescent="0.25">
      <c r="A158" s="336">
        <f>+D155</f>
        <v>651901</v>
      </c>
      <c r="B158" s="115" t="str">
        <f>G155</f>
        <v>Directe toerekening ruimtelijke ordening</v>
      </c>
      <c r="D158" s="340">
        <v>43812</v>
      </c>
      <c r="E158" s="340"/>
      <c r="F158" s="340"/>
      <c r="G158" s="319" t="s">
        <v>535</v>
      </c>
      <c r="I158" s="318"/>
      <c r="J158" s="317">
        <v>3034</v>
      </c>
      <c r="K158" s="317">
        <f>K302</f>
        <v>3100</v>
      </c>
      <c r="L158" s="317">
        <f>L302</f>
        <v>3140</v>
      </c>
      <c r="M158" s="317">
        <f>M302</f>
        <v>3262</v>
      </c>
      <c r="N158" s="317">
        <f>N302</f>
        <v>3282</v>
      </c>
      <c r="O158" s="317">
        <f>O302</f>
        <v>0</v>
      </c>
    </row>
    <row r="159" spans="1:15" ht="12.75" customHeight="1" x14ac:dyDescent="0.25">
      <c r="A159" s="336">
        <f>+D155</f>
        <v>651901</v>
      </c>
      <c r="B159" s="115" t="str">
        <f>G155</f>
        <v>Directe toerekening ruimtelijke ordening</v>
      </c>
      <c r="D159" s="340">
        <v>47300</v>
      </c>
      <c r="E159" s="340"/>
      <c r="F159" s="340"/>
      <c r="G159" s="319" t="s">
        <v>1033</v>
      </c>
      <c r="I159" s="318"/>
      <c r="J159" s="317">
        <v>0</v>
      </c>
      <c r="K159" s="317">
        <v>0</v>
      </c>
      <c r="L159" s="317">
        <v>16667</v>
      </c>
      <c r="M159" s="317">
        <v>33334</v>
      </c>
      <c r="N159" s="317">
        <v>50001</v>
      </c>
      <c r="O159" s="2095">
        <v>66668</v>
      </c>
    </row>
    <row r="160" spans="1:15" ht="12.75" customHeight="1" thickBot="1" x14ac:dyDescent="0.3">
      <c r="D160" s="340"/>
      <c r="E160" s="340"/>
      <c r="F160" s="340"/>
      <c r="G160" s="319" t="s">
        <v>536</v>
      </c>
      <c r="I160" s="318"/>
      <c r="J160" s="342">
        <v>1433362.94</v>
      </c>
      <c r="K160" s="342">
        <f>SUM(K157:K159)</f>
        <v>1411286.71</v>
      </c>
      <c r="L160" s="342">
        <f>SUM(L157:L159)</f>
        <v>1372798</v>
      </c>
      <c r="M160" s="342">
        <f>SUM(M157:M159)</f>
        <v>1620796</v>
      </c>
      <c r="N160" s="342">
        <f>SUM(N157:N159)</f>
        <v>1696602</v>
      </c>
      <c r="O160" s="342">
        <f>SUM(O157:O159)</f>
        <v>1771293</v>
      </c>
    </row>
    <row r="161" spans="1:15" ht="12.75" customHeight="1" thickTop="1" x14ac:dyDescent="0.25">
      <c r="D161" s="337"/>
      <c r="E161" s="337"/>
      <c r="F161" s="337"/>
      <c r="G161" s="319"/>
      <c r="I161" s="318"/>
      <c r="J161" s="317"/>
      <c r="K161" s="317"/>
      <c r="L161" s="317"/>
      <c r="M161" s="317"/>
      <c r="N161" s="317"/>
      <c r="O161" s="317"/>
    </row>
    <row r="162" spans="1:15" ht="12.75" customHeight="1" x14ac:dyDescent="0.25">
      <c r="D162" s="347">
        <v>651902</v>
      </c>
      <c r="E162" s="476"/>
      <c r="F162" s="476"/>
      <c r="G162" s="552" t="s">
        <v>5046</v>
      </c>
      <c r="I162" s="318"/>
      <c r="J162" s="317"/>
      <c r="K162" s="317"/>
      <c r="L162" s="317"/>
      <c r="M162" s="317"/>
      <c r="N162" s="317"/>
      <c r="O162" s="317"/>
    </row>
    <row r="163" spans="1:15" ht="12.75" customHeight="1" x14ac:dyDescent="0.25">
      <c r="D163" s="347"/>
      <c r="E163" s="476"/>
      <c r="F163" s="476"/>
      <c r="G163" s="334" t="s">
        <v>533</v>
      </c>
      <c r="I163" s="318"/>
      <c r="J163" s="317"/>
      <c r="K163" s="317"/>
      <c r="L163" s="317"/>
      <c r="M163" s="317"/>
      <c r="N163" s="317"/>
      <c r="O163" s="317"/>
    </row>
    <row r="164" spans="1:15" ht="12.75" customHeight="1" x14ac:dyDescent="0.25">
      <c r="A164" s="336">
        <f>+D162</f>
        <v>651902</v>
      </c>
      <c r="B164" s="115" t="str">
        <f>G162</f>
        <v>Directe toerek ipni, titel 2</v>
      </c>
      <c r="D164" s="340">
        <v>41100</v>
      </c>
      <c r="E164" s="340"/>
      <c r="F164" s="340"/>
      <c r="G164" s="319" t="s">
        <v>700</v>
      </c>
      <c r="I164" s="318"/>
      <c r="J164" s="318">
        <v>152151.62</v>
      </c>
      <c r="K164" s="318">
        <f t="shared" ref="K164:M164" si="59">+K313</f>
        <v>170945.85</v>
      </c>
      <c r="L164" s="318">
        <f t="shared" si="59"/>
        <v>178126</v>
      </c>
      <c r="M164" s="318">
        <f t="shared" si="59"/>
        <v>184717</v>
      </c>
      <c r="N164" s="318">
        <f t="shared" ref="N164:O164" si="60">+N313</f>
        <v>191552</v>
      </c>
      <c r="O164" s="318">
        <f t="shared" si="60"/>
        <v>198639</v>
      </c>
    </row>
    <row r="165" spans="1:15" ht="12.75" customHeight="1" thickBot="1" x14ac:dyDescent="0.3">
      <c r="D165" s="340"/>
      <c r="E165" s="340"/>
      <c r="F165" s="340"/>
      <c r="G165" s="319" t="s">
        <v>536</v>
      </c>
      <c r="I165" s="318"/>
      <c r="J165" s="342">
        <v>152151.62</v>
      </c>
      <c r="K165" s="342">
        <f>SUM(K163:K164)</f>
        <v>170945.85</v>
      </c>
      <c r="L165" s="342">
        <f>SUM(L163:L164)</f>
        <v>178126</v>
      </c>
      <c r="M165" s="342">
        <f>SUM(M163:M164)</f>
        <v>184717</v>
      </c>
      <c r="N165" s="342">
        <f>SUM(N163:N164)</f>
        <v>191552</v>
      </c>
      <c r="O165" s="342">
        <f>SUM(O163:O164)</f>
        <v>198639</v>
      </c>
    </row>
    <row r="166" spans="1:15" ht="12.75" customHeight="1" thickTop="1" x14ac:dyDescent="0.25">
      <c r="D166" s="337"/>
      <c r="E166" s="337"/>
      <c r="F166" s="337"/>
      <c r="G166" s="319"/>
      <c r="I166" s="318"/>
      <c r="J166" s="317"/>
      <c r="K166" s="317"/>
      <c r="L166" s="317"/>
      <c r="M166" s="317"/>
      <c r="N166" s="317"/>
      <c r="O166" s="317"/>
    </row>
    <row r="167" spans="1:15" ht="12.75" customHeight="1" x14ac:dyDescent="0.25">
      <c r="D167" s="347">
        <v>651903</v>
      </c>
      <c r="E167" s="476"/>
      <c r="F167" s="476"/>
      <c r="G167" s="552" t="s">
        <v>5047</v>
      </c>
      <c r="I167" s="318"/>
      <c r="J167" s="317"/>
      <c r="K167" s="317"/>
      <c r="L167" s="317"/>
      <c r="M167" s="317"/>
      <c r="N167" s="317"/>
      <c r="O167" s="317"/>
    </row>
    <row r="168" spans="1:15" ht="12.75" customHeight="1" x14ac:dyDescent="0.25">
      <c r="D168" s="347"/>
      <c r="E168" s="476"/>
      <c r="F168" s="476"/>
      <c r="G168" s="334" t="s">
        <v>533</v>
      </c>
      <c r="I168" s="318"/>
      <c r="J168" s="317"/>
      <c r="K168" s="317"/>
      <c r="L168" s="317"/>
      <c r="M168" s="317"/>
      <c r="N168" s="317"/>
      <c r="O168" s="317"/>
    </row>
    <row r="169" spans="1:15" ht="12.75" customHeight="1" x14ac:dyDescent="0.25">
      <c r="A169" s="336">
        <f>+D167</f>
        <v>651903</v>
      </c>
      <c r="B169" s="115" t="str">
        <f>G167</f>
        <v>Directe toerek kostenverhaal</v>
      </c>
      <c r="C169" s="115" t="s">
        <v>5048</v>
      </c>
      <c r="D169" s="340">
        <v>41100</v>
      </c>
      <c r="E169" s="340" t="s">
        <v>5048</v>
      </c>
      <c r="F169" s="340"/>
      <c r="G169" s="319" t="s">
        <v>700</v>
      </c>
      <c r="I169" s="318"/>
      <c r="J169" s="318">
        <v>320783</v>
      </c>
      <c r="K169" s="318">
        <f t="shared" ref="K169:M169" si="61">+K320</f>
        <v>407289.67</v>
      </c>
      <c r="L169" s="318">
        <f t="shared" si="61"/>
        <v>424396</v>
      </c>
      <c r="M169" s="318">
        <f t="shared" si="61"/>
        <v>440099</v>
      </c>
      <c r="N169" s="318">
        <f t="shared" ref="N169:O169" si="62">+N320</f>
        <v>456383</v>
      </c>
      <c r="O169" s="318">
        <f t="shared" si="62"/>
        <v>473269</v>
      </c>
    </row>
    <row r="170" spans="1:15" ht="12.75" customHeight="1" thickBot="1" x14ac:dyDescent="0.3">
      <c r="D170" s="340"/>
      <c r="E170" s="340"/>
      <c r="F170" s="340"/>
      <c r="G170" s="319" t="s">
        <v>536</v>
      </c>
      <c r="I170" s="318"/>
      <c r="J170" s="342">
        <v>320783</v>
      </c>
      <c r="K170" s="342">
        <f>SUM(K168:K169)</f>
        <v>407289.67</v>
      </c>
      <c r="L170" s="342">
        <f>SUM(L168:L169)</f>
        <v>424396</v>
      </c>
      <c r="M170" s="342">
        <f>SUM(M168:M169)</f>
        <v>440099</v>
      </c>
      <c r="N170" s="342">
        <f>SUM(N168:N169)</f>
        <v>456383</v>
      </c>
      <c r="O170" s="342">
        <f>SUM(O168:O169)</f>
        <v>473269</v>
      </c>
    </row>
    <row r="171" spans="1:15" ht="12.75" customHeight="1" thickTop="1" x14ac:dyDescent="0.25">
      <c r="D171" s="337"/>
      <c r="E171" s="337"/>
      <c r="F171" s="337"/>
      <c r="G171" s="319"/>
      <c r="I171" s="318"/>
      <c r="J171" s="317"/>
      <c r="K171" s="317"/>
      <c r="L171" s="317"/>
      <c r="M171" s="317"/>
      <c r="N171" s="317"/>
      <c r="O171" s="317"/>
    </row>
    <row r="172" spans="1:15" ht="12.75" customHeight="1" x14ac:dyDescent="0.25">
      <c r="D172" s="333">
        <v>651006</v>
      </c>
      <c r="E172" s="476"/>
      <c r="F172" s="331"/>
      <c r="G172" s="332" t="s">
        <v>5049</v>
      </c>
      <c r="I172" s="318"/>
      <c r="J172" s="317"/>
      <c r="K172" s="317"/>
      <c r="L172" s="317"/>
      <c r="M172" s="317"/>
      <c r="N172" s="317"/>
      <c r="O172" s="317"/>
    </row>
    <row r="173" spans="1:15" ht="12.75" customHeight="1" x14ac:dyDescent="0.25">
      <c r="D173" s="340"/>
      <c r="E173" s="340"/>
      <c r="F173" s="340"/>
      <c r="G173" s="334" t="s">
        <v>554</v>
      </c>
      <c r="I173" s="318"/>
      <c r="J173" s="317"/>
      <c r="K173" s="317"/>
      <c r="L173" s="317"/>
      <c r="M173" s="317"/>
      <c r="N173" s="317"/>
      <c r="O173" s="317"/>
    </row>
    <row r="174" spans="1:15" ht="12.75" customHeight="1" x14ac:dyDescent="0.25">
      <c r="A174" s="336">
        <f>+D172</f>
        <v>651006</v>
      </c>
      <c r="B174" s="115" t="str">
        <f>G172</f>
        <v>Leges voor principeverzoeken (ipni)</v>
      </c>
      <c r="D174" s="337">
        <v>83700</v>
      </c>
      <c r="E174" s="337"/>
      <c r="F174" s="337"/>
      <c r="G174" s="319" t="s">
        <v>737</v>
      </c>
      <c r="I174" s="318"/>
      <c r="J174" s="318">
        <v>-17499</v>
      </c>
      <c r="K174" s="318">
        <f t="shared" ref="K174:M174" si="63">+K325</f>
        <v>-17954</v>
      </c>
      <c r="L174" s="318">
        <f t="shared" si="63"/>
        <v>-18331</v>
      </c>
      <c r="M174" s="318">
        <f t="shared" si="63"/>
        <v>-18753</v>
      </c>
      <c r="N174" s="318">
        <f t="shared" ref="N174:O174" si="64">+N325</f>
        <v>-19184</v>
      </c>
      <c r="O174" s="318">
        <f t="shared" si="64"/>
        <v>-19625</v>
      </c>
    </row>
    <row r="175" spans="1:15" ht="12.75" customHeight="1" thickBot="1" x14ac:dyDescent="0.3">
      <c r="D175" s="340"/>
      <c r="E175" s="340"/>
      <c r="F175" s="340"/>
      <c r="G175" s="319" t="s">
        <v>536</v>
      </c>
      <c r="I175" s="318"/>
      <c r="J175" s="342">
        <v>-17499</v>
      </c>
      <c r="K175" s="342">
        <f>SUM(K174:K174)</f>
        <v>-17954</v>
      </c>
      <c r="L175" s="342">
        <f>SUM(L174:L174)</f>
        <v>-18331</v>
      </c>
      <c r="M175" s="342">
        <f>SUM(M174:M174)</f>
        <v>-18753</v>
      </c>
      <c r="N175" s="342">
        <f>SUM(N174:N174)</f>
        <v>-19184</v>
      </c>
      <c r="O175" s="342">
        <f>SUM(O174:O174)</f>
        <v>-19625</v>
      </c>
    </row>
    <row r="176" spans="1:15" ht="12.75" customHeight="1" thickTop="1" x14ac:dyDescent="0.25">
      <c r="D176" s="340"/>
      <c r="E176" s="340"/>
      <c r="F176" s="340"/>
      <c r="G176" s="319"/>
      <c r="I176" s="318"/>
      <c r="J176" s="317"/>
      <c r="K176" s="317"/>
      <c r="L176" s="317"/>
      <c r="M176" s="317"/>
      <c r="N176" s="317"/>
      <c r="O176" s="317"/>
    </row>
    <row r="177" spans="1:18" ht="12.75" customHeight="1" x14ac:dyDescent="0.25">
      <c r="D177" s="347">
        <v>651007</v>
      </c>
      <c r="E177" s="476"/>
      <c r="F177" s="340"/>
      <c r="G177" s="332" t="s">
        <v>5050</v>
      </c>
      <c r="I177" s="318"/>
      <c r="J177" s="317"/>
      <c r="K177" s="317"/>
      <c r="L177" s="317"/>
      <c r="M177" s="317"/>
      <c r="N177" s="317"/>
      <c r="O177" s="317"/>
    </row>
    <row r="178" spans="1:18" ht="12.75" customHeight="1" x14ac:dyDescent="0.25">
      <c r="D178" s="340"/>
      <c r="E178" s="340"/>
      <c r="F178" s="340"/>
      <c r="G178" s="334" t="s">
        <v>554</v>
      </c>
      <c r="I178" s="318"/>
      <c r="J178" s="317"/>
      <c r="K178" s="317"/>
      <c r="L178" s="317"/>
      <c r="M178" s="317"/>
      <c r="N178" s="317"/>
      <c r="O178" s="317"/>
    </row>
    <row r="179" spans="1:18" ht="12.75" customHeight="1" x14ac:dyDescent="0.25">
      <c r="A179" s="336">
        <v>651007</v>
      </c>
      <c r="B179" s="115" t="s">
        <v>5050</v>
      </c>
      <c r="C179" s="115" t="s">
        <v>5041</v>
      </c>
      <c r="D179" s="340">
        <v>83100</v>
      </c>
      <c r="E179" s="340" t="s">
        <v>5041</v>
      </c>
      <c r="F179" s="340"/>
      <c r="G179" s="319" t="s">
        <v>1017</v>
      </c>
      <c r="I179" s="318"/>
      <c r="J179" s="318">
        <v>0</v>
      </c>
      <c r="K179" s="318">
        <f>K334</f>
        <v>-2832286</v>
      </c>
      <c r="L179" s="318">
        <f t="shared" ref="L179:O179" si="65">L334</f>
        <v>0</v>
      </c>
      <c r="M179" s="318">
        <f t="shared" si="65"/>
        <v>0</v>
      </c>
      <c r="N179" s="318">
        <f t="shared" si="65"/>
        <v>0</v>
      </c>
      <c r="O179" s="318">
        <f t="shared" si="65"/>
        <v>0</v>
      </c>
    </row>
    <row r="180" spans="1:18" ht="12.75" customHeight="1" x14ac:dyDescent="0.25">
      <c r="A180" s="336">
        <f>+D177</f>
        <v>651007</v>
      </c>
      <c r="B180" s="115" t="str">
        <f>G177</f>
        <v>Kostenverhaal</v>
      </c>
      <c r="C180" s="115" t="s">
        <v>5048</v>
      </c>
      <c r="D180" s="337">
        <v>83800</v>
      </c>
      <c r="E180" s="337" t="s">
        <v>5048</v>
      </c>
      <c r="F180" s="337"/>
      <c r="G180" s="319" t="s">
        <v>535</v>
      </c>
      <c r="I180" s="318"/>
      <c r="J180" s="318">
        <v>-320783</v>
      </c>
      <c r="K180" s="318">
        <f t="shared" ref="K180:N180" si="66">K337</f>
        <v>-407289.67</v>
      </c>
      <c r="L180" s="318">
        <f t="shared" si="66"/>
        <v>-424396</v>
      </c>
      <c r="M180" s="318">
        <f t="shared" si="66"/>
        <v>-440099</v>
      </c>
      <c r="N180" s="318">
        <f t="shared" si="66"/>
        <v>-456383</v>
      </c>
      <c r="O180" s="318">
        <f t="shared" ref="O180" si="67">O337</f>
        <v>-473269</v>
      </c>
    </row>
    <row r="181" spans="1:18" ht="12.75" customHeight="1" x14ac:dyDescent="0.25">
      <c r="A181" s="336">
        <v>651007</v>
      </c>
      <c r="B181" s="115" t="s">
        <v>5050</v>
      </c>
      <c r="C181" s="115" t="s">
        <v>5041</v>
      </c>
      <c r="D181" s="337">
        <v>83800</v>
      </c>
      <c r="E181" s="337" t="s">
        <v>5041</v>
      </c>
      <c r="F181" s="337"/>
      <c r="G181" s="319" t="s">
        <v>535</v>
      </c>
      <c r="I181" s="318"/>
      <c r="J181" s="318">
        <v>-133432</v>
      </c>
      <c r="K181" s="318">
        <f t="shared" ref="K181:M181" si="68">K339</f>
        <v>-58432</v>
      </c>
      <c r="L181" s="318">
        <f t="shared" si="68"/>
        <v>-58432</v>
      </c>
      <c r="M181" s="318">
        <f t="shared" si="68"/>
        <v>-58432</v>
      </c>
      <c r="N181" s="318">
        <v>-58432</v>
      </c>
      <c r="O181" s="318">
        <v>-58432</v>
      </c>
    </row>
    <row r="182" spans="1:18" ht="12.75" customHeight="1" thickBot="1" x14ac:dyDescent="0.3">
      <c r="D182" s="340"/>
      <c r="E182" s="340"/>
      <c r="F182" s="340"/>
      <c r="G182" s="319" t="s">
        <v>536</v>
      </c>
      <c r="I182" s="318"/>
      <c r="J182" s="342">
        <f>J180+J181</f>
        <v>-454215</v>
      </c>
      <c r="K182" s="342">
        <f t="shared" ref="K182:N182" si="69">SUM(K179:K181)</f>
        <v>-3298007.67</v>
      </c>
      <c r="L182" s="342">
        <f t="shared" si="69"/>
        <v>-482828</v>
      </c>
      <c r="M182" s="342">
        <f t="shared" si="69"/>
        <v>-498531</v>
      </c>
      <c r="N182" s="342">
        <f t="shared" si="69"/>
        <v>-514815</v>
      </c>
      <c r="O182" s="342">
        <f t="shared" ref="O182" si="70">SUM(O179:O181)</f>
        <v>-531701</v>
      </c>
      <c r="R182" s="114"/>
    </row>
    <row r="183" spans="1:18" ht="12.75" customHeight="1" thickTop="1" x14ac:dyDescent="0.25">
      <c r="D183" s="340"/>
      <c r="E183" s="340"/>
      <c r="F183" s="340"/>
      <c r="G183" s="319"/>
      <c r="I183" s="318"/>
      <c r="J183" s="317"/>
      <c r="K183" s="317"/>
      <c r="L183" s="317"/>
      <c r="M183" s="317"/>
      <c r="N183" s="317"/>
      <c r="O183" s="317"/>
    </row>
    <row r="184" spans="1:18" ht="12.75" customHeight="1" x14ac:dyDescent="0.25">
      <c r="D184" s="347">
        <v>651008</v>
      </c>
      <c r="E184" s="476"/>
      <c r="F184" s="476"/>
      <c r="G184" s="381" t="s">
        <v>5042</v>
      </c>
      <c r="I184" s="318"/>
      <c r="J184" s="317"/>
      <c r="K184" s="317"/>
      <c r="L184" s="317"/>
      <c r="M184" s="317"/>
      <c r="N184" s="317"/>
      <c r="O184" s="317"/>
    </row>
    <row r="185" spans="1:18" ht="12.75" customHeight="1" x14ac:dyDescent="0.25">
      <c r="D185" s="347"/>
      <c r="E185" s="476"/>
      <c r="F185" s="476"/>
      <c r="G185" s="334" t="s">
        <v>554</v>
      </c>
      <c r="I185" s="318"/>
      <c r="J185" s="317"/>
      <c r="K185" s="317"/>
      <c r="L185" s="317"/>
      <c r="M185" s="317"/>
      <c r="N185" s="317"/>
      <c r="O185" s="317"/>
    </row>
    <row r="186" spans="1:18" ht="12.75" customHeight="1" x14ac:dyDescent="0.25">
      <c r="A186" s="336">
        <f>+D184</f>
        <v>651008</v>
      </c>
      <c r="B186" s="115" t="str">
        <f>G184</f>
        <v>Herinrichting stationsgebied West</v>
      </c>
      <c r="D186" s="340">
        <v>83800</v>
      </c>
      <c r="E186" s="340"/>
      <c r="F186" s="340"/>
      <c r="G186" s="319" t="s">
        <v>535</v>
      </c>
      <c r="I186" s="318"/>
      <c r="J186" s="317">
        <v>-28224</v>
      </c>
      <c r="K186" s="317">
        <f t="shared" ref="K186:M186" si="71">K346</f>
        <v>0</v>
      </c>
      <c r="L186" s="317">
        <f t="shared" si="71"/>
        <v>0</v>
      </c>
      <c r="M186" s="317">
        <f t="shared" si="71"/>
        <v>0</v>
      </c>
      <c r="N186" s="317">
        <f t="shared" ref="N186:O186" si="72">N346</f>
        <v>0</v>
      </c>
      <c r="O186" s="317">
        <f t="shared" si="72"/>
        <v>0</v>
      </c>
    </row>
    <row r="187" spans="1:18" ht="12.75" customHeight="1" thickBot="1" x14ac:dyDescent="0.3">
      <c r="D187" s="167"/>
      <c r="E187" s="167"/>
      <c r="F187" s="167"/>
      <c r="G187" s="168" t="s">
        <v>536</v>
      </c>
      <c r="H187" s="149"/>
      <c r="I187" s="156"/>
      <c r="J187" s="342">
        <v>-28224</v>
      </c>
      <c r="K187" s="342">
        <f>SUM(K185:K186)</f>
        <v>0</v>
      </c>
      <c r="L187" s="342">
        <f>SUM(L185:L186)</f>
        <v>0</v>
      </c>
      <c r="M187" s="342">
        <f>SUM(M185:M186)</f>
        <v>0</v>
      </c>
      <c r="N187" s="342">
        <f>SUM(N185:N186)</f>
        <v>0</v>
      </c>
      <c r="O187" s="342">
        <f>SUM(O185:O186)</f>
        <v>0</v>
      </c>
    </row>
    <row r="188" spans="1:18" ht="12.75" customHeight="1" thickTop="1" x14ac:dyDescent="0.25">
      <c r="D188" s="384"/>
      <c r="E188" s="384"/>
      <c r="F188" s="384"/>
      <c r="I188" s="114"/>
      <c r="J188" s="114"/>
      <c r="K188" s="114"/>
      <c r="L188" s="114"/>
      <c r="M188" s="114"/>
      <c r="N188" s="114"/>
      <c r="O188" s="114"/>
    </row>
    <row r="189" spans="1:18" ht="12.75" customHeight="1" x14ac:dyDescent="0.25">
      <c r="D189" s="384"/>
      <c r="E189" s="384"/>
      <c r="F189" s="384"/>
      <c r="I189" s="114"/>
      <c r="J189" s="114"/>
      <c r="K189" s="114"/>
      <c r="L189" s="114"/>
      <c r="M189" s="114"/>
      <c r="N189" s="114"/>
      <c r="O189" s="114"/>
    </row>
    <row r="190" spans="1:18" ht="12.75" customHeight="1" x14ac:dyDescent="0.25">
      <c r="D190" s="384"/>
      <c r="E190" s="381" t="s">
        <v>561</v>
      </c>
      <c r="F190" s="115"/>
      <c r="G190" s="114"/>
      <c r="H190" s="114"/>
      <c r="I190" s="114"/>
    </row>
    <row r="191" spans="1:18" ht="12.75" customHeight="1" x14ac:dyDescent="0.25">
      <c r="D191" s="384"/>
      <c r="E191" s="115"/>
      <c r="F191" s="115"/>
      <c r="G191" s="114"/>
      <c r="H191" s="114"/>
      <c r="I191" s="114"/>
      <c r="J191" s="114"/>
      <c r="K191" s="114"/>
      <c r="L191" s="114"/>
      <c r="M191" s="114"/>
      <c r="N191" s="114"/>
      <c r="O191" s="114"/>
    </row>
    <row r="192" spans="1:18" ht="12.75" customHeight="1" x14ac:dyDescent="0.25">
      <c r="D192" s="393">
        <v>651001</v>
      </c>
      <c r="E192" s="477" t="s">
        <v>5035</v>
      </c>
      <c r="F192" s="401"/>
      <c r="G192" s="114"/>
      <c r="H192" s="114"/>
      <c r="I192" s="114"/>
      <c r="J192" s="407">
        <v>2025</v>
      </c>
      <c r="K192" s="407">
        <v>2026</v>
      </c>
      <c r="L192" s="407">
        <v>2027</v>
      </c>
      <c r="M192" s="407">
        <v>2028</v>
      </c>
      <c r="N192" s="407">
        <v>2029</v>
      </c>
      <c r="O192" s="407">
        <v>2030</v>
      </c>
    </row>
    <row r="193" spans="1:15" ht="12.75" customHeight="1" x14ac:dyDescent="0.25">
      <c r="E193" s="556" t="s">
        <v>5051</v>
      </c>
      <c r="F193" s="401"/>
      <c r="G193" s="114"/>
      <c r="H193" s="114"/>
      <c r="I193" s="114"/>
      <c r="J193" s="114"/>
      <c r="K193" s="114"/>
      <c r="L193" s="114"/>
      <c r="M193" s="114"/>
      <c r="N193" s="114"/>
      <c r="O193" s="114"/>
    </row>
    <row r="194" spans="1:15" ht="12.75" customHeight="1" x14ac:dyDescent="0.25">
      <c r="E194" s="556" t="s">
        <v>533</v>
      </c>
      <c r="F194" s="401"/>
      <c r="G194" s="114"/>
      <c r="H194" s="114"/>
      <c r="I194" s="114"/>
      <c r="J194" s="114"/>
      <c r="K194" s="114"/>
      <c r="L194" s="114"/>
      <c r="M194" s="114"/>
      <c r="N194" s="114"/>
      <c r="O194" s="114"/>
    </row>
    <row r="195" spans="1:15" s="401" customFormat="1" ht="12.75" customHeight="1" x14ac:dyDescent="0.25">
      <c r="A195" s="497"/>
      <c r="D195" s="143">
        <v>43804</v>
      </c>
      <c r="E195" s="530" t="s">
        <v>5052</v>
      </c>
      <c r="G195" s="114"/>
      <c r="H195" s="114"/>
      <c r="I195" s="114"/>
      <c r="J195" s="114">
        <v>81872</v>
      </c>
      <c r="K195" s="114">
        <f t="shared" ref="K195:O196" si="73">ROUND(J195*S$2,0)</f>
        <v>84001</v>
      </c>
      <c r="L195" s="114">
        <f t="shared" si="73"/>
        <v>85765</v>
      </c>
      <c r="M195" s="114">
        <f t="shared" si="73"/>
        <v>87738</v>
      </c>
      <c r="N195" s="114">
        <f t="shared" si="73"/>
        <v>89756</v>
      </c>
      <c r="O195" s="114">
        <f t="shared" si="73"/>
        <v>91820</v>
      </c>
    </row>
    <row r="196" spans="1:15" s="401" customFormat="1" ht="12.75" customHeight="1" x14ac:dyDescent="0.25">
      <c r="A196" s="497"/>
      <c r="D196" s="143"/>
      <c r="E196" s="530" t="s">
        <v>5053</v>
      </c>
      <c r="G196" s="114"/>
      <c r="H196" s="114"/>
      <c r="I196" s="114"/>
      <c r="J196" s="114">
        <v>15000</v>
      </c>
      <c r="K196" s="114">
        <f t="shared" si="73"/>
        <v>15390</v>
      </c>
      <c r="L196" s="114">
        <f t="shared" si="73"/>
        <v>15713</v>
      </c>
      <c r="M196" s="114">
        <f t="shared" si="73"/>
        <v>16074</v>
      </c>
      <c r="N196" s="114">
        <f t="shared" si="73"/>
        <v>16444</v>
      </c>
      <c r="O196" s="114">
        <f t="shared" si="73"/>
        <v>16822</v>
      </c>
    </row>
    <row r="197" spans="1:15" s="401" customFormat="1" ht="12.75" customHeight="1" x14ac:dyDescent="0.25">
      <c r="A197" s="497"/>
      <c r="D197" s="143"/>
      <c r="E197" s="530" t="s">
        <v>5054</v>
      </c>
      <c r="G197" s="114"/>
      <c r="H197" s="114"/>
      <c r="I197" s="114"/>
      <c r="J197" s="114"/>
      <c r="K197" s="114">
        <v>50000</v>
      </c>
      <c r="L197" s="114">
        <v>50000</v>
      </c>
      <c r="M197" s="114">
        <v>50000</v>
      </c>
      <c r="N197" s="114">
        <v>50000</v>
      </c>
      <c r="O197" s="114">
        <v>50000</v>
      </c>
    </row>
    <row r="198" spans="1:15" s="401" customFormat="1" ht="12.75" customHeight="1" thickBot="1" x14ac:dyDescent="0.3">
      <c r="A198" s="497"/>
      <c r="D198" s="557"/>
      <c r="E198" s="401" t="str">
        <f>"Totaal "&amp;D302</f>
        <v>Totaal 43812</v>
      </c>
      <c r="G198" s="114"/>
      <c r="H198" s="114"/>
      <c r="I198" s="114"/>
      <c r="J198" s="1996">
        <v>96872</v>
      </c>
      <c r="K198" s="1996">
        <f>SUM(K195:K197)</f>
        <v>149391</v>
      </c>
      <c r="L198" s="1996">
        <f>SUM(L195:L197)</f>
        <v>151478</v>
      </c>
      <c r="M198" s="1996">
        <f>SUM(M195:M197)</f>
        <v>153812</v>
      </c>
      <c r="N198" s="1996">
        <f>SUM(N195:N197)</f>
        <v>156200</v>
      </c>
      <c r="O198" s="1996">
        <f>SUM(O195:O197)</f>
        <v>158642</v>
      </c>
    </row>
    <row r="199" spans="1:15" s="401" customFormat="1" ht="12.75" customHeight="1" thickTop="1" x14ac:dyDescent="0.25">
      <c r="A199" s="497"/>
      <c r="D199" s="557"/>
      <c r="G199" s="114"/>
      <c r="H199" s="114"/>
      <c r="I199" s="114"/>
      <c r="J199" s="558"/>
      <c r="K199" s="558"/>
      <c r="L199" s="558"/>
      <c r="M199" s="558"/>
      <c r="N199" s="558"/>
      <c r="O199" s="558"/>
    </row>
    <row r="200" spans="1:15" s="401" customFormat="1" ht="12.75" customHeight="1" x14ac:dyDescent="0.25">
      <c r="A200" s="497"/>
      <c r="D200" s="557"/>
      <c r="G200" s="114"/>
      <c r="H200" s="114"/>
      <c r="I200" s="114"/>
      <c r="J200" s="558"/>
      <c r="K200" s="558"/>
      <c r="L200" s="558"/>
      <c r="M200" s="558"/>
      <c r="N200" s="558"/>
      <c r="O200" s="558"/>
    </row>
    <row r="201" spans="1:15" ht="12.75" customHeight="1" x14ac:dyDescent="0.25">
      <c r="D201" s="393">
        <v>651002</v>
      </c>
      <c r="E201" s="559" t="s">
        <v>5037</v>
      </c>
      <c r="F201" s="401"/>
      <c r="G201" s="114"/>
      <c r="H201" s="114"/>
      <c r="I201" s="114"/>
      <c r="J201" s="407">
        <v>2025</v>
      </c>
      <c r="K201" s="407">
        <v>2026</v>
      </c>
      <c r="L201" s="407">
        <v>2027</v>
      </c>
      <c r="M201" s="407">
        <v>2028</v>
      </c>
      <c r="N201" s="407">
        <v>2028</v>
      </c>
      <c r="O201" s="407">
        <v>2028</v>
      </c>
    </row>
    <row r="202" spans="1:15" ht="12.75" customHeight="1" x14ac:dyDescent="0.25">
      <c r="D202" s="393"/>
      <c r="E202" s="560" t="s">
        <v>533</v>
      </c>
      <c r="F202" s="401"/>
      <c r="G202" s="114"/>
      <c r="H202" s="114"/>
      <c r="I202" s="114"/>
      <c r="J202" s="114"/>
      <c r="K202" s="114"/>
      <c r="L202" s="114"/>
      <c r="M202" s="114"/>
      <c r="N202" s="114"/>
      <c r="O202" s="114"/>
    </row>
    <row r="203" spans="1:15" ht="12.75" customHeight="1" x14ac:dyDescent="0.25">
      <c r="D203" s="143">
        <v>43511</v>
      </c>
      <c r="E203" s="306" t="s">
        <v>5073</v>
      </c>
      <c r="F203" s="563"/>
      <c r="G203" s="114"/>
      <c r="H203" s="114"/>
      <c r="I203" s="114"/>
      <c r="J203" s="114">
        <v>57716</v>
      </c>
      <c r="K203" s="114">
        <f>ROUND(J203*S$3,0)</f>
        <v>58870</v>
      </c>
      <c r="L203" s="114">
        <f>ROUND(K203*T$3,0)</f>
        <v>61343</v>
      </c>
      <c r="M203" s="114">
        <f>ROUND(L203*U$3,0)</f>
        <v>63613</v>
      </c>
      <c r="N203" s="114">
        <f>ROUND(M203*V$3,0)</f>
        <v>65967</v>
      </c>
      <c r="O203" s="114">
        <f>ROUND(N203*W$3,0)</f>
        <v>68408</v>
      </c>
    </row>
    <row r="204" spans="1:15" ht="12.75" customHeight="1" thickBot="1" x14ac:dyDescent="0.3">
      <c r="D204" s="143"/>
      <c r="E204" s="306" t="s">
        <v>711</v>
      </c>
      <c r="F204" s="563"/>
      <c r="G204" s="114"/>
      <c r="H204" s="114"/>
      <c r="I204" s="114"/>
      <c r="J204" s="1971">
        <v>57716</v>
      </c>
      <c r="K204" s="1971">
        <f>SUM(K203:K203)</f>
        <v>58870</v>
      </c>
      <c r="L204" s="1971">
        <f>SUM(L203:L203)</f>
        <v>61343</v>
      </c>
      <c r="M204" s="1971">
        <f>SUM(M203:M203)</f>
        <v>63613</v>
      </c>
      <c r="N204" s="1971">
        <f>SUM(N203:N203)</f>
        <v>65967</v>
      </c>
      <c r="O204" s="1971">
        <f>SUM(O203:O203)</f>
        <v>68408</v>
      </c>
    </row>
    <row r="205" spans="1:15" ht="12.75" customHeight="1" thickTop="1" x14ac:dyDescent="0.25">
      <c r="D205" s="143"/>
      <c r="E205" s="306"/>
      <c r="F205" s="563"/>
      <c r="G205" s="114"/>
      <c r="H205" s="114"/>
      <c r="I205" s="114"/>
      <c r="J205" s="114"/>
      <c r="K205" s="114"/>
      <c r="L205" s="114"/>
      <c r="M205" s="114"/>
      <c r="N205" s="114"/>
      <c r="O205" s="114"/>
    </row>
    <row r="206" spans="1:15" ht="12.75" customHeight="1" x14ac:dyDescent="0.25">
      <c r="D206" s="1723">
        <v>43812</v>
      </c>
      <c r="E206" s="2195" t="s">
        <v>5381</v>
      </c>
      <c r="F206" s="2282"/>
      <c r="G206" s="2177"/>
      <c r="H206" s="2177"/>
      <c r="I206" s="2177"/>
      <c r="J206" s="2177"/>
      <c r="K206" s="2177">
        <v>250000</v>
      </c>
      <c r="L206" s="2177"/>
      <c r="M206" s="2177"/>
      <c r="N206" s="2177"/>
      <c r="O206" s="2177"/>
    </row>
    <row r="207" spans="1:15" ht="12.75" customHeight="1" thickBot="1" x14ac:dyDescent="0.3">
      <c r="D207" s="143"/>
      <c r="E207" s="306" t="s">
        <v>619</v>
      </c>
      <c r="F207" s="563"/>
      <c r="G207" s="114"/>
      <c r="H207" s="114"/>
      <c r="I207" s="114"/>
      <c r="J207" s="1971">
        <f>SUM(J206)</f>
        <v>0</v>
      </c>
      <c r="K207" s="1971">
        <f t="shared" ref="K207:O207" si="74">SUM(K206)</f>
        <v>250000</v>
      </c>
      <c r="L207" s="1971">
        <f t="shared" si="74"/>
        <v>0</v>
      </c>
      <c r="M207" s="1971">
        <f t="shared" si="74"/>
        <v>0</v>
      </c>
      <c r="N207" s="1971">
        <f t="shared" si="74"/>
        <v>0</v>
      </c>
      <c r="O207" s="1971">
        <f t="shared" si="74"/>
        <v>0</v>
      </c>
    </row>
    <row r="208" spans="1:15" ht="12.75" customHeight="1" thickTop="1" x14ac:dyDescent="0.25">
      <c r="D208" s="143"/>
      <c r="E208" s="306"/>
      <c r="F208" s="563"/>
      <c r="G208" s="114"/>
      <c r="H208" s="114"/>
      <c r="I208" s="114"/>
      <c r="J208" s="114"/>
      <c r="K208" s="114"/>
      <c r="L208" s="114"/>
      <c r="M208" s="114"/>
      <c r="N208" s="114"/>
      <c r="O208" s="114"/>
    </row>
    <row r="209" spans="1:24" ht="12.75" customHeight="1" x14ac:dyDescent="0.25">
      <c r="D209" s="393">
        <v>651004</v>
      </c>
      <c r="E209" s="559" t="s">
        <v>5055</v>
      </c>
      <c r="F209" s="401"/>
      <c r="G209" s="114"/>
      <c r="H209" s="114"/>
      <c r="I209" s="114"/>
      <c r="J209" s="407">
        <v>2025</v>
      </c>
      <c r="K209" s="407">
        <v>2026</v>
      </c>
      <c r="L209" s="407">
        <v>2027</v>
      </c>
      <c r="M209" s="407">
        <v>2028</v>
      </c>
      <c r="N209" s="407">
        <v>2029</v>
      </c>
      <c r="O209" s="407">
        <v>2030</v>
      </c>
    </row>
    <row r="210" spans="1:24" ht="12.75" customHeight="1" x14ac:dyDescent="0.25">
      <c r="D210" s="393"/>
      <c r="E210" s="560" t="s">
        <v>533</v>
      </c>
      <c r="F210" s="401"/>
      <c r="G210" s="114"/>
      <c r="H210" s="114"/>
      <c r="I210" s="114"/>
      <c r="J210" s="114"/>
      <c r="K210" s="114"/>
      <c r="L210" s="114"/>
      <c r="M210" s="114"/>
      <c r="N210" s="114"/>
      <c r="O210" s="114"/>
    </row>
    <row r="211" spans="1:24" ht="12.75" customHeight="1" x14ac:dyDescent="0.25">
      <c r="D211" s="143">
        <v>43812</v>
      </c>
      <c r="E211" s="306" t="s">
        <v>5056</v>
      </c>
      <c r="F211" s="401"/>
      <c r="G211" s="114"/>
      <c r="H211" s="114"/>
      <c r="I211" s="114"/>
      <c r="J211" s="114">
        <v>16853</v>
      </c>
      <c r="K211" s="114">
        <f>ROUND(J211*S$2,0)</f>
        <v>17291</v>
      </c>
      <c r="L211" s="114">
        <f>ROUND(K211*T$2,0)</f>
        <v>17654</v>
      </c>
      <c r="M211" s="114">
        <f>ROUND(L211*U$2,0)</f>
        <v>18060</v>
      </c>
      <c r="N211" s="114">
        <f>ROUND(M211*V$2,0)</f>
        <v>18475</v>
      </c>
      <c r="O211" s="114">
        <f>ROUND(N211*W$2,0)</f>
        <v>18900</v>
      </c>
    </row>
    <row r="212" spans="1:24" ht="12.75" customHeight="1" thickBot="1" x14ac:dyDescent="0.3">
      <c r="D212" s="143"/>
      <c r="E212" s="306" t="s">
        <v>619</v>
      </c>
      <c r="F212" s="401"/>
      <c r="G212" s="114"/>
      <c r="H212" s="114"/>
      <c r="I212" s="114"/>
      <c r="J212" s="1971">
        <v>16853</v>
      </c>
      <c r="K212" s="1971">
        <f>SUM(K211:K211)</f>
        <v>17291</v>
      </c>
      <c r="L212" s="1971">
        <f>SUM(L211:L211)</f>
        <v>17654</v>
      </c>
      <c r="M212" s="1971">
        <f>SUM(M211:M211)</f>
        <v>18060</v>
      </c>
      <c r="N212" s="1971">
        <f>SUM(N211:N211)</f>
        <v>18475</v>
      </c>
      <c r="O212" s="1971">
        <f>SUM(O211:O211)</f>
        <v>18900</v>
      </c>
    </row>
    <row r="213" spans="1:24" ht="12.75" customHeight="1" thickTop="1" x14ac:dyDescent="0.25">
      <c r="D213" s="143"/>
      <c r="E213" s="306"/>
      <c r="F213" s="401"/>
      <c r="G213" s="114"/>
      <c r="H213" s="114"/>
      <c r="I213" s="114"/>
      <c r="J213" s="114"/>
      <c r="K213" s="114"/>
      <c r="L213" s="114"/>
      <c r="M213" s="114"/>
      <c r="N213" s="114"/>
      <c r="O213" s="114"/>
    </row>
    <row r="214" spans="1:24" ht="12.75" customHeight="1" x14ac:dyDescent="0.25">
      <c r="D214" s="393">
        <v>651003</v>
      </c>
      <c r="E214" s="559" t="s">
        <v>5038</v>
      </c>
      <c r="F214" s="401"/>
      <c r="G214" s="114"/>
      <c r="H214" s="114"/>
      <c r="I214" s="114"/>
      <c r="J214" s="407">
        <v>2025</v>
      </c>
      <c r="K214" s="407">
        <v>2026</v>
      </c>
      <c r="L214" s="407">
        <v>2027</v>
      </c>
      <c r="M214" s="407">
        <v>2028</v>
      </c>
      <c r="N214" s="407">
        <v>2029</v>
      </c>
      <c r="O214" s="407">
        <v>2030</v>
      </c>
    </row>
    <row r="215" spans="1:24" ht="12.75" customHeight="1" x14ac:dyDescent="0.25">
      <c r="D215" s="393"/>
      <c r="E215" s="560" t="s">
        <v>533</v>
      </c>
      <c r="F215" s="401"/>
      <c r="G215" s="114"/>
      <c r="H215" s="114"/>
      <c r="I215" s="114"/>
      <c r="J215" s="114"/>
      <c r="K215" s="114"/>
      <c r="L215" s="114"/>
      <c r="M215" s="114"/>
      <c r="N215" s="114"/>
      <c r="O215" s="114"/>
    </row>
    <row r="216" spans="1:24" s="305" customFormat="1" ht="12.75" customHeight="1" x14ac:dyDescent="0.25">
      <c r="A216" s="301"/>
      <c r="B216" s="115"/>
      <c r="C216" s="115"/>
      <c r="D216" s="143">
        <v>43511</v>
      </c>
      <c r="E216" s="398" t="s">
        <v>5057</v>
      </c>
      <c r="F216" s="401"/>
      <c r="G216" s="115"/>
      <c r="H216" s="114"/>
      <c r="I216" s="114"/>
      <c r="J216" s="114">
        <v>50000</v>
      </c>
      <c r="K216" s="114">
        <f>ROUND(J216*S$2,0)</f>
        <v>51300</v>
      </c>
      <c r="L216" s="114">
        <f>ROUND(K216*T$2,0)</f>
        <v>52377</v>
      </c>
      <c r="M216" s="114">
        <f>ROUND(L216*U$2,0)</f>
        <v>53582</v>
      </c>
      <c r="N216" s="114">
        <f>ROUND(M216*V$2,0)</f>
        <v>54814</v>
      </c>
      <c r="O216" s="2123">
        <f>ROUND(N216*W$2,0)</f>
        <v>56075</v>
      </c>
      <c r="P216" s="115" t="s">
        <v>5293</v>
      </c>
      <c r="Q216" s="115"/>
      <c r="R216" s="115"/>
      <c r="S216" s="115"/>
      <c r="T216" s="115"/>
      <c r="U216" s="115"/>
      <c r="V216" s="115"/>
      <c r="W216" s="115"/>
      <c r="X216" s="115"/>
    </row>
    <row r="217" spans="1:24" ht="12.75" customHeight="1" x14ac:dyDescent="0.25">
      <c r="D217" s="143">
        <v>43511</v>
      </c>
      <c r="E217" s="490" t="s">
        <v>5058</v>
      </c>
      <c r="F217" s="401"/>
      <c r="G217" s="114"/>
      <c r="H217" s="114"/>
      <c r="I217" s="114"/>
      <c r="J217" s="114">
        <v>150000</v>
      </c>
      <c r="K217" s="114">
        <f>ROUND(J217*S3,-2)</f>
        <v>153000</v>
      </c>
      <c r="L217" s="114">
        <f>ROUND(K217*T3,-2)</f>
        <v>159400</v>
      </c>
      <c r="M217" s="114">
        <f>ROUND(L217*U3,-2)</f>
        <v>165300</v>
      </c>
      <c r="N217" s="114">
        <f>ROUND(M217*V3,-2)</f>
        <v>171400</v>
      </c>
      <c r="O217" s="2123">
        <f>ROUND(N217*W3,-2)</f>
        <v>177700</v>
      </c>
      <c r="P217" s="115" t="s">
        <v>5294</v>
      </c>
      <c r="Q217" s="115" t="s">
        <v>5295</v>
      </c>
      <c r="R217" s="114"/>
      <c r="S217" s="114"/>
      <c r="T217" s="114"/>
    </row>
    <row r="218" spans="1:24" s="305" customFormat="1" ht="12.75" customHeight="1" x14ac:dyDescent="0.25">
      <c r="A218" s="301"/>
      <c r="B218" s="115"/>
      <c r="C218" s="115"/>
      <c r="D218" s="143"/>
      <c r="E218" s="398"/>
      <c r="F218" s="401"/>
      <c r="G218" s="115"/>
      <c r="H218" s="114"/>
      <c r="I218" s="114"/>
      <c r="J218" s="114"/>
      <c r="K218" s="114"/>
      <c r="L218" s="114"/>
      <c r="M218" s="114"/>
      <c r="N218" s="114"/>
      <c r="O218" s="114"/>
      <c r="P218" s="115"/>
      <c r="Q218" s="115"/>
      <c r="R218" s="115"/>
      <c r="S218" s="115"/>
      <c r="T218" s="115"/>
      <c r="U218" s="115"/>
      <c r="V218" s="115"/>
      <c r="W218" s="115"/>
      <c r="X218" s="115"/>
    </row>
    <row r="219" spans="1:24" s="305" customFormat="1" ht="12.75" customHeight="1" thickBot="1" x14ac:dyDescent="0.3">
      <c r="A219" s="301"/>
      <c r="B219" s="115"/>
      <c r="C219" s="115"/>
      <c r="D219" s="143"/>
      <c r="E219" s="401" t="s">
        <v>711</v>
      </c>
      <c r="F219" s="399"/>
      <c r="G219" s="114"/>
      <c r="H219" s="114"/>
      <c r="I219" s="114"/>
      <c r="J219" s="1971">
        <v>200000</v>
      </c>
      <c r="K219" s="1971">
        <f>SUM(K216:K218)</f>
        <v>204300</v>
      </c>
      <c r="L219" s="1971">
        <f>SUM(L216:L218)</f>
        <v>211777</v>
      </c>
      <c r="M219" s="1971">
        <f>SUM(M216:M218)</f>
        <v>218882</v>
      </c>
      <c r="N219" s="1971">
        <f>SUM(N216:N218)</f>
        <v>226214</v>
      </c>
      <c r="O219" s="1971">
        <f>SUM(O216:O218)</f>
        <v>233775</v>
      </c>
      <c r="P219" s="115"/>
      <c r="Q219" s="115"/>
      <c r="R219" s="115"/>
      <c r="S219" s="115"/>
      <c r="T219" s="115"/>
      <c r="U219" s="115"/>
      <c r="V219" s="115"/>
      <c r="W219" s="115"/>
      <c r="X219" s="115"/>
    </row>
    <row r="220" spans="1:24" ht="12.75" customHeight="1" thickTop="1" x14ac:dyDescent="0.25">
      <c r="D220" s="143"/>
      <c r="E220" s="306"/>
      <c r="F220" s="401"/>
      <c r="G220" s="114"/>
      <c r="H220" s="114"/>
      <c r="I220" s="114"/>
      <c r="J220" s="114"/>
      <c r="K220" s="114"/>
      <c r="L220" s="114"/>
      <c r="M220" s="114"/>
      <c r="N220" s="114"/>
      <c r="O220" s="114"/>
    </row>
    <row r="221" spans="1:24" s="305" customFormat="1" ht="12.75" customHeight="1" x14ac:dyDescent="0.25">
      <c r="A221" s="301"/>
      <c r="B221" s="115"/>
      <c r="C221" s="115"/>
      <c r="D221" s="393">
        <v>651005</v>
      </c>
      <c r="E221" s="561" t="s">
        <v>5059</v>
      </c>
      <c r="F221" s="562"/>
      <c r="G221" s="114"/>
      <c r="H221" s="114"/>
      <c r="I221" s="114"/>
      <c r="J221" s="407">
        <v>2025</v>
      </c>
      <c r="K221" s="407">
        <v>2026</v>
      </c>
      <c r="L221" s="407">
        <v>2027</v>
      </c>
      <c r="M221" s="407">
        <v>2028</v>
      </c>
      <c r="N221" s="407">
        <v>2029</v>
      </c>
      <c r="O221" s="407">
        <v>2030</v>
      </c>
      <c r="P221" s="115"/>
      <c r="Q221" s="115"/>
      <c r="R221" s="115"/>
      <c r="S221" s="115"/>
      <c r="T221" s="115"/>
      <c r="U221" s="115"/>
      <c r="V221" s="115"/>
      <c r="W221" s="115"/>
      <c r="X221" s="115"/>
    </row>
    <row r="222" spans="1:24" s="305" customFormat="1" ht="12.75" customHeight="1" x14ac:dyDescent="0.25">
      <c r="A222" s="301"/>
      <c r="B222" s="115"/>
      <c r="C222" s="115"/>
      <c r="D222" s="143"/>
      <c r="E222" s="563" t="s">
        <v>533</v>
      </c>
      <c r="F222" s="399"/>
      <c r="G222" s="114"/>
      <c r="H222" s="114"/>
      <c r="I222" s="114"/>
      <c r="J222" s="114"/>
      <c r="K222" s="114"/>
      <c r="L222" s="114"/>
      <c r="M222" s="114"/>
      <c r="N222" s="114"/>
      <c r="O222" s="114"/>
      <c r="P222" s="115"/>
      <c r="Q222" s="115"/>
      <c r="R222" s="115"/>
      <c r="S222" s="115"/>
      <c r="T222" s="115"/>
      <c r="U222" s="115"/>
      <c r="V222" s="115"/>
      <c r="W222" s="115"/>
      <c r="X222" s="115"/>
    </row>
    <row r="223" spans="1:24" s="305" customFormat="1" ht="12.75" customHeight="1" x14ac:dyDescent="0.25">
      <c r="A223" s="301"/>
      <c r="B223" s="115"/>
      <c r="C223" s="115"/>
      <c r="D223" s="143">
        <v>44380</v>
      </c>
      <c r="E223" s="530" t="s">
        <v>5060</v>
      </c>
      <c r="F223" s="399"/>
      <c r="G223" s="114"/>
      <c r="H223" s="114"/>
      <c r="I223" s="114"/>
      <c r="J223" s="114">
        <v>11235</v>
      </c>
      <c r="K223" s="114">
        <f>ROUND(J223*S$2,0)</f>
        <v>11527</v>
      </c>
      <c r="L223" s="114">
        <f>ROUND(K223*T$2,0)</f>
        <v>11769</v>
      </c>
      <c r="M223" s="114">
        <f>ROUND(L223*U$2,0)</f>
        <v>12040</v>
      </c>
      <c r="N223" s="114">
        <f>ROUND(M223*V$2,0)</f>
        <v>12317</v>
      </c>
      <c r="O223" s="114">
        <f>ROUND(N223*W$2,0)</f>
        <v>12600</v>
      </c>
      <c r="P223" s="115"/>
      <c r="Q223" s="115"/>
      <c r="R223" s="115"/>
      <c r="S223" s="115"/>
      <c r="T223" s="115"/>
      <c r="U223" s="115"/>
      <c r="V223" s="115"/>
      <c r="W223" s="115"/>
      <c r="X223" s="115"/>
    </row>
    <row r="224" spans="1:24" s="305" customFormat="1" ht="12.75" customHeight="1" x14ac:dyDescent="0.25">
      <c r="A224" s="301"/>
      <c r="B224" s="115"/>
      <c r="C224" s="115"/>
      <c r="D224" s="143"/>
      <c r="E224" s="530" t="s">
        <v>5061</v>
      </c>
      <c r="F224" s="399"/>
      <c r="G224" s="114"/>
      <c r="H224" s="114"/>
      <c r="I224" s="114"/>
      <c r="J224" s="114">
        <v>5000</v>
      </c>
      <c r="K224" s="114">
        <v>5000</v>
      </c>
      <c r="L224" s="114">
        <v>5000</v>
      </c>
      <c r="M224" s="114">
        <v>0</v>
      </c>
      <c r="N224" s="114">
        <v>0</v>
      </c>
      <c r="O224" s="114">
        <v>0</v>
      </c>
      <c r="P224" s="114" t="s">
        <v>5062</v>
      </c>
      <c r="Q224" s="114"/>
      <c r="R224" s="115"/>
      <c r="S224" s="115"/>
      <c r="T224" s="115"/>
      <c r="U224" s="115"/>
      <c r="V224" s="115"/>
      <c r="W224" s="115"/>
      <c r="X224" s="115"/>
    </row>
    <row r="225" spans="1:24" s="305" customFormat="1" ht="12.75" customHeight="1" x14ac:dyDescent="0.25">
      <c r="A225" s="301"/>
      <c r="B225" s="115"/>
      <c r="C225" s="115"/>
      <c r="D225" s="143"/>
      <c r="E225" s="530" t="s">
        <v>5063</v>
      </c>
      <c r="F225" s="399"/>
      <c r="G225" s="114"/>
      <c r="H225" s="114"/>
      <c r="I225" s="114"/>
      <c r="J225" s="114">
        <v>15000</v>
      </c>
      <c r="K225" s="114">
        <v>15000</v>
      </c>
      <c r="L225" s="114">
        <v>15000</v>
      </c>
      <c r="M225" s="114">
        <v>15000</v>
      </c>
      <c r="N225" s="114">
        <v>15000</v>
      </c>
      <c r="O225" s="114">
        <v>15000</v>
      </c>
      <c r="P225" s="115"/>
      <c r="Q225" s="115"/>
      <c r="R225" s="115"/>
      <c r="S225" s="115"/>
      <c r="T225" s="115"/>
      <c r="U225" s="115"/>
      <c r="V225" s="115"/>
      <c r="W225" s="115"/>
      <c r="X225" s="115"/>
    </row>
    <row r="226" spans="1:24" s="305" customFormat="1" ht="12.75" customHeight="1" thickBot="1" x14ac:dyDescent="0.3">
      <c r="A226" s="301"/>
      <c r="B226" s="115"/>
      <c r="C226" s="115"/>
      <c r="D226" s="143"/>
      <c r="E226" s="401" t="s">
        <v>536</v>
      </c>
      <c r="F226" s="399"/>
      <c r="G226" s="114"/>
      <c r="H226" s="114"/>
      <c r="I226" s="114"/>
      <c r="J226" s="1971">
        <v>31235</v>
      </c>
      <c r="K226" s="1971">
        <f t="shared" ref="K226:M226" si="75">SUM(K223:K225)</f>
        <v>31527</v>
      </c>
      <c r="L226" s="1971">
        <f t="shared" si="75"/>
        <v>31769</v>
      </c>
      <c r="M226" s="1971">
        <f t="shared" si="75"/>
        <v>27040</v>
      </c>
      <c r="N226" s="1971">
        <f t="shared" ref="N226:O226" si="76">SUM(N223:N225)</f>
        <v>27317</v>
      </c>
      <c r="O226" s="1971">
        <f t="shared" si="76"/>
        <v>27600</v>
      </c>
      <c r="P226" s="115"/>
      <c r="Q226" s="115"/>
      <c r="R226" s="115"/>
      <c r="S226" s="115"/>
      <c r="T226" s="115"/>
      <c r="U226" s="115"/>
      <c r="V226" s="115"/>
      <c r="W226" s="115"/>
      <c r="X226" s="115"/>
    </row>
    <row r="227" spans="1:24" s="305" customFormat="1" ht="12.75" customHeight="1" thickTop="1" x14ac:dyDescent="0.25">
      <c r="A227" s="301"/>
      <c r="B227" s="115"/>
      <c r="C227" s="115"/>
      <c r="D227" s="143"/>
      <c r="E227" s="401"/>
      <c r="F227" s="399"/>
      <c r="G227" s="114"/>
      <c r="H227" s="114"/>
      <c r="I227" s="114"/>
      <c r="J227" s="114"/>
      <c r="K227" s="114"/>
      <c r="L227" s="114"/>
      <c r="M227" s="114"/>
      <c r="N227" s="114"/>
      <c r="O227" s="114"/>
      <c r="P227" s="115"/>
      <c r="Q227" s="115"/>
      <c r="R227" s="115"/>
      <c r="S227" s="115"/>
      <c r="T227" s="115"/>
      <c r="U227" s="115"/>
      <c r="V227" s="115"/>
      <c r="W227" s="115"/>
      <c r="X227" s="115"/>
    </row>
    <row r="228" spans="1:24" s="305" customFormat="1" ht="12.75" customHeight="1" x14ac:dyDescent="0.25">
      <c r="A228" s="301"/>
      <c r="B228" s="115"/>
      <c r="C228" s="115"/>
      <c r="D228" s="393">
        <v>651007</v>
      </c>
      <c r="E228" s="561" t="s">
        <v>5015</v>
      </c>
      <c r="F228" s="399"/>
      <c r="G228" s="114"/>
      <c r="H228" s="114"/>
      <c r="I228" s="114"/>
      <c r="J228" s="114"/>
      <c r="K228" s="114"/>
      <c r="L228" s="114"/>
      <c r="M228" s="114"/>
      <c r="N228" s="114"/>
      <c r="O228" s="114"/>
      <c r="P228" s="115"/>
      <c r="Q228" s="115"/>
      <c r="R228" s="115"/>
      <c r="S228" s="115"/>
      <c r="T228" s="115"/>
      <c r="U228" s="115"/>
      <c r="V228" s="115"/>
      <c r="W228" s="115"/>
      <c r="X228" s="115"/>
    </row>
    <row r="229" spans="1:24" s="305" customFormat="1" ht="12.75" customHeight="1" x14ac:dyDescent="0.25">
      <c r="A229" s="301"/>
      <c r="B229" s="115"/>
      <c r="C229" s="115"/>
      <c r="D229" s="143"/>
      <c r="E229" s="563" t="s">
        <v>533</v>
      </c>
      <c r="F229" s="399"/>
      <c r="G229" s="114"/>
      <c r="H229" s="114"/>
      <c r="I229" s="114"/>
      <c r="J229" s="114"/>
      <c r="K229" s="114"/>
      <c r="L229" s="114"/>
      <c r="M229" s="114"/>
      <c r="N229" s="114"/>
      <c r="O229" s="114"/>
      <c r="P229" s="115"/>
      <c r="Q229" s="115"/>
      <c r="R229" s="115"/>
      <c r="S229" s="115"/>
      <c r="T229" s="115"/>
      <c r="U229" s="115"/>
      <c r="V229" s="115"/>
      <c r="W229" s="115"/>
      <c r="X229" s="115"/>
    </row>
    <row r="230" spans="1:24" s="305" customFormat="1" ht="12.75" customHeight="1" x14ac:dyDescent="0.25">
      <c r="A230" s="301"/>
      <c r="B230" s="115"/>
      <c r="C230" s="115"/>
      <c r="D230" s="143">
        <v>43100</v>
      </c>
      <c r="E230" s="401" t="s">
        <v>5064</v>
      </c>
      <c r="F230" s="399"/>
      <c r="G230" s="114"/>
      <c r="H230" s="114"/>
      <c r="I230" s="114"/>
      <c r="J230" s="114">
        <v>1416143</v>
      </c>
      <c r="K230" s="114">
        <v>1416143</v>
      </c>
      <c r="L230" s="114"/>
      <c r="M230" s="114"/>
      <c r="N230" s="114"/>
      <c r="O230" s="114"/>
      <c r="P230" s="115"/>
      <c r="Q230" s="115"/>
      <c r="R230" s="115"/>
      <c r="S230" s="115"/>
      <c r="T230" s="115"/>
      <c r="U230" s="115"/>
      <c r="V230" s="115"/>
      <c r="W230" s="115"/>
      <c r="X230" s="115"/>
    </row>
    <row r="231" spans="1:24" s="305" customFormat="1" ht="12.75" customHeight="1" x14ac:dyDescent="0.25">
      <c r="A231" s="301"/>
      <c r="B231" s="115"/>
      <c r="C231" s="115"/>
      <c r="D231" s="1723">
        <v>43100</v>
      </c>
      <c r="E231" s="1719" t="s">
        <v>5404</v>
      </c>
      <c r="F231" s="2175"/>
      <c r="G231" s="2177"/>
      <c r="H231" s="2177"/>
      <c r="I231" s="2177"/>
      <c r="J231" s="2177">
        <v>-1416143</v>
      </c>
      <c r="K231" s="2177">
        <v>1416143</v>
      </c>
      <c r="L231" s="2177"/>
      <c r="M231" s="2177"/>
      <c r="N231" s="2177"/>
      <c r="O231" s="2177"/>
      <c r="P231" s="115"/>
      <c r="Q231" s="115"/>
      <c r="R231" s="115"/>
      <c r="S231" s="115"/>
      <c r="T231" s="115"/>
      <c r="U231" s="115"/>
      <c r="V231" s="115"/>
      <c r="W231" s="115"/>
      <c r="X231" s="115"/>
    </row>
    <row r="232" spans="1:24" s="305" customFormat="1" ht="12.75" customHeight="1" x14ac:dyDescent="0.25">
      <c r="A232" s="301"/>
      <c r="B232" s="115"/>
      <c r="C232" s="115"/>
      <c r="D232" s="143">
        <v>43812</v>
      </c>
      <c r="E232" s="401" t="s">
        <v>5065</v>
      </c>
      <c r="F232" s="399"/>
      <c r="G232" s="114"/>
      <c r="H232" s="114"/>
      <c r="I232" s="114"/>
      <c r="J232" s="114">
        <v>375000</v>
      </c>
      <c r="K232" s="114">
        <v>133432</v>
      </c>
      <c r="L232" s="114">
        <v>58432</v>
      </c>
      <c r="M232" s="114">
        <v>58432</v>
      </c>
      <c r="N232" s="114">
        <v>58432</v>
      </c>
      <c r="O232" s="114">
        <v>58432</v>
      </c>
      <c r="P232" s="115"/>
      <c r="Q232" s="115"/>
      <c r="R232" s="115"/>
      <c r="S232" s="115"/>
      <c r="T232" s="115"/>
      <c r="U232" s="115"/>
      <c r="V232" s="115"/>
      <c r="W232" s="115"/>
      <c r="X232" s="115"/>
    </row>
    <row r="233" spans="1:24" s="305" customFormat="1" ht="12.75" customHeight="1" x14ac:dyDescent="0.25">
      <c r="A233" s="301"/>
      <c r="B233" s="115"/>
      <c r="C233" s="115"/>
      <c r="D233" s="143"/>
      <c r="E233" s="401"/>
      <c r="F233" s="399"/>
      <c r="G233" s="114"/>
      <c r="H233" s="114"/>
      <c r="I233" s="114"/>
      <c r="J233" s="114"/>
      <c r="K233" s="114"/>
      <c r="L233" s="114"/>
      <c r="M233" s="114"/>
      <c r="N233" s="114"/>
      <c r="O233" s="114"/>
      <c r="P233" s="115"/>
      <c r="Q233" s="115"/>
      <c r="R233" s="115"/>
      <c r="S233" s="115"/>
      <c r="T233" s="115"/>
      <c r="U233" s="115"/>
      <c r="V233" s="115"/>
      <c r="W233" s="115"/>
      <c r="X233" s="115"/>
    </row>
    <row r="234" spans="1:24" s="305" customFormat="1" ht="12.75" customHeight="1" thickBot="1" x14ac:dyDescent="0.3">
      <c r="A234" s="301"/>
      <c r="B234" s="115"/>
      <c r="C234" s="115"/>
      <c r="D234" s="143"/>
      <c r="E234" s="401" t="s">
        <v>536</v>
      </c>
      <c r="F234" s="399"/>
      <c r="G234" s="114"/>
      <c r="H234" s="114"/>
      <c r="I234" s="114"/>
      <c r="J234" s="1971">
        <f>1791143+J231</f>
        <v>375000</v>
      </c>
      <c r="K234" s="1971">
        <f t="shared" ref="K234:N234" si="77">SUM(K230:K232)</f>
        <v>2965718</v>
      </c>
      <c r="L234" s="1971">
        <f t="shared" si="77"/>
        <v>58432</v>
      </c>
      <c r="M234" s="1971">
        <f t="shared" si="77"/>
        <v>58432</v>
      </c>
      <c r="N234" s="1971">
        <f t="shared" si="77"/>
        <v>58432</v>
      </c>
      <c r="O234" s="1971">
        <f t="shared" ref="O234" si="78">SUM(O230:O232)</f>
        <v>58432</v>
      </c>
      <c r="P234" s="115"/>
      <c r="Q234" s="115"/>
      <c r="R234" s="115"/>
      <c r="S234" s="115"/>
      <c r="T234" s="115"/>
      <c r="U234" s="115"/>
      <c r="V234" s="115"/>
      <c r="W234" s="115"/>
      <c r="X234" s="115"/>
    </row>
    <row r="235" spans="1:24" s="305" customFormat="1" ht="12.75" customHeight="1" thickTop="1" x14ac:dyDescent="0.25">
      <c r="A235" s="301"/>
      <c r="B235" s="115"/>
      <c r="C235" s="115"/>
      <c r="D235" s="143"/>
      <c r="E235" s="401"/>
      <c r="F235" s="399"/>
      <c r="G235" s="114"/>
      <c r="H235" s="114"/>
      <c r="I235" s="114"/>
      <c r="J235" s="114"/>
      <c r="K235" s="114"/>
      <c r="L235" s="114"/>
      <c r="M235" s="114"/>
      <c r="N235" s="114"/>
      <c r="O235" s="114"/>
      <c r="P235" s="115"/>
      <c r="Q235" s="115"/>
      <c r="R235" s="115"/>
      <c r="S235" s="115"/>
      <c r="T235" s="115"/>
      <c r="U235" s="115"/>
      <c r="V235" s="115"/>
      <c r="W235" s="115"/>
      <c r="X235" s="115"/>
    </row>
    <row r="236" spans="1:24" s="305" customFormat="1" ht="12.75" customHeight="1" x14ac:dyDescent="0.25">
      <c r="A236" s="301"/>
      <c r="B236" s="115"/>
      <c r="C236" s="115"/>
      <c r="D236" s="143"/>
      <c r="E236" s="401"/>
      <c r="F236" s="399"/>
      <c r="G236" s="114"/>
      <c r="H236" s="114"/>
      <c r="I236" s="114"/>
      <c r="J236" s="114"/>
      <c r="K236" s="114"/>
      <c r="L236" s="114"/>
      <c r="M236" s="114"/>
      <c r="N236" s="114"/>
      <c r="O236" s="114"/>
      <c r="P236" s="115"/>
      <c r="Q236" s="115"/>
      <c r="R236" s="115"/>
      <c r="S236" s="115"/>
      <c r="T236" s="115"/>
      <c r="U236" s="115"/>
      <c r="V236" s="115"/>
      <c r="W236" s="115"/>
      <c r="X236" s="115"/>
    </row>
    <row r="237" spans="1:24" s="305" customFormat="1" ht="12.75" customHeight="1" x14ac:dyDescent="0.25">
      <c r="A237" s="301"/>
      <c r="B237" s="115"/>
      <c r="C237" s="115"/>
      <c r="D237" s="393">
        <v>651008</v>
      </c>
      <c r="E237" s="381" t="s">
        <v>5042</v>
      </c>
      <c r="F237" s="562"/>
      <c r="G237" s="114"/>
      <c r="H237" s="114"/>
      <c r="I237" s="114"/>
      <c r="J237" s="407">
        <v>2025</v>
      </c>
      <c r="K237" s="407">
        <v>2026</v>
      </c>
      <c r="L237" s="407">
        <v>2027</v>
      </c>
      <c r="M237" s="407">
        <v>2028</v>
      </c>
      <c r="N237" s="407">
        <v>2029</v>
      </c>
      <c r="O237" s="407">
        <v>2030</v>
      </c>
      <c r="P237" s="115"/>
      <c r="Q237" s="115"/>
      <c r="R237" s="115"/>
      <c r="S237" s="115"/>
      <c r="T237" s="115"/>
      <c r="U237" s="115"/>
      <c r="V237" s="115"/>
      <c r="W237" s="115"/>
      <c r="X237" s="115"/>
    </row>
    <row r="238" spans="1:24" s="305" customFormat="1" ht="12.75" customHeight="1" x14ac:dyDescent="0.25">
      <c r="A238" s="301"/>
      <c r="B238" s="115"/>
      <c r="C238" s="115"/>
      <c r="D238" s="143"/>
      <c r="E238" s="563" t="s">
        <v>533</v>
      </c>
      <c r="F238" s="399"/>
      <c r="G238" s="114"/>
      <c r="H238" s="114"/>
      <c r="I238" s="114"/>
      <c r="J238" s="114"/>
      <c r="K238" s="114"/>
      <c r="L238" s="114"/>
      <c r="M238" s="114"/>
      <c r="N238" s="114"/>
      <c r="O238" s="114"/>
      <c r="P238" s="115"/>
      <c r="Q238" s="115"/>
      <c r="R238" s="115"/>
      <c r="S238" s="115"/>
      <c r="T238" s="115"/>
      <c r="U238" s="115"/>
      <c r="V238" s="115"/>
      <c r="W238" s="115"/>
      <c r="X238" s="115"/>
    </row>
    <row r="239" spans="1:24" s="305" customFormat="1" ht="12.75" customHeight="1" x14ac:dyDescent="0.25">
      <c r="A239" s="301"/>
      <c r="B239" s="115"/>
      <c r="C239" s="115"/>
      <c r="D239" s="143">
        <v>41100</v>
      </c>
      <c r="E239" s="115" t="s">
        <v>541</v>
      </c>
      <c r="F239" s="399"/>
      <c r="G239" s="114"/>
      <c r="H239" s="114"/>
      <c r="I239" s="114"/>
      <c r="J239" s="114"/>
      <c r="K239" s="114"/>
      <c r="L239" s="114"/>
      <c r="M239" s="114"/>
      <c r="N239" s="114"/>
      <c r="O239" s="114"/>
      <c r="P239" s="115"/>
      <c r="Q239" s="115"/>
      <c r="R239" s="115"/>
      <c r="S239" s="115"/>
      <c r="T239" s="115"/>
      <c r="U239" s="115"/>
      <c r="V239" s="115"/>
      <c r="W239" s="115"/>
      <c r="X239" s="115"/>
    </row>
    <row r="240" spans="1:24" s="305" customFormat="1" ht="12.75" customHeight="1" x14ac:dyDescent="0.25">
      <c r="A240" s="301"/>
      <c r="B240" s="115"/>
      <c r="C240" s="115"/>
      <c r="D240" s="143"/>
      <c r="E240" s="530" t="s">
        <v>5066</v>
      </c>
      <c r="F240" s="399"/>
      <c r="G240" s="114"/>
      <c r="H240" s="114"/>
      <c r="I240" s="114"/>
      <c r="J240" s="114">
        <v>160000</v>
      </c>
      <c r="K240" s="114">
        <f>ROUND(J240*S$3,-2)</f>
        <v>163200</v>
      </c>
      <c r="L240" s="114">
        <f>ROUND(K240*T$3,-2)</f>
        <v>170100</v>
      </c>
      <c r="M240" s="114">
        <v>0</v>
      </c>
      <c r="N240" s="114">
        <v>0</v>
      </c>
      <c r="O240" s="114">
        <v>0</v>
      </c>
      <c r="P240" s="115"/>
      <c r="Q240" s="115"/>
      <c r="R240" s="115"/>
      <c r="S240" s="115"/>
      <c r="T240" s="115"/>
      <c r="U240" s="115"/>
      <c r="V240" s="115"/>
      <c r="W240" s="115"/>
      <c r="X240" s="115"/>
    </row>
    <row r="241" spans="1:24" s="305" customFormat="1" ht="12.75" customHeight="1" thickBot="1" x14ac:dyDescent="0.3">
      <c r="A241" s="301"/>
      <c r="B241" s="115"/>
      <c r="C241" s="115"/>
      <c r="D241" s="143"/>
      <c r="E241" s="401"/>
      <c r="F241" s="399"/>
      <c r="G241" s="114"/>
      <c r="H241" s="114"/>
      <c r="I241" s="114"/>
      <c r="J241" s="1971">
        <v>160000</v>
      </c>
      <c r="K241" s="1971">
        <f>SUM(K240:K240)</f>
        <v>163200</v>
      </c>
      <c r="L241" s="1971">
        <f>SUM(L240:L240)</f>
        <v>170100</v>
      </c>
      <c r="M241" s="1971">
        <f>SUM(M240:M240)</f>
        <v>0</v>
      </c>
      <c r="N241" s="1971">
        <f>SUM(N240:N240)</f>
        <v>0</v>
      </c>
      <c r="O241" s="1971">
        <f>SUM(O240:O240)</f>
        <v>0</v>
      </c>
      <c r="P241" s="115"/>
      <c r="Q241" s="115"/>
      <c r="R241" s="115"/>
      <c r="S241" s="115"/>
      <c r="T241" s="115"/>
      <c r="U241" s="115"/>
      <c r="V241" s="115"/>
      <c r="W241" s="115"/>
      <c r="X241" s="115"/>
    </row>
    <row r="242" spans="1:24" s="305" customFormat="1" ht="12.75" customHeight="1" thickTop="1" x14ac:dyDescent="0.25">
      <c r="A242" s="301"/>
      <c r="B242" s="115"/>
      <c r="C242" s="115"/>
      <c r="D242" s="143"/>
      <c r="E242" s="401"/>
      <c r="F242" s="399"/>
      <c r="G242" s="114"/>
      <c r="H242" s="114"/>
      <c r="I242" s="114"/>
      <c r="J242" s="114"/>
      <c r="K242" s="114"/>
      <c r="L242" s="114"/>
      <c r="M242" s="114"/>
      <c r="N242" s="114"/>
      <c r="O242" s="114"/>
      <c r="P242" s="115"/>
      <c r="Q242" s="115"/>
      <c r="R242" s="115"/>
      <c r="S242" s="115"/>
      <c r="T242" s="115"/>
      <c r="U242" s="115"/>
      <c r="V242" s="115"/>
      <c r="W242" s="115"/>
      <c r="X242" s="115"/>
    </row>
    <row r="243" spans="1:24" s="305" customFormat="1" ht="12.75" customHeight="1" x14ac:dyDescent="0.25">
      <c r="A243" s="301"/>
      <c r="B243" s="115"/>
      <c r="C243" s="115"/>
      <c r="D243" s="143">
        <v>43511</v>
      </c>
      <c r="E243" s="530" t="s">
        <v>5067</v>
      </c>
      <c r="F243" s="399"/>
      <c r="G243" s="114"/>
      <c r="H243" s="114"/>
      <c r="I243" s="114"/>
      <c r="J243" s="114">
        <v>56447</v>
      </c>
      <c r="K243" s="114">
        <f>ROUND(J243*S$3,0)</f>
        <v>57576</v>
      </c>
      <c r="L243" s="114">
        <f>ROUND(K243*T$3,0)</f>
        <v>59994</v>
      </c>
      <c r="M243" s="114">
        <f>ROUND(L243*U$3,0)</f>
        <v>62214</v>
      </c>
      <c r="N243" s="114">
        <f>ROUND(M243*V$3,0)</f>
        <v>64516</v>
      </c>
      <c r="O243" s="114">
        <f>ROUND(N243*W$3,0)</f>
        <v>66903</v>
      </c>
      <c r="P243" s="115"/>
      <c r="Q243" s="115"/>
      <c r="R243" s="115"/>
      <c r="S243" s="115"/>
      <c r="T243" s="115"/>
      <c r="U243" s="115"/>
      <c r="V243" s="115"/>
      <c r="W243" s="115"/>
      <c r="X243" s="115"/>
    </row>
    <row r="244" spans="1:24" s="305" customFormat="1" ht="12.75" customHeight="1" x14ac:dyDescent="0.25">
      <c r="A244" s="301"/>
      <c r="B244" s="115"/>
      <c r="C244" s="115"/>
      <c r="D244" s="143">
        <v>43511</v>
      </c>
      <c r="E244" s="401" t="s">
        <v>5068</v>
      </c>
      <c r="F244" s="399"/>
      <c r="G244" s="114"/>
      <c r="H244" s="114"/>
      <c r="I244" s="114"/>
      <c r="J244" s="114"/>
      <c r="K244" s="114">
        <v>300000</v>
      </c>
      <c r="L244" s="114">
        <v>300000</v>
      </c>
      <c r="M244" s="114">
        <v>300000</v>
      </c>
      <c r="N244" s="114">
        <v>300000</v>
      </c>
      <c r="O244" s="114">
        <v>300000</v>
      </c>
      <c r="P244" s="115" t="s">
        <v>5069</v>
      </c>
      <c r="Q244" s="115"/>
      <c r="R244" s="115"/>
      <c r="S244" s="115"/>
      <c r="T244" s="115"/>
      <c r="U244" s="115"/>
      <c r="V244" s="115"/>
      <c r="W244" s="115"/>
      <c r="X244" s="115"/>
    </row>
    <row r="245" spans="1:24" s="305" customFormat="1" ht="12.75" customHeight="1" thickBot="1" x14ac:dyDescent="0.3">
      <c r="A245" s="301"/>
      <c r="B245" s="115"/>
      <c r="C245" s="115"/>
      <c r="D245" s="143"/>
      <c r="E245" s="401" t="s">
        <v>711</v>
      </c>
      <c r="F245" s="399"/>
      <c r="G245" s="114"/>
      <c r="H245" s="114"/>
      <c r="I245" s="114"/>
      <c r="J245" s="1971">
        <f>SUM(J243:J244)</f>
        <v>56447</v>
      </c>
      <c r="K245" s="1971">
        <f t="shared" ref="K245:N245" si="79">SUM(K243:K244)</f>
        <v>357576</v>
      </c>
      <c r="L245" s="1971">
        <f t="shared" si="79"/>
        <v>359994</v>
      </c>
      <c r="M245" s="1971">
        <f t="shared" si="79"/>
        <v>362214</v>
      </c>
      <c r="N245" s="1971">
        <f t="shared" si="79"/>
        <v>364516</v>
      </c>
      <c r="O245" s="1971">
        <f t="shared" ref="O245" si="80">SUM(O243:O244)</f>
        <v>366903</v>
      </c>
      <c r="P245" s="115"/>
      <c r="Q245" s="115"/>
      <c r="R245" s="115"/>
      <c r="S245" s="115"/>
      <c r="T245" s="115"/>
      <c r="U245" s="115"/>
      <c r="V245" s="115"/>
      <c r="W245" s="115"/>
      <c r="X245" s="115"/>
    </row>
    <row r="246" spans="1:24" s="305" customFormat="1" ht="12.75" customHeight="1" thickTop="1" x14ac:dyDescent="0.25">
      <c r="A246" s="301"/>
      <c r="B246" s="115"/>
      <c r="C246" s="115"/>
      <c r="D246" s="143"/>
      <c r="E246" s="401"/>
      <c r="F246" s="399"/>
      <c r="G246" s="114"/>
      <c r="H246" s="114"/>
      <c r="I246" s="114"/>
      <c r="J246" s="114"/>
      <c r="K246" s="114"/>
      <c r="L246" s="114"/>
      <c r="M246" s="114"/>
      <c r="N246" s="114"/>
      <c r="O246" s="114"/>
      <c r="P246" s="115"/>
      <c r="Q246" s="115"/>
      <c r="R246" s="115"/>
      <c r="S246" s="115"/>
      <c r="T246" s="115"/>
      <c r="U246" s="115"/>
      <c r="V246" s="115"/>
      <c r="W246" s="115"/>
      <c r="X246" s="115"/>
    </row>
    <row r="247" spans="1:24" s="305" customFormat="1" ht="12.75" customHeight="1" x14ac:dyDescent="0.25">
      <c r="A247" s="301"/>
      <c r="B247" s="115"/>
      <c r="C247" s="115"/>
      <c r="D247" s="1723">
        <v>43812</v>
      </c>
      <c r="E247" s="1719" t="s">
        <v>5375</v>
      </c>
      <c r="F247" s="2175"/>
      <c r="G247" s="2177"/>
      <c r="H247" s="2177"/>
      <c r="I247" s="2177"/>
      <c r="J247" s="2177"/>
      <c r="K247" s="2177">
        <v>300000</v>
      </c>
      <c r="L247" s="2177"/>
      <c r="M247" s="2177"/>
      <c r="N247" s="2177"/>
      <c r="O247" s="2177"/>
      <c r="P247" s="115"/>
      <c r="Q247" s="115"/>
      <c r="R247" s="115"/>
      <c r="S247" s="115"/>
      <c r="T247" s="115"/>
      <c r="U247" s="115"/>
      <c r="V247" s="115"/>
      <c r="W247" s="115"/>
      <c r="X247" s="115"/>
    </row>
    <row r="248" spans="1:24" s="305" customFormat="1" ht="12.75" customHeight="1" thickBot="1" x14ac:dyDescent="0.3">
      <c r="A248" s="301"/>
      <c r="B248" s="115"/>
      <c r="C248" s="115"/>
      <c r="D248" s="143"/>
      <c r="E248" s="401"/>
      <c r="F248" s="399"/>
      <c r="G248" s="114"/>
      <c r="H248" s="114"/>
      <c r="I248" s="114"/>
      <c r="J248" s="1971">
        <f>SUM(J247)</f>
        <v>0</v>
      </c>
      <c r="K248" s="1971">
        <f t="shared" ref="K248:O248" si="81">SUM(K247)</f>
        <v>300000</v>
      </c>
      <c r="L248" s="1971">
        <f t="shared" si="81"/>
        <v>0</v>
      </c>
      <c r="M248" s="1971">
        <f t="shared" si="81"/>
        <v>0</v>
      </c>
      <c r="N248" s="1971">
        <f t="shared" si="81"/>
        <v>0</v>
      </c>
      <c r="O248" s="1971">
        <f t="shared" si="81"/>
        <v>0</v>
      </c>
      <c r="P248" s="115"/>
      <c r="Q248" s="115"/>
      <c r="R248" s="115"/>
      <c r="S248" s="115"/>
      <c r="T248" s="115"/>
      <c r="U248" s="115"/>
      <c r="V248" s="115"/>
      <c r="W248" s="115"/>
      <c r="X248" s="115"/>
    </row>
    <row r="249" spans="1:24" s="305" customFormat="1" ht="12.75" customHeight="1" thickTop="1" x14ac:dyDescent="0.25">
      <c r="A249" s="301"/>
      <c r="B249" s="115"/>
      <c r="C249" s="115"/>
      <c r="D249" s="143"/>
      <c r="E249" s="401"/>
      <c r="F249" s="399"/>
      <c r="G249" s="114"/>
      <c r="H249" s="114"/>
      <c r="I249" s="114"/>
      <c r="J249" s="114"/>
      <c r="K249" s="114"/>
      <c r="L249" s="114"/>
      <c r="M249" s="114"/>
      <c r="N249" s="114"/>
      <c r="O249" s="114"/>
      <c r="P249" s="115"/>
      <c r="Q249" s="115"/>
      <c r="R249" s="115"/>
      <c r="S249" s="115"/>
      <c r="T249" s="115"/>
      <c r="U249" s="115"/>
      <c r="V249" s="115"/>
      <c r="W249" s="115"/>
      <c r="X249" s="115"/>
    </row>
    <row r="250" spans="1:24" s="305" customFormat="1" ht="12.75" customHeight="1" x14ac:dyDescent="0.25">
      <c r="A250" s="301"/>
      <c r="B250" s="115"/>
      <c r="C250" s="115"/>
      <c r="D250" s="382">
        <v>651009</v>
      </c>
      <c r="E250" s="561" t="s">
        <v>5399</v>
      </c>
      <c r="F250" s="399"/>
      <c r="G250" s="114"/>
      <c r="H250" s="114"/>
      <c r="I250" s="114"/>
      <c r="J250" s="114"/>
      <c r="K250" s="114"/>
      <c r="L250" s="114"/>
      <c r="M250" s="114"/>
      <c r="N250" s="114"/>
      <c r="O250" s="114"/>
      <c r="P250" s="115"/>
      <c r="Q250" s="115"/>
      <c r="R250" s="115"/>
      <c r="S250" s="115"/>
      <c r="T250" s="115"/>
      <c r="U250" s="115"/>
      <c r="V250" s="115"/>
      <c r="W250" s="115"/>
      <c r="X250" s="115"/>
    </row>
    <row r="251" spans="1:24" s="305" customFormat="1" ht="12.75" customHeight="1" x14ac:dyDescent="0.25">
      <c r="A251" s="301"/>
      <c r="B251" s="115"/>
      <c r="C251" s="115"/>
      <c r="D251" s="1723">
        <v>43511</v>
      </c>
      <c r="E251" s="1719" t="s">
        <v>5400</v>
      </c>
      <c r="F251" s="2175"/>
      <c r="G251" s="2177"/>
      <c r="H251" s="114"/>
      <c r="I251" s="114"/>
      <c r="J251" s="114"/>
      <c r="K251" s="114"/>
      <c r="L251" s="114"/>
      <c r="M251" s="114"/>
      <c r="N251" s="114"/>
      <c r="O251" s="114"/>
      <c r="P251" s="115"/>
      <c r="Q251" s="115"/>
      <c r="R251" s="115"/>
      <c r="S251" s="115"/>
      <c r="T251" s="115"/>
      <c r="U251" s="115"/>
      <c r="V251" s="115"/>
      <c r="W251" s="115"/>
      <c r="X251" s="115"/>
    </row>
    <row r="252" spans="1:24" s="305" customFormat="1" ht="12.75" customHeight="1" x14ac:dyDescent="0.25">
      <c r="A252" s="301"/>
      <c r="B252" s="115"/>
      <c r="C252" s="115"/>
      <c r="D252" s="143"/>
      <c r="E252" s="401"/>
      <c r="F252" s="399"/>
      <c r="G252" s="114"/>
      <c r="H252" s="114"/>
      <c r="I252" s="114"/>
      <c r="J252" s="114"/>
      <c r="K252" s="114"/>
      <c r="L252" s="114"/>
      <c r="M252" s="114"/>
      <c r="N252" s="114"/>
      <c r="O252" s="114"/>
      <c r="P252" s="115"/>
      <c r="Q252" s="115"/>
      <c r="R252" s="115"/>
      <c r="S252" s="115"/>
      <c r="T252" s="115"/>
      <c r="U252" s="115"/>
      <c r="V252" s="115"/>
      <c r="W252" s="115"/>
      <c r="X252" s="115"/>
    </row>
    <row r="253" spans="1:24" s="305" customFormat="1" ht="12.75" customHeight="1" x14ac:dyDescent="0.25">
      <c r="A253" s="301"/>
      <c r="B253" s="115"/>
      <c r="C253" s="115"/>
      <c r="D253" s="382">
        <v>651012</v>
      </c>
      <c r="E253" s="561" t="s">
        <v>5070</v>
      </c>
      <c r="F253" s="562"/>
      <c r="G253" s="114"/>
      <c r="H253" s="114"/>
      <c r="I253" s="114"/>
      <c r="J253" s="114"/>
      <c r="K253" s="114"/>
      <c r="L253" s="114"/>
      <c r="M253" s="114"/>
      <c r="N253" s="114"/>
      <c r="O253" s="114"/>
      <c r="P253" s="115"/>
      <c r="Q253" s="115"/>
      <c r="R253" s="115"/>
      <c r="S253" s="115"/>
      <c r="T253" s="115"/>
      <c r="U253" s="115"/>
      <c r="V253" s="115"/>
      <c r="W253" s="115"/>
      <c r="X253" s="115"/>
    </row>
    <row r="254" spans="1:24" s="305" customFormat="1" ht="12.75" customHeight="1" x14ac:dyDescent="0.25">
      <c r="A254" s="301"/>
      <c r="B254" s="115"/>
      <c r="C254" s="115"/>
      <c r="D254" s="143"/>
      <c r="E254" s="563" t="s">
        <v>533</v>
      </c>
      <c r="F254" s="399"/>
      <c r="G254" s="114"/>
      <c r="H254" s="114"/>
      <c r="I254" s="114"/>
      <c r="J254" s="114"/>
      <c r="K254" s="114"/>
      <c r="L254" s="114"/>
      <c r="M254" s="114"/>
      <c r="N254" s="114"/>
      <c r="O254" s="114"/>
      <c r="P254" s="115"/>
      <c r="Q254" s="115"/>
      <c r="R254" s="115"/>
      <c r="S254" s="115"/>
      <c r="T254" s="115"/>
      <c r="U254" s="115"/>
      <c r="V254" s="115"/>
      <c r="W254" s="115"/>
      <c r="X254" s="115"/>
    </row>
    <row r="255" spans="1:24" s="305" customFormat="1" ht="12.75" customHeight="1" x14ac:dyDescent="0.25">
      <c r="A255" s="301"/>
      <c r="B255" s="115"/>
      <c r="C255" s="115"/>
      <c r="D255" s="143">
        <v>43812</v>
      </c>
      <c r="E255" s="401" t="s">
        <v>5071</v>
      </c>
      <c r="F255" s="399"/>
      <c r="G255" s="114"/>
      <c r="H255" s="114"/>
      <c r="I255" s="114"/>
      <c r="J255" s="114"/>
      <c r="K255" s="114">
        <v>100000</v>
      </c>
      <c r="L255" s="114">
        <v>100000</v>
      </c>
      <c r="M255" s="114">
        <v>100000</v>
      </c>
      <c r="N255" s="114"/>
      <c r="O255" s="114"/>
      <c r="P255" s="115"/>
      <c r="Q255" s="115"/>
      <c r="R255" s="115"/>
      <c r="S255" s="115"/>
      <c r="T255" s="115"/>
      <c r="U255" s="115"/>
      <c r="V255" s="115"/>
      <c r="W255" s="115"/>
      <c r="X255" s="115"/>
    </row>
    <row r="256" spans="1:24" s="305" customFormat="1" ht="12.75" customHeight="1" x14ac:dyDescent="0.25">
      <c r="A256" s="301"/>
      <c r="B256" s="115"/>
      <c r="C256" s="115"/>
      <c r="D256" s="1723"/>
      <c r="E256" s="1719" t="s">
        <v>5382</v>
      </c>
      <c r="F256" s="2175"/>
      <c r="G256" s="2177"/>
      <c r="H256" s="2177"/>
      <c r="I256" s="2177"/>
      <c r="J256" s="2177"/>
      <c r="K256" s="2177">
        <v>20000</v>
      </c>
      <c r="L256" s="2177"/>
      <c r="M256" s="2177"/>
      <c r="N256" s="2177"/>
      <c r="O256" s="2177"/>
      <c r="P256" s="115"/>
      <c r="Q256" s="115"/>
      <c r="R256" s="115"/>
      <c r="S256" s="115"/>
      <c r="T256" s="115"/>
      <c r="U256" s="115"/>
      <c r="V256" s="115"/>
      <c r="W256" s="115"/>
      <c r="X256" s="115"/>
    </row>
    <row r="257" spans="1:24" s="305" customFormat="1" ht="12.75" customHeight="1" x14ac:dyDescent="0.25">
      <c r="A257" s="301"/>
      <c r="B257" s="115"/>
      <c r="C257" s="115"/>
      <c r="D257" s="1723"/>
      <c r="E257" s="1719" t="s">
        <v>5398</v>
      </c>
      <c r="F257" s="2175"/>
      <c r="G257" s="2177"/>
      <c r="H257" s="2177"/>
      <c r="I257" s="2177"/>
      <c r="J257" s="2177"/>
      <c r="K257" s="2177">
        <v>-20000</v>
      </c>
      <c r="L257" s="2177"/>
      <c r="M257" s="2177"/>
      <c r="N257" s="2177"/>
      <c r="O257" s="2177"/>
      <c r="P257" s="115"/>
      <c r="Q257" s="115"/>
      <c r="R257" s="115"/>
      <c r="S257" s="115"/>
      <c r="T257" s="115"/>
      <c r="U257" s="115"/>
      <c r="V257" s="115"/>
      <c r="W257" s="115"/>
      <c r="X257" s="115"/>
    </row>
    <row r="258" spans="1:24" s="305" customFormat="1" ht="12.75" customHeight="1" thickBot="1" x14ac:dyDescent="0.3">
      <c r="A258" s="301"/>
      <c r="B258" s="115"/>
      <c r="C258" s="115"/>
      <c r="D258" s="143"/>
      <c r="E258" s="401"/>
      <c r="F258" s="399"/>
      <c r="G258" s="114"/>
      <c r="H258" s="114"/>
      <c r="I258" s="114"/>
      <c r="J258" s="1971">
        <f>SUM(J255:J257)</f>
        <v>0</v>
      </c>
      <c r="K258" s="1971">
        <f t="shared" ref="K258:O258" si="82">SUM(K255:K257)</f>
        <v>100000</v>
      </c>
      <c r="L258" s="1971">
        <f t="shared" si="82"/>
        <v>100000</v>
      </c>
      <c r="M258" s="1971">
        <f t="shared" si="82"/>
        <v>100000</v>
      </c>
      <c r="N258" s="1971">
        <f t="shared" si="82"/>
        <v>0</v>
      </c>
      <c r="O258" s="1971">
        <f t="shared" si="82"/>
        <v>0</v>
      </c>
      <c r="P258" s="115"/>
      <c r="Q258" s="115"/>
      <c r="R258" s="115"/>
      <c r="S258" s="115"/>
      <c r="T258" s="115"/>
      <c r="U258" s="115"/>
      <c r="V258" s="115"/>
      <c r="W258" s="115"/>
      <c r="X258" s="115"/>
    </row>
    <row r="259" spans="1:24" s="305" customFormat="1" ht="12.75" customHeight="1" thickTop="1" x14ac:dyDescent="0.25">
      <c r="A259" s="301"/>
      <c r="B259" s="115"/>
      <c r="C259" s="115"/>
      <c r="D259" s="143"/>
      <c r="E259" s="401"/>
      <c r="F259" s="399"/>
      <c r="G259" s="114"/>
      <c r="H259" s="114"/>
      <c r="I259" s="114"/>
      <c r="J259" s="114"/>
      <c r="K259" s="114"/>
      <c r="L259" s="114"/>
      <c r="M259" s="114"/>
      <c r="N259" s="114"/>
      <c r="O259" s="114"/>
      <c r="P259" s="115"/>
      <c r="Q259" s="115"/>
      <c r="R259" s="115"/>
      <c r="S259" s="115"/>
      <c r="T259" s="115"/>
      <c r="U259" s="115"/>
      <c r="V259" s="115"/>
      <c r="W259" s="115"/>
      <c r="X259" s="115"/>
    </row>
    <row r="260" spans="1:24" s="305" customFormat="1" ht="12.75" customHeight="1" x14ac:dyDescent="0.25">
      <c r="A260" s="301"/>
      <c r="B260" s="115"/>
      <c r="C260" s="115"/>
      <c r="D260" s="382">
        <v>651014</v>
      </c>
      <c r="E260" s="561" t="s">
        <v>5383</v>
      </c>
      <c r="F260" s="399"/>
      <c r="G260" s="114"/>
      <c r="H260" s="114"/>
      <c r="I260" s="114"/>
      <c r="J260" s="114"/>
      <c r="K260" s="114"/>
      <c r="L260" s="114"/>
      <c r="M260" s="114"/>
      <c r="N260" s="114"/>
      <c r="O260" s="114"/>
      <c r="P260" s="115"/>
      <c r="Q260" s="115"/>
      <c r="R260" s="115"/>
      <c r="S260" s="115"/>
      <c r="T260" s="115"/>
      <c r="U260" s="115"/>
      <c r="V260" s="115"/>
      <c r="W260" s="115"/>
      <c r="X260" s="115"/>
    </row>
    <row r="261" spans="1:24" s="305" customFormat="1" ht="12.75" customHeight="1" x14ac:dyDescent="0.25">
      <c r="A261" s="301"/>
      <c r="B261" s="115"/>
      <c r="C261" s="115"/>
      <c r="D261" s="143"/>
      <c r="E261" s="563" t="s">
        <v>533</v>
      </c>
      <c r="F261" s="399"/>
      <c r="G261" s="114"/>
      <c r="H261" s="114"/>
      <c r="I261" s="114"/>
      <c r="J261" s="114"/>
      <c r="K261" s="114"/>
      <c r="L261" s="114"/>
      <c r="M261" s="114"/>
      <c r="N261" s="114"/>
      <c r="O261" s="114"/>
      <c r="P261" s="115"/>
      <c r="Q261" s="115"/>
      <c r="R261" s="115"/>
      <c r="S261" s="115"/>
      <c r="T261" s="115"/>
      <c r="U261" s="115"/>
      <c r="V261" s="115"/>
      <c r="W261" s="115"/>
      <c r="X261" s="115"/>
    </row>
    <row r="262" spans="1:24" s="305" customFormat="1" ht="12.75" customHeight="1" x14ac:dyDescent="0.25">
      <c r="A262" s="301"/>
      <c r="B262" s="115"/>
      <c r="C262" s="115"/>
      <c r="D262" s="1723">
        <v>43812</v>
      </c>
      <c r="E262" s="1719" t="s">
        <v>5375</v>
      </c>
      <c r="F262" s="2175"/>
      <c r="G262" s="2177"/>
      <c r="H262" s="2177"/>
      <c r="I262" s="2177"/>
      <c r="J262" s="2177"/>
      <c r="K262" s="2177">
        <v>30000</v>
      </c>
      <c r="L262" s="2177"/>
      <c r="M262" s="2177"/>
      <c r="N262" s="2177"/>
      <c r="O262" s="2177"/>
      <c r="P262" s="115"/>
      <c r="Q262" s="115"/>
      <c r="R262" s="115"/>
      <c r="S262" s="115"/>
      <c r="T262" s="115"/>
      <c r="U262" s="115"/>
      <c r="V262" s="115"/>
      <c r="W262" s="115"/>
      <c r="X262" s="115"/>
    </row>
    <row r="263" spans="1:24" s="305" customFormat="1" ht="12.75" customHeight="1" x14ac:dyDescent="0.25">
      <c r="A263" s="301"/>
      <c r="B263" s="115"/>
      <c r="C263" s="115"/>
      <c r="D263" s="1723"/>
      <c r="E263" s="1719" t="s">
        <v>5398</v>
      </c>
      <c r="F263" s="2175"/>
      <c r="G263" s="2177"/>
      <c r="H263" s="2177"/>
      <c r="I263" s="2177"/>
      <c r="J263" s="2177"/>
      <c r="K263" s="2177">
        <v>-30000</v>
      </c>
      <c r="L263" s="2177"/>
      <c r="M263" s="2177"/>
      <c r="N263" s="2177"/>
      <c r="O263" s="2177"/>
      <c r="P263" s="115"/>
      <c r="Q263" s="115"/>
      <c r="R263" s="115"/>
      <c r="S263" s="115"/>
      <c r="T263" s="115"/>
      <c r="U263" s="115"/>
      <c r="V263" s="115"/>
      <c r="W263" s="115"/>
      <c r="X263" s="115"/>
    </row>
    <row r="264" spans="1:24" s="305" customFormat="1" ht="12.75" customHeight="1" thickBot="1" x14ac:dyDescent="0.3">
      <c r="A264" s="301"/>
      <c r="B264" s="115"/>
      <c r="C264" s="115"/>
      <c r="D264" s="143"/>
      <c r="E264" s="401"/>
      <c r="F264" s="399"/>
      <c r="G264" s="114"/>
      <c r="H264" s="114"/>
      <c r="I264" s="114"/>
      <c r="J264" s="1971">
        <f>SUM(J262:J263)</f>
        <v>0</v>
      </c>
      <c r="K264" s="1971">
        <f t="shared" ref="K264:O264" si="83">SUM(K262:K263)</f>
        <v>0</v>
      </c>
      <c r="L264" s="1971">
        <f t="shared" si="83"/>
        <v>0</v>
      </c>
      <c r="M264" s="1971">
        <f t="shared" si="83"/>
        <v>0</v>
      </c>
      <c r="N264" s="1971">
        <f t="shared" si="83"/>
        <v>0</v>
      </c>
      <c r="O264" s="1971">
        <f t="shared" si="83"/>
        <v>0</v>
      </c>
      <c r="P264" s="115"/>
      <c r="Q264" s="115"/>
      <c r="R264" s="115"/>
      <c r="S264" s="115"/>
      <c r="T264" s="115"/>
      <c r="U264" s="115"/>
      <c r="V264" s="115"/>
      <c r="W264" s="115"/>
      <c r="X264" s="115"/>
    </row>
    <row r="265" spans="1:24" s="305" customFormat="1" ht="12.75" customHeight="1" thickTop="1" x14ac:dyDescent="0.25">
      <c r="A265" s="301"/>
      <c r="B265" s="115"/>
      <c r="C265" s="115"/>
      <c r="D265" s="143"/>
      <c r="E265" s="401"/>
      <c r="F265" s="399"/>
      <c r="G265" s="114"/>
      <c r="H265" s="114"/>
      <c r="I265" s="114"/>
      <c r="J265" s="114"/>
      <c r="K265" s="114"/>
      <c r="L265" s="114"/>
      <c r="M265" s="114"/>
      <c r="N265" s="114"/>
      <c r="O265" s="114"/>
      <c r="P265" s="115"/>
      <c r="Q265" s="115"/>
      <c r="R265" s="115"/>
      <c r="S265" s="115"/>
      <c r="T265" s="115"/>
      <c r="U265" s="115"/>
      <c r="V265" s="115"/>
      <c r="W265" s="115"/>
      <c r="X265" s="115"/>
    </row>
    <row r="266" spans="1:24" s="305" customFormat="1" ht="12.75" customHeight="1" x14ac:dyDescent="0.25">
      <c r="A266" s="301"/>
      <c r="B266" s="115"/>
      <c r="C266" s="115"/>
      <c r="D266" s="382">
        <v>651015</v>
      </c>
      <c r="E266" s="561" t="s">
        <v>5020</v>
      </c>
      <c r="F266" s="562"/>
      <c r="G266" s="114"/>
      <c r="H266" s="114"/>
      <c r="I266" s="114"/>
      <c r="J266" s="114"/>
      <c r="K266" s="114"/>
      <c r="L266" s="114"/>
      <c r="M266" s="114"/>
      <c r="N266" s="114"/>
      <c r="O266" s="114"/>
      <c r="P266" s="115"/>
      <c r="Q266" s="115"/>
      <c r="R266" s="115"/>
      <c r="S266" s="115"/>
      <c r="T266" s="115"/>
      <c r="U266" s="115"/>
      <c r="V266" s="115"/>
      <c r="W266" s="115"/>
      <c r="X266" s="115"/>
    </row>
    <row r="267" spans="1:24" s="305" customFormat="1" ht="12.75" customHeight="1" x14ac:dyDescent="0.25">
      <c r="A267" s="301"/>
      <c r="B267" s="115"/>
      <c r="C267" s="115"/>
      <c r="D267" s="143"/>
      <c r="E267" s="563" t="s">
        <v>533</v>
      </c>
      <c r="F267" s="399"/>
      <c r="G267" s="114"/>
      <c r="H267" s="114"/>
      <c r="I267" s="114"/>
      <c r="J267" s="114"/>
      <c r="K267" s="114"/>
      <c r="L267" s="114"/>
      <c r="M267" s="114"/>
      <c r="N267" s="114"/>
      <c r="O267" s="114"/>
      <c r="P267" s="115"/>
      <c r="Q267" s="115"/>
      <c r="R267" s="115"/>
      <c r="S267" s="115"/>
      <c r="T267" s="115"/>
      <c r="U267" s="115"/>
      <c r="V267" s="115"/>
      <c r="W267" s="115"/>
      <c r="X267" s="115"/>
    </row>
    <row r="268" spans="1:24" s="305" customFormat="1" ht="12.75" customHeight="1" x14ac:dyDescent="0.25">
      <c r="A268" s="301"/>
      <c r="B268" s="115"/>
      <c r="C268" s="115"/>
      <c r="D268" s="143">
        <v>43812</v>
      </c>
      <c r="E268" s="401" t="s">
        <v>5072</v>
      </c>
      <c r="F268" s="399"/>
      <c r="G268" s="114"/>
      <c r="H268" s="114"/>
      <c r="I268" s="114"/>
      <c r="J268" s="114"/>
      <c r="K268" s="114">
        <v>50000</v>
      </c>
      <c r="L268" s="114">
        <v>50000</v>
      </c>
      <c r="M268" s="114">
        <v>0</v>
      </c>
      <c r="N268" s="114"/>
      <c r="O268" s="114"/>
      <c r="P268" s="115"/>
      <c r="Q268" s="115"/>
      <c r="R268" s="115"/>
      <c r="S268" s="115"/>
      <c r="T268" s="115"/>
      <c r="U268" s="115"/>
      <c r="V268" s="115"/>
      <c r="W268" s="115"/>
      <c r="X268" s="115"/>
    </row>
    <row r="269" spans="1:24" s="305" customFormat="1" ht="12.75" customHeight="1" thickBot="1" x14ac:dyDescent="0.3">
      <c r="A269" s="301"/>
      <c r="B269" s="115"/>
      <c r="C269" s="115"/>
      <c r="D269" s="143"/>
      <c r="E269" s="401"/>
      <c r="F269" s="399"/>
      <c r="G269" s="114"/>
      <c r="H269" s="114"/>
      <c r="I269" s="114"/>
      <c r="J269" s="1971">
        <f t="shared" ref="J269:O269" si="84">SUM(J267:J268)</f>
        <v>0</v>
      </c>
      <c r="K269" s="1971">
        <f t="shared" si="84"/>
        <v>50000</v>
      </c>
      <c r="L269" s="1971">
        <f t="shared" si="84"/>
        <v>50000</v>
      </c>
      <c r="M269" s="1971">
        <f t="shared" si="84"/>
        <v>0</v>
      </c>
      <c r="N269" s="1971">
        <f t="shared" si="84"/>
        <v>0</v>
      </c>
      <c r="O269" s="1971">
        <f t="shared" si="84"/>
        <v>0</v>
      </c>
      <c r="P269" s="115"/>
      <c r="Q269" s="115"/>
      <c r="R269" s="115"/>
      <c r="S269" s="115"/>
      <c r="T269" s="115"/>
      <c r="U269" s="115"/>
      <c r="V269" s="115"/>
      <c r="W269" s="115"/>
      <c r="X269" s="115"/>
    </row>
    <row r="270" spans="1:24" s="305" customFormat="1" ht="12.75" customHeight="1" thickTop="1" x14ac:dyDescent="0.25">
      <c r="A270" s="301"/>
      <c r="B270" s="115"/>
      <c r="C270" s="115"/>
      <c r="D270" s="143"/>
      <c r="E270" s="401"/>
      <c r="F270" s="399"/>
      <c r="G270" s="114"/>
      <c r="H270" s="114"/>
      <c r="I270" s="114"/>
      <c r="J270" s="114"/>
      <c r="K270" s="114"/>
      <c r="L270" s="114"/>
      <c r="M270" s="114"/>
      <c r="N270" s="114"/>
      <c r="O270" s="114"/>
      <c r="P270" s="115"/>
      <c r="Q270" s="115"/>
      <c r="R270" s="115"/>
      <c r="S270" s="115"/>
      <c r="T270" s="115"/>
      <c r="U270" s="115"/>
      <c r="V270" s="115"/>
      <c r="W270" s="115"/>
      <c r="X270" s="115"/>
    </row>
    <row r="271" spans="1:24" s="305" customFormat="1" ht="12.75" customHeight="1" x14ac:dyDescent="0.25">
      <c r="A271" s="301"/>
      <c r="B271" s="115"/>
      <c r="C271" s="115"/>
      <c r="D271" s="143"/>
      <c r="E271" s="490"/>
      <c r="F271" s="401"/>
      <c r="G271" s="114"/>
      <c r="H271" s="114"/>
      <c r="I271" s="114"/>
      <c r="J271" s="114"/>
      <c r="K271" s="114"/>
      <c r="L271" s="114"/>
      <c r="M271" s="114"/>
      <c r="N271" s="114"/>
      <c r="O271" s="114"/>
      <c r="P271" s="115"/>
      <c r="Q271" s="115"/>
      <c r="R271" s="115"/>
      <c r="S271" s="115"/>
      <c r="T271" s="115"/>
      <c r="U271" s="115"/>
      <c r="V271" s="115"/>
      <c r="W271" s="115"/>
      <c r="X271" s="115"/>
    </row>
    <row r="272" spans="1:24" s="305" customFormat="1" ht="12.75" customHeight="1" x14ac:dyDescent="0.25">
      <c r="A272" s="301"/>
      <c r="B272" s="115"/>
      <c r="C272" s="115"/>
      <c r="D272" s="382">
        <v>651017</v>
      </c>
      <c r="E272" s="477" t="s">
        <v>5348</v>
      </c>
      <c r="F272" s="401"/>
      <c r="G272" s="114"/>
      <c r="H272" s="114"/>
      <c r="I272" s="114"/>
      <c r="J272" s="114"/>
      <c r="K272" s="114"/>
      <c r="L272" s="114"/>
      <c r="M272" s="114"/>
      <c r="N272" s="114"/>
      <c r="O272" s="114"/>
      <c r="P272" s="115"/>
      <c r="Q272" s="115"/>
      <c r="R272" s="115"/>
      <c r="S272" s="115"/>
      <c r="T272" s="115"/>
      <c r="U272" s="115"/>
      <c r="V272" s="115"/>
      <c r="W272" s="115"/>
      <c r="X272" s="115"/>
    </row>
    <row r="273" spans="1:24" s="305" customFormat="1" ht="12.75" customHeight="1" x14ac:dyDescent="0.25">
      <c r="A273" s="301"/>
      <c r="B273" s="115"/>
      <c r="C273" s="115"/>
      <c r="D273" s="143"/>
      <c r="E273" s="490" t="s">
        <v>533</v>
      </c>
      <c r="F273" s="401"/>
      <c r="G273" s="114"/>
      <c r="H273" s="114"/>
      <c r="I273" s="114"/>
      <c r="J273" s="114"/>
      <c r="K273" s="114"/>
      <c r="L273" s="114"/>
      <c r="M273" s="114"/>
      <c r="N273" s="114"/>
      <c r="O273" s="114"/>
      <c r="P273" s="115"/>
      <c r="Q273" s="115"/>
      <c r="R273" s="115"/>
      <c r="S273" s="115"/>
      <c r="T273" s="115"/>
      <c r="U273" s="115"/>
      <c r="V273" s="115"/>
      <c r="W273" s="115"/>
      <c r="X273" s="115"/>
    </row>
    <row r="274" spans="1:24" s="305" customFormat="1" ht="12.75" customHeight="1" x14ac:dyDescent="0.25">
      <c r="A274" s="301"/>
      <c r="B274" s="115"/>
      <c r="C274" s="115"/>
      <c r="D274" s="2230">
        <v>43511</v>
      </c>
      <c r="E274" s="2234" t="s">
        <v>5349</v>
      </c>
      <c r="F274" s="2235"/>
      <c r="G274" s="2214"/>
      <c r="H274" s="2214"/>
      <c r="I274" s="2214"/>
      <c r="J274" s="2214">
        <v>0</v>
      </c>
      <c r="K274" s="2214">
        <v>500000</v>
      </c>
      <c r="L274" s="2214">
        <v>0</v>
      </c>
      <c r="M274" s="2214">
        <v>0</v>
      </c>
      <c r="N274" s="2214">
        <v>0</v>
      </c>
      <c r="O274" s="2214">
        <v>0</v>
      </c>
      <c r="P274" s="115"/>
      <c r="Q274" s="115"/>
      <c r="R274" s="115"/>
      <c r="S274" s="115"/>
      <c r="T274" s="115"/>
      <c r="U274" s="115"/>
      <c r="V274" s="115"/>
      <c r="W274" s="115"/>
      <c r="X274" s="115"/>
    </row>
    <row r="275" spans="1:24" s="305" customFormat="1" ht="12.75" customHeight="1" thickBot="1" x14ac:dyDescent="0.3">
      <c r="A275" s="301"/>
      <c r="B275" s="115"/>
      <c r="C275" s="115"/>
      <c r="D275" s="143"/>
      <c r="E275" s="490" t="s">
        <v>711</v>
      </c>
      <c r="F275" s="401"/>
      <c r="G275" s="114"/>
      <c r="H275" s="114"/>
      <c r="I275" s="114"/>
      <c r="J275" s="1971">
        <f>SUM(J274)</f>
        <v>0</v>
      </c>
      <c r="K275" s="1971">
        <f t="shared" ref="K275:O275" si="85">SUM(K274)</f>
        <v>500000</v>
      </c>
      <c r="L275" s="1971">
        <f t="shared" si="85"/>
        <v>0</v>
      </c>
      <c r="M275" s="1971">
        <f t="shared" si="85"/>
        <v>0</v>
      </c>
      <c r="N275" s="1971">
        <f t="shared" si="85"/>
        <v>0</v>
      </c>
      <c r="O275" s="1971">
        <f t="shared" si="85"/>
        <v>0</v>
      </c>
      <c r="P275" s="115"/>
      <c r="Q275" s="115"/>
      <c r="R275" s="115"/>
      <c r="S275" s="115"/>
      <c r="T275" s="115"/>
      <c r="U275" s="115"/>
      <c r="V275" s="115"/>
      <c r="W275" s="115"/>
      <c r="X275" s="115"/>
    </row>
    <row r="276" spans="1:24" s="305" customFormat="1" ht="12.75" customHeight="1" thickTop="1" x14ac:dyDescent="0.25">
      <c r="A276" s="301"/>
      <c r="B276" s="115"/>
      <c r="C276" s="115"/>
      <c r="D276" s="143"/>
      <c r="E276" s="490"/>
      <c r="F276" s="401"/>
      <c r="G276" s="114"/>
      <c r="H276" s="114"/>
      <c r="I276" s="114"/>
      <c r="J276" s="114"/>
      <c r="K276" s="114"/>
      <c r="L276" s="114"/>
      <c r="M276" s="114"/>
      <c r="N276" s="114"/>
      <c r="O276" s="114"/>
      <c r="P276" s="115"/>
      <c r="Q276" s="115"/>
      <c r="R276" s="115"/>
      <c r="S276" s="115"/>
      <c r="T276" s="115"/>
      <c r="U276" s="115"/>
      <c r="V276" s="115"/>
      <c r="W276" s="115"/>
      <c r="X276" s="115"/>
    </row>
    <row r="277" spans="1:24" s="305" customFormat="1" ht="12.75" customHeight="1" x14ac:dyDescent="0.25">
      <c r="A277" s="301"/>
      <c r="B277" s="115"/>
      <c r="C277" s="115"/>
      <c r="D277" s="143"/>
      <c r="E277" s="490"/>
      <c r="F277" s="401"/>
      <c r="G277" s="114"/>
      <c r="H277" s="114"/>
      <c r="I277" s="114"/>
      <c r="J277" s="114"/>
      <c r="K277" s="114"/>
      <c r="L277" s="114"/>
      <c r="M277" s="114"/>
      <c r="N277" s="114"/>
      <c r="O277" s="114"/>
      <c r="P277" s="115"/>
      <c r="Q277" s="115"/>
      <c r="R277" s="115"/>
      <c r="S277" s="115"/>
      <c r="T277" s="115"/>
      <c r="U277" s="115"/>
      <c r="V277" s="115"/>
      <c r="W277" s="115"/>
      <c r="X277" s="115"/>
    </row>
    <row r="278" spans="1:24" s="305" customFormat="1" ht="12.75" customHeight="1" x14ac:dyDescent="0.25">
      <c r="A278" s="301"/>
      <c r="B278" s="115"/>
      <c r="C278" s="115"/>
      <c r="D278" s="143"/>
      <c r="E278" s="490"/>
      <c r="F278" s="401"/>
      <c r="G278" s="114"/>
      <c r="H278" s="114"/>
      <c r="I278" s="114"/>
      <c r="J278" s="114"/>
      <c r="K278" s="114"/>
      <c r="L278" s="114"/>
      <c r="M278" s="114"/>
      <c r="N278" s="114"/>
      <c r="O278" s="114"/>
      <c r="P278" s="115"/>
      <c r="Q278" s="115"/>
      <c r="R278" s="115"/>
      <c r="S278" s="115"/>
      <c r="T278" s="115"/>
      <c r="U278" s="115"/>
      <c r="V278" s="115"/>
      <c r="W278" s="115"/>
      <c r="X278" s="115"/>
    </row>
    <row r="279" spans="1:24" s="305" customFormat="1" ht="12.75" customHeight="1" x14ac:dyDescent="0.25">
      <c r="A279" s="301"/>
      <c r="B279" s="115"/>
      <c r="C279" s="115"/>
      <c r="D279" s="143"/>
      <c r="E279" s="490"/>
      <c r="F279" s="401"/>
      <c r="G279" s="114"/>
      <c r="H279" s="114"/>
      <c r="I279" s="114"/>
      <c r="J279" s="114"/>
      <c r="K279" s="114"/>
      <c r="L279" s="114"/>
      <c r="M279" s="114"/>
      <c r="N279" s="114"/>
      <c r="O279" s="114"/>
      <c r="P279" s="115"/>
      <c r="Q279" s="115"/>
      <c r="R279" s="115"/>
      <c r="S279" s="115"/>
      <c r="T279" s="115"/>
      <c r="U279" s="115"/>
      <c r="V279" s="115"/>
      <c r="W279" s="115"/>
      <c r="X279" s="115"/>
    </row>
    <row r="280" spans="1:24" ht="12.75" customHeight="1" x14ac:dyDescent="0.25">
      <c r="D280" s="433">
        <v>651901</v>
      </c>
      <c r="E280" s="561" t="s">
        <v>5045</v>
      </c>
      <c r="F280" s="115"/>
      <c r="G280" s="114"/>
      <c r="H280" s="114"/>
      <c r="I280" s="114"/>
      <c r="J280" s="407">
        <v>2025</v>
      </c>
      <c r="K280" s="407">
        <v>2026</v>
      </c>
      <c r="L280" s="407">
        <v>2027</v>
      </c>
      <c r="M280" s="407">
        <v>2028</v>
      </c>
      <c r="N280" s="407">
        <v>2029</v>
      </c>
      <c r="O280" s="407">
        <v>2030</v>
      </c>
    </row>
    <row r="281" spans="1:24" ht="12.75" customHeight="1" x14ac:dyDescent="0.25">
      <c r="D281" s="433"/>
      <c r="E281" s="383" t="s">
        <v>533</v>
      </c>
      <c r="F281" s="115"/>
      <c r="G281" s="114"/>
      <c r="H281" s="114"/>
      <c r="I281" s="114"/>
      <c r="J281" s="114"/>
      <c r="K281" s="114"/>
      <c r="L281" s="114"/>
      <c r="M281" s="114"/>
      <c r="N281" s="114"/>
      <c r="O281" s="114"/>
    </row>
    <row r="282" spans="1:24" ht="12.75" customHeight="1" x14ac:dyDescent="0.25">
      <c r="D282" s="384">
        <v>41100</v>
      </c>
      <c r="E282" s="115" t="s">
        <v>541</v>
      </c>
      <c r="F282" s="115"/>
      <c r="G282" s="114"/>
      <c r="H282" s="114"/>
      <c r="I282" s="114"/>
    </row>
    <row r="283" spans="1:24" ht="12.75" customHeight="1" x14ac:dyDescent="0.25">
      <c r="D283" s="143"/>
      <c r="E283" s="490" t="s">
        <v>5074</v>
      </c>
      <c r="F283" s="401"/>
      <c r="G283" s="114"/>
      <c r="H283" s="114"/>
      <c r="I283" s="114"/>
      <c r="J283" s="114">
        <v>-160000</v>
      </c>
      <c r="K283" s="114">
        <f>-K240</f>
        <v>-163200</v>
      </c>
      <c r="L283" s="114">
        <f>-L240</f>
        <v>-170100</v>
      </c>
      <c r="M283" s="114">
        <f>-M240</f>
        <v>0</v>
      </c>
      <c r="N283" s="114">
        <f>-N240</f>
        <v>0</v>
      </c>
      <c r="O283" s="114">
        <f>-O240</f>
        <v>0</v>
      </c>
      <c r="P283" s="115" t="s">
        <v>5075</v>
      </c>
    </row>
    <row r="284" spans="1:24" ht="12.75" customHeight="1" x14ac:dyDescent="0.25">
      <c r="D284" s="143"/>
      <c r="E284" s="490" t="s">
        <v>707</v>
      </c>
      <c r="F284" s="401"/>
      <c r="G284" s="114"/>
      <c r="H284" s="114"/>
      <c r="I284" s="114"/>
      <c r="J284" s="114">
        <v>115770</v>
      </c>
      <c r="K284" s="114">
        <v>139411.79</v>
      </c>
      <c r="L284" s="114">
        <f t="shared" ref="L284:O286" si="86">ROUND(K284*T$3,0)</f>
        <v>145267</v>
      </c>
      <c r="M284" s="114">
        <f t="shared" si="86"/>
        <v>150642</v>
      </c>
      <c r="N284" s="114">
        <f t="shared" si="86"/>
        <v>156216</v>
      </c>
      <c r="O284" s="114">
        <f t="shared" si="86"/>
        <v>161996</v>
      </c>
    </row>
    <row r="285" spans="1:24" ht="12.75" customHeight="1" x14ac:dyDescent="0.25">
      <c r="D285" s="143"/>
      <c r="E285" s="490" t="s">
        <v>1027</v>
      </c>
      <c r="F285" s="401"/>
      <c r="G285" s="114"/>
      <c r="H285" s="114"/>
      <c r="I285" s="114"/>
      <c r="J285" s="114">
        <v>814053</v>
      </c>
      <c r="K285" s="114">
        <v>967394.82</v>
      </c>
      <c r="L285" s="114">
        <f t="shared" si="86"/>
        <v>1008025</v>
      </c>
      <c r="M285" s="114">
        <f t="shared" si="86"/>
        <v>1045322</v>
      </c>
      <c r="N285" s="114">
        <f t="shared" si="86"/>
        <v>1083999</v>
      </c>
      <c r="O285" s="114">
        <f t="shared" si="86"/>
        <v>1124107</v>
      </c>
    </row>
    <row r="286" spans="1:24" ht="12.75" customHeight="1" x14ac:dyDescent="0.25">
      <c r="D286" s="143"/>
      <c r="E286" s="490" t="s">
        <v>2996</v>
      </c>
      <c r="F286" s="401"/>
      <c r="G286" s="114"/>
      <c r="H286" s="114"/>
      <c r="I286" s="114"/>
      <c r="J286" s="114">
        <v>42205.94</v>
      </c>
      <c r="K286" s="114">
        <v>371880.1</v>
      </c>
      <c r="L286" s="114">
        <f t="shared" si="86"/>
        <v>387499</v>
      </c>
      <c r="M286" s="114">
        <f t="shared" si="86"/>
        <v>401836</v>
      </c>
      <c r="N286" s="114">
        <f t="shared" si="86"/>
        <v>416704</v>
      </c>
      <c r="O286" s="114">
        <f t="shared" si="86"/>
        <v>432122</v>
      </c>
    </row>
    <row r="287" spans="1:24" ht="12.75" customHeight="1" x14ac:dyDescent="0.25">
      <c r="D287" s="143"/>
      <c r="E287" s="490" t="s">
        <v>5076</v>
      </c>
      <c r="F287" s="401"/>
      <c r="G287" s="114"/>
      <c r="H287" s="114"/>
      <c r="I287" s="114"/>
      <c r="J287" s="114">
        <v>0</v>
      </c>
      <c r="K287" s="114">
        <v>0</v>
      </c>
      <c r="L287" s="114">
        <v>-114300</v>
      </c>
      <c r="M287" s="114">
        <v>-114300</v>
      </c>
      <c r="N287" s="114">
        <v>-114300</v>
      </c>
      <c r="O287" s="114">
        <v>-114300</v>
      </c>
    </row>
    <row r="288" spans="1:24" ht="12.75" customHeight="1" x14ac:dyDescent="0.25">
      <c r="D288" s="143"/>
      <c r="E288" s="490" t="s">
        <v>5077</v>
      </c>
      <c r="F288" s="401"/>
      <c r="G288" s="114"/>
      <c r="H288" s="114"/>
      <c r="I288" s="114"/>
      <c r="J288" s="114">
        <v>100000</v>
      </c>
      <c r="K288" s="114">
        <v>0</v>
      </c>
      <c r="L288" s="114">
        <v>0</v>
      </c>
      <c r="M288" s="114">
        <v>0</v>
      </c>
      <c r="N288" s="114">
        <v>0</v>
      </c>
      <c r="O288" s="114">
        <v>0</v>
      </c>
      <c r="P288" s="115" t="s">
        <v>5078</v>
      </c>
    </row>
    <row r="289" spans="4:20" ht="12.75" customHeight="1" x14ac:dyDescent="0.25">
      <c r="D289" s="143"/>
      <c r="E289" s="490" t="s">
        <v>5079</v>
      </c>
      <c r="F289" s="401"/>
      <c r="G289" s="114"/>
      <c r="H289" s="114"/>
      <c r="I289" s="114"/>
      <c r="J289" s="114">
        <v>89000</v>
      </c>
      <c r="K289" s="114">
        <v>0</v>
      </c>
      <c r="L289" s="114">
        <f>ROUND(K289*T3,-2)</f>
        <v>0</v>
      </c>
      <c r="M289" s="114">
        <f>ROUND(L289*U3,-2)</f>
        <v>0</v>
      </c>
      <c r="N289" s="114">
        <f>ROUND(M289*V3,-2)</f>
        <v>0</v>
      </c>
      <c r="O289" s="114">
        <f>ROUND(N289*W3,-2)</f>
        <v>0</v>
      </c>
      <c r="P289" s="115" t="s">
        <v>5080</v>
      </c>
    </row>
    <row r="290" spans="4:20" ht="12.75" customHeight="1" x14ac:dyDescent="0.25">
      <c r="D290" s="143"/>
      <c r="E290" s="490" t="s">
        <v>5081</v>
      </c>
      <c r="F290" s="401"/>
      <c r="G290" s="114"/>
      <c r="H290" s="114"/>
      <c r="I290" s="114"/>
      <c r="J290" s="114">
        <v>40000</v>
      </c>
      <c r="K290" s="114">
        <v>0</v>
      </c>
      <c r="L290" s="114">
        <f>ROUND(K290*T3,-2)</f>
        <v>0</v>
      </c>
      <c r="M290" s="114">
        <f>ROUND(L290*U3,-2)</f>
        <v>0</v>
      </c>
      <c r="N290" s="114">
        <f>ROUND(M290*V3,-2)</f>
        <v>0</v>
      </c>
      <c r="O290" s="114">
        <f>ROUND(N290*W3,-2)</f>
        <v>0</v>
      </c>
      <c r="P290" s="115" t="s">
        <v>5082</v>
      </c>
      <c r="T290" s="114">
        <f>1301329+152152+J320-(J289+J290+J291+J292+J293)</f>
        <v>1384964</v>
      </c>
    </row>
    <row r="291" spans="4:20" ht="12.75" customHeight="1" x14ac:dyDescent="0.25">
      <c r="D291" s="143"/>
      <c r="E291" s="490" t="s">
        <v>5083</v>
      </c>
      <c r="F291" s="401"/>
      <c r="G291" s="114"/>
      <c r="H291" s="114"/>
      <c r="I291" s="114"/>
      <c r="J291" s="114">
        <v>50000</v>
      </c>
      <c r="K291" s="114"/>
      <c r="L291" s="114"/>
      <c r="M291" s="114"/>
      <c r="N291" s="114"/>
      <c r="O291" s="114"/>
      <c r="P291" s="115" t="s">
        <v>5084</v>
      </c>
    </row>
    <row r="292" spans="4:20" ht="12.75" customHeight="1" x14ac:dyDescent="0.25">
      <c r="D292" s="143"/>
      <c r="E292" s="490" t="s">
        <v>5085</v>
      </c>
      <c r="F292" s="401"/>
      <c r="G292" s="114"/>
      <c r="H292" s="114"/>
      <c r="I292" s="114"/>
      <c r="J292" s="114">
        <v>97900</v>
      </c>
      <c r="K292" s="114">
        <v>0</v>
      </c>
      <c r="L292" s="114">
        <f>ROUND(K292*T3,-2)</f>
        <v>0</v>
      </c>
      <c r="M292" s="114">
        <f>ROUND(L292*U3,-2)</f>
        <v>0</v>
      </c>
      <c r="N292" s="114">
        <f>ROUND(M292*V3,-2)</f>
        <v>0</v>
      </c>
      <c r="O292" s="114">
        <f>ROUND(N292*W3,-2)</f>
        <v>0</v>
      </c>
      <c r="P292" s="115" t="s">
        <v>5086</v>
      </c>
    </row>
    <row r="293" spans="4:20" ht="12.75" customHeight="1" x14ac:dyDescent="0.25">
      <c r="D293" s="143"/>
      <c r="E293" s="490" t="s">
        <v>5087</v>
      </c>
      <c r="F293" s="401"/>
      <c r="G293" s="114"/>
      <c r="H293" s="114"/>
      <c r="I293" s="114"/>
      <c r="J293" s="114">
        <v>112400</v>
      </c>
      <c r="K293" s="114">
        <v>0</v>
      </c>
      <c r="L293" s="114">
        <f>ROUND(K293*T3,-2)</f>
        <v>0</v>
      </c>
      <c r="M293" s="114">
        <f>ROUND(L293*U3,-2)</f>
        <v>0</v>
      </c>
      <c r="N293" s="114">
        <f>ROUND(M293*V3,-2)</f>
        <v>0</v>
      </c>
      <c r="O293" s="114">
        <f>ROUND(N293*W3,-2)</f>
        <v>0</v>
      </c>
      <c r="P293" s="115" t="s">
        <v>5088</v>
      </c>
      <c r="R293" s="114"/>
      <c r="S293" s="114"/>
      <c r="T293" s="114">
        <f>SUM(T290:T292)</f>
        <v>1384964</v>
      </c>
    </row>
    <row r="294" spans="4:20" ht="12.75" customHeight="1" x14ac:dyDescent="0.25">
      <c r="D294" s="143"/>
      <c r="E294" s="490" t="s">
        <v>5089</v>
      </c>
      <c r="F294" s="401"/>
      <c r="G294" s="114"/>
      <c r="H294" s="114"/>
      <c r="I294" s="114"/>
      <c r="J294" s="114">
        <v>129000</v>
      </c>
      <c r="K294" s="114">
        <v>92700</v>
      </c>
      <c r="L294" s="114">
        <f>ROUND(K294*T3,-2)</f>
        <v>96600</v>
      </c>
      <c r="M294" s="114">
        <v>100700</v>
      </c>
      <c r="N294" s="114">
        <v>100700</v>
      </c>
      <c r="O294" s="114">
        <v>100700</v>
      </c>
      <c r="R294" s="114"/>
      <c r="S294" s="114"/>
      <c r="T294" s="114"/>
    </row>
    <row r="295" spans="4:20" ht="12.75" customHeight="1" x14ac:dyDescent="0.25">
      <c r="D295" s="143"/>
      <c r="E295" s="490" t="s">
        <v>5090</v>
      </c>
      <c r="F295" s="401"/>
      <c r="G295" s="114"/>
      <c r="H295" s="114"/>
      <c r="I295" s="114"/>
      <c r="J295" s="114"/>
      <c r="K295" s="114"/>
      <c r="L295" s="114"/>
      <c r="M295" s="114"/>
      <c r="N295" s="114"/>
      <c r="O295" s="114"/>
      <c r="R295" s="114"/>
      <c r="S295" s="114"/>
      <c r="T295" s="114"/>
    </row>
    <row r="296" spans="4:20" ht="12.75" customHeight="1" x14ac:dyDescent="0.25">
      <c r="D296" s="143"/>
      <c r="E296" s="490"/>
      <c r="F296" s="401"/>
      <c r="G296" s="114"/>
      <c r="H296" s="114"/>
      <c r="I296" s="114"/>
      <c r="J296" s="114"/>
      <c r="K296" s="114"/>
      <c r="L296" s="114"/>
      <c r="M296" s="114"/>
      <c r="N296" s="114"/>
      <c r="O296" s="114"/>
      <c r="R296" s="114"/>
      <c r="S296" s="114"/>
      <c r="T296" s="114"/>
    </row>
    <row r="297" spans="4:20" ht="12.75" customHeight="1" x14ac:dyDescent="0.25">
      <c r="D297" s="143"/>
      <c r="E297" s="490"/>
      <c r="F297" s="401"/>
      <c r="G297" s="114"/>
      <c r="H297" s="114"/>
      <c r="I297" s="114"/>
      <c r="J297" s="114"/>
      <c r="K297" s="114"/>
      <c r="L297" s="114"/>
      <c r="M297" s="114"/>
      <c r="N297" s="114"/>
      <c r="O297" s="114"/>
    </row>
    <row r="298" spans="4:20" ht="12.75" customHeight="1" thickBot="1" x14ac:dyDescent="0.3">
      <c r="D298" s="143"/>
      <c r="E298" s="490" t="str">
        <f>"Totaal "&amp;D282</f>
        <v>Totaal 41100</v>
      </c>
      <c r="F298" s="401"/>
      <c r="G298" s="114"/>
      <c r="H298" s="114"/>
      <c r="I298" s="114"/>
      <c r="J298" s="1971">
        <v>1430328.94</v>
      </c>
      <c r="K298" s="1971">
        <f t="shared" ref="K298:N298" si="87">SUM(K283:K297)</f>
        <v>1408186.71</v>
      </c>
      <c r="L298" s="1971">
        <f t="shared" si="87"/>
        <v>1352991</v>
      </c>
      <c r="M298" s="1971">
        <f t="shared" si="87"/>
        <v>1584200</v>
      </c>
      <c r="N298" s="1971">
        <f t="shared" si="87"/>
        <v>1643319</v>
      </c>
      <c r="O298" s="1971">
        <f t="shared" ref="O298" si="88">SUM(O283:O297)</f>
        <v>1704625</v>
      </c>
    </row>
    <row r="299" spans="4:20" ht="12.75" customHeight="1" thickTop="1" x14ac:dyDescent="0.25">
      <c r="D299" s="143"/>
      <c r="E299" s="490"/>
      <c r="F299" s="401"/>
      <c r="G299" s="114"/>
      <c r="H299" s="114"/>
      <c r="I299" s="114"/>
      <c r="J299" s="114"/>
      <c r="K299" s="114"/>
      <c r="L299" s="114"/>
      <c r="M299" s="114"/>
      <c r="N299" s="114"/>
      <c r="O299" s="114"/>
      <c r="R299" s="114"/>
      <c r="S299" s="114"/>
      <c r="T299" s="114"/>
    </row>
    <row r="300" spans="4:20" ht="12.75" customHeight="1" x14ac:dyDescent="0.25">
      <c r="D300" s="143"/>
      <c r="E300" s="490"/>
      <c r="F300" s="401"/>
      <c r="G300" s="114"/>
      <c r="H300" s="114"/>
      <c r="I300" s="114"/>
      <c r="J300" s="114"/>
      <c r="K300" s="114"/>
      <c r="L300" s="114"/>
      <c r="M300" s="114"/>
      <c r="N300" s="114"/>
      <c r="O300" s="114"/>
    </row>
    <row r="301" spans="4:20" ht="12.75" customHeight="1" x14ac:dyDescent="0.25">
      <c r="E301" s="556" t="s">
        <v>533</v>
      </c>
      <c r="F301" s="115"/>
      <c r="G301" s="114"/>
      <c r="H301" s="114"/>
      <c r="I301" s="114"/>
      <c r="J301" s="114"/>
      <c r="K301" s="114"/>
      <c r="L301" s="114"/>
      <c r="M301" s="114"/>
      <c r="N301" s="114"/>
      <c r="O301" s="114"/>
      <c r="T301" s="114">
        <f>T293-T290</f>
        <v>0</v>
      </c>
    </row>
    <row r="302" spans="4:20" ht="12.75" customHeight="1" x14ac:dyDescent="0.25">
      <c r="D302" s="143">
        <v>43812</v>
      </c>
      <c r="E302" s="530" t="s">
        <v>5091</v>
      </c>
      <c r="F302" s="401"/>
      <c r="G302" s="114"/>
      <c r="H302" s="114"/>
      <c r="I302" s="114"/>
      <c r="J302" s="114">
        <v>3034</v>
      </c>
      <c r="K302" s="114">
        <f>2200+900</f>
        <v>3100</v>
      </c>
      <c r="L302" s="114">
        <f>2200+940</f>
        <v>3140</v>
      </c>
      <c r="M302" s="114">
        <f>2300+962</f>
        <v>3262</v>
      </c>
      <c r="N302" s="114">
        <f>2300+982</f>
        <v>3282</v>
      </c>
      <c r="O302" s="544">
        <v>0</v>
      </c>
    </row>
    <row r="303" spans="4:20" ht="12.75" customHeight="1" x14ac:dyDescent="0.25">
      <c r="D303" s="143"/>
      <c r="E303" s="306" t="s">
        <v>5092</v>
      </c>
      <c r="F303" s="401"/>
      <c r="G303" s="114"/>
      <c r="H303" s="114"/>
      <c r="I303" s="114"/>
      <c r="J303" s="114"/>
      <c r="K303" s="114"/>
      <c r="L303" s="114"/>
      <c r="M303" s="114"/>
      <c r="N303" s="114"/>
      <c r="O303" s="114"/>
    </row>
    <row r="304" spans="4:20" ht="12.75" customHeight="1" x14ac:dyDescent="0.25">
      <c r="D304" s="143"/>
      <c r="E304" s="306" t="s">
        <v>5093</v>
      </c>
      <c r="F304" s="401"/>
      <c r="G304" s="114"/>
      <c r="H304" s="114"/>
      <c r="I304" s="114"/>
      <c r="J304" s="114"/>
      <c r="K304" s="114"/>
      <c r="L304" s="114"/>
      <c r="M304" s="114"/>
      <c r="N304" s="114"/>
      <c r="O304" s="114"/>
    </row>
    <row r="305" spans="1:24" ht="12.75" customHeight="1" thickBot="1" x14ac:dyDescent="0.3">
      <c r="D305" s="143"/>
      <c r="E305" s="401" t="str">
        <f>"Totaal "&amp;D302</f>
        <v>Totaal 43812</v>
      </c>
      <c r="F305" s="401"/>
      <c r="G305" s="114"/>
      <c r="H305" s="114"/>
      <c r="I305" s="114"/>
      <c r="J305" s="1971">
        <v>3034</v>
      </c>
      <c r="K305" s="1971">
        <f>SUM(K302:K304)</f>
        <v>3100</v>
      </c>
      <c r="L305" s="1971">
        <f>SUM(L302:L304)</f>
        <v>3140</v>
      </c>
      <c r="M305" s="1971">
        <f>SUM(M302:M304)</f>
        <v>3262</v>
      </c>
      <c r="N305" s="1971">
        <f>SUM(N302:N304)</f>
        <v>3282</v>
      </c>
      <c r="O305" s="1971">
        <f>SUM(O302:O304)</f>
        <v>0</v>
      </c>
    </row>
    <row r="306" spans="1:24" ht="12.75" customHeight="1" thickTop="1" x14ac:dyDescent="0.25">
      <c r="D306" s="143"/>
      <c r="E306" s="490"/>
      <c r="F306" s="401"/>
      <c r="G306" s="114"/>
      <c r="H306" s="114"/>
      <c r="I306" s="114"/>
      <c r="J306" s="114"/>
      <c r="K306" s="114"/>
      <c r="L306" s="114"/>
      <c r="M306" s="114"/>
      <c r="N306" s="114"/>
      <c r="O306" s="114"/>
    </row>
    <row r="307" spans="1:24" ht="12.75" customHeight="1" x14ac:dyDescent="0.25">
      <c r="D307" s="433">
        <v>651902</v>
      </c>
      <c r="E307" s="561" t="s">
        <v>5094</v>
      </c>
      <c r="F307" s="115"/>
      <c r="G307" s="114"/>
      <c r="H307" s="114"/>
      <c r="I307" s="114"/>
      <c r="J307" s="407">
        <v>2025</v>
      </c>
      <c r="K307" s="407">
        <v>2026</v>
      </c>
      <c r="L307" s="407">
        <v>2027</v>
      </c>
      <c r="M307" s="407">
        <v>2028</v>
      </c>
      <c r="N307" s="407">
        <v>2029</v>
      </c>
      <c r="O307" s="407">
        <v>2030</v>
      </c>
    </row>
    <row r="308" spans="1:24" ht="12.75" customHeight="1" x14ac:dyDescent="0.25">
      <c r="D308" s="433"/>
      <c r="E308" s="383" t="s">
        <v>533</v>
      </c>
      <c r="F308" s="115"/>
      <c r="G308" s="114"/>
      <c r="H308" s="114"/>
      <c r="I308" s="114"/>
      <c r="J308" s="564"/>
      <c r="K308" s="114"/>
      <c r="L308" s="114"/>
      <c r="M308" s="114"/>
      <c r="N308" s="114"/>
      <c r="O308" s="114"/>
    </row>
    <row r="309" spans="1:24" ht="12.75" customHeight="1" x14ac:dyDescent="0.25">
      <c r="D309" s="384">
        <v>41100</v>
      </c>
      <c r="E309" s="115" t="s">
        <v>541</v>
      </c>
      <c r="F309" s="115"/>
      <c r="G309" s="114"/>
      <c r="H309" s="114"/>
      <c r="I309" s="114"/>
    </row>
    <row r="310" spans="1:24" ht="12.75" customHeight="1" x14ac:dyDescent="0.25">
      <c r="D310" s="384"/>
      <c r="E310" s="308" t="s">
        <v>707</v>
      </c>
      <c r="F310" s="115"/>
      <c r="G310" s="114"/>
      <c r="H310" s="114"/>
      <c r="I310" s="114"/>
      <c r="J310" s="114">
        <v>23249</v>
      </c>
      <c r="K310" s="114">
        <v>23975.67</v>
      </c>
      <c r="L310" s="114">
        <f t="shared" ref="L310:O312" si="89">ROUND(K310*T$3,0)</f>
        <v>24983</v>
      </c>
      <c r="M310" s="114">
        <f t="shared" si="89"/>
        <v>25907</v>
      </c>
      <c r="N310" s="114">
        <f t="shared" si="89"/>
        <v>26866</v>
      </c>
      <c r="O310" s="114">
        <f t="shared" si="89"/>
        <v>27860</v>
      </c>
    </row>
    <row r="311" spans="1:24" ht="12.75" customHeight="1" x14ac:dyDescent="0.25">
      <c r="D311" s="384"/>
      <c r="E311" s="308" t="s">
        <v>1027</v>
      </c>
      <c r="F311" s="115"/>
      <c r="G311" s="114"/>
      <c r="H311" s="114"/>
      <c r="I311" s="114"/>
      <c r="J311" s="114">
        <v>65973</v>
      </c>
      <c r="K311" s="114">
        <v>107318.96</v>
      </c>
      <c r="L311" s="114">
        <f t="shared" si="89"/>
        <v>111826</v>
      </c>
      <c r="M311" s="114">
        <f t="shared" si="89"/>
        <v>115964</v>
      </c>
      <c r="N311" s="114">
        <f t="shared" si="89"/>
        <v>120255</v>
      </c>
      <c r="O311" s="114">
        <f t="shared" si="89"/>
        <v>124704</v>
      </c>
    </row>
    <row r="312" spans="1:24" ht="12.75" customHeight="1" x14ac:dyDescent="0.25">
      <c r="D312" s="384"/>
      <c r="E312" s="308" t="s">
        <v>2996</v>
      </c>
      <c r="F312" s="115"/>
      <c r="G312" s="114"/>
      <c r="H312" s="114"/>
      <c r="I312" s="114"/>
      <c r="J312" s="431">
        <v>62929.62</v>
      </c>
      <c r="K312" s="114">
        <v>39651.22</v>
      </c>
      <c r="L312" s="114">
        <f t="shared" si="89"/>
        <v>41317</v>
      </c>
      <c r="M312" s="114">
        <f t="shared" si="89"/>
        <v>42846</v>
      </c>
      <c r="N312" s="114">
        <f t="shared" si="89"/>
        <v>44431</v>
      </c>
      <c r="O312" s="114">
        <f t="shared" si="89"/>
        <v>46075</v>
      </c>
    </row>
    <row r="313" spans="1:24" ht="12.75" customHeight="1" thickBot="1" x14ac:dyDescent="0.3">
      <c r="D313" s="384"/>
      <c r="E313" s="115" t="str">
        <f>"Totaal "&amp;D309</f>
        <v>Totaal 41100</v>
      </c>
      <c r="F313" s="115"/>
      <c r="G313" s="114"/>
      <c r="H313" s="114"/>
      <c r="I313" s="114"/>
      <c r="J313" s="1971">
        <v>152151.62</v>
      </c>
      <c r="K313" s="1971">
        <f>SUM(K309:K312)</f>
        <v>170945.85</v>
      </c>
      <c r="L313" s="1971">
        <f>SUM(L309:L312)</f>
        <v>178126</v>
      </c>
      <c r="M313" s="1971">
        <f>SUM(M309:M312)</f>
        <v>184717</v>
      </c>
      <c r="N313" s="1971">
        <f>SUM(N309:N312)</f>
        <v>191552</v>
      </c>
      <c r="O313" s="1971">
        <f>SUM(O309:O312)</f>
        <v>198639</v>
      </c>
    </row>
    <row r="314" spans="1:24" ht="12.75" customHeight="1" thickTop="1" x14ac:dyDescent="0.25">
      <c r="E314" s="115"/>
      <c r="F314" s="115"/>
      <c r="G314" s="114"/>
      <c r="H314" s="114"/>
      <c r="I314" s="114"/>
      <c r="J314" s="114"/>
      <c r="K314" s="114"/>
      <c r="L314" s="114"/>
      <c r="M314" s="114"/>
      <c r="N314" s="114"/>
      <c r="O314" s="114"/>
    </row>
    <row r="315" spans="1:24" ht="12.75" customHeight="1" x14ac:dyDescent="0.25">
      <c r="D315" s="433">
        <v>651903</v>
      </c>
      <c r="E315" s="561" t="s">
        <v>5095</v>
      </c>
      <c r="F315" s="115"/>
      <c r="G315" s="114"/>
      <c r="H315" s="114"/>
      <c r="I315" s="114"/>
      <c r="J315" s="407">
        <v>2025</v>
      </c>
      <c r="K315" s="407">
        <v>2026</v>
      </c>
      <c r="L315" s="407">
        <v>2027</v>
      </c>
      <c r="M315" s="407">
        <v>2028</v>
      </c>
      <c r="N315" s="407">
        <v>2029</v>
      </c>
      <c r="O315" s="407">
        <v>2030</v>
      </c>
    </row>
    <row r="316" spans="1:24" s="305" customFormat="1" ht="12.75" customHeight="1" x14ac:dyDescent="0.25">
      <c r="A316" s="301"/>
      <c r="B316" s="115"/>
      <c r="C316" s="115"/>
      <c r="D316" s="433"/>
      <c r="E316" s="383" t="s">
        <v>533</v>
      </c>
      <c r="F316" s="115"/>
      <c r="G316" s="114"/>
      <c r="H316" s="114"/>
      <c r="I316" s="114"/>
      <c r="J316" s="114"/>
      <c r="K316" s="114"/>
      <c r="L316" s="114"/>
      <c r="M316" s="114"/>
      <c r="N316" s="114"/>
      <c r="O316" s="114"/>
      <c r="P316" s="115"/>
      <c r="Q316" s="115"/>
      <c r="R316" s="115"/>
      <c r="S316" s="115"/>
      <c r="T316" s="115"/>
      <c r="U316" s="115"/>
      <c r="V316" s="115"/>
      <c r="W316" s="115"/>
      <c r="X316" s="115"/>
    </row>
    <row r="317" spans="1:24" s="305" customFormat="1" ht="12.75" customHeight="1" x14ac:dyDescent="0.25">
      <c r="A317" s="301"/>
      <c r="B317" s="115"/>
      <c r="C317" s="115"/>
      <c r="D317" s="384">
        <v>41100</v>
      </c>
      <c r="E317" s="115" t="s">
        <v>541</v>
      </c>
      <c r="F317" s="115"/>
      <c r="G317" s="114"/>
      <c r="H317" s="114"/>
      <c r="I317" s="114"/>
      <c r="J317" s="115"/>
      <c r="K317" s="115"/>
      <c r="L317" s="115"/>
      <c r="M317" s="115"/>
      <c r="N317" s="115"/>
      <c r="O317" s="115"/>
      <c r="P317" s="115"/>
      <c r="Q317" s="115"/>
      <c r="R317" s="115"/>
      <c r="S317" s="115"/>
      <c r="T317" s="115"/>
      <c r="U317" s="115"/>
      <c r="V317" s="115"/>
      <c r="W317" s="115"/>
      <c r="X317" s="115"/>
    </row>
    <row r="318" spans="1:24" s="305" customFormat="1" ht="12.75" customHeight="1" x14ac:dyDescent="0.25">
      <c r="A318" s="301"/>
      <c r="B318" s="115"/>
      <c r="C318" s="115"/>
      <c r="D318" s="143"/>
      <c r="E318" s="490" t="s">
        <v>1027</v>
      </c>
      <c r="F318" s="401"/>
      <c r="G318" s="114"/>
      <c r="H318" s="114"/>
      <c r="I318" s="114"/>
      <c r="J318" s="114">
        <v>320783</v>
      </c>
      <c r="K318" s="114">
        <v>407289.67</v>
      </c>
      <c r="L318" s="114">
        <f>ROUND(K318*T$3,0)</f>
        <v>424396</v>
      </c>
      <c r="M318" s="114">
        <f>ROUND(L318*U$3,0)</f>
        <v>440099</v>
      </c>
      <c r="N318" s="114">
        <f>ROUND(M318*V$3,0)</f>
        <v>456383</v>
      </c>
      <c r="O318" s="114">
        <f>ROUND(N318*W$3,0)</f>
        <v>473269</v>
      </c>
      <c r="P318" s="115"/>
      <c r="Q318" s="115"/>
      <c r="R318" s="115"/>
      <c r="S318" s="115"/>
      <c r="T318" s="115"/>
      <c r="U318" s="115"/>
      <c r="V318" s="115"/>
      <c r="W318" s="115"/>
      <c r="X318" s="115"/>
    </row>
    <row r="319" spans="1:24" s="305" customFormat="1" ht="12.75" customHeight="1" x14ac:dyDescent="0.25">
      <c r="A319" s="301"/>
      <c r="B319" s="115"/>
      <c r="C319" s="115"/>
      <c r="D319" s="143"/>
      <c r="E319" s="490"/>
      <c r="F319" s="401"/>
      <c r="G319" s="114"/>
      <c r="H319" s="114"/>
      <c r="I319" s="114"/>
      <c r="J319" s="114"/>
      <c r="K319" s="114"/>
      <c r="L319" s="114"/>
      <c r="M319" s="114"/>
      <c r="N319" s="114"/>
      <c r="O319" s="114"/>
      <c r="P319" s="115"/>
      <c r="Q319" s="115"/>
      <c r="R319" s="115"/>
      <c r="S319" s="115">
        <f>1097653+95550+325104</f>
        <v>1518307</v>
      </c>
      <c r="T319" s="115"/>
      <c r="U319" s="115"/>
      <c r="V319" s="115"/>
      <c r="W319" s="115"/>
      <c r="X319" s="115"/>
    </row>
    <row r="320" spans="1:24" s="305" customFormat="1" ht="12.75" customHeight="1" thickBot="1" x14ac:dyDescent="0.3">
      <c r="A320" s="301"/>
      <c r="B320" s="115"/>
      <c r="C320" s="115"/>
      <c r="D320" s="143"/>
      <c r="E320" s="490" t="str">
        <f>"Totaal "&amp;D317</f>
        <v>Totaal 41100</v>
      </c>
      <c r="F320" s="401"/>
      <c r="G320" s="114"/>
      <c r="H320" s="114"/>
      <c r="I320" s="114"/>
      <c r="J320" s="1971">
        <v>320783</v>
      </c>
      <c r="K320" s="1971">
        <f>SUM(K318:K319)</f>
        <v>407289.67</v>
      </c>
      <c r="L320" s="1971">
        <f>SUM(L318:L319)</f>
        <v>424396</v>
      </c>
      <c r="M320" s="1971">
        <f>SUM(M318:M319)</f>
        <v>440099</v>
      </c>
      <c r="N320" s="1971">
        <f>SUM(N318:N319)</f>
        <v>456383</v>
      </c>
      <c r="O320" s="1971">
        <f>SUM(O318:O319)</f>
        <v>473269</v>
      </c>
      <c r="P320" s="115"/>
      <c r="Q320" s="115"/>
      <c r="R320" s="115"/>
      <c r="S320" s="115"/>
      <c r="T320" s="115"/>
      <c r="U320" s="115"/>
      <c r="V320" s="115"/>
      <c r="W320" s="115"/>
      <c r="X320" s="115"/>
    </row>
    <row r="321" spans="1:24" ht="12.75" customHeight="1" thickTop="1" x14ac:dyDescent="0.25">
      <c r="D321" s="384"/>
      <c r="E321" s="115"/>
      <c r="F321" s="115"/>
      <c r="G321" s="114"/>
      <c r="H321" s="114"/>
      <c r="I321" s="114"/>
      <c r="J321" s="114"/>
      <c r="K321" s="114"/>
      <c r="L321" s="114"/>
      <c r="M321" s="114"/>
      <c r="N321" s="114"/>
      <c r="O321" s="114"/>
      <c r="S321" s="114">
        <f>J298-J289-J290-J291-J292-J293+J313+J320</f>
        <v>1513963.56</v>
      </c>
    </row>
    <row r="322" spans="1:24" s="305" customFormat="1" ht="12.75" customHeight="1" x14ac:dyDescent="0.25">
      <c r="A322" s="301"/>
      <c r="B322" s="115"/>
      <c r="C322" s="115"/>
      <c r="D322" s="143"/>
      <c r="E322" s="401"/>
      <c r="F322" s="399"/>
      <c r="G322" s="114"/>
      <c r="H322" s="114"/>
      <c r="I322" s="114"/>
      <c r="J322" s="114"/>
      <c r="K322" s="114"/>
      <c r="L322" s="114"/>
      <c r="M322" s="114"/>
      <c r="N322" s="114"/>
      <c r="O322" s="114"/>
      <c r="P322" s="115"/>
      <c r="Q322" s="115"/>
      <c r="R322" s="115"/>
      <c r="S322" s="115"/>
      <c r="T322" s="115"/>
      <c r="U322" s="115"/>
      <c r="V322" s="115"/>
      <c r="W322" s="115"/>
      <c r="X322" s="115"/>
    </row>
    <row r="323" spans="1:24" s="305" customFormat="1" ht="12.75" customHeight="1" x14ac:dyDescent="0.25">
      <c r="A323" s="301"/>
      <c r="B323" s="115"/>
      <c r="C323" s="115"/>
      <c r="D323" s="393">
        <v>651006</v>
      </c>
      <c r="E323" s="312" t="s">
        <v>5096</v>
      </c>
      <c r="F323" s="382"/>
      <c r="G323" s="115"/>
      <c r="H323" s="114"/>
      <c r="I323" s="114"/>
      <c r="J323" s="407">
        <v>2025</v>
      </c>
      <c r="K323" s="407">
        <v>2026</v>
      </c>
      <c r="L323" s="407">
        <v>2027</v>
      </c>
      <c r="M323" s="407">
        <v>2028</v>
      </c>
      <c r="N323" s="407">
        <v>2029</v>
      </c>
      <c r="O323" s="407">
        <v>2030</v>
      </c>
      <c r="P323" s="115"/>
      <c r="Q323" s="115"/>
      <c r="R323" s="115"/>
      <c r="S323" s="114">
        <f>S319-S321</f>
        <v>4343.4399999999441</v>
      </c>
      <c r="T323" s="115"/>
      <c r="U323" s="115"/>
      <c r="V323" s="115"/>
      <c r="W323" s="115"/>
      <c r="X323" s="115"/>
    </row>
    <row r="324" spans="1:24" s="305" customFormat="1" ht="12.75" customHeight="1" x14ac:dyDescent="0.25">
      <c r="A324" s="301"/>
      <c r="B324" s="115"/>
      <c r="C324" s="115"/>
      <c r="D324" s="393"/>
      <c r="E324" s="396" t="s">
        <v>554</v>
      </c>
      <c r="F324" s="382"/>
      <c r="G324" s="115"/>
      <c r="H324" s="114"/>
      <c r="I324" s="114"/>
      <c r="J324" s="486"/>
      <c r="K324" s="486"/>
      <c r="L324" s="486"/>
      <c r="M324" s="486"/>
      <c r="N324" s="486"/>
      <c r="O324" s="486"/>
      <c r="P324" s="115"/>
      <c r="Q324" s="115"/>
      <c r="R324" s="115"/>
      <c r="S324" s="115"/>
      <c r="T324" s="115"/>
      <c r="U324" s="115"/>
      <c r="V324" s="115"/>
      <c r="W324" s="115"/>
      <c r="X324" s="115"/>
    </row>
    <row r="325" spans="1:24" s="305" customFormat="1" ht="12.75" customHeight="1" x14ac:dyDescent="0.25">
      <c r="A325" s="301"/>
      <c r="B325" s="115"/>
      <c r="C325" s="115"/>
      <c r="D325" s="143">
        <v>83700</v>
      </c>
      <c r="E325" s="2510" t="s">
        <v>5097</v>
      </c>
      <c r="F325" s="2510"/>
      <c r="G325" s="114"/>
      <c r="H325" s="114"/>
      <c r="I325" s="114"/>
      <c r="J325" s="114">
        <v>-17499</v>
      </c>
      <c r="K325" s="114">
        <f>ROUND(J325*S$2,0)</f>
        <v>-17954</v>
      </c>
      <c r="L325" s="114">
        <f>ROUND(K325*T$2,0)</f>
        <v>-18331</v>
      </c>
      <c r="M325" s="114">
        <f>ROUND(L325*U$2,0)</f>
        <v>-18753</v>
      </c>
      <c r="N325" s="114">
        <f>ROUND(M325*V$2,0)</f>
        <v>-19184</v>
      </c>
      <c r="O325" s="114">
        <f>ROUND(N325*W$2,0)</f>
        <v>-19625</v>
      </c>
      <c r="P325" s="115"/>
      <c r="Q325" s="115"/>
      <c r="R325" s="115"/>
      <c r="S325" s="115"/>
      <c r="T325" s="115"/>
      <c r="U325" s="115"/>
      <c r="V325" s="115"/>
      <c r="W325" s="115"/>
      <c r="X325" s="115"/>
    </row>
    <row r="326" spans="1:24" s="305" customFormat="1" ht="12.75" customHeight="1" thickBot="1" x14ac:dyDescent="0.3">
      <c r="A326" s="301"/>
      <c r="B326" s="115"/>
      <c r="C326" s="115"/>
      <c r="D326" s="143"/>
      <c r="E326" s="298"/>
      <c r="F326" s="298"/>
      <c r="G326" s="114"/>
      <c r="H326" s="114"/>
      <c r="I326" s="114"/>
      <c r="J326" s="1971">
        <v>-17499</v>
      </c>
      <c r="K326" s="1971">
        <f t="shared" ref="K326:M326" si="90">SUM(K324:K325)</f>
        <v>-17954</v>
      </c>
      <c r="L326" s="1971">
        <f t="shared" si="90"/>
        <v>-18331</v>
      </c>
      <c r="M326" s="1971">
        <f t="shared" si="90"/>
        <v>-18753</v>
      </c>
      <c r="N326" s="1971">
        <f t="shared" ref="N326:O326" si="91">SUM(N324:N325)</f>
        <v>-19184</v>
      </c>
      <c r="O326" s="1971">
        <f t="shared" si="91"/>
        <v>-19625</v>
      </c>
      <c r="P326" s="115"/>
      <c r="Q326" s="115"/>
      <c r="R326" s="115"/>
      <c r="S326" s="115"/>
      <c r="T326" s="115"/>
      <c r="U326" s="115"/>
      <c r="V326" s="115"/>
      <c r="W326" s="115"/>
      <c r="X326" s="115"/>
    </row>
    <row r="327" spans="1:24" s="305" customFormat="1" ht="12.75" customHeight="1" thickTop="1" x14ac:dyDescent="0.25">
      <c r="A327" s="301"/>
      <c r="B327" s="115"/>
      <c r="C327" s="115"/>
      <c r="D327" s="143"/>
      <c r="E327" s="401" t="s">
        <v>5098</v>
      </c>
      <c r="F327" s="298"/>
      <c r="G327" s="114"/>
      <c r="H327" s="114"/>
      <c r="I327" s="114"/>
      <c r="J327" s="114"/>
      <c r="K327" s="114"/>
      <c r="L327" s="114"/>
      <c r="M327" s="114"/>
      <c r="N327" s="114"/>
      <c r="O327" s="114"/>
      <c r="P327" s="115"/>
      <c r="Q327" s="115"/>
      <c r="R327" s="115"/>
      <c r="S327" s="115"/>
      <c r="T327" s="115"/>
      <c r="U327" s="115"/>
      <c r="V327" s="115"/>
      <c r="W327" s="115"/>
      <c r="X327" s="115"/>
    </row>
    <row r="328" spans="1:24" s="305" customFormat="1" ht="12.75" customHeight="1" x14ac:dyDescent="0.25">
      <c r="A328" s="301"/>
      <c r="B328" s="115"/>
      <c r="C328" s="115"/>
      <c r="D328" s="143"/>
      <c r="E328" s="401" t="s">
        <v>5099</v>
      </c>
      <c r="F328" s="399"/>
      <c r="G328" s="114"/>
      <c r="H328" s="114"/>
      <c r="I328" s="114"/>
      <c r="J328" s="114"/>
      <c r="K328" s="114"/>
      <c r="L328" s="114"/>
      <c r="M328" s="114"/>
      <c r="N328" s="114"/>
      <c r="O328" s="114"/>
      <c r="P328" s="115"/>
      <c r="Q328" s="115"/>
      <c r="R328" s="115"/>
      <c r="S328" s="115"/>
      <c r="T328" s="115"/>
      <c r="U328" s="115"/>
      <c r="V328" s="115"/>
      <c r="W328" s="115"/>
      <c r="X328" s="115"/>
    </row>
    <row r="329" spans="1:24" s="305" customFormat="1" ht="12.75" customHeight="1" x14ac:dyDescent="0.25">
      <c r="A329" s="301"/>
      <c r="B329" s="115"/>
      <c r="C329" s="115"/>
      <c r="D329" s="143"/>
      <c r="E329" s="401"/>
      <c r="F329" s="399"/>
      <c r="G329" s="114"/>
      <c r="H329" s="114"/>
      <c r="I329" s="114"/>
      <c r="J329" s="114"/>
      <c r="K329" s="114"/>
      <c r="L329" s="114"/>
      <c r="M329" s="114"/>
      <c r="N329" s="114"/>
      <c r="O329" s="114"/>
      <c r="P329" s="115"/>
      <c r="Q329" s="115"/>
      <c r="R329" s="115"/>
      <c r="S329" s="115"/>
      <c r="T329" s="115"/>
      <c r="U329" s="115"/>
      <c r="V329" s="115"/>
      <c r="W329" s="115"/>
      <c r="X329" s="115"/>
    </row>
    <row r="330" spans="1:24" ht="12.75" customHeight="1" x14ac:dyDescent="0.25">
      <c r="D330" s="393">
        <v>651007</v>
      </c>
      <c r="E330" s="381" t="s">
        <v>5050</v>
      </c>
      <c r="F330" s="399"/>
      <c r="G330" s="114"/>
      <c r="H330" s="114"/>
      <c r="I330" s="114"/>
      <c r="J330" s="114"/>
      <c r="K330" s="114"/>
      <c r="L330" s="114"/>
      <c r="M330" s="114"/>
      <c r="N330" s="114"/>
      <c r="O330" s="114"/>
    </row>
    <row r="331" spans="1:24" ht="12.75" customHeight="1" x14ac:dyDescent="0.25">
      <c r="D331" s="143"/>
      <c r="E331" s="396" t="s">
        <v>554</v>
      </c>
      <c r="F331" s="399"/>
      <c r="G331" s="114"/>
      <c r="H331" s="114"/>
      <c r="I331" s="114"/>
      <c r="J331" s="114"/>
      <c r="K331" s="114"/>
      <c r="L331" s="114"/>
      <c r="M331" s="114"/>
      <c r="N331" s="114"/>
      <c r="O331" s="114"/>
    </row>
    <row r="332" spans="1:24" ht="12.75" customHeight="1" x14ac:dyDescent="0.25">
      <c r="D332" s="143">
        <v>83100</v>
      </c>
      <c r="E332" s="301" t="s">
        <v>5100</v>
      </c>
      <c r="F332" s="399"/>
      <c r="G332" s="114"/>
      <c r="H332" s="114"/>
      <c r="I332" s="114"/>
      <c r="J332" s="114">
        <v>-1416143</v>
      </c>
      <c r="K332" s="114">
        <v>-1416143</v>
      </c>
      <c r="L332" s="114">
        <v>0</v>
      </c>
      <c r="M332" s="114">
        <v>0</v>
      </c>
      <c r="N332" s="114">
        <v>0</v>
      </c>
      <c r="O332" s="114">
        <v>0</v>
      </c>
    </row>
    <row r="333" spans="1:24" ht="12.75" customHeight="1" x14ac:dyDescent="0.25">
      <c r="D333" s="1723">
        <v>83100</v>
      </c>
      <c r="E333" s="2309" t="s">
        <v>5404</v>
      </c>
      <c r="F333" s="2175"/>
      <c r="G333" s="2177"/>
      <c r="H333" s="2177"/>
      <c r="I333" s="2177"/>
      <c r="J333" s="2177">
        <v>1416143</v>
      </c>
      <c r="K333" s="2177">
        <v>-1416143</v>
      </c>
      <c r="L333" s="2177"/>
      <c r="M333" s="2177"/>
      <c r="N333" s="2177"/>
      <c r="O333" s="2177"/>
    </row>
    <row r="334" spans="1:24" ht="12.75" customHeight="1" thickBot="1" x14ac:dyDescent="0.3">
      <c r="D334" s="143"/>
      <c r="E334" s="396"/>
      <c r="F334" s="399"/>
      <c r="G334" s="114"/>
      <c r="H334" s="114"/>
      <c r="I334" s="114"/>
      <c r="J334" s="1971">
        <f>-1416143+J333</f>
        <v>0</v>
      </c>
      <c r="K334" s="1971">
        <f t="shared" ref="K334" si="92">SUM(K332:K333)</f>
        <v>-2832286</v>
      </c>
      <c r="L334" s="1971">
        <f>SUM(L332:L333)</f>
        <v>0</v>
      </c>
      <c r="M334" s="1971">
        <f>SUM(M332:M333)</f>
        <v>0</v>
      </c>
      <c r="N334" s="1971">
        <f>SUM(N332:N333)</f>
        <v>0</v>
      </c>
      <c r="O334" s="1971">
        <f>SUM(O332:O333)</f>
        <v>0</v>
      </c>
    </row>
    <row r="335" spans="1:24" ht="12.75" customHeight="1" thickTop="1" x14ac:dyDescent="0.25">
      <c r="D335" s="143"/>
      <c r="E335" s="396"/>
      <c r="F335" s="399"/>
      <c r="G335" s="114"/>
      <c r="H335" s="114"/>
      <c r="I335" s="114"/>
      <c r="J335" s="114"/>
      <c r="K335" s="114"/>
      <c r="L335" s="114"/>
      <c r="M335" s="114"/>
      <c r="N335" s="114"/>
      <c r="O335" s="114"/>
    </row>
    <row r="336" spans="1:24" ht="12.75" customHeight="1" x14ac:dyDescent="0.25">
      <c r="D336" s="143"/>
      <c r="E336" s="396"/>
      <c r="F336" s="399"/>
      <c r="G336" s="114"/>
      <c r="H336" s="114"/>
      <c r="I336" s="114"/>
      <c r="J336" s="114"/>
      <c r="K336" s="114"/>
      <c r="L336" s="114"/>
      <c r="M336" s="114"/>
      <c r="N336" s="114"/>
      <c r="O336" s="114"/>
    </row>
    <row r="337" spans="4:15" ht="12.75" customHeight="1" thickBot="1" x14ac:dyDescent="0.3">
      <c r="D337" s="143">
        <v>83800</v>
      </c>
      <c r="E337" s="565" t="s">
        <v>5101</v>
      </c>
      <c r="F337" s="458"/>
      <c r="G337" s="114"/>
      <c r="H337" s="114"/>
      <c r="I337" s="114"/>
      <c r="J337" s="1971">
        <v>-320783</v>
      </c>
      <c r="K337" s="1971">
        <f t="shared" ref="K337:M337" si="93">-K320</f>
        <v>-407289.67</v>
      </c>
      <c r="L337" s="1971">
        <f t="shared" si="93"/>
        <v>-424396</v>
      </c>
      <c r="M337" s="1971">
        <f t="shared" si="93"/>
        <v>-440099</v>
      </c>
      <c r="N337" s="1971">
        <f t="shared" ref="N337:O337" si="94">-N320</f>
        <v>-456383</v>
      </c>
      <c r="O337" s="1971">
        <f t="shared" si="94"/>
        <v>-473269</v>
      </c>
    </row>
    <row r="338" spans="4:15" ht="12.75" customHeight="1" thickTop="1" x14ac:dyDescent="0.25">
      <c r="D338" s="143"/>
      <c r="E338" s="115" t="s">
        <v>5102</v>
      </c>
      <c r="F338" s="399"/>
      <c r="G338" s="114"/>
      <c r="H338" s="114"/>
      <c r="I338" s="114"/>
      <c r="J338" s="114"/>
      <c r="K338" s="114"/>
      <c r="L338" s="114"/>
      <c r="M338" s="114"/>
      <c r="N338" s="114"/>
      <c r="O338" s="114"/>
    </row>
    <row r="339" spans="4:15" ht="12.75" customHeight="1" thickBot="1" x14ac:dyDescent="0.3">
      <c r="D339" s="143"/>
      <c r="E339" s="115" t="s">
        <v>5103</v>
      </c>
      <c r="F339" s="399"/>
      <c r="G339" s="114"/>
      <c r="H339" s="114"/>
      <c r="I339" s="114"/>
      <c r="J339" s="1971">
        <v>-133432</v>
      </c>
      <c r="K339" s="1971">
        <v>-58432</v>
      </c>
      <c r="L339" s="1971">
        <v>-58432</v>
      </c>
      <c r="M339" s="1971">
        <v>-58432</v>
      </c>
      <c r="N339" s="2139"/>
      <c r="O339" s="2139"/>
    </row>
    <row r="340" spans="4:15" ht="12.75" customHeight="1" thickTop="1" x14ac:dyDescent="0.25">
      <c r="D340" s="143"/>
      <c r="E340" s="115"/>
      <c r="F340" s="399"/>
      <c r="G340" s="114"/>
      <c r="H340" s="114"/>
      <c r="I340" s="114"/>
      <c r="J340" s="114"/>
      <c r="K340" s="114"/>
      <c r="L340" s="114"/>
      <c r="M340" s="114"/>
      <c r="N340" s="114"/>
      <c r="O340" s="114"/>
    </row>
    <row r="341" spans="4:15" ht="12.75" customHeight="1" x14ac:dyDescent="0.25">
      <c r="D341" s="143"/>
      <c r="E341" s="401"/>
      <c r="F341" s="399"/>
      <c r="G341" s="114"/>
      <c r="H341" s="114"/>
      <c r="I341" s="114"/>
      <c r="J341" s="114"/>
      <c r="K341" s="114"/>
      <c r="L341" s="114"/>
      <c r="M341" s="114"/>
      <c r="N341" s="114"/>
      <c r="O341" s="114"/>
    </row>
    <row r="342" spans="4:15" ht="12.75" customHeight="1" x14ac:dyDescent="0.25">
      <c r="D342" s="393">
        <v>651008</v>
      </c>
      <c r="E342" s="381" t="s">
        <v>5042</v>
      </c>
      <c r="F342" s="399"/>
      <c r="G342" s="114"/>
      <c r="H342" s="114"/>
      <c r="I342" s="114"/>
      <c r="J342" s="114"/>
      <c r="K342" s="114"/>
      <c r="L342" s="114"/>
      <c r="M342" s="114"/>
      <c r="N342" s="114"/>
      <c r="O342" s="114"/>
    </row>
    <row r="343" spans="4:15" ht="12.75" customHeight="1" x14ac:dyDescent="0.25">
      <c r="D343" s="143"/>
      <c r="E343" s="396" t="s">
        <v>554</v>
      </c>
      <c r="F343" s="399"/>
      <c r="G343" s="114"/>
      <c r="H343" s="114"/>
      <c r="I343" s="114"/>
      <c r="J343" s="114"/>
      <c r="K343" s="114"/>
      <c r="L343" s="114"/>
      <c r="M343" s="114"/>
      <c r="N343" s="114"/>
      <c r="O343" s="114"/>
    </row>
    <row r="344" spans="4:15" ht="12.75" customHeight="1" x14ac:dyDescent="0.25">
      <c r="D344" s="143">
        <v>83800</v>
      </c>
      <c r="E344" s="515" t="s">
        <v>5104</v>
      </c>
      <c r="F344" s="458"/>
      <c r="G344" s="114"/>
      <c r="H344" s="114"/>
      <c r="I344" s="114"/>
      <c r="J344" s="114">
        <v>-28224</v>
      </c>
      <c r="K344" s="114">
        <v>0</v>
      </c>
      <c r="L344" s="114">
        <v>0</v>
      </c>
      <c r="M344" s="114">
        <v>0</v>
      </c>
      <c r="N344" s="114">
        <v>0</v>
      </c>
      <c r="O344" s="114">
        <v>0</v>
      </c>
    </row>
    <row r="345" spans="4:15" ht="12.75" customHeight="1" x14ac:dyDescent="0.25">
      <c r="D345" s="143"/>
      <c r="E345" s="115"/>
      <c r="F345" s="399"/>
      <c r="G345" s="114"/>
      <c r="H345" s="114"/>
      <c r="I345" s="114"/>
    </row>
    <row r="346" spans="4:15" ht="12.75" customHeight="1" thickBot="1" x14ac:dyDescent="0.3">
      <c r="D346" s="143"/>
      <c r="E346" s="115"/>
      <c r="F346" s="399"/>
      <c r="G346" s="114"/>
      <c r="H346" s="114"/>
      <c r="I346" s="114"/>
      <c r="J346" s="1971">
        <v>-28224</v>
      </c>
      <c r="K346" s="1971">
        <f>SUM(K344:K345)</f>
        <v>0</v>
      </c>
      <c r="L346" s="1971">
        <f>SUM(L344:L345)</f>
        <v>0</v>
      </c>
      <c r="M346" s="1971">
        <f>SUM(M344:M345)</f>
        <v>0</v>
      </c>
      <c r="N346" s="1971">
        <f>SUM(N344:N345)</f>
        <v>0</v>
      </c>
      <c r="O346" s="1971">
        <f>SUM(O344:O345)</f>
        <v>0</v>
      </c>
    </row>
    <row r="347" spans="4:15" ht="12.75" customHeight="1" thickTop="1" x14ac:dyDescent="0.25">
      <c r="I347" s="114"/>
    </row>
    <row r="348" spans="4:15" ht="12.75" customHeight="1" x14ac:dyDescent="0.25">
      <c r="I348" s="114"/>
    </row>
    <row r="349" spans="4:15" ht="12.75" customHeight="1" x14ac:dyDescent="0.25">
      <c r="I349" s="114"/>
    </row>
    <row r="351" spans="4:15" ht="12.75" customHeight="1" x14ac:dyDescent="0.25">
      <c r="D351" s="500" t="s">
        <v>5105</v>
      </c>
      <c r="E351" s="566"/>
      <c r="F351" s="566"/>
      <c r="G351" s="359"/>
      <c r="H351" s="359"/>
      <c r="I351" s="510"/>
      <c r="J351" s="510"/>
      <c r="K351" s="510"/>
      <c r="L351" s="510"/>
      <c r="M351" s="510"/>
      <c r="N351" s="510"/>
      <c r="O351" s="510"/>
    </row>
    <row r="352" spans="4:15" ht="12.75" customHeight="1" x14ac:dyDescent="0.25">
      <c r="D352" s="502"/>
      <c r="E352" s="567"/>
      <c r="F352" s="567"/>
      <c r="G352" s="359"/>
      <c r="H352" s="359"/>
      <c r="I352" s="510"/>
      <c r="J352" s="568"/>
      <c r="K352" s="486">
        <v>2026</v>
      </c>
      <c r="L352" s="486">
        <v>2027</v>
      </c>
      <c r="M352" s="486">
        <v>2028</v>
      </c>
      <c r="N352" s="486">
        <v>2029</v>
      </c>
      <c r="O352" s="486">
        <v>2030</v>
      </c>
    </row>
    <row r="353" spans="4:23" ht="12.75" customHeight="1" x14ac:dyDescent="0.25">
      <c r="D353" s="504" t="s">
        <v>5106</v>
      </c>
      <c r="E353" s="569"/>
      <c r="F353" s="569"/>
      <c r="G353" s="359"/>
      <c r="H353" s="359"/>
      <c r="I353" s="510"/>
      <c r="J353" s="510"/>
      <c r="K353" s="510"/>
      <c r="L353" s="510"/>
      <c r="M353" s="510"/>
      <c r="N353" s="510"/>
      <c r="O353" s="510"/>
    </row>
    <row r="354" spans="4:23" ht="12.75" customHeight="1" x14ac:dyDescent="0.25">
      <c r="D354" s="502" t="s">
        <v>5107</v>
      </c>
      <c r="E354" s="567"/>
      <c r="F354" s="567"/>
      <c r="G354" s="359"/>
      <c r="H354" s="359"/>
      <c r="I354" s="359"/>
      <c r="J354" s="510"/>
      <c r="K354" s="510">
        <f t="shared" ref="K354:M354" si="95">K310+K311</f>
        <v>131294.63</v>
      </c>
      <c r="L354" s="510">
        <f t="shared" si="95"/>
        <v>136809</v>
      </c>
      <c r="M354" s="510">
        <f t="shared" si="95"/>
        <v>141871</v>
      </c>
      <c r="N354" s="510">
        <f t="shared" ref="N354:O354" si="96">N310+N311</f>
        <v>147121</v>
      </c>
      <c r="O354" s="510">
        <f t="shared" si="96"/>
        <v>152564</v>
      </c>
    </row>
    <row r="355" spans="4:23" ht="12.75" customHeight="1" x14ac:dyDescent="0.25">
      <c r="D355" s="502" t="s">
        <v>5108</v>
      </c>
      <c r="E355" s="567"/>
      <c r="F355" s="567"/>
      <c r="G355" s="359"/>
      <c r="H355" s="359"/>
      <c r="I355" s="359"/>
      <c r="J355" s="510"/>
      <c r="K355" s="570">
        <f t="shared" ref="K355:M355" si="97">K312</f>
        <v>39651.22</v>
      </c>
      <c r="L355" s="570">
        <f t="shared" si="97"/>
        <v>41317</v>
      </c>
      <c r="M355" s="570">
        <f t="shared" si="97"/>
        <v>42846</v>
      </c>
      <c r="N355" s="570">
        <f t="shared" ref="N355:O355" si="98">N312</f>
        <v>44431</v>
      </c>
      <c r="O355" s="570">
        <f t="shared" si="98"/>
        <v>46075</v>
      </c>
    </row>
    <row r="356" spans="4:23" ht="12.75" customHeight="1" x14ac:dyDescent="0.25">
      <c r="D356" s="502"/>
      <c r="E356" s="567"/>
      <c r="F356" s="567"/>
      <c r="G356" s="359"/>
      <c r="H356" s="359"/>
      <c r="I356" s="359"/>
      <c r="J356" s="510"/>
      <c r="K356" s="510"/>
      <c r="L356" s="510"/>
      <c r="M356" s="510"/>
      <c r="N356" s="510"/>
      <c r="O356" s="510"/>
    </row>
    <row r="357" spans="4:23" ht="12.75" customHeight="1" x14ac:dyDescent="0.25">
      <c r="D357" s="502" t="s">
        <v>2038</v>
      </c>
      <c r="E357" s="567"/>
      <c r="F357" s="567"/>
      <c r="G357" s="359"/>
      <c r="H357" s="359"/>
      <c r="I357" s="359"/>
      <c r="J357" s="510"/>
      <c r="K357" s="510">
        <f>SUM(K354:K355)</f>
        <v>170945.85</v>
      </c>
      <c r="L357" s="510">
        <f>SUM(L354:L355)</f>
        <v>178126</v>
      </c>
      <c r="M357" s="510">
        <f>SUM(M354:M355)</f>
        <v>184717</v>
      </c>
      <c r="N357" s="510">
        <f>SUM(N354:N355)</f>
        <v>191552</v>
      </c>
      <c r="O357" s="510">
        <f>SUM(O354:O355)</f>
        <v>198639</v>
      </c>
    </row>
    <row r="358" spans="4:23" ht="12.75" customHeight="1" x14ac:dyDescent="0.25">
      <c r="D358" s="502" t="s">
        <v>3191</v>
      </c>
      <c r="E358" s="567"/>
      <c r="F358" s="567"/>
      <c r="G358" s="359"/>
      <c r="H358" s="359"/>
      <c r="I358" s="359"/>
      <c r="J358" s="510"/>
      <c r="K358" s="570">
        <v>0</v>
      </c>
      <c r="L358" s="570">
        <v>0</v>
      </c>
      <c r="M358" s="570">
        <v>0</v>
      </c>
      <c r="N358" s="570">
        <v>0</v>
      </c>
      <c r="O358" s="570">
        <v>0</v>
      </c>
    </row>
    <row r="359" spans="4:23" ht="12.75" customHeight="1" x14ac:dyDescent="0.25">
      <c r="D359" s="502" t="s">
        <v>2785</v>
      </c>
      <c r="E359" s="567"/>
      <c r="F359" s="567"/>
      <c r="G359" s="359"/>
      <c r="H359" s="359"/>
      <c r="I359" s="359"/>
      <c r="J359" s="510"/>
      <c r="K359" s="510">
        <f t="shared" ref="K359:M359" si="99">SUM(K357:K358)</f>
        <v>170945.85</v>
      </c>
      <c r="L359" s="510">
        <f t="shared" si="99"/>
        <v>178126</v>
      </c>
      <c r="M359" s="510">
        <f t="shared" si="99"/>
        <v>184717</v>
      </c>
      <c r="N359" s="510">
        <f t="shared" ref="N359:O359" si="100">SUM(N357:N358)</f>
        <v>191552</v>
      </c>
      <c r="O359" s="510">
        <f t="shared" si="100"/>
        <v>198639</v>
      </c>
    </row>
    <row r="360" spans="4:23" ht="12.75" customHeight="1" x14ac:dyDescent="0.25">
      <c r="D360" s="502"/>
      <c r="E360" s="567"/>
      <c r="F360" s="567"/>
      <c r="G360" s="359"/>
      <c r="H360" s="359"/>
      <c r="I360" s="359"/>
      <c r="J360" s="510"/>
      <c r="K360" s="510"/>
      <c r="L360" s="510"/>
      <c r="M360" s="510"/>
      <c r="N360" s="510"/>
      <c r="O360" s="510"/>
      <c r="U360" s="115">
        <f>124000*1.35%</f>
        <v>1674.0000000000002</v>
      </c>
    </row>
    <row r="361" spans="4:23" ht="12.75" customHeight="1" x14ac:dyDescent="0.25">
      <c r="D361" s="502"/>
      <c r="E361" s="567"/>
      <c r="F361" s="567"/>
      <c r="G361" s="359"/>
      <c r="H361" s="359"/>
      <c r="I361" s="359"/>
      <c r="J361" s="510"/>
      <c r="K361" s="510"/>
      <c r="L361" s="510"/>
      <c r="M361" s="510"/>
      <c r="N361" s="510"/>
      <c r="O361" s="510"/>
    </row>
    <row r="362" spans="4:23" ht="12.75" customHeight="1" x14ac:dyDescent="0.25">
      <c r="D362" s="504" t="s">
        <v>3192</v>
      </c>
      <c r="E362" s="569"/>
      <c r="F362" s="569"/>
      <c r="G362" s="359"/>
      <c r="H362" s="359"/>
      <c r="I362" s="359"/>
      <c r="J362" s="510"/>
      <c r="K362" s="510"/>
      <c r="L362" s="510"/>
      <c r="M362" s="510"/>
      <c r="N362" s="510"/>
      <c r="O362" s="510"/>
    </row>
    <row r="363" spans="4:23" ht="12.75" customHeight="1" x14ac:dyDescent="0.25">
      <c r="D363" s="502"/>
      <c r="E363" s="567"/>
      <c r="F363" s="567"/>
      <c r="G363" s="359"/>
      <c r="H363" s="359"/>
      <c r="I363" s="359"/>
      <c r="J363" s="510"/>
      <c r="K363" s="510"/>
      <c r="L363" s="510"/>
      <c r="M363" s="510"/>
      <c r="N363" s="510"/>
      <c r="O363" s="510"/>
    </row>
    <row r="364" spans="4:23" ht="12.75" customHeight="1" x14ac:dyDescent="0.25">
      <c r="D364" s="396" t="s">
        <v>2787</v>
      </c>
      <c r="E364" s="531"/>
      <c r="F364" s="531"/>
      <c r="G364" s="359"/>
      <c r="H364" s="359"/>
      <c r="I364" s="359"/>
      <c r="J364" s="510"/>
      <c r="K364" s="510"/>
      <c r="L364" s="510"/>
      <c r="M364" s="510"/>
      <c r="N364" s="510"/>
      <c r="O364" s="510"/>
    </row>
    <row r="365" spans="4:23" ht="12.75" customHeight="1" x14ac:dyDescent="0.25">
      <c r="D365" s="301" t="s">
        <v>2788</v>
      </c>
      <c r="G365" s="301"/>
      <c r="H365" s="301"/>
      <c r="I365" s="359"/>
      <c r="J365" s="114"/>
      <c r="K365" s="114">
        <f>K359</f>
        <v>170945.85</v>
      </c>
      <c r="L365" s="114">
        <f>L359</f>
        <v>178126</v>
      </c>
      <c r="M365" s="114">
        <f>M359</f>
        <v>184717</v>
      </c>
      <c r="N365" s="114">
        <f>N359</f>
        <v>191552</v>
      </c>
      <c r="O365" s="544">
        <f>O359</f>
        <v>198639</v>
      </c>
      <c r="P365" s="571"/>
      <c r="R365" s="571" t="s">
        <v>940</v>
      </c>
      <c r="S365" s="571" t="s">
        <v>941</v>
      </c>
      <c r="T365" s="571" t="s">
        <v>942</v>
      </c>
      <c r="U365" s="571" t="s">
        <v>943</v>
      </c>
      <c r="V365" s="571" t="s">
        <v>944</v>
      </c>
      <c r="W365" s="2097" t="s">
        <v>5284</v>
      </c>
    </row>
    <row r="366" spans="4:23" ht="12.75" customHeight="1" x14ac:dyDescent="0.25">
      <c r="G366" s="301"/>
      <c r="H366" s="301"/>
      <c r="I366" s="359"/>
      <c r="J366" s="114"/>
      <c r="K366" s="114"/>
      <c r="L366" s="114"/>
      <c r="M366" s="114"/>
      <c r="N366" s="114"/>
      <c r="O366" s="544"/>
      <c r="P366" s="572"/>
      <c r="W366" s="358"/>
    </row>
    <row r="367" spans="4:23" ht="12.75" customHeight="1" x14ac:dyDescent="0.3">
      <c r="D367" s="507"/>
      <c r="E367" s="115"/>
      <c r="F367" s="115"/>
      <c r="I367" s="508"/>
      <c r="J367" s="508"/>
      <c r="K367" s="508"/>
      <c r="L367" s="151"/>
      <c r="M367" s="151"/>
      <c r="N367" s="151"/>
      <c r="O367" s="547"/>
      <c r="W367" s="358"/>
    </row>
    <row r="368" spans="4:23" ht="12.75" customHeight="1" x14ac:dyDescent="0.3">
      <c r="D368" s="115" t="s">
        <v>946</v>
      </c>
      <c r="E368" s="115"/>
      <c r="F368" s="115"/>
      <c r="I368" s="359"/>
      <c r="J368" s="151"/>
      <c r="K368" s="151">
        <f t="shared" ref="K368:K375" si="101">$K$354*S368</f>
        <v>11834.899934689303</v>
      </c>
      <c r="L368" s="151">
        <f t="shared" ref="L368:L375" si="102">$L$354*T368</f>
        <v>12875.922855239449</v>
      </c>
      <c r="M368" s="151">
        <f t="shared" ref="M368:M375" si="103">$M$354*U368</f>
        <v>14086.656476545471</v>
      </c>
      <c r="N368" s="151">
        <f>N354*V368</f>
        <v>15357.677874965355</v>
      </c>
      <c r="O368" s="547">
        <f>O$354*W368</f>
        <v>15925.862163227644</v>
      </c>
      <c r="Q368" s="359"/>
      <c r="R368" s="508">
        <v>0.10002862957699615</v>
      </c>
      <c r="S368" s="509">
        <v>9.0140015130011811E-2</v>
      </c>
      <c r="T368" s="509">
        <v>9.4116051248378754E-2</v>
      </c>
      <c r="U368" s="509">
        <v>9.9292008067508306E-2</v>
      </c>
      <c r="V368" s="509">
        <v>0.10438807427196223</v>
      </c>
      <c r="W368" s="2083">
        <v>0.10438807427196223</v>
      </c>
    </row>
    <row r="369" spans="4:23" ht="12.75" customHeight="1" x14ac:dyDescent="0.3">
      <c r="D369" s="115" t="s">
        <v>947</v>
      </c>
      <c r="E369" s="115"/>
      <c r="F369" s="115"/>
      <c r="I369" s="359"/>
      <c r="J369" s="151"/>
      <c r="K369" s="151">
        <f t="shared" si="101"/>
        <v>287.26892512359797</v>
      </c>
      <c r="L369" s="151">
        <f t="shared" si="102"/>
        <v>298.36264661596101</v>
      </c>
      <c r="M369" s="151">
        <f t="shared" si="103"/>
        <v>308.40286483025972</v>
      </c>
      <c r="N369" s="151">
        <f t="shared" ref="N369:N375" si="104">$N$354*V369</f>
        <v>318.77834592312513</v>
      </c>
      <c r="O369" s="547">
        <f t="shared" ref="O369:O380" si="105">O$354*W369</f>
        <v>330.57211116982387</v>
      </c>
      <c r="Q369" s="359"/>
      <c r="R369" s="508">
        <v>2.3306659189979155E-3</v>
      </c>
      <c r="S369" s="509">
        <v>2.1879716262850806E-3</v>
      </c>
      <c r="T369" s="509">
        <v>2.1808700203638722E-3</v>
      </c>
      <c r="U369" s="509">
        <v>2.1738259745138874E-3</v>
      </c>
      <c r="V369" s="509">
        <v>2.1667766391142334E-3</v>
      </c>
      <c r="W369" s="2083">
        <v>2.1667766391142334E-3</v>
      </c>
    </row>
    <row r="370" spans="4:23" ht="12.75" customHeight="1" x14ac:dyDescent="0.3">
      <c r="D370" s="115" t="s">
        <v>948</v>
      </c>
      <c r="E370" s="115"/>
      <c r="F370" s="115"/>
      <c r="I370" s="359"/>
      <c r="J370" s="151"/>
      <c r="K370" s="151">
        <f t="shared" si="101"/>
        <v>22961.680049650353</v>
      </c>
      <c r="L370" s="151">
        <f t="shared" si="102"/>
        <v>23857.64651383767</v>
      </c>
      <c r="M370" s="151">
        <f t="shared" si="103"/>
        <v>24669.635813117806</v>
      </c>
      <c r="N370" s="151">
        <f t="shared" si="104"/>
        <v>25509.381721776364</v>
      </c>
      <c r="O370" s="547">
        <f t="shared" si="105"/>
        <v>26453.146138220167</v>
      </c>
      <c r="Q370" s="359"/>
      <c r="R370" s="508">
        <v>0.19135684371635128</v>
      </c>
      <c r="S370" s="509">
        <v>0.17488666558297436</v>
      </c>
      <c r="T370" s="509">
        <v>0.17438652803424973</v>
      </c>
      <c r="U370" s="509">
        <v>0.17388779816254066</v>
      </c>
      <c r="V370" s="509">
        <v>0.17339048621050948</v>
      </c>
      <c r="W370" s="2083">
        <v>0.17339048621050948</v>
      </c>
    </row>
    <row r="371" spans="4:23" ht="12.75" customHeight="1" x14ac:dyDescent="0.3">
      <c r="D371" s="115" t="s">
        <v>949</v>
      </c>
      <c r="E371" s="115"/>
      <c r="F371" s="115"/>
      <c r="I371" s="359"/>
      <c r="J371" s="151"/>
      <c r="K371" s="151">
        <f t="shared" si="101"/>
        <v>29803.355831480003</v>
      </c>
      <c r="L371" s="151">
        <f t="shared" si="102"/>
        <v>30390.614450999998</v>
      </c>
      <c r="M371" s="151">
        <f t="shared" si="103"/>
        <v>31301.282471999999</v>
      </c>
      <c r="N371" s="151">
        <f t="shared" si="104"/>
        <v>32238.477609000001</v>
      </c>
      <c r="O371" s="547">
        <f t="shared" si="105"/>
        <v>33431.196756000005</v>
      </c>
      <c r="Q371" s="359"/>
      <c r="R371" s="508">
        <v>0.2538065744000943</v>
      </c>
      <c r="S371" s="509">
        <v>0.226996</v>
      </c>
      <c r="T371" s="509">
        <v>0.22213899999999998</v>
      </c>
      <c r="U371" s="509">
        <v>0.22063199999999999</v>
      </c>
      <c r="V371" s="509">
        <v>0.21912900000000002</v>
      </c>
      <c r="W371" s="2083">
        <v>0.21912900000000002</v>
      </c>
    </row>
    <row r="372" spans="4:23" ht="12.75" customHeight="1" x14ac:dyDescent="0.3">
      <c r="D372" s="308" t="s">
        <v>950</v>
      </c>
      <c r="E372" s="115"/>
      <c r="F372" s="115"/>
      <c r="I372" s="359"/>
      <c r="J372" s="151"/>
      <c r="K372" s="151">
        <f t="shared" si="101"/>
        <v>4056.3496659436241</v>
      </c>
      <c r="L372" s="151">
        <f t="shared" si="102"/>
        <v>4209.1228481831995</v>
      </c>
      <c r="M372" s="151">
        <f t="shared" si="103"/>
        <v>4346.79992039631</v>
      </c>
      <c r="N372" s="151">
        <f t="shared" si="104"/>
        <v>4489.1363093992841</v>
      </c>
      <c r="O372" s="547">
        <f t="shared" si="105"/>
        <v>4655.219798038298</v>
      </c>
      <c r="Q372" s="359"/>
      <c r="R372" s="508">
        <v>3.513702303285287E-2</v>
      </c>
      <c r="S372" s="509">
        <v>3.0895015782013507E-2</v>
      </c>
      <c r="T372" s="509">
        <v>3.0766417766252215E-2</v>
      </c>
      <c r="U372" s="509">
        <v>3.0639101158068314E-2</v>
      </c>
      <c r="V372" s="509">
        <v>3.051322591199954E-2</v>
      </c>
      <c r="W372" s="2083">
        <v>3.051322591199954E-2</v>
      </c>
    </row>
    <row r="373" spans="4:23" ht="12.75" customHeight="1" x14ac:dyDescent="0.3">
      <c r="D373" s="308" t="s">
        <v>951</v>
      </c>
      <c r="E373" s="115"/>
      <c r="F373" s="115"/>
      <c r="I373" s="359"/>
      <c r="J373" s="151"/>
      <c r="K373" s="151">
        <f t="shared" si="101"/>
        <v>0</v>
      </c>
      <c r="L373" s="151">
        <f t="shared" si="102"/>
        <v>0</v>
      </c>
      <c r="M373" s="151">
        <f t="shared" si="103"/>
        <v>0</v>
      </c>
      <c r="N373" s="151">
        <f t="shared" si="104"/>
        <v>0</v>
      </c>
      <c r="O373" s="547">
        <f t="shared" si="105"/>
        <v>0</v>
      </c>
      <c r="Q373" s="359"/>
      <c r="R373" s="508">
        <v>0</v>
      </c>
      <c r="S373" s="509">
        <v>0</v>
      </c>
      <c r="T373" s="509">
        <v>0</v>
      </c>
      <c r="U373" s="509">
        <v>0</v>
      </c>
      <c r="V373" s="509">
        <v>0</v>
      </c>
      <c r="W373" s="2083">
        <v>0</v>
      </c>
    </row>
    <row r="374" spans="4:23" ht="12.75" customHeight="1" x14ac:dyDescent="0.3">
      <c r="D374" s="308" t="s">
        <v>952</v>
      </c>
      <c r="E374" s="115"/>
      <c r="F374" s="115"/>
      <c r="I374" s="359"/>
      <c r="J374" s="151"/>
      <c r="K374" s="151">
        <f t="shared" si="101"/>
        <v>16544.030321074435</v>
      </c>
      <c r="L374" s="151">
        <f t="shared" si="102"/>
        <v>15273.429885411997</v>
      </c>
      <c r="M374" s="151">
        <f t="shared" si="103"/>
        <v>15838.558427262453</v>
      </c>
      <c r="N374" s="151">
        <f t="shared" si="104"/>
        <v>16424.687129732141</v>
      </c>
      <c r="O374" s="547">
        <f t="shared" si="105"/>
        <v>17032.347300932255</v>
      </c>
      <c r="Q374" s="359"/>
      <c r="R374" s="508">
        <v>0.11221366881037274</v>
      </c>
      <c r="S374" s="509">
        <v>0.12600690767835998</v>
      </c>
      <c r="T374" s="509">
        <v>0.11164053450732041</v>
      </c>
      <c r="U374" s="509">
        <v>0.11164056380276767</v>
      </c>
      <c r="V374" s="509">
        <v>0.11164067080656155</v>
      </c>
      <c r="W374" s="2083">
        <v>0.11164067080656155</v>
      </c>
    </row>
    <row r="375" spans="4:23" ht="12.75" customHeight="1" x14ac:dyDescent="0.3">
      <c r="D375" s="308" t="s">
        <v>953</v>
      </c>
      <c r="E375" s="115"/>
      <c r="F375" s="115"/>
      <c r="I375" s="359"/>
      <c r="J375" s="151"/>
      <c r="K375" s="151">
        <f t="shared" si="101"/>
        <v>0</v>
      </c>
      <c r="L375" s="151">
        <f t="shared" si="102"/>
        <v>0</v>
      </c>
      <c r="M375" s="151">
        <f t="shared" si="103"/>
        <v>0</v>
      </c>
      <c r="N375" s="151">
        <f t="shared" si="104"/>
        <v>0</v>
      </c>
      <c r="O375" s="547">
        <f t="shared" si="105"/>
        <v>0</v>
      </c>
      <c r="Q375" s="359"/>
      <c r="R375" s="508">
        <v>0</v>
      </c>
      <c r="S375" s="509">
        <v>0</v>
      </c>
      <c r="T375" s="509">
        <v>0</v>
      </c>
      <c r="U375" s="509">
        <v>0</v>
      </c>
      <c r="V375" s="509">
        <v>0</v>
      </c>
      <c r="W375" s="2083">
        <v>0</v>
      </c>
    </row>
    <row r="376" spans="4:23" ht="12.75" customHeight="1" x14ac:dyDescent="0.25">
      <c r="D376" s="115"/>
      <c r="E376" s="115"/>
      <c r="F376" s="115"/>
      <c r="I376" s="359"/>
      <c r="J376" s="359"/>
      <c r="K376" s="151"/>
      <c r="L376" s="151"/>
      <c r="M376" s="151"/>
      <c r="N376" s="151"/>
      <c r="O376" s="547"/>
      <c r="Q376" s="359"/>
      <c r="R376" s="508"/>
      <c r="S376" s="508"/>
      <c r="T376" s="508"/>
      <c r="U376" s="508"/>
      <c r="V376" s="508"/>
      <c r="W376" s="2090"/>
    </row>
    <row r="377" spans="4:23" ht="12.75" customHeight="1" x14ac:dyDescent="0.3">
      <c r="D377" s="507" t="s">
        <v>954</v>
      </c>
      <c r="E377" s="115"/>
      <c r="F377" s="115"/>
      <c r="I377" s="359"/>
      <c r="J377" s="359"/>
      <c r="K377" s="151"/>
      <c r="L377" s="151"/>
      <c r="M377" s="151"/>
      <c r="N377" s="151"/>
      <c r="O377" s="547"/>
      <c r="Q377" s="359"/>
      <c r="R377" s="508"/>
      <c r="S377" s="508"/>
      <c r="T377" s="508"/>
      <c r="U377" s="508"/>
      <c r="V377" s="508"/>
      <c r="W377" s="2090"/>
    </row>
    <row r="378" spans="4:23" ht="12.75" customHeight="1" x14ac:dyDescent="0.25">
      <c r="D378" s="115"/>
      <c r="E378" s="115"/>
      <c r="F378" s="115"/>
      <c r="I378" s="359"/>
      <c r="J378" s="359"/>
      <c r="K378" s="151"/>
      <c r="L378" s="151"/>
      <c r="M378" s="151"/>
      <c r="N378" s="151"/>
      <c r="O378" s="547"/>
      <c r="Q378" s="359"/>
      <c r="R378" s="508"/>
      <c r="S378" s="508"/>
      <c r="T378" s="508"/>
      <c r="U378" s="508"/>
      <c r="V378" s="508"/>
      <c r="W378" s="2090"/>
    </row>
    <row r="379" spans="4:23" ht="12.75" customHeight="1" x14ac:dyDescent="0.3">
      <c r="D379" s="115" t="s">
        <v>955</v>
      </c>
      <c r="E379" s="115"/>
      <c r="F379" s="115"/>
      <c r="I379" s="359"/>
      <c r="J379" s="151"/>
      <c r="K379" s="151">
        <f>$K$354*S379</f>
        <v>4236.0187472942298</v>
      </c>
      <c r="L379" s="151">
        <f>$L$354*T379</f>
        <v>6509.2923153149823</v>
      </c>
      <c r="M379" s="151">
        <f>$M$354*U379</f>
        <v>6470.4337583594615</v>
      </c>
      <c r="N379" s="151">
        <f>$N$354*V379</f>
        <v>6501.0721575071602</v>
      </c>
      <c r="O379" s="547">
        <f t="shared" si="105"/>
        <v>6741.5907493690393</v>
      </c>
      <c r="Q379" s="359"/>
      <c r="R379" s="508">
        <v>4.085646064597323E-2</v>
      </c>
      <c r="S379" s="509">
        <v>3.2263457746095403E-2</v>
      </c>
      <c r="T379" s="509">
        <v>4.7579415939850316E-2</v>
      </c>
      <c r="U379" s="509">
        <v>4.5607867417297838E-2</v>
      </c>
      <c r="V379" s="509">
        <v>4.4188607727701418E-2</v>
      </c>
      <c r="W379" s="2083">
        <v>4.4188607727701418E-2</v>
      </c>
    </row>
    <row r="380" spans="4:23" ht="12.75" customHeight="1" x14ac:dyDescent="0.3">
      <c r="D380" s="115" t="s">
        <v>956</v>
      </c>
      <c r="E380" s="115"/>
      <c r="F380" s="115"/>
      <c r="I380" s="359"/>
      <c r="J380" s="151"/>
      <c r="K380" s="151">
        <f>$K$354*S380</f>
        <v>22082.181230440001</v>
      </c>
      <c r="L380" s="151">
        <f>$L$354*T380</f>
        <v>22132.412784000004</v>
      </c>
      <c r="M380" s="151">
        <f>$M$354*U380</f>
        <v>18517.428532999998</v>
      </c>
      <c r="N380" s="151">
        <f>$N$354*V380</f>
        <v>18483.546835000001</v>
      </c>
      <c r="O380" s="547">
        <f t="shared" si="105"/>
        <v>19167.378140000001</v>
      </c>
      <c r="Q380" s="359"/>
      <c r="R380" s="508">
        <v>0.16666163569987213</v>
      </c>
      <c r="S380" s="509">
        <v>0.168188</v>
      </c>
      <c r="T380" s="509">
        <v>0.16177600000000003</v>
      </c>
      <c r="U380" s="509">
        <v>0.130523</v>
      </c>
      <c r="V380" s="509">
        <v>0.125635</v>
      </c>
      <c r="W380" s="2083">
        <v>0.125635</v>
      </c>
    </row>
    <row r="381" spans="4:23" ht="12.75" customHeight="1" x14ac:dyDescent="0.25">
      <c r="D381" s="411"/>
      <c r="E381" s="301"/>
      <c r="F381" s="301"/>
      <c r="G381" s="359"/>
      <c r="H381" s="359"/>
      <c r="I381" s="510"/>
      <c r="J381" s="151"/>
      <c r="K381" s="151"/>
      <c r="L381" s="151"/>
      <c r="M381" s="151"/>
      <c r="N381" s="151"/>
      <c r="O381" s="547"/>
      <c r="Q381" s="359"/>
      <c r="W381" s="358"/>
    </row>
    <row r="382" spans="4:23" ht="12.75" customHeight="1" thickBot="1" x14ac:dyDescent="0.3">
      <c r="D382" s="301" t="s">
        <v>957</v>
      </c>
      <c r="E382" s="301"/>
      <c r="F382" s="301"/>
      <c r="G382" s="359"/>
      <c r="H382" s="359"/>
      <c r="I382" s="510"/>
      <c r="J382" s="503"/>
      <c r="K382" s="1972">
        <f t="shared" ref="K382:M382" si="106">SUM(K368:K381)</f>
        <v>111805.78470569555</v>
      </c>
      <c r="L382" s="1972">
        <f t="shared" si="106"/>
        <v>115546.80429960326</v>
      </c>
      <c r="M382" s="1972">
        <f t="shared" si="106"/>
        <v>115539.19826551176</v>
      </c>
      <c r="N382" s="1972">
        <f t="shared" ref="N382:O382" si="107">SUM(N368:N381)</f>
        <v>119322.75798330345</v>
      </c>
      <c r="O382" s="2138">
        <f t="shared" si="107"/>
        <v>123737.31315695723</v>
      </c>
      <c r="W382" s="358"/>
    </row>
    <row r="383" spans="4:23" ht="12.75" customHeight="1" thickTop="1" x14ac:dyDescent="0.25">
      <c r="E383" s="301"/>
      <c r="F383" s="301"/>
      <c r="G383" s="359"/>
      <c r="H383" s="359"/>
      <c r="I383" s="510"/>
      <c r="J383" s="503"/>
      <c r="K383" s="503"/>
      <c r="L383" s="503"/>
      <c r="M383" s="503"/>
      <c r="N383" s="503"/>
      <c r="O383" s="503"/>
      <c r="R383" s="149"/>
      <c r="S383" s="149"/>
      <c r="T383" s="149"/>
      <c r="U383" s="149"/>
      <c r="V383" s="149"/>
      <c r="W383" s="2112"/>
    </row>
    <row r="384" spans="4:23" ht="12.75" customHeight="1" x14ac:dyDescent="0.25">
      <c r="D384" s="301" t="s">
        <v>959</v>
      </c>
      <c r="E384" s="301"/>
      <c r="F384" s="301"/>
      <c r="G384" s="359"/>
      <c r="H384" s="359"/>
      <c r="I384" s="510"/>
      <c r="J384" s="503"/>
      <c r="K384" s="503">
        <f>K359</f>
        <v>170945.85</v>
      </c>
      <c r="L384" s="503">
        <f>L359</f>
        <v>178126</v>
      </c>
      <c r="M384" s="503">
        <f>M359</f>
        <v>184717</v>
      </c>
      <c r="N384" s="503">
        <f>N359</f>
        <v>191552</v>
      </c>
      <c r="O384" s="503">
        <f>O359</f>
        <v>198639</v>
      </c>
      <c r="W384" s="358"/>
    </row>
    <row r="385" spans="4:23" ht="12.75" customHeight="1" x14ac:dyDescent="0.25">
      <c r="D385" s="301" t="s">
        <v>960</v>
      </c>
      <c r="E385" s="301"/>
      <c r="F385" s="301"/>
      <c r="G385" s="359"/>
      <c r="H385" s="359"/>
      <c r="I385" s="510"/>
      <c r="J385" s="503"/>
      <c r="K385" s="503">
        <f>K382</f>
        <v>111805.78470569555</v>
      </c>
      <c r="L385" s="503">
        <f>L382</f>
        <v>115546.80429960326</v>
      </c>
      <c r="M385" s="503">
        <f>M382</f>
        <v>115539.19826551176</v>
      </c>
      <c r="N385" s="503">
        <f>N382</f>
        <v>119322.75798330345</v>
      </c>
      <c r="O385" s="503">
        <f>O382</f>
        <v>123737.31315695723</v>
      </c>
      <c r="W385" s="358"/>
    </row>
    <row r="386" spans="4:23" ht="12.75" customHeight="1" x14ac:dyDescent="0.25">
      <c r="D386" s="301" t="s">
        <v>961</v>
      </c>
      <c r="E386" s="301"/>
      <c r="F386" s="301"/>
      <c r="G386" s="359"/>
      <c r="H386" s="359"/>
      <c r="I386" s="510"/>
      <c r="J386" s="503"/>
      <c r="K386" s="511">
        <f>K175</f>
        <v>-17954</v>
      </c>
      <c r="L386" s="511">
        <f>L175</f>
        <v>-18331</v>
      </c>
      <c r="M386" s="511">
        <f>M175</f>
        <v>-18753</v>
      </c>
      <c r="N386" s="511">
        <f>N175</f>
        <v>-19184</v>
      </c>
      <c r="O386" s="511">
        <f>O175</f>
        <v>-19625</v>
      </c>
      <c r="P386" s="381" t="s">
        <v>958</v>
      </c>
      <c r="Q386" s="381"/>
      <c r="R386" s="514">
        <f>SUM(R368:R384)</f>
        <v>0.90239150180151062</v>
      </c>
      <c r="S386" s="514">
        <f t="shared" ref="S386:U386" si="108">SUM(S368:S384)</f>
        <v>0.85156403354574006</v>
      </c>
      <c r="T386" s="514">
        <f t="shared" si="108"/>
        <v>0.84458481751641523</v>
      </c>
      <c r="U386" s="514">
        <f t="shared" si="108"/>
        <v>0.8143961645826967</v>
      </c>
      <c r="V386" s="514">
        <f t="shared" ref="V386:W386" si="109">SUM(V368:V384)</f>
        <v>0.81105184156784849</v>
      </c>
      <c r="W386" s="2087">
        <f t="shared" si="109"/>
        <v>0.81105184156784849</v>
      </c>
    </row>
    <row r="387" spans="4:23" ht="12.75" customHeight="1" x14ac:dyDescent="0.25">
      <c r="E387" s="301"/>
      <c r="F387" s="301"/>
      <c r="G387" s="359"/>
      <c r="H387" s="359"/>
      <c r="I387" s="510"/>
      <c r="J387" s="503"/>
      <c r="K387" s="503"/>
      <c r="L387" s="503"/>
      <c r="M387" s="503"/>
      <c r="N387" s="503"/>
      <c r="O387" s="503"/>
    </row>
    <row r="388" spans="4:23" ht="12.75" customHeight="1" x14ac:dyDescent="0.25">
      <c r="E388" s="301"/>
      <c r="F388" s="301"/>
      <c r="G388" s="359"/>
      <c r="H388" s="359"/>
      <c r="I388" s="510"/>
      <c r="J388" s="503"/>
      <c r="K388" s="503"/>
      <c r="L388" s="503"/>
      <c r="M388" s="503"/>
      <c r="N388" s="503"/>
      <c r="O388" s="503"/>
    </row>
    <row r="389" spans="4:23" ht="12.75" customHeight="1" x14ac:dyDescent="0.25">
      <c r="D389" s="301" t="s">
        <v>962</v>
      </c>
      <c r="E389" s="301"/>
      <c r="F389" s="301"/>
      <c r="G389" s="359"/>
      <c r="H389" s="359"/>
      <c r="I389" s="510"/>
      <c r="J389" s="510"/>
      <c r="K389" s="510">
        <f>SUM(K384:K388)</f>
        <v>264797.63470569556</v>
      </c>
      <c r="L389" s="510">
        <f>SUM(L384:L388)</f>
        <v>275341.80429960327</v>
      </c>
      <c r="M389" s="510">
        <f>SUM(M384:M388)</f>
        <v>281503.19826551178</v>
      </c>
      <c r="N389" s="510">
        <f>SUM(N384:N388)</f>
        <v>291690.75798330345</v>
      </c>
      <c r="O389" s="510">
        <f>SUM(O384:O388)</f>
        <v>302751.31315695721</v>
      </c>
    </row>
    <row r="390" spans="4:23" ht="12.75" customHeight="1" x14ac:dyDescent="0.25">
      <c r="D390" s="301" t="s">
        <v>963</v>
      </c>
      <c r="E390" s="301"/>
      <c r="F390" s="301"/>
      <c r="G390" s="359"/>
      <c r="H390" s="359"/>
      <c r="I390" s="512"/>
      <c r="J390" s="512"/>
      <c r="K390" s="512">
        <f t="shared" ref="K390:M390" si="110">IF((-K386/(K384+K385))&gt;0,-K386/(K384+K385),K386/(K384++K385))</f>
        <v>6.3497422459422997E-2</v>
      </c>
      <c r="L390" s="512">
        <f t="shared" si="110"/>
        <v>6.2419807798405537E-2</v>
      </c>
      <c r="M390" s="512">
        <f t="shared" si="110"/>
        <v>6.2456662371435948E-2</v>
      </c>
      <c r="N390" s="512">
        <f t="shared" ref="N390:O390" si="111">IF((-N386/(N384+N385))&gt;0,-N386/(N384+N385),N386/(N384++N385))</f>
        <v>6.1709738431160566E-2</v>
      </c>
      <c r="O390" s="512">
        <f t="shared" si="111"/>
        <v>6.0876060675230388E-2</v>
      </c>
    </row>
    <row r="391" spans="4:23" ht="12.75" customHeight="1" x14ac:dyDescent="0.25">
      <c r="D391" s="573"/>
      <c r="E391" s="574"/>
      <c r="F391" s="574"/>
      <c r="G391" s="575"/>
      <c r="H391" s="575"/>
      <c r="J391" s="576"/>
      <c r="K391" s="576"/>
      <c r="L391" s="576"/>
      <c r="M391" s="576"/>
      <c r="N391" s="576"/>
      <c r="O391" s="576"/>
    </row>
    <row r="392" spans="4:23" ht="12.75" customHeight="1" x14ac:dyDescent="0.25">
      <c r="D392" s="573"/>
      <c r="E392" s="574"/>
      <c r="F392" s="574"/>
      <c r="G392" s="575"/>
      <c r="H392" s="575"/>
      <c r="J392" s="576"/>
      <c r="K392" s="576"/>
      <c r="L392" s="576"/>
      <c r="M392" s="576"/>
      <c r="N392" s="576"/>
      <c r="O392" s="576"/>
    </row>
    <row r="393" spans="4:23" ht="12.75" customHeight="1" x14ac:dyDescent="0.25">
      <c r="D393" s="573"/>
      <c r="E393" s="574"/>
      <c r="F393" s="574"/>
      <c r="G393" s="575"/>
      <c r="H393" s="575"/>
      <c r="J393" s="576"/>
      <c r="K393" s="576"/>
      <c r="L393" s="576"/>
      <c r="M393" s="576"/>
      <c r="N393" s="576"/>
      <c r="O393" s="576"/>
    </row>
    <row r="394" spans="4:23" ht="12.75" customHeight="1" x14ac:dyDescent="0.25">
      <c r="D394" s="577"/>
      <c r="E394" s="578"/>
      <c r="F394" s="578"/>
      <c r="G394" s="575"/>
      <c r="H394" s="575"/>
      <c r="J394" s="576"/>
      <c r="K394" s="576"/>
      <c r="L394" s="576"/>
      <c r="M394" s="576"/>
      <c r="N394" s="576"/>
      <c r="O394" s="576"/>
    </row>
    <row r="395" spans="4:23" ht="12.75" customHeight="1" x14ac:dyDescent="0.25">
      <c r="D395" s="577"/>
      <c r="E395" s="578"/>
      <c r="F395" s="578"/>
      <c r="G395" s="575"/>
      <c r="H395" s="575"/>
      <c r="J395" s="576"/>
      <c r="K395" s="576"/>
      <c r="L395" s="576"/>
      <c r="M395" s="576"/>
      <c r="N395" s="576"/>
      <c r="O395" s="576"/>
    </row>
    <row r="396" spans="4:23" ht="12.75" customHeight="1" x14ac:dyDescent="0.25">
      <c r="D396" s="577"/>
      <c r="E396" s="578"/>
      <c r="F396" s="578"/>
      <c r="G396" s="575"/>
      <c r="H396" s="575"/>
      <c r="J396" s="576"/>
      <c r="K396" s="576"/>
      <c r="L396" s="576"/>
      <c r="M396" s="576"/>
      <c r="N396" s="576"/>
      <c r="O396" s="576"/>
    </row>
    <row r="397" spans="4:23" ht="12.75" customHeight="1" x14ac:dyDescent="0.25">
      <c r="D397" s="573"/>
      <c r="E397" s="574"/>
      <c r="F397" s="574"/>
      <c r="G397" s="575"/>
      <c r="H397" s="575"/>
      <c r="J397" s="576"/>
      <c r="K397" s="576"/>
      <c r="L397" s="576"/>
      <c r="M397" s="576"/>
      <c r="N397" s="576"/>
      <c r="O397" s="576"/>
    </row>
    <row r="398" spans="4:23" ht="12.75" customHeight="1" x14ac:dyDescent="0.25">
      <c r="D398" s="577"/>
      <c r="E398" s="578"/>
      <c r="F398" s="578"/>
      <c r="G398" s="575"/>
      <c r="H398" s="575"/>
      <c r="J398" s="576"/>
      <c r="K398" s="576"/>
      <c r="L398" s="576"/>
      <c r="M398" s="576"/>
      <c r="N398" s="576"/>
      <c r="O398" s="576"/>
    </row>
    <row r="399" spans="4:23" ht="12.75" customHeight="1" x14ac:dyDescent="0.25">
      <c r="D399" s="577"/>
      <c r="E399" s="578"/>
      <c r="F399" s="578"/>
      <c r="G399" s="575"/>
      <c r="H399" s="575"/>
      <c r="J399" s="512"/>
      <c r="K399" s="512"/>
      <c r="L399" s="512"/>
      <c r="M399" s="512"/>
      <c r="N399" s="512"/>
      <c r="O399" s="512"/>
    </row>
    <row r="400" spans="4:23" ht="12.75" customHeight="1" x14ac:dyDescent="0.25">
      <c r="D400" s="143"/>
      <c r="I400" s="114"/>
      <c r="J400" s="114"/>
      <c r="K400" s="114"/>
      <c r="L400" s="114"/>
      <c r="M400" s="114"/>
      <c r="N400" s="114"/>
      <c r="O400" s="114"/>
    </row>
    <row r="401" spans="4:15" ht="12.75" customHeight="1" x14ac:dyDescent="0.25">
      <c r="D401" s="384"/>
      <c r="E401" s="384"/>
      <c r="F401" s="384"/>
      <c r="H401" s="114"/>
      <c r="I401" s="114"/>
      <c r="J401" s="114"/>
      <c r="K401" s="114"/>
      <c r="L401" s="114"/>
      <c r="M401" s="114"/>
      <c r="N401" s="114"/>
      <c r="O401" s="114"/>
    </row>
    <row r="402" spans="4:15" ht="12.75" customHeight="1" x14ac:dyDescent="0.25">
      <c r="D402" s="384"/>
      <c r="E402" s="384"/>
      <c r="F402" s="384"/>
      <c r="G402" s="401"/>
      <c r="H402" s="114"/>
      <c r="I402" s="114"/>
      <c r="J402" s="114"/>
      <c r="K402" s="114"/>
      <c r="L402" s="114"/>
      <c r="M402" s="114"/>
      <c r="N402" s="114"/>
      <c r="O402" s="114"/>
    </row>
    <row r="403" spans="4:15" ht="12.75" customHeight="1" x14ac:dyDescent="0.25">
      <c r="D403" s="384"/>
      <c r="E403" s="384"/>
      <c r="F403" s="384"/>
      <c r="J403" s="114"/>
      <c r="K403" s="114"/>
      <c r="L403" s="114"/>
      <c r="M403" s="114"/>
      <c r="N403" s="114"/>
      <c r="O403" s="114"/>
    </row>
    <row r="404" spans="4:15" ht="12.75" customHeight="1" x14ac:dyDescent="0.25">
      <c r="D404" s="384"/>
      <c r="E404" s="384"/>
      <c r="F404" s="384"/>
    </row>
    <row r="405" spans="4:15" ht="12.75" customHeight="1" x14ac:dyDescent="0.25">
      <c r="D405" s="384"/>
      <c r="E405" s="384"/>
      <c r="F405" s="384"/>
    </row>
    <row r="406" spans="4:15" ht="12.75" customHeight="1" x14ac:dyDescent="0.25">
      <c r="D406" s="384"/>
      <c r="E406" s="384"/>
      <c r="F406" s="384"/>
    </row>
    <row r="407" spans="4:15" ht="12.75" customHeight="1" x14ac:dyDescent="0.25">
      <c r="D407" s="384"/>
      <c r="E407" s="384"/>
      <c r="F407" s="384"/>
    </row>
    <row r="408" spans="4:15" ht="12.75" customHeight="1" x14ac:dyDescent="0.25">
      <c r="D408" s="384"/>
      <c r="E408" s="384"/>
      <c r="F408" s="384"/>
      <c r="J408" s="114"/>
      <c r="K408" s="114"/>
      <c r="L408" s="114"/>
      <c r="M408" s="114"/>
      <c r="N408" s="114"/>
      <c r="O408" s="114"/>
    </row>
    <row r="409" spans="4:15" ht="12.75" customHeight="1" x14ac:dyDescent="0.25">
      <c r="D409" s="384"/>
      <c r="E409" s="384"/>
      <c r="F409" s="384"/>
      <c r="J409" s="114"/>
      <c r="K409" s="114"/>
      <c r="L409" s="114"/>
      <c r="M409" s="114"/>
      <c r="N409" s="114"/>
      <c r="O409" s="114"/>
    </row>
    <row r="410" spans="4:15" ht="12.75" customHeight="1" x14ac:dyDescent="0.25">
      <c r="D410" s="384"/>
      <c r="E410" s="384"/>
      <c r="F410" s="384"/>
    </row>
    <row r="411" spans="4:15" ht="12.75" customHeight="1" x14ac:dyDescent="0.25">
      <c r="D411" s="384"/>
      <c r="E411" s="384"/>
      <c r="F411" s="384"/>
    </row>
    <row r="412" spans="4:15" ht="12.75" customHeight="1" x14ac:dyDescent="0.25">
      <c r="D412" s="384"/>
      <c r="E412" s="384"/>
      <c r="F412" s="384"/>
    </row>
    <row r="413" spans="4:15" ht="12.75" customHeight="1" x14ac:dyDescent="0.25">
      <c r="D413" s="384"/>
      <c r="E413" s="384"/>
      <c r="F413" s="384"/>
    </row>
    <row r="414" spans="4:15" ht="12.75" customHeight="1" x14ac:dyDescent="0.25">
      <c r="D414" s="384"/>
      <c r="E414" s="384"/>
      <c r="F414" s="384"/>
    </row>
    <row r="415" spans="4:15" ht="12.75" customHeight="1" x14ac:dyDescent="0.25">
      <c r="D415" s="384"/>
      <c r="E415" s="384"/>
      <c r="F415" s="384"/>
    </row>
    <row r="416" spans="4:15" ht="12.75" customHeight="1" x14ac:dyDescent="0.25">
      <c r="D416" s="384"/>
      <c r="E416" s="384"/>
      <c r="F416" s="384"/>
    </row>
    <row r="417" spans="4:6" ht="12.75" customHeight="1" x14ac:dyDescent="0.25">
      <c r="D417" s="384"/>
      <c r="E417" s="384"/>
      <c r="F417" s="384"/>
    </row>
    <row r="418" spans="4:6" ht="12.75" customHeight="1" x14ac:dyDescent="0.25">
      <c r="D418" s="384"/>
      <c r="E418" s="384"/>
      <c r="F418" s="384"/>
    </row>
    <row r="419" spans="4:6" ht="12.75" customHeight="1" x14ac:dyDescent="0.25">
      <c r="D419" s="384"/>
      <c r="E419" s="384"/>
      <c r="F419" s="384"/>
    </row>
    <row r="420" spans="4:6" ht="12.75" customHeight="1" x14ac:dyDescent="0.25">
      <c r="D420" s="384"/>
      <c r="E420" s="384"/>
      <c r="F420" s="384"/>
    </row>
    <row r="421" spans="4:6" ht="12.75" customHeight="1" x14ac:dyDescent="0.25">
      <c r="D421" s="384"/>
      <c r="E421" s="384"/>
      <c r="F421" s="384"/>
    </row>
    <row r="422" spans="4:6" ht="12.75" customHeight="1" x14ac:dyDescent="0.25">
      <c r="D422" s="384"/>
      <c r="E422" s="384"/>
      <c r="F422" s="384"/>
    </row>
    <row r="423" spans="4:6" ht="12.75" customHeight="1" x14ac:dyDescent="0.25">
      <c r="D423" s="384"/>
      <c r="E423" s="384"/>
      <c r="F423" s="384"/>
    </row>
    <row r="424" spans="4:6" ht="12.75" customHeight="1" x14ac:dyDescent="0.25">
      <c r="D424" s="384"/>
      <c r="E424" s="384"/>
      <c r="F424" s="384"/>
    </row>
    <row r="425" spans="4:6" ht="12.75" customHeight="1" x14ac:dyDescent="0.25">
      <c r="D425" s="384"/>
      <c r="E425" s="384"/>
      <c r="F425" s="384"/>
    </row>
    <row r="426" spans="4:6" ht="12.75" customHeight="1" x14ac:dyDescent="0.25">
      <c r="D426" s="384"/>
      <c r="E426" s="384"/>
      <c r="F426" s="384"/>
    </row>
    <row r="427" spans="4:6" ht="12.75" customHeight="1" x14ac:dyDescent="0.25">
      <c r="D427" s="384"/>
      <c r="E427" s="384"/>
      <c r="F427" s="384"/>
    </row>
    <row r="428" spans="4:6" ht="12.75" customHeight="1" x14ac:dyDescent="0.25">
      <c r="D428" s="384"/>
      <c r="E428" s="384"/>
      <c r="F428" s="384"/>
    </row>
    <row r="429" spans="4:6" ht="12.75" customHeight="1" x14ac:dyDescent="0.25">
      <c r="D429" s="384"/>
      <c r="E429" s="384"/>
      <c r="F429" s="384"/>
    </row>
    <row r="430" spans="4:6" ht="12.75" customHeight="1" x14ac:dyDescent="0.25">
      <c r="D430" s="384"/>
      <c r="E430" s="384"/>
      <c r="F430" s="384"/>
    </row>
    <row r="431" spans="4:6" ht="12.75" customHeight="1" x14ac:dyDescent="0.25">
      <c r="D431" s="384"/>
      <c r="E431" s="384"/>
      <c r="F431" s="384"/>
    </row>
  </sheetData>
  <mergeCells count="4">
    <mergeCell ref="D88:D89"/>
    <mergeCell ref="F88:F89"/>
    <mergeCell ref="G88:H89"/>
    <mergeCell ref="E325:F325"/>
  </mergeCells>
  <phoneticPr fontId="52" type="noConversion"/>
  <hyperlinks>
    <hyperlink ref="A1" location="Inhoudsopgave!A1" display="Inhoudsopgave" xr:uid="{11C6CE90-4065-4186-A9F1-45BDE5071DDE}"/>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3" manualBreakCount="3">
    <brk id="85" min="3" max="14" man="1"/>
    <brk id="279" min="3" max="14" man="1"/>
    <brk id="349" min="3" max="14" man="1"/>
  </rowBreak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FCAC2-D25E-4526-96FB-AC25358A4005}">
  <sheetPr codeName="Blad68"/>
  <dimension ref="A1:Y394"/>
  <sheetViews>
    <sheetView showGridLines="0" view="pageBreakPreview" topLeftCell="A235" zoomScale="60" zoomScaleNormal="100" workbookViewId="0">
      <selection activeCell="R260" sqref="R260"/>
    </sheetView>
  </sheetViews>
  <sheetFormatPr defaultColWidth="9.109375" defaultRowHeight="12.75" customHeight="1" x14ac:dyDescent="0.25"/>
  <cols>
    <col min="1" max="1" width="9.88671875" style="336" bestFit="1" customWidth="1"/>
    <col min="2" max="2" width="20.44140625" style="306" customWidth="1"/>
    <col min="3" max="3" width="9.109375" style="115"/>
    <col min="4" max="4" width="9.6640625" style="301" customWidth="1"/>
    <col min="5" max="6" width="9.6640625" style="143" customWidth="1"/>
    <col min="7" max="9" width="12.6640625" style="115" customWidth="1"/>
    <col min="10" max="10" width="11.6640625" style="305" customWidth="1"/>
    <col min="11" max="15" width="11.6640625" style="115" customWidth="1"/>
    <col min="16" max="16" width="12.6640625" style="115" customWidth="1"/>
    <col min="17" max="18" width="14.44140625" style="115" customWidth="1"/>
    <col min="19" max="19" width="12.6640625" style="115" customWidth="1"/>
    <col min="20" max="20" width="12.109375" style="115" bestFit="1" customWidth="1"/>
    <col min="21" max="21" width="10.6640625" style="115" customWidth="1"/>
    <col min="22" max="23" width="9.109375" style="115" customWidth="1"/>
    <col min="24" max="16384" width="9.109375" style="115"/>
  </cols>
  <sheetData>
    <row r="1" spans="1:25" ht="12.75" customHeight="1" x14ac:dyDescent="0.3">
      <c r="A1" s="157" t="s">
        <v>0</v>
      </c>
      <c r="J1" s="115"/>
      <c r="R1" s="515"/>
      <c r="S1" s="451">
        <v>2024</v>
      </c>
      <c r="T1" s="451">
        <v>2025</v>
      </c>
      <c r="U1" s="451">
        <v>2026</v>
      </c>
      <c r="V1" s="451">
        <v>2027</v>
      </c>
      <c r="W1" s="451">
        <v>2028</v>
      </c>
      <c r="X1" s="304">
        <v>2029</v>
      </c>
      <c r="Y1" s="304">
        <v>2030</v>
      </c>
    </row>
    <row r="2" spans="1:25" ht="12.75" customHeight="1" x14ac:dyDescent="0.3">
      <c r="A2" s="306"/>
      <c r="D2" s="301" t="s">
        <v>504</v>
      </c>
      <c r="H2" s="115" t="s">
        <v>5006</v>
      </c>
      <c r="J2" s="115"/>
      <c r="M2" s="310">
        <f>+Indexering!J4</f>
        <v>1.0209999999999999</v>
      </c>
      <c r="N2" s="310">
        <f>+Indexering!K4</f>
        <v>1.0229999999999999</v>
      </c>
      <c r="O2" s="310">
        <f>+Indexering!L4</f>
        <v>1.0229999999999999</v>
      </c>
      <c r="P2" s="310">
        <f>+Indexering!L4</f>
        <v>1.0229999999999999</v>
      </c>
      <c r="R2" s="115" t="s">
        <v>969</v>
      </c>
      <c r="S2" s="99">
        <f>+Indexering!G4</f>
        <v>1.0369999999999999</v>
      </c>
      <c r="T2" s="99">
        <f>+Indexering!H4</f>
        <v>1.028</v>
      </c>
      <c r="U2" s="99">
        <f>+Indexering!I4</f>
        <v>1.026</v>
      </c>
      <c r="V2" s="99">
        <f>+Indexering!J4</f>
        <v>1.0209999999999999</v>
      </c>
      <c r="W2" s="99">
        <f>+Indexering!K4</f>
        <v>1.0229999999999999</v>
      </c>
      <c r="X2" s="99">
        <f>+Indexering!L4</f>
        <v>1.0229999999999999</v>
      </c>
      <c r="Y2" s="99">
        <f>+Indexering!M4</f>
        <v>1.0229999999999999</v>
      </c>
    </row>
    <row r="3" spans="1:25" ht="12.75" customHeight="1" x14ac:dyDescent="0.3">
      <c r="A3" s="306"/>
      <c r="J3" s="115"/>
      <c r="M3" s="310">
        <f>+Indexering!J5</f>
        <v>1.042</v>
      </c>
      <c r="N3" s="310">
        <f>+Indexering!K5</f>
        <v>1.0369999999999999</v>
      </c>
      <c r="O3" s="310">
        <f>+Indexering!L5</f>
        <v>1.0369999999999999</v>
      </c>
      <c r="P3" s="310">
        <f>+Indexering!L5</f>
        <v>1.0369999999999999</v>
      </c>
      <c r="R3" s="115" t="s">
        <v>970</v>
      </c>
      <c r="S3" s="99">
        <f>+Indexering!G5</f>
        <v>1.052</v>
      </c>
      <c r="T3" s="99">
        <f>+Indexering!H5</f>
        <v>1.0489999999999999</v>
      </c>
      <c r="U3" s="99">
        <f>+Indexering!I5</f>
        <v>1.02</v>
      </c>
      <c r="V3" s="99">
        <f>+Indexering!J5</f>
        <v>1.042</v>
      </c>
      <c r="W3" s="99">
        <f>+Indexering!K5</f>
        <v>1.0369999999999999</v>
      </c>
      <c r="X3" s="99">
        <f>+Indexering!L5</f>
        <v>1.0369999999999999</v>
      </c>
      <c r="Y3" s="99">
        <f>+Indexering!M5</f>
        <v>1.0369999999999999</v>
      </c>
    </row>
    <row r="4" spans="1:25" ht="12.75" customHeight="1" x14ac:dyDescent="0.3">
      <c r="A4" s="306"/>
      <c r="J4" s="115"/>
      <c r="M4" s="310">
        <f>+Indexering!J6</f>
        <v>1.03213</v>
      </c>
      <c r="N4" s="310">
        <f>+Indexering!K6</f>
        <v>1.0304199999999999</v>
      </c>
      <c r="O4" s="310">
        <f>+Indexering!L6</f>
        <v>1.0304199999999999</v>
      </c>
      <c r="P4" s="310">
        <f>+Indexering!L6</f>
        <v>1.0304199999999999</v>
      </c>
      <c r="R4" s="115" t="s">
        <v>3194</v>
      </c>
      <c r="S4" s="99">
        <f>+Indexering!G6</f>
        <v>1.0445</v>
      </c>
      <c r="T4" s="99">
        <f>+Indexering!H6</f>
        <v>1.036</v>
      </c>
      <c r="U4" s="99">
        <f>+Indexering!I6</f>
        <v>1.0228200000000001</v>
      </c>
      <c r="V4" s="99">
        <f>+Indexering!J6</f>
        <v>1.03213</v>
      </c>
      <c r="W4" s="99">
        <f>+Indexering!K6</f>
        <v>1.0304199999999999</v>
      </c>
      <c r="X4" s="99">
        <f>+Indexering!L6</f>
        <v>1.0304199999999999</v>
      </c>
      <c r="Y4" s="99">
        <f>+Indexering!M6</f>
        <v>1.0304199999999999</v>
      </c>
    </row>
    <row r="5" spans="1:25" ht="12.75" customHeight="1" x14ac:dyDescent="0.25">
      <c r="A5" s="306"/>
      <c r="J5" s="115"/>
    </row>
    <row r="6" spans="1:25" ht="12.75" customHeight="1" x14ac:dyDescent="0.25">
      <c r="A6" s="306"/>
      <c r="D6" s="301" t="s">
        <v>66</v>
      </c>
      <c r="H6" s="115" t="s">
        <v>5109</v>
      </c>
      <c r="J6" s="115"/>
    </row>
    <row r="7" spans="1:25" ht="12.75" customHeight="1" x14ac:dyDescent="0.25">
      <c r="A7" s="306"/>
      <c r="J7" s="115"/>
    </row>
    <row r="8" spans="1:25" ht="12.75" customHeight="1" x14ac:dyDescent="0.25">
      <c r="A8" s="306"/>
      <c r="J8" s="115"/>
    </row>
    <row r="9" spans="1:25" ht="12.75" customHeight="1" x14ac:dyDescent="0.25">
      <c r="A9" s="306"/>
      <c r="J9" s="115"/>
    </row>
    <row r="10" spans="1:25" ht="12.75" customHeight="1" x14ac:dyDescent="0.25">
      <c r="A10" s="306"/>
      <c r="J10" s="115"/>
    </row>
    <row r="11" spans="1:25" ht="12.75" customHeight="1" x14ac:dyDescent="0.25">
      <c r="A11" s="306"/>
      <c r="J11" s="115"/>
    </row>
    <row r="12" spans="1:25" ht="12.75" customHeight="1" x14ac:dyDescent="0.25">
      <c r="A12" s="306"/>
      <c r="J12" s="115"/>
    </row>
    <row r="13" spans="1:25" ht="12.75" customHeight="1" x14ac:dyDescent="0.25">
      <c r="A13" s="306"/>
      <c r="J13" s="115"/>
    </row>
    <row r="14" spans="1:25" ht="12.75" customHeight="1" x14ac:dyDescent="0.25">
      <c r="A14" s="306"/>
      <c r="J14" s="115"/>
    </row>
    <row r="15" spans="1:25" ht="12.75" customHeight="1" x14ac:dyDescent="0.25">
      <c r="A15" s="306"/>
      <c r="J15" s="115"/>
    </row>
    <row r="16" spans="1:25" ht="12.75" customHeight="1" x14ac:dyDescent="0.25">
      <c r="A16" s="306"/>
      <c r="J16" s="115"/>
    </row>
    <row r="17" spans="1:18" ht="12.75" customHeight="1" x14ac:dyDescent="0.25">
      <c r="A17" s="306"/>
      <c r="J17" s="115"/>
    </row>
    <row r="18" spans="1:18" ht="12.75" customHeight="1" x14ac:dyDescent="0.25">
      <c r="A18" s="306"/>
      <c r="J18" s="115"/>
    </row>
    <row r="19" spans="1:18" ht="12.75" customHeight="1" x14ac:dyDescent="0.25">
      <c r="A19" s="306"/>
      <c r="J19" s="115"/>
    </row>
    <row r="20" spans="1:18" ht="12.75" customHeight="1" x14ac:dyDescent="0.25">
      <c r="A20" s="306"/>
      <c r="J20" s="115"/>
    </row>
    <row r="21" spans="1:18" ht="12.75" customHeight="1" x14ac:dyDescent="0.25">
      <c r="A21" s="306"/>
      <c r="J21" s="115"/>
    </row>
    <row r="22" spans="1:18" ht="12.75" customHeight="1" x14ac:dyDescent="0.25">
      <c r="A22" s="306"/>
      <c r="J22" s="115"/>
    </row>
    <row r="23" spans="1:18" ht="12.75" customHeight="1" x14ac:dyDescent="0.25">
      <c r="A23" s="306"/>
      <c r="J23" s="115"/>
    </row>
    <row r="24" spans="1:18" ht="12.75" customHeight="1" x14ac:dyDescent="0.25">
      <c r="A24" s="306"/>
      <c r="J24" s="115"/>
    </row>
    <row r="25" spans="1:18" ht="12.75" customHeight="1" x14ac:dyDescent="0.25">
      <c r="A25" s="306"/>
      <c r="J25" s="115"/>
    </row>
    <row r="26" spans="1:18" ht="12.75" customHeight="1" x14ac:dyDescent="0.25">
      <c r="A26" s="306"/>
      <c r="J26" s="115"/>
    </row>
    <row r="27" spans="1:18" ht="12.75" customHeight="1" x14ac:dyDescent="0.25">
      <c r="A27" s="306"/>
      <c r="J27" s="115"/>
    </row>
    <row r="28" spans="1:18" ht="12.75" customHeight="1" x14ac:dyDescent="0.25">
      <c r="A28" s="306"/>
      <c r="J28" s="115"/>
    </row>
    <row r="29" spans="1:18" ht="12.75" customHeight="1" x14ac:dyDescent="0.25">
      <c r="A29" s="306"/>
      <c r="J29" s="115"/>
    </row>
    <row r="30" spans="1:18" ht="12.75" customHeight="1" x14ac:dyDescent="0.25">
      <c r="A30" s="306"/>
      <c r="D30" s="452" t="s">
        <v>507</v>
      </c>
      <c r="E30" s="438"/>
      <c r="F30" s="516"/>
      <c r="G30" s="453"/>
      <c r="H30" s="453"/>
      <c r="I30" s="453"/>
      <c r="J30" s="453"/>
    </row>
    <row r="31" spans="1:18" ht="12.75" customHeight="1" x14ac:dyDescent="0.25">
      <c r="A31" s="306"/>
      <c r="D31" s="438"/>
      <c r="E31" s="438"/>
      <c r="F31" s="516"/>
      <c r="G31" s="453"/>
      <c r="H31" s="453"/>
      <c r="I31" s="453"/>
      <c r="J31" s="453"/>
      <c r="K31" s="453"/>
      <c r="L31" s="453"/>
      <c r="M31" s="453"/>
      <c r="N31" s="453"/>
      <c r="O31" s="453"/>
      <c r="P31" s="517"/>
      <c r="Q31" s="517"/>
      <c r="R31" s="517"/>
    </row>
    <row r="32" spans="1:18" ht="12.75" customHeight="1" x14ac:dyDescent="0.25">
      <c r="A32" s="306"/>
      <c r="D32" s="1973" t="s">
        <v>508</v>
      </c>
      <c r="E32" s="1974"/>
      <c r="F32" s="1997"/>
      <c r="G32" s="1975"/>
      <c r="H32" s="1975"/>
      <c r="I32" s="1976"/>
      <c r="J32" s="1977">
        <v>2025</v>
      </c>
      <c r="K32" s="1977">
        <v>2026</v>
      </c>
      <c r="L32" s="1977">
        <v>2027</v>
      </c>
      <c r="M32" s="1977">
        <v>2028</v>
      </c>
      <c r="N32" s="1977">
        <v>2029</v>
      </c>
      <c r="O32" s="1977">
        <v>2030</v>
      </c>
      <c r="P32" s="383"/>
      <c r="Q32" s="383"/>
      <c r="R32" s="383"/>
    </row>
    <row r="33" spans="1:20" ht="12.75" customHeight="1" x14ac:dyDescent="0.25">
      <c r="A33" s="306"/>
      <c r="C33" s="115">
        <v>652008</v>
      </c>
      <c r="D33" s="319" t="s">
        <v>5110</v>
      </c>
      <c r="E33" s="455"/>
      <c r="F33" s="456"/>
      <c r="G33" s="453"/>
      <c r="H33" s="453"/>
      <c r="I33" s="518"/>
      <c r="J33" s="318">
        <v>259539.69812983344</v>
      </c>
      <c r="K33" s="318">
        <f t="shared" ref="K33" si="0">K70</f>
        <v>282886.96265914501</v>
      </c>
      <c r="L33" s="318">
        <f t="shared" ref="L33:M33" si="1">L70</f>
        <v>257240.56608497849</v>
      </c>
      <c r="M33" s="318">
        <f t="shared" si="1"/>
        <v>151843.76494302784</v>
      </c>
      <c r="N33" s="318">
        <f t="shared" ref="N33:O33" si="2">N70</f>
        <v>142279.1642533046</v>
      </c>
      <c r="O33" s="318">
        <f t="shared" si="2"/>
        <v>142279.1642533046</v>
      </c>
      <c r="P33" s="114"/>
      <c r="Q33" s="114"/>
      <c r="R33" s="114"/>
      <c r="S33" s="114"/>
      <c r="T33" s="114"/>
    </row>
    <row r="34" spans="1:20" ht="12.75" customHeight="1" x14ac:dyDescent="0.25">
      <c r="A34" s="306"/>
      <c r="C34" s="115">
        <v>652901</v>
      </c>
      <c r="D34" s="319" t="s">
        <v>5111</v>
      </c>
      <c r="E34" s="455"/>
      <c r="F34" s="456"/>
      <c r="G34" s="453"/>
      <c r="H34" s="453"/>
      <c r="I34" s="518"/>
      <c r="J34" s="318">
        <v>565069.50786056567</v>
      </c>
      <c r="K34" s="318">
        <f t="shared" ref="K34" si="3">K152</f>
        <v>477727.4331718004</v>
      </c>
      <c r="L34" s="318">
        <f t="shared" ref="L34:M34" si="4">L152</f>
        <v>439153.54827796482</v>
      </c>
      <c r="M34" s="318">
        <f t="shared" si="4"/>
        <v>363864.30555860366</v>
      </c>
      <c r="N34" s="318">
        <f t="shared" ref="N34:O34" si="5">N152</f>
        <v>334052.8137393471</v>
      </c>
      <c r="O34" s="318">
        <f t="shared" si="5"/>
        <v>334052.8137393471</v>
      </c>
      <c r="P34" s="114"/>
      <c r="Q34" s="114"/>
      <c r="R34" s="114"/>
      <c r="S34" s="114"/>
      <c r="T34" s="114"/>
    </row>
    <row r="35" spans="1:20" ht="12.75" customHeight="1" x14ac:dyDescent="0.25">
      <c r="A35" s="306"/>
      <c r="C35" s="301">
        <f>+D72</f>
        <v>652012</v>
      </c>
      <c r="D35" s="319" t="s">
        <v>5112</v>
      </c>
      <c r="E35" s="455"/>
      <c r="F35" s="456"/>
      <c r="G35" s="453"/>
      <c r="H35" s="453"/>
      <c r="I35" s="518"/>
      <c r="J35" s="318">
        <v>30674.324350987114</v>
      </c>
      <c r="K35" s="318">
        <f t="shared" ref="K35" si="6">K76</f>
        <v>125646.98192886637</v>
      </c>
      <c r="L35" s="318">
        <f t="shared" ref="L35:M35" si="7">L76</f>
        <v>26541.070031044754</v>
      </c>
      <c r="M35" s="318">
        <f t="shared" si="7"/>
        <v>27265.634405991805</v>
      </c>
      <c r="N35" s="318">
        <f t="shared" ref="N35:O35" si="8">N76</f>
        <v>14508.505772450946</v>
      </c>
      <c r="O35" s="318">
        <f t="shared" si="8"/>
        <v>14508.505772450946</v>
      </c>
      <c r="P35" s="114"/>
      <c r="Q35" s="114"/>
      <c r="R35" s="114"/>
      <c r="S35" s="114"/>
      <c r="T35" s="114"/>
    </row>
    <row r="36" spans="1:20" ht="12.75" customHeight="1" x14ac:dyDescent="0.25">
      <c r="C36" s="301">
        <f>+D78</f>
        <v>652034</v>
      </c>
      <c r="D36" s="319" t="s">
        <v>5113</v>
      </c>
      <c r="E36" s="455"/>
      <c r="F36" s="456"/>
      <c r="G36" s="453"/>
      <c r="H36" s="453"/>
      <c r="I36" s="518"/>
      <c r="J36" s="318">
        <v>1783039.7186596047</v>
      </c>
      <c r="K36" s="318">
        <f t="shared" ref="K36" si="9">K81</f>
        <v>1749199.9882227166</v>
      </c>
      <c r="L36" s="318">
        <f t="shared" ref="L36:M36" si="10">L81</f>
        <v>1810179.4400014165</v>
      </c>
      <c r="M36" s="318">
        <f t="shared" si="10"/>
        <v>1041374.2485533133</v>
      </c>
      <c r="N36" s="318">
        <f t="shared" ref="N36:O36" si="11">N81</f>
        <v>0</v>
      </c>
      <c r="O36" s="318">
        <f t="shared" si="11"/>
        <v>0</v>
      </c>
      <c r="P36" s="114"/>
      <c r="Q36" s="114"/>
      <c r="R36" s="114"/>
      <c r="S36" s="114"/>
      <c r="T36" s="114"/>
    </row>
    <row r="37" spans="1:20" ht="12.75" customHeight="1" x14ac:dyDescent="0.25">
      <c r="C37" s="301">
        <f>+D83</f>
        <v>652035</v>
      </c>
      <c r="D37" s="319" t="s">
        <v>5114</v>
      </c>
      <c r="E37" s="455"/>
      <c r="F37" s="456"/>
      <c r="G37" s="453"/>
      <c r="H37" s="453"/>
      <c r="I37" s="518"/>
      <c r="J37" s="318">
        <v>3921909.9153604992</v>
      </c>
      <c r="K37" s="318">
        <f t="shared" ref="K37" si="12">K91</f>
        <v>3910613.4311516546</v>
      </c>
      <c r="L37" s="318">
        <f t="shared" ref="L37:M37" si="13">L91</f>
        <v>4407286.2309399927</v>
      </c>
      <c r="M37" s="318">
        <f t="shared" si="13"/>
        <v>4130265.8638896169</v>
      </c>
      <c r="N37" s="318">
        <f t="shared" ref="N37:O37" si="14">N91</f>
        <v>5404242.082119938</v>
      </c>
      <c r="O37" s="318">
        <f t="shared" si="14"/>
        <v>5404242.082119938</v>
      </c>
      <c r="P37" s="114"/>
      <c r="Q37" s="114"/>
      <c r="R37" s="114"/>
      <c r="S37" s="114"/>
      <c r="T37" s="114"/>
    </row>
    <row r="38" spans="1:20" ht="12.75" customHeight="1" x14ac:dyDescent="0.25">
      <c r="C38" s="301"/>
      <c r="D38" s="319" t="s">
        <v>5115</v>
      </c>
      <c r="E38" s="455"/>
      <c r="F38" s="456"/>
      <c r="G38" s="453"/>
      <c r="H38" s="453"/>
      <c r="I38" s="518"/>
      <c r="J38" s="318">
        <v>520452.86605075351</v>
      </c>
      <c r="K38" s="318">
        <f t="shared" ref="K38" si="15">K169</f>
        <v>521959.70587838878</v>
      </c>
      <c r="L38" s="318">
        <f t="shared" ref="L38:M38" si="16">L169</f>
        <v>554112.4528704728</v>
      </c>
      <c r="M38" s="318">
        <f t="shared" si="16"/>
        <v>460916.98933068349</v>
      </c>
      <c r="N38" s="318">
        <f t="shared" ref="N38:O38" si="17">N169</f>
        <v>292719.87126012688</v>
      </c>
      <c r="O38" s="318">
        <f t="shared" si="17"/>
        <v>292719.87126012688</v>
      </c>
      <c r="P38" s="114"/>
      <c r="Q38" s="114"/>
      <c r="R38" s="114"/>
      <c r="S38" s="114"/>
      <c r="T38" s="114"/>
    </row>
    <row r="39" spans="1:20" ht="12.75" customHeight="1" x14ac:dyDescent="0.25">
      <c r="C39" s="301"/>
      <c r="D39" s="319" t="s">
        <v>5116</v>
      </c>
      <c r="E39" s="455"/>
      <c r="F39" s="456"/>
      <c r="G39" s="453"/>
      <c r="H39" s="453"/>
      <c r="I39" s="518"/>
      <c r="J39" s="457">
        <v>61605.61755465543</v>
      </c>
      <c r="K39" s="457">
        <f t="shared" ref="K39" si="18">K97</f>
        <v>104009.56535352548</v>
      </c>
      <c r="L39" s="457">
        <f t="shared" ref="L39:M39" si="19">L97</f>
        <v>135540.84978941569</v>
      </c>
      <c r="M39" s="457">
        <f t="shared" si="19"/>
        <v>102383.11381582274</v>
      </c>
      <c r="N39" s="457">
        <f t="shared" ref="N39:O39" si="20">N97</f>
        <v>37589.79965252948</v>
      </c>
      <c r="O39" s="457">
        <f t="shared" si="20"/>
        <v>37589.79965252948</v>
      </c>
      <c r="P39" s="469"/>
      <c r="Q39" s="469"/>
      <c r="R39" s="469"/>
      <c r="S39" s="114"/>
      <c r="T39" s="114"/>
    </row>
    <row r="40" spans="1:20" ht="12.75" customHeight="1" x14ac:dyDescent="0.25">
      <c r="C40" s="301"/>
      <c r="D40" s="319" t="s">
        <v>5117</v>
      </c>
      <c r="E40" s="455"/>
      <c r="F40" s="456"/>
      <c r="G40" s="453"/>
      <c r="H40" s="453"/>
      <c r="I40" s="518"/>
      <c r="J40" s="457">
        <v>143318</v>
      </c>
      <c r="K40" s="457">
        <f t="shared" ref="K40" si="21">K107</f>
        <v>106133</v>
      </c>
      <c r="L40" s="457">
        <f t="shared" ref="L40:M40" si="22">L107</f>
        <v>53851</v>
      </c>
      <c r="M40" s="457">
        <f t="shared" si="22"/>
        <v>28928</v>
      </c>
      <c r="N40" s="457">
        <f t="shared" ref="N40:O40" si="23">N107</f>
        <v>17563</v>
      </c>
      <c r="O40" s="457">
        <f t="shared" si="23"/>
        <v>17563</v>
      </c>
      <c r="P40" s="469"/>
      <c r="Q40" s="469"/>
      <c r="R40" s="469"/>
      <c r="S40" s="114"/>
      <c r="T40" s="114"/>
    </row>
    <row r="41" spans="1:20" ht="12.75" customHeight="1" x14ac:dyDescent="0.25">
      <c r="C41" s="301"/>
      <c r="D41" s="319" t="s">
        <v>5118</v>
      </c>
      <c r="E41" s="455"/>
      <c r="F41" s="456"/>
      <c r="G41" s="453"/>
      <c r="H41" s="453"/>
      <c r="I41" s="518"/>
      <c r="J41" s="457">
        <v>14444.352033100387</v>
      </c>
      <c r="K41" s="457">
        <f t="shared" ref="K41" si="24">K117</f>
        <v>15354.004643160726</v>
      </c>
      <c r="L41" s="457">
        <f t="shared" ref="L41:M41" si="25">L117</f>
        <v>14893.952604024584</v>
      </c>
      <c r="M41" s="457">
        <f t="shared" si="25"/>
        <v>9641.0795029401743</v>
      </c>
      <c r="N41" s="457">
        <f t="shared" ref="N41:O41" si="26">N117</f>
        <v>9813.7632023037859</v>
      </c>
      <c r="O41" s="457">
        <f t="shared" si="26"/>
        <v>9813.7632023037859</v>
      </c>
      <c r="P41" s="469"/>
      <c r="Q41" s="469"/>
      <c r="R41" s="469"/>
      <c r="S41" s="114"/>
      <c r="T41" s="114"/>
    </row>
    <row r="42" spans="1:20" ht="12.75" customHeight="1" x14ac:dyDescent="0.25">
      <c r="C42" s="301"/>
      <c r="D42" s="319" t="s">
        <v>5119</v>
      </c>
      <c r="E42" s="455"/>
      <c r="F42" s="456"/>
      <c r="G42" s="453"/>
      <c r="H42" s="453"/>
      <c r="I42" s="518"/>
      <c r="J42" s="457">
        <v>6881236.9999999991</v>
      </c>
      <c r="K42" s="457">
        <f t="shared" ref="K42" si="27">K135</f>
        <v>6064489.9269907428</v>
      </c>
      <c r="L42" s="457">
        <f t="shared" ref="L42:M42" si="28">L135</f>
        <v>7283825.8894006899</v>
      </c>
      <c r="M42" s="457">
        <f t="shared" si="28"/>
        <v>3310374</v>
      </c>
      <c r="N42" s="457">
        <f t="shared" ref="N42:O42" si="29">N135</f>
        <v>-2618790.0000000009</v>
      </c>
      <c r="O42" s="457">
        <f t="shared" si="29"/>
        <v>-2618790.0000000009</v>
      </c>
      <c r="P42" s="469"/>
      <c r="Q42" s="469"/>
      <c r="R42" s="469"/>
      <c r="S42" s="114"/>
      <c r="T42" s="114"/>
    </row>
    <row r="43" spans="1:20" ht="12.75" customHeight="1" x14ac:dyDescent="0.25">
      <c r="D43" s="454"/>
      <c r="E43" s="455"/>
      <c r="F43" s="456"/>
      <c r="G43" s="453"/>
      <c r="H43" s="453"/>
      <c r="I43" s="518"/>
      <c r="J43" s="457"/>
      <c r="K43" s="457"/>
      <c r="L43" s="457"/>
      <c r="M43" s="457"/>
      <c r="N43" s="457"/>
      <c r="O43" s="457"/>
      <c r="P43" s="469"/>
      <c r="Q43" s="469"/>
      <c r="R43" s="469"/>
      <c r="S43" s="114"/>
      <c r="T43" s="114"/>
    </row>
    <row r="44" spans="1:20" ht="12.75" customHeight="1" x14ac:dyDescent="0.25">
      <c r="D44" s="2006" t="s">
        <v>525</v>
      </c>
      <c r="E44" s="2007"/>
      <c r="F44" s="2008"/>
      <c r="G44" s="2009"/>
      <c r="H44" s="1981"/>
      <c r="I44" s="1985"/>
      <c r="J44" s="2010">
        <v>14181290.999999998</v>
      </c>
      <c r="K44" s="2010">
        <f>SUM(K33:K43)</f>
        <v>13358021.000000002</v>
      </c>
      <c r="L44" s="2010">
        <f>SUM(L33:L43)</f>
        <v>14982625</v>
      </c>
      <c r="M44" s="2010">
        <f>SUM(M33:M43)</f>
        <v>9626857</v>
      </c>
      <c r="N44" s="2010">
        <f>SUM(N33:N43)</f>
        <v>3633979.0000000009</v>
      </c>
      <c r="O44" s="2010">
        <f>SUM(O33:O43)</f>
        <v>3633979.0000000009</v>
      </c>
      <c r="P44" s="410"/>
      <c r="Q44" s="410"/>
      <c r="R44" s="410"/>
      <c r="S44" s="114"/>
      <c r="T44" s="114"/>
    </row>
    <row r="45" spans="1:20" ht="12.75" customHeight="1" x14ac:dyDescent="0.25">
      <c r="D45" s="454"/>
      <c r="E45" s="455"/>
      <c r="F45" s="456"/>
      <c r="G45" s="453"/>
      <c r="H45" s="453"/>
      <c r="I45" s="518"/>
      <c r="J45" s="463"/>
      <c r="K45" s="463"/>
      <c r="L45" s="463"/>
      <c r="M45" s="463"/>
      <c r="N45" s="463"/>
      <c r="O45" s="463"/>
      <c r="S45" s="114"/>
      <c r="T45" s="114"/>
    </row>
    <row r="46" spans="1:20" ht="12.75" customHeight="1" x14ac:dyDescent="0.25">
      <c r="D46" s="319" t="str">
        <f>G172</f>
        <v>grondverkopen sociaal</v>
      </c>
      <c r="E46" s="455"/>
      <c r="F46" s="456"/>
      <c r="G46" s="453"/>
      <c r="H46" s="453"/>
      <c r="I46" s="518"/>
      <c r="J46" s="457">
        <v>-916504.02124868892</v>
      </c>
      <c r="K46" s="457">
        <f t="shared" ref="K46" si="30">K176</f>
        <v>-1017054.8166492325</v>
      </c>
      <c r="L46" s="457">
        <f t="shared" ref="L46:M46" si="31">L176</f>
        <v>-875688.46894396818</v>
      </c>
      <c r="M46" s="457">
        <f t="shared" si="31"/>
        <v>-725195.0223007286</v>
      </c>
      <c r="N46" s="457">
        <f t="shared" ref="N46:O46" si="32">N176</f>
        <v>-314820</v>
      </c>
      <c r="O46" s="457">
        <f t="shared" si="32"/>
        <v>-314820</v>
      </c>
      <c r="P46" s="469"/>
      <c r="Q46" s="469"/>
      <c r="R46" s="469"/>
      <c r="S46" s="114"/>
      <c r="T46" s="114"/>
    </row>
    <row r="47" spans="1:20" ht="12.75" customHeight="1" x14ac:dyDescent="0.25">
      <c r="D47" s="319" t="str">
        <f>G178</f>
        <v>Grondverkopen vrije sector</v>
      </c>
      <c r="E47" s="455"/>
      <c r="F47" s="456"/>
      <c r="G47" s="453"/>
      <c r="H47" s="453"/>
      <c r="I47" s="518"/>
      <c r="J47" s="457">
        <v>-12762296.978751309</v>
      </c>
      <c r="K47" s="457">
        <f t="shared" ref="K47" si="33">K183</f>
        <v>-11773766.183350768</v>
      </c>
      <c r="L47" s="457">
        <f t="shared" ref="L47:M47" si="34">L183</f>
        <v>-11758281.531056032</v>
      </c>
      <c r="M47" s="457">
        <f t="shared" si="34"/>
        <v>-8582068.9776992723</v>
      </c>
      <c r="N47" s="457">
        <f t="shared" ref="N47:O47" si="35">N183</f>
        <v>-2993174</v>
      </c>
      <c r="O47" s="457">
        <f t="shared" si="35"/>
        <v>-2993174</v>
      </c>
      <c r="P47" s="469"/>
      <c r="Q47" s="469"/>
      <c r="R47" s="469"/>
      <c r="S47" s="114"/>
      <c r="T47" s="114"/>
    </row>
    <row r="48" spans="1:20" ht="12.75" customHeight="1" x14ac:dyDescent="0.25">
      <c r="D48" s="319" t="str">
        <f>G185</f>
        <v>Grondverkopen overig</v>
      </c>
      <c r="E48" s="455"/>
      <c r="F48" s="456"/>
      <c r="G48" s="453"/>
      <c r="H48" s="453"/>
      <c r="I48" s="518"/>
      <c r="J48" s="457">
        <v>0</v>
      </c>
      <c r="K48" s="457">
        <f t="shared" ref="K48" si="36">K188</f>
        <v>0</v>
      </c>
      <c r="L48" s="457">
        <f t="shared" ref="L48:M48" si="37">L188</f>
        <v>-2035328</v>
      </c>
      <c r="M48" s="457">
        <f t="shared" si="37"/>
        <v>0</v>
      </c>
      <c r="N48" s="457">
        <f t="shared" ref="N48:O48" si="38">N188</f>
        <v>0</v>
      </c>
      <c r="O48" s="457">
        <f t="shared" si="38"/>
        <v>0</v>
      </c>
      <c r="P48" s="469"/>
      <c r="Q48" s="469"/>
      <c r="R48" s="469"/>
      <c r="S48" s="114"/>
      <c r="T48" s="114"/>
    </row>
    <row r="49" spans="1:24" ht="12.75" customHeight="1" x14ac:dyDescent="0.25">
      <c r="D49" s="454"/>
      <c r="E49" s="455"/>
      <c r="F49" s="456"/>
      <c r="G49" s="453"/>
      <c r="H49" s="453"/>
      <c r="I49" s="518"/>
      <c r="J49" s="463"/>
      <c r="K49" s="463"/>
      <c r="L49" s="463"/>
      <c r="M49" s="463"/>
      <c r="N49" s="463"/>
      <c r="O49" s="463"/>
      <c r="P49" s="469"/>
      <c r="Q49" s="469"/>
      <c r="R49" s="469"/>
      <c r="S49" s="114"/>
      <c r="T49" s="114"/>
    </row>
    <row r="50" spans="1:24" ht="12.75" customHeight="1" x14ac:dyDescent="0.25">
      <c r="D50" s="454"/>
      <c r="E50" s="455"/>
      <c r="F50" s="456"/>
      <c r="G50" s="453"/>
      <c r="H50" s="453"/>
      <c r="I50" s="518"/>
      <c r="J50" s="463"/>
      <c r="K50" s="463"/>
      <c r="L50" s="463"/>
      <c r="M50" s="463"/>
      <c r="N50" s="463"/>
      <c r="O50" s="463"/>
      <c r="P50" s="469"/>
      <c r="Q50" s="469"/>
      <c r="R50" s="469"/>
      <c r="S50" s="114"/>
      <c r="T50" s="114"/>
    </row>
    <row r="51" spans="1:24" ht="12.75" customHeight="1" x14ac:dyDescent="0.25">
      <c r="D51" s="454"/>
      <c r="E51" s="455"/>
      <c r="F51" s="456"/>
      <c r="G51" s="453"/>
      <c r="H51" s="453"/>
      <c r="I51" s="518"/>
      <c r="J51" s="463"/>
      <c r="K51" s="463"/>
      <c r="L51" s="463"/>
      <c r="M51" s="463"/>
      <c r="N51" s="463"/>
      <c r="O51" s="463"/>
      <c r="P51" s="469"/>
      <c r="Q51" s="469"/>
      <c r="R51" s="469"/>
      <c r="S51" s="114"/>
      <c r="T51" s="114"/>
    </row>
    <row r="52" spans="1:24" ht="12.75" customHeight="1" x14ac:dyDescent="0.25">
      <c r="D52" s="464"/>
      <c r="E52" s="465"/>
      <c r="F52" s="466"/>
      <c r="G52" s="467"/>
      <c r="H52" s="467"/>
      <c r="I52" s="518"/>
      <c r="J52" s="463"/>
      <c r="K52" s="463"/>
      <c r="L52" s="463"/>
      <c r="M52" s="463"/>
      <c r="N52" s="463"/>
      <c r="O52" s="463"/>
      <c r="P52" s="469"/>
      <c r="Q52" s="469"/>
      <c r="R52" s="469"/>
      <c r="S52" s="114"/>
      <c r="T52" s="114"/>
    </row>
    <row r="53" spans="1:24" s="381" customFormat="1" ht="12.75" customHeight="1" x14ac:dyDescent="0.25">
      <c r="A53" s="393"/>
      <c r="B53" s="445"/>
      <c r="D53" s="2011" t="s">
        <v>328</v>
      </c>
      <c r="E53" s="2012"/>
      <c r="F53" s="2013"/>
      <c r="G53" s="2014"/>
      <c r="H53" s="2014"/>
      <c r="I53" s="2015"/>
      <c r="J53" s="2016">
        <v>-13678800.999999998</v>
      </c>
      <c r="K53" s="2016">
        <f>SUM(K45:K52)</f>
        <v>-12790821</v>
      </c>
      <c r="L53" s="2016">
        <f>SUM(L46:L52)</f>
        <v>-14669298</v>
      </c>
      <c r="M53" s="2016">
        <f>SUM(M46:M52)</f>
        <v>-9307264</v>
      </c>
      <c r="N53" s="2016">
        <f>SUM(N46:N52)</f>
        <v>-3307994</v>
      </c>
      <c r="O53" s="2016">
        <f>SUM(O46:O52)</f>
        <v>-3307994</v>
      </c>
      <c r="P53" s="89"/>
      <c r="Q53" s="89"/>
      <c r="R53" s="89"/>
      <c r="S53" s="410"/>
      <c r="T53" s="410"/>
    </row>
    <row r="54" spans="1:24" ht="12.75" customHeight="1" x14ac:dyDescent="0.25">
      <c r="D54" s="438"/>
      <c r="E54" s="455"/>
      <c r="F54" s="456"/>
      <c r="G54" s="453"/>
      <c r="H54" s="453"/>
      <c r="I54" s="453"/>
      <c r="J54" s="469"/>
      <c r="K54" s="469"/>
      <c r="L54" s="469"/>
      <c r="M54" s="469"/>
      <c r="N54" s="469"/>
      <c r="O54" s="469"/>
      <c r="S54" s="114"/>
      <c r="T54" s="114"/>
    </row>
    <row r="55" spans="1:24" ht="12.75" customHeight="1" x14ac:dyDescent="0.25">
      <c r="D55" s="1978" t="s">
        <v>527</v>
      </c>
      <c r="E55" s="1984"/>
      <c r="F55" s="1999"/>
      <c r="G55" s="1981"/>
      <c r="H55" s="1981"/>
      <c r="I55" s="1981"/>
      <c r="J55" s="1986">
        <v>502490</v>
      </c>
      <c r="K55" s="1986">
        <f>K44+K53</f>
        <v>567200.00000000186</v>
      </c>
      <c r="L55" s="1986">
        <f t="shared" ref="L55:O55" si="39">L44+L53</f>
        <v>313327</v>
      </c>
      <c r="M55" s="1986">
        <f t="shared" si="39"/>
        <v>319593</v>
      </c>
      <c r="N55" s="1986">
        <f t="shared" si="39"/>
        <v>325985.00000000093</v>
      </c>
      <c r="O55" s="1986">
        <f t="shared" si="39"/>
        <v>325985.00000000093</v>
      </c>
      <c r="P55" s="469"/>
      <c r="Q55" s="469"/>
      <c r="R55" s="469"/>
      <c r="S55" s="114"/>
      <c r="T55" s="114"/>
    </row>
    <row r="56" spans="1:24" ht="12.75" customHeight="1" x14ac:dyDescent="0.25">
      <c r="D56" s="438"/>
      <c r="E56" s="455"/>
      <c r="F56" s="456"/>
      <c r="G56" s="453"/>
      <c r="H56" s="453"/>
      <c r="I56" s="453"/>
      <c r="J56" s="469"/>
    </row>
    <row r="57" spans="1:24" ht="12.75" customHeight="1" x14ac:dyDescent="0.25">
      <c r="D57" s="453"/>
      <c r="E57" s="453"/>
      <c r="F57" s="517"/>
      <c r="G57" s="453"/>
      <c r="H57" s="519" t="s">
        <v>5120</v>
      </c>
      <c r="I57" s="520"/>
      <c r="J57" s="1666">
        <v>502490.28932246665</v>
      </c>
      <c r="K57" s="1667">
        <v>467201</v>
      </c>
      <c r="L57" s="1667">
        <v>313327</v>
      </c>
      <c r="M57" s="1667">
        <v>319594</v>
      </c>
      <c r="N57" s="1667">
        <v>325986</v>
      </c>
      <c r="O57" s="1667">
        <v>325986</v>
      </c>
    </row>
    <row r="58" spans="1:24" ht="12.75" customHeight="1" x14ac:dyDescent="0.25">
      <c r="D58" s="438"/>
      <c r="E58" s="438"/>
      <c r="F58" s="516"/>
      <c r="G58" s="453"/>
      <c r="H58" s="453"/>
      <c r="I58" s="453"/>
      <c r="J58" s="469">
        <v>-0.2893224666477181</v>
      </c>
      <c r="K58" s="469">
        <v>-0.99999999813735485</v>
      </c>
      <c r="L58" s="469">
        <f t="shared" ref="L58:M58" si="40">L55-L57</f>
        <v>0</v>
      </c>
      <c r="M58" s="469">
        <f t="shared" si="40"/>
        <v>-1</v>
      </c>
      <c r="N58" s="469">
        <f t="shared" ref="N58:O58" si="41">N55-N57</f>
        <v>-0.99999999906867743</v>
      </c>
      <c r="O58" s="469">
        <f t="shared" si="41"/>
        <v>-0.99999999906867743</v>
      </c>
    </row>
    <row r="59" spans="1:24" ht="12.75" customHeight="1" x14ac:dyDescent="0.25">
      <c r="D59" s="312" t="s">
        <v>528</v>
      </c>
      <c r="E59" s="382"/>
      <c r="F59" s="382"/>
      <c r="I59" s="114"/>
      <c r="J59" s="114"/>
    </row>
    <row r="60" spans="1:24" ht="12.75" customHeight="1" x14ac:dyDescent="0.25">
      <c r="J60" s="114"/>
    </row>
    <row r="61" spans="1:24" ht="12.75" customHeight="1" x14ac:dyDescent="0.25">
      <c r="A61" s="470"/>
      <c r="B61" s="453"/>
      <c r="C61" s="453"/>
      <c r="D61" s="2633" t="s">
        <v>529</v>
      </c>
      <c r="E61" s="1989" t="s">
        <v>530</v>
      </c>
      <c r="F61" s="2631" t="s">
        <v>5121</v>
      </c>
      <c r="G61" s="2632" t="s">
        <v>206</v>
      </c>
      <c r="H61" s="2526"/>
      <c r="I61" s="2001"/>
      <c r="J61" s="1991"/>
      <c r="K61" s="1991"/>
      <c r="L61" s="1991"/>
      <c r="M61" s="1991"/>
      <c r="N61" s="1991"/>
      <c r="O61" s="1991"/>
      <c r="P61" s="453"/>
      <c r="Q61" s="453"/>
      <c r="R61" s="453"/>
      <c r="S61" s="453"/>
      <c r="T61" s="453"/>
      <c r="U61" s="453"/>
      <c r="V61" s="453"/>
      <c r="W61" s="453"/>
      <c r="X61" s="453"/>
    </row>
    <row r="62" spans="1:24" ht="12.75" customHeight="1" x14ac:dyDescent="0.25">
      <c r="A62" s="470"/>
      <c r="B62" s="453"/>
      <c r="C62" s="453"/>
      <c r="D62" s="2524"/>
      <c r="E62" s="472" t="s">
        <v>532</v>
      </c>
      <c r="F62" s="2553"/>
      <c r="G62" s="2527"/>
      <c r="H62" s="2528"/>
      <c r="I62" s="521"/>
      <c r="J62" s="1977" t="s">
        <v>5122</v>
      </c>
      <c r="K62" s="1977">
        <v>2026</v>
      </c>
      <c r="L62" s="1977">
        <v>2027</v>
      </c>
      <c r="M62" s="1977">
        <v>2028</v>
      </c>
      <c r="N62" s="1977">
        <v>2029</v>
      </c>
      <c r="O62" s="1977">
        <v>2030</v>
      </c>
      <c r="P62" s="383"/>
      <c r="Q62" s="383"/>
      <c r="R62" s="383"/>
      <c r="S62" s="453"/>
      <c r="T62" s="453"/>
      <c r="U62" s="453"/>
      <c r="V62" s="453"/>
      <c r="W62" s="453"/>
      <c r="X62" s="453"/>
    </row>
    <row r="63" spans="1:24" ht="12.75" customHeight="1" x14ac:dyDescent="0.25">
      <c r="D63" s="2000"/>
      <c r="E63" s="522"/>
      <c r="F63" s="2000"/>
      <c r="G63" s="2004"/>
      <c r="H63" s="326"/>
      <c r="I63" s="2005"/>
      <c r="J63" s="335"/>
      <c r="K63" s="335"/>
      <c r="L63" s="335"/>
      <c r="M63" s="335"/>
      <c r="N63" s="335"/>
      <c r="O63" s="335"/>
    </row>
    <row r="64" spans="1:24" ht="12.75" customHeight="1" x14ac:dyDescent="0.25">
      <c r="D64" s="333">
        <v>652008</v>
      </c>
      <c r="E64" s="331"/>
      <c r="F64" s="352"/>
      <c r="G64" s="381" t="s">
        <v>5123</v>
      </c>
      <c r="H64" s="355"/>
      <c r="I64" s="316"/>
      <c r="J64" s="335"/>
      <c r="K64" s="335"/>
      <c r="L64" s="335"/>
      <c r="M64" s="335"/>
      <c r="N64" s="335"/>
      <c r="O64" s="335"/>
    </row>
    <row r="65" spans="1:18" ht="12.75" customHeight="1" x14ac:dyDescent="0.25">
      <c r="D65" s="333"/>
      <c r="E65" s="331"/>
      <c r="F65" s="352"/>
      <c r="G65" s="383" t="s">
        <v>533</v>
      </c>
      <c r="H65" s="355"/>
      <c r="I65" s="316"/>
      <c r="J65" s="335"/>
      <c r="K65" s="335"/>
      <c r="L65" s="335"/>
      <c r="M65" s="335"/>
      <c r="N65" s="335"/>
      <c r="O65" s="335"/>
    </row>
    <row r="66" spans="1:18" ht="12.75" customHeight="1" x14ac:dyDescent="0.25">
      <c r="A66" s="336">
        <f>+D64</f>
        <v>652008</v>
      </c>
      <c r="B66" s="306" t="str">
        <f>+G64</f>
        <v>Planontwikkeling overige</v>
      </c>
      <c r="D66" s="337">
        <v>43812</v>
      </c>
      <c r="E66" s="337" t="s">
        <v>2611</v>
      </c>
      <c r="F66" s="352"/>
      <c r="G66" s="115" t="s">
        <v>5124</v>
      </c>
      <c r="H66" s="355"/>
      <c r="I66" s="316"/>
      <c r="J66" s="318">
        <v>236570.76053651547</v>
      </c>
      <c r="K66" s="318">
        <v>258764.67255459577</v>
      </c>
      <c r="L66" s="318">
        <f t="shared" ref="L66:M66" si="42">L208</f>
        <v>237805.0781431302</v>
      </c>
      <c r="M66" s="318">
        <f t="shared" si="42"/>
        <v>148990.77462217869</v>
      </c>
      <c r="N66" s="318">
        <f t="shared" ref="N66:O66" si="43">N208</f>
        <v>139392.95733789614</v>
      </c>
      <c r="O66" s="318">
        <f t="shared" si="43"/>
        <v>139392.95733789614</v>
      </c>
      <c r="P66" s="114"/>
      <c r="Q66" s="114"/>
      <c r="R66" s="114"/>
    </row>
    <row r="67" spans="1:18" ht="12.75" customHeight="1" x14ac:dyDescent="0.25">
      <c r="A67" s="336">
        <f>+D64</f>
        <v>652008</v>
      </c>
      <c r="B67" s="306" t="str">
        <f>+G64</f>
        <v>Planontwikkeling overige</v>
      </c>
      <c r="D67" s="337">
        <v>43812</v>
      </c>
      <c r="E67" s="337" t="s">
        <v>2613</v>
      </c>
      <c r="F67" s="352"/>
      <c r="G67" s="115" t="s">
        <v>5124</v>
      </c>
      <c r="H67" s="355"/>
      <c r="I67" s="316"/>
      <c r="J67" s="318">
        <v>1570.9556620730975</v>
      </c>
      <c r="K67" s="318">
        <v>0</v>
      </c>
      <c r="L67" s="318">
        <f t="shared" ref="L67:M69" si="44">+L209</f>
        <v>0</v>
      </c>
      <c r="M67" s="318">
        <f t="shared" si="44"/>
        <v>0</v>
      </c>
      <c r="N67" s="318">
        <f t="shared" ref="N67:O67" si="45">+N209</f>
        <v>0</v>
      </c>
      <c r="O67" s="318">
        <f t="shared" si="45"/>
        <v>0</v>
      </c>
      <c r="P67" s="114"/>
      <c r="Q67" s="114"/>
      <c r="R67" s="114"/>
    </row>
    <row r="68" spans="1:18" ht="12.75" customHeight="1" x14ac:dyDescent="0.25">
      <c r="A68" s="336">
        <f>+D64</f>
        <v>652008</v>
      </c>
      <c r="B68" s="306" t="str">
        <f>+G64</f>
        <v>Planontwikkeling overige</v>
      </c>
      <c r="D68" s="337">
        <v>43812</v>
      </c>
      <c r="E68" s="337" t="s">
        <v>2615</v>
      </c>
      <c r="F68" s="352"/>
      <c r="G68" s="115" t="s">
        <v>5124</v>
      </c>
      <c r="H68" s="355"/>
      <c r="I68" s="316"/>
      <c r="J68" s="318">
        <v>21397.981931244864</v>
      </c>
      <c r="K68" s="318">
        <v>21460.185145805866</v>
      </c>
      <c r="L68" s="318">
        <f t="shared" si="44"/>
        <v>19435.487941848285</v>
      </c>
      <c r="M68" s="318">
        <f t="shared" si="44"/>
        <v>2852.9903208491337</v>
      </c>
      <c r="N68" s="318">
        <f t="shared" ref="N68:O68" si="46">+N210</f>
        <v>2886.2069154084661</v>
      </c>
      <c r="O68" s="318">
        <f t="shared" si="46"/>
        <v>2886.2069154084661</v>
      </c>
      <c r="P68" s="114"/>
      <c r="Q68" s="114"/>
      <c r="R68" s="114"/>
    </row>
    <row r="69" spans="1:18" ht="12.75" customHeight="1" x14ac:dyDescent="0.25">
      <c r="A69" s="336">
        <v>652008</v>
      </c>
      <c r="B69" s="306" t="str">
        <f>+G64</f>
        <v>Planontwikkeling overige</v>
      </c>
      <c r="D69" s="337">
        <v>43812</v>
      </c>
      <c r="E69" s="337" t="s">
        <v>2619</v>
      </c>
      <c r="F69" s="352"/>
      <c r="G69" s="115" t="s">
        <v>5124</v>
      </c>
      <c r="H69" s="355"/>
      <c r="I69" s="316"/>
      <c r="J69" s="318">
        <v>0</v>
      </c>
      <c r="K69" s="318">
        <v>2662.1049587433772</v>
      </c>
      <c r="L69" s="318">
        <f t="shared" si="44"/>
        <v>0</v>
      </c>
      <c r="M69" s="318">
        <f t="shared" si="44"/>
        <v>0</v>
      </c>
      <c r="N69" s="318">
        <f t="shared" ref="N69:O69" si="47">+N211</f>
        <v>0</v>
      </c>
      <c r="O69" s="318">
        <f t="shared" si="47"/>
        <v>0</v>
      </c>
      <c r="P69" s="114"/>
      <c r="Q69" s="114"/>
      <c r="R69" s="114"/>
    </row>
    <row r="70" spans="1:18" ht="12.75" customHeight="1" thickBot="1" x14ac:dyDescent="0.3">
      <c r="D70" s="352"/>
      <c r="E70" s="352"/>
      <c r="F70" s="352"/>
      <c r="G70" s="355"/>
      <c r="H70" s="355"/>
      <c r="I70" s="316"/>
      <c r="J70" s="480">
        <v>259539.69812983344</v>
      </c>
      <c r="K70" s="480">
        <v>282886.96265914501</v>
      </c>
      <c r="L70" s="480">
        <f t="shared" ref="L70:M70" si="48">SUM(L66:L69)</f>
        <v>257240.56608497849</v>
      </c>
      <c r="M70" s="480">
        <f t="shared" si="48"/>
        <v>151843.76494302784</v>
      </c>
      <c r="N70" s="480">
        <f t="shared" ref="N70:O70" si="49">SUM(N66:N69)</f>
        <v>142279.1642533046</v>
      </c>
      <c r="O70" s="480">
        <f t="shared" si="49"/>
        <v>142279.1642533046</v>
      </c>
      <c r="P70" s="114"/>
      <c r="Q70" s="114"/>
      <c r="R70" s="114"/>
    </row>
    <row r="71" spans="1:18" ht="12.75" customHeight="1" thickTop="1" x14ac:dyDescent="0.25">
      <c r="D71" s="352"/>
      <c r="E71" s="352"/>
      <c r="F71" s="352"/>
      <c r="G71" s="355"/>
      <c r="H71" s="355"/>
      <c r="I71" s="316"/>
      <c r="J71" s="335"/>
      <c r="K71" s="335"/>
      <c r="L71" s="335"/>
      <c r="M71" s="335"/>
      <c r="N71" s="335"/>
      <c r="O71" s="335"/>
    </row>
    <row r="72" spans="1:18" ht="12.75" customHeight="1" x14ac:dyDescent="0.25">
      <c r="D72" s="333">
        <v>652012</v>
      </c>
      <c r="E72" s="352"/>
      <c r="F72" s="352"/>
      <c r="G72" s="381" t="s">
        <v>5112</v>
      </c>
      <c r="H72" s="355"/>
      <c r="I72" s="318"/>
      <c r="J72" s="317"/>
      <c r="K72" s="317"/>
      <c r="L72" s="317"/>
      <c r="M72" s="317"/>
      <c r="N72" s="317"/>
      <c r="O72" s="317"/>
      <c r="P72" s="114"/>
      <c r="Q72" s="114"/>
      <c r="R72" s="114"/>
    </row>
    <row r="73" spans="1:18" ht="12.75" customHeight="1" x14ac:dyDescent="0.25">
      <c r="D73" s="352"/>
      <c r="E73" s="352"/>
      <c r="F73" s="352"/>
      <c r="G73" s="383" t="s">
        <v>533</v>
      </c>
      <c r="H73" s="355"/>
      <c r="I73" s="318"/>
      <c r="J73" s="317"/>
      <c r="K73" s="317"/>
      <c r="L73" s="317"/>
      <c r="M73" s="317"/>
      <c r="N73" s="317"/>
      <c r="O73" s="317"/>
      <c r="P73" s="114"/>
      <c r="Q73" s="114"/>
      <c r="R73" s="114"/>
    </row>
    <row r="74" spans="1:18" ht="12.75" customHeight="1" x14ac:dyDescent="0.25">
      <c r="A74" s="336">
        <f>+D72</f>
        <v>652012</v>
      </c>
      <c r="B74" s="306" t="str">
        <f>+G72</f>
        <v>vtu advies derden</v>
      </c>
      <c r="D74" s="337">
        <v>43511</v>
      </c>
      <c r="E74" s="352" t="s">
        <v>2611</v>
      </c>
      <c r="F74" s="352"/>
      <c r="G74" s="115" t="s">
        <v>5125</v>
      </c>
      <c r="H74" s="355"/>
      <c r="I74" s="318"/>
      <c r="J74" s="317">
        <v>30674.324350987114</v>
      </c>
      <c r="K74" s="317">
        <v>25646.981928866375</v>
      </c>
      <c r="L74" s="317">
        <f>L258</f>
        <v>26541.070031044754</v>
      </c>
      <c r="M74" s="317">
        <f>M258</f>
        <v>27265.634405991805</v>
      </c>
      <c r="N74" s="317">
        <f t="shared" ref="N74:O74" si="50">N258</f>
        <v>14508.505772450946</v>
      </c>
      <c r="O74" s="317">
        <f t="shared" si="50"/>
        <v>14508.505772450946</v>
      </c>
      <c r="P74" s="114"/>
      <c r="Q74" s="114"/>
      <c r="R74" s="114"/>
    </row>
    <row r="75" spans="1:18" ht="12.75" customHeight="1" x14ac:dyDescent="0.25">
      <c r="A75" s="336">
        <f>D72</f>
        <v>652012</v>
      </c>
      <c r="B75" s="306" t="str">
        <f>G72</f>
        <v>vtu advies derden</v>
      </c>
      <c r="D75" s="337">
        <v>43812</v>
      </c>
      <c r="E75" s="352" t="s">
        <v>5350</v>
      </c>
      <c r="F75" s="352"/>
      <c r="G75" s="115" t="s">
        <v>3900</v>
      </c>
      <c r="H75" s="355"/>
      <c r="I75" s="318"/>
      <c r="J75" s="317">
        <f>J262</f>
        <v>0</v>
      </c>
      <c r="K75" s="317">
        <f t="shared" ref="K75:O75" si="51">K262</f>
        <v>100000</v>
      </c>
      <c r="L75" s="317">
        <f t="shared" si="51"/>
        <v>0</v>
      </c>
      <c r="M75" s="317">
        <f t="shared" si="51"/>
        <v>0</v>
      </c>
      <c r="N75" s="317">
        <f t="shared" si="51"/>
        <v>0</v>
      </c>
      <c r="O75" s="317">
        <f t="shared" si="51"/>
        <v>0</v>
      </c>
      <c r="P75" s="114"/>
      <c r="Q75" s="114"/>
      <c r="R75" s="114"/>
    </row>
    <row r="76" spans="1:18" ht="12.75" customHeight="1" thickBot="1" x14ac:dyDescent="0.3">
      <c r="D76" s="352"/>
      <c r="E76" s="352"/>
      <c r="F76" s="352"/>
      <c r="G76" s="115" t="s">
        <v>536</v>
      </c>
      <c r="H76" s="355"/>
      <c r="I76" s="318"/>
      <c r="J76" s="342">
        <f>SUM(J74:J75)</f>
        <v>30674.324350987114</v>
      </c>
      <c r="K76" s="342">
        <f t="shared" ref="K76:O76" si="52">SUM(K74:K75)</f>
        <v>125646.98192886637</v>
      </c>
      <c r="L76" s="342">
        <f t="shared" si="52"/>
        <v>26541.070031044754</v>
      </c>
      <c r="M76" s="342">
        <f t="shared" si="52"/>
        <v>27265.634405991805</v>
      </c>
      <c r="N76" s="342">
        <f t="shared" si="52"/>
        <v>14508.505772450946</v>
      </c>
      <c r="O76" s="342">
        <f t="shared" si="52"/>
        <v>14508.505772450946</v>
      </c>
      <c r="P76" s="114"/>
      <c r="Q76" s="114"/>
      <c r="R76" s="114"/>
    </row>
    <row r="77" spans="1:18" ht="12.75" customHeight="1" thickTop="1" x14ac:dyDescent="0.25">
      <c r="D77" s="352"/>
      <c r="E77" s="352"/>
      <c r="F77" s="352"/>
      <c r="G77" s="523"/>
      <c r="H77" s="355"/>
      <c r="I77" s="318"/>
      <c r="J77" s="317"/>
      <c r="K77" s="317"/>
      <c r="L77" s="317"/>
      <c r="M77" s="317"/>
      <c r="N77" s="317"/>
      <c r="O77" s="317"/>
      <c r="P77" s="114"/>
      <c r="Q77" s="114"/>
      <c r="R77" s="114"/>
    </row>
    <row r="78" spans="1:18" ht="12.75" customHeight="1" x14ac:dyDescent="0.25">
      <c r="D78" s="333">
        <v>652034</v>
      </c>
      <c r="E78" s="331"/>
      <c r="F78" s="331"/>
      <c r="G78" s="381" t="s">
        <v>5113</v>
      </c>
      <c r="I78" s="316"/>
      <c r="J78" s="335"/>
      <c r="K78" s="335"/>
      <c r="L78" s="335"/>
      <c r="M78" s="335"/>
      <c r="N78" s="335"/>
      <c r="O78" s="335"/>
    </row>
    <row r="79" spans="1:18" ht="12.75" customHeight="1" x14ac:dyDescent="0.25">
      <c r="D79" s="340"/>
      <c r="E79" s="340"/>
      <c r="F79" s="340"/>
      <c r="G79" s="383" t="s">
        <v>533</v>
      </c>
      <c r="I79" s="316"/>
      <c r="J79" s="335"/>
      <c r="K79" s="335"/>
      <c r="L79" s="335"/>
      <c r="M79" s="335"/>
      <c r="N79" s="335"/>
      <c r="O79" s="335"/>
    </row>
    <row r="80" spans="1:18" ht="12.75" customHeight="1" x14ac:dyDescent="0.25">
      <c r="A80" s="336">
        <f>+D78</f>
        <v>652034</v>
      </c>
      <c r="B80" s="306" t="str">
        <f>+G78</f>
        <v>brm algemeen</v>
      </c>
      <c r="D80" s="337">
        <v>43200</v>
      </c>
      <c r="E80" s="337" t="s">
        <v>2611</v>
      </c>
      <c r="F80" s="524"/>
      <c r="G80" s="115" t="s">
        <v>5126</v>
      </c>
      <c r="I80" s="318"/>
      <c r="J80" s="318">
        <v>1783039.7186596047</v>
      </c>
      <c r="K80" s="318">
        <v>1749199.9882227166</v>
      </c>
      <c r="L80" s="318">
        <f>+L266</f>
        <v>1810179.4400014165</v>
      </c>
      <c r="M80" s="318">
        <f>+M266</f>
        <v>1041374.2485533133</v>
      </c>
      <c r="N80" s="318">
        <f t="shared" ref="N80:O80" si="53">+N266</f>
        <v>0</v>
      </c>
      <c r="O80" s="318">
        <f t="shared" si="53"/>
        <v>0</v>
      </c>
      <c r="P80" s="114"/>
      <c r="Q80" s="114"/>
      <c r="R80" s="114"/>
    </row>
    <row r="81" spans="1:18" ht="12.75" customHeight="1" thickBot="1" x14ac:dyDescent="0.3">
      <c r="D81" s="340"/>
      <c r="E81" s="340"/>
      <c r="F81" s="340"/>
      <c r="G81" s="115" t="s">
        <v>536</v>
      </c>
      <c r="I81" s="318"/>
      <c r="J81" s="342">
        <v>1783039.7186596047</v>
      </c>
      <c r="K81" s="342">
        <v>1749199.9882227166</v>
      </c>
      <c r="L81" s="342">
        <f>SUM(L80:L80)</f>
        <v>1810179.4400014165</v>
      </c>
      <c r="M81" s="342">
        <f>SUM(M80:M80)</f>
        <v>1041374.2485533133</v>
      </c>
      <c r="N81" s="342">
        <f>SUM(N80:N80)</f>
        <v>0</v>
      </c>
      <c r="O81" s="342">
        <f>SUM(O80:O80)</f>
        <v>0</v>
      </c>
      <c r="P81" s="114"/>
      <c r="Q81" s="114"/>
      <c r="R81" s="114"/>
    </row>
    <row r="82" spans="1:18" ht="12.75" customHeight="1" thickTop="1" x14ac:dyDescent="0.25">
      <c r="D82" s="340"/>
      <c r="E82" s="340"/>
      <c r="F82" s="340"/>
      <c r="I82" s="318"/>
      <c r="J82" s="317"/>
      <c r="K82" s="317"/>
      <c r="L82" s="317"/>
      <c r="M82" s="317"/>
      <c r="N82" s="317"/>
      <c r="O82" s="317"/>
      <c r="P82" s="114"/>
      <c r="Q82" s="114"/>
      <c r="R82" s="114"/>
    </row>
    <row r="83" spans="1:18" ht="12.75" customHeight="1" x14ac:dyDescent="0.25">
      <c r="D83" s="333">
        <v>652035</v>
      </c>
      <c r="E83" s="331"/>
      <c r="F83" s="331"/>
      <c r="G83" s="381" t="s">
        <v>5114</v>
      </c>
      <c r="I83" s="316"/>
      <c r="J83" s="335"/>
      <c r="K83" s="335"/>
      <c r="L83" s="335"/>
      <c r="M83" s="335"/>
      <c r="N83" s="335"/>
      <c r="O83" s="335"/>
    </row>
    <row r="84" spans="1:18" ht="12.75" customHeight="1" x14ac:dyDescent="0.25">
      <c r="D84" s="340"/>
      <c r="E84" s="340"/>
      <c r="F84" s="340"/>
      <c r="G84" s="383" t="s">
        <v>533</v>
      </c>
      <c r="I84" s="316"/>
      <c r="J84" s="335"/>
      <c r="K84" s="335"/>
      <c r="L84" s="335"/>
      <c r="M84" s="335"/>
      <c r="N84" s="335"/>
      <c r="O84" s="335"/>
    </row>
    <row r="85" spans="1:18" ht="12.75" customHeight="1" x14ac:dyDescent="0.25">
      <c r="A85" s="336">
        <f>+D83</f>
        <v>652035</v>
      </c>
      <c r="B85" s="306" t="str">
        <f>+G83</f>
        <v>wrm algemeen</v>
      </c>
      <c r="D85" s="337">
        <v>43200</v>
      </c>
      <c r="E85" s="337" t="s">
        <v>2609</v>
      </c>
      <c r="F85" s="524"/>
      <c r="G85" s="115" t="s">
        <v>5126</v>
      </c>
      <c r="I85" s="318"/>
      <c r="J85" s="318">
        <v>93599.096656429654</v>
      </c>
      <c r="K85" s="318">
        <v>197553.26100620336</v>
      </c>
      <c r="L85" s="318">
        <f t="shared" ref="L85:M90" si="54">L272</f>
        <v>0</v>
      </c>
      <c r="M85" s="318">
        <f t="shared" si="54"/>
        <v>0</v>
      </c>
      <c r="N85" s="318">
        <f t="shared" ref="N85:O85" si="55">N272</f>
        <v>0</v>
      </c>
      <c r="O85" s="318">
        <f t="shared" si="55"/>
        <v>0</v>
      </c>
      <c r="P85" s="114"/>
      <c r="Q85" s="114"/>
      <c r="R85" s="114"/>
    </row>
    <row r="86" spans="1:18" ht="12.75" customHeight="1" x14ac:dyDescent="0.25">
      <c r="A86" s="336">
        <f>+D83</f>
        <v>652035</v>
      </c>
      <c r="B86" s="306" t="str">
        <f>+G83</f>
        <v>wrm algemeen</v>
      </c>
      <c r="D86" s="337">
        <v>43200</v>
      </c>
      <c r="E86" s="337" t="s">
        <v>2611</v>
      </c>
      <c r="F86" s="524"/>
      <c r="G86" s="115" t="s">
        <v>5126</v>
      </c>
      <c r="I86" s="318"/>
      <c r="J86" s="318">
        <v>2911863.2185998843</v>
      </c>
      <c r="K86" s="318">
        <v>2670984.5082552736</v>
      </c>
      <c r="L86" s="318">
        <f t="shared" si="54"/>
        <v>3015380.2926800167</v>
      </c>
      <c r="M86" s="318">
        <f t="shared" si="54"/>
        <v>4130265.8638896169</v>
      </c>
      <c r="N86" s="318">
        <f t="shared" ref="N86:O86" si="56">N273</f>
        <v>4475541.5105351247</v>
      </c>
      <c r="O86" s="318">
        <f t="shared" si="56"/>
        <v>4475541.5105351247</v>
      </c>
      <c r="P86" s="114"/>
      <c r="Q86" s="114"/>
      <c r="R86" s="114"/>
    </row>
    <row r="87" spans="1:18" ht="12.75" customHeight="1" x14ac:dyDescent="0.25">
      <c r="A87" s="336">
        <f>+D83</f>
        <v>652035</v>
      </c>
      <c r="B87" s="306" t="str">
        <f>+G83</f>
        <v>wrm algemeen</v>
      </c>
      <c r="D87" s="337">
        <v>43200</v>
      </c>
      <c r="E87" s="337" t="s">
        <v>2613</v>
      </c>
      <c r="F87" s="524"/>
      <c r="G87" s="115" t="s">
        <v>5126</v>
      </c>
      <c r="I87" s="318"/>
      <c r="J87" s="318">
        <v>78547.783103654874</v>
      </c>
      <c r="K87" s="318">
        <v>0</v>
      </c>
      <c r="L87" s="318">
        <f t="shared" si="54"/>
        <v>0</v>
      </c>
      <c r="M87" s="318">
        <f t="shared" si="54"/>
        <v>0</v>
      </c>
      <c r="N87" s="318">
        <f t="shared" ref="N87:O87" si="57">N274</f>
        <v>0</v>
      </c>
      <c r="O87" s="318">
        <f t="shared" si="57"/>
        <v>0</v>
      </c>
      <c r="P87" s="114"/>
      <c r="Q87" s="114"/>
      <c r="R87" s="114"/>
    </row>
    <row r="88" spans="1:18" ht="12.75" customHeight="1" x14ac:dyDescent="0.25">
      <c r="A88" s="336">
        <f>+D83</f>
        <v>652035</v>
      </c>
      <c r="B88" s="306" t="str">
        <f>+G83</f>
        <v>wrm algemeen</v>
      </c>
      <c r="D88" s="337">
        <v>43200</v>
      </c>
      <c r="E88" s="337" t="s">
        <v>2615</v>
      </c>
      <c r="F88" s="524"/>
      <c r="G88" s="115" t="s">
        <v>5126</v>
      </c>
      <c r="I88" s="318"/>
      <c r="J88" s="318">
        <v>0</v>
      </c>
      <c r="K88" s="318">
        <v>0</v>
      </c>
      <c r="L88" s="318">
        <f t="shared" si="54"/>
        <v>0</v>
      </c>
      <c r="M88" s="318">
        <f t="shared" si="54"/>
        <v>0</v>
      </c>
      <c r="N88" s="318">
        <f t="shared" ref="N88:O88" si="58">N275</f>
        <v>928700.57158481306</v>
      </c>
      <c r="O88" s="318">
        <f t="shared" si="58"/>
        <v>928700.57158481306</v>
      </c>
      <c r="P88" s="114"/>
      <c r="Q88" s="114"/>
      <c r="R88" s="114"/>
    </row>
    <row r="89" spans="1:18" ht="12.75" customHeight="1" x14ac:dyDescent="0.25">
      <c r="A89" s="336">
        <f>+D83</f>
        <v>652035</v>
      </c>
      <c r="B89" s="306" t="str">
        <f>+G83</f>
        <v>wrm algemeen</v>
      </c>
      <c r="D89" s="337">
        <v>43200</v>
      </c>
      <c r="E89" s="337" t="s">
        <v>5127</v>
      </c>
      <c r="F89" s="524"/>
      <c r="G89" s="115" t="s">
        <v>5126</v>
      </c>
      <c r="I89" s="318"/>
      <c r="J89" s="318">
        <v>43760.590062111805</v>
      </c>
      <c r="K89" s="318">
        <v>0</v>
      </c>
      <c r="L89" s="318">
        <f t="shared" si="54"/>
        <v>0</v>
      </c>
      <c r="M89" s="318">
        <f t="shared" si="54"/>
        <v>0</v>
      </c>
      <c r="N89" s="318">
        <f t="shared" ref="N89:O89" si="59">N276</f>
        <v>0</v>
      </c>
      <c r="O89" s="318">
        <f t="shared" si="59"/>
        <v>0</v>
      </c>
      <c r="P89" s="114"/>
      <c r="Q89" s="114"/>
      <c r="R89" s="114"/>
    </row>
    <row r="90" spans="1:18" ht="12.75" customHeight="1" x14ac:dyDescent="0.25">
      <c r="A90" s="336">
        <f>+D83</f>
        <v>652035</v>
      </c>
      <c r="B90" s="306" t="str">
        <f>+G83</f>
        <v>wrm algemeen</v>
      </c>
      <c r="D90" s="337">
        <v>43200</v>
      </c>
      <c r="E90" s="337" t="s">
        <v>2619</v>
      </c>
      <c r="F90" s="524"/>
      <c r="G90" s="115" t="s">
        <v>5126</v>
      </c>
      <c r="I90" s="318"/>
      <c r="J90" s="318">
        <v>794139.22693841869</v>
      </c>
      <c r="K90" s="318">
        <v>1042075.6618901774</v>
      </c>
      <c r="L90" s="318">
        <f t="shared" si="54"/>
        <v>1391905.938259976</v>
      </c>
      <c r="M90" s="318">
        <f t="shared" si="54"/>
        <v>0</v>
      </c>
      <c r="N90" s="318">
        <f t="shared" ref="N90:O90" si="60">N277</f>
        <v>0</v>
      </c>
      <c r="O90" s="318">
        <f t="shared" si="60"/>
        <v>0</v>
      </c>
      <c r="P90" s="114"/>
      <c r="Q90" s="114"/>
      <c r="R90" s="114"/>
    </row>
    <row r="91" spans="1:18" ht="12.75" customHeight="1" thickBot="1" x14ac:dyDescent="0.3">
      <c r="D91" s="340"/>
      <c r="E91" s="340"/>
      <c r="F91" s="340"/>
      <c r="G91" s="115" t="s">
        <v>536</v>
      </c>
      <c r="I91" s="318"/>
      <c r="J91" s="342">
        <v>3921909.9153604992</v>
      </c>
      <c r="K91" s="342">
        <v>3910613.4311516546</v>
      </c>
      <c r="L91" s="342">
        <f t="shared" ref="L91:M91" si="61">SUM(L85:L90)</f>
        <v>4407286.2309399927</v>
      </c>
      <c r="M91" s="342">
        <f t="shared" si="61"/>
        <v>4130265.8638896169</v>
      </c>
      <c r="N91" s="342">
        <f t="shared" ref="N91:O91" si="62">SUM(N85:N90)</f>
        <v>5404242.082119938</v>
      </c>
      <c r="O91" s="342">
        <f t="shared" si="62"/>
        <v>5404242.082119938</v>
      </c>
      <c r="P91" s="114"/>
      <c r="Q91" s="114"/>
      <c r="R91" s="114"/>
    </row>
    <row r="92" spans="1:18" ht="12.75" customHeight="1" thickTop="1" x14ac:dyDescent="0.25">
      <c r="D92" s="340"/>
      <c r="E92" s="340"/>
      <c r="F92" s="340"/>
      <c r="I92" s="318"/>
      <c r="J92" s="317"/>
      <c r="K92" s="317"/>
      <c r="L92" s="317"/>
      <c r="M92" s="317"/>
      <c r="N92" s="317"/>
      <c r="O92" s="317"/>
      <c r="P92" s="114"/>
      <c r="Q92" s="114"/>
      <c r="R92" s="114"/>
    </row>
    <row r="93" spans="1:18" ht="12.75" customHeight="1" x14ac:dyDescent="0.25">
      <c r="D93" s="333">
        <v>652022</v>
      </c>
      <c r="E93" s="331"/>
      <c r="F93" s="331"/>
      <c r="G93" s="381" t="s">
        <v>5128</v>
      </c>
      <c r="I93" s="316"/>
      <c r="J93" s="335"/>
      <c r="K93" s="335"/>
      <c r="L93" s="335"/>
      <c r="M93" s="335"/>
      <c r="N93" s="335"/>
      <c r="O93" s="335"/>
    </row>
    <row r="94" spans="1:18" ht="12.75" customHeight="1" x14ac:dyDescent="0.25">
      <c r="D94" s="340"/>
      <c r="E94" s="340"/>
      <c r="F94" s="340"/>
      <c r="G94" s="383" t="s">
        <v>533</v>
      </c>
      <c r="I94" s="316"/>
      <c r="J94" s="335"/>
      <c r="K94" s="335"/>
      <c r="L94" s="335"/>
      <c r="M94" s="335"/>
      <c r="N94" s="335"/>
      <c r="O94" s="335"/>
    </row>
    <row r="95" spans="1:18" ht="12.75" customHeight="1" x14ac:dyDescent="0.25">
      <c r="A95" s="336">
        <f>+D93</f>
        <v>652022</v>
      </c>
      <c r="B95" s="306" t="str">
        <f>+G93</f>
        <v>Afdracht overige</v>
      </c>
      <c r="C95" s="301"/>
      <c r="D95" s="337">
        <v>43200</v>
      </c>
      <c r="E95" s="337" t="s">
        <v>2609</v>
      </c>
      <c r="F95" s="524"/>
      <c r="G95" s="115" t="s">
        <v>5126</v>
      </c>
      <c r="I95" s="318"/>
      <c r="J95" s="318">
        <v>3415.3578732787505</v>
      </c>
      <c r="K95" s="318">
        <v>0</v>
      </c>
      <c r="L95" s="318">
        <f t="shared" ref="L95:M96" si="63">L324</f>
        <v>0</v>
      </c>
      <c r="M95" s="318">
        <f t="shared" si="63"/>
        <v>0</v>
      </c>
      <c r="N95" s="318">
        <f t="shared" ref="N95:O95" si="64">N324</f>
        <v>0</v>
      </c>
      <c r="O95" s="318">
        <f t="shared" si="64"/>
        <v>0</v>
      </c>
      <c r="P95" s="114"/>
      <c r="Q95" s="114"/>
      <c r="R95" s="114"/>
    </row>
    <row r="96" spans="1:18" ht="12.75" customHeight="1" x14ac:dyDescent="0.25">
      <c r="A96" s="336">
        <f>+D93</f>
        <v>652022</v>
      </c>
      <c r="B96" s="306" t="str">
        <f>+G93</f>
        <v>Afdracht overige</v>
      </c>
      <c r="C96" s="301"/>
      <c r="D96" s="337">
        <v>43200</v>
      </c>
      <c r="E96" s="337" t="s">
        <v>2611</v>
      </c>
      <c r="F96" s="524"/>
      <c r="G96" s="115" t="s">
        <v>5126</v>
      </c>
      <c r="I96" s="318"/>
      <c r="J96" s="318">
        <v>58190.25968137668</v>
      </c>
      <c r="K96" s="318">
        <v>104009.56535352548</v>
      </c>
      <c r="L96" s="318">
        <f t="shared" si="63"/>
        <v>135540.84978941569</v>
      </c>
      <c r="M96" s="318">
        <f t="shared" si="63"/>
        <v>102383.11381582274</v>
      </c>
      <c r="N96" s="318">
        <f t="shared" ref="N96:O96" si="65">N325</f>
        <v>37589.79965252948</v>
      </c>
      <c r="O96" s="318">
        <f t="shared" si="65"/>
        <v>37589.79965252948</v>
      </c>
      <c r="P96" s="114"/>
      <c r="Q96" s="114"/>
      <c r="R96" s="114"/>
    </row>
    <row r="97" spans="1:21" ht="12.75" customHeight="1" thickBot="1" x14ac:dyDescent="0.3">
      <c r="D97" s="525"/>
      <c r="E97" s="337"/>
      <c r="F97" s="337"/>
      <c r="G97" s="115" t="s">
        <v>536</v>
      </c>
      <c r="I97" s="318"/>
      <c r="J97" s="342">
        <v>61605.61755465543</v>
      </c>
      <c r="K97" s="342">
        <v>104009.56535352548</v>
      </c>
      <c r="L97" s="342">
        <f t="shared" ref="L97:M97" si="66">SUM(L95:L96)</f>
        <v>135540.84978941569</v>
      </c>
      <c r="M97" s="342">
        <f t="shared" si="66"/>
        <v>102383.11381582274</v>
      </c>
      <c r="N97" s="342">
        <f t="shared" ref="N97:O97" si="67">SUM(N95:N96)</f>
        <v>37589.79965252948</v>
      </c>
      <c r="O97" s="342">
        <f t="shared" si="67"/>
        <v>37589.79965252948</v>
      </c>
      <c r="P97" s="114"/>
      <c r="Q97" s="114"/>
      <c r="R97" s="114"/>
    </row>
    <row r="98" spans="1:21" ht="12.75" customHeight="1" thickTop="1" x14ac:dyDescent="0.25">
      <c r="D98" s="352"/>
      <c r="E98" s="352"/>
      <c r="F98" s="352"/>
      <c r="G98" s="355"/>
      <c r="H98" s="355"/>
      <c r="I98" s="316"/>
      <c r="J98" s="335"/>
      <c r="K98" s="335"/>
      <c r="L98" s="335"/>
      <c r="M98" s="335"/>
      <c r="N98" s="335"/>
      <c r="O98" s="335"/>
    </row>
    <row r="99" spans="1:21" ht="12.75" customHeight="1" x14ac:dyDescent="0.25">
      <c r="D99" s="333">
        <v>652023</v>
      </c>
      <c r="E99" s="331"/>
      <c r="F99" s="331"/>
      <c r="G99" s="381" t="s">
        <v>5129</v>
      </c>
      <c r="I99" s="316"/>
      <c r="J99" s="335"/>
      <c r="K99" s="335"/>
      <c r="L99" s="335"/>
      <c r="M99" s="335"/>
      <c r="N99" s="335"/>
      <c r="O99" s="335"/>
    </row>
    <row r="100" spans="1:21" ht="12.75" customHeight="1" x14ac:dyDescent="0.25">
      <c r="D100" s="340"/>
      <c r="E100" s="340"/>
      <c r="F100" s="340"/>
      <c r="G100" s="383" t="s">
        <v>533</v>
      </c>
      <c r="I100" s="316"/>
      <c r="J100" s="335"/>
      <c r="K100" s="335"/>
      <c r="L100" s="335"/>
      <c r="M100" s="335"/>
      <c r="N100" s="335"/>
      <c r="O100" s="335"/>
    </row>
    <row r="101" spans="1:21" ht="12.75" customHeight="1" x14ac:dyDescent="0.25">
      <c r="A101" s="336">
        <f>+$D$99</f>
        <v>652023</v>
      </c>
      <c r="B101" s="306" t="str">
        <f>+$G$99</f>
        <v>Rente rekening courant</v>
      </c>
      <c r="D101" s="340">
        <v>47400</v>
      </c>
      <c r="E101" s="301" t="s">
        <v>2609</v>
      </c>
      <c r="F101" s="524"/>
      <c r="G101" s="115" t="s">
        <v>5130</v>
      </c>
      <c r="I101" s="316"/>
      <c r="J101" s="318">
        <v>33130</v>
      </c>
      <c r="K101" s="318">
        <v>29861</v>
      </c>
      <c r="L101" s="318">
        <f t="shared" ref="L101:M106" si="68">L333</f>
        <v>0</v>
      </c>
      <c r="M101" s="318">
        <f t="shared" si="68"/>
        <v>0</v>
      </c>
      <c r="N101" s="318">
        <f t="shared" ref="N101:O101" si="69">N333</f>
        <v>0</v>
      </c>
      <c r="O101" s="318">
        <f t="shared" si="69"/>
        <v>0</v>
      </c>
      <c r="P101" s="114"/>
      <c r="Q101" s="114"/>
      <c r="R101" s="114"/>
    </row>
    <row r="102" spans="1:21" ht="12.75" customHeight="1" x14ac:dyDescent="0.25">
      <c r="A102" s="336">
        <f t="shared" ref="A102:A106" si="70">+$D$99</f>
        <v>652023</v>
      </c>
      <c r="B102" s="306" t="str">
        <f t="shared" ref="B102:B106" si="71">+$G$99</f>
        <v>Rente rekening courant</v>
      </c>
      <c r="D102" s="340">
        <v>47400</v>
      </c>
      <c r="E102" s="301" t="s">
        <v>2611</v>
      </c>
      <c r="F102" s="524"/>
      <c r="G102" s="115" t="s">
        <v>5130</v>
      </c>
      <c r="I102" s="316"/>
      <c r="J102" s="318">
        <v>68586</v>
      </c>
      <c r="K102" s="318">
        <v>59688</v>
      </c>
      <c r="L102" s="318">
        <f t="shared" si="68"/>
        <v>42905</v>
      </c>
      <c r="M102" s="318">
        <f t="shared" si="68"/>
        <v>17525</v>
      </c>
      <c r="N102" s="318">
        <f t="shared" ref="N102:O102" si="72">N334</f>
        <v>5616</v>
      </c>
      <c r="O102" s="318">
        <f t="shared" si="72"/>
        <v>5616</v>
      </c>
      <c r="P102" s="114"/>
      <c r="Q102" s="114"/>
      <c r="R102" s="114"/>
    </row>
    <row r="103" spans="1:21" ht="12.75" customHeight="1" x14ac:dyDescent="0.25">
      <c r="A103" s="336">
        <f t="shared" si="70"/>
        <v>652023</v>
      </c>
      <c r="B103" s="306" t="str">
        <f t="shared" si="71"/>
        <v>Rente rekening courant</v>
      </c>
      <c r="D103" s="340">
        <v>47400</v>
      </c>
      <c r="E103" s="301" t="s">
        <v>2613</v>
      </c>
      <c r="F103" s="524"/>
      <c r="G103" s="115" t="s">
        <v>5130</v>
      </c>
      <c r="I103" s="316"/>
      <c r="J103" s="318">
        <v>10343</v>
      </c>
      <c r="K103" s="318">
        <v>0</v>
      </c>
      <c r="L103" s="318">
        <f t="shared" si="68"/>
        <v>0</v>
      </c>
      <c r="M103" s="318">
        <f t="shared" si="68"/>
        <v>0</v>
      </c>
      <c r="N103" s="318">
        <f t="shared" ref="N103:O103" si="73">N335</f>
        <v>0</v>
      </c>
      <c r="O103" s="318">
        <f t="shared" si="73"/>
        <v>0</v>
      </c>
      <c r="P103" s="114"/>
      <c r="Q103" s="114"/>
      <c r="R103" s="114"/>
    </row>
    <row r="104" spans="1:21" ht="12.75" customHeight="1" x14ac:dyDescent="0.25">
      <c r="A104" s="336">
        <f t="shared" si="70"/>
        <v>652023</v>
      </c>
      <c r="B104" s="306" t="str">
        <f t="shared" si="71"/>
        <v>Rente rekening courant</v>
      </c>
      <c r="D104" s="340">
        <v>47400</v>
      </c>
      <c r="E104" s="301" t="s">
        <v>2615</v>
      </c>
      <c r="F104" s="524"/>
      <c r="G104" s="115" t="s">
        <v>5130</v>
      </c>
      <c r="I104" s="316"/>
      <c r="J104" s="318">
        <v>18539</v>
      </c>
      <c r="K104" s="318">
        <v>18374</v>
      </c>
      <c r="L104" s="318">
        <f t="shared" si="68"/>
        <v>18731</v>
      </c>
      <c r="M104" s="318">
        <f t="shared" si="68"/>
        <v>11403</v>
      </c>
      <c r="N104" s="318">
        <f t="shared" ref="N104:O104" si="74">N336</f>
        <v>11947</v>
      </c>
      <c r="O104" s="318">
        <f t="shared" si="74"/>
        <v>11947</v>
      </c>
      <c r="P104" s="114"/>
      <c r="Q104" s="114"/>
      <c r="R104" s="114"/>
    </row>
    <row r="105" spans="1:21" ht="12.75" customHeight="1" x14ac:dyDescent="0.25">
      <c r="D105" s="340">
        <v>47400</v>
      </c>
      <c r="E105" s="301" t="s">
        <v>5127</v>
      </c>
      <c r="F105" s="524"/>
      <c r="G105" s="115" t="s">
        <v>5130</v>
      </c>
      <c r="I105" s="316"/>
      <c r="J105" s="318">
        <v>1681</v>
      </c>
      <c r="K105" s="318">
        <v>0</v>
      </c>
      <c r="L105" s="318">
        <f t="shared" si="68"/>
        <v>0</v>
      </c>
      <c r="M105" s="318">
        <f t="shared" si="68"/>
        <v>0</v>
      </c>
      <c r="N105" s="318">
        <f t="shared" ref="N105:O105" si="75">N337</f>
        <v>0</v>
      </c>
      <c r="O105" s="318">
        <f t="shared" si="75"/>
        <v>0</v>
      </c>
      <c r="P105" s="114"/>
      <c r="Q105" s="114"/>
      <c r="R105" s="114"/>
    </row>
    <row r="106" spans="1:21" ht="12.75" customHeight="1" x14ac:dyDescent="0.25">
      <c r="A106" s="336">
        <f t="shared" si="70"/>
        <v>652023</v>
      </c>
      <c r="B106" s="306" t="str">
        <f t="shared" si="71"/>
        <v>Rente rekening courant</v>
      </c>
      <c r="D106" s="340">
        <v>47400</v>
      </c>
      <c r="E106" s="492" t="s">
        <v>2619</v>
      </c>
      <c r="F106" s="524"/>
      <c r="G106" s="115" t="s">
        <v>5130</v>
      </c>
      <c r="I106" s="316"/>
      <c r="J106" s="318">
        <v>11039</v>
      </c>
      <c r="K106" s="318">
        <v>-1790</v>
      </c>
      <c r="L106" s="318">
        <f t="shared" si="68"/>
        <v>-7785</v>
      </c>
      <c r="M106" s="318">
        <f t="shared" si="68"/>
        <v>0</v>
      </c>
      <c r="N106" s="318">
        <f t="shared" ref="N106:O106" si="76">N338</f>
        <v>0</v>
      </c>
      <c r="O106" s="318">
        <f t="shared" si="76"/>
        <v>0</v>
      </c>
      <c r="P106" s="114"/>
      <c r="Q106" s="114"/>
      <c r="R106" s="114"/>
    </row>
    <row r="107" spans="1:21" ht="12.75" customHeight="1" thickBot="1" x14ac:dyDescent="0.3">
      <c r="D107" s="340"/>
      <c r="E107" s="340"/>
      <c r="F107" s="340"/>
      <c r="G107" s="115" t="s">
        <v>536</v>
      </c>
      <c r="I107" s="318"/>
      <c r="J107" s="480">
        <v>143318</v>
      </c>
      <c r="K107" s="480">
        <v>106133</v>
      </c>
      <c r="L107" s="480">
        <f t="shared" ref="L107:M107" si="77">SUM(L101:L106)</f>
        <v>53851</v>
      </c>
      <c r="M107" s="480">
        <f t="shared" si="77"/>
        <v>28928</v>
      </c>
      <c r="N107" s="480">
        <f t="shared" ref="N107:O107" si="78">SUM(N101:N106)</f>
        <v>17563</v>
      </c>
      <c r="O107" s="480">
        <f t="shared" si="78"/>
        <v>17563</v>
      </c>
      <c r="P107" s="114"/>
      <c r="Q107" s="114"/>
      <c r="R107" s="114"/>
    </row>
    <row r="108" spans="1:21" ht="12.75" customHeight="1" thickTop="1" x14ac:dyDescent="0.25">
      <c r="D108" s="352"/>
      <c r="E108" s="352"/>
      <c r="F108" s="352"/>
      <c r="G108" s="355"/>
      <c r="H108" s="355"/>
      <c r="I108" s="316"/>
      <c r="J108" s="335"/>
      <c r="K108" s="335"/>
      <c r="L108" s="335"/>
      <c r="M108" s="335"/>
      <c r="N108" s="335"/>
      <c r="O108" s="335"/>
    </row>
    <row r="109" spans="1:21" ht="12.75" customHeight="1" x14ac:dyDescent="0.25">
      <c r="D109" s="333">
        <v>652031</v>
      </c>
      <c r="E109" s="331"/>
      <c r="F109" s="331"/>
      <c r="G109" s="381" t="s">
        <v>5131</v>
      </c>
      <c r="I109" s="316"/>
      <c r="J109" s="335"/>
      <c r="K109" s="335"/>
      <c r="L109" s="335"/>
      <c r="M109" s="335"/>
      <c r="N109" s="335"/>
      <c r="O109" s="335"/>
    </row>
    <row r="110" spans="1:21" ht="12.75" customHeight="1" x14ac:dyDescent="0.25">
      <c r="D110" s="337"/>
      <c r="E110" s="337"/>
      <c r="F110" s="337"/>
      <c r="G110" s="383" t="s">
        <v>533</v>
      </c>
      <c r="I110" s="318"/>
      <c r="J110" s="317"/>
      <c r="K110" s="317"/>
      <c r="L110" s="317"/>
      <c r="M110" s="317"/>
      <c r="N110" s="317"/>
      <c r="O110" s="317"/>
      <c r="P110" s="114"/>
      <c r="Q110" s="114"/>
      <c r="R110" s="114"/>
    </row>
    <row r="111" spans="1:21" ht="12.75" customHeight="1" x14ac:dyDescent="0.3">
      <c r="A111" s="336">
        <f>+D109</f>
        <v>652031</v>
      </c>
      <c r="B111" s="306" t="str">
        <f>+G109</f>
        <v>Tijdelijk beheer</v>
      </c>
      <c r="C111" s="336"/>
      <c r="D111" s="337">
        <v>43812</v>
      </c>
      <c r="E111" s="337" t="s">
        <v>2609</v>
      </c>
      <c r="F111" s="337"/>
      <c r="G111" s="115" t="s">
        <v>5132</v>
      </c>
      <c r="I111" s="318"/>
      <c r="J111" s="318">
        <v>4204.8111705494002</v>
      </c>
      <c r="K111" s="318">
        <v>4263.1260467458651</v>
      </c>
      <c r="L111" s="318">
        <f t="shared" ref="L111:M116" si="79">L358</f>
        <v>0</v>
      </c>
      <c r="M111" s="318">
        <f t="shared" si="79"/>
        <v>0</v>
      </c>
      <c r="N111" s="318">
        <f t="shared" ref="N111:O111" si="80">N358</f>
        <v>0</v>
      </c>
      <c r="O111" s="318">
        <f t="shared" si="80"/>
        <v>0</v>
      </c>
      <c r="P111" s="114"/>
      <c r="Q111" s="114"/>
      <c r="R111" s="114"/>
      <c r="S111" s="90"/>
      <c r="T111" s="114"/>
      <c r="U111" s="82"/>
    </row>
    <row r="112" spans="1:21" ht="12.75" customHeight="1" x14ac:dyDescent="0.3">
      <c r="A112" s="336">
        <f>+D109</f>
        <v>652031</v>
      </c>
      <c r="B112" s="306" t="str">
        <f>+G109</f>
        <v>Tijdelijk beheer</v>
      </c>
      <c r="C112" s="336"/>
      <c r="D112" s="337">
        <v>43812</v>
      </c>
      <c r="E112" s="337" t="s">
        <v>2611</v>
      </c>
      <c r="F112" s="337"/>
      <c r="G112" s="115" t="s">
        <v>5132</v>
      </c>
      <c r="I112" s="318"/>
      <c r="J112" s="318">
        <v>-1254.5735930874075</v>
      </c>
      <c r="K112" s="318">
        <v>3620.6501643475203</v>
      </c>
      <c r="L112" s="318">
        <f t="shared" si="79"/>
        <v>7163.1354925174765</v>
      </c>
      <c r="M112" s="318">
        <f t="shared" si="79"/>
        <v>7358.6872462608681</v>
      </c>
      <c r="N112" s="318">
        <f t="shared" ref="N112:O112" si="81">N359</f>
        <v>7504.7976699770134</v>
      </c>
      <c r="O112" s="318">
        <f t="shared" si="81"/>
        <v>7504.7976699770134</v>
      </c>
      <c r="P112" s="114"/>
      <c r="Q112" s="114"/>
      <c r="R112" s="114"/>
      <c r="S112" s="90"/>
      <c r="T112" s="114"/>
      <c r="U112" s="82"/>
    </row>
    <row r="113" spans="1:19" ht="12.75" customHeight="1" x14ac:dyDescent="0.3">
      <c r="A113" s="336">
        <f>+D109</f>
        <v>652031</v>
      </c>
      <c r="B113" s="306" t="str">
        <f>+G109</f>
        <v>Tijdelijk beheer</v>
      </c>
      <c r="C113" s="336"/>
      <c r="D113" s="337">
        <v>43812</v>
      </c>
      <c r="E113" s="337" t="s">
        <v>2613</v>
      </c>
      <c r="F113" s="337"/>
      <c r="G113" s="115" t="s">
        <v>5132</v>
      </c>
      <c r="I113" s="318"/>
      <c r="J113" s="318">
        <v>2094.6075494307966</v>
      </c>
      <c r="K113" s="318">
        <v>0</v>
      </c>
      <c r="L113" s="318">
        <f t="shared" si="79"/>
        <v>0</v>
      </c>
      <c r="M113" s="318">
        <f t="shared" si="79"/>
        <v>0</v>
      </c>
      <c r="N113" s="318">
        <f t="shared" ref="N113:O113" si="82">N360</f>
        <v>0</v>
      </c>
      <c r="O113" s="318">
        <f t="shared" si="82"/>
        <v>0</v>
      </c>
      <c r="P113" s="114"/>
      <c r="Q113" s="114"/>
      <c r="R113" s="114"/>
      <c r="S113" s="81"/>
    </row>
    <row r="114" spans="1:19" ht="12.75" customHeight="1" x14ac:dyDescent="0.3">
      <c r="A114" s="336">
        <f>+D109</f>
        <v>652031</v>
      </c>
      <c r="B114" s="306" t="str">
        <f>+G109</f>
        <v>Tijdelijk beheer</v>
      </c>
      <c r="C114" s="336"/>
      <c r="D114" s="337">
        <v>43812</v>
      </c>
      <c r="E114" s="337" t="s">
        <v>2619</v>
      </c>
      <c r="F114" s="337"/>
      <c r="G114" s="115" t="s">
        <v>5132</v>
      </c>
      <c r="I114" s="318"/>
      <c r="J114" s="318">
        <v>5679.0006385489505</v>
      </c>
      <c r="K114" s="318">
        <v>5324.2099174867544</v>
      </c>
      <c r="L114" s="318">
        <f t="shared" si="79"/>
        <v>5509.6184895815895</v>
      </c>
      <c r="M114" s="318">
        <f t="shared" si="79"/>
        <v>0</v>
      </c>
      <c r="N114" s="318">
        <f t="shared" ref="N114:O114" si="83">N361</f>
        <v>0</v>
      </c>
      <c r="O114" s="318">
        <f t="shared" si="83"/>
        <v>0</v>
      </c>
      <c r="P114" s="114"/>
      <c r="Q114" s="114"/>
      <c r="R114" s="114"/>
      <c r="S114" s="81"/>
    </row>
    <row r="115" spans="1:19" ht="12.75" customHeight="1" x14ac:dyDescent="0.3">
      <c r="A115" s="336">
        <f>+D109</f>
        <v>652031</v>
      </c>
      <c r="B115" s="336" t="str">
        <f>+G109</f>
        <v>Tijdelijk beheer</v>
      </c>
      <c r="C115" s="336"/>
      <c r="D115" s="337">
        <v>43812</v>
      </c>
      <c r="E115" s="337" t="s">
        <v>2615</v>
      </c>
      <c r="F115" s="337"/>
      <c r="G115" s="115" t="s">
        <v>5132</v>
      </c>
      <c r="I115" s="318"/>
      <c r="J115" s="318">
        <v>2138.7981931244867</v>
      </c>
      <c r="K115" s="318">
        <v>2146.0185145805867</v>
      </c>
      <c r="L115" s="318">
        <f t="shared" si="79"/>
        <v>2221.1986219255186</v>
      </c>
      <c r="M115" s="318">
        <f t="shared" si="79"/>
        <v>2282.3922566793067</v>
      </c>
      <c r="N115" s="318">
        <f t="shared" ref="N115:O115" si="84">N362</f>
        <v>2308.965532326773</v>
      </c>
      <c r="O115" s="318">
        <f t="shared" si="84"/>
        <v>2308.965532326773</v>
      </c>
      <c r="P115" s="114"/>
      <c r="Q115" s="114"/>
      <c r="R115" s="114"/>
      <c r="S115" s="81"/>
    </row>
    <row r="116" spans="1:19" ht="12.75" customHeight="1" x14ac:dyDescent="0.3">
      <c r="A116" s="336">
        <f>+D109</f>
        <v>652031</v>
      </c>
      <c r="B116" s="336" t="str">
        <f>+G109</f>
        <v>Tijdelijk beheer</v>
      </c>
      <c r="C116" s="336"/>
      <c r="D116" s="337">
        <v>43812</v>
      </c>
      <c r="E116" s="337" t="s">
        <v>5127</v>
      </c>
      <c r="F116" s="337"/>
      <c r="G116" s="115" t="s">
        <v>5132</v>
      </c>
      <c r="I116" s="318"/>
      <c r="J116" s="318">
        <v>1581.7080745341616</v>
      </c>
      <c r="K116" s="318">
        <v>0</v>
      </c>
      <c r="L116" s="318">
        <f t="shared" si="79"/>
        <v>0</v>
      </c>
      <c r="M116" s="318">
        <f t="shared" si="79"/>
        <v>0</v>
      </c>
      <c r="N116" s="318">
        <f t="shared" ref="N116:O116" si="85">N363</f>
        <v>0</v>
      </c>
      <c r="O116" s="318">
        <f t="shared" si="85"/>
        <v>0</v>
      </c>
      <c r="P116" s="114"/>
      <c r="Q116" s="114"/>
      <c r="R116" s="114"/>
      <c r="S116" s="81"/>
    </row>
    <row r="117" spans="1:19" ht="12.75" customHeight="1" thickBot="1" x14ac:dyDescent="0.3">
      <c r="D117" s="340"/>
      <c r="E117" s="340"/>
      <c r="F117" s="340"/>
      <c r="G117" s="115" t="s">
        <v>536</v>
      </c>
      <c r="I117" s="318"/>
      <c r="J117" s="342">
        <v>14444.352033100387</v>
      </c>
      <c r="K117" s="342">
        <v>15354.004643160726</v>
      </c>
      <c r="L117" s="342">
        <f t="shared" ref="L117:M117" si="86">SUM(L111:L116)</f>
        <v>14893.952604024584</v>
      </c>
      <c r="M117" s="342">
        <f t="shared" si="86"/>
        <v>9641.0795029401743</v>
      </c>
      <c r="N117" s="342">
        <f t="shared" ref="N117:O117" si="87">SUM(N111:N116)</f>
        <v>9813.7632023037859</v>
      </c>
      <c r="O117" s="342">
        <f t="shared" si="87"/>
        <v>9813.7632023037859</v>
      </c>
      <c r="P117" s="114"/>
      <c r="Q117" s="114"/>
      <c r="R117" s="114"/>
      <c r="S117" s="381"/>
    </row>
    <row r="118" spans="1:19" ht="12.75" customHeight="1" thickTop="1" x14ac:dyDescent="0.25">
      <c r="D118" s="340"/>
      <c r="E118" s="340"/>
      <c r="F118" s="340"/>
      <c r="I118" s="318"/>
      <c r="J118" s="317"/>
      <c r="K118" s="317"/>
      <c r="L118" s="317"/>
      <c r="M118" s="317"/>
      <c r="N118" s="317"/>
      <c r="O118" s="317"/>
      <c r="P118" s="114"/>
      <c r="Q118" s="114"/>
      <c r="R118" s="114"/>
    </row>
    <row r="119" spans="1:19" ht="12.75" customHeight="1" x14ac:dyDescent="0.25">
      <c r="D119" s="340"/>
      <c r="E119" s="340"/>
      <c r="F119" s="340"/>
      <c r="I119" s="318"/>
      <c r="J119" s="317"/>
      <c r="K119" s="317"/>
      <c r="L119" s="317"/>
      <c r="M119" s="317"/>
      <c r="N119" s="317"/>
      <c r="O119" s="317"/>
      <c r="P119" s="114"/>
      <c r="Q119" s="114"/>
      <c r="R119" s="114"/>
    </row>
    <row r="120" spans="1:19" ht="12.75" customHeight="1" x14ac:dyDescent="0.25">
      <c r="D120" s="340"/>
      <c r="E120" s="340"/>
      <c r="F120" s="340"/>
      <c r="I120" s="318"/>
      <c r="J120" s="317"/>
      <c r="K120" s="317"/>
      <c r="L120" s="317"/>
      <c r="M120" s="317"/>
      <c r="N120" s="317"/>
      <c r="O120" s="317"/>
      <c r="P120" s="114"/>
      <c r="Q120" s="114"/>
      <c r="R120" s="114"/>
    </row>
    <row r="121" spans="1:19" ht="12.75" customHeight="1" x14ac:dyDescent="0.25">
      <c r="D121" s="340"/>
      <c r="E121" s="340"/>
      <c r="F121" s="340"/>
      <c r="I121" s="318"/>
      <c r="J121" s="1977">
        <v>2025</v>
      </c>
      <c r="K121" s="1977">
        <v>2026</v>
      </c>
      <c r="L121" s="1977">
        <v>2027</v>
      </c>
      <c r="M121" s="1977">
        <v>2028</v>
      </c>
      <c r="N121" s="1977">
        <v>2029</v>
      </c>
      <c r="O121" s="1977">
        <v>2030</v>
      </c>
      <c r="P121" s="114"/>
      <c r="Q121" s="114"/>
      <c r="R121" s="114"/>
    </row>
    <row r="122" spans="1:19" ht="12.75" customHeight="1" x14ac:dyDescent="0.25">
      <c r="D122" s="333">
        <v>652030</v>
      </c>
      <c r="E122" s="331"/>
      <c r="F122" s="331"/>
      <c r="G122" s="381" t="s">
        <v>5133</v>
      </c>
      <c r="I122" s="316"/>
      <c r="J122" s="2017"/>
      <c r="K122" s="2017"/>
      <c r="L122" s="2017"/>
      <c r="M122" s="2018"/>
      <c r="N122" s="2018"/>
      <c r="O122" s="2018"/>
    </row>
    <row r="123" spans="1:19" ht="12.75" customHeight="1" x14ac:dyDescent="0.25">
      <c r="D123" s="340"/>
      <c r="E123" s="340"/>
      <c r="F123" s="340"/>
      <c r="G123" s="383" t="s">
        <v>533</v>
      </c>
      <c r="I123" s="316"/>
      <c r="J123" s="335"/>
      <c r="K123" s="335"/>
      <c r="L123" s="335"/>
      <c r="M123" s="335"/>
      <c r="N123" s="335"/>
      <c r="O123" s="335"/>
    </row>
    <row r="124" spans="1:19" ht="12.75" customHeight="1" x14ac:dyDescent="0.25">
      <c r="A124" s="336">
        <f>+D122</f>
        <v>652030</v>
      </c>
      <c r="B124" s="306" t="str">
        <f>+G122</f>
        <v>Mutatie bouwgrondexploitatie</v>
      </c>
      <c r="C124" s="301"/>
      <c r="D124" s="337">
        <v>47501</v>
      </c>
      <c r="E124" s="337"/>
      <c r="F124" s="524"/>
      <c r="G124" s="526" t="s">
        <v>5134</v>
      </c>
      <c r="I124" s="318"/>
      <c r="J124" s="318">
        <v>727075</v>
      </c>
      <c r="K124" s="318">
        <v>-302862</v>
      </c>
      <c r="L124" s="318">
        <f t="shared" ref="L124:M134" si="88">L343</f>
        <v>0</v>
      </c>
      <c r="M124" s="318">
        <f t="shared" si="88"/>
        <v>0</v>
      </c>
      <c r="N124" s="318">
        <f t="shared" ref="N124:O124" si="89">N343</f>
        <v>0</v>
      </c>
      <c r="O124" s="318">
        <f t="shared" si="89"/>
        <v>0</v>
      </c>
      <c r="P124" s="114"/>
      <c r="Q124" s="114"/>
      <c r="R124" s="114" t="s">
        <v>2609</v>
      </c>
    </row>
    <row r="125" spans="1:19" ht="12.75" customHeight="1" x14ac:dyDescent="0.25">
      <c r="A125" s="336">
        <f>+D122</f>
        <v>652030</v>
      </c>
      <c r="B125" s="306" t="str">
        <f>+G122</f>
        <v>Mutatie bouwgrondexploitatie</v>
      </c>
      <c r="C125" s="301"/>
      <c r="D125" s="337">
        <v>47501</v>
      </c>
      <c r="E125" s="337"/>
      <c r="F125" s="524"/>
      <c r="G125" s="526" t="s">
        <v>5134</v>
      </c>
      <c r="I125" s="318"/>
      <c r="J125" s="318">
        <v>-120180</v>
      </c>
      <c r="K125" s="318">
        <v>4416574</v>
      </c>
      <c r="L125" s="318">
        <f t="shared" si="88"/>
        <v>6678905.0000000009</v>
      </c>
      <c r="M125" s="318">
        <f t="shared" si="88"/>
        <v>3133999</v>
      </c>
      <c r="N125" s="318">
        <f t="shared" ref="N125:O125" si="90">N344</f>
        <v>-1877244.0000000009</v>
      </c>
      <c r="O125" s="318">
        <f t="shared" si="90"/>
        <v>-1877244.0000000009</v>
      </c>
      <c r="P125" s="114"/>
      <c r="Q125" s="114"/>
      <c r="R125" s="114" t="s">
        <v>2611</v>
      </c>
    </row>
    <row r="126" spans="1:19" ht="12.75" customHeight="1" x14ac:dyDescent="0.25">
      <c r="A126" s="336">
        <f>+D122</f>
        <v>652030</v>
      </c>
      <c r="B126" s="306" t="str">
        <f>+G122</f>
        <v>Mutatie bouwgrondexploitatie</v>
      </c>
      <c r="C126" s="301"/>
      <c r="D126" s="337">
        <v>47501</v>
      </c>
      <c r="E126" s="337"/>
      <c r="F126" s="524"/>
      <c r="G126" s="526" t="s">
        <v>5134</v>
      </c>
      <c r="I126" s="318"/>
      <c r="J126" s="318">
        <v>-115219.99999999999</v>
      </c>
      <c r="K126" s="318">
        <v>0</v>
      </c>
      <c r="L126" s="318">
        <f t="shared" si="88"/>
        <v>0</v>
      </c>
      <c r="M126" s="318">
        <f t="shared" si="88"/>
        <v>0</v>
      </c>
      <c r="N126" s="318">
        <f t="shared" ref="N126:O126" si="91">N345</f>
        <v>0</v>
      </c>
      <c r="O126" s="318">
        <f t="shared" si="91"/>
        <v>0</v>
      </c>
      <c r="P126" s="114"/>
      <c r="Q126" s="114"/>
      <c r="R126" s="114" t="s">
        <v>2613</v>
      </c>
    </row>
    <row r="127" spans="1:19" ht="12.75" customHeight="1" x14ac:dyDescent="0.25">
      <c r="A127" s="336">
        <f>+D122</f>
        <v>652030</v>
      </c>
      <c r="B127" s="306" t="str">
        <f>+G122</f>
        <v>Mutatie bouwgrondexploitatie</v>
      </c>
      <c r="C127" s="301"/>
      <c r="D127" s="337">
        <v>47501</v>
      </c>
      <c r="E127" s="337"/>
      <c r="F127" s="524"/>
      <c r="G127" s="526" t="s">
        <v>5134</v>
      </c>
      <c r="I127" s="318"/>
      <c r="J127" s="318">
        <v>6065126.9999999991</v>
      </c>
      <c r="K127" s="318">
        <v>1577642</v>
      </c>
      <c r="L127" s="318">
        <f t="shared" si="88"/>
        <v>-1636997</v>
      </c>
      <c r="M127" s="318">
        <f t="shared" si="88"/>
        <v>0</v>
      </c>
      <c r="N127" s="318">
        <f t="shared" ref="N127:O127" si="92">N346</f>
        <v>0</v>
      </c>
      <c r="O127" s="318">
        <f t="shared" si="92"/>
        <v>0</v>
      </c>
      <c r="P127" s="114"/>
      <c r="Q127" s="114"/>
      <c r="R127" s="114" t="s">
        <v>2619</v>
      </c>
    </row>
    <row r="128" spans="1:19" ht="12.75" customHeight="1" x14ac:dyDescent="0.25">
      <c r="A128" s="336">
        <v>652030</v>
      </c>
      <c r="B128" s="306" t="s">
        <v>5133</v>
      </c>
      <c r="C128" s="301"/>
      <c r="D128" s="337">
        <v>47501</v>
      </c>
      <c r="E128" s="337"/>
      <c r="F128" s="524"/>
      <c r="G128" s="526" t="s">
        <v>5134</v>
      </c>
      <c r="I128" s="318"/>
      <c r="J128" s="318">
        <v>-91487.999999999985</v>
      </c>
      <c r="K128" s="318">
        <v>-94064.073009257292</v>
      </c>
      <c r="L128" s="318">
        <f t="shared" si="88"/>
        <v>1928590.8894006889</v>
      </c>
      <c r="M128" s="318">
        <f t="shared" si="88"/>
        <v>-143218</v>
      </c>
      <c r="N128" s="318">
        <f t="shared" ref="N128:O128" si="93">N347</f>
        <v>-1067531.0000000002</v>
      </c>
      <c r="O128" s="318">
        <f t="shared" si="93"/>
        <v>-1067531.0000000002</v>
      </c>
      <c r="P128" s="114"/>
      <c r="Q128" s="114"/>
      <c r="R128" s="114" t="s">
        <v>2615</v>
      </c>
    </row>
    <row r="129" spans="1:23" ht="12.75" customHeight="1" x14ac:dyDescent="0.25">
      <c r="A129" s="336">
        <v>652030</v>
      </c>
      <c r="B129" s="306" t="s">
        <v>5133</v>
      </c>
      <c r="C129" s="301"/>
      <c r="D129" s="337">
        <v>47501</v>
      </c>
      <c r="E129" s="337"/>
      <c r="F129" s="524"/>
      <c r="G129" s="526" t="s">
        <v>5134</v>
      </c>
      <c r="I129" s="318"/>
      <c r="J129" s="318">
        <v>-86567.000000000015</v>
      </c>
      <c r="K129" s="318">
        <v>0</v>
      </c>
      <c r="L129" s="318">
        <f t="shared" si="88"/>
        <v>0</v>
      </c>
      <c r="M129" s="318">
        <f t="shared" si="88"/>
        <v>0</v>
      </c>
      <c r="N129" s="318">
        <f t="shared" ref="N129:O129" si="94">N348</f>
        <v>0</v>
      </c>
      <c r="O129" s="318">
        <f t="shared" si="94"/>
        <v>0</v>
      </c>
      <c r="P129" s="114"/>
      <c r="Q129" s="114"/>
      <c r="R129" s="114" t="s">
        <v>5127</v>
      </c>
    </row>
    <row r="130" spans="1:23" ht="12.75" customHeight="1" x14ac:dyDescent="0.25">
      <c r="A130" s="336">
        <v>652030</v>
      </c>
      <c r="B130" s="306" t="s">
        <v>5133</v>
      </c>
      <c r="C130" s="301"/>
      <c r="D130" s="337">
        <v>47501</v>
      </c>
      <c r="E130" s="337"/>
      <c r="F130" s="524"/>
      <c r="G130" s="526" t="s">
        <v>5134</v>
      </c>
      <c r="I130" s="318"/>
      <c r="J130" s="318">
        <v>156566</v>
      </c>
      <c r="K130" s="318">
        <v>160017</v>
      </c>
      <c r="L130" s="318">
        <f t="shared" si="88"/>
        <v>0</v>
      </c>
      <c r="M130" s="318">
        <f t="shared" si="88"/>
        <v>0</v>
      </c>
      <c r="N130" s="318">
        <f t="shared" ref="N130:O130" si="95">N349</f>
        <v>0</v>
      </c>
      <c r="O130" s="318">
        <f t="shared" si="95"/>
        <v>0</v>
      </c>
      <c r="P130" s="114"/>
      <c r="Q130" s="114"/>
      <c r="R130" s="114" t="s">
        <v>2609</v>
      </c>
    </row>
    <row r="131" spans="1:23" ht="12.75" customHeight="1" x14ac:dyDescent="0.25">
      <c r="A131" s="336">
        <v>652030</v>
      </c>
      <c r="B131" s="306" t="s">
        <v>5133</v>
      </c>
      <c r="C131" s="301"/>
      <c r="D131" s="337">
        <v>47501</v>
      </c>
      <c r="E131" s="337"/>
      <c r="F131" s="524"/>
      <c r="G131" s="526" t="s">
        <v>5134</v>
      </c>
      <c r="I131" s="318"/>
      <c r="J131" s="318">
        <v>189476</v>
      </c>
      <c r="K131" s="318">
        <v>211987</v>
      </c>
      <c r="L131" s="318">
        <f t="shared" si="88"/>
        <v>216227</v>
      </c>
      <c r="M131" s="318">
        <f t="shared" si="88"/>
        <v>220551</v>
      </c>
      <c r="N131" s="318">
        <f t="shared" ref="N131:O131" si="96">N350</f>
        <v>224962</v>
      </c>
      <c r="O131" s="318">
        <f t="shared" si="96"/>
        <v>224962</v>
      </c>
      <c r="P131" s="114"/>
      <c r="Q131" s="114"/>
      <c r="R131" s="114" t="s">
        <v>2611</v>
      </c>
    </row>
    <row r="132" spans="1:23" ht="12.75" customHeight="1" x14ac:dyDescent="0.25">
      <c r="A132" s="336">
        <v>652030</v>
      </c>
      <c r="B132" s="306" t="s">
        <v>5133</v>
      </c>
      <c r="C132" s="301"/>
      <c r="D132" s="337">
        <v>47501</v>
      </c>
      <c r="E132" s="337"/>
      <c r="F132" s="524"/>
      <c r="G132" s="526" t="s">
        <v>5134</v>
      </c>
      <c r="I132" s="318"/>
      <c r="J132" s="318">
        <v>55629</v>
      </c>
      <c r="K132" s="318">
        <v>0</v>
      </c>
      <c r="L132" s="318">
        <f t="shared" si="88"/>
        <v>0</v>
      </c>
      <c r="M132" s="318">
        <f t="shared" si="88"/>
        <v>0</v>
      </c>
      <c r="N132" s="318">
        <f t="shared" ref="N132:O132" si="97">N351</f>
        <v>0</v>
      </c>
      <c r="O132" s="318">
        <f t="shared" si="97"/>
        <v>0</v>
      </c>
      <c r="P132" s="114"/>
      <c r="Q132" s="114"/>
      <c r="R132" s="114" t="s">
        <v>2613</v>
      </c>
    </row>
    <row r="133" spans="1:23" ht="12.75" customHeight="1" x14ac:dyDescent="0.25">
      <c r="A133" s="336">
        <v>652030</v>
      </c>
      <c r="B133" s="306" t="s">
        <v>5133</v>
      </c>
      <c r="C133" s="301"/>
      <c r="D133" s="337">
        <v>47501</v>
      </c>
      <c r="E133" s="337"/>
      <c r="F133" s="524"/>
      <c r="G133" s="526" t="s">
        <v>5134</v>
      </c>
      <c r="I133" s="318"/>
      <c r="J133" s="318">
        <v>90447</v>
      </c>
      <c r="K133" s="318">
        <v>95196</v>
      </c>
      <c r="L133" s="318">
        <f t="shared" si="88"/>
        <v>97100</v>
      </c>
      <c r="M133" s="318">
        <f t="shared" si="88"/>
        <v>99042</v>
      </c>
      <c r="N133" s="318">
        <f t="shared" ref="N133:O133" si="98">N352</f>
        <v>101023</v>
      </c>
      <c r="O133" s="318">
        <f t="shared" si="98"/>
        <v>101023</v>
      </c>
      <c r="P133" s="114"/>
      <c r="Q133" s="114"/>
      <c r="R133" s="114" t="s">
        <v>2615</v>
      </c>
    </row>
    <row r="134" spans="1:23" ht="12.75" customHeight="1" x14ac:dyDescent="0.25">
      <c r="A134" s="336">
        <v>652030</v>
      </c>
      <c r="B134" s="306" t="s">
        <v>5133</v>
      </c>
      <c r="C134" s="301"/>
      <c r="D134" s="337">
        <v>47501</v>
      </c>
      <c r="E134" s="337"/>
      <c r="F134" s="524"/>
      <c r="G134" s="526" t="s">
        <v>5134</v>
      </c>
      <c r="I134" s="318"/>
      <c r="J134" s="318">
        <v>10372</v>
      </c>
      <c r="K134" s="318">
        <v>0</v>
      </c>
      <c r="L134" s="318">
        <f t="shared" si="88"/>
        <v>0</v>
      </c>
      <c r="M134" s="318">
        <f t="shared" si="88"/>
        <v>0</v>
      </c>
      <c r="N134" s="318">
        <f t="shared" ref="N134:O134" si="99">N353</f>
        <v>0</v>
      </c>
      <c r="O134" s="318">
        <f t="shared" si="99"/>
        <v>0</v>
      </c>
      <c r="P134" s="114"/>
      <c r="Q134" s="114"/>
      <c r="R134" s="114" t="s">
        <v>5127</v>
      </c>
    </row>
    <row r="135" spans="1:23" ht="12.6" customHeight="1" thickBot="1" x14ac:dyDescent="0.3">
      <c r="D135" s="340"/>
      <c r="E135" s="340"/>
      <c r="F135" s="340"/>
      <c r="G135" s="115" t="s">
        <v>536</v>
      </c>
      <c r="I135" s="318"/>
      <c r="J135" s="480">
        <v>6881236.9999999991</v>
      </c>
      <c r="K135" s="480">
        <v>6064489.9269907428</v>
      </c>
      <c r="L135" s="480">
        <f>SUM(L124:L134)</f>
        <v>7283825.8894006899</v>
      </c>
      <c r="M135" s="480">
        <f>SUM(M124:M134)</f>
        <v>3310374</v>
      </c>
      <c r="N135" s="480">
        <f>SUM(N124:N134)</f>
        <v>-2618790.0000000009</v>
      </c>
      <c r="O135" s="480">
        <f>SUM(O124:O134)</f>
        <v>-2618790.0000000009</v>
      </c>
      <c r="P135" s="114"/>
      <c r="Q135" s="114"/>
      <c r="R135" s="114"/>
    </row>
    <row r="136" spans="1:23" ht="12.75" customHeight="1" thickTop="1" x14ac:dyDescent="0.25">
      <c r="D136" s="352"/>
      <c r="E136" s="352"/>
      <c r="F136" s="352"/>
      <c r="G136" s="355"/>
      <c r="H136" s="355"/>
      <c r="I136" s="316"/>
      <c r="J136" s="335"/>
      <c r="K136" s="335"/>
      <c r="L136" s="335"/>
      <c r="M136" s="335"/>
      <c r="N136" s="335"/>
      <c r="O136" s="335"/>
    </row>
    <row r="137" spans="1:23" ht="12.75" customHeight="1" x14ac:dyDescent="0.25">
      <c r="D137" s="352"/>
      <c r="E137" s="352"/>
      <c r="F137" s="352"/>
      <c r="G137" s="355"/>
      <c r="H137" s="355"/>
      <c r="I137" s="316"/>
      <c r="J137" s="335"/>
      <c r="K137" s="335"/>
      <c r="L137" s="335"/>
      <c r="M137" s="335"/>
      <c r="N137" s="335"/>
      <c r="O137" s="335"/>
    </row>
    <row r="138" spans="1:23" ht="12.75" customHeight="1" x14ac:dyDescent="0.25">
      <c r="D138" s="333">
        <v>652901</v>
      </c>
      <c r="E138" s="331"/>
      <c r="F138" s="331"/>
      <c r="G138" s="381" t="s">
        <v>5135</v>
      </c>
      <c r="I138" s="316"/>
      <c r="J138" s="335"/>
      <c r="K138" s="335"/>
      <c r="L138" s="335"/>
      <c r="M138" s="335"/>
      <c r="N138" s="335"/>
      <c r="O138" s="335"/>
    </row>
    <row r="139" spans="1:23" ht="12.75" customHeight="1" x14ac:dyDescent="0.25">
      <c r="D139" s="340"/>
      <c r="E139" s="340"/>
      <c r="F139" s="340"/>
      <c r="G139" s="383" t="s">
        <v>533</v>
      </c>
      <c r="I139" s="316"/>
      <c r="J139" s="335"/>
      <c r="K139" s="335"/>
      <c r="L139" s="335"/>
      <c r="M139" s="335"/>
      <c r="N139" s="335"/>
      <c r="O139" s="335"/>
      <c r="S139" s="1977"/>
      <c r="T139" s="527"/>
      <c r="U139" s="527"/>
      <c r="V139" s="527"/>
      <c r="W139" s="527"/>
    </row>
    <row r="140" spans="1:23" ht="12.75" customHeight="1" x14ac:dyDescent="0.25">
      <c r="A140" s="336">
        <f>+D138</f>
        <v>652901</v>
      </c>
      <c r="B140" s="306" t="str">
        <f>+G138</f>
        <v>Directe toerekening planontwikkeling</v>
      </c>
      <c r="C140" s="301"/>
      <c r="D140" s="340">
        <v>41100</v>
      </c>
      <c r="E140" s="340" t="s">
        <v>2609</v>
      </c>
      <c r="F140" s="524"/>
      <c r="G140" s="115" t="s">
        <v>541</v>
      </c>
      <c r="I140" s="318"/>
      <c r="J140" s="318">
        <v>8127.2237489320833</v>
      </c>
      <c r="K140" s="318">
        <v>2481.4233609841467</v>
      </c>
      <c r="L140" s="318">
        <f t="shared" ref="L140:N145" si="100">L245-L146</f>
        <v>0</v>
      </c>
      <c r="M140" s="318">
        <f t="shared" si="100"/>
        <v>0</v>
      </c>
      <c r="N140" s="318">
        <f t="shared" si="100"/>
        <v>0</v>
      </c>
      <c r="O140" s="318">
        <f t="shared" ref="O140" si="101">O245-O146</f>
        <v>0</v>
      </c>
      <c r="S140" s="151"/>
      <c r="T140" s="151"/>
      <c r="U140" s="151"/>
      <c r="V140" s="151"/>
      <c r="W140" s="151"/>
    </row>
    <row r="141" spans="1:23" ht="12.75" customHeight="1" x14ac:dyDescent="0.25">
      <c r="A141" s="336">
        <f>+D138</f>
        <v>652901</v>
      </c>
      <c r="B141" s="306" t="str">
        <f>+G138</f>
        <v>Directe toerekening planontwikkeling</v>
      </c>
      <c r="C141" s="301"/>
      <c r="D141" s="340">
        <v>41100</v>
      </c>
      <c r="E141" s="340" t="s">
        <v>2611</v>
      </c>
      <c r="F141" s="524"/>
      <c r="G141" s="115" t="s">
        <v>541</v>
      </c>
      <c r="I141" s="318"/>
      <c r="J141" s="318">
        <v>68301.690607005992</v>
      </c>
      <c r="K141" s="318">
        <v>22568.694438214181</v>
      </c>
      <c r="L141" s="318">
        <f t="shared" si="100"/>
        <v>-19962.086943879025</v>
      </c>
      <c r="M141" s="318">
        <f t="shared" si="100"/>
        <v>-110138.39480415831</v>
      </c>
      <c r="N141" s="318">
        <f t="shared" si="100"/>
        <v>-158912.05760915729</v>
      </c>
      <c r="O141" s="318">
        <f t="shared" ref="O141" si="102">O246-O147</f>
        <v>-158912.05760915729</v>
      </c>
      <c r="S141" s="151"/>
      <c r="T141" s="151"/>
      <c r="U141" s="151"/>
      <c r="V141" s="151"/>
      <c r="W141" s="151"/>
    </row>
    <row r="142" spans="1:23" ht="12.75" customHeight="1" x14ac:dyDescent="0.25">
      <c r="A142" s="336">
        <f>+D138</f>
        <v>652901</v>
      </c>
      <c r="B142" s="306" t="str">
        <f>+G138</f>
        <v>Directe toerekening planontwikkeling</v>
      </c>
      <c r="C142" s="301"/>
      <c r="D142" s="340">
        <v>41100</v>
      </c>
      <c r="E142" s="340" t="s">
        <v>2613</v>
      </c>
      <c r="F142" s="524"/>
      <c r="G142" s="115" t="s">
        <v>541</v>
      </c>
      <c r="I142" s="318"/>
      <c r="J142" s="318">
        <v>3598.7018002738969</v>
      </c>
      <c r="K142" s="318">
        <v>0</v>
      </c>
      <c r="L142" s="318">
        <f t="shared" si="100"/>
        <v>0</v>
      </c>
      <c r="M142" s="318">
        <f t="shared" si="100"/>
        <v>0</v>
      </c>
      <c r="N142" s="318">
        <f t="shared" si="100"/>
        <v>0</v>
      </c>
      <c r="O142" s="318">
        <f t="shared" ref="O142" si="103">O247-O148</f>
        <v>0</v>
      </c>
      <c r="P142" s="114"/>
      <c r="Q142" s="114"/>
      <c r="R142" s="114"/>
      <c r="S142" s="151"/>
      <c r="T142" s="151"/>
      <c r="U142" s="151"/>
      <c r="V142" s="151"/>
      <c r="W142" s="151"/>
    </row>
    <row r="143" spans="1:23" ht="12.75" customHeight="1" x14ac:dyDescent="0.25">
      <c r="A143" s="336">
        <f>+D138</f>
        <v>652901</v>
      </c>
      <c r="B143" s="306" t="str">
        <f>+G138</f>
        <v>Directe toerekening planontwikkeling</v>
      </c>
      <c r="C143" s="301"/>
      <c r="D143" s="340">
        <v>41100</v>
      </c>
      <c r="E143" s="340" t="s">
        <v>2619</v>
      </c>
      <c r="F143" s="524"/>
      <c r="G143" s="115" t="s">
        <v>541</v>
      </c>
      <c r="I143" s="318"/>
      <c r="J143" s="318">
        <v>20025.050486919499</v>
      </c>
      <c r="K143" s="318">
        <v>4348.9043910124965</v>
      </c>
      <c r="L143" s="318">
        <f t="shared" si="100"/>
        <v>-2779.8859431227611</v>
      </c>
      <c r="M143" s="318">
        <f t="shared" si="100"/>
        <v>0</v>
      </c>
      <c r="N143" s="318">
        <f t="shared" si="100"/>
        <v>0</v>
      </c>
      <c r="O143" s="318">
        <f t="shared" ref="O143" si="104">O248-O149</f>
        <v>0</v>
      </c>
      <c r="P143" s="114"/>
      <c r="Q143" s="114"/>
      <c r="R143" s="114"/>
      <c r="S143" s="151"/>
      <c r="T143" s="151"/>
      <c r="U143" s="151"/>
      <c r="V143" s="151"/>
      <c r="W143" s="151"/>
    </row>
    <row r="144" spans="1:23" ht="12.75" customHeight="1" x14ac:dyDescent="0.25">
      <c r="A144" s="479">
        <v>652901</v>
      </c>
      <c r="B144" s="306" t="s">
        <v>5135</v>
      </c>
      <c r="C144" s="301"/>
      <c r="D144" s="340">
        <v>41100</v>
      </c>
      <c r="E144" s="340" t="s">
        <v>2615</v>
      </c>
      <c r="F144" s="524"/>
      <c r="G144" s="115" t="s">
        <v>541</v>
      </c>
      <c r="I144" s="318"/>
      <c r="J144" s="318">
        <v>10252.911888434872</v>
      </c>
      <c r="K144" s="318">
        <v>3597.4109815894917</v>
      </c>
      <c r="L144" s="318">
        <f t="shared" si="100"/>
        <v>-4047.4788350333547</v>
      </c>
      <c r="M144" s="318">
        <f t="shared" si="100"/>
        <v>-9074.2996372380294</v>
      </c>
      <c r="N144" s="318">
        <f t="shared" si="100"/>
        <v>-10960.128651495543</v>
      </c>
      <c r="O144" s="318">
        <f t="shared" ref="O144" si="105">O249-O150</f>
        <v>-10960.128651495543</v>
      </c>
      <c r="P144" s="114"/>
      <c r="Q144" s="114"/>
      <c r="R144" s="114"/>
      <c r="S144" s="151"/>
      <c r="T144" s="151"/>
      <c r="U144" s="151"/>
      <c r="V144" s="151"/>
      <c r="W144" s="151"/>
    </row>
    <row r="145" spans="1:23" ht="12.75" customHeight="1" x14ac:dyDescent="0.25">
      <c r="A145" s="479">
        <v>652901</v>
      </c>
      <c r="B145" s="306" t="s">
        <v>5135</v>
      </c>
      <c r="C145" s="301"/>
      <c r="D145" s="340">
        <v>41100</v>
      </c>
      <c r="E145" s="528" t="s">
        <v>5127</v>
      </c>
      <c r="F145" s="524"/>
      <c r="G145" s="115" t="s">
        <v>541</v>
      </c>
      <c r="I145" s="318"/>
      <c r="J145" s="318">
        <v>6944.9293289994275</v>
      </c>
      <c r="K145" s="318">
        <v>0</v>
      </c>
      <c r="L145" s="318">
        <f t="shared" si="100"/>
        <v>0</v>
      </c>
      <c r="M145" s="318">
        <f t="shared" si="100"/>
        <v>0</v>
      </c>
      <c r="N145" s="318">
        <f t="shared" si="100"/>
        <v>0</v>
      </c>
      <c r="O145" s="318">
        <f t="shared" ref="O145" si="106">O250-O151</f>
        <v>0</v>
      </c>
      <c r="P145" s="114"/>
      <c r="Q145" s="114"/>
      <c r="R145" s="114"/>
      <c r="S145" s="151"/>
      <c r="T145" s="151"/>
      <c r="U145" s="151"/>
      <c r="V145" s="151"/>
      <c r="W145" s="151"/>
    </row>
    <row r="146" spans="1:23" ht="12.75" customHeight="1" x14ac:dyDescent="0.25">
      <c r="A146" s="479">
        <v>652901</v>
      </c>
      <c r="B146" s="306" t="s">
        <v>5135</v>
      </c>
      <c r="C146" s="301"/>
      <c r="D146" s="528">
        <v>47501</v>
      </c>
      <c r="E146" s="528" t="s">
        <v>2609</v>
      </c>
      <c r="F146" s="524"/>
      <c r="G146" s="526" t="s">
        <v>5136</v>
      </c>
      <c r="I146" s="318"/>
      <c r="J146" s="318">
        <v>31040.592304735583</v>
      </c>
      <c r="K146" s="318">
        <v>33445.005616454939</v>
      </c>
      <c r="L146" s="318">
        <f t="shared" ref="L146:L151" si="107">(L245/$L$251*$L$240)</f>
        <v>0</v>
      </c>
      <c r="M146" s="318">
        <f t="shared" ref="M146:M151" si="108">(M245/$M$251*$M$240)</f>
        <v>0</v>
      </c>
      <c r="N146" s="318">
        <f t="shared" ref="N146:N149" si="109">(N245/N$251*N$240)</f>
        <v>0</v>
      </c>
      <c r="O146" s="318">
        <f>(O245/$O$251*$O$240)</f>
        <v>0</v>
      </c>
      <c r="P146" s="114"/>
      <c r="Q146" s="114"/>
      <c r="R146" s="114"/>
      <c r="S146" s="151"/>
    </row>
    <row r="147" spans="1:23" ht="12.75" customHeight="1" x14ac:dyDescent="0.25">
      <c r="A147" s="479">
        <v>652901</v>
      </c>
      <c r="B147" s="306" t="s">
        <v>5135</v>
      </c>
      <c r="C147" s="301"/>
      <c r="D147" s="528">
        <v>47501</v>
      </c>
      <c r="E147" s="528" t="s">
        <v>2611</v>
      </c>
      <c r="F147" s="524"/>
      <c r="G147" s="526" t="s">
        <v>5136</v>
      </c>
      <c r="I147" s="318"/>
      <c r="J147" s="318">
        <v>260867.05587930258</v>
      </c>
      <c r="K147" s="318">
        <v>304184.33392307791</v>
      </c>
      <c r="L147" s="318">
        <f t="shared" si="107"/>
        <v>347196.15665897739</v>
      </c>
      <c r="M147" s="318">
        <f t="shared" si="108"/>
        <v>446305.8703279586</v>
      </c>
      <c r="N147" s="318">
        <f t="shared" si="109"/>
        <v>471411.83258700016</v>
      </c>
      <c r="O147" s="318">
        <f t="shared" ref="O147:O151" si="110">(O246/$O$251*$O$240)</f>
        <v>471411.83258700016</v>
      </c>
      <c r="P147" s="114"/>
      <c r="Q147" s="114"/>
      <c r="R147" s="114"/>
      <c r="S147" s="151"/>
    </row>
    <row r="148" spans="1:23" ht="12.75" customHeight="1" x14ac:dyDescent="0.25">
      <c r="A148" s="479">
        <v>652901</v>
      </c>
      <c r="B148" s="306" t="s">
        <v>5135</v>
      </c>
      <c r="C148" s="301"/>
      <c r="D148" s="528">
        <v>47501</v>
      </c>
      <c r="E148" s="528" t="s">
        <v>2613</v>
      </c>
      <c r="F148" s="524"/>
      <c r="G148" s="526" t="s">
        <v>5136</v>
      </c>
      <c r="I148" s="318"/>
      <c r="J148" s="318">
        <v>13744.6487090131</v>
      </c>
      <c r="K148" s="318">
        <v>0</v>
      </c>
      <c r="L148" s="318">
        <f t="shared" si="107"/>
        <v>0</v>
      </c>
      <c r="M148" s="318">
        <f t="shared" si="108"/>
        <v>0</v>
      </c>
      <c r="N148" s="318">
        <f t="shared" si="109"/>
        <v>0</v>
      </c>
      <c r="O148" s="318">
        <f t="shared" si="110"/>
        <v>0</v>
      </c>
      <c r="P148" s="114"/>
      <c r="Q148" s="114"/>
      <c r="R148" s="114"/>
    </row>
    <row r="149" spans="1:23" ht="12.75" customHeight="1" x14ac:dyDescent="0.25">
      <c r="A149" s="479">
        <v>652901</v>
      </c>
      <c r="B149" s="306" t="s">
        <v>5135</v>
      </c>
      <c r="C149" s="301"/>
      <c r="D149" s="528">
        <v>47501</v>
      </c>
      <c r="E149" s="528" t="s">
        <v>2619</v>
      </c>
      <c r="F149" s="524"/>
      <c r="G149" s="526" t="s">
        <v>5136</v>
      </c>
      <c r="I149" s="318"/>
      <c r="J149" s="318">
        <v>76482.381591609505</v>
      </c>
      <c r="K149" s="318">
        <v>58615.202093185857</v>
      </c>
      <c r="L149" s="318">
        <f t="shared" si="107"/>
        <v>48349.940470452086</v>
      </c>
      <c r="M149" s="318">
        <f t="shared" si="108"/>
        <v>0</v>
      </c>
      <c r="N149" s="318">
        <f t="shared" si="109"/>
        <v>0</v>
      </c>
      <c r="O149" s="318">
        <f t="shared" si="110"/>
        <v>0</v>
      </c>
      <c r="P149" s="114"/>
      <c r="Q149" s="114"/>
      <c r="R149" s="114"/>
    </row>
    <row r="150" spans="1:23" ht="12.75" customHeight="1" x14ac:dyDescent="0.25">
      <c r="A150" s="479">
        <v>652901</v>
      </c>
      <c r="B150" s="306" t="s">
        <v>5135</v>
      </c>
      <c r="C150" s="301"/>
      <c r="D150" s="528">
        <v>47501</v>
      </c>
      <c r="E150" s="528" t="s">
        <v>2615</v>
      </c>
      <c r="F150" s="524"/>
      <c r="G150" s="526" t="s">
        <v>5136</v>
      </c>
      <c r="I150" s="318"/>
      <c r="J150" s="318">
        <v>39159.307987195767</v>
      </c>
      <c r="K150" s="318">
        <v>48486.458367281353</v>
      </c>
      <c r="L150" s="318">
        <f t="shared" si="107"/>
        <v>70396.902870570513</v>
      </c>
      <c r="M150" s="318">
        <f>(M249/M$251*M$240)</f>
        <v>36771.129672041418</v>
      </c>
      <c r="N150" s="318">
        <f>(N249/N$251*N$240)</f>
        <v>32513.167412999806</v>
      </c>
      <c r="O150" s="318">
        <f t="shared" si="110"/>
        <v>32513.167412999806</v>
      </c>
      <c r="P150" s="114"/>
      <c r="Q150" s="114"/>
      <c r="R150" s="114"/>
    </row>
    <row r="151" spans="1:23" ht="12.75" customHeight="1" x14ac:dyDescent="0.25">
      <c r="A151" s="479">
        <v>652901</v>
      </c>
      <c r="B151" s="306" t="s">
        <v>5135</v>
      </c>
      <c r="C151" s="301"/>
      <c r="D151" s="528">
        <v>47501</v>
      </c>
      <c r="E151" s="528" t="s">
        <v>5127</v>
      </c>
      <c r="F151" s="524"/>
      <c r="G151" s="526" t="s">
        <v>5136</v>
      </c>
      <c r="I151" s="318"/>
      <c r="J151" s="318">
        <v>26525.01352814343</v>
      </c>
      <c r="K151" s="318">
        <v>0</v>
      </c>
      <c r="L151" s="318">
        <f t="shared" si="107"/>
        <v>0</v>
      </c>
      <c r="M151" s="318">
        <f t="shared" si="108"/>
        <v>0</v>
      </c>
      <c r="N151" s="318">
        <f>(N250/N$251*N$240)</f>
        <v>0</v>
      </c>
      <c r="O151" s="318">
        <f t="shared" si="110"/>
        <v>0</v>
      </c>
      <c r="P151" s="114"/>
      <c r="Q151" s="114"/>
      <c r="R151" s="114"/>
    </row>
    <row r="152" spans="1:23" ht="12.75" customHeight="1" thickBot="1" x14ac:dyDescent="0.3">
      <c r="D152" s="352"/>
      <c r="E152" s="528"/>
      <c r="F152" s="352"/>
      <c r="G152" s="523" t="s">
        <v>536</v>
      </c>
      <c r="H152" s="355"/>
      <c r="I152" s="318"/>
      <c r="J152" s="480">
        <v>565069.50786056567</v>
      </c>
      <c r="K152" s="480">
        <v>477727.4331718004</v>
      </c>
      <c r="L152" s="480">
        <f t="shared" ref="L152:M152" si="111">SUM(L140:L151)</f>
        <v>439153.54827796482</v>
      </c>
      <c r="M152" s="480">
        <f t="shared" si="111"/>
        <v>363864.30555860366</v>
      </c>
      <c r="N152" s="480">
        <f t="shared" ref="N152:O152" si="112">SUM(N140:N151)</f>
        <v>334052.8137393471</v>
      </c>
      <c r="O152" s="480">
        <f t="shared" si="112"/>
        <v>334052.8137393471</v>
      </c>
      <c r="P152" s="114"/>
      <c r="Q152" s="114"/>
      <c r="R152" s="114"/>
      <c r="S152" s="381"/>
    </row>
    <row r="153" spans="1:23" ht="12.75" customHeight="1" thickTop="1" x14ac:dyDescent="0.25">
      <c r="D153" s="352"/>
      <c r="E153" s="528"/>
      <c r="F153" s="352"/>
      <c r="G153" s="523"/>
      <c r="H153" s="355"/>
      <c r="I153" s="318"/>
      <c r="J153" s="318"/>
      <c r="K153" s="318"/>
      <c r="L153" s="318"/>
      <c r="M153" s="318"/>
      <c r="N153" s="318"/>
      <c r="O153" s="318"/>
      <c r="P153" s="114"/>
      <c r="Q153" s="114"/>
      <c r="R153" s="114"/>
      <c r="S153" s="381"/>
    </row>
    <row r="154" spans="1:23" ht="12.75" customHeight="1" x14ac:dyDescent="0.25">
      <c r="D154" s="352"/>
      <c r="E154" s="352"/>
      <c r="F154" s="352"/>
      <c r="G154" s="523"/>
      <c r="H154" s="355"/>
      <c r="I154" s="318"/>
      <c r="J154" s="318"/>
      <c r="K154" s="318"/>
      <c r="L154" s="318"/>
      <c r="M154" s="318"/>
      <c r="N154" s="318"/>
      <c r="O154" s="318"/>
      <c r="P154" s="114"/>
      <c r="Q154" s="114"/>
      <c r="R154" s="114"/>
      <c r="S154" s="381"/>
    </row>
    <row r="155" spans="1:23" ht="12.75" customHeight="1" x14ac:dyDescent="0.25">
      <c r="D155" s="333">
        <v>652902</v>
      </c>
      <c r="E155" s="331"/>
      <c r="F155" s="331"/>
      <c r="G155" s="381" t="s">
        <v>5137</v>
      </c>
      <c r="I155" s="316"/>
      <c r="J155" s="335"/>
      <c r="K155" s="335"/>
      <c r="L155" s="335"/>
      <c r="M155" s="335"/>
      <c r="N155" s="335"/>
      <c r="O155" s="335"/>
      <c r="P155" s="335"/>
      <c r="Q155" s="335"/>
      <c r="R155" s="335"/>
      <c r="S155" s="1977"/>
      <c r="T155" s="527"/>
      <c r="U155" s="527"/>
      <c r="V155" s="527"/>
      <c r="W155" s="527"/>
    </row>
    <row r="156" spans="1:23" ht="12.75" customHeight="1" x14ac:dyDescent="0.25">
      <c r="D156" s="340"/>
      <c r="E156" s="340"/>
      <c r="F156" s="340"/>
      <c r="G156" s="383" t="s">
        <v>533</v>
      </c>
      <c r="I156" s="316"/>
      <c r="J156" s="335"/>
      <c r="K156" s="335"/>
      <c r="L156" s="335"/>
      <c r="M156" s="335"/>
      <c r="N156" s="335"/>
      <c r="O156" s="335"/>
    </row>
    <row r="157" spans="1:23" ht="12.75" customHeight="1" x14ac:dyDescent="0.25">
      <c r="A157" s="336">
        <f>+D155</f>
        <v>652902</v>
      </c>
      <c r="B157" s="306" t="str">
        <f>+G155</f>
        <v>Directe toerekening planuitvoering</v>
      </c>
      <c r="D157" s="337">
        <v>41100</v>
      </c>
      <c r="E157" s="337" t="s">
        <v>2609</v>
      </c>
      <c r="F157" s="524"/>
      <c r="G157" s="115" t="s">
        <v>541</v>
      </c>
      <c r="I157" s="318"/>
      <c r="J157" s="318">
        <v>5623.4128432613616</v>
      </c>
      <c r="K157" s="318">
        <v>13788.412850995035</v>
      </c>
      <c r="L157" s="318">
        <f t="shared" ref="L157:N162" si="113">L309-L163</f>
        <v>0</v>
      </c>
      <c r="M157" s="318">
        <f t="shared" si="113"/>
        <v>0</v>
      </c>
      <c r="N157" s="318">
        <f t="shared" si="113"/>
        <v>0</v>
      </c>
      <c r="O157" s="318">
        <f t="shared" ref="O157" si="114">O309-O163</f>
        <v>0</v>
      </c>
      <c r="P157" s="114"/>
      <c r="Q157" s="114"/>
      <c r="R157" s="114"/>
      <c r="S157" s="114"/>
      <c r="T157" s="114"/>
      <c r="U157" s="114"/>
      <c r="V157" s="114"/>
      <c r="W157" s="114"/>
    </row>
    <row r="158" spans="1:23" ht="12.75" customHeight="1" x14ac:dyDescent="0.25">
      <c r="A158" s="336">
        <f>+D155</f>
        <v>652902</v>
      </c>
      <c r="B158" s="306" t="str">
        <f>+G155</f>
        <v>Directe toerekening planuitvoering</v>
      </c>
      <c r="D158" s="337">
        <v>41100</v>
      </c>
      <c r="E158" s="337" t="s">
        <v>2611</v>
      </c>
      <c r="F158" s="524"/>
      <c r="G158" s="115" t="s">
        <v>541</v>
      </c>
      <c r="I158" s="318"/>
      <c r="J158" s="318">
        <v>124385.49673789003</v>
      </c>
      <c r="K158" s="318">
        <v>133138.79518343843</v>
      </c>
      <c r="L158" s="318">
        <f t="shared" si="113"/>
        <v>140589.74071765924</v>
      </c>
      <c r="M158" s="318">
        <f t="shared" si="113"/>
        <v>90835.924298584752</v>
      </c>
      <c r="N158" s="318">
        <f t="shared" si="113"/>
        <v>-44356.023829569283</v>
      </c>
      <c r="O158" s="318">
        <f t="shared" ref="O158" si="115">O310-O164</f>
        <v>-44356.023829569283</v>
      </c>
      <c r="P158" s="114"/>
      <c r="Q158" s="114"/>
      <c r="R158" s="114"/>
      <c r="S158" s="114"/>
      <c r="T158" s="114"/>
      <c r="U158" s="114"/>
      <c r="V158" s="114"/>
      <c r="W158" s="114"/>
    </row>
    <row r="159" spans="1:23" ht="12.75" customHeight="1" x14ac:dyDescent="0.25">
      <c r="A159" s="336">
        <f>+D155</f>
        <v>652902</v>
      </c>
      <c r="B159" s="306" t="str">
        <f>+G155</f>
        <v>Directe toerekening planuitvoering</v>
      </c>
      <c r="D159" s="337">
        <v>41100</v>
      </c>
      <c r="E159" s="337" t="s">
        <v>2613</v>
      </c>
      <c r="F159" s="524"/>
      <c r="G159" s="115" t="s">
        <v>541</v>
      </c>
      <c r="I159" s="318"/>
      <c r="J159" s="318">
        <v>1718.6581867250202</v>
      </c>
      <c r="K159" s="318">
        <v>0</v>
      </c>
      <c r="L159" s="318">
        <f t="shared" si="113"/>
        <v>0</v>
      </c>
      <c r="M159" s="318">
        <f t="shared" si="113"/>
        <v>0</v>
      </c>
      <c r="N159" s="318">
        <f t="shared" si="113"/>
        <v>0</v>
      </c>
      <c r="O159" s="318">
        <f t="shared" ref="O159" si="116">O311-O165</f>
        <v>0</v>
      </c>
      <c r="P159" s="114"/>
      <c r="Q159" s="114"/>
      <c r="R159" s="114"/>
      <c r="S159" s="114"/>
      <c r="T159" s="114"/>
      <c r="U159" s="114"/>
      <c r="V159" s="114"/>
      <c r="W159" s="114"/>
    </row>
    <row r="160" spans="1:23" ht="12.75" customHeight="1" x14ac:dyDescent="0.25">
      <c r="A160" s="336">
        <f>+D155</f>
        <v>652902</v>
      </c>
      <c r="B160" s="306" t="str">
        <f>+G155</f>
        <v>Directe toerekening planuitvoering</v>
      </c>
      <c r="D160" s="337">
        <v>41100</v>
      </c>
      <c r="E160" s="337" t="s">
        <v>2619</v>
      </c>
      <c r="F160" s="524"/>
      <c r="G160" s="115" t="s">
        <v>541</v>
      </c>
      <c r="I160" s="318"/>
      <c r="J160" s="318">
        <v>34436.245502091275</v>
      </c>
      <c r="K160" s="318">
        <v>57195.497843955338</v>
      </c>
      <c r="L160" s="318">
        <f t="shared" si="113"/>
        <v>80525.712152813532</v>
      </c>
      <c r="M160" s="318">
        <f t="shared" si="113"/>
        <v>0</v>
      </c>
      <c r="N160" s="318">
        <f t="shared" si="113"/>
        <v>0</v>
      </c>
      <c r="O160" s="318">
        <f t="shared" ref="O160" si="117">O312-O166</f>
        <v>0</v>
      </c>
      <c r="P160" s="114"/>
      <c r="Q160" s="114"/>
      <c r="R160" s="114"/>
      <c r="S160" s="114"/>
      <c r="T160" s="114"/>
      <c r="U160" s="114"/>
      <c r="V160" s="114"/>
      <c r="W160" s="114"/>
    </row>
    <row r="161" spans="1:23" ht="12.75" customHeight="1" x14ac:dyDescent="0.25">
      <c r="A161" s="336">
        <v>652902</v>
      </c>
      <c r="B161" s="306" t="s">
        <v>5137</v>
      </c>
      <c r="D161" s="337">
        <v>41100</v>
      </c>
      <c r="E161" s="337" t="s">
        <v>2615</v>
      </c>
      <c r="F161" s="524"/>
      <c r="G161" s="115" t="s">
        <v>541</v>
      </c>
      <c r="I161" s="318"/>
      <c r="J161" s="318">
        <v>0</v>
      </c>
      <c r="K161" s="318">
        <v>0</v>
      </c>
      <c r="L161" s="318">
        <f t="shared" si="113"/>
        <v>0</v>
      </c>
      <c r="M161" s="318">
        <f t="shared" si="113"/>
        <v>24842.065032098719</v>
      </c>
      <c r="N161" s="318">
        <f t="shared" si="113"/>
        <v>-23063.104910303809</v>
      </c>
      <c r="O161" s="318">
        <f t="shared" ref="O161" si="118">O313-O167</f>
        <v>-23063.104910303809</v>
      </c>
      <c r="P161" s="114"/>
      <c r="Q161" s="114"/>
      <c r="R161" s="114"/>
      <c r="S161" s="114"/>
      <c r="T161" s="114"/>
      <c r="U161" s="114"/>
      <c r="V161" s="114"/>
      <c r="W161" s="114"/>
    </row>
    <row r="162" spans="1:23" ht="12.75" customHeight="1" x14ac:dyDescent="0.25">
      <c r="A162" s="336">
        <v>652902</v>
      </c>
      <c r="B162" s="306" t="s">
        <v>5137</v>
      </c>
      <c r="D162" s="337">
        <v>41100</v>
      </c>
      <c r="E162" s="337" t="s">
        <v>5127</v>
      </c>
      <c r="F162" s="524"/>
      <c r="G162" s="115" t="s">
        <v>541</v>
      </c>
      <c r="I162" s="318"/>
      <c r="J162" s="318">
        <v>1962.052780785797</v>
      </c>
      <c r="K162" s="318">
        <v>0</v>
      </c>
      <c r="L162" s="318">
        <f t="shared" si="113"/>
        <v>0</v>
      </c>
      <c r="M162" s="318">
        <f t="shared" si="113"/>
        <v>0</v>
      </c>
      <c r="N162" s="318">
        <f t="shared" si="113"/>
        <v>0</v>
      </c>
      <c r="O162" s="318">
        <f t="shared" ref="O162" si="119">O314-O168</f>
        <v>0</v>
      </c>
      <c r="P162" s="114"/>
      <c r="Q162" s="114"/>
      <c r="R162" s="114"/>
      <c r="S162" s="114"/>
      <c r="T162" s="114"/>
      <c r="U162" s="114"/>
      <c r="V162" s="114"/>
      <c r="W162" s="114"/>
    </row>
    <row r="163" spans="1:23" ht="12.75" customHeight="1" x14ac:dyDescent="0.25">
      <c r="A163" s="336">
        <v>652902</v>
      </c>
      <c r="B163" s="306" t="s">
        <v>5137</v>
      </c>
      <c r="D163" s="528">
        <v>47501</v>
      </c>
      <c r="E163" s="528" t="s">
        <v>2609</v>
      </c>
      <c r="F163" s="524"/>
      <c r="G163" s="526" t="s">
        <v>5136</v>
      </c>
      <c r="I163" s="318"/>
      <c r="J163" s="318">
        <v>11784.505402813156</v>
      </c>
      <c r="K163" s="318">
        <v>21469.771118616638</v>
      </c>
      <c r="L163" s="318">
        <f t="shared" ref="L163:L168" si="120">L309/$L$315*$L$304</f>
        <v>0</v>
      </c>
      <c r="M163" s="318">
        <f t="shared" ref="M163:M168" si="121">M309/$M$315*$M$304</f>
        <v>0</v>
      </c>
      <c r="N163" s="318">
        <f>N309/N$315*N$304</f>
        <v>0</v>
      </c>
      <c r="O163" s="318">
        <f>O309/O$315*O$304</f>
        <v>0</v>
      </c>
      <c r="P163" s="114"/>
      <c r="Q163" s="114"/>
      <c r="R163" s="114"/>
    </row>
    <row r="164" spans="1:23" ht="12.75" customHeight="1" x14ac:dyDescent="0.25">
      <c r="A164" s="336">
        <v>652902</v>
      </c>
      <c r="B164" s="306" t="s">
        <v>5137</v>
      </c>
      <c r="D164" s="528">
        <v>47501</v>
      </c>
      <c r="E164" s="528" t="s">
        <v>2611</v>
      </c>
      <c r="F164" s="524"/>
      <c r="G164" s="526" t="s">
        <v>5136</v>
      </c>
      <c r="I164" s="318"/>
      <c r="J164" s="318">
        <v>260664.0485405201</v>
      </c>
      <c r="K164" s="318">
        <v>207308.80997594455</v>
      </c>
      <c r="L164" s="318">
        <f t="shared" si="120"/>
        <v>211726.32342970034</v>
      </c>
      <c r="M164" s="318">
        <f t="shared" si="121"/>
        <v>271098.27764443052</v>
      </c>
      <c r="N164" s="318">
        <f>N310/N$315*N$304</f>
        <v>236940.67788374866</v>
      </c>
      <c r="O164" s="318">
        <f>O310/O$315*O$304</f>
        <v>236940.67788374866</v>
      </c>
      <c r="P164" s="114"/>
      <c r="Q164" s="114"/>
      <c r="R164" s="114"/>
    </row>
    <row r="165" spans="1:23" ht="12.75" customHeight="1" x14ac:dyDescent="0.25">
      <c r="A165" s="336">
        <v>652902</v>
      </c>
      <c r="B165" s="306" t="s">
        <v>5137</v>
      </c>
      <c r="D165" s="528">
        <v>47501</v>
      </c>
      <c r="E165" s="528" t="s">
        <v>2613</v>
      </c>
      <c r="F165" s="524"/>
      <c r="G165" s="526" t="s">
        <v>5136</v>
      </c>
      <c r="I165" s="318"/>
      <c r="J165" s="318">
        <v>3601.6449888292032</v>
      </c>
      <c r="K165" s="318">
        <v>0</v>
      </c>
      <c r="L165" s="318">
        <f t="shared" si="120"/>
        <v>0</v>
      </c>
      <c r="M165" s="318">
        <f t="shared" si="121"/>
        <v>0</v>
      </c>
      <c r="N165" s="318">
        <f t="shared" ref="N165:O168" si="122">N311/N$315*N$304</f>
        <v>0</v>
      </c>
      <c r="O165" s="318">
        <f t="shared" si="122"/>
        <v>0</v>
      </c>
      <c r="P165" s="114"/>
      <c r="Q165" s="114"/>
      <c r="R165" s="114"/>
    </row>
    <row r="166" spans="1:23" ht="12.75" customHeight="1" x14ac:dyDescent="0.25">
      <c r="A166" s="336">
        <v>652902</v>
      </c>
      <c r="B166" s="306" t="s">
        <v>5137</v>
      </c>
      <c r="D166" s="528">
        <v>47501</v>
      </c>
      <c r="E166" s="528" t="s">
        <v>2619</v>
      </c>
      <c r="F166" s="524"/>
      <c r="G166" s="526" t="s">
        <v>5136</v>
      </c>
      <c r="I166" s="318"/>
      <c r="J166" s="318">
        <v>72165.09484241216</v>
      </c>
      <c r="K166" s="318">
        <v>89058.418905438812</v>
      </c>
      <c r="L166" s="318">
        <f t="shared" si="120"/>
        <v>121270.67657029966</v>
      </c>
      <c r="M166" s="318">
        <f t="shared" si="121"/>
        <v>0</v>
      </c>
      <c r="N166" s="318">
        <f t="shared" si="122"/>
        <v>0</v>
      </c>
      <c r="O166" s="318">
        <f t="shared" si="122"/>
        <v>0</v>
      </c>
      <c r="P166" s="114"/>
      <c r="Q166" s="114"/>
      <c r="R166" s="114"/>
    </row>
    <row r="167" spans="1:23" ht="12.75" customHeight="1" x14ac:dyDescent="0.25">
      <c r="A167" s="336">
        <v>652902</v>
      </c>
      <c r="B167" s="306" t="s">
        <v>5137</v>
      </c>
      <c r="D167" s="528">
        <v>47501</v>
      </c>
      <c r="E167" s="528" t="s">
        <v>2615</v>
      </c>
      <c r="F167" s="524"/>
      <c r="G167" s="526" t="s">
        <v>5136</v>
      </c>
      <c r="I167" s="318"/>
      <c r="J167" s="318">
        <v>0</v>
      </c>
      <c r="K167" s="318">
        <v>0</v>
      </c>
      <c r="L167" s="318">
        <f t="shared" si="120"/>
        <v>0</v>
      </c>
      <c r="M167" s="318">
        <f t="shared" si="121"/>
        <v>74140.722355569465</v>
      </c>
      <c r="N167" s="318">
        <f t="shared" si="122"/>
        <v>123198.32211625131</v>
      </c>
      <c r="O167" s="318">
        <f t="shared" si="122"/>
        <v>123198.32211625131</v>
      </c>
      <c r="P167" s="114"/>
      <c r="Q167" s="114"/>
      <c r="R167" s="114"/>
    </row>
    <row r="168" spans="1:23" ht="12.75" customHeight="1" x14ac:dyDescent="0.25">
      <c r="A168" s="336">
        <v>652902</v>
      </c>
      <c r="B168" s="306" t="s">
        <v>5137</v>
      </c>
      <c r="D168" s="528">
        <v>47501</v>
      </c>
      <c r="E168" s="528" t="s">
        <v>5127</v>
      </c>
      <c r="F168" s="524"/>
      <c r="G168" s="526" t="s">
        <v>5136</v>
      </c>
      <c r="I168" s="318"/>
      <c r="J168" s="318">
        <v>4111.7062254253833</v>
      </c>
      <c r="K168" s="318">
        <v>0</v>
      </c>
      <c r="L168" s="318">
        <f t="shared" si="120"/>
        <v>0</v>
      </c>
      <c r="M168" s="318">
        <f t="shared" si="121"/>
        <v>0</v>
      </c>
      <c r="N168" s="318">
        <f t="shared" si="122"/>
        <v>0</v>
      </c>
      <c r="O168" s="318">
        <f t="shared" si="122"/>
        <v>0</v>
      </c>
      <c r="P168" s="114"/>
      <c r="Q168" s="114"/>
      <c r="R168" s="114"/>
    </row>
    <row r="169" spans="1:23" ht="12.75" customHeight="1" thickBot="1" x14ac:dyDescent="0.3">
      <c r="D169" s="340"/>
      <c r="E169" s="340"/>
      <c r="F169" s="340"/>
      <c r="G169" s="115" t="s">
        <v>536</v>
      </c>
      <c r="I169" s="318"/>
      <c r="J169" s="480">
        <v>520452.86605075351</v>
      </c>
      <c r="K169" s="480">
        <v>521959.70587838878</v>
      </c>
      <c r="L169" s="480">
        <f t="shared" ref="L169:M169" si="123">SUM(L157:L168)</f>
        <v>554112.4528704728</v>
      </c>
      <c r="M169" s="480">
        <f t="shared" si="123"/>
        <v>460916.98933068349</v>
      </c>
      <c r="N169" s="480">
        <f t="shared" ref="N169:O169" si="124">SUM(N157:N168)</f>
        <v>292719.87126012688</v>
      </c>
      <c r="O169" s="480">
        <f t="shared" si="124"/>
        <v>292719.87126012688</v>
      </c>
      <c r="P169" s="114"/>
      <c r="Q169" s="114"/>
      <c r="R169" s="114"/>
    </row>
    <row r="170" spans="1:23" ht="12.75" customHeight="1" thickTop="1" x14ac:dyDescent="0.25">
      <c r="D170" s="352"/>
      <c r="E170" s="352"/>
      <c r="F170" s="352"/>
      <c r="G170" s="355"/>
      <c r="H170" s="355"/>
      <c r="I170" s="316"/>
      <c r="J170" s="335"/>
      <c r="K170" s="335"/>
      <c r="L170" s="335"/>
      <c r="M170" s="335"/>
      <c r="N170" s="335"/>
      <c r="O170" s="335"/>
    </row>
    <row r="171" spans="1:23" ht="12.75" customHeight="1" x14ac:dyDescent="0.25">
      <c r="D171" s="352"/>
      <c r="E171" s="352"/>
      <c r="F171" s="352"/>
      <c r="G171" s="355"/>
      <c r="H171" s="355"/>
      <c r="I171" s="316"/>
      <c r="J171" s="335"/>
      <c r="K171" s="335"/>
      <c r="L171" s="335"/>
      <c r="M171" s="335"/>
      <c r="N171" s="335"/>
      <c r="O171" s="335"/>
    </row>
    <row r="172" spans="1:23" ht="12.75" customHeight="1" x14ac:dyDescent="0.25">
      <c r="D172" s="333">
        <v>652025</v>
      </c>
      <c r="E172" s="331"/>
      <c r="F172" s="331"/>
      <c r="G172" s="381" t="s">
        <v>5138</v>
      </c>
      <c r="I172" s="316"/>
      <c r="J172" s="335"/>
      <c r="K172" s="335"/>
      <c r="L172" s="335"/>
      <c r="M172" s="335"/>
      <c r="N172" s="335"/>
      <c r="O172" s="335"/>
    </row>
    <row r="173" spans="1:23" ht="12.75" customHeight="1" x14ac:dyDescent="0.25">
      <c r="D173" s="340"/>
      <c r="E173" s="340"/>
      <c r="F173" s="340"/>
      <c r="G173" s="383" t="s">
        <v>554</v>
      </c>
      <c r="I173" s="316"/>
      <c r="J173" s="335"/>
      <c r="K173" s="335"/>
      <c r="L173" s="335"/>
      <c r="M173" s="335"/>
      <c r="N173" s="335"/>
      <c r="O173" s="335"/>
    </row>
    <row r="174" spans="1:23" ht="12.75" customHeight="1" x14ac:dyDescent="0.25">
      <c r="A174" s="336">
        <f>+D172</f>
        <v>652025</v>
      </c>
      <c r="B174" s="306" t="str">
        <f>+G172</f>
        <v>grondverkopen sociaal</v>
      </c>
      <c r="D174" s="337">
        <v>83100</v>
      </c>
      <c r="E174" s="337" t="s">
        <v>2611</v>
      </c>
      <c r="F174" s="524"/>
      <c r="G174" s="115" t="s">
        <v>5139</v>
      </c>
      <c r="I174" s="318"/>
      <c r="J174" s="318">
        <v>-337960</v>
      </c>
      <c r="K174" s="318">
        <v>-1017054.8166492325</v>
      </c>
      <c r="L174" s="318">
        <f t="shared" ref="L174:M175" si="125">L370</f>
        <v>-875688.46894396818</v>
      </c>
      <c r="M174" s="318">
        <f t="shared" si="125"/>
        <v>-725195.0223007286</v>
      </c>
      <c r="N174" s="318">
        <f t="shared" ref="N174:O174" si="126">N370</f>
        <v>-314820</v>
      </c>
      <c r="O174" s="318">
        <f t="shared" si="126"/>
        <v>-314820</v>
      </c>
      <c r="P174" s="114"/>
      <c r="Q174" s="114"/>
      <c r="R174" s="114"/>
    </row>
    <row r="175" spans="1:23" ht="12.75" customHeight="1" x14ac:dyDescent="0.25">
      <c r="A175" s="336">
        <f>+D172</f>
        <v>652025</v>
      </c>
      <c r="B175" s="306" t="str">
        <f>+G172</f>
        <v>grondverkopen sociaal</v>
      </c>
      <c r="D175" s="337">
        <v>83100</v>
      </c>
      <c r="E175" s="337" t="s">
        <v>2619</v>
      </c>
      <c r="F175" s="524"/>
      <c r="G175" s="115" t="s">
        <v>5139</v>
      </c>
      <c r="I175" s="318"/>
      <c r="J175" s="318">
        <v>-578544.02124868892</v>
      </c>
      <c r="K175" s="318">
        <v>0</v>
      </c>
      <c r="L175" s="318">
        <f t="shared" si="125"/>
        <v>0</v>
      </c>
      <c r="M175" s="318">
        <f t="shared" si="125"/>
        <v>0</v>
      </c>
      <c r="N175" s="318">
        <f t="shared" ref="N175:O175" si="127">N371</f>
        <v>0</v>
      </c>
      <c r="O175" s="318">
        <f t="shared" si="127"/>
        <v>0</v>
      </c>
      <c r="P175" s="114"/>
      <c r="Q175" s="114"/>
      <c r="R175" s="114"/>
    </row>
    <row r="176" spans="1:23" ht="12.75" customHeight="1" thickBot="1" x14ac:dyDescent="0.3">
      <c r="D176" s="340"/>
      <c r="E176" s="340"/>
      <c r="F176" s="340"/>
      <c r="G176" s="115" t="s">
        <v>536</v>
      </c>
      <c r="I176" s="318"/>
      <c r="J176" s="342">
        <v>-916504.02124868892</v>
      </c>
      <c r="K176" s="342">
        <v>-1017054.8166492325</v>
      </c>
      <c r="L176" s="342">
        <f t="shared" ref="L176:M176" si="128">SUM(L174:L175)</f>
        <v>-875688.46894396818</v>
      </c>
      <c r="M176" s="342">
        <f t="shared" si="128"/>
        <v>-725195.0223007286</v>
      </c>
      <c r="N176" s="342">
        <f t="shared" ref="N176:O176" si="129">SUM(N174:N175)</f>
        <v>-314820</v>
      </c>
      <c r="O176" s="342">
        <f t="shared" si="129"/>
        <v>-314820</v>
      </c>
      <c r="P176" s="114"/>
      <c r="Q176" s="114"/>
      <c r="R176" s="114"/>
    </row>
    <row r="177" spans="1:18" ht="12.75" customHeight="1" thickTop="1" x14ac:dyDescent="0.25">
      <c r="D177" s="340"/>
      <c r="E177" s="340"/>
      <c r="F177" s="340"/>
      <c r="I177" s="318"/>
      <c r="J177" s="317"/>
      <c r="K177" s="317"/>
      <c r="L177" s="317"/>
      <c r="M177" s="317"/>
      <c r="N177" s="317"/>
      <c r="O177" s="317"/>
      <c r="P177" s="114"/>
      <c r="Q177" s="114"/>
      <c r="R177" s="114"/>
    </row>
    <row r="178" spans="1:18" ht="12.75" customHeight="1" x14ac:dyDescent="0.25">
      <c r="D178" s="333">
        <v>652026</v>
      </c>
      <c r="E178" s="331"/>
      <c r="F178" s="331"/>
      <c r="G178" s="381" t="s">
        <v>5140</v>
      </c>
      <c r="I178" s="316"/>
      <c r="J178" s="335"/>
      <c r="K178" s="335"/>
      <c r="L178" s="335"/>
      <c r="M178" s="335"/>
      <c r="N178" s="335"/>
      <c r="O178" s="335"/>
    </row>
    <row r="179" spans="1:18" ht="12.75" customHeight="1" x14ac:dyDescent="0.25">
      <c r="D179" s="340"/>
      <c r="E179" s="340"/>
      <c r="F179" s="340"/>
      <c r="G179" s="383" t="s">
        <v>554</v>
      </c>
      <c r="I179" s="316"/>
      <c r="J179" s="335"/>
      <c r="K179" s="335"/>
      <c r="L179" s="335"/>
      <c r="M179" s="335"/>
      <c r="N179" s="335"/>
      <c r="O179" s="335"/>
    </row>
    <row r="180" spans="1:18" ht="12.75" customHeight="1" x14ac:dyDescent="0.25">
      <c r="A180" s="336">
        <f>+D178</f>
        <v>652026</v>
      </c>
      <c r="B180" s="306" t="str">
        <f>+G178</f>
        <v>Grondverkopen vrije sector</v>
      </c>
      <c r="D180" s="337">
        <v>83100</v>
      </c>
      <c r="E180" s="337" t="s">
        <v>2609</v>
      </c>
      <c r="F180" s="524"/>
      <c r="G180" s="115" t="s">
        <v>5139</v>
      </c>
      <c r="I180" s="318"/>
      <c r="J180" s="318">
        <v>-918000</v>
      </c>
      <c r="K180" s="318">
        <v>0</v>
      </c>
      <c r="L180" s="318">
        <f t="shared" ref="L180:M181" si="130">L376</f>
        <v>0</v>
      </c>
      <c r="M180" s="318">
        <f t="shared" si="130"/>
        <v>0</v>
      </c>
      <c r="N180" s="318">
        <f t="shared" ref="N180:O180" si="131">N376</f>
        <v>0</v>
      </c>
      <c r="O180" s="318">
        <f t="shared" si="131"/>
        <v>0</v>
      </c>
      <c r="P180" s="114"/>
      <c r="Q180" s="114"/>
      <c r="R180" s="114"/>
    </row>
    <row r="181" spans="1:18" ht="12.75" customHeight="1" x14ac:dyDescent="0.25">
      <c r="A181" s="336">
        <f>+D178</f>
        <v>652026</v>
      </c>
      <c r="B181" s="306" t="str">
        <f>+G178</f>
        <v>Grondverkopen vrije sector</v>
      </c>
      <c r="D181" s="337">
        <v>83100</v>
      </c>
      <c r="E181" s="337" t="s">
        <v>2611</v>
      </c>
      <c r="F181" s="524"/>
      <c r="G181" s="115" t="s">
        <v>5139</v>
      </c>
      <c r="I181" s="318"/>
      <c r="J181" s="318">
        <v>-5343748</v>
      </c>
      <c r="K181" s="318">
        <v>-8938634.1833507679</v>
      </c>
      <c r="L181" s="318">
        <f t="shared" si="130"/>
        <v>-11758281.531056032</v>
      </c>
      <c r="M181" s="318">
        <f t="shared" si="130"/>
        <v>-8582068.9776992723</v>
      </c>
      <c r="N181" s="318">
        <f t="shared" ref="N181:O181" si="132">N377</f>
        <v>-2993174</v>
      </c>
      <c r="O181" s="318">
        <f t="shared" si="132"/>
        <v>-2993174</v>
      </c>
      <c r="P181" s="114"/>
      <c r="Q181" s="114"/>
      <c r="R181" s="114"/>
    </row>
    <row r="182" spans="1:18" ht="12.75" customHeight="1" x14ac:dyDescent="0.25">
      <c r="A182" s="336">
        <f>+D178</f>
        <v>652026</v>
      </c>
      <c r="B182" s="306" t="str">
        <f>+G178</f>
        <v>Grondverkopen vrije sector</v>
      </c>
      <c r="D182" s="337">
        <v>83100</v>
      </c>
      <c r="E182" s="337" t="s">
        <v>2619</v>
      </c>
      <c r="F182" s="524"/>
      <c r="G182" s="115" t="s">
        <v>5139</v>
      </c>
      <c r="I182" s="318"/>
      <c r="J182" s="318">
        <v>-6500548.9787513101</v>
      </c>
      <c r="K182" s="318">
        <v>-2835132</v>
      </c>
      <c r="L182" s="318">
        <f>L380</f>
        <v>0</v>
      </c>
      <c r="M182" s="318">
        <f>M380</f>
        <v>0</v>
      </c>
      <c r="N182" s="318">
        <f t="shared" ref="N182:O182" si="133">N380</f>
        <v>0</v>
      </c>
      <c r="O182" s="318">
        <f t="shared" si="133"/>
        <v>0</v>
      </c>
      <c r="P182" s="114"/>
      <c r="Q182" s="114"/>
      <c r="R182" s="114"/>
    </row>
    <row r="183" spans="1:18" ht="12.75" customHeight="1" thickBot="1" x14ac:dyDescent="0.3">
      <c r="D183" s="340"/>
      <c r="E183" s="340"/>
      <c r="F183" s="340"/>
      <c r="G183" s="115" t="s">
        <v>536</v>
      </c>
      <c r="I183" s="318"/>
      <c r="J183" s="480">
        <v>-12762296.978751309</v>
      </c>
      <c r="K183" s="480">
        <v>-11773766.183350768</v>
      </c>
      <c r="L183" s="480">
        <f>SUM(L180:L182)</f>
        <v>-11758281.531056032</v>
      </c>
      <c r="M183" s="480">
        <f>SUM(M180:M182)</f>
        <v>-8582068.9776992723</v>
      </c>
      <c r="N183" s="480">
        <f>SUM(N180:N182)</f>
        <v>-2993174</v>
      </c>
      <c r="O183" s="480">
        <f>SUM(O180:O182)</f>
        <v>-2993174</v>
      </c>
      <c r="P183" s="114"/>
      <c r="Q183" s="114"/>
      <c r="R183" s="114"/>
    </row>
    <row r="184" spans="1:18" ht="12.75" customHeight="1" thickTop="1" x14ac:dyDescent="0.25">
      <c r="D184" s="340"/>
      <c r="E184" s="340"/>
      <c r="F184" s="340"/>
      <c r="I184" s="318"/>
      <c r="J184" s="317"/>
      <c r="K184" s="317"/>
      <c r="L184" s="317"/>
      <c r="M184" s="317"/>
      <c r="N184" s="317"/>
      <c r="O184" s="317"/>
      <c r="P184" s="114"/>
      <c r="Q184" s="114"/>
      <c r="R184" s="114"/>
    </row>
    <row r="185" spans="1:18" ht="12.75" customHeight="1" x14ac:dyDescent="0.25">
      <c r="D185" s="333">
        <v>652027</v>
      </c>
      <c r="E185" s="331"/>
      <c r="F185" s="331"/>
      <c r="G185" s="381" t="s">
        <v>5141</v>
      </c>
      <c r="I185" s="316"/>
      <c r="J185" s="335"/>
      <c r="K185" s="335"/>
      <c r="L185" s="335"/>
      <c r="M185" s="335"/>
      <c r="N185" s="335"/>
      <c r="O185" s="335"/>
    </row>
    <row r="186" spans="1:18" ht="12.75" customHeight="1" x14ac:dyDescent="0.25">
      <c r="D186" s="340"/>
      <c r="E186" s="340"/>
      <c r="F186" s="340"/>
      <c r="G186" s="383" t="s">
        <v>554</v>
      </c>
      <c r="I186" s="316"/>
      <c r="J186" s="335"/>
      <c r="K186" s="335"/>
      <c r="L186" s="335"/>
      <c r="M186" s="335"/>
      <c r="N186" s="335"/>
      <c r="O186" s="335"/>
    </row>
    <row r="187" spans="1:18" ht="12.75" customHeight="1" x14ac:dyDescent="0.25">
      <c r="A187" s="336">
        <f>+D185</f>
        <v>652027</v>
      </c>
      <c r="B187" s="306" t="str">
        <f>+G185</f>
        <v>Grondverkopen overig</v>
      </c>
      <c r="D187" s="337">
        <v>83100</v>
      </c>
      <c r="E187" s="337" t="s">
        <v>2615</v>
      </c>
      <c r="F187" s="529"/>
      <c r="G187" s="115" t="s">
        <v>5139</v>
      </c>
      <c r="I187" s="318"/>
      <c r="J187" s="318">
        <v>0</v>
      </c>
      <c r="K187" s="318">
        <v>0</v>
      </c>
      <c r="L187" s="318">
        <f>L385</f>
        <v>-2035328</v>
      </c>
      <c r="M187" s="318">
        <f>M385</f>
        <v>0</v>
      </c>
      <c r="N187" s="318">
        <f t="shared" ref="N187:O187" si="134">N385</f>
        <v>0</v>
      </c>
      <c r="O187" s="318">
        <f t="shared" si="134"/>
        <v>0</v>
      </c>
      <c r="P187" s="114"/>
      <c r="Q187" s="114"/>
      <c r="R187" s="114"/>
    </row>
    <row r="188" spans="1:18" ht="12.75" customHeight="1" thickBot="1" x14ac:dyDescent="0.3">
      <c r="D188" s="340"/>
      <c r="E188" s="340"/>
      <c r="F188" s="340"/>
      <c r="G188" s="115" t="s">
        <v>536</v>
      </c>
      <c r="I188" s="318"/>
      <c r="J188" s="342">
        <v>0</v>
      </c>
      <c r="K188" s="342">
        <v>0</v>
      </c>
      <c r="L188" s="342">
        <f>SUM(L187:L187)</f>
        <v>-2035328</v>
      </c>
      <c r="M188" s="342">
        <f>SUM(M187:M187)</f>
        <v>0</v>
      </c>
      <c r="N188" s="342">
        <f>SUM(N187:N187)</f>
        <v>0</v>
      </c>
      <c r="O188" s="342">
        <f>SUM(O187:O187)</f>
        <v>0</v>
      </c>
      <c r="P188" s="114"/>
      <c r="Q188" s="114"/>
      <c r="R188" s="114"/>
    </row>
    <row r="189" spans="1:18" ht="12.75" customHeight="1" thickTop="1" x14ac:dyDescent="0.25">
      <c r="D189" s="167"/>
      <c r="E189" s="167"/>
      <c r="F189" s="167"/>
      <c r="G189" s="149"/>
      <c r="H189" s="149"/>
      <c r="I189" s="156"/>
      <c r="J189" s="142"/>
      <c r="K189" s="142"/>
      <c r="L189" s="142"/>
      <c r="M189" s="142"/>
      <c r="N189" s="142"/>
      <c r="O189" s="142"/>
      <c r="P189" s="114"/>
      <c r="Q189" s="114"/>
      <c r="R189" s="114"/>
    </row>
    <row r="190" spans="1:18" ht="12.75" customHeight="1" x14ac:dyDescent="0.25">
      <c r="D190" s="384"/>
      <c r="E190" s="384"/>
      <c r="F190" s="384"/>
      <c r="J190" s="115"/>
    </row>
    <row r="191" spans="1:18" ht="12.75" customHeight="1" x14ac:dyDescent="0.25">
      <c r="D191" s="384"/>
      <c r="E191" s="381" t="s">
        <v>561</v>
      </c>
      <c r="F191" s="384"/>
      <c r="J191" s="151"/>
    </row>
    <row r="192" spans="1:18" ht="12.75" customHeight="1" x14ac:dyDescent="0.25">
      <c r="D192" s="384"/>
      <c r="E192" s="115"/>
      <c r="F192" s="384"/>
      <c r="J192" s="151"/>
    </row>
    <row r="193" spans="1:18" ht="12.75" customHeight="1" x14ac:dyDescent="0.25">
      <c r="D193" s="384"/>
      <c r="E193" s="115" t="s">
        <v>5142</v>
      </c>
      <c r="F193" s="384"/>
      <c r="J193" s="151"/>
    </row>
    <row r="194" spans="1:18" ht="12.75" customHeight="1" x14ac:dyDescent="0.25">
      <c r="D194" s="384"/>
      <c r="E194" s="115" t="s">
        <v>5143</v>
      </c>
      <c r="F194" s="384"/>
      <c r="J194" s="151"/>
    </row>
    <row r="195" spans="1:18" ht="12.75" customHeight="1" x14ac:dyDescent="0.25">
      <c r="D195" s="384"/>
      <c r="E195" s="115" t="s">
        <v>5144</v>
      </c>
      <c r="F195" s="384"/>
      <c r="J195" s="151"/>
    </row>
    <row r="196" spans="1:18" ht="12.75" customHeight="1" x14ac:dyDescent="0.25">
      <c r="D196" s="384"/>
      <c r="E196" s="115"/>
      <c r="F196" s="384"/>
      <c r="J196" s="151"/>
    </row>
    <row r="197" spans="1:18" ht="12.75" customHeight="1" x14ac:dyDescent="0.25">
      <c r="D197" s="384"/>
      <c r="E197" s="530" t="s">
        <v>5145</v>
      </c>
      <c r="F197" s="384"/>
      <c r="J197" s="151"/>
    </row>
    <row r="198" spans="1:18" ht="12.75" customHeight="1" x14ac:dyDescent="0.25">
      <c r="D198" s="384"/>
      <c r="E198" s="115" t="s">
        <v>5146</v>
      </c>
      <c r="F198" s="384"/>
      <c r="H198" s="484"/>
      <c r="J198" s="151"/>
    </row>
    <row r="199" spans="1:18" ht="12.75" customHeight="1" x14ac:dyDescent="0.25">
      <c r="A199" s="306"/>
      <c r="D199" s="384"/>
      <c r="E199" s="484"/>
      <c r="F199" s="384"/>
      <c r="H199" s="484"/>
      <c r="J199" s="151"/>
    </row>
    <row r="200" spans="1:18" ht="12.75" customHeight="1" x14ac:dyDescent="0.25">
      <c r="A200" s="306"/>
      <c r="D200" s="393"/>
      <c r="E200" s="490" t="s">
        <v>5147</v>
      </c>
      <c r="F200" s="382"/>
      <c r="J200" s="151"/>
    </row>
    <row r="201" spans="1:18" ht="12.75" customHeight="1" x14ac:dyDescent="0.25">
      <c r="A201" s="306"/>
      <c r="E201" s="306" t="s">
        <v>5148</v>
      </c>
      <c r="J201" s="151"/>
    </row>
    <row r="202" spans="1:18" ht="12.75" customHeight="1" x14ac:dyDescent="0.25">
      <c r="E202" s="115"/>
      <c r="J202" s="151"/>
    </row>
    <row r="203" spans="1:18" ht="12.75" customHeight="1" x14ac:dyDescent="0.25">
      <c r="A203" s="306"/>
      <c r="E203" s="115" t="s">
        <v>5149</v>
      </c>
      <c r="J203" s="151"/>
    </row>
    <row r="204" spans="1:18" ht="12.75" customHeight="1" x14ac:dyDescent="0.25">
      <c r="A204" s="306"/>
      <c r="E204" s="115" t="s">
        <v>5150</v>
      </c>
      <c r="J204" s="151"/>
    </row>
    <row r="205" spans="1:18" ht="12.75" customHeight="1" x14ac:dyDescent="0.25">
      <c r="J205" s="151"/>
      <c r="K205" s="151"/>
      <c r="L205" s="151"/>
      <c r="M205" s="151"/>
      <c r="N205" s="151"/>
      <c r="O205" s="151"/>
      <c r="P205" s="151"/>
      <c r="Q205" s="151"/>
      <c r="R205" s="151"/>
    </row>
    <row r="206" spans="1:18" ht="12.75" customHeight="1" x14ac:dyDescent="0.25">
      <c r="D206" s="393">
        <v>652008</v>
      </c>
      <c r="E206" s="382"/>
      <c r="F206" s="381" t="s">
        <v>5151</v>
      </c>
      <c r="I206" s="151"/>
      <c r="J206" s="527">
        <v>2025</v>
      </c>
      <c r="K206" s="527">
        <v>2026</v>
      </c>
      <c r="L206" s="527">
        <v>2027</v>
      </c>
      <c r="M206" s="527">
        <v>2028</v>
      </c>
      <c r="N206" s="527">
        <v>2029</v>
      </c>
      <c r="O206" s="527">
        <v>2030</v>
      </c>
    </row>
    <row r="207" spans="1:18" ht="12.75" customHeight="1" x14ac:dyDescent="0.25">
      <c r="D207" s="531">
        <v>43812</v>
      </c>
      <c r="E207" s="531"/>
      <c r="F207" s="383" t="s">
        <v>5152</v>
      </c>
      <c r="I207" s="151"/>
      <c r="J207" s="151"/>
    </row>
    <row r="208" spans="1:18" ht="12.75" customHeight="1" x14ac:dyDescent="0.25">
      <c r="D208" s="531"/>
      <c r="E208" s="115" t="s">
        <v>2611</v>
      </c>
      <c r="F208" s="115" t="s">
        <v>5153</v>
      </c>
      <c r="I208" s="151"/>
      <c r="J208" s="151">
        <v>236570.76053651547</v>
      </c>
      <c r="K208" s="1671">
        <v>258764.67255459577</v>
      </c>
      <c r="L208" s="1671">
        <f>215790*(1+547325/5364835)</f>
        <v>237805.0781431302</v>
      </c>
      <c r="M208" s="1671">
        <f>131605*(1+718315/5437425)</f>
        <v>148990.77462217869</v>
      </c>
      <c r="N208" s="1671">
        <f>120730*(1+693486/4486136)</f>
        <v>139392.95733789614</v>
      </c>
      <c r="O208" s="1671">
        <f>120730*(1+693486/4486136)</f>
        <v>139392.95733789614</v>
      </c>
      <c r="P208" s="151"/>
      <c r="Q208" s="151"/>
      <c r="R208" s="151"/>
    </row>
    <row r="209" spans="1:24" ht="12.75" customHeight="1" x14ac:dyDescent="0.25">
      <c r="E209" s="115" t="s">
        <v>2613</v>
      </c>
      <c r="F209" s="115" t="s">
        <v>5154</v>
      </c>
      <c r="I209" s="151"/>
      <c r="J209" s="151">
        <v>1570.9556620730975</v>
      </c>
      <c r="K209" s="115">
        <v>0</v>
      </c>
      <c r="L209" s="151">
        <v>0</v>
      </c>
      <c r="M209" s="151">
        <v>0</v>
      </c>
      <c r="N209" s="151">
        <v>0</v>
      </c>
      <c r="O209" s="151">
        <v>0</v>
      </c>
    </row>
    <row r="210" spans="1:24" ht="12.75" customHeight="1" x14ac:dyDescent="0.25">
      <c r="E210" s="115" t="s">
        <v>2615</v>
      </c>
      <c r="F210" s="115" t="s">
        <v>5155</v>
      </c>
      <c r="I210" s="151"/>
      <c r="J210" s="151">
        <v>21397.981931244864</v>
      </c>
      <c r="K210" s="1671">
        <v>21460.185145805866</v>
      </c>
      <c r="L210" s="1671">
        <f>17500*(1+8764/79241)</f>
        <v>19435.487941848285</v>
      </c>
      <c r="M210" s="1671">
        <f>2500*(1+16309/115506)</f>
        <v>2852.9903208491337</v>
      </c>
      <c r="N210" s="1671">
        <f>2500*(1+141249/914335)</f>
        <v>2886.2069154084661</v>
      </c>
      <c r="O210" s="1671">
        <f>2500*(1+141249/914335)</f>
        <v>2886.2069154084661</v>
      </c>
      <c r="P210" s="151"/>
      <c r="Q210" s="151"/>
      <c r="R210" s="151"/>
    </row>
    <row r="211" spans="1:24" ht="12.75" customHeight="1" x14ac:dyDescent="0.25">
      <c r="E211" s="115" t="s">
        <v>2619</v>
      </c>
      <c r="F211" s="115" t="s">
        <v>5156</v>
      </c>
      <c r="I211" s="151"/>
      <c r="J211" s="151">
        <v>0</v>
      </c>
      <c r="K211" s="1671">
        <v>2662.1049587433772</v>
      </c>
      <c r="L211" s="1671">
        <v>0</v>
      </c>
      <c r="M211" s="1671">
        <v>0</v>
      </c>
      <c r="N211" s="1671">
        <v>0</v>
      </c>
      <c r="O211" s="1671">
        <v>0</v>
      </c>
      <c r="P211" s="151"/>
      <c r="Q211" s="151"/>
      <c r="R211" s="151"/>
    </row>
    <row r="212" spans="1:24" ht="12.75" customHeight="1" thickBot="1" x14ac:dyDescent="0.3">
      <c r="F212" s="115"/>
      <c r="I212" s="151"/>
      <c r="J212" s="1971">
        <v>259539.69812983344</v>
      </c>
      <c r="K212" s="1971">
        <v>282886.96265914501</v>
      </c>
      <c r="L212" s="1971">
        <f t="shared" ref="L212:M212" si="135">SUM(L208:L211)</f>
        <v>257240.56608497849</v>
      </c>
      <c r="M212" s="1971">
        <f t="shared" si="135"/>
        <v>151843.76494302784</v>
      </c>
      <c r="N212" s="1971">
        <f t="shared" ref="N212:O212" si="136">SUM(N208:N211)</f>
        <v>142279.1642533046</v>
      </c>
      <c r="O212" s="1971">
        <f t="shared" si="136"/>
        <v>142279.1642533046</v>
      </c>
      <c r="P212" s="114"/>
      <c r="Q212" s="114"/>
      <c r="R212" s="114"/>
    </row>
    <row r="213" spans="1:24" ht="12.75" customHeight="1" thickTop="1" x14ac:dyDescent="0.25">
      <c r="F213" s="115"/>
      <c r="I213" s="151"/>
      <c r="J213" s="151"/>
    </row>
    <row r="214" spans="1:24" ht="12.75" customHeight="1" x14ac:dyDescent="0.25">
      <c r="A214" s="306"/>
      <c r="D214" s="445">
        <v>652901</v>
      </c>
      <c r="E214" s="309"/>
      <c r="F214" s="381" t="s">
        <v>5111</v>
      </c>
      <c r="I214" s="151"/>
      <c r="J214" s="151"/>
      <c r="K214" s="151"/>
      <c r="L214" s="151"/>
      <c r="M214" s="151"/>
      <c r="N214" s="151"/>
      <c r="O214" s="151"/>
      <c r="P214" s="383"/>
      <c r="Q214" s="383"/>
      <c r="R214" s="383"/>
      <c r="S214" s="383"/>
      <c r="T214" s="383"/>
      <c r="U214" s="383"/>
    </row>
    <row r="215" spans="1:24" ht="12.75" customHeight="1" x14ac:dyDescent="0.25">
      <c r="A215" s="306"/>
      <c r="D215" s="532">
        <v>41100</v>
      </c>
      <c r="E215" s="532"/>
      <c r="F215" s="458" t="s">
        <v>541</v>
      </c>
      <c r="H215" s="458"/>
      <c r="I215" s="533"/>
      <c r="J215" s="151"/>
    </row>
    <row r="216" spans="1:24" ht="12.75" customHeight="1" x14ac:dyDescent="0.25">
      <c r="A216" s="306"/>
      <c r="D216" s="535"/>
      <c r="E216" s="535"/>
      <c r="F216" s="496" t="s">
        <v>1030</v>
      </c>
      <c r="H216" s="458"/>
      <c r="I216" s="533"/>
      <c r="J216" s="1668">
        <v>11530</v>
      </c>
      <c r="K216" s="1668">
        <v>12133</v>
      </c>
      <c r="L216" s="1668">
        <f>ROUND(K216*$V$3,0)</f>
        <v>12643</v>
      </c>
      <c r="M216" s="1668">
        <f>ROUND(L216*$W$3,0)</f>
        <v>13111</v>
      </c>
      <c r="N216" s="1668">
        <f>ROUND(M216*X$3,0)</f>
        <v>13596</v>
      </c>
      <c r="O216" s="1668">
        <f>ROUND(N216*Y$3,0)</f>
        <v>14099</v>
      </c>
      <c r="P216" s="533"/>
      <c r="Q216" s="533"/>
      <c r="R216" s="533"/>
    </row>
    <row r="217" spans="1:24" ht="12.75" customHeight="1" x14ac:dyDescent="0.25">
      <c r="A217" s="306"/>
      <c r="D217" s="535"/>
      <c r="E217" s="535"/>
      <c r="F217" s="496" t="s">
        <v>1029</v>
      </c>
      <c r="H217" s="458"/>
      <c r="I217" s="533"/>
      <c r="J217" s="1668">
        <v>4465</v>
      </c>
      <c r="K217" s="1668">
        <v>4459</v>
      </c>
      <c r="L217" s="1668">
        <f t="shared" ref="L217:L221" si="137">ROUND(K217*$V$3,0)</f>
        <v>4646</v>
      </c>
      <c r="M217" s="1668">
        <f t="shared" ref="M217:M221" si="138">ROUND(L217*$W$3,0)</f>
        <v>4818</v>
      </c>
      <c r="N217" s="1668">
        <f t="shared" ref="N217:N221" si="139">ROUND(M217*X$3,0)</f>
        <v>4996</v>
      </c>
      <c r="O217" s="1668">
        <f t="shared" ref="O217:O221" si="140">ROUND(N217*Y$3,0)</f>
        <v>5181</v>
      </c>
      <c r="P217" s="533"/>
      <c r="Q217" s="533"/>
      <c r="R217" s="533"/>
    </row>
    <row r="218" spans="1:24" ht="12.75" customHeight="1" x14ac:dyDescent="0.25">
      <c r="A218" s="306"/>
      <c r="D218" s="535"/>
      <c r="E218" s="535"/>
      <c r="F218" s="496" t="s">
        <v>1028</v>
      </c>
      <c r="H218" s="458"/>
      <c r="I218" s="533"/>
      <c r="J218" s="1668">
        <v>5921</v>
      </c>
      <c r="K218" s="1668">
        <v>4481</v>
      </c>
      <c r="L218" s="1668">
        <f t="shared" si="137"/>
        <v>4669</v>
      </c>
      <c r="M218" s="1668">
        <f t="shared" si="138"/>
        <v>4842</v>
      </c>
      <c r="N218" s="1668">
        <f t="shared" si="139"/>
        <v>5021</v>
      </c>
      <c r="O218" s="1668">
        <f t="shared" si="140"/>
        <v>5207</v>
      </c>
      <c r="P218" s="533"/>
      <c r="Q218" s="533"/>
      <c r="R218" s="533"/>
    </row>
    <row r="219" spans="1:24" ht="12.75" customHeight="1" x14ac:dyDescent="0.25">
      <c r="A219" s="306"/>
      <c r="D219" s="535"/>
      <c r="E219" s="535"/>
      <c r="F219" s="496" t="s">
        <v>1027</v>
      </c>
      <c r="H219" s="458"/>
      <c r="I219" s="533"/>
      <c r="J219" s="1668">
        <v>413627</v>
      </c>
      <c r="K219" s="1668">
        <v>457445</v>
      </c>
      <c r="L219" s="1668">
        <f t="shared" si="137"/>
        <v>476658</v>
      </c>
      <c r="M219" s="1668">
        <f t="shared" si="138"/>
        <v>494294</v>
      </c>
      <c r="N219" s="1668">
        <f t="shared" si="139"/>
        <v>512583</v>
      </c>
      <c r="O219" s="1668">
        <f t="shared" si="140"/>
        <v>531549</v>
      </c>
      <c r="P219" s="533"/>
      <c r="Q219" s="533"/>
      <c r="R219" s="533"/>
    </row>
    <row r="220" spans="1:24" ht="12.75" customHeight="1" x14ac:dyDescent="0.25">
      <c r="A220" s="306"/>
      <c r="D220" s="535"/>
      <c r="E220" s="535"/>
      <c r="F220" s="496" t="s">
        <v>3089</v>
      </c>
      <c r="H220" s="458"/>
      <c r="I220" s="533"/>
      <c r="J220" s="1668">
        <v>2592.4899999999998</v>
      </c>
      <c r="K220" s="1668">
        <v>2452</v>
      </c>
      <c r="L220" s="1668">
        <f t="shared" si="137"/>
        <v>2555</v>
      </c>
      <c r="M220" s="1668">
        <f t="shared" si="138"/>
        <v>2650</v>
      </c>
      <c r="N220" s="1668">
        <f t="shared" si="139"/>
        <v>2748</v>
      </c>
      <c r="O220" s="1668">
        <f t="shared" si="140"/>
        <v>2850</v>
      </c>
      <c r="P220" s="533"/>
      <c r="Q220" s="533"/>
      <c r="R220" s="533"/>
    </row>
    <row r="221" spans="1:24" ht="12.75" customHeight="1" x14ac:dyDescent="0.25">
      <c r="A221" s="306"/>
      <c r="D221" s="535"/>
      <c r="E221" s="535"/>
      <c r="F221" s="496" t="s">
        <v>707</v>
      </c>
      <c r="H221" s="458"/>
      <c r="I221" s="533"/>
      <c r="J221" s="1668">
        <v>58123</v>
      </c>
      <c r="K221" s="1668">
        <v>59939.17</v>
      </c>
      <c r="L221" s="1668">
        <f t="shared" si="137"/>
        <v>62457</v>
      </c>
      <c r="M221" s="1668">
        <f t="shared" si="138"/>
        <v>64768</v>
      </c>
      <c r="N221" s="1668">
        <f t="shared" si="139"/>
        <v>67164</v>
      </c>
      <c r="O221" s="1668">
        <f t="shared" si="140"/>
        <v>69649</v>
      </c>
      <c r="P221" s="533"/>
      <c r="Q221" s="533"/>
      <c r="R221" s="533"/>
    </row>
    <row r="222" spans="1:24" ht="12.75" customHeight="1" x14ac:dyDescent="0.25">
      <c r="A222" s="306"/>
      <c r="D222" s="535"/>
      <c r="E222" s="535"/>
      <c r="F222" s="496" t="s">
        <v>1194</v>
      </c>
      <c r="H222" s="458"/>
      <c r="I222" s="533"/>
      <c r="J222" s="1669">
        <v>496258.49</v>
      </c>
      <c r="K222" s="1669">
        <v>540909.17000000004</v>
      </c>
      <c r="L222" s="1669">
        <f>+SUM(L216:L221)</f>
        <v>563628</v>
      </c>
      <c r="M222" s="1669">
        <f>+SUM(M216:M221)</f>
        <v>584483</v>
      </c>
      <c r="N222" s="1669">
        <f>+SUM(N216:N221)</f>
        <v>606108</v>
      </c>
      <c r="O222" s="1669">
        <f>+SUM(O216:O221)</f>
        <v>628535</v>
      </c>
      <c r="P222" s="533"/>
      <c r="Q222" s="533"/>
      <c r="R222" s="533"/>
      <c r="S222" s="114"/>
      <c r="T222" s="114"/>
      <c r="U222" s="114"/>
      <c r="V222" s="114"/>
      <c r="W222" s="114"/>
      <c r="X222" s="114" t="e">
        <f>#REF!+#REF!</f>
        <v>#REF!</v>
      </c>
    </row>
    <row r="223" spans="1:24" ht="12.75" customHeight="1" x14ac:dyDescent="0.25">
      <c r="A223" s="306"/>
      <c r="D223" s="535"/>
      <c r="E223" s="535"/>
      <c r="F223" s="496" t="s">
        <v>5157</v>
      </c>
      <c r="H223" s="458"/>
      <c r="I223" s="533"/>
      <c r="J223" s="1668">
        <v>-300000</v>
      </c>
      <c r="K223" s="1668">
        <v>-300000</v>
      </c>
      <c r="L223" s="1668">
        <v>-300000</v>
      </c>
      <c r="M223" s="1668">
        <v>-300000</v>
      </c>
      <c r="N223" s="1668">
        <v>-300000</v>
      </c>
      <c r="O223" s="1668">
        <v>-300000</v>
      </c>
      <c r="P223" s="533"/>
      <c r="Q223" s="533"/>
      <c r="R223" s="533"/>
      <c r="S223" s="533">
        <v>-302120</v>
      </c>
      <c r="T223" s="533">
        <v>-301781</v>
      </c>
      <c r="U223" s="533">
        <v>-302972</v>
      </c>
      <c r="V223" s="533">
        <v>-302972</v>
      </c>
    </row>
    <row r="224" spans="1:24" ht="12.75" customHeight="1" x14ac:dyDescent="0.25">
      <c r="A224" s="306"/>
      <c r="D224" s="535"/>
      <c r="E224" s="535"/>
      <c r="F224" s="496" t="s">
        <v>5158</v>
      </c>
      <c r="H224" s="458"/>
      <c r="I224" s="533"/>
      <c r="J224" s="1668">
        <v>0</v>
      </c>
      <c r="K224" s="1668">
        <v>0</v>
      </c>
      <c r="L224" s="1668">
        <v>0</v>
      </c>
      <c r="M224" s="1668">
        <v>0</v>
      </c>
      <c r="N224" s="1668">
        <v>0</v>
      </c>
      <c r="O224" s="1668">
        <v>0</v>
      </c>
      <c r="P224" s="533"/>
      <c r="Q224" s="533"/>
      <c r="R224" s="533"/>
    </row>
    <row r="225" spans="1:24" ht="12.75" customHeight="1" x14ac:dyDescent="0.25">
      <c r="A225" s="306"/>
      <c r="D225" s="535"/>
      <c r="E225" s="535"/>
      <c r="F225" s="496"/>
      <c r="H225" s="458"/>
      <c r="I225" s="91">
        <v>0.56000000000000005</v>
      </c>
      <c r="J225" s="2241">
        <v>196258.49</v>
      </c>
      <c r="K225" s="2241">
        <v>240909.17000000004</v>
      </c>
      <c r="L225" s="2241">
        <f>SUM(L222:L224)</f>
        <v>263628</v>
      </c>
      <c r="M225" s="2241">
        <f t="shared" ref="M225" si="141">SUM(M222:M224)</f>
        <v>284483</v>
      </c>
      <c r="N225" s="2241">
        <f t="shared" ref="N225:O225" si="142">SUM(N222:N224)</f>
        <v>306108</v>
      </c>
      <c r="O225" s="2241">
        <f t="shared" si="142"/>
        <v>328535</v>
      </c>
      <c r="P225" s="534"/>
      <c r="Q225" s="534"/>
      <c r="R225" s="534"/>
    </row>
    <row r="226" spans="1:24" ht="12.75" customHeight="1" x14ac:dyDescent="0.25">
      <c r="A226" s="306"/>
      <c r="D226" s="535"/>
      <c r="E226" s="535"/>
      <c r="F226" s="496"/>
      <c r="H226" s="458"/>
      <c r="I226" s="91"/>
      <c r="J226" s="151"/>
      <c r="T226" s="114"/>
      <c r="X226" s="114" t="e">
        <f>X222+#REF!</f>
        <v>#REF!</v>
      </c>
    </row>
    <row r="227" spans="1:24" ht="12.75" customHeight="1" x14ac:dyDescent="0.25">
      <c r="A227" s="306"/>
      <c r="D227" s="536">
        <v>47501</v>
      </c>
      <c r="E227" s="536"/>
      <c r="F227" s="526" t="s">
        <v>5159</v>
      </c>
      <c r="H227" s="458"/>
      <c r="J227" s="151"/>
    </row>
    <row r="228" spans="1:24" ht="12.75" customHeight="1" x14ac:dyDescent="0.25">
      <c r="A228" s="306"/>
      <c r="D228" s="115"/>
      <c r="E228" s="400"/>
      <c r="F228" s="537" t="s">
        <v>5160</v>
      </c>
      <c r="I228" s="151"/>
      <c r="J228" s="151"/>
      <c r="K228" s="151"/>
      <c r="L228" s="151"/>
      <c r="M228" s="151"/>
      <c r="N228" s="151"/>
      <c r="O228" s="151"/>
      <c r="P228" s="114"/>
      <c r="Q228" s="114"/>
      <c r="R228" s="114"/>
      <c r="S228" s="114"/>
      <c r="T228" s="114"/>
      <c r="U228" s="114"/>
    </row>
    <row r="229" spans="1:24" ht="12.75" customHeight="1" x14ac:dyDescent="0.25">
      <c r="A229" s="306"/>
      <c r="D229" s="115"/>
      <c r="E229" s="400"/>
      <c r="F229" s="496" t="s">
        <v>946</v>
      </c>
      <c r="I229" s="151"/>
      <c r="J229" s="151">
        <v>49640</v>
      </c>
      <c r="K229" s="151">
        <v>48758</v>
      </c>
      <c r="L229" s="1668">
        <v>53250</v>
      </c>
      <c r="M229" s="1668">
        <v>58763</v>
      </c>
      <c r="N229" s="1668">
        <v>64621</v>
      </c>
      <c r="O229" s="1668">
        <v>64621</v>
      </c>
      <c r="P229" s="114"/>
      <c r="Q229" s="114"/>
      <c r="R229" s="114"/>
      <c r="S229" s="114"/>
      <c r="T229" s="114"/>
      <c r="U229" s="114"/>
    </row>
    <row r="230" spans="1:24" ht="12.75" customHeight="1" x14ac:dyDescent="0.25">
      <c r="A230" s="306"/>
      <c r="D230" s="115"/>
      <c r="E230" s="400"/>
      <c r="F230" s="496" t="s">
        <v>947</v>
      </c>
      <c r="I230" s="151"/>
      <c r="J230" s="151">
        <v>1157</v>
      </c>
      <c r="K230" s="151">
        <v>1183</v>
      </c>
      <c r="L230" s="1668">
        <v>1234</v>
      </c>
      <c r="M230" s="1668">
        <v>1287</v>
      </c>
      <c r="N230" s="1668">
        <v>1341</v>
      </c>
      <c r="O230" s="1668">
        <v>1341</v>
      </c>
      <c r="P230" s="114"/>
      <c r="Q230" s="114"/>
      <c r="R230" s="114"/>
      <c r="S230" s="114"/>
      <c r="T230" s="114"/>
      <c r="U230" s="114"/>
    </row>
    <row r="231" spans="1:24" ht="12.75" customHeight="1" x14ac:dyDescent="0.25">
      <c r="A231" s="306"/>
      <c r="D231" s="115"/>
      <c r="E231" s="400"/>
      <c r="F231" s="496" t="s">
        <v>948</v>
      </c>
      <c r="I231" s="151"/>
      <c r="J231" s="151">
        <v>94962</v>
      </c>
      <c r="K231" s="151">
        <v>94598</v>
      </c>
      <c r="L231" s="1668">
        <v>98666</v>
      </c>
      <c r="M231" s="1668">
        <v>102910</v>
      </c>
      <c r="N231" s="1668">
        <v>107336</v>
      </c>
      <c r="O231" s="1668">
        <v>107336</v>
      </c>
      <c r="P231" s="114"/>
      <c r="Q231" s="114"/>
      <c r="R231" s="114"/>
      <c r="S231" s="114"/>
      <c r="T231" s="114"/>
      <c r="U231" s="114"/>
    </row>
    <row r="232" spans="1:24" ht="12.75" customHeight="1" x14ac:dyDescent="0.25">
      <c r="A232" s="306"/>
      <c r="D232" s="115"/>
      <c r="E232" s="400"/>
      <c r="F232" s="496" t="s">
        <v>5161</v>
      </c>
      <c r="I232" s="151"/>
      <c r="J232" s="151">
        <v>125954</v>
      </c>
      <c r="K232" s="151">
        <v>118566</v>
      </c>
      <c r="L232" s="1668">
        <v>126065</v>
      </c>
      <c r="M232" s="1668">
        <v>128492</v>
      </c>
      <c r="N232" s="1668">
        <v>133452</v>
      </c>
      <c r="O232" s="1668">
        <v>133452</v>
      </c>
      <c r="P232" s="114"/>
      <c r="Q232" s="114"/>
      <c r="R232" s="114"/>
      <c r="S232" s="114"/>
      <c r="T232" s="114"/>
      <c r="U232" s="114"/>
    </row>
    <row r="233" spans="1:24" ht="12.75" customHeight="1" x14ac:dyDescent="0.25">
      <c r="A233" s="306"/>
      <c r="D233" s="115"/>
      <c r="E233" s="400"/>
      <c r="F233" s="496" t="s">
        <v>950</v>
      </c>
      <c r="I233" s="151"/>
      <c r="J233" s="151">
        <v>17437</v>
      </c>
      <c r="K233" s="151">
        <v>16711</v>
      </c>
      <c r="L233" s="1668">
        <v>17407</v>
      </c>
      <c r="M233" s="1668">
        <v>18133</v>
      </c>
      <c r="N233" s="1668">
        <v>18889</v>
      </c>
      <c r="O233" s="1668">
        <v>18889</v>
      </c>
      <c r="P233" s="114"/>
      <c r="Q233" s="114"/>
      <c r="R233" s="114"/>
      <c r="S233" s="114"/>
      <c r="T233" s="114"/>
      <c r="U233" s="114"/>
    </row>
    <row r="234" spans="1:24" ht="12.75" customHeight="1" x14ac:dyDescent="0.25">
      <c r="A234" s="306"/>
      <c r="D234" s="115"/>
      <c r="E234" s="400"/>
      <c r="F234" s="496" t="s">
        <v>1539</v>
      </c>
      <c r="I234" s="151"/>
      <c r="J234" s="151">
        <v>55687</v>
      </c>
      <c r="K234" s="151">
        <v>68158</v>
      </c>
      <c r="L234" s="1668">
        <v>63165</v>
      </c>
      <c r="M234" s="1668">
        <v>66071</v>
      </c>
      <c r="N234" s="1668">
        <v>69110</v>
      </c>
      <c r="O234" s="1668">
        <v>69110</v>
      </c>
      <c r="P234" s="114"/>
      <c r="Q234" s="114"/>
      <c r="R234" s="114"/>
      <c r="S234" s="114"/>
      <c r="T234" s="114"/>
      <c r="U234" s="114"/>
    </row>
    <row r="235" spans="1:24" ht="12.75" customHeight="1" x14ac:dyDescent="0.25">
      <c r="A235" s="306"/>
      <c r="D235" s="115"/>
      <c r="E235" s="400"/>
      <c r="F235" s="496" t="s">
        <v>1801</v>
      </c>
      <c r="I235" s="151"/>
      <c r="J235" s="151">
        <v>20275</v>
      </c>
      <c r="K235" s="151">
        <v>17452</v>
      </c>
      <c r="L235" s="1668">
        <v>26920</v>
      </c>
      <c r="M235" s="1668">
        <v>26992</v>
      </c>
      <c r="N235" s="1668">
        <v>27355</v>
      </c>
      <c r="O235" s="1668">
        <v>27355</v>
      </c>
      <c r="P235" s="114"/>
      <c r="Q235" s="114"/>
      <c r="R235" s="114"/>
      <c r="S235" s="114"/>
      <c r="T235" s="114"/>
      <c r="U235" s="114"/>
    </row>
    <row r="236" spans="1:24" ht="12.75" customHeight="1" x14ac:dyDescent="0.25">
      <c r="A236" s="306"/>
      <c r="D236" s="115"/>
      <c r="E236" s="400"/>
      <c r="F236" s="496" t="s">
        <v>1813</v>
      </c>
      <c r="I236" s="151"/>
      <c r="J236" s="1672">
        <v>82707</v>
      </c>
      <c r="K236" s="1672">
        <v>79305</v>
      </c>
      <c r="L236" s="1668">
        <v>79236</v>
      </c>
      <c r="M236" s="1668">
        <v>80429</v>
      </c>
      <c r="N236" s="1668">
        <v>81821</v>
      </c>
      <c r="O236" s="1668">
        <v>81821</v>
      </c>
      <c r="P236" s="114"/>
      <c r="Q236" s="114"/>
      <c r="R236" s="114"/>
      <c r="S236" s="114"/>
      <c r="T236" s="114"/>
      <c r="U236" s="114"/>
    </row>
    <row r="237" spans="1:24" ht="12.75" customHeight="1" x14ac:dyDescent="0.25">
      <c r="A237" s="306"/>
      <c r="D237" s="115"/>
      <c r="E237" s="400"/>
      <c r="F237" s="496"/>
      <c r="I237" s="151"/>
      <c r="J237" s="151"/>
      <c r="K237" s="151"/>
      <c r="L237" s="151"/>
      <c r="M237" s="151"/>
      <c r="N237" s="151"/>
      <c r="O237" s="151"/>
      <c r="P237" s="114"/>
      <c r="Q237" s="114"/>
      <c r="R237" s="114"/>
      <c r="S237" s="114"/>
      <c r="T237" s="114"/>
      <c r="U237" s="114"/>
    </row>
    <row r="238" spans="1:24" ht="12.75" customHeight="1" x14ac:dyDescent="0.25">
      <c r="A238" s="306"/>
      <c r="D238" s="115"/>
      <c r="E238" s="400"/>
      <c r="F238" s="496"/>
      <c r="I238" s="151"/>
      <c r="J238" s="151"/>
      <c r="K238" s="151"/>
      <c r="L238" s="151"/>
      <c r="M238" s="151"/>
      <c r="N238" s="151"/>
      <c r="O238" s="151"/>
      <c r="P238" s="114"/>
      <c r="Q238" s="114"/>
      <c r="R238" s="114"/>
      <c r="S238" s="114"/>
      <c r="T238" s="114"/>
      <c r="U238" s="114"/>
    </row>
    <row r="239" spans="1:24" ht="12.75" customHeight="1" x14ac:dyDescent="0.25">
      <c r="A239" s="306"/>
      <c r="D239" s="115"/>
      <c r="E239" s="400"/>
      <c r="F239" s="496"/>
      <c r="I239" s="151"/>
      <c r="J239" s="114"/>
      <c r="K239" s="114"/>
      <c r="L239" s="114"/>
      <c r="M239" s="114"/>
      <c r="N239" s="114"/>
      <c r="O239" s="114"/>
      <c r="P239" s="114"/>
      <c r="Q239" s="114"/>
      <c r="R239" s="114"/>
      <c r="S239" s="114"/>
      <c r="T239" s="114"/>
      <c r="U239" s="114"/>
    </row>
    <row r="240" spans="1:24" ht="12.75" customHeight="1" x14ac:dyDescent="0.25">
      <c r="A240" s="306"/>
      <c r="D240" s="115"/>
      <c r="E240" s="400"/>
      <c r="F240" s="496" t="str">
        <f>"Totaal "</f>
        <v xml:space="preserve">Totaal </v>
      </c>
      <c r="I240" s="248"/>
      <c r="J240" s="2019">
        <v>447819</v>
      </c>
      <c r="K240" s="2019">
        <v>444731</v>
      </c>
      <c r="L240" s="2019">
        <f>SUM(L228:L239)</f>
        <v>465943</v>
      </c>
      <c r="M240" s="2019">
        <f>SUM(M228:M239)</f>
        <v>483077</v>
      </c>
      <c r="N240" s="2019">
        <f>SUM(N228:N239)</f>
        <v>503925</v>
      </c>
      <c r="O240" s="2019">
        <f>SUM(O228:O239)</f>
        <v>503925</v>
      </c>
      <c r="P240" s="151"/>
      <c r="Q240" s="151"/>
      <c r="R240" s="151"/>
      <c r="S240" s="114">
        <v>359263</v>
      </c>
      <c r="T240" s="114">
        <v>367526.04899999994</v>
      </c>
      <c r="U240" s="114">
        <v>375979.14812699991</v>
      </c>
      <c r="V240" s="114">
        <v>384626.66853392089</v>
      </c>
    </row>
    <row r="241" spans="1:22" ht="12.75" customHeight="1" x14ac:dyDescent="0.25">
      <c r="A241" s="306"/>
      <c r="D241" s="115"/>
      <c r="E241" s="400"/>
      <c r="F241" s="496"/>
      <c r="I241" s="151"/>
      <c r="J241" s="2242"/>
      <c r="K241" s="2243"/>
      <c r="L241" s="2243"/>
      <c r="M241" s="2243"/>
      <c r="N241" s="2243"/>
      <c r="O241" s="2243"/>
      <c r="S241" s="114"/>
      <c r="T241" s="114"/>
      <c r="U241" s="114"/>
      <c r="V241" s="114"/>
    </row>
    <row r="242" spans="1:22" ht="12.75" customHeight="1" x14ac:dyDescent="0.25">
      <c r="A242" s="306"/>
      <c r="D242" s="115"/>
      <c r="E242" s="400"/>
      <c r="F242" s="496" t="s">
        <v>5162</v>
      </c>
      <c r="I242" s="539"/>
      <c r="J242" s="151">
        <v>644077.49</v>
      </c>
      <c r="K242" s="151">
        <v>685640.17</v>
      </c>
      <c r="L242" s="151">
        <f>L225+L240</f>
        <v>729571</v>
      </c>
      <c r="M242" s="151">
        <f>M225+M240</f>
        <v>767560</v>
      </c>
      <c r="N242" s="151">
        <f>N225+N240</f>
        <v>810033</v>
      </c>
      <c r="O242" s="151">
        <f>O225+O240</f>
        <v>832460</v>
      </c>
      <c r="P242" s="151"/>
      <c r="Q242" s="151"/>
      <c r="R242" s="151"/>
      <c r="S242" s="114">
        <v>574985</v>
      </c>
      <c r="T242" s="114">
        <v>549135.81199999992</v>
      </c>
      <c r="U242" s="114">
        <v>267345.99767599982</v>
      </c>
      <c r="V242" s="114">
        <v>291183.01862254774</v>
      </c>
    </row>
    <row r="243" spans="1:22" ht="12.75" customHeight="1" x14ac:dyDescent="0.25">
      <c r="A243" s="306"/>
      <c r="D243" s="115"/>
      <c r="E243" s="400"/>
      <c r="F243" s="400"/>
      <c r="G243" s="496"/>
      <c r="J243" s="151"/>
      <c r="S243" s="151"/>
      <c r="T243" s="151"/>
      <c r="U243" s="151"/>
    </row>
    <row r="244" spans="1:22" ht="12.75" customHeight="1" x14ac:dyDescent="0.25">
      <c r="A244" s="306"/>
      <c r="D244" s="115"/>
      <c r="E244" s="400"/>
      <c r="F244" s="540" t="s">
        <v>5163</v>
      </c>
      <c r="I244" s="114"/>
      <c r="J244" s="151"/>
      <c r="S244" s="527"/>
      <c r="T244" s="527"/>
      <c r="U244" s="527"/>
      <c r="V244" s="527"/>
    </row>
    <row r="245" spans="1:22" ht="12.75" customHeight="1" x14ac:dyDescent="0.25">
      <c r="A245" s="306"/>
      <c r="E245" s="2236" t="s">
        <v>2609</v>
      </c>
      <c r="F245" s="604" t="s">
        <v>5164</v>
      </c>
      <c r="I245" s="92"/>
      <c r="J245" s="1672">
        <v>39167.816053667666</v>
      </c>
      <c r="K245" s="151">
        <v>35926.428977439085</v>
      </c>
      <c r="L245" s="151">
        <v>0</v>
      </c>
      <c r="M245" s="151">
        <v>0</v>
      </c>
      <c r="N245" s="151">
        <v>0</v>
      </c>
      <c r="O245" s="151">
        <v>0</v>
      </c>
      <c r="P245" s="1672"/>
      <c r="Q245" s="1672"/>
      <c r="R245" s="538"/>
      <c r="S245" s="538"/>
      <c r="T245" s="538"/>
      <c r="U245" s="538"/>
      <c r="V245" s="538"/>
    </row>
    <row r="246" spans="1:22" ht="12.75" customHeight="1" x14ac:dyDescent="0.25">
      <c r="A246" s="306"/>
      <c r="E246" s="604" t="s">
        <v>2611</v>
      </c>
      <c r="F246" s="604" t="s">
        <v>5153</v>
      </c>
      <c r="I246" s="92"/>
      <c r="J246" s="151">
        <v>329168.74648630858</v>
      </c>
      <c r="K246" s="1671">
        <v>326753.02836129209</v>
      </c>
      <c r="L246" s="1671">
        <f>296940*(1+547325/5364835)</f>
        <v>327234.06971509836</v>
      </c>
      <c r="M246" s="1671">
        <f>296940*(1+718315/5437425)</f>
        <v>336167.4755238003</v>
      </c>
      <c r="N246" s="1671">
        <f>270660*(1+693486/4486136)</f>
        <v>312499.77497784287</v>
      </c>
      <c r="O246" s="1671">
        <f>270660*(1+693486/4486136)</f>
        <v>312499.77497784287</v>
      </c>
      <c r="P246" s="151"/>
      <c r="Q246" s="151"/>
      <c r="R246" s="151"/>
      <c r="S246" s="151"/>
      <c r="T246" s="151"/>
      <c r="U246" s="151"/>
      <c r="V246" s="151"/>
    </row>
    <row r="247" spans="1:22" ht="12.75" customHeight="1" x14ac:dyDescent="0.25">
      <c r="A247" s="306"/>
      <c r="E247" s="2240" t="s">
        <v>2613</v>
      </c>
      <c r="F247" s="604" t="s">
        <v>5154</v>
      </c>
      <c r="I247" s="92"/>
      <c r="J247" s="151">
        <v>17343.350509286996</v>
      </c>
      <c r="K247" s="151">
        <v>0</v>
      </c>
      <c r="L247" s="151">
        <v>0</v>
      </c>
      <c r="M247" s="151">
        <v>0</v>
      </c>
      <c r="N247" s="151">
        <v>0</v>
      </c>
      <c r="O247" s="151">
        <v>0</v>
      </c>
      <c r="S247" s="151"/>
      <c r="T247" s="151"/>
      <c r="U247" s="151"/>
      <c r="V247" s="151"/>
    </row>
    <row r="248" spans="1:22" ht="12.75" customHeight="1" x14ac:dyDescent="0.25">
      <c r="A248" s="306"/>
      <c r="E248" s="2240" t="s">
        <v>2619</v>
      </c>
      <c r="F248" s="115" t="s">
        <v>5156</v>
      </c>
      <c r="I248" s="92"/>
      <c r="J248" s="1672">
        <v>96507.432078529004</v>
      </c>
      <c r="K248" s="151">
        <v>62964.106484198353</v>
      </c>
      <c r="L248" s="151">
        <f>41355*(1+152136/1492646)</f>
        <v>45570.054527329325</v>
      </c>
      <c r="M248" s="151">
        <v>0</v>
      </c>
      <c r="N248" s="151">
        <v>0</v>
      </c>
      <c r="O248" s="151">
        <v>0</v>
      </c>
      <c r="P248" s="1672"/>
      <c r="Q248" s="1672"/>
      <c r="R248" s="538"/>
      <c r="S248" s="538"/>
      <c r="T248" s="538"/>
      <c r="U248" s="538"/>
      <c r="V248" s="538"/>
    </row>
    <row r="249" spans="1:22" ht="12.75" customHeight="1" x14ac:dyDescent="0.25">
      <c r="A249" s="306"/>
      <c r="E249" s="2240" t="s">
        <v>2615</v>
      </c>
      <c r="F249" s="604" t="s">
        <v>5155</v>
      </c>
      <c r="I249" s="92"/>
      <c r="J249" s="151">
        <v>49412.219875630639</v>
      </c>
      <c r="K249" s="1673">
        <v>52083.869348870845</v>
      </c>
      <c r="L249" s="1673">
        <f>59742*(1+8764/79241)</f>
        <v>66349.424035537158</v>
      </c>
      <c r="M249" s="1673">
        <f>24270*(1+16309/115506)</f>
        <v>27696.830034803388</v>
      </c>
      <c r="N249" s="1673">
        <f>18669*(1+141249/914335)</f>
        <v>21553.038761504264</v>
      </c>
      <c r="O249" s="1673">
        <f>18669*(1+141249/914335)</f>
        <v>21553.038761504264</v>
      </c>
      <c r="P249" s="151"/>
      <c r="Q249" s="151"/>
      <c r="R249" s="151"/>
      <c r="S249" s="151"/>
      <c r="T249" s="151"/>
      <c r="U249" s="151"/>
      <c r="V249" s="151"/>
    </row>
    <row r="250" spans="1:22" ht="12.75" customHeight="1" x14ac:dyDescent="0.25">
      <c r="A250" s="306"/>
      <c r="E250" s="2240" t="s">
        <v>5127</v>
      </c>
      <c r="F250" s="604" t="s">
        <v>5165</v>
      </c>
      <c r="I250" s="92"/>
      <c r="J250" s="1674">
        <v>33469.942857142858</v>
      </c>
      <c r="K250" s="1674">
        <v>0</v>
      </c>
      <c r="L250" s="1674">
        <v>0</v>
      </c>
      <c r="M250" s="1674">
        <v>0</v>
      </c>
      <c r="N250" s="1674">
        <v>0</v>
      </c>
      <c r="O250" s="1674">
        <v>0</v>
      </c>
      <c r="S250" s="538"/>
      <c r="T250" s="538"/>
      <c r="U250" s="538"/>
      <c r="V250" s="538"/>
    </row>
    <row r="251" spans="1:22" ht="12.75" customHeight="1" x14ac:dyDescent="0.25">
      <c r="A251" s="306"/>
      <c r="D251" s="541"/>
      <c r="E251" s="2244"/>
      <c r="F251" s="2244"/>
      <c r="G251" s="604"/>
      <c r="H251" s="604" t="s">
        <v>536</v>
      </c>
      <c r="I251" s="92"/>
      <c r="J251" s="151">
        <v>565069.50786056579</v>
      </c>
      <c r="K251" s="151">
        <v>477727.43317180034</v>
      </c>
      <c r="L251" s="151">
        <f t="shared" ref="L251:M251" si="143">SUM(L245:L250)</f>
        <v>439153.54827796487</v>
      </c>
      <c r="M251" s="151">
        <f t="shared" si="143"/>
        <v>363864.30555860366</v>
      </c>
      <c r="N251" s="151">
        <f t="shared" ref="N251:O251" si="144">SUM(N245:N250)</f>
        <v>334052.81373934716</v>
      </c>
      <c r="O251" s="151">
        <f t="shared" si="144"/>
        <v>334052.81373934716</v>
      </c>
      <c r="P251" s="151"/>
      <c r="Q251" s="151"/>
      <c r="R251" s="151"/>
      <c r="S251" s="151"/>
      <c r="T251" s="151"/>
      <c r="U251" s="151"/>
      <c r="V251" s="151"/>
    </row>
    <row r="252" spans="1:22" ht="12.75" customHeight="1" x14ac:dyDescent="0.25">
      <c r="A252" s="306"/>
      <c r="D252" s="115"/>
      <c r="E252" s="400"/>
      <c r="F252" s="400"/>
      <c r="G252" s="496"/>
      <c r="J252" s="151"/>
      <c r="K252" s="114"/>
      <c r="L252" s="114"/>
      <c r="M252" s="114"/>
      <c r="N252" s="114"/>
      <c r="O252" s="114"/>
      <c r="P252" s="114"/>
      <c r="Q252" s="114"/>
      <c r="R252" s="114"/>
      <c r="S252" s="114"/>
      <c r="T252" s="114"/>
      <c r="U252" s="114"/>
    </row>
    <row r="253" spans="1:22" ht="12.75" customHeight="1" thickBot="1" x14ac:dyDescent="0.3">
      <c r="A253" s="306"/>
      <c r="D253" s="115"/>
      <c r="E253" s="400"/>
      <c r="F253" s="496" t="s">
        <v>5166</v>
      </c>
      <c r="I253" s="151"/>
      <c r="J253" s="2239">
        <v>79007.9821394342</v>
      </c>
      <c r="K253" s="2239">
        <v>207912.7368281997</v>
      </c>
      <c r="L253" s="2239">
        <f t="shared" ref="L253:M253" si="145">+L242-L251</f>
        <v>290417.45172203513</v>
      </c>
      <c r="M253" s="2239">
        <f t="shared" si="145"/>
        <v>403695.69444139634</v>
      </c>
      <c r="N253" s="2239">
        <f t="shared" ref="N253:O253" si="146">+N242-N251</f>
        <v>475980.18626065284</v>
      </c>
      <c r="O253" s="2239">
        <f t="shared" si="146"/>
        <v>498407.18626065284</v>
      </c>
      <c r="P253" s="151"/>
      <c r="Q253" s="151"/>
      <c r="R253" s="151"/>
      <c r="S253" s="114"/>
      <c r="T253" s="114"/>
      <c r="U253" s="114"/>
    </row>
    <row r="254" spans="1:22" ht="12.75" customHeight="1" thickTop="1" x14ac:dyDescent="0.25">
      <c r="A254" s="306"/>
      <c r="D254" s="115"/>
      <c r="E254" s="400"/>
      <c r="F254" s="496"/>
      <c r="I254" s="151"/>
      <c r="J254" s="151"/>
      <c r="K254" s="151"/>
      <c r="L254" s="114"/>
      <c r="M254" s="114"/>
      <c r="N254" s="114"/>
      <c r="O254" s="114"/>
      <c r="P254" s="114"/>
      <c r="Q254" s="114"/>
      <c r="R254" s="114"/>
      <c r="S254" s="114"/>
      <c r="T254" s="114"/>
      <c r="U254" s="114"/>
    </row>
    <row r="255" spans="1:22" ht="12.75" customHeight="1" x14ac:dyDescent="0.25">
      <c r="A255" s="306"/>
      <c r="D255" s="115"/>
      <c r="E255" s="400"/>
      <c r="F255" s="496"/>
      <c r="I255" s="151"/>
      <c r="J255" s="151"/>
      <c r="K255" s="151"/>
      <c r="L255" s="151"/>
      <c r="M255" s="151"/>
      <c r="N255" s="151"/>
      <c r="O255" s="151"/>
      <c r="P255" s="151"/>
      <c r="Q255" s="151"/>
      <c r="R255" s="151"/>
      <c r="S255" s="114"/>
      <c r="T255" s="114"/>
      <c r="U255" s="114"/>
    </row>
    <row r="256" spans="1:22" s="358" customFormat="1" ht="12.75" customHeight="1" x14ac:dyDescent="0.25">
      <c r="A256" s="543"/>
      <c r="B256" s="543"/>
      <c r="D256" s="393">
        <v>652012</v>
      </c>
      <c r="E256" s="382"/>
      <c r="F256" s="381" t="s">
        <v>5112</v>
      </c>
      <c r="G256" s="115"/>
      <c r="H256" s="115"/>
      <c r="I256" s="485"/>
      <c r="J256" s="527">
        <v>2025</v>
      </c>
      <c r="K256" s="527">
        <v>2026</v>
      </c>
      <c r="L256" s="527">
        <v>2027</v>
      </c>
      <c r="M256" s="527">
        <v>2028</v>
      </c>
      <c r="N256" s="527">
        <v>2029</v>
      </c>
      <c r="O256" s="527">
        <v>2030</v>
      </c>
      <c r="P256" s="527"/>
      <c r="Q256" s="527"/>
      <c r="R256" s="527"/>
      <c r="S256" s="544"/>
      <c r="T256" s="544"/>
      <c r="U256" s="544"/>
    </row>
    <row r="257" spans="1:21" s="358" customFormat="1" ht="12.75" customHeight="1" x14ac:dyDescent="0.25">
      <c r="A257" s="543"/>
      <c r="B257" s="543"/>
      <c r="D257" s="531">
        <v>43511</v>
      </c>
      <c r="E257" s="531"/>
      <c r="F257" s="383" t="s">
        <v>5125</v>
      </c>
      <c r="G257" s="115"/>
      <c r="H257" s="115"/>
      <c r="I257" s="115"/>
      <c r="J257" s="115"/>
      <c r="K257" s="114"/>
      <c r="L257" s="114"/>
      <c r="M257" s="114"/>
      <c r="N257" s="114"/>
      <c r="O257" s="114"/>
      <c r="P257" s="114"/>
      <c r="Q257" s="114"/>
      <c r="R257" s="544"/>
      <c r="S257" s="544"/>
      <c r="T257" s="544"/>
      <c r="U257" s="544"/>
    </row>
    <row r="258" spans="1:21" s="358" customFormat="1" ht="12.75" customHeight="1" x14ac:dyDescent="0.3">
      <c r="A258" s="543"/>
      <c r="B258" s="543"/>
      <c r="D258" s="115"/>
      <c r="E258" s="2236" t="s">
        <v>2611</v>
      </c>
      <c r="F258" s="604" t="s">
        <v>5153</v>
      </c>
      <c r="G258" s="115"/>
      <c r="H258" s="115"/>
      <c r="I258" s="2237"/>
      <c r="J258" s="114">
        <v>30674.324350987114</v>
      </c>
      <c r="K258" s="1593">
        <v>25646.981928866375</v>
      </c>
      <c r="L258" s="1593">
        <f>24084*(1+547325/5364835)</f>
        <v>26541.070031044754</v>
      </c>
      <c r="M258" s="1593">
        <f>24084*(1+718315/5437425)</f>
        <v>27265.634405991805</v>
      </c>
      <c r="N258" s="1593">
        <f>12566*(1+693486/4486136)</f>
        <v>14508.505772450946</v>
      </c>
      <c r="O258" s="1593">
        <f>12566*(1+693486/4486136)</f>
        <v>14508.505772450946</v>
      </c>
      <c r="P258" s="114"/>
      <c r="Q258" s="114"/>
      <c r="R258" s="114"/>
      <c r="S258" s="544"/>
      <c r="T258" s="544"/>
      <c r="U258" s="544"/>
    </row>
    <row r="259" spans="1:21" s="358" customFormat="1" ht="12.75" customHeight="1" thickBot="1" x14ac:dyDescent="0.3">
      <c r="A259" s="543"/>
      <c r="B259" s="543"/>
      <c r="D259" s="301"/>
      <c r="E259" s="143"/>
      <c r="F259" s="115" t="s">
        <v>536</v>
      </c>
      <c r="G259" s="115"/>
      <c r="H259" s="2238"/>
      <c r="I259" s="394"/>
      <c r="J259" s="1971">
        <v>30674.324350987114</v>
      </c>
      <c r="K259" s="1971">
        <v>25646.981928866375</v>
      </c>
      <c r="L259" s="1971">
        <f t="shared" ref="L259:M259" si="147">SUM(L258:L258)</f>
        <v>26541.070031044754</v>
      </c>
      <c r="M259" s="1971">
        <f t="shared" si="147"/>
        <v>27265.634405991805</v>
      </c>
      <c r="N259" s="1971">
        <f t="shared" ref="N259:O259" si="148">SUM(N258:N258)</f>
        <v>14508.505772450946</v>
      </c>
      <c r="O259" s="1971">
        <f t="shared" si="148"/>
        <v>14508.505772450946</v>
      </c>
      <c r="P259" s="394"/>
      <c r="Q259" s="394"/>
      <c r="R259" s="394"/>
      <c r="S259" s="544"/>
      <c r="T259" s="544"/>
      <c r="U259" s="544"/>
    </row>
    <row r="260" spans="1:21" s="358" customFormat="1" ht="12.75" customHeight="1" thickTop="1" x14ac:dyDescent="0.25">
      <c r="A260" s="543"/>
      <c r="B260" s="543"/>
      <c r="D260" s="400"/>
      <c r="E260" s="400"/>
      <c r="F260" s="496"/>
      <c r="G260" s="115"/>
      <c r="H260" s="115"/>
      <c r="I260" s="151"/>
      <c r="J260" s="151"/>
      <c r="K260" s="114"/>
      <c r="L260" s="114"/>
      <c r="M260" s="114"/>
      <c r="N260" s="114"/>
      <c r="O260" s="114"/>
      <c r="P260" s="544"/>
      <c r="Q260" s="544"/>
      <c r="R260" s="544"/>
      <c r="S260" s="544"/>
      <c r="T260" s="544"/>
      <c r="U260" s="544"/>
    </row>
    <row r="261" spans="1:21" s="358" customFormat="1" ht="12.75" customHeight="1" x14ac:dyDescent="0.25">
      <c r="A261" s="543"/>
      <c r="B261" s="543"/>
      <c r="D261" s="400">
        <v>43812</v>
      </c>
      <c r="E261" s="400" t="s">
        <v>5350</v>
      </c>
      <c r="F261" s="2250" t="s">
        <v>5351</v>
      </c>
      <c r="G261" s="2213"/>
      <c r="H261" s="2213"/>
      <c r="I261" s="2251"/>
      <c r="J261" s="2251"/>
      <c r="K261" s="2214">
        <v>100000</v>
      </c>
      <c r="L261" s="2214"/>
      <c r="M261" s="2214"/>
      <c r="N261" s="2214"/>
      <c r="O261" s="2214"/>
      <c r="P261" s="544"/>
      <c r="Q261" s="544"/>
      <c r="R261" s="544"/>
      <c r="S261" s="544"/>
      <c r="T261" s="544"/>
      <c r="U261" s="544"/>
    </row>
    <row r="262" spans="1:21" s="358" customFormat="1" ht="12.75" customHeight="1" thickBot="1" x14ac:dyDescent="0.3">
      <c r="A262" s="543"/>
      <c r="B262" s="543"/>
      <c r="D262" s="115"/>
      <c r="E262" s="400"/>
      <c r="F262" s="496"/>
      <c r="G262" s="115"/>
      <c r="H262" s="115"/>
      <c r="I262" s="151"/>
      <c r="J262" s="2239">
        <f>SUM(J261)</f>
        <v>0</v>
      </c>
      <c r="K262" s="2239">
        <f t="shared" ref="K262:O262" si="149">SUM(K261)</f>
        <v>100000</v>
      </c>
      <c r="L262" s="2239">
        <f t="shared" si="149"/>
        <v>0</v>
      </c>
      <c r="M262" s="2239">
        <f t="shared" si="149"/>
        <v>0</v>
      </c>
      <c r="N262" s="2239">
        <f t="shared" si="149"/>
        <v>0</v>
      </c>
      <c r="O262" s="2239">
        <f t="shared" si="149"/>
        <v>0</v>
      </c>
      <c r="P262" s="544"/>
      <c r="Q262" s="544"/>
      <c r="R262" s="544"/>
      <c r="S262" s="544"/>
      <c r="T262" s="544"/>
      <c r="U262" s="544"/>
    </row>
    <row r="263" spans="1:21" s="358" customFormat="1" ht="12.75" customHeight="1" thickTop="1" x14ac:dyDescent="0.25">
      <c r="A263" s="543"/>
      <c r="B263" s="543"/>
      <c r="D263" s="115"/>
      <c r="E263" s="400"/>
      <c r="F263" s="496"/>
      <c r="G263" s="115"/>
      <c r="H263" s="115"/>
      <c r="I263" s="151"/>
      <c r="J263" s="151"/>
      <c r="K263" s="114"/>
      <c r="L263" s="114"/>
      <c r="M263" s="114"/>
      <c r="N263" s="114"/>
      <c r="O263" s="114"/>
      <c r="P263" s="544"/>
      <c r="Q263" s="544"/>
      <c r="R263" s="544"/>
      <c r="S263" s="544"/>
      <c r="T263" s="544"/>
      <c r="U263" s="544"/>
    </row>
    <row r="264" spans="1:21" ht="12.75" customHeight="1" x14ac:dyDescent="0.25">
      <c r="A264" s="306"/>
      <c r="D264" s="393">
        <v>652034</v>
      </c>
      <c r="E264" s="382"/>
      <c r="F264" s="381" t="s">
        <v>5113</v>
      </c>
      <c r="I264" s="383"/>
      <c r="J264" s="115"/>
    </row>
    <row r="265" spans="1:21" ht="12.75" customHeight="1" x14ac:dyDescent="0.25">
      <c r="A265" s="306"/>
      <c r="D265" s="531">
        <v>43200</v>
      </c>
      <c r="E265" s="531"/>
      <c r="F265" s="383" t="s">
        <v>5126</v>
      </c>
      <c r="J265" s="151"/>
    </row>
    <row r="266" spans="1:21" ht="12.75" customHeight="1" x14ac:dyDescent="0.25">
      <c r="A266" s="306"/>
      <c r="E266" s="115" t="s">
        <v>2611</v>
      </c>
      <c r="F266" s="115" t="s">
        <v>5153</v>
      </c>
      <c r="I266" s="1672"/>
      <c r="J266" s="1672">
        <v>1783039.7186596047</v>
      </c>
      <c r="K266" s="151">
        <v>1749199.9882227166</v>
      </c>
      <c r="L266" s="151">
        <f>1642600*(1+547325/5364835)</f>
        <v>1810179.4400014165</v>
      </c>
      <c r="M266" s="151">
        <f>919856*(1+718315/5437425)</f>
        <v>1041374.2485533133</v>
      </c>
      <c r="N266" s="151">
        <v>0</v>
      </c>
      <c r="O266" s="151">
        <v>0</v>
      </c>
      <c r="P266" s="538"/>
      <c r="Q266" s="538"/>
      <c r="R266" s="538"/>
    </row>
    <row r="267" spans="1:21" ht="12.75" customHeight="1" thickBot="1" x14ac:dyDescent="0.3">
      <c r="A267" s="306"/>
      <c r="F267" s="115"/>
      <c r="H267" s="115" t="s">
        <v>536</v>
      </c>
      <c r="I267" s="114"/>
      <c r="J267" s="2239">
        <v>1783039.7186596047</v>
      </c>
      <c r="K267" s="2239">
        <v>1749199.9882227166</v>
      </c>
      <c r="L267" s="2239">
        <f>SUM(L266:L266)</f>
        <v>1810179.4400014165</v>
      </c>
      <c r="M267" s="2239">
        <f>SUM(M266:M266)</f>
        <v>1041374.2485533133</v>
      </c>
      <c r="N267" s="2239">
        <f>SUM(N266:N266)</f>
        <v>0</v>
      </c>
      <c r="O267" s="2239">
        <f>SUM(O266:O266)</f>
        <v>0</v>
      </c>
      <c r="P267" s="151"/>
      <c r="Q267" s="151"/>
      <c r="R267" s="151"/>
    </row>
    <row r="268" spans="1:21" ht="12.75" customHeight="1" thickTop="1" x14ac:dyDescent="0.25">
      <c r="A268" s="306"/>
      <c r="F268" s="115"/>
      <c r="I268" s="114"/>
      <c r="J268" s="151"/>
    </row>
    <row r="269" spans="1:21" ht="12.75" customHeight="1" x14ac:dyDescent="0.25">
      <c r="A269" s="306"/>
      <c r="F269" s="115"/>
      <c r="I269" s="114"/>
      <c r="J269" s="151"/>
      <c r="K269" s="151"/>
      <c r="L269" s="151"/>
      <c r="M269" s="151"/>
      <c r="N269" s="151"/>
      <c r="O269" s="151"/>
      <c r="P269" s="151"/>
      <c r="Q269" s="151"/>
      <c r="R269" s="151"/>
    </row>
    <row r="270" spans="1:21" ht="12.75" customHeight="1" x14ac:dyDescent="0.25">
      <c r="A270" s="306"/>
      <c r="D270" s="393">
        <v>652035</v>
      </c>
      <c r="E270" s="382"/>
      <c r="F270" s="381" t="s">
        <v>5114</v>
      </c>
      <c r="I270" s="383"/>
      <c r="J270" s="527"/>
      <c r="K270" s="527"/>
      <c r="L270" s="527"/>
      <c r="M270" s="527"/>
      <c r="N270" s="527"/>
      <c r="O270" s="527"/>
    </row>
    <row r="271" spans="1:21" ht="12.75" customHeight="1" x14ac:dyDescent="0.25">
      <c r="A271" s="306"/>
      <c r="D271" s="531">
        <v>43200</v>
      </c>
      <c r="E271" s="531"/>
      <c r="F271" s="383" t="s">
        <v>5126</v>
      </c>
      <c r="J271" s="151"/>
    </row>
    <row r="272" spans="1:21" ht="12.75" customHeight="1" x14ac:dyDescent="0.25">
      <c r="A272" s="306"/>
      <c r="E272" s="115" t="s">
        <v>2609</v>
      </c>
      <c r="F272" s="115" t="s">
        <v>5164</v>
      </c>
      <c r="I272" s="1672"/>
      <c r="J272" s="1670">
        <v>93599.096656429654</v>
      </c>
      <c r="K272" s="1593">
        <v>197553.26100620336</v>
      </c>
      <c r="L272" s="1593">
        <v>0</v>
      </c>
      <c r="M272" s="1593">
        <v>0</v>
      </c>
      <c r="N272" s="993">
        <v>0</v>
      </c>
      <c r="O272" s="993">
        <v>0</v>
      </c>
    </row>
    <row r="273" spans="1:19" ht="12.75" customHeight="1" x14ac:dyDescent="0.25">
      <c r="A273" s="306"/>
      <c r="E273" s="115" t="s">
        <v>2611</v>
      </c>
      <c r="F273" s="115" t="s">
        <v>5153</v>
      </c>
      <c r="I273" s="1672"/>
      <c r="J273" s="1670">
        <v>2911863.2185998843</v>
      </c>
      <c r="K273" s="114">
        <v>2670984.5082552736</v>
      </c>
      <c r="L273" s="114">
        <f>2736228*(1+547325/5364835)</f>
        <v>3015380.2926800167</v>
      </c>
      <c r="M273" s="114">
        <f>3648304*(1+718315/5437425)</f>
        <v>4130265.8638896169</v>
      </c>
      <c r="N273" s="151">
        <f>3876323*(1+693486/4486136)</f>
        <v>4475541.5105351247</v>
      </c>
      <c r="O273" s="151">
        <f>3876323*(1+693486/4486136)</f>
        <v>4475541.5105351247</v>
      </c>
      <c r="P273" s="538"/>
      <c r="Q273" s="538"/>
      <c r="R273" s="538"/>
    </row>
    <row r="274" spans="1:19" ht="12.75" customHeight="1" x14ac:dyDescent="0.25">
      <c r="A274" s="306"/>
      <c r="E274" s="336" t="s">
        <v>2613</v>
      </c>
      <c r="F274" s="115" t="s">
        <v>5154</v>
      </c>
      <c r="I274" s="1672"/>
      <c r="J274" s="1670">
        <v>78547.783103654874</v>
      </c>
      <c r="K274" s="1670">
        <v>0</v>
      </c>
      <c r="L274" s="1670">
        <v>0</v>
      </c>
      <c r="M274" s="1670">
        <v>0</v>
      </c>
      <c r="N274" s="1670">
        <v>0</v>
      </c>
      <c r="O274" s="1670">
        <v>0</v>
      </c>
    </row>
    <row r="275" spans="1:19" ht="12.75" customHeight="1" x14ac:dyDescent="0.25">
      <c r="A275" s="306"/>
      <c r="E275" s="336" t="s">
        <v>2615</v>
      </c>
      <c r="F275" s="115" t="s">
        <v>5155</v>
      </c>
      <c r="I275" s="1672"/>
      <c r="J275" s="1670">
        <v>0</v>
      </c>
      <c r="K275" s="1593">
        <v>0</v>
      </c>
      <c r="L275" s="1593">
        <v>0</v>
      </c>
      <c r="M275" s="1593">
        <v>0</v>
      </c>
      <c r="N275" s="1593">
        <f>804430*(1+141249/914335)</f>
        <v>928700.57158481306</v>
      </c>
      <c r="O275" s="1593">
        <f>804430*(1+141249/914335)</f>
        <v>928700.57158481306</v>
      </c>
    </row>
    <row r="276" spans="1:19" ht="12.75" customHeight="1" x14ac:dyDescent="0.25">
      <c r="A276" s="306"/>
      <c r="E276" s="2240" t="s">
        <v>5127</v>
      </c>
      <c r="F276" s="604" t="s">
        <v>5165</v>
      </c>
      <c r="I276" s="1672"/>
      <c r="J276" s="1670">
        <v>43760.590062111805</v>
      </c>
      <c r="K276" s="114">
        <v>0</v>
      </c>
      <c r="L276" s="114">
        <v>0</v>
      </c>
      <c r="M276" s="114">
        <v>0</v>
      </c>
      <c r="N276" s="114">
        <v>0</v>
      </c>
      <c r="O276" s="114">
        <v>0</v>
      </c>
    </row>
    <row r="277" spans="1:19" ht="12.75" customHeight="1" x14ac:dyDescent="0.25">
      <c r="A277" s="306"/>
      <c r="E277" s="2240" t="s">
        <v>2619</v>
      </c>
      <c r="F277" s="115" t="s">
        <v>5156</v>
      </c>
      <c r="I277" s="1672"/>
      <c r="J277" s="1670">
        <v>794139.22693841869</v>
      </c>
      <c r="K277" s="1593">
        <v>1042075.6618901774</v>
      </c>
      <c r="L277" s="1593">
        <f>1263160*(1+152136/1492646)</f>
        <v>1391905.938259976</v>
      </c>
      <c r="M277" s="1593">
        <v>0</v>
      </c>
      <c r="N277" s="1593">
        <v>0</v>
      </c>
      <c r="O277" s="1593">
        <v>0</v>
      </c>
    </row>
    <row r="278" spans="1:19" ht="12.75" customHeight="1" thickBot="1" x14ac:dyDescent="0.3">
      <c r="A278" s="306"/>
      <c r="F278" s="115" t="s">
        <v>536</v>
      </c>
      <c r="I278" s="114"/>
      <c r="J278" s="1971">
        <v>3921909.9153604992</v>
      </c>
      <c r="K278" s="1971">
        <v>3910613.4311516546</v>
      </c>
      <c r="L278" s="1971">
        <f t="shared" ref="L278:M278" si="150">SUM(L272:L277)</f>
        <v>4407286.2309399927</v>
      </c>
      <c r="M278" s="1971">
        <f t="shared" si="150"/>
        <v>4130265.8638896169</v>
      </c>
      <c r="N278" s="1971">
        <f t="shared" ref="N278:O278" si="151">SUM(N272:N277)</f>
        <v>5404242.082119938</v>
      </c>
      <c r="O278" s="1971">
        <f t="shared" si="151"/>
        <v>5404242.082119938</v>
      </c>
      <c r="P278" s="151"/>
      <c r="Q278" s="151"/>
      <c r="R278" s="151"/>
    </row>
    <row r="279" spans="1:19" ht="12.75" customHeight="1" thickTop="1" x14ac:dyDescent="0.25">
      <c r="A279" s="306"/>
      <c r="I279" s="114"/>
      <c r="J279" s="151"/>
    </row>
    <row r="280" spans="1:19" ht="12.75" customHeight="1" x14ac:dyDescent="0.25">
      <c r="A280" s="306"/>
      <c r="D280" s="445">
        <v>652902</v>
      </c>
      <c r="E280" s="309"/>
      <c r="F280" s="381" t="s">
        <v>5115</v>
      </c>
      <c r="I280" s="151"/>
      <c r="J280" s="151"/>
      <c r="K280" s="151"/>
      <c r="L280" s="151"/>
      <c r="M280" s="151"/>
      <c r="N280" s="151"/>
      <c r="O280" s="151"/>
      <c r="P280" s="527"/>
      <c r="Q280" s="527"/>
      <c r="R280" s="527"/>
    </row>
    <row r="281" spans="1:19" ht="12.75" customHeight="1" x14ac:dyDescent="0.25">
      <c r="A281" s="306"/>
      <c r="D281" s="532">
        <v>41100</v>
      </c>
      <c r="E281" s="532"/>
      <c r="F281" s="458" t="s">
        <v>541</v>
      </c>
      <c r="H281" s="458"/>
      <c r="I281" s="533"/>
      <c r="J281" s="151"/>
    </row>
    <row r="282" spans="1:19" ht="12.75" customHeight="1" x14ac:dyDescent="0.25">
      <c r="A282" s="306"/>
      <c r="D282" s="535"/>
      <c r="E282" s="535"/>
      <c r="F282" s="496" t="s">
        <v>3142</v>
      </c>
      <c r="H282" s="458"/>
      <c r="I282" s="533"/>
      <c r="J282" s="1668">
        <v>390437.32</v>
      </c>
      <c r="K282" s="1668">
        <v>386572</v>
      </c>
      <c r="L282" s="1668">
        <f t="shared" ref="L282" si="152">ROUND(K282*$V$3,0)</f>
        <v>402808</v>
      </c>
      <c r="M282" s="1668">
        <f t="shared" ref="M282" si="153">ROUND(L282*$W$3,0)</f>
        <v>417712</v>
      </c>
      <c r="N282" s="1668">
        <f>ROUND(M282*X$3,0)</f>
        <v>433167</v>
      </c>
      <c r="O282" s="1668">
        <f>ROUND(N282*Y$3,0)</f>
        <v>449194</v>
      </c>
      <c r="P282" s="533"/>
      <c r="Q282" s="533"/>
      <c r="R282" s="533"/>
    </row>
    <row r="283" spans="1:19" ht="12.75" customHeight="1" x14ac:dyDescent="0.25">
      <c r="A283" s="306"/>
      <c r="D283" s="535"/>
      <c r="E283" s="535"/>
      <c r="F283" s="496" t="str">
        <f>"Totaal "&amp;D281</f>
        <v>Totaal 41100</v>
      </c>
      <c r="H283" s="458"/>
      <c r="I283" s="533"/>
      <c r="J283" s="2019">
        <v>390437.32</v>
      </c>
      <c r="K283" s="2019">
        <v>386572</v>
      </c>
      <c r="L283" s="2019">
        <f>SUM(L282:L282)</f>
        <v>402808</v>
      </c>
      <c r="M283" s="2019">
        <f>SUM(M282:M282)</f>
        <v>417712</v>
      </c>
      <c r="N283" s="2019">
        <f>SUM(N282:N282)</f>
        <v>433167</v>
      </c>
      <c r="O283" s="2019">
        <f>SUM(O282:O282)</f>
        <v>449194</v>
      </c>
      <c r="P283" s="534"/>
      <c r="Q283" s="534"/>
      <c r="R283" s="534"/>
    </row>
    <row r="284" spans="1:19" ht="12.75" customHeight="1" x14ac:dyDescent="0.25">
      <c r="A284" s="306"/>
      <c r="D284" s="535"/>
      <c r="E284" s="535"/>
      <c r="F284" s="535"/>
      <c r="G284" s="496"/>
      <c r="H284" s="458"/>
      <c r="I284" s="550"/>
      <c r="J284" s="151"/>
    </row>
    <row r="285" spans="1:19" ht="12.75" customHeight="1" x14ac:dyDescent="0.25">
      <c r="A285" s="306"/>
      <c r="D285" s="536">
        <v>47501</v>
      </c>
      <c r="E285" s="536"/>
      <c r="F285" s="526" t="s">
        <v>5159</v>
      </c>
      <c r="H285" s="458"/>
      <c r="J285" s="151"/>
    </row>
    <row r="286" spans="1:19" ht="12.75" customHeight="1" x14ac:dyDescent="0.25">
      <c r="A286" s="306"/>
      <c r="D286" s="535"/>
      <c r="E286" s="535"/>
      <c r="F286" s="496" t="s">
        <v>5167</v>
      </c>
      <c r="H286" s="458"/>
      <c r="I286" s="533"/>
      <c r="J286" s="538"/>
      <c r="K286" s="538"/>
      <c r="L286" s="538"/>
      <c r="M286" s="538"/>
      <c r="N286" s="538"/>
      <c r="O286" s="538"/>
      <c r="P286" s="538"/>
      <c r="Q286" s="538"/>
      <c r="R286" s="538"/>
    </row>
    <row r="287" spans="1:19" ht="12.75" customHeight="1" x14ac:dyDescent="0.25">
      <c r="A287" s="306"/>
      <c r="D287" s="535"/>
      <c r="E287" s="535"/>
      <c r="F287" s="496" t="s">
        <v>5168</v>
      </c>
      <c r="H287" s="458"/>
      <c r="I287" s="533"/>
      <c r="J287" s="538"/>
      <c r="K287" s="538"/>
      <c r="L287" s="538"/>
      <c r="M287" s="538"/>
      <c r="N287" s="538"/>
      <c r="O287" s="538"/>
      <c r="P287" s="538"/>
      <c r="Q287" s="538"/>
      <c r="R287" s="538"/>
    </row>
    <row r="288" spans="1:19" ht="12.75" customHeight="1" x14ac:dyDescent="0.25">
      <c r="A288" s="306"/>
      <c r="D288" s="535"/>
      <c r="E288" s="535"/>
      <c r="F288" s="496" t="s">
        <v>5169</v>
      </c>
      <c r="H288" s="458"/>
      <c r="I288" s="533"/>
      <c r="J288" s="1672"/>
      <c r="K288" s="1672"/>
      <c r="L288" s="1672"/>
      <c r="M288" s="1672"/>
      <c r="N288" s="1672"/>
      <c r="O288" s="1672"/>
      <c r="P288" s="538"/>
      <c r="Q288" s="538"/>
      <c r="R288" s="538"/>
      <c r="S288" s="151"/>
    </row>
    <row r="289" spans="1:22" ht="12.75" customHeight="1" x14ac:dyDescent="0.25">
      <c r="A289" s="306"/>
      <c r="D289" s="535"/>
      <c r="E289" s="535"/>
      <c r="F289" s="496" t="s">
        <v>5170</v>
      </c>
      <c r="H289" s="458"/>
      <c r="I289" s="533"/>
      <c r="J289" s="1672"/>
      <c r="K289" s="1672"/>
      <c r="L289" s="1672"/>
      <c r="M289" s="1672"/>
      <c r="N289" s="1672"/>
      <c r="O289" s="1672"/>
      <c r="P289" s="538"/>
      <c r="Q289" s="538"/>
      <c r="R289" s="538"/>
      <c r="S289" s="151"/>
    </row>
    <row r="290" spans="1:22" ht="12.75" customHeight="1" x14ac:dyDescent="0.25">
      <c r="A290" s="306"/>
      <c r="D290" s="535"/>
      <c r="E290" s="535"/>
      <c r="F290" s="496" t="s">
        <v>5171</v>
      </c>
      <c r="H290" s="458"/>
      <c r="I290" s="533"/>
      <c r="J290" s="1672"/>
      <c r="K290" s="1672"/>
      <c r="L290" s="1672"/>
      <c r="M290" s="1672"/>
      <c r="N290" s="1672"/>
      <c r="O290" s="1672"/>
      <c r="P290" s="538"/>
      <c r="Q290" s="538"/>
      <c r="R290" s="538"/>
      <c r="S290" s="151"/>
    </row>
    <row r="291" spans="1:22" ht="12.75" customHeight="1" x14ac:dyDescent="0.25">
      <c r="A291" s="306"/>
      <c r="D291" s="535"/>
      <c r="E291" s="535"/>
      <c r="F291" s="496" t="s">
        <v>5172</v>
      </c>
      <c r="H291" s="458"/>
      <c r="I291" s="533"/>
      <c r="J291" s="1672"/>
      <c r="K291" s="1672"/>
      <c r="L291" s="1672"/>
      <c r="M291" s="1672"/>
      <c r="N291" s="1672"/>
      <c r="O291" s="1672"/>
      <c r="P291" s="538"/>
      <c r="Q291" s="538"/>
      <c r="R291" s="538"/>
    </row>
    <row r="292" spans="1:22" ht="12.75" customHeight="1" x14ac:dyDescent="0.25">
      <c r="A292" s="306"/>
      <c r="D292" s="535"/>
      <c r="E292" s="535"/>
      <c r="F292" s="496" t="s">
        <v>5173</v>
      </c>
      <c r="H292" s="458"/>
      <c r="I292" s="533"/>
      <c r="J292" s="1672"/>
      <c r="K292" s="1672"/>
      <c r="L292" s="1672"/>
      <c r="M292" s="1672"/>
      <c r="N292" s="1672"/>
      <c r="O292" s="1672"/>
      <c r="P292" s="538"/>
      <c r="Q292" s="538"/>
      <c r="R292" s="538"/>
      <c r="S292" s="115" t="s">
        <v>5174</v>
      </c>
    </row>
    <row r="293" spans="1:22" ht="12.75" customHeight="1" x14ac:dyDescent="0.25">
      <c r="A293" s="306"/>
      <c r="D293" s="535"/>
      <c r="E293" s="535"/>
      <c r="F293" s="537" t="s">
        <v>5160</v>
      </c>
      <c r="H293" s="458"/>
      <c r="I293" s="533"/>
      <c r="J293" s="1672"/>
      <c r="K293" s="1672"/>
      <c r="L293" s="1672"/>
      <c r="M293" s="1672"/>
      <c r="N293" s="1672"/>
      <c r="O293" s="1672"/>
      <c r="P293" s="538"/>
      <c r="Q293" s="538"/>
      <c r="R293" s="538"/>
    </row>
    <row r="294" spans="1:22" ht="12.75" customHeight="1" x14ac:dyDescent="0.25">
      <c r="A294" s="306"/>
      <c r="D294" s="535"/>
      <c r="E294" s="535"/>
      <c r="F294" s="496" t="s">
        <v>946</v>
      </c>
      <c r="H294" s="458"/>
      <c r="I294" s="533"/>
      <c r="J294" s="1672">
        <v>39055</v>
      </c>
      <c r="K294" s="1672">
        <v>34846</v>
      </c>
      <c r="L294" s="1668">
        <v>38056</v>
      </c>
      <c r="M294" s="1668">
        <v>41996</v>
      </c>
      <c r="N294" s="1668">
        <v>46182</v>
      </c>
      <c r="O294" s="1668">
        <v>46182</v>
      </c>
      <c r="P294" s="538"/>
      <c r="Q294" s="538"/>
      <c r="R294" s="538"/>
    </row>
    <row r="295" spans="1:22" ht="12.75" customHeight="1" x14ac:dyDescent="0.25">
      <c r="A295" s="306"/>
      <c r="D295" s="535"/>
      <c r="E295" s="535"/>
      <c r="F295" s="496" t="s">
        <v>947</v>
      </c>
      <c r="H295" s="458"/>
      <c r="I295" s="533"/>
      <c r="J295" s="1672">
        <v>910</v>
      </c>
      <c r="K295" s="1672">
        <v>846</v>
      </c>
      <c r="L295" s="1668">
        <v>882</v>
      </c>
      <c r="M295" s="1668">
        <v>919</v>
      </c>
      <c r="N295" s="1668">
        <v>959</v>
      </c>
      <c r="O295" s="1668">
        <v>959</v>
      </c>
      <c r="P295" s="538"/>
      <c r="Q295" s="538"/>
      <c r="R295" s="538"/>
    </row>
    <row r="296" spans="1:22" ht="12.75" customHeight="1" x14ac:dyDescent="0.25">
      <c r="A296" s="306"/>
      <c r="D296" s="535"/>
      <c r="E296" s="535"/>
      <c r="F296" s="496" t="s">
        <v>948</v>
      </c>
      <c r="H296" s="458"/>
      <c r="I296" s="533"/>
      <c r="J296" s="1672">
        <v>74713</v>
      </c>
      <c r="K296" s="1672">
        <v>67606</v>
      </c>
      <c r="L296" s="1668">
        <v>70514</v>
      </c>
      <c r="M296" s="1668">
        <v>73547</v>
      </c>
      <c r="N296" s="1668">
        <v>76710</v>
      </c>
      <c r="O296" s="1668">
        <v>76710</v>
      </c>
      <c r="P296" s="538"/>
      <c r="Q296" s="538"/>
      <c r="R296" s="538"/>
    </row>
    <row r="297" spans="1:22" ht="12.75" customHeight="1" x14ac:dyDescent="0.25">
      <c r="A297" s="306"/>
      <c r="D297" s="535"/>
      <c r="E297" s="535"/>
      <c r="F297" s="496" t="s">
        <v>5161</v>
      </c>
      <c r="H297" s="458"/>
      <c r="I297" s="533"/>
      <c r="J297" s="1672">
        <v>99095</v>
      </c>
      <c r="K297" s="1672">
        <v>84736</v>
      </c>
      <c r="L297" s="1668">
        <v>90095</v>
      </c>
      <c r="M297" s="1668">
        <v>91829</v>
      </c>
      <c r="N297" s="1668">
        <v>95374</v>
      </c>
      <c r="O297" s="1668">
        <v>95374</v>
      </c>
      <c r="P297" s="538"/>
      <c r="Q297" s="538"/>
      <c r="R297" s="538"/>
    </row>
    <row r="298" spans="1:22" ht="12.75" customHeight="1" x14ac:dyDescent="0.25">
      <c r="A298" s="306"/>
      <c r="D298" s="535"/>
      <c r="E298" s="535"/>
      <c r="F298" s="496" t="s">
        <v>950</v>
      </c>
      <c r="H298" s="458"/>
      <c r="I298" s="533"/>
      <c r="J298" s="1672">
        <v>13719</v>
      </c>
      <c r="K298" s="1672">
        <v>11943</v>
      </c>
      <c r="L298" s="1668">
        <v>12441</v>
      </c>
      <c r="M298" s="1668">
        <v>12959</v>
      </c>
      <c r="N298" s="1668">
        <v>13499</v>
      </c>
      <c r="O298" s="1668">
        <v>13499</v>
      </c>
      <c r="P298" s="538"/>
      <c r="Q298" s="538"/>
      <c r="R298" s="538"/>
    </row>
    <row r="299" spans="1:22" ht="12.75" customHeight="1" x14ac:dyDescent="0.25">
      <c r="A299" s="306"/>
      <c r="D299" s="535"/>
      <c r="E299" s="535"/>
      <c r="F299" s="496" t="s">
        <v>1539</v>
      </c>
      <c r="H299" s="458"/>
      <c r="I299" s="533"/>
      <c r="J299" s="1672">
        <v>43812</v>
      </c>
      <c r="K299" s="1672">
        <v>48711</v>
      </c>
      <c r="L299" s="1668">
        <v>45142</v>
      </c>
      <c r="M299" s="1668">
        <v>47219</v>
      </c>
      <c r="N299" s="1668">
        <v>49391</v>
      </c>
      <c r="O299" s="1668">
        <v>49391</v>
      </c>
      <c r="P299" s="538"/>
      <c r="Q299" s="538"/>
      <c r="R299" s="538"/>
    </row>
    <row r="300" spans="1:22" ht="12.75" customHeight="1" x14ac:dyDescent="0.25">
      <c r="A300" s="306"/>
      <c r="D300" s="535"/>
      <c r="E300" s="535"/>
      <c r="F300" s="496" t="s">
        <v>1801</v>
      </c>
      <c r="H300" s="458"/>
      <c r="I300" s="533"/>
      <c r="J300" s="151">
        <v>15952</v>
      </c>
      <c r="K300" s="151">
        <v>12472</v>
      </c>
      <c r="L300" s="1668">
        <v>19239</v>
      </c>
      <c r="M300" s="1668">
        <v>19290</v>
      </c>
      <c r="N300" s="1668">
        <v>19549</v>
      </c>
      <c r="O300" s="1668">
        <v>19549</v>
      </c>
      <c r="P300" s="538"/>
      <c r="Q300" s="538"/>
      <c r="R300" s="538"/>
    </row>
    <row r="301" spans="1:22" ht="12.75" customHeight="1" x14ac:dyDescent="0.25">
      <c r="A301" s="306"/>
      <c r="D301" s="535"/>
      <c r="E301" s="535"/>
      <c r="F301" s="496" t="s">
        <v>1813</v>
      </c>
      <c r="H301" s="458"/>
      <c r="I301" s="533"/>
      <c r="J301" s="151">
        <v>65071</v>
      </c>
      <c r="K301" s="151">
        <v>56677</v>
      </c>
      <c r="L301" s="1668">
        <v>56628</v>
      </c>
      <c r="M301" s="1668">
        <v>57480</v>
      </c>
      <c r="N301" s="1668">
        <v>58475</v>
      </c>
      <c r="O301" s="1668">
        <v>58475</v>
      </c>
      <c r="P301" s="538"/>
      <c r="Q301" s="538"/>
      <c r="R301" s="538"/>
    </row>
    <row r="302" spans="1:22" ht="12.75" customHeight="1" x14ac:dyDescent="0.25">
      <c r="A302" s="306"/>
      <c r="D302" s="535"/>
      <c r="E302" s="535"/>
      <c r="F302" s="496"/>
      <c r="H302" s="458"/>
      <c r="I302" s="533"/>
      <c r="J302" s="2245"/>
      <c r="K302" s="2245"/>
      <c r="L302" s="2245"/>
      <c r="M302" s="2245"/>
      <c r="N302" s="2245"/>
      <c r="O302" s="2245"/>
      <c r="P302" s="538"/>
      <c r="Q302" s="538"/>
      <c r="R302" s="538"/>
    </row>
    <row r="303" spans="1:22" ht="12.75" customHeight="1" x14ac:dyDescent="0.25">
      <c r="A303" s="306"/>
      <c r="D303" s="535"/>
      <c r="E303" s="535"/>
      <c r="F303" s="496"/>
      <c r="H303" s="458"/>
      <c r="I303" s="533"/>
      <c r="J303" s="1672"/>
      <c r="K303" s="1672"/>
      <c r="L303" s="1672"/>
      <c r="M303" s="1672"/>
      <c r="N303" s="1672"/>
      <c r="O303" s="1672"/>
      <c r="P303" s="538"/>
      <c r="Q303" s="538"/>
      <c r="R303" s="538"/>
    </row>
    <row r="304" spans="1:22" ht="12.75" customHeight="1" x14ac:dyDescent="0.25">
      <c r="A304" s="306"/>
      <c r="D304" s="535"/>
      <c r="E304" s="535"/>
      <c r="F304" s="496"/>
      <c r="H304" s="458"/>
      <c r="I304" s="533"/>
      <c r="J304" s="2019">
        <v>352327</v>
      </c>
      <c r="K304" s="2019">
        <v>317837</v>
      </c>
      <c r="L304" s="2019">
        <f t="shared" ref="L304:M304" si="154">SUM(L286:L303)</f>
        <v>332997</v>
      </c>
      <c r="M304" s="2019">
        <f t="shared" si="154"/>
        <v>345239</v>
      </c>
      <c r="N304" s="2019">
        <f t="shared" ref="N304:O304" si="155">SUM(N286:N303)</f>
        <v>360139</v>
      </c>
      <c r="O304" s="2019">
        <f t="shared" si="155"/>
        <v>360139</v>
      </c>
      <c r="P304" s="534"/>
      <c r="Q304" s="534"/>
      <c r="R304" s="534"/>
      <c r="S304" s="538">
        <v>310739</v>
      </c>
      <c r="T304" s="538">
        <v>317885.99699999997</v>
      </c>
      <c r="U304" s="538">
        <v>325197.37493099994</v>
      </c>
      <c r="V304" s="538">
        <v>332676.91455441288</v>
      </c>
    </row>
    <row r="305" spans="1:22" ht="12.75" customHeight="1" x14ac:dyDescent="0.25">
      <c r="A305" s="306"/>
      <c r="F305" s="115"/>
      <c r="I305" s="151"/>
      <c r="J305" s="2242"/>
      <c r="K305" s="2243"/>
      <c r="L305" s="2243"/>
      <c r="M305" s="2243"/>
      <c r="N305" s="2243"/>
      <c r="O305" s="2243"/>
      <c r="S305" s="538"/>
      <c r="T305" s="538"/>
      <c r="U305" s="538"/>
      <c r="V305" s="538"/>
    </row>
    <row r="306" spans="1:22" ht="12.75" customHeight="1" x14ac:dyDescent="0.25">
      <c r="A306" s="306"/>
      <c r="F306" s="458" t="s">
        <v>5175</v>
      </c>
      <c r="I306" s="539"/>
      <c r="J306" s="151">
        <v>742764.32000000007</v>
      </c>
      <c r="K306" s="151">
        <v>704409</v>
      </c>
      <c r="L306" s="151">
        <f t="shared" ref="L306:M306" si="156">L283+L304</f>
        <v>735805</v>
      </c>
      <c r="M306" s="151">
        <f t="shared" si="156"/>
        <v>762951</v>
      </c>
      <c r="N306" s="151">
        <f t="shared" ref="N306:O306" si="157">N283+N304</f>
        <v>793306</v>
      </c>
      <c r="O306" s="151">
        <f t="shared" si="157"/>
        <v>809333</v>
      </c>
      <c r="P306" s="151"/>
      <c r="Q306" s="151"/>
      <c r="R306" s="151"/>
      <c r="S306" s="538">
        <v>700300</v>
      </c>
      <c r="T306" s="538">
        <v>716406.89999999991</v>
      </c>
      <c r="U306" s="538">
        <v>732884.25869999989</v>
      </c>
      <c r="V306" s="538">
        <v>749740.59665009961</v>
      </c>
    </row>
    <row r="307" spans="1:22" ht="12.75" customHeight="1" x14ac:dyDescent="0.25">
      <c r="A307" s="306"/>
      <c r="F307" s="115"/>
      <c r="I307" s="151"/>
      <c r="J307" s="151"/>
    </row>
    <row r="308" spans="1:22" ht="12.75" customHeight="1" x14ac:dyDescent="0.25">
      <c r="A308" s="306"/>
      <c r="F308" s="115" t="s">
        <v>5176</v>
      </c>
      <c r="I308" s="151"/>
      <c r="J308" s="151"/>
      <c r="S308" s="527"/>
      <c r="T308" s="527"/>
      <c r="U308" s="527"/>
      <c r="V308" s="527"/>
    </row>
    <row r="309" spans="1:22" ht="12.75" customHeight="1" x14ac:dyDescent="0.25">
      <c r="A309" s="306"/>
      <c r="E309" s="604" t="s">
        <v>2609</v>
      </c>
      <c r="F309" s="604" t="s">
        <v>5164</v>
      </c>
      <c r="I309" s="92"/>
      <c r="J309" s="1672">
        <v>17407.918246074518</v>
      </c>
      <c r="K309" s="151">
        <v>35258.183969611673</v>
      </c>
      <c r="L309" s="151">
        <v>0</v>
      </c>
      <c r="M309" s="151">
        <v>0</v>
      </c>
      <c r="N309" s="151">
        <v>0</v>
      </c>
      <c r="O309" s="151">
        <v>0</v>
      </c>
      <c r="P309" s="538"/>
      <c r="Q309" s="538"/>
      <c r="R309" s="538"/>
      <c r="S309" s="538">
        <v>12389.052640431682</v>
      </c>
      <c r="T309" s="538">
        <v>27516.301535649989</v>
      </c>
      <c r="U309" s="538">
        <v>0</v>
      </c>
      <c r="V309" s="538">
        <v>0</v>
      </c>
    </row>
    <row r="310" spans="1:22" ht="12.75" customHeight="1" x14ac:dyDescent="0.25">
      <c r="A310" s="306"/>
      <c r="E310" s="2236" t="s">
        <v>2611</v>
      </c>
      <c r="F310" s="604" t="s">
        <v>5153</v>
      </c>
      <c r="I310" s="92"/>
      <c r="J310" s="151">
        <v>385049.54527841014</v>
      </c>
      <c r="K310" s="1671">
        <v>340447.60515938298</v>
      </c>
      <c r="L310" s="1671">
        <f>319700*(1+547325/5364835)</f>
        <v>352316.06414735958</v>
      </c>
      <c r="M310" s="1671">
        <f>319700*(1+718315/5437425)</f>
        <v>361934.20194301527</v>
      </c>
      <c r="N310" s="1671">
        <f>166800*(1+693486/4486136)</f>
        <v>192584.65405417938</v>
      </c>
      <c r="O310" s="1671">
        <f>166800*(1+693486/4486136)</f>
        <v>192584.65405417938</v>
      </c>
      <c r="P310" s="151"/>
      <c r="Q310" s="151"/>
      <c r="R310" s="151"/>
      <c r="S310" s="151">
        <v>79393.665862095804</v>
      </c>
      <c r="T310" s="151">
        <v>235113.32682732929</v>
      </c>
      <c r="U310" s="151">
        <v>106366.22351602027</v>
      </c>
      <c r="V310" s="151">
        <v>51323.296834339133</v>
      </c>
    </row>
    <row r="311" spans="1:22" ht="12.75" customHeight="1" x14ac:dyDescent="0.25">
      <c r="A311" s="306"/>
      <c r="E311" s="604" t="s">
        <v>2613</v>
      </c>
      <c r="F311" s="604" t="s">
        <v>5154</v>
      </c>
      <c r="I311" s="92"/>
      <c r="J311" s="151">
        <v>5320.3031755542233</v>
      </c>
      <c r="K311" s="151">
        <v>0</v>
      </c>
      <c r="L311" s="151">
        <v>0</v>
      </c>
      <c r="M311" s="151">
        <v>0</v>
      </c>
      <c r="N311" s="151">
        <v>0</v>
      </c>
      <c r="O311" s="151">
        <v>0</v>
      </c>
      <c r="S311" s="151">
        <v>915.68399295425843</v>
      </c>
      <c r="T311" s="151">
        <v>2033.4154025315918</v>
      </c>
      <c r="U311" s="151">
        <v>0</v>
      </c>
      <c r="V311" s="151">
        <v>0</v>
      </c>
    </row>
    <row r="312" spans="1:22" ht="12.75" customHeight="1" x14ac:dyDescent="0.25">
      <c r="A312" s="306"/>
      <c r="E312" s="604" t="s">
        <v>2619</v>
      </c>
      <c r="F312" s="115" t="s">
        <v>5156</v>
      </c>
      <c r="I312" s="92"/>
      <c r="J312" s="1672">
        <v>106601.34034450343</v>
      </c>
      <c r="K312" s="151">
        <v>146253.91674939415</v>
      </c>
      <c r="L312" s="151">
        <f>183131*(1+152136/1492646)</f>
        <v>201796.3887231132</v>
      </c>
      <c r="M312" s="151">
        <v>0</v>
      </c>
      <c r="N312" s="151">
        <v>0</v>
      </c>
      <c r="O312" s="151">
        <v>0</v>
      </c>
      <c r="P312" s="538"/>
      <c r="Q312" s="538"/>
      <c r="R312" s="538"/>
      <c r="S312" s="538">
        <v>16226.577319589243</v>
      </c>
      <c r="T312" s="538">
        <v>44565.722479172815</v>
      </c>
      <c r="U312" s="538">
        <v>23041.946846178576</v>
      </c>
      <c r="V312" s="538">
        <v>14150.284342555695</v>
      </c>
    </row>
    <row r="313" spans="1:22" ht="12.75" customHeight="1" x14ac:dyDescent="0.25">
      <c r="A313" s="306"/>
      <c r="E313" s="604" t="s">
        <v>2615</v>
      </c>
      <c r="F313" s="604" t="s">
        <v>5155</v>
      </c>
      <c r="I313" s="92"/>
      <c r="J313" s="151">
        <v>0</v>
      </c>
      <c r="K313" s="1671">
        <v>0</v>
      </c>
      <c r="L313" s="1671">
        <v>0</v>
      </c>
      <c r="M313" s="1671">
        <f>86736*(1+16309/115506)</f>
        <v>98982.787387668184</v>
      </c>
      <c r="N313" s="1671">
        <f>86736*(1+141249/914335)</f>
        <v>100135.2172059475</v>
      </c>
      <c r="O313" s="1671">
        <f>86736*(1+141249/914335)</f>
        <v>100135.2172059475</v>
      </c>
      <c r="P313" s="151"/>
      <c r="Q313" s="151"/>
      <c r="R313" s="151"/>
      <c r="S313" s="151">
        <v>0</v>
      </c>
      <c r="T313" s="151">
        <v>0</v>
      </c>
      <c r="U313" s="151">
        <v>0</v>
      </c>
      <c r="V313" s="151">
        <v>9315.2385463578503</v>
      </c>
    </row>
    <row r="314" spans="1:22" ht="12.75" customHeight="1" x14ac:dyDescent="0.25">
      <c r="A314" s="306"/>
      <c r="E314" s="2240" t="s">
        <v>5127</v>
      </c>
      <c r="F314" s="604" t="s">
        <v>5165</v>
      </c>
      <c r="I314" s="92"/>
      <c r="J314" s="1672">
        <v>6073.7590062111803</v>
      </c>
      <c r="K314" s="1672">
        <v>0</v>
      </c>
      <c r="L314" s="1672">
        <v>0</v>
      </c>
      <c r="M314" s="1672">
        <v>0</v>
      </c>
      <c r="N314" s="1672">
        <v>0</v>
      </c>
      <c r="O314" s="1672">
        <v>0</v>
      </c>
      <c r="S314" s="538">
        <v>0</v>
      </c>
      <c r="T314" s="538">
        <v>0</v>
      </c>
      <c r="U314" s="538">
        <v>0</v>
      </c>
      <c r="V314" s="538">
        <v>0</v>
      </c>
    </row>
    <row r="315" spans="1:22" ht="12.75" customHeight="1" x14ac:dyDescent="0.25">
      <c r="A315" s="306"/>
      <c r="D315" s="604"/>
      <c r="E315" s="2246"/>
      <c r="F315" s="604"/>
      <c r="H315" s="604" t="s">
        <v>536</v>
      </c>
      <c r="I315" s="266"/>
      <c r="J315" s="2247">
        <v>520452.86605075351</v>
      </c>
      <c r="K315" s="2247">
        <v>521959.70587838878</v>
      </c>
      <c r="L315" s="2247">
        <f t="shared" ref="L315:M315" si="158">SUM(L309:L314)</f>
        <v>554112.4528704728</v>
      </c>
      <c r="M315" s="2247">
        <f t="shared" si="158"/>
        <v>460916.98933068349</v>
      </c>
      <c r="N315" s="2247">
        <f t="shared" ref="N315:O315" si="159">SUM(N309:N314)</f>
        <v>292719.87126012688</v>
      </c>
      <c r="O315" s="2247">
        <f t="shared" si="159"/>
        <v>292719.87126012688</v>
      </c>
      <c r="P315" s="538"/>
      <c r="Q315" s="538"/>
      <c r="R315" s="538"/>
      <c r="S315" s="538"/>
      <c r="T315" s="538">
        <f>1399450-1459490</f>
        <v>-60040</v>
      </c>
      <c r="U315" s="538"/>
      <c r="V315" s="538"/>
    </row>
    <row r="316" spans="1:22" ht="12.75" customHeight="1" x14ac:dyDescent="0.25">
      <c r="A316" s="306"/>
      <c r="F316" s="115"/>
      <c r="I316" s="151"/>
      <c r="J316" s="2248"/>
      <c r="K316" s="149"/>
      <c r="L316" s="149"/>
      <c r="M316" s="149"/>
      <c r="N316" s="149"/>
      <c r="O316" s="149"/>
      <c r="S316" s="151"/>
    </row>
    <row r="317" spans="1:22" ht="12.75" customHeight="1" x14ac:dyDescent="0.25">
      <c r="A317" s="306"/>
      <c r="F317" s="496" t="s">
        <v>5177</v>
      </c>
      <c r="I317" s="151"/>
      <c r="J317" s="151">
        <v>222311.45394924656</v>
      </c>
      <c r="K317" s="151">
        <v>182449.29412161122</v>
      </c>
      <c r="L317" s="151">
        <f t="shared" ref="L317:M317" si="160">L306-L315</f>
        <v>181692.5471295272</v>
      </c>
      <c r="M317" s="151">
        <f t="shared" si="160"/>
        <v>302034.01066931651</v>
      </c>
      <c r="N317" s="151">
        <f t="shared" ref="N317:O317" si="161">N306-N315</f>
        <v>500586.12873987312</v>
      </c>
      <c r="O317" s="151">
        <f t="shared" si="161"/>
        <v>516613.12873987312</v>
      </c>
      <c r="P317" s="151"/>
      <c r="Q317" s="151"/>
      <c r="R317" s="151"/>
      <c r="S317" s="151"/>
      <c r="T317" s="151"/>
    </row>
    <row r="318" spans="1:22" ht="12.75" customHeight="1" x14ac:dyDescent="0.25">
      <c r="A318" s="306"/>
      <c r="F318" s="496"/>
      <c r="I318" s="151"/>
      <c r="J318" s="151"/>
      <c r="T318" s="151"/>
    </row>
    <row r="319" spans="1:22" ht="12.75" customHeight="1" x14ac:dyDescent="0.25">
      <c r="A319" s="306"/>
      <c r="F319" s="496" t="s">
        <v>5178</v>
      </c>
      <c r="I319" s="151"/>
      <c r="J319" s="151">
        <v>79007.9821394342</v>
      </c>
      <c r="K319" s="151">
        <v>207912.7368281997</v>
      </c>
      <c r="L319" s="151">
        <f>L253</f>
        <v>290417.45172203513</v>
      </c>
      <c r="M319" s="151">
        <f>M253</f>
        <v>403695.69444139634</v>
      </c>
      <c r="N319" s="151">
        <f>N253</f>
        <v>475980.18626065284</v>
      </c>
      <c r="O319" s="151">
        <f>O253</f>
        <v>498407.18626065284</v>
      </c>
      <c r="P319" s="151"/>
      <c r="Q319" s="151"/>
      <c r="R319" s="151"/>
      <c r="S319" s="151"/>
      <c r="T319" s="151"/>
    </row>
    <row r="320" spans="1:22" ht="12.75" customHeight="1" thickBot="1" x14ac:dyDescent="0.3">
      <c r="A320" s="306"/>
      <c r="F320" s="496" t="s">
        <v>536</v>
      </c>
      <c r="I320" s="151"/>
      <c r="J320" s="2239">
        <v>301319.43608868076</v>
      </c>
      <c r="K320" s="2239">
        <v>390362.03094981093</v>
      </c>
      <c r="L320" s="2239">
        <f t="shared" ref="L320:M320" si="162">SUM(L317:L319)</f>
        <v>472109.99885156233</v>
      </c>
      <c r="M320" s="2239">
        <f t="shared" si="162"/>
        <v>705729.70511071291</v>
      </c>
      <c r="N320" s="2239">
        <f t="shared" ref="N320:O320" si="163">SUM(N317:N319)</f>
        <v>976566.31500052591</v>
      </c>
      <c r="O320" s="2239">
        <f t="shared" si="163"/>
        <v>1015020.3150005259</v>
      </c>
      <c r="P320" s="151"/>
      <c r="Q320" s="151"/>
      <c r="R320" s="151"/>
    </row>
    <row r="321" spans="1:18" ht="12.75" customHeight="1" thickTop="1" x14ac:dyDescent="0.25">
      <c r="A321" s="306"/>
      <c r="F321" s="496"/>
      <c r="I321" s="151"/>
      <c r="J321" s="151"/>
      <c r="K321" s="151"/>
    </row>
    <row r="322" spans="1:18" ht="12.75" customHeight="1" x14ac:dyDescent="0.25">
      <c r="A322" s="306"/>
      <c r="D322" s="393">
        <v>652022</v>
      </c>
      <c r="E322" s="382"/>
      <c r="F322" s="381" t="s">
        <v>5117</v>
      </c>
      <c r="I322" s="151"/>
      <c r="J322" s="151"/>
    </row>
    <row r="323" spans="1:18" ht="12.75" customHeight="1" x14ac:dyDescent="0.25">
      <c r="A323" s="306"/>
      <c r="D323" s="531">
        <v>43200</v>
      </c>
      <c r="E323" s="531"/>
      <c r="F323" s="383" t="s">
        <v>5126</v>
      </c>
      <c r="I323" s="151"/>
      <c r="J323" s="151"/>
    </row>
    <row r="324" spans="1:18" ht="12.75" customHeight="1" x14ac:dyDescent="0.25">
      <c r="A324" s="306"/>
      <c r="E324" s="301" t="s">
        <v>2609</v>
      </c>
      <c r="F324" s="604" t="s">
        <v>5179</v>
      </c>
      <c r="I324" s="114"/>
      <c r="J324" s="151">
        <v>3415.3578732787505</v>
      </c>
      <c r="K324" s="151">
        <v>0</v>
      </c>
      <c r="L324" s="151">
        <v>0</v>
      </c>
      <c r="M324" s="151">
        <v>0</v>
      </c>
      <c r="N324" s="151">
        <v>0</v>
      </c>
      <c r="O324" s="151">
        <v>0</v>
      </c>
      <c r="P324" s="151"/>
      <c r="Q324" s="151"/>
      <c r="R324" s="151"/>
    </row>
    <row r="325" spans="1:18" ht="12.75" customHeight="1" x14ac:dyDescent="0.25">
      <c r="A325" s="306"/>
      <c r="E325" s="301" t="s">
        <v>2611</v>
      </c>
      <c r="F325" s="604" t="s">
        <v>5180</v>
      </c>
      <c r="I325" s="114"/>
      <c r="J325" s="151">
        <v>58190.25968137668</v>
      </c>
      <c r="K325" s="1671">
        <v>104009.56535352548</v>
      </c>
      <c r="L325" s="1671">
        <f>122993*(1+547325/5364835)</f>
        <v>135540.84978941569</v>
      </c>
      <c r="M325" s="1671">
        <f>90436*(1+718315/5437425)</f>
        <v>102383.11381582274</v>
      </c>
      <c r="N325" s="1671">
        <f>32557*(1+693486/4486136)</f>
        <v>37589.79965252948</v>
      </c>
      <c r="O325" s="1671">
        <f>32557*(1+693486/4486136)</f>
        <v>37589.79965252948</v>
      </c>
      <c r="P325" s="151"/>
      <c r="Q325" s="151"/>
      <c r="R325" s="151"/>
    </row>
    <row r="326" spans="1:18" ht="12.75" customHeight="1" thickBot="1" x14ac:dyDescent="0.3">
      <c r="A326" s="306"/>
      <c r="F326" s="115"/>
      <c r="H326" s="496" t="s">
        <v>536</v>
      </c>
      <c r="I326" s="151"/>
      <c r="J326" s="2239">
        <v>61605.61755465543</v>
      </c>
      <c r="K326" s="2239">
        <v>104009.56535352548</v>
      </c>
      <c r="L326" s="2239">
        <f t="shared" ref="L326:M326" si="164">SUM(L324:L325)</f>
        <v>135540.84978941569</v>
      </c>
      <c r="M326" s="2239">
        <f t="shared" si="164"/>
        <v>102383.11381582274</v>
      </c>
      <c r="N326" s="2239">
        <f t="shared" ref="N326:O326" si="165">SUM(N324:N325)</f>
        <v>37589.79965252948</v>
      </c>
      <c r="O326" s="2239">
        <f t="shared" si="165"/>
        <v>37589.79965252948</v>
      </c>
      <c r="P326" s="151"/>
      <c r="Q326" s="151"/>
      <c r="R326" s="151"/>
    </row>
    <row r="327" spans="1:18" ht="12.75" customHeight="1" thickTop="1" x14ac:dyDescent="0.25">
      <c r="A327" s="306"/>
      <c r="F327" s="496"/>
      <c r="I327" s="151"/>
      <c r="J327" s="151"/>
    </row>
    <row r="328" spans="1:18" ht="12.75" customHeight="1" x14ac:dyDescent="0.25">
      <c r="A328" s="306"/>
      <c r="F328" s="496"/>
      <c r="I328" s="151"/>
      <c r="J328" s="151"/>
    </row>
    <row r="329" spans="1:18" ht="12.75" customHeight="1" x14ac:dyDescent="0.25">
      <c r="A329" s="306"/>
      <c r="D329" s="393">
        <v>652023</v>
      </c>
      <c r="E329" s="382"/>
      <c r="F329" s="381" t="s">
        <v>5181</v>
      </c>
      <c r="I329" s="383"/>
      <c r="J329" s="527">
        <v>2025</v>
      </c>
      <c r="K329" s="527">
        <v>2026</v>
      </c>
      <c r="L329" s="527">
        <v>2027</v>
      </c>
      <c r="M329" s="527">
        <v>2028</v>
      </c>
      <c r="N329" s="527">
        <v>2029</v>
      </c>
      <c r="O329" s="527">
        <v>2030</v>
      </c>
    </row>
    <row r="330" spans="1:18" ht="12.75" customHeight="1" x14ac:dyDescent="0.25">
      <c r="A330" s="306"/>
      <c r="D330" s="143">
        <v>47400</v>
      </c>
      <c r="E330" s="383" t="s">
        <v>5182</v>
      </c>
      <c r="F330" s="115"/>
      <c r="J330" s="151"/>
    </row>
    <row r="331" spans="1:18" ht="12.75" customHeight="1" x14ac:dyDescent="0.25">
      <c r="A331" s="306"/>
      <c r="D331" s="143"/>
      <c r="E331" s="383" t="s">
        <v>5183</v>
      </c>
      <c r="F331" s="115"/>
      <c r="J331" s="151"/>
    </row>
    <row r="332" spans="1:18" ht="12.75" customHeight="1" x14ac:dyDescent="0.25">
      <c r="A332" s="306"/>
      <c r="D332" s="143"/>
      <c r="E332" s="531"/>
      <c r="F332" s="383"/>
      <c r="J332" s="151"/>
    </row>
    <row r="333" spans="1:18" ht="12.75" customHeight="1" x14ac:dyDescent="0.25">
      <c r="A333" s="306"/>
      <c r="D333" s="143"/>
      <c r="E333" s="301" t="s">
        <v>2609</v>
      </c>
      <c r="F333" s="115" t="s">
        <v>5164</v>
      </c>
      <c r="J333" s="114">
        <v>33130</v>
      </c>
      <c r="K333" s="1593">
        <v>29861</v>
      </c>
      <c r="L333" s="1593">
        <v>0</v>
      </c>
      <c r="M333" s="1593">
        <v>0</v>
      </c>
      <c r="N333" s="1593">
        <v>0</v>
      </c>
      <c r="O333" s="1593">
        <v>0</v>
      </c>
    </row>
    <row r="334" spans="1:18" ht="12.75" customHeight="1" x14ac:dyDescent="0.25">
      <c r="A334" s="306"/>
      <c r="D334" s="143"/>
      <c r="E334" s="301" t="s">
        <v>2611</v>
      </c>
      <c r="F334" s="604" t="s">
        <v>5153</v>
      </c>
      <c r="J334" s="114">
        <v>68586</v>
      </c>
      <c r="K334" s="1593">
        <v>59688</v>
      </c>
      <c r="L334" s="1593">
        <v>42905</v>
      </c>
      <c r="M334" s="1593">
        <v>17525</v>
      </c>
      <c r="N334" s="1593">
        <v>5616</v>
      </c>
      <c r="O334" s="1593">
        <v>5616</v>
      </c>
    </row>
    <row r="335" spans="1:18" ht="12.75" customHeight="1" x14ac:dyDescent="0.25">
      <c r="A335" s="306"/>
      <c r="D335" s="143"/>
      <c r="E335" s="301" t="s">
        <v>2613</v>
      </c>
      <c r="F335" s="604" t="s">
        <v>5154</v>
      </c>
      <c r="J335" s="114">
        <v>10343</v>
      </c>
      <c r="K335" s="114"/>
      <c r="L335" s="114">
        <v>0</v>
      </c>
    </row>
    <row r="336" spans="1:18" ht="12.75" customHeight="1" x14ac:dyDescent="0.25">
      <c r="A336" s="306"/>
      <c r="D336" s="143"/>
      <c r="E336" s="301" t="s">
        <v>2615</v>
      </c>
      <c r="F336" s="604" t="s">
        <v>5155</v>
      </c>
      <c r="J336" s="114">
        <v>18539</v>
      </c>
      <c r="K336" s="1593">
        <v>18374</v>
      </c>
      <c r="L336" s="1593">
        <v>18731</v>
      </c>
      <c r="M336" s="1593">
        <v>11403</v>
      </c>
      <c r="N336" s="1593">
        <v>11947</v>
      </c>
      <c r="O336" s="1593">
        <v>11947</v>
      </c>
    </row>
    <row r="337" spans="1:18" ht="12.75" customHeight="1" x14ac:dyDescent="0.25">
      <c r="A337" s="306"/>
      <c r="E337" s="2240" t="s">
        <v>5127</v>
      </c>
      <c r="F337" s="604" t="s">
        <v>5165</v>
      </c>
      <c r="I337" s="151"/>
      <c r="J337" s="1670">
        <v>1681</v>
      </c>
      <c r="K337" s="114">
        <v>0</v>
      </c>
      <c r="L337" s="1670">
        <v>0</v>
      </c>
      <c r="M337" s="1670">
        <v>0</v>
      </c>
      <c r="N337" s="1670">
        <v>0</v>
      </c>
      <c r="O337" s="1670">
        <v>0</v>
      </c>
    </row>
    <row r="338" spans="1:18" ht="12.75" customHeight="1" x14ac:dyDescent="0.25">
      <c r="A338" s="306"/>
      <c r="E338" s="604" t="s">
        <v>2619</v>
      </c>
      <c r="F338" s="115" t="s">
        <v>5156</v>
      </c>
      <c r="I338" s="151"/>
      <c r="J338" s="1670">
        <v>11039</v>
      </c>
      <c r="K338" s="1593">
        <v>-1790</v>
      </c>
      <c r="L338" s="114">
        <v>-7785</v>
      </c>
      <c r="M338" s="114">
        <v>0</v>
      </c>
      <c r="N338" s="114">
        <v>0</v>
      </c>
      <c r="O338" s="114">
        <v>0</v>
      </c>
    </row>
    <row r="339" spans="1:18" ht="12.75" customHeight="1" thickBot="1" x14ac:dyDescent="0.3">
      <c r="A339" s="306"/>
      <c r="H339" s="115" t="s">
        <v>536</v>
      </c>
      <c r="I339" s="114"/>
      <c r="J339" s="1971">
        <v>143318</v>
      </c>
      <c r="K339" s="1971">
        <v>106133</v>
      </c>
      <c r="L339" s="1971">
        <f t="shared" ref="L339:M339" si="166">SUM(L333:L338)</f>
        <v>53851</v>
      </c>
      <c r="M339" s="1971">
        <f t="shared" si="166"/>
        <v>28928</v>
      </c>
      <c r="N339" s="1971">
        <f t="shared" ref="N339:O339" si="167">SUM(N333:N338)</f>
        <v>17563</v>
      </c>
      <c r="O339" s="1971">
        <f t="shared" si="167"/>
        <v>17563</v>
      </c>
      <c r="P339" s="151"/>
      <c r="Q339" s="151"/>
      <c r="R339" s="151"/>
    </row>
    <row r="340" spans="1:18" ht="12.75" customHeight="1" thickTop="1" x14ac:dyDescent="0.25">
      <c r="A340" s="306"/>
      <c r="I340" s="114"/>
      <c r="J340" s="114"/>
      <c r="K340" s="114"/>
      <c r="L340" s="114"/>
    </row>
    <row r="341" spans="1:18" ht="12.75" customHeight="1" x14ac:dyDescent="0.25">
      <c r="A341" s="306"/>
      <c r="D341" s="393">
        <v>652030</v>
      </c>
      <c r="E341" s="382"/>
      <c r="F341" s="381" t="s">
        <v>5119</v>
      </c>
      <c r="J341" s="527"/>
      <c r="K341" s="527"/>
      <c r="L341" s="527"/>
      <c r="M341" s="527"/>
      <c r="N341" s="527"/>
      <c r="O341" s="527"/>
      <c r="P341" s="527"/>
      <c r="Q341" s="527"/>
      <c r="R341" s="527"/>
    </row>
    <row r="342" spans="1:18" ht="12.75" customHeight="1" x14ac:dyDescent="0.25">
      <c r="A342" s="306"/>
      <c r="D342" s="143">
        <v>47501</v>
      </c>
      <c r="E342" s="531"/>
      <c r="F342" s="383" t="s">
        <v>5184</v>
      </c>
      <c r="H342" s="381"/>
      <c r="J342" s="151"/>
    </row>
    <row r="343" spans="1:18" ht="12.75" customHeight="1" x14ac:dyDescent="0.25">
      <c r="A343" s="306"/>
      <c r="E343" s="301" t="s">
        <v>2609</v>
      </c>
      <c r="F343" s="604" t="s">
        <v>5164</v>
      </c>
      <c r="J343" s="151">
        <v>727075</v>
      </c>
      <c r="K343" s="1593">
        <v>-302862</v>
      </c>
      <c r="L343" s="1593">
        <f>-(L245+L272+L309+L333+L358)</f>
        <v>0</v>
      </c>
      <c r="M343" s="1593">
        <f>-(M245+M272+M309+M333+M358)</f>
        <v>0</v>
      </c>
      <c r="N343" s="1593">
        <f>-(N245+N272+N309+N333+N358)</f>
        <v>0</v>
      </c>
      <c r="O343" s="1593">
        <f>-(O245+O272+O309+O333+O358)</f>
        <v>0</v>
      </c>
    </row>
    <row r="344" spans="1:18" ht="12.75" customHeight="1" x14ac:dyDescent="0.25">
      <c r="A344" s="306"/>
      <c r="E344" s="301" t="s">
        <v>2611</v>
      </c>
      <c r="F344" s="604" t="s">
        <v>5153</v>
      </c>
      <c r="J344" s="151">
        <v>-120180</v>
      </c>
      <c r="K344" s="1593">
        <v>4416574</v>
      </c>
      <c r="L344" s="1593">
        <f>-(L208+L246+L258+L266+L273+L310+L325+L334+L359+L370+L377)</f>
        <v>6678905.0000000009</v>
      </c>
      <c r="M344" s="1593">
        <f>-(M208+M246+M258+M266+M273+M310+M325+M334+M359+M370+M377)</f>
        <v>3133999</v>
      </c>
      <c r="N344" s="1593">
        <f>-(N208+N246+N258+N266+N273+N310+N325+N334+N359+N370+N377)</f>
        <v>-1877244.0000000009</v>
      </c>
      <c r="O344" s="1593">
        <f>-(O208+O246+O258+O266+O273+O310+O325+O334+O359+O370+O377)</f>
        <v>-1877244.0000000009</v>
      </c>
    </row>
    <row r="345" spans="1:18" ht="12.75" customHeight="1" x14ac:dyDescent="0.25">
      <c r="A345" s="306"/>
      <c r="E345" s="301" t="s">
        <v>2613</v>
      </c>
      <c r="F345" s="604" t="s">
        <v>5154</v>
      </c>
      <c r="J345" s="151">
        <v>-115219.99999999999</v>
      </c>
      <c r="K345" s="151">
        <v>0</v>
      </c>
      <c r="L345" s="151">
        <v>0</v>
      </c>
      <c r="M345" s="151">
        <v>0</v>
      </c>
      <c r="N345" s="151">
        <v>0</v>
      </c>
      <c r="O345" s="151">
        <v>0</v>
      </c>
    </row>
    <row r="346" spans="1:18" ht="12.75" customHeight="1" x14ac:dyDescent="0.25">
      <c r="A346" s="306"/>
      <c r="E346" s="301" t="s">
        <v>2619</v>
      </c>
      <c r="F346" s="115" t="s">
        <v>5156</v>
      </c>
      <c r="J346" s="151">
        <v>6065126.9999999991</v>
      </c>
      <c r="K346" s="1593">
        <v>1577642</v>
      </c>
      <c r="L346" s="114">
        <f>-(L211+L248+L277+L312+L338+L361+L380)</f>
        <v>-1636997</v>
      </c>
      <c r="M346" s="114">
        <f>-(M211+M248+M277+M312+M338+M361+M380)</f>
        <v>0</v>
      </c>
      <c r="N346" s="114">
        <f>-(N211+N248+N277+N312+N338+N361+N380)</f>
        <v>0</v>
      </c>
      <c r="O346" s="114">
        <f>-(O211+O248+O277+O312+O338+O361+O380)</f>
        <v>0</v>
      </c>
      <c r="P346" s="151"/>
      <c r="Q346" s="151"/>
      <c r="R346" s="151"/>
    </row>
    <row r="347" spans="1:18" ht="12.75" customHeight="1" x14ac:dyDescent="0.25">
      <c r="A347" s="306"/>
      <c r="E347" s="301" t="s">
        <v>2615</v>
      </c>
      <c r="F347" s="604" t="s">
        <v>5155</v>
      </c>
      <c r="J347" s="151">
        <v>-91487.999999999985</v>
      </c>
      <c r="K347" s="1593">
        <v>-94064.073009257292</v>
      </c>
      <c r="L347" s="1593">
        <f>-(L210+L249+L275+L313+L336+L362+L385)</f>
        <v>1928590.8894006889</v>
      </c>
      <c r="M347" s="1593">
        <f>-(M210+M249+M275+M313+M336+M362+M385)</f>
        <v>-143218</v>
      </c>
      <c r="N347" s="1593">
        <f>-(N210+N249+N275+N313+N336+N362+N385)</f>
        <v>-1067531.0000000002</v>
      </c>
      <c r="O347" s="1593">
        <f>-(O210+O249+O275+O313+O336+O362+O385)</f>
        <v>-1067531.0000000002</v>
      </c>
      <c r="P347" s="151"/>
      <c r="Q347" s="151"/>
      <c r="R347" s="151"/>
    </row>
    <row r="348" spans="1:18" ht="12.75" customHeight="1" x14ac:dyDescent="0.25">
      <c r="A348" s="306"/>
      <c r="E348" s="301" t="s">
        <v>5127</v>
      </c>
      <c r="F348" s="604" t="s">
        <v>5165</v>
      </c>
      <c r="J348" s="151">
        <v>-86567.000000000015</v>
      </c>
      <c r="K348" s="151">
        <v>0</v>
      </c>
      <c r="L348" s="151">
        <f>-(L250+L276+L314+L337+L363+L379)</f>
        <v>0</v>
      </c>
      <c r="M348" s="151">
        <f>-(M250+M276+M314+M337+M363+M379)</f>
        <v>0</v>
      </c>
      <c r="N348" s="151">
        <f>-(N250+N276+N314+N337+N363+N379)</f>
        <v>0</v>
      </c>
      <c r="O348" s="151">
        <f>-(O250+O276+O314+O337+O363+O379)</f>
        <v>0</v>
      </c>
    </row>
    <row r="349" spans="1:18" ht="12.75" customHeight="1" x14ac:dyDescent="0.25">
      <c r="A349" s="306"/>
      <c r="E349" s="301" t="s">
        <v>2609</v>
      </c>
      <c r="F349" s="604" t="s">
        <v>2610</v>
      </c>
      <c r="J349" s="151">
        <v>156566</v>
      </c>
      <c r="K349" s="1671">
        <v>160017</v>
      </c>
      <c r="L349" s="1671">
        <v>0</v>
      </c>
      <c r="M349" s="1671">
        <v>0</v>
      </c>
      <c r="N349" s="1671">
        <v>0</v>
      </c>
      <c r="O349" s="1671">
        <v>0</v>
      </c>
      <c r="P349" s="151"/>
      <c r="Q349" s="151"/>
      <c r="R349" s="151"/>
    </row>
    <row r="350" spans="1:18" ht="12.75" customHeight="1" x14ac:dyDescent="0.25">
      <c r="A350" s="306"/>
      <c r="E350" s="301" t="s">
        <v>2611</v>
      </c>
      <c r="F350" s="604" t="s">
        <v>5185</v>
      </c>
      <c r="J350" s="151">
        <v>189476</v>
      </c>
      <c r="K350" s="1671">
        <v>211987</v>
      </c>
      <c r="L350" s="1671">
        <v>216227</v>
      </c>
      <c r="M350" s="1671">
        <v>220551</v>
      </c>
      <c r="N350" s="1671">
        <v>224962</v>
      </c>
      <c r="O350" s="1671">
        <v>224962</v>
      </c>
      <c r="P350" s="151"/>
      <c r="Q350" s="151"/>
      <c r="R350" s="151"/>
    </row>
    <row r="351" spans="1:18" ht="12.75" customHeight="1" x14ac:dyDescent="0.25">
      <c r="A351" s="306"/>
      <c r="E351" s="301" t="s">
        <v>2613</v>
      </c>
      <c r="F351" s="604" t="s">
        <v>5186</v>
      </c>
      <c r="J351" s="151">
        <v>55629</v>
      </c>
      <c r="K351" s="1671">
        <v>0</v>
      </c>
      <c r="L351" s="1671">
        <v>0</v>
      </c>
      <c r="M351" s="1671">
        <v>0</v>
      </c>
      <c r="N351" s="1671">
        <v>0</v>
      </c>
      <c r="O351" s="1671">
        <v>0</v>
      </c>
      <c r="P351" s="151"/>
      <c r="Q351" s="151"/>
      <c r="R351" s="151"/>
    </row>
    <row r="352" spans="1:18" ht="12.75" customHeight="1" x14ac:dyDescent="0.25">
      <c r="A352" s="306"/>
      <c r="E352" s="301" t="s">
        <v>2615</v>
      </c>
      <c r="F352" s="604" t="s">
        <v>2616</v>
      </c>
      <c r="J352" s="151">
        <v>90447</v>
      </c>
      <c r="K352" s="1671">
        <v>95196</v>
      </c>
      <c r="L352" s="1671">
        <v>97100</v>
      </c>
      <c r="M352" s="1671">
        <v>99042</v>
      </c>
      <c r="N352" s="1671">
        <v>101023</v>
      </c>
      <c r="O352" s="1671">
        <v>101023</v>
      </c>
      <c r="P352" s="151"/>
      <c r="Q352" s="151"/>
      <c r="R352" s="151"/>
    </row>
    <row r="353" spans="1:18" ht="12.75" customHeight="1" x14ac:dyDescent="0.25">
      <c r="A353" s="306"/>
      <c r="E353" s="301" t="s">
        <v>5127</v>
      </c>
      <c r="F353" s="604" t="s">
        <v>2618</v>
      </c>
      <c r="J353" s="151">
        <v>10372</v>
      </c>
      <c r="K353" s="151">
        <v>0</v>
      </c>
      <c r="L353" s="151">
        <v>0</v>
      </c>
      <c r="M353" s="151">
        <v>0</v>
      </c>
      <c r="N353" s="151">
        <v>0</v>
      </c>
      <c r="O353" s="151">
        <v>0</v>
      </c>
      <c r="P353" s="151"/>
      <c r="Q353" s="151"/>
      <c r="R353" s="151"/>
    </row>
    <row r="354" spans="1:18" ht="12.75" customHeight="1" thickBot="1" x14ac:dyDescent="0.3">
      <c r="A354" s="306"/>
      <c r="D354" s="531"/>
      <c r="E354" s="382"/>
      <c r="F354" s="383"/>
      <c r="H354" s="115" t="s">
        <v>536</v>
      </c>
      <c r="J354" s="2239">
        <v>6881236.9999999991</v>
      </c>
      <c r="K354" s="2239">
        <v>6064489.9269907428</v>
      </c>
      <c r="L354" s="2239">
        <f>SUM(L343:L353)</f>
        <v>7283825.8894006899</v>
      </c>
      <c r="M354" s="2239">
        <f>SUM(M343:M353)</f>
        <v>3310374</v>
      </c>
      <c r="N354" s="2239">
        <f>SUM(N343:N353)</f>
        <v>-2618790.0000000009</v>
      </c>
      <c r="O354" s="2239">
        <f>SUM(O343:O353)</f>
        <v>-2618790.0000000009</v>
      </c>
      <c r="P354" s="151"/>
      <c r="Q354" s="151"/>
      <c r="R354" s="151"/>
    </row>
    <row r="355" spans="1:18" ht="12.75" customHeight="1" thickTop="1" x14ac:dyDescent="0.25">
      <c r="A355" s="306"/>
      <c r="D355" s="531"/>
      <c r="E355" s="382"/>
      <c r="F355" s="383"/>
      <c r="H355" s="381"/>
      <c r="J355" s="151"/>
    </row>
    <row r="356" spans="1:18" ht="12.75" customHeight="1" x14ac:dyDescent="0.25">
      <c r="A356" s="306"/>
      <c r="D356" s="393">
        <v>652031</v>
      </c>
      <c r="E356" s="382"/>
      <c r="F356" s="381" t="s">
        <v>5118</v>
      </c>
      <c r="I356" s="485"/>
      <c r="J356" s="383"/>
    </row>
    <row r="357" spans="1:18" ht="12.75" customHeight="1" x14ac:dyDescent="0.25">
      <c r="A357" s="306"/>
      <c r="D357" s="531" t="s">
        <v>5187</v>
      </c>
      <c r="E357" s="531"/>
      <c r="F357" s="381"/>
      <c r="I357" s="485"/>
      <c r="J357" s="151"/>
    </row>
    <row r="358" spans="1:18" ht="12.75" customHeight="1" x14ac:dyDescent="0.25">
      <c r="A358" s="306"/>
      <c r="E358" s="336" t="s">
        <v>2609</v>
      </c>
      <c r="F358" s="115" t="s">
        <v>5164</v>
      </c>
      <c r="I358" s="151"/>
      <c r="J358" s="151">
        <v>4204.8111705494002</v>
      </c>
      <c r="K358" s="1671">
        <v>4263.1260467458651</v>
      </c>
      <c r="L358" s="1671">
        <v>0</v>
      </c>
      <c r="M358" s="1671">
        <v>0</v>
      </c>
      <c r="N358" s="1671">
        <v>0</v>
      </c>
      <c r="O358" s="1671">
        <v>0</v>
      </c>
      <c r="P358" s="151"/>
      <c r="Q358" s="151"/>
      <c r="R358" s="151"/>
    </row>
    <row r="359" spans="1:18" ht="12.75" customHeight="1" x14ac:dyDescent="0.25">
      <c r="A359" s="306"/>
      <c r="E359" s="336" t="s">
        <v>2611</v>
      </c>
      <c r="F359" s="115" t="s">
        <v>5153</v>
      </c>
      <c r="I359" s="151"/>
      <c r="J359" s="151">
        <v>-1254.5735930874075</v>
      </c>
      <c r="K359" s="1671">
        <v>3620.6501643475203</v>
      </c>
      <c r="L359" s="1671">
        <f>6500*(1+547325/5364835)</f>
        <v>7163.1354925174765</v>
      </c>
      <c r="M359" s="1671">
        <f>6500*(1+718315/5437425)</f>
        <v>7358.6872462608681</v>
      </c>
      <c r="N359" s="1671">
        <f>6500*(1+693486/4486136)</f>
        <v>7504.7976699770134</v>
      </c>
      <c r="O359" s="1671">
        <f>6500*(1+693486/4486136)</f>
        <v>7504.7976699770134</v>
      </c>
      <c r="P359" s="151"/>
      <c r="Q359" s="151"/>
      <c r="R359" s="151"/>
    </row>
    <row r="360" spans="1:18" ht="12.75" customHeight="1" x14ac:dyDescent="0.25">
      <c r="A360" s="306"/>
      <c r="E360" s="336" t="s">
        <v>2613</v>
      </c>
      <c r="F360" s="115" t="s">
        <v>5154</v>
      </c>
      <c r="I360" s="151"/>
      <c r="J360" s="151">
        <v>2094.6075494307966</v>
      </c>
      <c r="K360" s="151"/>
      <c r="L360" s="151">
        <v>0</v>
      </c>
    </row>
    <row r="361" spans="1:18" ht="12.75" customHeight="1" x14ac:dyDescent="0.25">
      <c r="A361" s="306"/>
      <c r="E361" s="336" t="s">
        <v>2619</v>
      </c>
      <c r="F361" s="115" t="s">
        <v>5156</v>
      </c>
      <c r="I361" s="151"/>
      <c r="J361" s="151">
        <v>5679.0006385489505</v>
      </c>
      <c r="K361" s="1671">
        <v>5324.2099174867544</v>
      </c>
      <c r="L361" s="1671">
        <f>5000*(1+152136/1492646)</f>
        <v>5509.6184895815895</v>
      </c>
      <c r="M361" s="1671">
        <v>0</v>
      </c>
      <c r="N361" s="1671">
        <v>0</v>
      </c>
      <c r="O361" s="1671">
        <v>0</v>
      </c>
      <c r="P361" s="151"/>
      <c r="Q361" s="151"/>
      <c r="R361" s="151"/>
    </row>
    <row r="362" spans="1:18" ht="12.75" customHeight="1" x14ac:dyDescent="0.25">
      <c r="A362" s="306"/>
      <c r="E362" s="604" t="s">
        <v>2615</v>
      </c>
      <c r="F362" s="604" t="s">
        <v>5155</v>
      </c>
      <c r="I362" s="151"/>
      <c r="J362" s="151">
        <v>2138.7981931244867</v>
      </c>
      <c r="K362" s="1671">
        <v>2146.0185145805867</v>
      </c>
      <c r="L362" s="1671">
        <f>2000*(1+8764/79241)</f>
        <v>2221.1986219255186</v>
      </c>
      <c r="M362" s="1671">
        <f>2000*(1+16309/115506)</f>
        <v>2282.3922566793067</v>
      </c>
      <c r="N362" s="1671">
        <f>2000*(1+141249/914335)</f>
        <v>2308.965532326773</v>
      </c>
      <c r="O362" s="1671">
        <f>2000*(1+141249/914335)</f>
        <v>2308.965532326773</v>
      </c>
      <c r="P362" s="151"/>
      <c r="Q362" s="151"/>
      <c r="R362" s="151"/>
    </row>
    <row r="363" spans="1:18" ht="12.75" customHeight="1" x14ac:dyDescent="0.25">
      <c r="A363" s="306"/>
      <c r="E363" s="2240" t="s">
        <v>5127</v>
      </c>
      <c r="F363" s="604" t="s">
        <v>5165</v>
      </c>
      <c r="I363" s="151"/>
      <c r="J363" s="151">
        <v>1581.7080745341616</v>
      </c>
      <c r="K363" s="151">
        <v>0</v>
      </c>
      <c r="L363" s="151">
        <v>0</v>
      </c>
      <c r="M363" s="151">
        <v>0</v>
      </c>
      <c r="N363" s="151">
        <v>0</v>
      </c>
      <c r="O363" s="151">
        <v>0</v>
      </c>
    </row>
    <row r="364" spans="1:18" ht="12.75" customHeight="1" thickBot="1" x14ac:dyDescent="0.3">
      <c r="A364" s="306"/>
      <c r="D364" s="531"/>
      <c r="E364" s="531"/>
      <c r="F364" s="115" t="s">
        <v>536</v>
      </c>
      <c r="I364" s="151"/>
      <c r="J364" s="2239">
        <v>14444.352033100387</v>
      </c>
      <c r="K364" s="2239">
        <v>15354.004643160726</v>
      </c>
      <c r="L364" s="2239">
        <f t="shared" ref="L364:M364" si="168">SUM(L358:L363)</f>
        <v>14893.952604024584</v>
      </c>
      <c r="M364" s="2239">
        <f t="shared" si="168"/>
        <v>9641.0795029401743</v>
      </c>
      <c r="N364" s="2239">
        <f t="shared" ref="N364:O364" si="169">SUM(N358:N363)</f>
        <v>9813.7632023037859</v>
      </c>
      <c r="O364" s="2239">
        <f t="shared" si="169"/>
        <v>9813.7632023037859</v>
      </c>
      <c r="P364" s="151"/>
      <c r="Q364" s="151"/>
      <c r="R364" s="151"/>
    </row>
    <row r="365" spans="1:18" ht="12.75" customHeight="1" thickTop="1" x14ac:dyDescent="0.25">
      <c r="A365" s="306"/>
      <c r="J365" s="151"/>
    </row>
    <row r="366" spans="1:18" ht="12.75" customHeight="1" x14ac:dyDescent="0.25">
      <c r="A366" s="306"/>
      <c r="D366" s="312" t="s">
        <v>554</v>
      </c>
      <c r="J366" s="151"/>
    </row>
    <row r="367" spans="1:18" ht="12.75" customHeight="1" x14ac:dyDescent="0.25">
      <c r="A367" s="306"/>
      <c r="D367" s="312"/>
      <c r="J367" s="151"/>
    </row>
    <row r="368" spans="1:18" ht="12.75" customHeight="1" x14ac:dyDescent="0.25">
      <c r="A368" s="306"/>
      <c r="D368" s="445">
        <v>652025</v>
      </c>
      <c r="E368" s="309"/>
      <c r="F368" s="381" t="s">
        <v>5138</v>
      </c>
      <c r="I368" s="383"/>
      <c r="J368" s="151"/>
    </row>
    <row r="369" spans="1:19" ht="12.75" customHeight="1" x14ac:dyDescent="0.25">
      <c r="A369" s="306"/>
      <c r="D369" s="485">
        <v>83100</v>
      </c>
      <c r="E369" s="485"/>
      <c r="F369" s="383" t="s">
        <v>5188</v>
      </c>
      <c r="H369" s="383"/>
      <c r="J369" s="151"/>
    </row>
    <row r="370" spans="1:19" ht="12.75" customHeight="1" x14ac:dyDescent="0.25">
      <c r="A370" s="306"/>
      <c r="E370" s="115" t="s">
        <v>2611</v>
      </c>
      <c r="F370" s="115" t="s">
        <v>5153</v>
      </c>
      <c r="I370" s="114"/>
      <c r="J370" s="1672">
        <v>-337960</v>
      </c>
      <c r="K370" s="1593">
        <v>-1017054.8166492325</v>
      </c>
      <c r="L370" s="1593">
        <f>(-268704*(1+466666/6820704))-588600</f>
        <v>-875688.46894396818</v>
      </c>
      <c r="M370" s="1593">
        <f>-268704*(1+216800/2608704)-434160</f>
        <v>-725195.0223007286</v>
      </c>
      <c r="N370" s="1593">
        <v>-314820</v>
      </c>
      <c r="O370" s="1593">
        <v>-314820</v>
      </c>
      <c r="P370" s="114"/>
      <c r="Q370" s="114"/>
      <c r="R370" s="114"/>
    </row>
    <row r="371" spans="1:19" ht="12.75" customHeight="1" x14ac:dyDescent="0.25">
      <c r="A371" s="306"/>
      <c r="E371" s="336" t="s">
        <v>2619</v>
      </c>
      <c r="F371" s="115" t="s">
        <v>5156</v>
      </c>
      <c r="I371" s="114"/>
      <c r="J371" s="1672">
        <v>-578544.02124868892</v>
      </c>
      <c r="K371" s="114">
        <v>0</v>
      </c>
      <c r="L371" s="114">
        <v>0</v>
      </c>
      <c r="M371" s="114">
        <v>0</v>
      </c>
      <c r="N371" s="114">
        <v>0</v>
      </c>
      <c r="O371" s="114">
        <v>0</v>
      </c>
      <c r="P371" s="114"/>
      <c r="Q371" s="114"/>
      <c r="R371" s="114"/>
    </row>
    <row r="372" spans="1:19" ht="12.75" customHeight="1" thickBot="1" x14ac:dyDescent="0.3">
      <c r="A372" s="306"/>
      <c r="F372" s="115"/>
      <c r="H372" s="115" t="s">
        <v>536</v>
      </c>
      <c r="I372" s="114"/>
      <c r="J372" s="2239">
        <v>-916504.02124868892</v>
      </c>
      <c r="K372" s="2239">
        <v>-1017054.8166492325</v>
      </c>
      <c r="L372" s="2239">
        <f t="shared" ref="L372:M372" si="170">SUM(L370:L371)</f>
        <v>-875688.46894396818</v>
      </c>
      <c r="M372" s="2239">
        <f t="shared" si="170"/>
        <v>-725195.0223007286</v>
      </c>
      <c r="N372" s="2239">
        <f t="shared" ref="N372:O372" si="171">SUM(N370:N371)</f>
        <v>-314820</v>
      </c>
      <c r="O372" s="2239">
        <f t="shared" si="171"/>
        <v>-314820</v>
      </c>
      <c r="P372" s="151"/>
      <c r="Q372" s="151"/>
      <c r="R372" s="151"/>
    </row>
    <row r="373" spans="1:19" ht="12.75" customHeight="1" thickTop="1" x14ac:dyDescent="0.25">
      <c r="A373" s="306"/>
      <c r="F373" s="115"/>
      <c r="I373" s="114"/>
      <c r="J373" s="151"/>
    </row>
    <row r="374" spans="1:19" ht="12.75" customHeight="1" x14ac:dyDescent="0.25">
      <c r="A374" s="306"/>
      <c r="D374" s="445">
        <v>652026</v>
      </c>
      <c r="E374" s="309"/>
      <c r="F374" s="381" t="s">
        <v>5189</v>
      </c>
      <c r="I374" s="383"/>
      <c r="J374" s="151"/>
    </row>
    <row r="375" spans="1:19" ht="12.75" customHeight="1" x14ac:dyDescent="0.25">
      <c r="A375" s="306"/>
      <c r="D375" s="485">
        <v>83100</v>
      </c>
      <c r="E375" s="485"/>
      <c r="F375" s="383" t="s">
        <v>5188</v>
      </c>
      <c r="H375" s="383"/>
      <c r="J375" s="151"/>
    </row>
    <row r="376" spans="1:19" ht="12.75" customHeight="1" x14ac:dyDescent="0.25">
      <c r="A376" s="306"/>
      <c r="E376" s="115" t="s">
        <v>2609</v>
      </c>
      <c r="F376" s="115" t="s">
        <v>5164</v>
      </c>
      <c r="I376" s="114"/>
      <c r="J376" s="1672">
        <v>-918000</v>
      </c>
      <c r="K376" s="1672">
        <v>0</v>
      </c>
      <c r="L376" s="1672">
        <v>0</v>
      </c>
      <c r="M376" s="1672">
        <v>0</v>
      </c>
      <c r="N376" s="1672">
        <v>0</v>
      </c>
      <c r="O376" s="1672">
        <v>0</v>
      </c>
      <c r="P376" s="538"/>
      <c r="Q376" s="538"/>
      <c r="R376" s="538"/>
    </row>
    <row r="377" spans="1:19" ht="12.75" customHeight="1" x14ac:dyDescent="0.25">
      <c r="A377" s="306"/>
      <c r="E377" s="115" t="s">
        <v>2611</v>
      </c>
      <c r="F377" s="115" t="s">
        <v>5153</v>
      </c>
      <c r="I377" s="114"/>
      <c r="J377" s="1672">
        <v>-5343748</v>
      </c>
      <c r="K377" s="151">
        <v>-8938634.1833507679</v>
      </c>
      <c r="L377" s="151">
        <f>(-6552000*(1+466666/6820704))-4758000</f>
        <v>-11758281.531056032</v>
      </c>
      <c r="M377" s="151">
        <f>-2340000*(1+216800/2608704)-6047600</f>
        <v>-8582068.9776992723</v>
      </c>
      <c r="N377" s="151">
        <f>-936000-1950000-107174</f>
        <v>-2993174</v>
      </c>
      <c r="O377" s="151">
        <f>-936000-1950000-107174</f>
        <v>-2993174</v>
      </c>
      <c r="P377" s="538"/>
      <c r="Q377" s="538"/>
      <c r="R377" s="538"/>
    </row>
    <row r="378" spans="1:19" ht="12.75" customHeight="1" x14ac:dyDescent="0.25">
      <c r="A378" s="306"/>
      <c r="E378" s="336" t="s">
        <v>2613</v>
      </c>
      <c r="F378" s="115" t="s">
        <v>5154</v>
      </c>
      <c r="I378" s="114"/>
      <c r="J378" s="1672"/>
      <c r="K378" s="1672"/>
      <c r="L378" s="1672">
        <v>0</v>
      </c>
    </row>
    <row r="379" spans="1:19" ht="12.75" customHeight="1" x14ac:dyDescent="0.25">
      <c r="A379" s="306"/>
      <c r="E379" s="115" t="s">
        <v>5127</v>
      </c>
      <c r="F379" s="604" t="s">
        <v>5165</v>
      </c>
      <c r="I379" s="114"/>
      <c r="J379" s="1672">
        <v>0</v>
      </c>
      <c r="K379" s="1672">
        <v>0</v>
      </c>
      <c r="L379" s="1672"/>
      <c r="M379" s="1672">
        <v>0</v>
      </c>
      <c r="N379" s="1672">
        <v>0</v>
      </c>
      <c r="O379" s="1672">
        <v>0</v>
      </c>
    </row>
    <row r="380" spans="1:19" ht="12.75" customHeight="1" x14ac:dyDescent="0.25">
      <c r="A380" s="306"/>
      <c r="E380" s="336" t="s">
        <v>2619</v>
      </c>
      <c r="F380" s="115" t="s">
        <v>5156</v>
      </c>
      <c r="I380" s="114"/>
      <c r="J380" s="1672">
        <v>-6500548.9787513101</v>
      </c>
      <c r="K380" s="1593">
        <v>-2835132</v>
      </c>
      <c r="L380" s="1593">
        <v>0</v>
      </c>
      <c r="M380" s="1593">
        <v>0</v>
      </c>
      <c r="N380" s="1593">
        <v>0</v>
      </c>
      <c r="O380" s="1593">
        <v>0</v>
      </c>
      <c r="P380" s="114"/>
      <c r="Q380" s="114"/>
      <c r="R380" s="114"/>
    </row>
    <row r="381" spans="1:19" ht="12.75" customHeight="1" thickBot="1" x14ac:dyDescent="0.3">
      <c r="A381" s="306"/>
      <c r="F381" s="115"/>
      <c r="H381" s="115" t="s">
        <v>1139</v>
      </c>
      <c r="I381" s="114"/>
      <c r="J381" s="2239">
        <v>-12762296.978751309</v>
      </c>
      <c r="K381" s="2239">
        <v>-11773766.183350768</v>
      </c>
      <c r="L381" s="2239">
        <f t="shared" ref="L381:M381" si="172">SUM(L376:L380)</f>
        <v>-11758281.531056032</v>
      </c>
      <c r="M381" s="2239">
        <f t="shared" si="172"/>
        <v>-8582068.9776992723</v>
      </c>
      <c r="N381" s="2239">
        <f t="shared" ref="N381:O381" si="173">SUM(N376:N380)</f>
        <v>-2993174</v>
      </c>
      <c r="O381" s="2239">
        <f t="shared" si="173"/>
        <v>-2993174</v>
      </c>
      <c r="P381" s="151"/>
      <c r="Q381" s="151"/>
      <c r="R381" s="151"/>
      <c r="S381" s="114"/>
    </row>
    <row r="382" spans="1:19" ht="12.75" customHeight="1" thickTop="1" x14ac:dyDescent="0.25">
      <c r="A382" s="306"/>
      <c r="F382" s="115"/>
      <c r="I382" s="114"/>
      <c r="J382" s="151"/>
      <c r="K382" s="114"/>
      <c r="L382" s="114"/>
      <c r="M382" s="114"/>
      <c r="N382" s="114"/>
      <c r="O382" s="114"/>
      <c r="P382" s="114"/>
      <c r="Q382" s="114"/>
      <c r="R382" s="114"/>
    </row>
    <row r="383" spans="1:19" ht="12.75" customHeight="1" x14ac:dyDescent="0.25">
      <c r="A383" s="306"/>
      <c r="D383" s="445">
        <v>652027</v>
      </c>
      <c r="E383" s="309"/>
      <c r="F383" s="381" t="s">
        <v>5190</v>
      </c>
      <c r="I383" s="383"/>
      <c r="J383" s="151"/>
      <c r="K383" s="114"/>
      <c r="L383" s="114"/>
      <c r="M383" s="114"/>
      <c r="N383" s="114"/>
      <c r="O383" s="114"/>
      <c r="P383" s="114"/>
      <c r="Q383" s="114"/>
      <c r="R383" s="114"/>
    </row>
    <row r="384" spans="1:19" ht="12.75" customHeight="1" x14ac:dyDescent="0.25">
      <c r="A384" s="306"/>
      <c r="D384" s="485">
        <v>83100</v>
      </c>
      <c r="E384" s="485"/>
      <c r="F384" s="383" t="s">
        <v>5188</v>
      </c>
      <c r="H384" s="383"/>
      <c r="J384" s="151"/>
    </row>
    <row r="385" spans="1:18" ht="12.75" customHeight="1" x14ac:dyDescent="0.25">
      <c r="A385" s="306"/>
      <c r="E385" s="115" t="s">
        <v>2615</v>
      </c>
      <c r="F385" s="115" t="s">
        <v>5155</v>
      </c>
      <c r="I385" s="114"/>
      <c r="J385" s="1672">
        <v>0</v>
      </c>
      <c r="K385" s="151">
        <v>0</v>
      </c>
      <c r="L385" s="151">
        <f>-1900000-135328</f>
        <v>-2035328</v>
      </c>
      <c r="M385" s="151">
        <v>0</v>
      </c>
      <c r="N385" s="151">
        <v>0</v>
      </c>
      <c r="O385" s="151">
        <v>0</v>
      </c>
    </row>
    <row r="386" spans="1:18" ht="12.75" customHeight="1" thickBot="1" x14ac:dyDescent="0.3">
      <c r="A386" s="306"/>
      <c r="F386" s="115"/>
      <c r="H386" s="115" t="s">
        <v>1139</v>
      </c>
      <c r="I386" s="114"/>
      <c r="J386" s="2239">
        <v>0</v>
      </c>
      <c r="K386" s="2239">
        <v>0</v>
      </c>
      <c r="L386" s="2239">
        <f>SUM(L385:L385)</f>
        <v>-2035328</v>
      </c>
      <c r="M386" s="2239">
        <f>SUM(M385:M385)</f>
        <v>0</v>
      </c>
      <c r="N386" s="2239">
        <f>SUM(N385:N385)</f>
        <v>0</v>
      </c>
      <c r="O386" s="2239">
        <f>SUM(O385:O385)</f>
        <v>0</v>
      </c>
      <c r="P386" s="151"/>
      <c r="Q386" s="151"/>
      <c r="R386" s="151"/>
    </row>
    <row r="387" spans="1:18" ht="12.75" customHeight="1" thickTop="1" x14ac:dyDescent="0.25">
      <c r="A387" s="306"/>
      <c r="F387" s="115"/>
      <c r="I387" s="114"/>
      <c r="J387" s="151"/>
    </row>
    <row r="388" spans="1:18" ht="12.75" customHeight="1" x14ac:dyDescent="0.25">
      <c r="A388" s="306"/>
      <c r="D388" s="445">
        <v>652029</v>
      </c>
      <c r="E388" s="309"/>
      <c r="F388" s="381" t="s">
        <v>5191</v>
      </c>
      <c r="I388" s="383"/>
      <c r="J388" s="151"/>
    </row>
    <row r="389" spans="1:18" ht="12.75" customHeight="1" x14ac:dyDescent="0.25">
      <c r="A389" s="306"/>
      <c r="D389" s="485">
        <v>83100</v>
      </c>
      <c r="E389" s="485"/>
      <c r="F389" s="383"/>
      <c r="H389" s="383"/>
      <c r="J389" s="151"/>
    </row>
    <row r="390" spans="1:18" ht="12.75" customHeight="1" x14ac:dyDescent="0.25">
      <c r="A390" s="306"/>
      <c r="E390" s="115" t="s">
        <v>2611</v>
      </c>
      <c r="F390" s="115" t="s">
        <v>5153</v>
      </c>
      <c r="J390" s="151">
        <v>0</v>
      </c>
      <c r="K390" s="151">
        <v>0</v>
      </c>
      <c r="L390" s="115">
        <v>0</v>
      </c>
      <c r="M390" s="115">
        <v>0</v>
      </c>
      <c r="N390" s="115">
        <v>0</v>
      </c>
      <c r="O390" s="115">
        <v>0</v>
      </c>
    </row>
    <row r="391" spans="1:18" ht="12.75" customHeight="1" thickBot="1" x14ac:dyDescent="0.3">
      <c r="A391" s="306"/>
      <c r="F391" s="115" t="s">
        <v>1139</v>
      </c>
      <c r="H391" s="114"/>
      <c r="I391" s="114"/>
      <c r="J391" s="2249">
        <v>0</v>
      </c>
      <c r="K391" s="1971">
        <v>0</v>
      </c>
      <c r="L391" s="1971">
        <f t="shared" ref="L391:M391" si="174">SUM(L390:L390)</f>
        <v>0</v>
      </c>
      <c r="M391" s="1971">
        <f t="shared" si="174"/>
        <v>0</v>
      </c>
      <c r="N391" s="1971">
        <f t="shared" ref="N391:O391" si="175">SUM(N390:N390)</f>
        <v>0</v>
      </c>
      <c r="O391" s="1971">
        <f t="shared" si="175"/>
        <v>0</v>
      </c>
      <c r="P391" s="114"/>
      <c r="Q391" s="114"/>
      <c r="R391" s="114"/>
    </row>
    <row r="392" spans="1:18" ht="12.75" customHeight="1" thickTop="1" x14ac:dyDescent="0.25">
      <c r="A392" s="306"/>
      <c r="H392" s="114"/>
      <c r="I392" s="114"/>
      <c r="J392" s="151"/>
    </row>
    <row r="393" spans="1:18" ht="12.75" customHeight="1" x14ac:dyDescent="0.25">
      <c r="I393" s="394"/>
      <c r="J393" s="151"/>
    </row>
    <row r="394" spans="1:18" ht="12.75" customHeight="1" x14ac:dyDescent="0.25">
      <c r="J394" s="115"/>
    </row>
  </sheetData>
  <mergeCells count="3">
    <mergeCell ref="D61:D62"/>
    <mergeCell ref="F61:F62"/>
    <mergeCell ref="G61:H62"/>
  </mergeCells>
  <hyperlinks>
    <hyperlink ref="A1" location="Inhoudsopgave!A1" display="Inhoudsopgave" xr:uid="{FAC5438F-9A11-41A7-B1BD-638928911A51}"/>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5" manualBreakCount="5">
    <brk id="58" min="3" max="14" man="1"/>
    <brk id="119" min="3" max="14" man="1"/>
    <brk id="190" min="3" max="14" man="1"/>
    <brk id="254" min="3" max="14" man="1"/>
    <brk id="327" min="3" max="14" man="1"/>
  </rowBreaks>
  <ignoredErrors>
    <ignoredError sqref="L36:N36 L42:N42" evalError="1"/>
  </ignoredError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948C3-8367-40CD-B5C6-DFE72AF14404}">
  <sheetPr codeName="Blad69"/>
  <dimension ref="A1:W715"/>
  <sheetViews>
    <sheetView showGridLines="0" view="pageBreakPreview" topLeftCell="A283" zoomScale="50" zoomScaleNormal="100" zoomScaleSheetLayoutView="50" workbookViewId="0">
      <selection activeCell="K81" sqref="K81"/>
    </sheetView>
  </sheetViews>
  <sheetFormatPr defaultColWidth="9.109375" defaultRowHeight="12.75" customHeight="1" x14ac:dyDescent="0.25"/>
  <cols>
    <col min="1" max="1" width="9.109375" style="336"/>
    <col min="2" max="3" width="9.109375" style="115"/>
    <col min="4" max="4" width="9.6640625" style="301" customWidth="1"/>
    <col min="5" max="6" width="9.6640625" style="143" customWidth="1"/>
    <col min="7" max="9" width="12.6640625" style="115" customWidth="1"/>
    <col min="10" max="15" width="11.6640625" style="115" customWidth="1"/>
    <col min="16" max="16" width="13.5546875" style="115" bestFit="1" customWidth="1"/>
    <col min="17" max="18" width="10.5546875" style="115" customWidth="1"/>
    <col min="19" max="19" width="13.109375" style="115" bestFit="1" customWidth="1"/>
    <col min="20" max="20" width="11.5546875" style="115" customWidth="1"/>
    <col min="21" max="21" width="13.5546875" style="115" customWidth="1"/>
    <col min="22" max="22" width="12.88671875" style="115" bestFit="1" customWidth="1"/>
    <col min="23" max="16384" width="9.109375" style="115"/>
  </cols>
  <sheetData>
    <row r="1" spans="1:23" ht="12.75" customHeight="1" x14ac:dyDescent="0.3">
      <c r="A1" s="157" t="s">
        <v>0</v>
      </c>
      <c r="P1" s="451">
        <v>2024</v>
      </c>
      <c r="Q1" s="304">
        <v>2025</v>
      </c>
      <c r="R1" s="304">
        <v>2026</v>
      </c>
      <c r="S1" s="304">
        <v>2027</v>
      </c>
      <c r="T1" s="304">
        <v>2028</v>
      </c>
      <c r="U1" s="304">
        <v>2029</v>
      </c>
      <c r="V1" s="304">
        <v>2030</v>
      </c>
      <c r="W1" s="304"/>
    </row>
    <row r="2" spans="1:23" ht="12.75" customHeight="1" x14ac:dyDescent="0.3">
      <c r="D2" s="301" t="s">
        <v>504</v>
      </c>
      <c r="H2" s="115" t="s">
        <v>5006</v>
      </c>
      <c r="P2" s="99">
        <v>1.0369999999999999</v>
      </c>
      <c r="Q2" s="99">
        <f>+Indexering!H4</f>
        <v>1.028</v>
      </c>
      <c r="R2" s="99">
        <f>+Indexering!I4</f>
        <v>1.026</v>
      </c>
      <c r="S2" s="99">
        <f>+Indexering!J4</f>
        <v>1.0209999999999999</v>
      </c>
      <c r="T2" s="99">
        <f>+Indexering!K4</f>
        <v>1.0229999999999999</v>
      </c>
      <c r="U2" s="99">
        <f>+Indexering!L4</f>
        <v>1.0229999999999999</v>
      </c>
      <c r="V2" s="307">
        <f>+Indexering!L4</f>
        <v>1.0229999999999999</v>
      </c>
      <c r="W2" s="307"/>
    </row>
    <row r="3" spans="1:23" ht="12.75" customHeight="1" x14ac:dyDescent="0.3">
      <c r="P3" s="99">
        <v>1.052</v>
      </c>
      <c r="Q3" s="99">
        <f>+Indexering!H5</f>
        <v>1.0489999999999999</v>
      </c>
      <c r="R3" s="99">
        <f>+Indexering!I5</f>
        <v>1.02</v>
      </c>
      <c r="S3" s="99">
        <f>+Indexering!J5</f>
        <v>1.042</v>
      </c>
      <c r="T3" s="99">
        <f>+Indexering!K5</f>
        <v>1.0369999999999999</v>
      </c>
      <c r="U3" s="99">
        <f>+Indexering!L5</f>
        <v>1.0369999999999999</v>
      </c>
      <c r="V3" s="307">
        <f>+Indexering!L5</f>
        <v>1.0369999999999999</v>
      </c>
      <c r="W3" s="307"/>
    </row>
    <row r="4" spans="1:23" ht="12.75" customHeight="1" x14ac:dyDescent="0.3">
      <c r="P4" s="99">
        <v>1.0445</v>
      </c>
      <c r="Q4" s="99">
        <f>+Indexering!H6</f>
        <v>1.036</v>
      </c>
      <c r="R4" s="99">
        <f>+Indexering!I6</f>
        <v>1.0228200000000001</v>
      </c>
      <c r="S4" s="99">
        <f>+Indexering!J6</f>
        <v>1.03213</v>
      </c>
      <c r="T4" s="99">
        <f>+Indexering!K6</f>
        <v>1.0304199999999999</v>
      </c>
      <c r="U4" s="99">
        <f>+Indexering!L6</f>
        <v>1.0304199999999999</v>
      </c>
      <c r="V4" s="307">
        <f>+Indexering!L6</f>
        <v>1.0304199999999999</v>
      </c>
      <c r="W4" s="307"/>
    </row>
    <row r="5" spans="1:23" ht="12.75" customHeight="1" x14ac:dyDescent="0.25">
      <c r="D5" s="301" t="s">
        <v>713</v>
      </c>
      <c r="H5" s="115" t="s">
        <v>2631</v>
      </c>
    </row>
    <row r="6" spans="1:23" ht="12.75" customHeight="1" x14ac:dyDescent="0.25">
      <c r="D6" s="301" t="s">
        <v>4852</v>
      </c>
      <c r="H6" s="115" t="s">
        <v>5192</v>
      </c>
    </row>
    <row r="25" spans="4:22" ht="12.75" customHeight="1" x14ac:dyDescent="0.25">
      <c r="D25" s="452" t="s">
        <v>507</v>
      </c>
      <c r="E25" s="438"/>
      <c r="F25" s="438"/>
      <c r="G25" s="453"/>
      <c r="H25" s="453"/>
      <c r="I25" s="453"/>
      <c r="J25" s="453"/>
      <c r="K25" s="453"/>
      <c r="L25" s="453"/>
      <c r="M25" s="453"/>
      <c r="N25" s="453"/>
      <c r="O25" s="453"/>
    </row>
    <row r="26" spans="4:22" ht="12.75" customHeight="1" x14ac:dyDescent="0.25">
      <c r="D26" s="438"/>
      <c r="E26" s="438"/>
      <c r="F26" s="438"/>
      <c r="G26" s="453"/>
      <c r="H26" s="453"/>
      <c r="I26" s="453"/>
      <c r="J26" s="453"/>
      <c r="K26" s="453"/>
      <c r="L26" s="453"/>
      <c r="M26" s="453"/>
      <c r="N26" s="453"/>
      <c r="O26" s="453"/>
    </row>
    <row r="27" spans="4:22" ht="12.75" customHeight="1" x14ac:dyDescent="0.25">
      <c r="D27" s="1973" t="s">
        <v>508</v>
      </c>
      <c r="E27" s="1974"/>
      <c r="F27" s="1974"/>
      <c r="G27" s="1975"/>
      <c r="H27" s="1975"/>
      <c r="I27" s="1975"/>
      <c r="J27" s="1977">
        <v>2025</v>
      </c>
      <c r="K27" s="1976">
        <v>2026</v>
      </c>
      <c r="L27" s="1976">
        <v>2027</v>
      </c>
      <c r="M27" s="1976">
        <v>2028</v>
      </c>
      <c r="N27" s="1976">
        <v>2029</v>
      </c>
      <c r="O27" s="1976">
        <v>2030</v>
      </c>
    </row>
    <row r="28" spans="4:22" ht="12.75" customHeight="1" x14ac:dyDescent="0.25">
      <c r="D28" s="454" t="str">
        <f>G78</f>
        <v>Welstandstoezicht</v>
      </c>
      <c r="E28" s="455"/>
      <c r="F28" s="456"/>
      <c r="G28" s="453"/>
      <c r="H28" s="453"/>
      <c r="I28" s="453"/>
      <c r="J28" s="457">
        <v>22113</v>
      </c>
      <c r="K28" s="457">
        <f t="shared" ref="K28:M28" si="0">K81</f>
        <v>52688</v>
      </c>
      <c r="L28" s="457">
        <f t="shared" si="0"/>
        <v>23164</v>
      </c>
      <c r="M28" s="457">
        <f t="shared" si="0"/>
        <v>23697</v>
      </c>
      <c r="N28" s="457">
        <f t="shared" ref="N28:O28" si="1">N81</f>
        <v>24242</v>
      </c>
      <c r="O28" s="457">
        <f t="shared" si="1"/>
        <v>24800</v>
      </c>
      <c r="P28" s="458"/>
    </row>
    <row r="29" spans="4:22" ht="12.75" customHeight="1" x14ac:dyDescent="0.25">
      <c r="D29" s="454" t="str">
        <f>G83</f>
        <v>Omgevingsvergunningen</v>
      </c>
      <c r="E29" s="455"/>
      <c r="F29" s="456"/>
      <c r="G29" s="453"/>
      <c r="H29" s="453"/>
      <c r="I29" s="453"/>
      <c r="J29" s="25">
        <v>82366</v>
      </c>
      <c r="K29" s="25">
        <f t="shared" ref="K29:M29" si="2">K87</f>
        <v>84505</v>
      </c>
      <c r="L29" s="25">
        <f t="shared" si="2"/>
        <v>86277</v>
      </c>
      <c r="M29" s="25">
        <f t="shared" si="2"/>
        <v>88269</v>
      </c>
      <c r="N29" s="25">
        <f t="shared" ref="N29:O29" si="3">N87</f>
        <v>90299</v>
      </c>
      <c r="O29" s="25">
        <f t="shared" si="3"/>
        <v>92377</v>
      </c>
    </row>
    <row r="30" spans="4:22" ht="12.75" customHeight="1" x14ac:dyDescent="0.25">
      <c r="D30" s="454" t="str">
        <f>G89</f>
        <v>Handhaving ruimtelijke regelgeving</v>
      </c>
      <c r="E30" s="455"/>
      <c r="F30" s="456"/>
      <c r="G30" s="453"/>
      <c r="H30" s="453"/>
      <c r="I30" s="453"/>
      <c r="J30" s="25">
        <v>17762</v>
      </c>
      <c r="K30" s="25">
        <f t="shared" ref="K30:M30" si="4">K92</f>
        <v>38878</v>
      </c>
      <c r="L30" s="25">
        <f t="shared" si="4"/>
        <v>39694</v>
      </c>
      <c r="M30" s="25">
        <f t="shared" si="4"/>
        <v>40607</v>
      </c>
      <c r="N30" s="25">
        <f t="shared" ref="N30:O30" si="5">N92</f>
        <v>41541</v>
      </c>
      <c r="O30" s="25">
        <f t="shared" si="5"/>
        <v>42496</v>
      </c>
      <c r="Q30" s="114"/>
      <c r="V30" s="459"/>
    </row>
    <row r="31" spans="4:22" ht="12.75" customHeight="1" x14ac:dyDescent="0.25">
      <c r="D31" s="454" t="str">
        <f>G94</f>
        <v>Handhaving woonwagencentrum</v>
      </c>
      <c r="E31" s="455"/>
      <c r="F31" s="456"/>
      <c r="G31" s="453"/>
      <c r="H31" s="453"/>
      <c r="I31" s="453"/>
      <c r="J31" s="25">
        <v>18947</v>
      </c>
      <c r="K31" s="25">
        <f t="shared" ref="K31:M31" si="6">K97</f>
        <v>0</v>
      </c>
      <c r="L31" s="25">
        <f t="shared" si="6"/>
        <v>0</v>
      </c>
      <c r="M31" s="25">
        <f t="shared" si="6"/>
        <v>0</v>
      </c>
      <c r="N31" s="25">
        <f t="shared" ref="N31:O31" si="7">N97</f>
        <v>0</v>
      </c>
      <c r="O31" s="25">
        <f t="shared" si="7"/>
        <v>0</v>
      </c>
    </row>
    <row r="32" spans="4:22" ht="12.75" customHeight="1" x14ac:dyDescent="0.25">
      <c r="D32" s="454" t="str">
        <f>G99</f>
        <v>Uitvoering 2e fase wet Bibob</v>
      </c>
      <c r="E32" s="455"/>
      <c r="F32" s="456"/>
      <c r="G32" s="453"/>
      <c r="H32" s="453"/>
      <c r="I32" s="453"/>
      <c r="J32" s="25">
        <v>1184</v>
      </c>
      <c r="K32" s="25">
        <f t="shared" ref="K32:M32" si="8">K102</f>
        <v>0</v>
      </c>
      <c r="L32" s="25">
        <f t="shared" si="8"/>
        <v>0</v>
      </c>
      <c r="M32" s="25">
        <f t="shared" si="8"/>
        <v>0</v>
      </c>
      <c r="N32" s="25">
        <f t="shared" ref="N32:O32" si="9">N102</f>
        <v>0</v>
      </c>
      <c r="O32" s="25">
        <f t="shared" si="9"/>
        <v>0</v>
      </c>
    </row>
    <row r="33" spans="4:17" ht="12.75" customHeight="1" x14ac:dyDescent="0.25">
      <c r="D33" s="454" t="str">
        <f>G104</f>
        <v>Uitvoering urgentieverordening</v>
      </c>
      <c r="E33" s="455"/>
      <c r="F33" s="456"/>
      <c r="G33" s="453"/>
      <c r="H33" s="453"/>
      <c r="I33" s="453"/>
      <c r="J33" s="25">
        <v>16340</v>
      </c>
      <c r="K33" s="25">
        <f t="shared" ref="K33:M33" si="10">K107</f>
        <v>16765</v>
      </c>
      <c r="L33" s="25">
        <f t="shared" si="10"/>
        <v>17117</v>
      </c>
      <c r="M33" s="25">
        <f t="shared" si="10"/>
        <v>17511</v>
      </c>
      <c r="N33" s="25">
        <f t="shared" ref="N33:O33" si="11">N107</f>
        <v>17914</v>
      </c>
      <c r="O33" s="25">
        <f t="shared" si="11"/>
        <v>18326</v>
      </c>
      <c r="P33" s="460"/>
    </row>
    <row r="34" spans="4:17" ht="12.75" customHeight="1" x14ac:dyDescent="0.25">
      <c r="D34" s="454" t="str">
        <f>G109</f>
        <v>Visie volkshuisvestingsbeleid</v>
      </c>
      <c r="E34" s="455"/>
      <c r="F34" s="456"/>
      <c r="G34" s="453"/>
      <c r="H34" s="453"/>
      <c r="I34" s="453"/>
      <c r="J34" s="25">
        <v>208023</v>
      </c>
      <c r="K34" s="25">
        <f t="shared" ref="K34:M34" si="12">K112</f>
        <v>153909</v>
      </c>
      <c r="L34" s="25">
        <f t="shared" si="12"/>
        <v>117266</v>
      </c>
      <c r="M34" s="25">
        <f t="shared" si="12"/>
        <v>114872</v>
      </c>
      <c r="N34" s="25">
        <f t="shared" ref="N34:O34" si="13">N112</f>
        <v>117514</v>
      </c>
      <c r="O34" s="25">
        <f t="shared" si="13"/>
        <v>120217</v>
      </c>
      <c r="P34" s="460"/>
    </row>
    <row r="35" spans="4:17" ht="12.75" customHeight="1" x14ac:dyDescent="0.25">
      <c r="D35" s="454" t="s">
        <v>5193</v>
      </c>
      <c r="E35" s="455"/>
      <c r="F35" s="456"/>
      <c r="G35" s="453"/>
      <c r="H35" s="453"/>
      <c r="I35" s="453"/>
      <c r="J35" s="25">
        <v>30700</v>
      </c>
      <c r="K35" s="25">
        <f t="shared" ref="K35:M35" si="14">K227</f>
        <v>0</v>
      </c>
      <c r="L35" s="25">
        <f t="shared" si="14"/>
        <v>0</v>
      </c>
      <c r="M35" s="25">
        <f t="shared" si="14"/>
        <v>0</v>
      </c>
      <c r="N35" s="25">
        <f t="shared" ref="N35:O35" si="15">N227</f>
        <v>0</v>
      </c>
      <c r="O35" s="25">
        <f t="shared" si="15"/>
        <v>0</v>
      </c>
      <c r="P35" s="460"/>
    </row>
    <row r="36" spans="4:17" ht="12.75" customHeight="1" x14ac:dyDescent="0.25">
      <c r="D36" s="461" t="s">
        <v>5194</v>
      </c>
      <c r="E36" s="455"/>
      <c r="F36" s="456"/>
      <c r="G36" s="453"/>
      <c r="H36" s="453"/>
      <c r="I36" s="453"/>
      <c r="J36" s="25">
        <v>0</v>
      </c>
      <c r="K36" s="25">
        <f>K235</f>
        <v>250000</v>
      </c>
      <c r="L36" s="25">
        <f t="shared" ref="L36:N36" si="16">L235</f>
        <v>312500</v>
      </c>
      <c r="M36" s="25">
        <f t="shared" si="16"/>
        <v>312500</v>
      </c>
      <c r="N36" s="25">
        <f t="shared" si="16"/>
        <v>312500</v>
      </c>
      <c r="O36" s="25">
        <f t="shared" ref="O36" si="17">O235</f>
        <v>312500</v>
      </c>
      <c r="P36" s="460"/>
    </row>
    <row r="37" spans="4:17" ht="12.75" customHeight="1" x14ac:dyDescent="0.25">
      <c r="D37" s="454"/>
      <c r="E37" s="455"/>
      <c r="F37" s="456"/>
      <c r="G37" s="453"/>
      <c r="H37" s="453"/>
      <c r="I37" s="453"/>
      <c r="J37" s="25"/>
      <c r="K37" s="25"/>
      <c r="L37" s="25"/>
      <c r="M37" s="25"/>
      <c r="N37" s="25"/>
      <c r="O37" s="25"/>
    </row>
    <row r="38" spans="4:17" ht="12.75" customHeight="1" x14ac:dyDescent="0.25">
      <c r="D38" s="454" t="str">
        <f>G124</f>
        <v>ODZOB Bouw</v>
      </c>
      <c r="E38" s="455"/>
      <c r="F38" s="456"/>
      <c r="G38" s="453"/>
      <c r="H38" s="453"/>
      <c r="I38" s="453"/>
      <c r="J38" s="25">
        <v>144626</v>
      </c>
      <c r="K38" s="25">
        <f t="shared" ref="K38:M38" si="18">K127</f>
        <v>148386</v>
      </c>
      <c r="L38" s="25">
        <f t="shared" si="18"/>
        <v>151502</v>
      </c>
      <c r="M38" s="25">
        <f t="shared" si="18"/>
        <v>154987</v>
      </c>
      <c r="N38" s="25">
        <f t="shared" ref="N38:O38" si="19">N127</f>
        <v>158552</v>
      </c>
      <c r="O38" s="25">
        <f t="shared" si="19"/>
        <v>162199</v>
      </c>
    </row>
    <row r="39" spans="4:17" ht="12.75" customHeight="1" x14ac:dyDescent="0.25">
      <c r="D39" s="454" t="str">
        <f>G129</f>
        <v>ODZOB Collectieve taken</v>
      </c>
      <c r="E39" s="455"/>
      <c r="F39" s="456"/>
      <c r="G39" s="453"/>
      <c r="H39" s="453"/>
      <c r="I39" s="453"/>
      <c r="J39" s="25">
        <v>39206</v>
      </c>
      <c r="K39" s="25">
        <f t="shared" ref="K39:M39" si="20">K132</f>
        <v>40225</v>
      </c>
      <c r="L39" s="25">
        <f t="shared" si="20"/>
        <v>41070</v>
      </c>
      <c r="M39" s="25">
        <f t="shared" si="20"/>
        <v>42015</v>
      </c>
      <c r="N39" s="25">
        <f t="shared" ref="N39:O39" si="21">N132</f>
        <v>42981</v>
      </c>
      <c r="O39" s="25">
        <f t="shared" si="21"/>
        <v>43970</v>
      </c>
    </row>
    <row r="40" spans="4:17" ht="12.75" customHeight="1" x14ac:dyDescent="0.25">
      <c r="D40" s="454" t="str">
        <f>G134</f>
        <v>ODZOB toezicht en handhaving</v>
      </c>
      <c r="E40" s="455"/>
      <c r="F40" s="456"/>
      <c r="G40" s="453"/>
      <c r="H40" s="453"/>
      <c r="I40" s="453"/>
      <c r="J40" s="25">
        <v>185914</v>
      </c>
      <c r="K40" s="25">
        <f t="shared" ref="K40:M40" si="22">K137</f>
        <v>190748</v>
      </c>
      <c r="L40" s="25">
        <f t="shared" si="22"/>
        <v>194754</v>
      </c>
      <c r="M40" s="25">
        <f t="shared" si="22"/>
        <v>199233</v>
      </c>
      <c r="N40" s="25">
        <f t="shared" ref="N40:O40" si="23">N137</f>
        <v>203815</v>
      </c>
      <c r="O40" s="25">
        <f t="shared" si="23"/>
        <v>208503</v>
      </c>
    </row>
    <row r="41" spans="4:17" ht="12.75" customHeight="1" x14ac:dyDescent="0.25">
      <c r="D41" s="454" t="str">
        <f>G139</f>
        <v>ODZOB handhaving klacht afhandeling</v>
      </c>
      <c r="E41" s="455"/>
      <c r="F41" s="456"/>
      <c r="G41" s="453"/>
      <c r="H41" s="453"/>
      <c r="I41" s="453"/>
      <c r="J41" s="25">
        <v>23683</v>
      </c>
      <c r="K41" s="25">
        <f t="shared" ref="K41:M41" si="24">K142</f>
        <v>24299</v>
      </c>
      <c r="L41" s="25">
        <f t="shared" si="24"/>
        <v>24809</v>
      </c>
      <c r="M41" s="25">
        <f t="shared" si="24"/>
        <v>25380</v>
      </c>
      <c r="N41" s="25">
        <f t="shared" ref="N41:O41" si="25">N142</f>
        <v>25964</v>
      </c>
      <c r="O41" s="25">
        <f t="shared" si="25"/>
        <v>26561</v>
      </c>
    </row>
    <row r="42" spans="4:17" ht="12.75" customHeight="1" x14ac:dyDescent="0.25">
      <c r="D42" s="454" t="str">
        <f>G144</f>
        <v>ODZOB Samen Sterk in buitengebied</v>
      </c>
      <c r="E42" s="455"/>
      <c r="F42" s="456"/>
      <c r="G42" s="453"/>
      <c r="H42" s="453"/>
      <c r="I42" s="453"/>
      <c r="J42" s="25">
        <v>22237</v>
      </c>
      <c r="K42" s="25">
        <f t="shared" ref="K42:M42" si="26">K147</f>
        <v>22816</v>
      </c>
      <c r="L42" s="25">
        <f t="shared" si="26"/>
        <v>23295</v>
      </c>
      <c r="M42" s="25">
        <f t="shared" si="26"/>
        <v>23831</v>
      </c>
      <c r="N42" s="25">
        <f t="shared" ref="N42:O42" si="27">N147</f>
        <v>24379</v>
      </c>
      <c r="O42" s="25">
        <f t="shared" si="27"/>
        <v>24939</v>
      </c>
      <c r="Q42" s="381"/>
    </row>
    <row r="43" spans="4:17" ht="12.75" customHeight="1" x14ac:dyDescent="0.25">
      <c r="D43" s="454"/>
      <c r="E43" s="455"/>
      <c r="F43" s="456"/>
      <c r="G43" s="453"/>
      <c r="H43" s="453"/>
      <c r="I43" s="453"/>
      <c r="J43" s="25"/>
      <c r="K43" s="28"/>
      <c r="L43" s="28"/>
      <c r="M43" s="28"/>
      <c r="N43" s="28"/>
      <c r="O43" s="28"/>
      <c r="P43" s="460"/>
      <c r="Q43" s="310"/>
    </row>
    <row r="44" spans="4:17" ht="12.75" customHeight="1" x14ac:dyDescent="0.25">
      <c r="D44" s="454" t="str">
        <f>G149</f>
        <v>Directe toerekening wonen en bouwen</v>
      </c>
      <c r="E44" s="455"/>
      <c r="F44" s="456"/>
      <c r="G44" s="453"/>
      <c r="H44" s="453"/>
      <c r="I44" s="453"/>
      <c r="J44" s="25">
        <v>906685.85</v>
      </c>
      <c r="K44" s="25">
        <f t="shared" ref="K44:M44" si="28">K153</f>
        <v>914300.9</v>
      </c>
      <c r="L44" s="25">
        <f t="shared" si="28"/>
        <v>667194</v>
      </c>
      <c r="M44" s="25">
        <f t="shared" si="28"/>
        <v>691881</v>
      </c>
      <c r="N44" s="25">
        <f t="shared" ref="N44:O44" si="29">N153</f>
        <v>717481</v>
      </c>
      <c r="O44" s="25">
        <f t="shared" si="29"/>
        <v>744028</v>
      </c>
      <c r="P44" s="460"/>
    </row>
    <row r="45" spans="4:17" ht="12.75" customHeight="1" x14ac:dyDescent="0.25">
      <c r="D45" s="454" t="str">
        <f>G155</f>
        <v>Directe toerekening vergunning wonen titel 2</v>
      </c>
      <c r="E45" s="455"/>
      <c r="F45" s="456"/>
      <c r="G45" s="453"/>
      <c r="H45" s="453"/>
      <c r="I45" s="453"/>
      <c r="J45" s="25">
        <v>443721.07999999996</v>
      </c>
      <c r="K45" s="25">
        <f t="shared" ref="K45:M45" si="30">K159</f>
        <v>239776.58</v>
      </c>
      <c r="L45" s="25">
        <f t="shared" si="30"/>
        <v>248043</v>
      </c>
      <c r="M45" s="25">
        <f t="shared" si="30"/>
        <v>255878</v>
      </c>
      <c r="N45" s="25">
        <f t="shared" ref="N45:O45" si="31">N159</f>
        <v>263966</v>
      </c>
      <c r="O45" s="25">
        <f t="shared" si="31"/>
        <v>271874</v>
      </c>
      <c r="P45" s="462"/>
    </row>
    <row r="46" spans="4:17" ht="12.75" customHeight="1" x14ac:dyDescent="0.25">
      <c r="D46" s="454"/>
      <c r="E46" s="455"/>
      <c r="F46" s="456"/>
      <c r="G46" s="453"/>
      <c r="H46" s="453"/>
      <c r="I46" s="453"/>
      <c r="J46" s="25"/>
      <c r="K46" s="28"/>
      <c r="L46" s="28"/>
      <c r="M46" s="28"/>
      <c r="N46" s="28"/>
      <c r="O46" s="28"/>
    </row>
    <row r="47" spans="4:17" ht="12.75" customHeight="1" x14ac:dyDescent="0.25">
      <c r="D47" s="454"/>
      <c r="E47" s="455"/>
      <c r="F47" s="456"/>
      <c r="G47" s="453"/>
      <c r="H47" s="453"/>
      <c r="I47" s="453"/>
      <c r="J47" s="25"/>
      <c r="K47" s="28"/>
      <c r="L47" s="28"/>
      <c r="M47" s="28"/>
      <c r="N47" s="28"/>
      <c r="O47" s="28"/>
    </row>
    <row r="48" spans="4:17" ht="12.75" customHeight="1" x14ac:dyDescent="0.25">
      <c r="D48" s="454"/>
      <c r="E48" s="455"/>
      <c r="F48" s="456"/>
      <c r="G48" s="453"/>
      <c r="H48" s="453"/>
      <c r="I48" s="453"/>
      <c r="J48" s="25"/>
      <c r="K48" s="28"/>
      <c r="L48" s="28"/>
      <c r="M48" s="28"/>
      <c r="N48" s="28"/>
      <c r="O48" s="28"/>
    </row>
    <row r="49" spans="4:15" ht="12.75" customHeight="1" x14ac:dyDescent="0.25">
      <c r="D49" s="454"/>
      <c r="E49" s="455"/>
      <c r="F49" s="456"/>
      <c r="G49" s="453"/>
      <c r="H49" s="453"/>
      <c r="I49" s="453"/>
      <c r="J49" s="25"/>
      <c r="K49" s="28"/>
      <c r="L49" s="28"/>
      <c r="M49" s="28"/>
      <c r="N49" s="28"/>
      <c r="O49" s="28"/>
    </row>
    <row r="50" spans="4:15" ht="12.75" customHeight="1" x14ac:dyDescent="0.25">
      <c r="D50" s="454"/>
      <c r="E50" s="455"/>
      <c r="F50" s="456"/>
      <c r="G50" s="453"/>
      <c r="H50" s="453"/>
      <c r="I50" s="453"/>
      <c r="J50" s="25"/>
      <c r="K50" s="28"/>
      <c r="L50" s="28"/>
      <c r="M50" s="28"/>
      <c r="N50" s="28"/>
      <c r="O50" s="28"/>
    </row>
    <row r="51" spans="4:15" ht="12.75" customHeight="1" x14ac:dyDescent="0.25">
      <c r="D51" s="454"/>
      <c r="E51" s="455"/>
      <c r="F51" s="456"/>
      <c r="G51" s="453"/>
      <c r="H51" s="453"/>
      <c r="I51" s="453"/>
      <c r="J51" s="25"/>
      <c r="K51" s="28"/>
      <c r="L51" s="28"/>
      <c r="M51" s="28"/>
      <c r="N51" s="28"/>
      <c r="O51" s="28"/>
    </row>
    <row r="52" spans="4:15" ht="12.75" customHeight="1" x14ac:dyDescent="0.25">
      <c r="D52" s="454"/>
      <c r="E52" s="455"/>
      <c r="F52" s="456"/>
      <c r="G52" s="453"/>
      <c r="H52" s="453"/>
      <c r="I52" s="453"/>
      <c r="J52" s="25"/>
      <c r="K52" s="28"/>
      <c r="L52" s="28"/>
      <c r="M52" s="28"/>
      <c r="N52" s="28"/>
      <c r="O52" s="28"/>
    </row>
    <row r="53" spans="4:15" ht="12.75" customHeight="1" x14ac:dyDescent="0.25">
      <c r="D53" s="454"/>
      <c r="E53" s="455"/>
      <c r="F53" s="456"/>
      <c r="G53" s="453"/>
      <c r="H53" s="453"/>
      <c r="I53" s="453"/>
      <c r="J53" s="25"/>
      <c r="K53" s="28"/>
      <c r="L53" s="28"/>
      <c r="M53" s="28"/>
      <c r="N53" s="28"/>
      <c r="O53" s="28"/>
    </row>
    <row r="54" spans="4:15" ht="12.75" customHeight="1" x14ac:dyDescent="0.25">
      <c r="D54" s="454"/>
      <c r="E54" s="455"/>
      <c r="F54" s="456"/>
      <c r="G54" s="453"/>
      <c r="H54" s="453"/>
      <c r="I54" s="453"/>
      <c r="J54" s="25"/>
      <c r="K54" s="28"/>
      <c r="L54" s="28"/>
      <c r="M54" s="28"/>
      <c r="N54" s="28"/>
      <c r="O54" s="28"/>
    </row>
    <row r="55" spans="4:15" ht="12.75" customHeight="1" x14ac:dyDescent="0.25">
      <c r="D55" s="454"/>
      <c r="E55" s="455"/>
      <c r="F55" s="456"/>
      <c r="G55" s="453"/>
      <c r="H55" s="453"/>
      <c r="I55" s="453"/>
      <c r="J55" s="87"/>
      <c r="K55" s="26"/>
      <c r="L55" s="26"/>
      <c r="M55" s="26"/>
      <c r="N55" s="26"/>
      <c r="O55" s="26"/>
    </row>
    <row r="56" spans="4:15" ht="12.75" customHeight="1" x14ac:dyDescent="0.25">
      <c r="D56" s="1978" t="s">
        <v>525</v>
      </c>
      <c r="E56" s="1979"/>
      <c r="F56" s="1980"/>
      <c r="G56" s="1981"/>
      <c r="H56" s="1981"/>
      <c r="I56" s="1981"/>
      <c r="J56" s="1983">
        <v>2163507.9300000002</v>
      </c>
      <c r="K56" s="1983">
        <f>SUM(K28:K55)</f>
        <v>2177296.48</v>
      </c>
      <c r="L56" s="1983">
        <f>SUM(L28:L55)</f>
        <v>1946685</v>
      </c>
      <c r="M56" s="1983">
        <f>SUM(M28:M55)</f>
        <v>1990661</v>
      </c>
      <c r="N56" s="1983">
        <f>SUM(N28:N55)</f>
        <v>2041148</v>
      </c>
      <c r="O56" s="1983">
        <f>SUM(O28:O55)</f>
        <v>2092790</v>
      </c>
    </row>
    <row r="57" spans="4:15" ht="12.75" customHeight="1" x14ac:dyDescent="0.25">
      <c r="D57" s="438"/>
      <c r="E57" s="455"/>
      <c r="F57" s="456"/>
      <c r="G57" s="453"/>
      <c r="H57" s="453"/>
      <c r="I57" s="453"/>
      <c r="J57" s="453"/>
      <c r="K57" s="453"/>
      <c r="L57" s="453"/>
      <c r="M57" s="453"/>
      <c r="N57" s="453"/>
      <c r="O57" s="453"/>
    </row>
    <row r="58" spans="4:15" ht="12.75" customHeight="1" x14ac:dyDescent="0.25">
      <c r="D58" s="1973" t="s">
        <v>526</v>
      </c>
      <c r="E58" s="1974"/>
      <c r="F58" s="1974"/>
      <c r="G58" s="1975"/>
      <c r="H58" s="1975"/>
      <c r="I58" s="1975"/>
      <c r="J58" s="1977">
        <v>2025</v>
      </c>
      <c r="K58" s="1976">
        <v>2026</v>
      </c>
      <c r="L58" s="1976">
        <v>2027</v>
      </c>
      <c r="M58" s="1976">
        <v>2028</v>
      </c>
      <c r="N58" s="1976">
        <v>2029</v>
      </c>
      <c r="O58" s="1976">
        <v>2030</v>
      </c>
    </row>
    <row r="59" spans="4:15" ht="12.75" customHeight="1" x14ac:dyDescent="0.25">
      <c r="D59" s="454" t="str">
        <f>G161</f>
        <v>Leges omgevingsvergunningen</v>
      </c>
      <c r="E59" s="455"/>
      <c r="F59" s="456"/>
      <c r="G59" s="453"/>
      <c r="H59" s="453"/>
      <c r="I59" s="453"/>
      <c r="J59" s="457">
        <v>-1140000</v>
      </c>
      <c r="K59" s="457">
        <f t="shared" ref="K59" si="32">K164</f>
        <v>-855000</v>
      </c>
      <c r="L59" s="457">
        <f>L164</f>
        <v>-855000</v>
      </c>
      <c r="M59" s="457">
        <f>M164</f>
        <v>-855000</v>
      </c>
      <c r="N59" s="457">
        <f>N164</f>
        <v>-855000</v>
      </c>
      <c r="O59" s="457">
        <f>O164</f>
        <v>-855000</v>
      </c>
    </row>
    <row r="60" spans="4:15" ht="12.75" customHeight="1" x14ac:dyDescent="0.25">
      <c r="D60" s="454" t="str">
        <f>G166</f>
        <v>Directe toerekening wonen en bouwen</v>
      </c>
      <c r="E60" s="455"/>
      <c r="F60" s="456"/>
      <c r="G60" s="453"/>
      <c r="H60" s="453"/>
      <c r="I60" s="453"/>
      <c r="J60" s="457">
        <v>-39323</v>
      </c>
      <c r="K60" s="457">
        <f t="shared" ref="K60:M60" si="33">K169</f>
        <v>-40345</v>
      </c>
      <c r="L60" s="457">
        <f t="shared" si="33"/>
        <v>-41192</v>
      </c>
      <c r="M60" s="457">
        <f t="shared" si="33"/>
        <v>-42139</v>
      </c>
      <c r="N60" s="457">
        <f t="shared" ref="N60:O60" si="34">N169</f>
        <v>-43108</v>
      </c>
      <c r="O60" s="457">
        <f t="shared" si="34"/>
        <v>-44099</v>
      </c>
    </row>
    <row r="61" spans="4:15" ht="12.75" customHeight="1" x14ac:dyDescent="0.25">
      <c r="D61" s="454" t="str">
        <f>G172</f>
        <v>Handhaving ruimtelijke regelgeving</v>
      </c>
      <c r="E61" s="455"/>
      <c r="F61" s="456"/>
      <c r="G61" s="453"/>
      <c r="H61" s="453"/>
      <c r="I61" s="453"/>
      <c r="J61" s="457">
        <v>-11235</v>
      </c>
      <c r="K61" s="457">
        <f t="shared" ref="K61:M61" si="35">K175</f>
        <v>-11527</v>
      </c>
      <c r="L61" s="457">
        <f t="shared" si="35"/>
        <v>-11769</v>
      </c>
      <c r="M61" s="457">
        <f t="shared" si="35"/>
        <v>-12040</v>
      </c>
      <c r="N61" s="457">
        <f t="shared" ref="N61:O61" si="36">N175</f>
        <v>-12317</v>
      </c>
      <c r="O61" s="457">
        <f t="shared" si="36"/>
        <v>-12600</v>
      </c>
    </row>
    <row r="62" spans="4:15" ht="12.75" customHeight="1" x14ac:dyDescent="0.25">
      <c r="D62" s="454"/>
      <c r="E62" s="455"/>
      <c r="F62" s="456"/>
      <c r="G62" s="453"/>
      <c r="H62" s="453"/>
      <c r="I62" s="453"/>
      <c r="J62" s="457"/>
      <c r="K62" s="457"/>
      <c r="L62" s="457"/>
      <c r="M62" s="457"/>
      <c r="N62" s="457"/>
      <c r="O62" s="457"/>
    </row>
    <row r="63" spans="4:15" ht="12.75" customHeight="1" x14ac:dyDescent="0.25">
      <c r="D63" s="454"/>
      <c r="E63" s="455"/>
      <c r="F63" s="456"/>
      <c r="G63" s="453"/>
      <c r="H63" s="453"/>
      <c r="I63" s="453"/>
      <c r="J63" s="457"/>
      <c r="K63" s="463"/>
      <c r="L63" s="463"/>
      <c r="M63" s="463"/>
      <c r="N63" s="463"/>
      <c r="O63" s="463"/>
    </row>
    <row r="64" spans="4:15" ht="12.75" customHeight="1" x14ac:dyDescent="0.25">
      <c r="D64" s="454"/>
      <c r="E64" s="455"/>
      <c r="F64" s="456"/>
      <c r="G64" s="453"/>
      <c r="H64" s="453"/>
      <c r="I64" s="453"/>
      <c r="J64" s="457"/>
      <c r="K64" s="463"/>
      <c r="L64" s="463"/>
      <c r="M64" s="463"/>
      <c r="N64" s="463"/>
      <c r="O64" s="463"/>
    </row>
    <row r="65" spans="1:22" ht="12.75" customHeight="1" x14ac:dyDescent="0.25">
      <c r="D65" s="454"/>
      <c r="E65" s="455"/>
      <c r="F65" s="456"/>
      <c r="G65" s="453"/>
      <c r="H65" s="453"/>
      <c r="I65" s="453"/>
      <c r="J65" s="457"/>
      <c r="K65" s="463"/>
      <c r="L65" s="463"/>
      <c r="M65" s="463"/>
      <c r="N65" s="463"/>
      <c r="O65" s="463"/>
    </row>
    <row r="66" spans="1:22" ht="12.75" customHeight="1" x14ac:dyDescent="0.25">
      <c r="D66" s="454"/>
      <c r="E66" s="455"/>
      <c r="F66" s="456"/>
      <c r="G66" s="453"/>
      <c r="H66" s="453"/>
      <c r="I66" s="453"/>
      <c r="J66" s="457"/>
      <c r="K66" s="463"/>
      <c r="L66" s="463"/>
      <c r="M66" s="463"/>
      <c r="N66" s="463"/>
      <c r="O66" s="463"/>
    </row>
    <row r="67" spans="1:22" ht="12.75" customHeight="1" x14ac:dyDescent="0.25">
      <c r="D67" s="454"/>
      <c r="E67" s="455"/>
      <c r="F67" s="456"/>
      <c r="G67" s="453"/>
      <c r="H67" s="453"/>
      <c r="I67" s="453"/>
      <c r="J67" s="457"/>
      <c r="K67" s="463"/>
      <c r="L67" s="463"/>
      <c r="M67" s="463"/>
      <c r="N67" s="463"/>
      <c r="O67" s="463"/>
    </row>
    <row r="68" spans="1:22" ht="12.75" customHeight="1" x14ac:dyDescent="0.25">
      <c r="D68" s="454"/>
      <c r="E68" s="455"/>
      <c r="F68" s="456"/>
      <c r="G68" s="453"/>
      <c r="H68" s="453"/>
      <c r="I68" s="453"/>
      <c r="J68" s="457"/>
      <c r="K68" s="463"/>
      <c r="L68" s="463"/>
      <c r="M68" s="463"/>
      <c r="N68" s="463"/>
      <c r="O68" s="463"/>
    </row>
    <row r="69" spans="1:22" ht="12.75" customHeight="1" x14ac:dyDescent="0.25">
      <c r="D69" s="464"/>
      <c r="E69" s="465"/>
      <c r="F69" s="466"/>
      <c r="G69" s="467"/>
      <c r="H69" s="467"/>
      <c r="I69" s="453"/>
      <c r="J69" s="468"/>
      <c r="K69" s="463"/>
      <c r="L69" s="463"/>
      <c r="M69" s="463"/>
      <c r="N69" s="463"/>
      <c r="O69" s="463"/>
    </row>
    <row r="70" spans="1:22" ht="12.75" customHeight="1" x14ac:dyDescent="0.25">
      <c r="D70" s="1978" t="s">
        <v>328</v>
      </c>
      <c r="E70" s="1979"/>
      <c r="F70" s="1980"/>
      <c r="G70" s="1981"/>
      <c r="H70" s="1981"/>
      <c r="I70" s="1981"/>
      <c r="J70" s="1983">
        <v>-1190558</v>
      </c>
      <c r="K70" s="1983">
        <f>SUM(K59:K69)</f>
        <v>-906872</v>
      </c>
      <c r="L70" s="1983">
        <f>SUM(L59:L69)</f>
        <v>-907961</v>
      </c>
      <c r="M70" s="1983">
        <f>SUM(M59:M69)</f>
        <v>-909179</v>
      </c>
      <c r="N70" s="1983">
        <f>SUM(N59:N69)</f>
        <v>-910425</v>
      </c>
      <c r="O70" s="1983">
        <f>SUM(O59:O69)</f>
        <v>-911699</v>
      </c>
    </row>
    <row r="71" spans="1:22" ht="12.75" customHeight="1" x14ac:dyDescent="0.25">
      <c r="D71" s="438"/>
      <c r="E71" s="455"/>
      <c r="F71" s="456"/>
      <c r="G71" s="453"/>
      <c r="H71" s="453"/>
      <c r="I71" s="453"/>
      <c r="J71" s="469"/>
      <c r="K71" s="469"/>
      <c r="L71" s="469"/>
      <c r="M71" s="469"/>
      <c r="N71" s="469"/>
      <c r="O71" s="469"/>
    </row>
    <row r="72" spans="1:22" ht="12.75" customHeight="1" x14ac:dyDescent="0.25">
      <c r="D72" s="1978" t="s">
        <v>976</v>
      </c>
      <c r="E72" s="1984"/>
      <c r="F72" s="1984"/>
      <c r="G72" s="1981"/>
      <c r="H72" s="1981"/>
      <c r="I72" s="1981"/>
      <c r="J72" s="1986">
        <v>972949.93000000017</v>
      </c>
      <c r="K72" s="1986">
        <f>K56+K70</f>
        <v>1270424.48</v>
      </c>
      <c r="L72" s="1986">
        <f>L56+L70</f>
        <v>1038724</v>
      </c>
      <c r="M72" s="1986">
        <f>M56+M70</f>
        <v>1081482</v>
      </c>
      <c r="N72" s="1986">
        <f>N56+N70</f>
        <v>1130723</v>
      </c>
      <c r="O72" s="1986">
        <f>O56+O70</f>
        <v>1181091</v>
      </c>
    </row>
    <row r="73" spans="1:22" ht="12.75" customHeight="1" x14ac:dyDescent="0.25">
      <c r="D73" s="438"/>
      <c r="E73" s="438"/>
      <c r="F73" s="438"/>
      <c r="G73" s="453"/>
      <c r="H73" s="453"/>
      <c r="I73" s="453"/>
      <c r="J73" s="469"/>
      <c r="K73" s="469"/>
      <c r="L73" s="469"/>
      <c r="M73" s="469"/>
      <c r="N73" s="469"/>
      <c r="O73" s="469"/>
    </row>
    <row r="74" spans="1:22" ht="12.75" customHeight="1" x14ac:dyDescent="0.25">
      <c r="D74" s="312" t="s">
        <v>528</v>
      </c>
      <c r="E74" s="382"/>
      <c r="F74" s="382"/>
    </row>
    <row r="76" spans="1:22" ht="12.75" customHeight="1" x14ac:dyDescent="0.25">
      <c r="A76" s="470"/>
      <c r="B76" s="453"/>
      <c r="C76" s="453"/>
      <c r="D76" s="2631" t="s">
        <v>531</v>
      </c>
      <c r="E76" s="1989" t="s">
        <v>530</v>
      </c>
      <c r="F76" s="2631"/>
      <c r="G76" s="2632" t="s">
        <v>206</v>
      </c>
      <c r="H76" s="2526"/>
      <c r="I76" s="471"/>
      <c r="J76" s="1991"/>
      <c r="K76" s="1991"/>
      <c r="L76" s="1991"/>
      <c r="M76" s="1991"/>
      <c r="N76" s="1991"/>
      <c r="O76" s="1991"/>
      <c r="P76" s="453"/>
      <c r="Q76" s="453"/>
      <c r="R76" s="453"/>
      <c r="S76" s="453"/>
      <c r="T76" s="453"/>
      <c r="U76" s="453"/>
      <c r="V76" s="453"/>
    </row>
    <row r="77" spans="1:22" ht="12.75" customHeight="1" x14ac:dyDescent="0.25">
      <c r="A77" s="470"/>
      <c r="B77" s="453"/>
      <c r="C77" s="453"/>
      <c r="D77" s="2553"/>
      <c r="E77" s="472" t="s">
        <v>532</v>
      </c>
      <c r="F77" s="2553"/>
      <c r="G77" s="2527"/>
      <c r="H77" s="2528"/>
      <c r="I77" s="473"/>
      <c r="J77" s="1992">
        <v>2025</v>
      </c>
      <c r="K77" s="1976">
        <v>2026</v>
      </c>
      <c r="L77" s="1976">
        <v>2027</v>
      </c>
      <c r="M77" s="1976">
        <v>2028</v>
      </c>
      <c r="N77" s="1976">
        <v>2029</v>
      </c>
      <c r="O77" s="1976">
        <v>2030</v>
      </c>
      <c r="P77" s="453"/>
      <c r="Q77" s="453"/>
      <c r="R77" s="453"/>
      <c r="S77" s="453"/>
      <c r="T77" s="453"/>
      <c r="U77" s="453"/>
      <c r="V77" s="453"/>
    </row>
    <row r="78" spans="1:22" ht="12.75" customHeight="1" x14ac:dyDescent="0.25">
      <c r="D78" s="2020">
        <v>653001</v>
      </c>
      <c r="E78" s="331"/>
      <c r="F78" s="331"/>
      <c r="G78" s="2021" t="s">
        <v>5195</v>
      </c>
      <c r="H78" s="322"/>
      <c r="I78" s="322"/>
      <c r="J78" s="317"/>
      <c r="K78" s="317"/>
      <c r="L78" s="317"/>
      <c r="M78" s="317"/>
      <c r="N78" s="317"/>
      <c r="O78" s="317"/>
    </row>
    <row r="79" spans="1:22" ht="12.75" customHeight="1" x14ac:dyDescent="0.25">
      <c r="D79" s="340"/>
      <c r="E79" s="340"/>
      <c r="F79" s="340"/>
      <c r="G79" s="334" t="s">
        <v>533</v>
      </c>
      <c r="J79" s="317"/>
      <c r="K79" s="317"/>
      <c r="L79" s="317"/>
      <c r="M79" s="317"/>
      <c r="N79" s="317"/>
      <c r="O79" s="317"/>
    </row>
    <row r="80" spans="1:22" ht="12.75" customHeight="1" x14ac:dyDescent="0.25">
      <c r="A80" s="336">
        <f>D78</f>
        <v>653001</v>
      </c>
      <c r="B80" s="115" t="str">
        <f>G78</f>
        <v>Welstandstoezicht</v>
      </c>
      <c r="D80" s="337">
        <v>43812</v>
      </c>
      <c r="E80" s="337"/>
      <c r="F80" s="337"/>
      <c r="G80" s="319" t="s">
        <v>535</v>
      </c>
      <c r="J80" s="317">
        <v>22113</v>
      </c>
      <c r="K80" s="317">
        <f t="shared" ref="K80:M80" si="37">K186</f>
        <v>52688</v>
      </c>
      <c r="L80" s="317">
        <f t="shared" si="37"/>
        <v>23164</v>
      </c>
      <c r="M80" s="317">
        <f t="shared" si="37"/>
        <v>23697</v>
      </c>
      <c r="N80" s="317">
        <f t="shared" ref="N80:O80" si="38">N186</f>
        <v>24242</v>
      </c>
      <c r="O80" s="317">
        <f t="shared" si="38"/>
        <v>24800</v>
      </c>
    </row>
    <row r="81" spans="1:15" ht="12.75" customHeight="1" thickBot="1" x14ac:dyDescent="0.3">
      <c r="D81" s="340"/>
      <c r="E81" s="340"/>
      <c r="F81" s="340"/>
      <c r="G81" s="319" t="s">
        <v>536</v>
      </c>
      <c r="J81" s="342">
        <v>22113</v>
      </c>
      <c r="K81" s="342">
        <f>SUM(K79:K80)</f>
        <v>52688</v>
      </c>
      <c r="L81" s="342">
        <f>SUM(L79:L80)</f>
        <v>23164</v>
      </c>
      <c r="M81" s="342">
        <f>SUM(M79:M80)</f>
        <v>23697</v>
      </c>
      <c r="N81" s="342">
        <f>SUM(N79:N80)</f>
        <v>24242</v>
      </c>
      <c r="O81" s="342">
        <f>SUM(O79:O80)</f>
        <v>24800</v>
      </c>
    </row>
    <row r="82" spans="1:15" ht="12.75" customHeight="1" thickTop="1" x14ac:dyDescent="0.25">
      <c r="D82" s="333"/>
      <c r="E82" s="331"/>
      <c r="F82" s="331"/>
      <c r="G82" s="319"/>
      <c r="J82" s="317"/>
      <c r="K82" s="317"/>
      <c r="L82" s="317"/>
      <c r="M82" s="317"/>
      <c r="N82" s="317"/>
      <c r="O82" s="317"/>
    </row>
    <row r="83" spans="1:15" ht="12.75" customHeight="1" x14ac:dyDescent="0.25">
      <c r="D83" s="333">
        <v>653002</v>
      </c>
      <c r="E83" s="331"/>
      <c r="F83" s="331"/>
      <c r="G83" s="332" t="s">
        <v>5196</v>
      </c>
      <c r="J83" s="317"/>
      <c r="K83" s="317"/>
      <c r="L83" s="317"/>
      <c r="M83" s="317"/>
      <c r="N83" s="317"/>
      <c r="O83" s="317"/>
    </row>
    <row r="84" spans="1:15" ht="12.75" customHeight="1" x14ac:dyDescent="0.25">
      <c r="D84" s="340"/>
      <c r="E84" s="340"/>
      <c r="F84" s="340"/>
      <c r="G84" s="334" t="s">
        <v>533</v>
      </c>
      <c r="J84" s="317"/>
      <c r="K84" s="317"/>
      <c r="L84" s="317"/>
      <c r="M84" s="317"/>
      <c r="N84" s="317"/>
      <c r="O84" s="317"/>
    </row>
    <row r="85" spans="1:15" ht="12.75" customHeight="1" x14ac:dyDescent="0.25">
      <c r="A85" s="336">
        <f>D83</f>
        <v>653002</v>
      </c>
      <c r="B85" s="115" t="str">
        <f>G83</f>
        <v>Omgevingsvergunningen</v>
      </c>
      <c r="D85" s="337">
        <v>43511</v>
      </c>
      <c r="E85" s="337"/>
      <c r="F85" s="337"/>
      <c r="G85" s="319" t="s">
        <v>560</v>
      </c>
      <c r="J85" s="317">
        <v>31633</v>
      </c>
      <c r="K85" s="317">
        <f t="shared" ref="K85:M85" si="39">K241</f>
        <v>32455</v>
      </c>
      <c r="L85" s="317">
        <f t="shared" si="39"/>
        <v>33137</v>
      </c>
      <c r="M85" s="317">
        <f t="shared" si="39"/>
        <v>33899</v>
      </c>
      <c r="N85" s="317">
        <f t="shared" ref="N85:O85" si="40">N241</f>
        <v>34679</v>
      </c>
      <c r="O85" s="317">
        <f t="shared" si="40"/>
        <v>35477</v>
      </c>
    </row>
    <row r="86" spans="1:15" ht="12.75" customHeight="1" x14ac:dyDescent="0.25">
      <c r="A86" s="336">
        <f>D83</f>
        <v>653002</v>
      </c>
      <c r="B86" s="115" t="str">
        <f>G83</f>
        <v>Omgevingsvergunningen</v>
      </c>
      <c r="D86" s="337">
        <v>43812</v>
      </c>
      <c r="E86" s="337"/>
      <c r="F86" s="337"/>
      <c r="G86" s="319" t="s">
        <v>535</v>
      </c>
      <c r="J86" s="317">
        <v>50733</v>
      </c>
      <c r="K86" s="317">
        <f t="shared" ref="K86:M86" si="41">K194</f>
        <v>52050</v>
      </c>
      <c r="L86" s="317">
        <f t="shared" si="41"/>
        <v>53140</v>
      </c>
      <c r="M86" s="317">
        <f t="shared" si="41"/>
        <v>54370</v>
      </c>
      <c r="N86" s="317">
        <f t="shared" ref="N86:O86" si="42">N194</f>
        <v>55620</v>
      </c>
      <c r="O86" s="317">
        <f t="shared" si="42"/>
        <v>56900</v>
      </c>
    </row>
    <row r="87" spans="1:15" ht="12.75" customHeight="1" thickBot="1" x14ac:dyDescent="0.3">
      <c r="D87" s="340"/>
      <c r="E87" s="340"/>
      <c r="F87" s="340"/>
      <c r="G87" s="319" t="s">
        <v>536</v>
      </c>
      <c r="J87" s="342">
        <v>82366</v>
      </c>
      <c r="K87" s="342">
        <f>SUM(K85:K86)</f>
        <v>84505</v>
      </c>
      <c r="L87" s="342">
        <f>SUM(L85:L86)</f>
        <v>86277</v>
      </c>
      <c r="M87" s="342">
        <f>SUM(M85:M86)</f>
        <v>88269</v>
      </c>
      <c r="N87" s="342">
        <f>SUM(N85:N86)</f>
        <v>90299</v>
      </c>
      <c r="O87" s="342">
        <f>SUM(O85:O86)</f>
        <v>92377</v>
      </c>
    </row>
    <row r="88" spans="1:15" ht="12.75" customHeight="1" thickTop="1" x14ac:dyDescent="0.25">
      <c r="D88" s="340"/>
      <c r="E88" s="340"/>
      <c r="F88" s="340"/>
      <c r="G88" s="319"/>
      <c r="J88" s="317"/>
      <c r="K88" s="317"/>
      <c r="L88" s="317"/>
      <c r="M88" s="317"/>
      <c r="N88" s="317"/>
      <c r="O88" s="317"/>
    </row>
    <row r="89" spans="1:15" ht="12.75" customHeight="1" x14ac:dyDescent="0.25">
      <c r="D89" s="333">
        <v>653006</v>
      </c>
      <c r="E89" s="331"/>
      <c r="F89" s="331"/>
      <c r="G89" s="332" t="s">
        <v>5197</v>
      </c>
      <c r="J89" s="335"/>
      <c r="K89" s="335"/>
      <c r="L89" s="335"/>
      <c r="M89" s="335"/>
      <c r="N89" s="335"/>
      <c r="O89" s="335"/>
    </row>
    <row r="90" spans="1:15" ht="12.75" customHeight="1" x14ac:dyDescent="0.25">
      <c r="D90" s="333"/>
      <c r="E90" s="331"/>
      <c r="F90" s="331"/>
      <c r="G90" s="334" t="s">
        <v>533</v>
      </c>
      <c r="J90" s="335"/>
      <c r="K90" s="335"/>
      <c r="L90" s="335"/>
      <c r="M90" s="335"/>
      <c r="N90" s="335"/>
      <c r="O90" s="335"/>
    </row>
    <row r="91" spans="1:15" ht="12.75" customHeight="1" x14ac:dyDescent="0.25">
      <c r="A91" s="336">
        <f>D89</f>
        <v>653006</v>
      </c>
      <c r="B91" s="115" t="str">
        <f>G89</f>
        <v>Handhaving ruimtelijke regelgeving</v>
      </c>
      <c r="D91" s="340">
        <v>43813</v>
      </c>
      <c r="E91" s="340"/>
      <c r="F91" s="340"/>
      <c r="G91" s="319" t="s">
        <v>1005</v>
      </c>
      <c r="J91" s="317">
        <v>17762</v>
      </c>
      <c r="K91" s="318">
        <f t="shared" ref="K91:M91" si="43">K201</f>
        <v>38878</v>
      </c>
      <c r="L91" s="318">
        <f t="shared" si="43"/>
        <v>39694</v>
      </c>
      <c r="M91" s="318">
        <f t="shared" si="43"/>
        <v>40607</v>
      </c>
      <c r="N91" s="318">
        <f t="shared" ref="N91:O91" si="44">N201</f>
        <v>41541</v>
      </c>
      <c r="O91" s="318">
        <f t="shared" si="44"/>
        <v>42496</v>
      </c>
    </row>
    <row r="92" spans="1:15" ht="12.75" customHeight="1" thickBot="1" x14ac:dyDescent="0.3">
      <c r="D92" s="340"/>
      <c r="E92" s="340"/>
      <c r="F92" s="340"/>
      <c r="G92" s="319" t="s">
        <v>536</v>
      </c>
      <c r="J92" s="342">
        <v>17762</v>
      </c>
      <c r="K92" s="342">
        <f>SUM(K91:K91)</f>
        <v>38878</v>
      </c>
      <c r="L92" s="342">
        <f>SUM(L91:L91)</f>
        <v>39694</v>
      </c>
      <c r="M92" s="342">
        <f>SUM(M91:M91)</f>
        <v>40607</v>
      </c>
      <c r="N92" s="342">
        <f>SUM(N91:N91)</f>
        <v>41541</v>
      </c>
      <c r="O92" s="342">
        <f>SUM(O91:O91)</f>
        <v>42496</v>
      </c>
    </row>
    <row r="93" spans="1:15" ht="12.75" customHeight="1" thickTop="1" x14ac:dyDescent="0.25">
      <c r="D93" s="340"/>
      <c r="E93" s="340"/>
      <c r="F93" s="340"/>
      <c r="G93" s="319"/>
      <c r="J93" s="344"/>
      <c r="K93" s="344"/>
      <c r="L93" s="344"/>
      <c r="M93" s="344"/>
      <c r="N93" s="344"/>
      <c r="O93" s="344"/>
    </row>
    <row r="94" spans="1:15" ht="12.75" customHeight="1" x14ac:dyDescent="0.25">
      <c r="D94" s="333">
        <v>653007</v>
      </c>
      <c r="E94" s="331"/>
      <c r="F94" s="331"/>
      <c r="G94" s="332" t="s">
        <v>5198</v>
      </c>
      <c r="J94" s="335"/>
      <c r="K94" s="316"/>
      <c r="L94" s="316"/>
      <c r="M94" s="316"/>
      <c r="N94" s="316"/>
      <c r="O94" s="316"/>
    </row>
    <row r="95" spans="1:15" ht="12.75" customHeight="1" x14ac:dyDescent="0.25">
      <c r="D95" s="352"/>
      <c r="E95" s="352"/>
      <c r="F95" s="352"/>
      <c r="G95" s="474" t="s">
        <v>533</v>
      </c>
      <c r="H95" s="355"/>
      <c r="I95" s="355"/>
      <c r="J95" s="335"/>
      <c r="K95" s="316"/>
      <c r="L95" s="316"/>
      <c r="M95" s="316"/>
      <c r="N95" s="316"/>
      <c r="O95" s="316"/>
    </row>
    <row r="96" spans="1:15" ht="12.75" customHeight="1" x14ac:dyDescent="0.25">
      <c r="A96" s="336">
        <f>D94</f>
        <v>653007</v>
      </c>
      <c r="B96" s="115" t="str">
        <f>G94</f>
        <v>Handhaving woonwagencentrum</v>
      </c>
      <c r="D96" s="337">
        <v>43812</v>
      </c>
      <c r="E96" s="337"/>
      <c r="F96" s="337"/>
      <c r="G96" s="319" t="s">
        <v>535</v>
      </c>
      <c r="H96" s="355"/>
      <c r="I96" s="355"/>
      <c r="J96" s="317">
        <v>18947</v>
      </c>
      <c r="K96" s="318">
        <v>0</v>
      </c>
      <c r="L96" s="318">
        <v>0</v>
      </c>
      <c r="M96" s="318">
        <v>0</v>
      </c>
      <c r="N96" s="318">
        <v>0</v>
      </c>
      <c r="O96" s="318">
        <v>0</v>
      </c>
    </row>
    <row r="97" spans="1:15" ht="12.75" customHeight="1" thickBot="1" x14ac:dyDescent="0.3">
      <c r="D97" s="340"/>
      <c r="E97" s="340"/>
      <c r="F97" s="340"/>
      <c r="G97" s="319" t="s">
        <v>536</v>
      </c>
      <c r="J97" s="342">
        <v>18947</v>
      </c>
      <c r="K97" s="342">
        <f>SUM(K95:K96)</f>
        <v>0</v>
      </c>
      <c r="L97" s="342">
        <f>SUM(L95:L96)</f>
        <v>0</v>
      </c>
      <c r="M97" s="342">
        <f>SUM(M95:M96)</f>
        <v>0</v>
      </c>
      <c r="N97" s="342">
        <f>SUM(N95:N96)</f>
        <v>0</v>
      </c>
      <c r="O97" s="342">
        <f>SUM(O95:O96)</f>
        <v>0</v>
      </c>
    </row>
    <row r="98" spans="1:15" ht="12.75" customHeight="1" thickTop="1" x14ac:dyDescent="0.25">
      <c r="D98" s="352"/>
      <c r="E98" s="352"/>
      <c r="F98" s="352"/>
      <c r="G98" s="354"/>
      <c r="H98" s="355"/>
      <c r="I98" s="355"/>
      <c r="J98" s="357"/>
      <c r="K98" s="475"/>
      <c r="L98" s="475"/>
      <c r="M98" s="475"/>
      <c r="N98" s="475"/>
      <c r="O98" s="475"/>
    </row>
    <row r="99" spans="1:15" ht="12.75" customHeight="1" x14ac:dyDescent="0.25">
      <c r="D99" s="347">
        <v>653008</v>
      </c>
      <c r="E99" s="331"/>
      <c r="F99" s="476"/>
      <c r="G99" s="332" t="s">
        <v>5199</v>
      </c>
      <c r="J99" s="317"/>
      <c r="K99" s="317"/>
      <c r="L99" s="317"/>
      <c r="M99" s="317"/>
      <c r="N99" s="317"/>
      <c r="O99" s="317"/>
    </row>
    <row r="100" spans="1:15" ht="12.75" customHeight="1" x14ac:dyDescent="0.25">
      <c r="D100" s="340"/>
      <c r="E100" s="340"/>
      <c r="F100" s="340"/>
      <c r="G100" s="334" t="s">
        <v>533</v>
      </c>
      <c r="J100" s="317"/>
      <c r="K100" s="317"/>
      <c r="L100" s="317"/>
      <c r="M100" s="317"/>
      <c r="N100" s="317"/>
      <c r="O100" s="317"/>
    </row>
    <row r="101" spans="1:15" ht="12.75" customHeight="1" x14ac:dyDescent="0.25">
      <c r="A101" s="336">
        <f>D99</f>
        <v>653008</v>
      </c>
      <c r="B101" s="115" t="str">
        <f>G99</f>
        <v>Uitvoering 2e fase wet Bibob</v>
      </c>
      <c r="D101" s="337">
        <v>43812</v>
      </c>
      <c r="E101" s="337"/>
      <c r="F101" s="337"/>
      <c r="G101" s="319" t="s">
        <v>535</v>
      </c>
      <c r="H101" s="355"/>
      <c r="I101" s="355"/>
      <c r="J101" s="317">
        <v>1184</v>
      </c>
      <c r="K101" s="318">
        <v>0</v>
      </c>
      <c r="L101" s="318">
        <v>0</v>
      </c>
      <c r="M101" s="318">
        <v>0</v>
      </c>
      <c r="N101" s="318">
        <v>0</v>
      </c>
      <c r="O101" s="318">
        <v>0</v>
      </c>
    </row>
    <row r="102" spans="1:15" ht="12.75" customHeight="1" thickBot="1" x14ac:dyDescent="0.3">
      <c r="D102" s="340"/>
      <c r="E102" s="340"/>
      <c r="F102" s="340"/>
      <c r="G102" s="319" t="s">
        <v>536</v>
      </c>
      <c r="J102" s="342">
        <v>1184</v>
      </c>
      <c r="K102" s="342">
        <f>SUM(K100:K101)</f>
        <v>0</v>
      </c>
      <c r="L102" s="342">
        <f>SUM(L100:L101)</f>
        <v>0</v>
      </c>
      <c r="M102" s="342">
        <f>SUM(M100:M101)</f>
        <v>0</v>
      </c>
      <c r="N102" s="342">
        <f>SUM(N100:N101)</f>
        <v>0</v>
      </c>
      <c r="O102" s="342">
        <f>SUM(O100:O101)</f>
        <v>0</v>
      </c>
    </row>
    <row r="103" spans="1:15" ht="12.75" customHeight="1" thickTop="1" x14ac:dyDescent="0.25">
      <c r="D103" s="352"/>
      <c r="E103" s="352"/>
      <c r="F103" s="352"/>
      <c r="G103" s="354"/>
      <c r="H103" s="355"/>
      <c r="I103" s="355"/>
      <c r="J103" s="357"/>
      <c r="K103" s="475"/>
      <c r="L103" s="475"/>
      <c r="M103" s="475"/>
      <c r="N103" s="475"/>
      <c r="O103" s="475"/>
    </row>
    <row r="104" spans="1:15" ht="12.75" customHeight="1" x14ac:dyDescent="0.25">
      <c r="D104" s="347">
        <v>653012</v>
      </c>
      <c r="E104" s="331"/>
      <c r="F104" s="476"/>
      <c r="G104" s="477" t="s">
        <v>5200</v>
      </c>
      <c r="J104" s="317"/>
      <c r="K104" s="317"/>
      <c r="L104" s="317"/>
      <c r="M104" s="317"/>
      <c r="N104" s="317"/>
      <c r="O104" s="317"/>
    </row>
    <row r="105" spans="1:15" ht="12.75" customHeight="1" x14ac:dyDescent="0.25">
      <c r="D105" s="340"/>
      <c r="E105" s="340"/>
      <c r="F105" s="340"/>
      <c r="G105" s="334" t="s">
        <v>533</v>
      </c>
      <c r="J105" s="317"/>
      <c r="K105" s="317"/>
      <c r="L105" s="317"/>
      <c r="M105" s="317"/>
      <c r="N105" s="317"/>
      <c r="O105" s="317"/>
    </row>
    <row r="106" spans="1:15" ht="12.75" customHeight="1" x14ac:dyDescent="0.25">
      <c r="A106" s="336">
        <f>D104</f>
        <v>653012</v>
      </c>
      <c r="B106" s="115" t="str">
        <f>G104</f>
        <v>Uitvoering urgentieverordening</v>
      </c>
      <c r="D106" s="337">
        <v>43812</v>
      </c>
      <c r="E106" s="337"/>
      <c r="F106" s="337"/>
      <c r="G106" s="319" t="s">
        <v>535</v>
      </c>
      <c r="H106" s="355"/>
      <c r="I106" s="355"/>
      <c r="J106" s="317">
        <v>16340</v>
      </c>
      <c r="K106" s="318">
        <f t="shared" ref="K106:M106" si="45">K207</f>
        <v>16765</v>
      </c>
      <c r="L106" s="318">
        <f t="shared" si="45"/>
        <v>17117</v>
      </c>
      <c r="M106" s="318">
        <f t="shared" si="45"/>
        <v>17511</v>
      </c>
      <c r="N106" s="318">
        <f t="shared" ref="N106:O106" si="46">N207</f>
        <v>17914</v>
      </c>
      <c r="O106" s="318">
        <f t="shared" si="46"/>
        <v>18326</v>
      </c>
    </row>
    <row r="107" spans="1:15" ht="12.75" customHeight="1" thickBot="1" x14ac:dyDescent="0.3">
      <c r="D107" s="340"/>
      <c r="E107" s="340"/>
      <c r="F107" s="340"/>
      <c r="G107" s="319" t="s">
        <v>536</v>
      </c>
      <c r="J107" s="342">
        <v>16340</v>
      </c>
      <c r="K107" s="342">
        <f>SUM(K105:K106)</f>
        <v>16765</v>
      </c>
      <c r="L107" s="342">
        <f>SUM(L105:L106)</f>
        <v>17117</v>
      </c>
      <c r="M107" s="342">
        <f>SUM(M105:M106)</f>
        <v>17511</v>
      </c>
      <c r="N107" s="342">
        <f>SUM(N105:N106)</f>
        <v>17914</v>
      </c>
      <c r="O107" s="342">
        <f>SUM(O105:O106)</f>
        <v>18326</v>
      </c>
    </row>
    <row r="108" spans="1:15" ht="12.75" customHeight="1" thickTop="1" x14ac:dyDescent="0.25">
      <c r="D108" s="352"/>
      <c r="E108" s="352"/>
      <c r="F108" s="352"/>
      <c r="G108" s="354"/>
      <c r="H108" s="355"/>
      <c r="I108" s="355"/>
      <c r="J108" s="357"/>
      <c r="K108" s="475"/>
      <c r="L108" s="475"/>
      <c r="M108" s="475"/>
      <c r="N108" s="475"/>
      <c r="O108" s="475"/>
    </row>
    <row r="109" spans="1:15" ht="12.75" customHeight="1" x14ac:dyDescent="0.25">
      <c r="D109" s="347">
        <v>653013</v>
      </c>
      <c r="E109" s="331"/>
      <c r="F109" s="476"/>
      <c r="G109" s="381" t="s">
        <v>5201</v>
      </c>
      <c r="J109" s="317"/>
      <c r="K109" s="317"/>
      <c r="L109" s="317"/>
      <c r="M109" s="317"/>
      <c r="N109" s="317"/>
      <c r="O109" s="317"/>
    </row>
    <row r="110" spans="1:15" ht="12.75" customHeight="1" x14ac:dyDescent="0.25">
      <c r="D110" s="340"/>
      <c r="E110" s="340"/>
      <c r="F110" s="340"/>
      <c r="G110" s="334" t="s">
        <v>533</v>
      </c>
      <c r="J110" s="317"/>
      <c r="K110" s="317"/>
      <c r="L110" s="317"/>
      <c r="M110" s="317"/>
      <c r="N110" s="317"/>
      <c r="O110" s="317"/>
    </row>
    <row r="111" spans="1:15" ht="12.75" customHeight="1" x14ac:dyDescent="0.25">
      <c r="A111" s="336">
        <f>D109</f>
        <v>653013</v>
      </c>
      <c r="B111" s="115" t="str">
        <f>G109</f>
        <v>Visie volkshuisvestingsbeleid</v>
      </c>
      <c r="D111" s="337">
        <v>43812</v>
      </c>
      <c r="E111" s="337"/>
      <c r="F111" s="337"/>
      <c r="G111" s="319" t="s">
        <v>535</v>
      </c>
      <c r="H111" s="355"/>
      <c r="I111" s="355"/>
      <c r="J111" s="317">
        <v>208023</v>
      </c>
      <c r="K111" s="318">
        <f>K217</f>
        <v>153909</v>
      </c>
      <c r="L111" s="318">
        <f>L217</f>
        <v>117266</v>
      </c>
      <c r="M111" s="318">
        <f>M217</f>
        <v>114872</v>
      </c>
      <c r="N111" s="318">
        <f>N217</f>
        <v>117514</v>
      </c>
      <c r="O111" s="318">
        <f>O217</f>
        <v>120217</v>
      </c>
    </row>
    <row r="112" spans="1:15" ht="12.75" customHeight="1" thickBot="1" x14ac:dyDescent="0.3">
      <c r="D112" s="340"/>
      <c r="E112" s="340"/>
      <c r="F112" s="340"/>
      <c r="G112" s="319" t="s">
        <v>536</v>
      </c>
      <c r="J112" s="342">
        <v>208023</v>
      </c>
      <c r="K112" s="342">
        <f>SUM(K110:K111)</f>
        <v>153909</v>
      </c>
      <c r="L112" s="342">
        <f>SUM(L110:L111)</f>
        <v>117266</v>
      </c>
      <c r="M112" s="342">
        <f>SUM(M110:M111)</f>
        <v>114872</v>
      </c>
      <c r="N112" s="342">
        <f>SUM(N110:N111)</f>
        <v>117514</v>
      </c>
      <c r="O112" s="342">
        <f>SUM(O110:O111)</f>
        <v>120217</v>
      </c>
    </row>
    <row r="113" spans="1:15" ht="12.75" customHeight="1" thickTop="1" x14ac:dyDescent="0.25">
      <c r="D113" s="340"/>
      <c r="E113" s="340"/>
      <c r="F113" s="340"/>
      <c r="G113" s="319"/>
      <c r="J113" s="344"/>
      <c r="K113" s="317"/>
      <c r="L113" s="317"/>
      <c r="M113" s="317"/>
      <c r="N113" s="317"/>
      <c r="O113" s="317"/>
    </row>
    <row r="114" spans="1:15" ht="12.75" customHeight="1" x14ac:dyDescent="0.25">
      <c r="D114" s="347">
        <v>653014</v>
      </c>
      <c r="E114" s="331"/>
      <c r="F114" s="476"/>
      <c r="G114" s="332" t="str">
        <f>E219</f>
        <v>Leefbare en duurzame wijken</v>
      </c>
      <c r="J114" s="317"/>
      <c r="K114" s="317"/>
      <c r="L114" s="317"/>
      <c r="M114" s="317"/>
      <c r="N114" s="317"/>
      <c r="O114" s="317"/>
    </row>
    <row r="115" spans="1:15" ht="12.75" customHeight="1" x14ac:dyDescent="0.25">
      <c r="D115" s="340"/>
      <c r="E115" s="340"/>
      <c r="F115" s="340"/>
      <c r="G115" s="334" t="s">
        <v>533</v>
      </c>
      <c r="J115" s="317"/>
      <c r="K115" s="317"/>
      <c r="L115" s="317"/>
      <c r="M115" s="317"/>
      <c r="N115" s="317"/>
      <c r="O115" s="317"/>
    </row>
    <row r="116" spans="1:15" ht="12.75" customHeight="1" x14ac:dyDescent="0.25">
      <c r="A116" s="336">
        <f>D114</f>
        <v>653014</v>
      </c>
      <c r="B116" s="115" t="str">
        <f>G114</f>
        <v>Leefbare en duurzame wijken</v>
      </c>
      <c r="D116" s="337">
        <v>43511</v>
      </c>
      <c r="E116" s="337"/>
      <c r="F116" s="337"/>
      <c r="G116" s="478" t="s">
        <v>560</v>
      </c>
      <c r="H116" s="355"/>
      <c r="I116" s="355"/>
      <c r="J116" s="142">
        <v>30700</v>
      </c>
      <c r="K116" s="318">
        <f t="shared" ref="K116:M116" si="47">K227</f>
        <v>0</v>
      </c>
      <c r="L116" s="318">
        <f t="shared" si="47"/>
        <v>0</v>
      </c>
      <c r="M116" s="318">
        <f t="shared" si="47"/>
        <v>0</v>
      </c>
      <c r="N116" s="318">
        <f t="shared" ref="N116:O116" si="48">N227</f>
        <v>0</v>
      </c>
      <c r="O116" s="318">
        <f t="shared" si="48"/>
        <v>0</v>
      </c>
    </row>
    <row r="117" spans="1:15" ht="12.75" customHeight="1" thickBot="1" x14ac:dyDescent="0.3">
      <c r="D117" s="340"/>
      <c r="E117" s="340"/>
      <c r="F117" s="340"/>
      <c r="G117" s="319" t="s">
        <v>536</v>
      </c>
      <c r="J117" s="342">
        <v>30700</v>
      </c>
      <c r="K117" s="342">
        <f>SUM(K115:K116)</f>
        <v>0</v>
      </c>
      <c r="L117" s="342">
        <f>SUM(L115:L116)</f>
        <v>0</v>
      </c>
      <c r="M117" s="342">
        <f>SUM(M115:M116)</f>
        <v>0</v>
      </c>
      <c r="N117" s="342">
        <f>SUM(N115:N116)</f>
        <v>0</v>
      </c>
      <c r="O117" s="342">
        <f>SUM(O115:O116)</f>
        <v>0</v>
      </c>
    </row>
    <row r="118" spans="1:15" ht="12.75" customHeight="1" thickTop="1" x14ac:dyDescent="0.25">
      <c r="D118" s="352"/>
      <c r="E118" s="352"/>
      <c r="F118" s="352"/>
      <c r="G118" s="354"/>
      <c r="H118" s="355"/>
      <c r="I118" s="355"/>
      <c r="J118" s="357"/>
      <c r="K118" s="475"/>
      <c r="L118" s="475"/>
      <c r="M118" s="475"/>
      <c r="N118" s="475"/>
      <c r="O118" s="475"/>
    </row>
    <row r="119" spans="1:15" ht="12.75" customHeight="1" x14ac:dyDescent="0.25">
      <c r="D119" s="347">
        <v>653015</v>
      </c>
      <c r="E119" s="331"/>
      <c r="F119" s="476"/>
      <c r="G119" s="381" t="s">
        <v>5194</v>
      </c>
      <c r="J119" s="317"/>
      <c r="K119" s="317"/>
      <c r="L119" s="317"/>
      <c r="M119" s="317"/>
      <c r="N119" s="317"/>
      <c r="O119" s="317"/>
    </row>
    <row r="120" spans="1:15" ht="12.75" customHeight="1" x14ac:dyDescent="0.25">
      <c r="D120" s="340"/>
      <c r="E120" s="340"/>
      <c r="F120" s="340"/>
      <c r="G120" s="334" t="s">
        <v>533</v>
      </c>
      <c r="J120" s="317"/>
      <c r="K120" s="317"/>
      <c r="L120" s="317"/>
      <c r="M120" s="317"/>
      <c r="N120" s="317"/>
      <c r="O120" s="317"/>
    </row>
    <row r="121" spans="1:15" ht="12.75" customHeight="1" x14ac:dyDescent="0.25">
      <c r="A121" s="336">
        <f>D119</f>
        <v>653015</v>
      </c>
      <c r="B121" s="115" t="str">
        <f>G119</f>
        <v>Schaalsprong woningbouw</v>
      </c>
      <c r="D121" s="337">
        <v>43812</v>
      </c>
      <c r="E121" s="337"/>
      <c r="F121" s="337"/>
      <c r="G121" s="319" t="s">
        <v>535</v>
      </c>
      <c r="H121" s="355"/>
      <c r="I121" s="355"/>
      <c r="J121" s="317">
        <v>0</v>
      </c>
      <c r="K121" s="318">
        <f>K235</f>
        <v>250000</v>
      </c>
      <c r="L121" s="318">
        <f t="shared" ref="L121:N121" si="49">L235</f>
        <v>312500</v>
      </c>
      <c r="M121" s="318">
        <f t="shared" si="49"/>
        <v>312500</v>
      </c>
      <c r="N121" s="318">
        <f t="shared" si="49"/>
        <v>312500</v>
      </c>
      <c r="O121" s="318">
        <f t="shared" ref="O121" si="50">O235</f>
        <v>312500</v>
      </c>
    </row>
    <row r="122" spans="1:15" ht="12.75" customHeight="1" thickBot="1" x14ac:dyDescent="0.3">
      <c r="D122" s="340"/>
      <c r="E122" s="340"/>
      <c r="F122" s="340"/>
      <c r="G122" s="319" t="s">
        <v>536</v>
      </c>
      <c r="J122" s="342">
        <v>0</v>
      </c>
      <c r="K122" s="342">
        <f>SUM(K120:K121)</f>
        <v>250000</v>
      </c>
      <c r="L122" s="342">
        <f>SUM(L120:L121)</f>
        <v>312500</v>
      </c>
      <c r="M122" s="342">
        <f>SUM(M120:M121)</f>
        <v>312500</v>
      </c>
      <c r="N122" s="342">
        <f>SUM(N120:N121)</f>
        <v>312500</v>
      </c>
      <c r="O122" s="342">
        <f>SUM(O120:O121)</f>
        <v>312500</v>
      </c>
    </row>
    <row r="123" spans="1:15" ht="12.75" customHeight="1" thickTop="1" x14ac:dyDescent="0.25">
      <c r="D123" s="340"/>
      <c r="E123" s="340"/>
      <c r="F123" s="340"/>
      <c r="G123" s="319"/>
      <c r="J123" s="317"/>
      <c r="K123" s="318"/>
      <c r="L123" s="318"/>
      <c r="M123" s="318"/>
      <c r="N123" s="318"/>
      <c r="O123" s="318"/>
    </row>
    <row r="124" spans="1:15" ht="12.75" customHeight="1" x14ac:dyDescent="0.25">
      <c r="D124" s="347">
        <v>653003</v>
      </c>
      <c r="E124" s="331"/>
      <c r="F124" s="476"/>
      <c r="G124" s="332" t="s">
        <v>5202</v>
      </c>
      <c r="J124" s="317"/>
      <c r="K124" s="317"/>
      <c r="L124" s="317"/>
      <c r="M124" s="317"/>
      <c r="N124" s="317"/>
      <c r="O124" s="317"/>
    </row>
    <row r="125" spans="1:15" ht="12.75" customHeight="1" x14ac:dyDescent="0.25">
      <c r="D125" s="340"/>
      <c r="E125" s="340"/>
      <c r="F125" s="340"/>
      <c r="G125" s="334" t="s">
        <v>533</v>
      </c>
      <c r="J125" s="317"/>
      <c r="K125" s="317"/>
      <c r="L125" s="317"/>
      <c r="M125" s="317"/>
      <c r="N125" s="317"/>
      <c r="O125" s="317"/>
    </row>
    <row r="126" spans="1:15" ht="12.75" customHeight="1" x14ac:dyDescent="0.25">
      <c r="A126" s="336">
        <f>D124</f>
        <v>653003</v>
      </c>
      <c r="B126" s="115" t="str">
        <f>G124</f>
        <v>ODZOB Bouw</v>
      </c>
      <c r="D126" s="337">
        <v>43511</v>
      </c>
      <c r="E126" s="337"/>
      <c r="F126" s="337"/>
      <c r="G126" s="478" t="s">
        <v>560</v>
      </c>
      <c r="H126" s="355"/>
      <c r="I126" s="355"/>
      <c r="J126" s="317">
        <v>144626</v>
      </c>
      <c r="K126" s="318">
        <f t="shared" ref="K126:M126" si="51">K253</f>
        <v>148386</v>
      </c>
      <c r="L126" s="318">
        <f t="shared" si="51"/>
        <v>151502</v>
      </c>
      <c r="M126" s="318">
        <f t="shared" si="51"/>
        <v>154987</v>
      </c>
      <c r="N126" s="318">
        <f t="shared" ref="N126:O126" si="52">N253</f>
        <v>158552</v>
      </c>
      <c r="O126" s="318">
        <f t="shared" si="52"/>
        <v>162199</v>
      </c>
    </row>
    <row r="127" spans="1:15" ht="12.75" customHeight="1" thickBot="1" x14ac:dyDescent="0.3">
      <c r="D127" s="340"/>
      <c r="E127" s="340"/>
      <c r="F127" s="340"/>
      <c r="G127" s="319" t="s">
        <v>536</v>
      </c>
      <c r="J127" s="342">
        <v>144626</v>
      </c>
      <c r="K127" s="342">
        <f>SUM(K125:K126)</f>
        <v>148386</v>
      </c>
      <c r="L127" s="342">
        <f>SUM(L125:L126)</f>
        <v>151502</v>
      </c>
      <c r="M127" s="342">
        <f>SUM(M125:M126)</f>
        <v>154987</v>
      </c>
      <c r="N127" s="342">
        <f>SUM(N125:N126)</f>
        <v>158552</v>
      </c>
      <c r="O127" s="342">
        <f>SUM(O125:O126)</f>
        <v>162199</v>
      </c>
    </row>
    <row r="128" spans="1:15" ht="12.75" customHeight="1" thickTop="1" x14ac:dyDescent="0.25">
      <c r="D128" s="340"/>
      <c r="E128" s="340"/>
      <c r="F128" s="340"/>
      <c r="G128" s="319"/>
      <c r="J128" s="317"/>
      <c r="K128" s="318"/>
      <c r="L128" s="318"/>
      <c r="M128" s="318"/>
      <c r="N128" s="318"/>
      <c r="O128" s="318"/>
    </row>
    <row r="129" spans="1:15" ht="12.75" customHeight="1" x14ac:dyDescent="0.25">
      <c r="D129" s="347">
        <v>653004</v>
      </c>
      <c r="E129" s="331"/>
      <c r="F129" s="476"/>
      <c r="G129" s="332" t="s">
        <v>5203</v>
      </c>
      <c r="J129" s="317"/>
      <c r="K129" s="317"/>
      <c r="L129" s="317"/>
      <c r="M129" s="317"/>
      <c r="N129" s="317"/>
      <c r="O129" s="317"/>
    </row>
    <row r="130" spans="1:15" ht="12.75" customHeight="1" x14ac:dyDescent="0.25">
      <c r="D130" s="340"/>
      <c r="E130" s="340"/>
      <c r="F130" s="340"/>
      <c r="G130" s="334" t="s">
        <v>533</v>
      </c>
      <c r="J130" s="317"/>
      <c r="K130" s="317"/>
      <c r="L130" s="317"/>
      <c r="M130" s="317"/>
      <c r="N130" s="317"/>
      <c r="O130" s="317"/>
    </row>
    <row r="131" spans="1:15" ht="12.75" customHeight="1" x14ac:dyDescent="0.25">
      <c r="A131" s="336">
        <f>D129</f>
        <v>653004</v>
      </c>
      <c r="B131" s="115" t="str">
        <f>G129</f>
        <v>ODZOB Collectieve taken</v>
      </c>
      <c r="D131" s="337">
        <v>43511</v>
      </c>
      <c r="E131" s="337"/>
      <c r="F131" s="337"/>
      <c r="G131" s="478" t="s">
        <v>560</v>
      </c>
      <c r="H131" s="355"/>
      <c r="I131" s="355"/>
      <c r="J131" s="317">
        <v>39206</v>
      </c>
      <c r="K131" s="318">
        <f t="shared" ref="K131:M131" si="53">K259</f>
        <v>40225</v>
      </c>
      <c r="L131" s="318">
        <f t="shared" si="53"/>
        <v>41070</v>
      </c>
      <c r="M131" s="318">
        <f t="shared" si="53"/>
        <v>42015</v>
      </c>
      <c r="N131" s="318">
        <f t="shared" ref="N131:O131" si="54">N259</f>
        <v>42981</v>
      </c>
      <c r="O131" s="318">
        <f t="shared" si="54"/>
        <v>43970</v>
      </c>
    </row>
    <row r="132" spans="1:15" ht="12.75" customHeight="1" thickBot="1" x14ac:dyDescent="0.3">
      <c r="D132" s="340"/>
      <c r="E132" s="340"/>
      <c r="F132" s="340"/>
      <c r="G132" s="319" t="s">
        <v>536</v>
      </c>
      <c r="J132" s="342">
        <v>39206</v>
      </c>
      <c r="K132" s="342">
        <f>SUM(K130:K131)</f>
        <v>40225</v>
      </c>
      <c r="L132" s="342">
        <f>SUM(L130:L131)</f>
        <v>41070</v>
      </c>
      <c r="M132" s="342">
        <f>SUM(M130:M131)</f>
        <v>42015</v>
      </c>
      <c r="N132" s="342">
        <f>SUM(N130:N131)</f>
        <v>42981</v>
      </c>
      <c r="O132" s="342">
        <f>SUM(O130:O131)</f>
        <v>43970</v>
      </c>
    </row>
    <row r="133" spans="1:15" ht="12.75" customHeight="1" thickTop="1" x14ac:dyDescent="0.25">
      <c r="D133" s="340"/>
      <c r="E133" s="340"/>
      <c r="F133" s="340"/>
      <c r="G133" s="319"/>
      <c r="J133" s="317"/>
      <c r="K133" s="318"/>
      <c r="L133" s="318"/>
      <c r="M133" s="318"/>
      <c r="N133" s="318"/>
      <c r="O133" s="318"/>
    </row>
    <row r="134" spans="1:15" ht="12.75" customHeight="1" x14ac:dyDescent="0.25">
      <c r="D134" s="347">
        <v>653009</v>
      </c>
      <c r="E134" s="331"/>
      <c r="F134" s="476"/>
      <c r="G134" s="332" t="s">
        <v>5204</v>
      </c>
      <c r="J134" s="317"/>
      <c r="K134" s="317"/>
      <c r="L134" s="317"/>
      <c r="M134" s="317"/>
      <c r="N134" s="317"/>
      <c r="O134" s="317"/>
    </row>
    <row r="135" spans="1:15" ht="12.75" customHeight="1" x14ac:dyDescent="0.25">
      <c r="D135" s="340"/>
      <c r="E135" s="340"/>
      <c r="F135" s="340"/>
      <c r="G135" s="334" t="s">
        <v>533</v>
      </c>
      <c r="J135" s="317"/>
      <c r="K135" s="317"/>
      <c r="L135" s="317"/>
      <c r="M135" s="317"/>
      <c r="N135" s="317"/>
      <c r="O135" s="317"/>
    </row>
    <row r="136" spans="1:15" ht="12.75" customHeight="1" x14ac:dyDescent="0.25">
      <c r="A136" s="336">
        <f>D134</f>
        <v>653009</v>
      </c>
      <c r="B136" s="115" t="str">
        <f>G134</f>
        <v>ODZOB toezicht en handhaving</v>
      </c>
      <c r="D136" s="337">
        <v>43511</v>
      </c>
      <c r="E136" s="337"/>
      <c r="F136" s="337"/>
      <c r="G136" s="478" t="s">
        <v>560</v>
      </c>
      <c r="H136" s="355"/>
      <c r="I136" s="355"/>
      <c r="J136" s="317">
        <v>185914</v>
      </c>
      <c r="K136" s="318">
        <f t="shared" ref="K136:M136" si="55">K266</f>
        <v>190748</v>
      </c>
      <c r="L136" s="318">
        <f t="shared" si="55"/>
        <v>194754</v>
      </c>
      <c r="M136" s="318">
        <f t="shared" si="55"/>
        <v>199233</v>
      </c>
      <c r="N136" s="318">
        <f t="shared" ref="N136:O136" si="56">N266</f>
        <v>203815</v>
      </c>
      <c r="O136" s="318">
        <f t="shared" si="56"/>
        <v>208503</v>
      </c>
    </row>
    <row r="137" spans="1:15" ht="12.75" customHeight="1" thickBot="1" x14ac:dyDescent="0.3">
      <c r="D137" s="340"/>
      <c r="E137" s="340"/>
      <c r="F137" s="340"/>
      <c r="G137" s="319" t="s">
        <v>536</v>
      </c>
      <c r="J137" s="342">
        <v>185914</v>
      </c>
      <c r="K137" s="342">
        <f>SUM(K135:K136)</f>
        <v>190748</v>
      </c>
      <c r="L137" s="342">
        <f>SUM(L135:L136)</f>
        <v>194754</v>
      </c>
      <c r="M137" s="342">
        <f>SUM(M135:M136)</f>
        <v>199233</v>
      </c>
      <c r="N137" s="342">
        <f>SUM(N135:N136)</f>
        <v>203815</v>
      </c>
      <c r="O137" s="342">
        <f>SUM(O135:O136)</f>
        <v>208503</v>
      </c>
    </row>
    <row r="138" spans="1:15" ht="12.75" customHeight="1" thickTop="1" x14ac:dyDescent="0.25">
      <c r="D138" s="340"/>
      <c r="E138" s="340"/>
      <c r="F138" s="340"/>
      <c r="G138" s="319"/>
      <c r="J138" s="317"/>
      <c r="K138" s="318"/>
      <c r="L138" s="318"/>
      <c r="M138" s="318"/>
      <c r="N138" s="318"/>
      <c r="O138" s="318"/>
    </row>
    <row r="139" spans="1:15" ht="12.75" customHeight="1" x14ac:dyDescent="0.25">
      <c r="D139" s="347">
        <v>653010</v>
      </c>
      <c r="E139" s="331"/>
      <c r="F139" s="476"/>
      <c r="G139" s="332" t="s">
        <v>5205</v>
      </c>
      <c r="J139" s="317"/>
      <c r="K139" s="317"/>
      <c r="L139" s="317"/>
      <c r="M139" s="317"/>
      <c r="N139" s="317"/>
      <c r="O139" s="317"/>
    </row>
    <row r="140" spans="1:15" ht="12.75" customHeight="1" x14ac:dyDescent="0.25">
      <c r="D140" s="340"/>
      <c r="E140" s="340"/>
      <c r="F140" s="340"/>
      <c r="G140" s="334" t="s">
        <v>533</v>
      </c>
      <c r="J140" s="317"/>
      <c r="K140" s="317"/>
      <c r="L140" s="317"/>
      <c r="M140" s="317"/>
      <c r="N140" s="317"/>
      <c r="O140" s="317"/>
    </row>
    <row r="141" spans="1:15" ht="12.75" customHeight="1" x14ac:dyDescent="0.25">
      <c r="A141" s="336">
        <f>D139</f>
        <v>653010</v>
      </c>
      <c r="B141" s="115" t="str">
        <f>G139</f>
        <v>ODZOB handhaving klacht afhandeling</v>
      </c>
      <c r="D141" s="337">
        <v>43511</v>
      </c>
      <c r="E141" s="337"/>
      <c r="F141" s="337"/>
      <c r="G141" s="478" t="s">
        <v>560</v>
      </c>
      <c r="H141" s="355"/>
      <c r="I141" s="355"/>
      <c r="J141" s="317">
        <v>23683</v>
      </c>
      <c r="K141" s="318">
        <f t="shared" ref="K141:M141" si="57">K274</f>
        <v>24299</v>
      </c>
      <c r="L141" s="318">
        <f t="shared" si="57"/>
        <v>24809</v>
      </c>
      <c r="M141" s="318">
        <f t="shared" si="57"/>
        <v>25380</v>
      </c>
      <c r="N141" s="318">
        <f t="shared" ref="N141:O141" si="58">N274</f>
        <v>25964</v>
      </c>
      <c r="O141" s="318">
        <f t="shared" si="58"/>
        <v>26561</v>
      </c>
    </row>
    <row r="142" spans="1:15" ht="12.75" customHeight="1" thickBot="1" x14ac:dyDescent="0.3">
      <c r="D142" s="340"/>
      <c r="E142" s="340"/>
      <c r="F142" s="340"/>
      <c r="G142" s="319" t="s">
        <v>536</v>
      </c>
      <c r="J142" s="342">
        <v>23683</v>
      </c>
      <c r="K142" s="342">
        <f>SUM(K140:K141)</f>
        <v>24299</v>
      </c>
      <c r="L142" s="342">
        <f>SUM(L140:L141)</f>
        <v>24809</v>
      </c>
      <c r="M142" s="342">
        <f>SUM(M140:M141)</f>
        <v>25380</v>
      </c>
      <c r="N142" s="342">
        <f>SUM(N140:N141)</f>
        <v>25964</v>
      </c>
      <c r="O142" s="342">
        <f>SUM(O140:O141)</f>
        <v>26561</v>
      </c>
    </row>
    <row r="143" spans="1:15" ht="12.75" customHeight="1" thickTop="1" x14ac:dyDescent="0.25">
      <c r="D143" s="340"/>
      <c r="E143" s="340"/>
      <c r="F143" s="340"/>
      <c r="G143" s="319"/>
      <c r="J143" s="317"/>
      <c r="K143" s="318"/>
      <c r="L143" s="318"/>
      <c r="M143" s="318"/>
      <c r="N143" s="318"/>
      <c r="O143" s="318"/>
    </row>
    <row r="144" spans="1:15" ht="12.75" customHeight="1" x14ac:dyDescent="0.25">
      <c r="D144" s="347">
        <v>653011</v>
      </c>
      <c r="E144" s="331"/>
      <c r="F144" s="476"/>
      <c r="G144" s="381" t="s">
        <v>5206</v>
      </c>
      <c r="J144" s="317"/>
      <c r="K144" s="317"/>
      <c r="L144" s="317"/>
      <c r="M144" s="317"/>
      <c r="N144" s="317"/>
      <c r="O144" s="317"/>
    </row>
    <row r="145" spans="1:15" ht="12.75" customHeight="1" x14ac:dyDescent="0.25">
      <c r="D145" s="340"/>
      <c r="E145" s="340"/>
      <c r="F145" s="340"/>
      <c r="G145" s="334" t="s">
        <v>533</v>
      </c>
      <c r="J145" s="317"/>
      <c r="K145" s="317"/>
      <c r="L145" s="317"/>
      <c r="M145" s="317"/>
      <c r="N145" s="317"/>
      <c r="O145" s="317"/>
    </row>
    <row r="146" spans="1:15" ht="12.75" customHeight="1" x14ac:dyDescent="0.25">
      <c r="A146" s="336">
        <f>D144</f>
        <v>653011</v>
      </c>
      <c r="B146" s="115" t="str">
        <f>G144</f>
        <v>ODZOB Samen Sterk in buitengebied</v>
      </c>
      <c r="D146" s="337">
        <v>43511</v>
      </c>
      <c r="E146" s="337"/>
      <c r="F146" s="337"/>
      <c r="G146" s="478" t="s">
        <v>560</v>
      </c>
      <c r="H146" s="355"/>
      <c r="I146" s="355"/>
      <c r="J146" s="142">
        <v>22237</v>
      </c>
      <c r="K146" s="318">
        <f t="shared" ref="K146:M146" si="59">K283</f>
        <v>22816</v>
      </c>
      <c r="L146" s="318">
        <f t="shared" si="59"/>
        <v>23295</v>
      </c>
      <c r="M146" s="318">
        <f t="shared" si="59"/>
        <v>23831</v>
      </c>
      <c r="N146" s="318">
        <f t="shared" ref="N146:O146" si="60">N283</f>
        <v>24379</v>
      </c>
      <c r="O146" s="318">
        <f t="shared" si="60"/>
        <v>24939</v>
      </c>
    </row>
    <row r="147" spans="1:15" ht="12.75" customHeight="1" thickBot="1" x14ac:dyDescent="0.3">
      <c r="D147" s="340"/>
      <c r="E147" s="340"/>
      <c r="F147" s="340"/>
      <c r="G147" s="319" t="s">
        <v>536</v>
      </c>
      <c r="J147" s="342">
        <v>22237</v>
      </c>
      <c r="K147" s="342">
        <f>SUM(K145:K146)</f>
        <v>22816</v>
      </c>
      <c r="L147" s="342">
        <f>SUM(L145:L146)</f>
        <v>23295</v>
      </c>
      <c r="M147" s="342">
        <f>SUM(M145:M146)</f>
        <v>23831</v>
      </c>
      <c r="N147" s="342">
        <f>SUM(N145:N146)</f>
        <v>24379</v>
      </c>
      <c r="O147" s="342">
        <f>SUM(O145:O146)</f>
        <v>24939</v>
      </c>
    </row>
    <row r="148" spans="1:15" ht="12.75" customHeight="1" thickTop="1" x14ac:dyDescent="0.25">
      <c r="A148" s="306"/>
      <c r="D148" s="340"/>
      <c r="E148" s="340"/>
      <c r="F148" s="340"/>
      <c r="G148" s="319"/>
      <c r="J148" s="344"/>
      <c r="K148" s="318"/>
      <c r="L148" s="318"/>
      <c r="M148" s="318"/>
      <c r="N148" s="318"/>
      <c r="O148" s="318"/>
    </row>
    <row r="149" spans="1:15" ht="12.75" customHeight="1" x14ac:dyDescent="0.25">
      <c r="D149" s="333">
        <v>653901</v>
      </c>
      <c r="E149" s="331"/>
      <c r="F149" s="331"/>
      <c r="G149" s="332" t="s">
        <v>5207</v>
      </c>
      <c r="J149" s="317"/>
      <c r="K149" s="318"/>
      <c r="L149" s="318"/>
      <c r="M149" s="318"/>
      <c r="N149" s="318"/>
      <c r="O149" s="318"/>
    </row>
    <row r="150" spans="1:15" ht="12.75" customHeight="1" x14ac:dyDescent="0.25">
      <c r="D150" s="340"/>
      <c r="E150" s="340"/>
      <c r="F150" s="340"/>
      <c r="G150" s="334" t="s">
        <v>533</v>
      </c>
      <c r="J150" s="317"/>
      <c r="K150" s="318"/>
      <c r="L150" s="318"/>
      <c r="M150" s="318"/>
      <c r="N150" s="318"/>
      <c r="O150" s="318"/>
    </row>
    <row r="151" spans="1:15" ht="12.75" customHeight="1" x14ac:dyDescent="0.25">
      <c r="A151" s="479">
        <f>D149</f>
        <v>653901</v>
      </c>
      <c r="B151" s="115" t="str">
        <f>G149</f>
        <v>Directe toerekening wonen en bouwen</v>
      </c>
      <c r="D151" s="340">
        <v>41100</v>
      </c>
      <c r="E151" s="340"/>
      <c r="F151" s="340"/>
      <c r="G151" s="319" t="s">
        <v>700</v>
      </c>
      <c r="J151" s="317">
        <v>906685.85</v>
      </c>
      <c r="K151" s="318">
        <f t="shared" ref="K151:M151" si="61">K324</f>
        <v>640300.9</v>
      </c>
      <c r="L151" s="318">
        <f t="shared" si="61"/>
        <v>667194</v>
      </c>
      <c r="M151" s="318">
        <f t="shared" si="61"/>
        <v>691881</v>
      </c>
      <c r="N151" s="318">
        <f t="shared" ref="N151:O151" si="62">N324</f>
        <v>717481</v>
      </c>
      <c r="O151" s="318">
        <f t="shared" si="62"/>
        <v>744028</v>
      </c>
    </row>
    <row r="152" spans="1:15" ht="12.75" customHeight="1" x14ac:dyDescent="0.25">
      <c r="D152" s="2278">
        <v>43812</v>
      </c>
      <c r="E152" s="2278"/>
      <c r="F152" s="2278"/>
      <c r="G152" s="2279" t="s">
        <v>3900</v>
      </c>
      <c r="H152" s="1720"/>
      <c r="I152" s="1720"/>
      <c r="J152" s="2283">
        <v>0</v>
      </c>
      <c r="K152" s="2177">
        <v>274000</v>
      </c>
      <c r="L152" s="2177"/>
      <c r="M152" s="2177"/>
      <c r="N152" s="2177"/>
      <c r="O152" s="2177"/>
    </row>
    <row r="153" spans="1:15" ht="12.75" customHeight="1" thickBot="1" x14ac:dyDescent="0.3">
      <c r="D153" s="340"/>
      <c r="E153" s="340"/>
      <c r="F153" s="340"/>
      <c r="G153" s="319" t="s">
        <v>536</v>
      </c>
      <c r="J153" s="342">
        <f>SUM(J151:J152)</f>
        <v>906685.85</v>
      </c>
      <c r="K153" s="342">
        <f t="shared" ref="K153:O153" si="63">SUM(K151:K152)</f>
        <v>914300.9</v>
      </c>
      <c r="L153" s="342">
        <f t="shared" si="63"/>
        <v>667194</v>
      </c>
      <c r="M153" s="342">
        <f t="shared" si="63"/>
        <v>691881</v>
      </c>
      <c r="N153" s="342">
        <f t="shared" si="63"/>
        <v>717481</v>
      </c>
      <c r="O153" s="342">
        <f t="shared" si="63"/>
        <v>744028</v>
      </c>
    </row>
    <row r="154" spans="1:15" ht="12.75" customHeight="1" thickTop="1" x14ac:dyDescent="0.25">
      <c r="D154" s="337"/>
      <c r="E154" s="337"/>
      <c r="F154" s="337"/>
      <c r="G154" s="319"/>
      <c r="J154" s="317"/>
      <c r="K154" s="339"/>
      <c r="L154" s="339"/>
      <c r="M154" s="339"/>
      <c r="N154" s="339"/>
      <c r="O154" s="339"/>
    </row>
    <row r="155" spans="1:15" ht="12.75" customHeight="1" x14ac:dyDescent="0.25">
      <c r="D155" s="333">
        <v>653902</v>
      </c>
      <c r="E155" s="331"/>
      <c r="F155" s="331"/>
      <c r="G155" s="332" t="s">
        <v>5208</v>
      </c>
      <c r="J155" s="317"/>
      <c r="K155" s="317"/>
      <c r="L155" s="317"/>
      <c r="M155" s="317"/>
      <c r="N155" s="317"/>
      <c r="O155" s="317"/>
    </row>
    <row r="156" spans="1:15" ht="12.75" customHeight="1" x14ac:dyDescent="0.25">
      <c r="D156" s="340"/>
      <c r="E156" s="340"/>
      <c r="F156" s="340"/>
      <c r="G156" s="334" t="s">
        <v>533</v>
      </c>
      <c r="J156" s="317"/>
      <c r="K156" s="317"/>
      <c r="L156" s="317"/>
      <c r="M156" s="317"/>
      <c r="N156" s="317"/>
      <c r="O156" s="317"/>
    </row>
    <row r="157" spans="1:15" ht="12.75" customHeight="1" x14ac:dyDescent="0.25">
      <c r="A157" s="336">
        <f>D155</f>
        <v>653902</v>
      </c>
      <c r="B157" s="115" t="str">
        <f>G155</f>
        <v>Directe toerekening vergunning wonen titel 2</v>
      </c>
      <c r="D157" s="337">
        <v>41100</v>
      </c>
      <c r="E157" s="337"/>
      <c r="F157" s="337"/>
      <c r="G157" s="319" t="s">
        <v>700</v>
      </c>
      <c r="J157" s="317">
        <v>355295.07999999996</v>
      </c>
      <c r="K157" s="318">
        <f t="shared" ref="K157:M157" si="64">K305</f>
        <v>149055.57999999999</v>
      </c>
      <c r="L157" s="318">
        <f t="shared" si="64"/>
        <v>155316</v>
      </c>
      <c r="M157" s="318">
        <f t="shared" si="64"/>
        <v>161063</v>
      </c>
      <c r="N157" s="318">
        <f t="shared" ref="N157:O157" si="65">N305</f>
        <v>167022</v>
      </c>
      <c r="O157" s="318">
        <f t="shared" si="65"/>
        <v>173202</v>
      </c>
    </row>
    <row r="158" spans="1:15" ht="12.75" customHeight="1" x14ac:dyDescent="0.25">
      <c r="A158" s="336">
        <f>D155</f>
        <v>653902</v>
      </c>
      <c r="B158" s="115" t="str">
        <f>G155</f>
        <v>Directe toerekening vergunning wonen titel 2</v>
      </c>
      <c r="D158" s="337">
        <v>43812</v>
      </c>
      <c r="E158" s="337"/>
      <c r="F158" s="337"/>
      <c r="G158" s="319" t="s">
        <v>535</v>
      </c>
      <c r="J158" s="142">
        <v>88426</v>
      </c>
      <c r="K158" s="156">
        <f t="shared" ref="K158:M158" si="66">K309</f>
        <v>90721</v>
      </c>
      <c r="L158" s="156">
        <f t="shared" si="66"/>
        <v>92727</v>
      </c>
      <c r="M158" s="156">
        <f t="shared" si="66"/>
        <v>94815</v>
      </c>
      <c r="N158" s="156">
        <f t="shared" ref="N158:O158" si="67">N309</f>
        <v>96944</v>
      </c>
      <c r="O158" s="156">
        <f t="shared" si="67"/>
        <v>98672</v>
      </c>
    </row>
    <row r="159" spans="1:15" ht="12.75" customHeight="1" thickBot="1" x14ac:dyDescent="0.3">
      <c r="D159" s="340"/>
      <c r="E159" s="340"/>
      <c r="F159" s="340"/>
      <c r="G159" s="319" t="s">
        <v>536</v>
      </c>
      <c r="J159" s="342">
        <v>443721.07999999996</v>
      </c>
      <c r="K159" s="480">
        <f t="shared" ref="K159:M159" si="68">SUM(K157:K158)</f>
        <v>239776.58</v>
      </c>
      <c r="L159" s="480">
        <f t="shared" si="68"/>
        <v>248043</v>
      </c>
      <c r="M159" s="480">
        <f t="shared" si="68"/>
        <v>255878</v>
      </c>
      <c r="N159" s="480">
        <f t="shared" ref="N159:O159" si="69">SUM(N157:N158)</f>
        <v>263966</v>
      </c>
      <c r="O159" s="480">
        <f t="shared" si="69"/>
        <v>271874</v>
      </c>
    </row>
    <row r="160" spans="1:15" ht="12.75" customHeight="1" thickTop="1" x14ac:dyDescent="0.25">
      <c r="D160" s="340"/>
      <c r="E160" s="340"/>
      <c r="F160" s="340"/>
      <c r="G160" s="319"/>
      <c r="J160" s="317"/>
      <c r="K160" s="317"/>
      <c r="L160" s="317"/>
      <c r="M160" s="317"/>
      <c r="N160" s="317"/>
      <c r="O160" s="317"/>
    </row>
    <row r="161" spans="1:15" ht="12.75" customHeight="1" x14ac:dyDescent="0.25">
      <c r="D161" s="333">
        <v>653005</v>
      </c>
      <c r="E161" s="331"/>
      <c r="F161" s="331"/>
      <c r="G161" s="332" t="s">
        <v>5209</v>
      </c>
      <c r="J161" s="317"/>
      <c r="K161" s="318"/>
      <c r="L161" s="318"/>
      <c r="M161" s="318"/>
      <c r="N161" s="318"/>
      <c r="O161" s="318"/>
    </row>
    <row r="162" spans="1:15" ht="12.75" customHeight="1" x14ac:dyDescent="0.25">
      <c r="D162" s="340"/>
      <c r="E162" s="340"/>
      <c r="F162" s="340"/>
      <c r="G162" s="334" t="s">
        <v>554</v>
      </c>
      <c r="J162" s="317"/>
      <c r="K162" s="318"/>
      <c r="L162" s="318"/>
      <c r="M162" s="318"/>
      <c r="N162" s="318"/>
      <c r="O162" s="318"/>
    </row>
    <row r="163" spans="1:15" ht="12.75" customHeight="1" x14ac:dyDescent="0.25">
      <c r="A163" s="336">
        <f>D161</f>
        <v>653005</v>
      </c>
      <c r="B163" s="115" t="str">
        <f>G161</f>
        <v>Leges omgevingsvergunningen</v>
      </c>
      <c r="D163" s="337">
        <v>83700</v>
      </c>
      <c r="E163" s="337"/>
      <c r="F163" s="337"/>
      <c r="G163" s="319" t="s">
        <v>737</v>
      </c>
      <c r="J163" s="317">
        <v>-1140000</v>
      </c>
      <c r="K163" s="318">
        <f t="shared" ref="K163:M163" si="70">-K338</f>
        <v>-855000</v>
      </c>
      <c r="L163" s="318">
        <f t="shared" si="70"/>
        <v>-855000</v>
      </c>
      <c r="M163" s="318">
        <f t="shared" si="70"/>
        <v>-855000</v>
      </c>
      <c r="N163" s="318">
        <f t="shared" ref="N163:O163" si="71">-N338</f>
        <v>-855000</v>
      </c>
      <c r="O163" s="318">
        <f t="shared" si="71"/>
        <v>-855000</v>
      </c>
    </row>
    <row r="164" spans="1:15" ht="12.75" customHeight="1" thickBot="1" x14ac:dyDescent="0.3">
      <c r="D164" s="340"/>
      <c r="E164" s="340"/>
      <c r="F164" s="340"/>
      <c r="G164" s="319" t="s">
        <v>536</v>
      </c>
      <c r="J164" s="342">
        <v>-1140000</v>
      </c>
      <c r="K164" s="342">
        <f>SUM(K162:K163)</f>
        <v>-855000</v>
      </c>
      <c r="L164" s="342">
        <f>SUM(L162:L163)</f>
        <v>-855000</v>
      </c>
      <c r="M164" s="342">
        <f>SUM(M162:M163)</f>
        <v>-855000</v>
      </c>
      <c r="N164" s="342">
        <f>SUM(N162:N163)</f>
        <v>-855000</v>
      </c>
      <c r="O164" s="342">
        <f>SUM(O162:O163)</f>
        <v>-855000</v>
      </c>
    </row>
    <row r="165" spans="1:15" ht="12.75" customHeight="1" thickTop="1" x14ac:dyDescent="0.25">
      <c r="D165" s="340"/>
      <c r="E165" s="340"/>
      <c r="F165" s="340"/>
      <c r="G165" s="319"/>
      <c r="J165" s="317"/>
      <c r="K165" s="318"/>
      <c r="L165" s="318"/>
      <c r="M165" s="318"/>
      <c r="N165" s="318"/>
      <c r="O165" s="318"/>
    </row>
    <row r="166" spans="1:15" ht="12.75" customHeight="1" x14ac:dyDescent="0.25">
      <c r="D166" s="333">
        <v>653901</v>
      </c>
      <c r="E166" s="331"/>
      <c r="F166" s="331"/>
      <c r="G166" s="332" t="s">
        <v>5207</v>
      </c>
      <c r="J166" s="317"/>
      <c r="K166" s="317"/>
      <c r="L166" s="317"/>
      <c r="M166" s="317"/>
      <c r="N166" s="317"/>
      <c r="O166" s="317"/>
    </row>
    <row r="167" spans="1:15" ht="12.75" customHeight="1" x14ac:dyDescent="0.25">
      <c r="D167" s="340"/>
      <c r="E167" s="340"/>
      <c r="F167" s="340"/>
      <c r="G167" s="334" t="s">
        <v>554</v>
      </c>
      <c r="J167" s="317"/>
      <c r="K167" s="317"/>
      <c r="L167" s="317"/>
      <c r="M167" s="317"/>
      <c r="N167" s="317"/>
      <c r="O167" s="317"/>
    </row>
    <row r="168" spans="1:15" ht="12.75" customHeight="1" x14ac:dyDescent="0.25">
      <c r="A168" s="336">
        <f>D166</f>
        <v>653901</v>
      </c>
      <c r="B168" s="115" t="str">
        <f>G166</f>
        <v>Directe toerekening wonen en bouwen</v>
      </c>
      <c r="D168" s="337">
        <v>83800</v>
      </c>
      <c r="E168" s="337"/>
      <c r="F168" s="337"/>
      <c r="G168" s="319" t="s">
        <v>535</v>
      </c>
      <c r="J168" s="481">
        <v>-39323</v>
      </c>
      <c r="K168" s="481">
        <f>ROUND(J168*R$2,0)</f>
        <v>-40345</v>
      </c>
      <c r="L168" s="481">
        <f>ROUND(K168*S$2,0)</f>
        <v>-41192</v>
      </c>
      <c r="M168" s="481">
        <f>ROUND(L168*T$2,0)</f>
        <v>-42139</v>
      </c>
      <c r="N168" s="481">
        <f>ROUND(M168*U$2,0)</f>
        <v>-43108</v>
      </c>
      <c r="O168" s="481">
        <f>ROUND(N168*V$2,0)</f>
        <v>-44099</v>
      </c>
    </row>
    <row r="169" spans="1:15" ht="12.75" customHeight="1" thickBot="1" x14ac:dyDescent="0.3">
      <c r="D169" s="340"/>
      <c r="E169" s="340"/>
      <c r="F169" s="340"/>
      <c r="G169" s="319" t="s">
        <v>536</v>
      </c>
      <c r="J169" s="342">
        <v>-39323</v>
      </c>
      <c r="K169" s="342">
        <f>SUM(K167:K168)</f>
        <v>-40345</v>
      </c>
      <c r="L169" s="342">
        <f>SUM(L167:L168)</f>
        <v>-41192</v>
      </c>
      <c r="M169" s="342">
        <f>SUM(M167:M168)</f>
        <v>-42139</v>
      </c>
      <c r="N169" s="342">
        <f>SUM(N167:N168)</f>
        <v>-43108</v>
      </c>
      <c r="O169" s="342">
        <f>SUM(O167:O168)</f>
        <v>-44099</v>
      </c>
    </row>
    <row r="170" spans="1:15" ht="12.75" customHeight="1" thickTop="1" x14ac:dyDescent="0.25">
      <c r="D170" s="340"/>
      <c r="E170" s="340"/>
      <c r="F170" s="340"/>
      <c r="G170" s="319"/>
      <c r="J170" s="317"/>
      <c r="K170" s="317"/>
      <c r="L170" s="317"/>
      <c r="M170" s="317"/>
      <c r="N170" s="317"/>
      <c r="O170" s="317"/>
    </row>
    <row r="171" spans="1:15" ht="12.75" customHeight="1" x14ac:dyDescent="0.25">
      <c r="D171" s="340"/>
      <c r="E171" s="340"/>
      <c r="F171" s="340"/>
      <c r="G171" s="319"/>
      <c r="J171" s="317"/>
      <c r="K171" s="318"/>
      <c r="L171" s="318"/>
      <c r="M171" s="318"/>
      <c r="N171" s="318"/>
      <c r="O171" s="318"/>
    </row>
    <row r="172" spans="1:15" ht="12.75" customHeight="1" x14ac:dyDescent="0.25">
      <c r="D172" s="333">
        <v>653006</v>
      </c>
      <c r="E172" s="331"/>
      <c r="F172" s="331"/>
      <c r="G172" s="332" t="s">
        <v>5197</v>
      </c>
      <c r="J172" s="317"/>
      <c r="K172" s="317"/>
      <c r="L172" s="317"/>
      <c r="M172" s="317"/>
      <c r="N172" s="317"/>
      <c r="O172" s="317"/>
    </row>
    <row r="173" spans="1:15" ht="12.75" customHeight="1" x14ac:dyDescent="0.25">
      <c r="D173" s="340"/>
      <c r="E173" s="340"/>
      <c r="F173" s="340"/>
      <c r="G173" s="334" t="s">
        <v>554</v>
      </c>
      <c r="J173" s="317"/>
      <c r="K173" s="317"/>
      <c r="L173" s="317"/>
      <c r="M173" s="317"/>
      <c r="N173" s="317"/>
      <c r="O173" s="317"/>
    </row>
    <row r="174" spans="1:15" ht="12.75" customHeight="1" x14ac:dyDescent="0.25">
      <c r="A174" s="336">
        <f>D172</f>
        <v>653006</v>
      </c>
      <c r="B174" s="115" t="str">
        <f>G172</f>
        <v>Handhaving ruimtelijke regelgeving</v>
      </c>
      <c r="D174" s="337">
        <v>83700</v>
      </c>
      <c r="E174" s="337"/>
      <c r="F174" s="337"/>
      <c r="G174" s="319" t="s">
        <v>737</v>
      </c>
      <c r="J174" s="481">
        <v>-11235</v>
      </c>
      <c r="K174" s="481">
        <f>ROUND(J174*R$2,0)</f>
        <v>-11527</v>
      </c>
      <c r="L174" s="481">
        <f>ROUND(K174*S$2,0)</f>
        <v>-11769</v>
      </c>
      <c r="M174" s="481">
        <f>ROUND(L174*T$2,0)</f>
        <v>-12040</v>
      </c>
      <c r="N174" s="481">
        <f>ROUND(M174*U$2,0)</f>
        <v>-12317</v>
      </c>
      <c r="O174" s="481">
        <f>ROUND(N174*V$2,0)</f>
        <v>-12600</v>
      </c>
    </row>
    <row r="175" spans="1:15" ht="12.75" customHeight="1" thickBot="1" x14ac:dyDescent="0.3">
      <c r="D175" s="340"/>
      <c r="E175" s="340"/>
      <c r="F175" s="340"/>
      <c r="G175" s="319" t="s">
        <v>536</v>
      </c>
      <c r="J175" s="342">
        <v>-11235</v>
      </c>
      <c r="K175" s="342">
        <f>SUM(K173:K174)</f>
        <v>-11527</v>
      </c>
      <c r="L175" s="342">
        <f>SUM(L173:L174)</f>
        <v>-11769</v>
      </c>
      <c r="M175" s="342">
        <f>SUM(M173:M174)</f>
        <v>-12040</v>
      </c>
      <c r="N175" s="342">
        <f>SUM(N173:N174)</f>
        <v>-12317</v>
      </c>
      <c r="O175" s="342">
        <f>SUM(O173:O174)</f>
        <v>-12600</v>
      </c>
    </row>
    <row r="176" spans="1:15" ht="12.75" customHeight="1" thickTop="1" x14ac:dyDescent="0.25">
      <c r="D176" s="340"/>
      <c r="E176" s="340"/>
      <c r="F176" s="340"/>
      <c r="G176" s="319"/>
      <c r="J176" s="317"/>
      <c r="K176" s="318"/>
      <c r="L176" s="318"/>
      <c r="M176" s="318"/>
      <c r="N176" s="318"/>
      <c r="O176" s="318"/>
    </row>
    <row r="177" spans="4:15" ht="12.75" customHeight="1" x14ac:dyDescent="0.25">
      <c r="D177" s="167"/>
      <c r="E177" s="167"/>
      <c r="F177" s="167"/>
      <c r="G177" s="168"/>
      <c r="H177" s="149"/>
      <c r="I177" s="149"/>
      <c r="J177" s="142"/>
      <c r="K177" s="142"/>
      <c r="L177" s="142"/>
      <c r="M177" s="142"/>
      <c r="N177" s="142"/>
      <c r="O177" s="142"/>
    </row>
    <row r="179" spans="4:15" ht="12.75" customHeight="1" x14ac:dyDescent="0.25">
      <c r="E179" s="381" t="s">
        <v>561</v>
      </c>
      <c r="F179" s="115"/>
    </row>
    <row r="180" spans="4:15" ht="12.75" customHeight="1" x14ac:dyDescent="0.25">
      <c r="E180" s="115"/>
      <c r="F180" s="115"/>
    </row>
    <row r="181" spans="4:15" ht="12.75" customHeight="1" x14ac:dyDescent="0.25">
      <c r="D181" s="336"/>
      <c r="E181" s="482"/>
      <c r="F181" s="115"/>
      <c r="H181" s="383"/>
      <c r="I181" s="383"/>
      <c r="J181" s="383"/>
      <c r="K181" s="483">
        <v>2026</v>
      </c>
      <c r="L181" s="483">
        <v>2027</v>
      </c>
      <c r="M181" s="483">
        <v>2028</v>
      </c>
      <c r="N181" s="483">
        <v>2029</v>
      </c>
      <c r="O181" s="483">
        <v>2030</v>
      </c>
    </row>
    <row r="182" spans="4:15" ht="12.75" customHeight="1" x14ac:dyDescent="0.25">
      <c r="D182" s="393">
        <v>653001</v>
      </c>
      <c r="E182" s="381" t="s">
        <v>5195</v>
      </c>
      <c r="F182" s="115"/>
      <c r="H182" s="383"/>
      <c r="I182" s="383"/>
    </row>
    <row r="183" spans="4:15" ht="12.75" customHeight="1" x14ac:dyDescent="0.25">
      <c r="D183" s="143">
        <v>43812</v>
      </c>
      <c r="E183" s="308" t="s">
        <v>5210</v>
      </c>
      <c r="F183" s="115"/>
      <c r="H183" s="383"/>
      <c r="I183" s="383"/>
      <c r="J183" s="114"/>
      <c r="K183" s="114">
        <f>ROUND((21038+1075)*R$2,0)</f>
        <v>22688</v>
      </c>
      <c r="L183" s="114">
        <f>ROUND(K183*S$2,0)</f>
        <v>23164</v>
      </c>
      <c r="M183" s="114">
        <f>ROUND(L183*T$2,0)</f>
        <v>23697</v>
      </c>
      <c r="N183" s="114">
        <f>ROUND(M183*U$2,0)</f>
        <v>24242</v>
      </c>
      <c r="O183" s="114">
        <f>ROUND(N183*V$2,0)</f>
        <v>24800</v>
      </c>
    </row>
    <row r="184" spans="4:15" ht="12.75" customHeight="1" x14ac:dyDescent="0.25">
      <c r="D184" s="1723"/>
      <c r="E184" s="2187" t="s">
        <v>5379</v>
      </c>
      <c r="F184" s="1720"/>
      <c r="G184" s="1720"/>
      <c r="H184" s="2281"/>
      <c r="I184" s="2281"/>
      <c r="J184" s="2177"/>
      <c r="K184" s="2177">
        <v>30000</v>
      </c>
      <c r="L184" s="2177"/>
      <c r="M184" s="2177"/>
      <c r="N184" s="2177"/>
      <c r="O184" s="2177"/>
    </row>
    <row r="185" spans="4:15" ht="12.75" customHeight="1" x14ac:dyDescent="0.25">
      <c r="D185" s="336"/>
      <c r="E185" s="308"/>
      <c r="F185" s="115"/>
      <c r="G185" s="308"/>
      <c r="H185" s="383"/>
      <c r="I185" s="383"/>
      <c r="J185" s="114"/>
      <c r="K185" s="114"/>
      <c r="L185" s="114"/>
      <c r="M185" s="114"/>
      <c r="N185" s="114"/>
      <c r="O185" s="114"/>
    </row>
    <row r="186" spans="4:15" ht="12.75" customHeight="1" thickBot="1" x14ac:dyDescent="0.3">
      <c r="D186" s="143"/>
      <c r="E186" s="115" t="str">
        <f>"Totaal "&amp;D183</f>
        <v>Totaal 43812</v>
      </c>
      <c r="F186" s="115"/>
      <c r="H186" s="383"/>
      <c r="I186" s="383"/>
      <c r="J186" s="114"/>
      <c r="K186" s="1971">
        <f>SUM(K183:K185)</f>
        <v>52688</v>
      </c>
      <c r="L186" s="1971">
        <f t="shared" ref="L186:O186" si="72">SUM(L183:L185)</f>
        <v>23164</v>
      </c>
      <c r="M186" s="1971">
        <f t="shared" si="72"/>
        <v>23697</v>
      </c>
      <c r="N186" s="1971">
        <f t="shared" si="72"/>
        <v>24242</v>
      </c>
      <c r="O186" s="1971">
        <f t="shared" si="72"/>
        <v>24800</v>
      </c>
    </row>
    <row r="187" spans="4:15" ht="12.75" customHeight="1" thickTop="1" x14ac:dyDescent="0.25">
      <c r="E187" s="115"/>
      <c r="F187" s="115"/>
      <c r="G187" s="484"/>
      <c r="H187" s="484"/>
      <c r="I187" s="484"/>
      <c r="J187" s="484"/>
      <c r="K187" s="484"/>
      <c r="L187" s="484"/>
      <c r="M187" s="484"/>
      <c r="N187" s="484"/>
      <c r="O187" s="484"/>
    </row>
    <row r="188" spans="4:15" ht="12.75" customHeight="1" x14ac:dyDescent="0.25">
      <c r="D188" s="393">
        <v>653002</v>
      </c>
      <c r="E188" s="381" t="s">
        <v>5196</v>
      </c>
      <c r="F188" s="115"/>
      <c r="H188" s="484"/>
      <c r="I188" s="484"/>
      <c r="J188" s="154"/>
      <c r="K188" s="483">
        <v>2026</v>
      </c>
      <c r="L188" s="483">
        <v>2027</v>
      </c>
      <c r="M188" s="483">
        <v>2028</v>
      </c>
      <c r="N188" s="483">
        <v>2029</v>
      </c>
      <c r="O188" s="483">
        <v>2030</v>
      </c>
    </row>
    <row r="189" spans="4:15" ht="12.75" customHeight="1" x14ac:dyDescent="0.25">
      <c r="D189" s="143"/>
      <c r="E189" s="115"/>
      <c r="F189" s="115"/>
      <c r="H189" s="484"/>
      <c r="I189" s="484"/>
    </row>
    <row r="190" spans="4:15" ht="12.75" customHeight="1" x14ac:dyDescent="0.25">
      <c r="D190" s="393"/>
      <c r="E190" s="308"/>
      <c r="F190" s="115"/>
      <c r="H190" s="485"/>
      <c r="I190" s="485"/>
      <c r="J190" s="485"/>
      <c r="K190" s="485"/>
      <c r="L190" s="485"/>
      <c r="M190" s="485"/>
      <c r="N190" s="485"/>
      <c r="O190" s="485"/>
    </row>
    <row r="191" spans="4:15" ht="12.75" customHeight="1" x14ac:dyDescent="0.25">
      <c r="D191" s="143">
        <v>43812</v>
      </c>
      <c r="E191" s="308" t="s">
        <v>5211</v>
      </c>
      <c r="F191" s="115"/>
      <c r="H191" s="485"/>
      <c r="I191" s="485"/>
      <c r="J191" s="114"/>
      <c r="K191" s="114">
        <f>ROUND((4031+1652)*R$2,-1)</f>
        <v>5830</v>
      </c>
      <c r="L191" s="114">
        <f t="shared" ref="L191:O192" si="73">ROUND(K191*S$2,-1)</f>
        <v>5950</v>
      </c>
      <c r="M191" s="114">
        <f t="shared" si="73"/>
        <v>6090</v>
      </c>
      <c r="N191" s="114">
        <f t="shared" si="73"/>
        <v>6230</v>
      </c>
      <c r="O191" s="114">
        <f t="shared" si="73"/>
        <v>6370</v>
      </c>
    </row>
    <row r="192" spans="4:15" ht="12.75" customHeight="1" x14ac:dyDescent="0.25">
      <c r="D192" s="143"/>
      <c r="E192" s="308" t="s">
        <v>5212</v>
      </c>
      <c r="F192" s="115"/>
      <c r="H192" s="485"/>
      <c r="I192" s="485"/>
      <c r="J192" s="114"/>
      <c r="K192" s="114">
        <f>ROUND(45050*R$2,-1)</f>
        <v>46220</v>
      </c>
      <c r="L192" s="114">
        <f t="shared" si="73"/>
        <v>47190</v>
      </c>
      <c r="M192" s="114">
        <f t="shared" si="73"/>
        <v>48280</v>
      </c>
      <c r="N192" s="114">
        <f t="shared" si="73"/>
        <v>49390</v>
      </c>
      <c r="O192" s="114">
        <f t="shared" si="73"/>
        <v>50530</v>
      </c>
    </row>
    <row r="193" spans="4:17" ht="12.75" customHeight="1" x14ac:dyDescent="0.25">
      <c r="D193" s="336"/>
      <c r="E193" s="308"/>
      <c r="F193" s="115"/>
      <c r="H193" s="485"/>
      <c r="I193" s="485"/>
      <c r="J193" s="114"/>
      <c r="K193" s="114"/>
      <c r="L193" s="114"/>
      <c r="M193" s="114"/>
      <c r="N193" s="114"/>
      <c r="O193" s="114"/>
    </row>
    <row r="194" spans="4:17" ht="12.75" customHeight="1" thickBot="1" x14ac:dyDescent="0.3">
      <c r="D194" s="143"/>
      <c r="E194" s="115" t="str">
        <f>"Totaal "&amp;D191</f>
        <v>Totaal 43812</v>
      </c>
      <c r="F194" s="115"/>
      <c r="H194" s="485"/>
      <c r="I194" s="485"/>
      <c r="J194" s="114"/>
      <c r="K194" s="1971">
        <f>SUM(K191:K192)</f>
        <v>52050</v>
      </c>
      <c r="L194" s="1971">
        <f>SUM(L191:L192)</f>
        <v>53140</v>
      </c>
      <c r="M194" s="1971">
        <f>SUM(M191:M192)</f>
        <v>54370</v>
      </c>
      <c r="N194" s="1971">
        <f>SUM(N191:N192)</f>
        <v>55620</v>
      </c>
      <c r="O194" s="1971">
        <f>SUM(O191:O192)</f>
        <v>56900</v>
      </c>
    </row>
    <row r="195" spans="4:17" ht="12.75" customHeight="1" thickTop="1" x14ac:dyDescent="0.25">
      <c r="E195" s="115"/>
      <c r="F195" s="115"/>
      <c r="H195" s="485"/>
      <c r="I195" s="485"/>
      <c r="J195" s="114"/>
      <c r="K195" s="114"/>
      <c r="L195" s="114"/>
      <c r="M195" s="114"/>
      <c r="N195" s="114"/>
      <c r="O195" s="114"/>
    </row>
    <row r="196" spans="4:17" ht="12.75" customHeight="1" x14ac:dyDescent="0.25">
      <c r="D196" s="384"/>
      <c r="E196" s="383"/>
      <c r="F196" s="115"/>
      <c r="H196" s="114"/>
      <c r="I196" s="114"/>
      <c r="J196" s="114"/>
      <c r="K196" s="114"/>
      <c r="L196" s="114"/>
      <c r="M196" s="114"/>
      <c r="N196" s="114"/>
      <c r="O196" s="114"/>
    </row>
    <row r="197" spans="4:17" ht="12.75" customHeight="1" x14ac:dyDescent="0.25">
      <c r="D197" s="393">
        <v>653006</v>
      </c>
      <c r="E197" s="381" t="s">
        <v>5197</v>
      </c>
      <c r="F197" s="115"/>
      <c r="H197" s="114"/>
      <c r="I197" s="114"/>
      <c r="J197" s="486"/>
      <c r="K197" s="483">
        <v>2026</v>
      </c>
      <c r="L197" s="483">
        <v>2027</v>
      </c>
      <c r="M197" s="483">
        <v>2028</v>
      </c>
      <c r="N197" s="483">
        <v>2029</v>
      </c>
      <c r="O197" s="483">
        <v>2030</v>
      </c>
    </row>
    <row r="198" spans="4:17" ht="12.75" customHeight="1" x14ac:dyDescent="0.25">
      <c r="D198" s="393"/>
      <c r="E198" s="381"/>
      <c r="F198" s="115"/>
      <c r="H198" s="114"/>
      <c r="I198" s="114"/>
      <c r="J198" s="486"/>
      <c r="K198" s="486"/>
      <c r="L198" s="486"/>
      <c r="M198" s="486"/>
      <c r="N198" s="486"/>
      <c r="O198" s="486"/>
    </row>
    <row r="199" spans="4:17" ht="12.75" customHeight="1" x14ac:dyDescent="0.25">
      <c r="D199" s="143">
        <v>43813</v>
      </c>
      <c r="E199" s="115" t="s">
        <v>5213</v>
      </c>
      <c r="F199" s="115"/>
      <c r="G199" s="219"/>
      <c r="H199" s="487"/>
      <c r="I199" s="487"/>
      <c r="J199" s="114"/>
      <c r="K199" s="114">
        <f>ROUND((17762+18947+1184)*R$2,0)</f>
        <v>38878</v>
      </c>
      <c r="L199" s="114">
        <f>ROUND(K199*S$2,0)</f>
        <v>39694</v>
      </c>
      <c r="M199" s="114">
        <f>ROUND(L199*T$2,0)</f>
        <v>40607</v>
      </c>
      <c r="N199" s="114">
        <f>ROUND(M199*U$2,0)</f>
        <v>41541</v>
      </c>
      <c r="O199" s="114">
        <f>ROUND(N199*V$2,0)</f>
        <v>42496</v>
      </c>
    </row>
    <row r="200" spans="4:17" ht="12.75" customHeight="1" x14ac:dyDescent="0.25">
      <c r="D200" s="393"/>
      <c r="E200" s="2510" t="s">
        <v>5214</v>
      </c>
      <c r="F200" s="2510"/>
      <c r="G200" s="2510"/>
      <c r="H200" s="2510"/>
      <c r="I200" s="487"/>
      <c r="J200" s="114"/>
      <c r="K200" s="114"/>
      <c r="L200" s="114"/>
      <c r="M200" s="114"/>
      <c r="N200" s="114"/>
      <c r="O200" s="114"/>
    </row>
    <row r="201" spans="4:17" ht="12.75" customHeight="1" thickBot="1" x14ac:dyDescent="0.3">
      <c r="D201" s="393"/>
      <c r="E201" s="2510"/>
      <c r="F201" s="2510"/>
      <c r="G201" s="2510"/>
      <c r="H201" s="2510"/>
      <c r="I201" s="114"/>
      <c r="J201" s="114"/>
      <c r="K201" s="1971">
        <f>SUM(K199:K199)</f>
        <v>38878</v>
      </c>
      <c r="L201" s="1971">
        <f>SUM(L199:L199)</f>
        <v>39694</v>
      </c>
      <c r="M201" s="1971">
        <f>SUM(M199:M199)</f>
        <v>40607</v>
      </c>
      <c r="N201" s="1971">
        <f>SUM(N199:N199)</f>
        <v>41541</v>
      </c>
      <c r="O201" s="1971">
        <f>SUM(O199:O199)</f>
        <v>42496</v>
      </c>
    </row>
    <row r="202" spans="4:17" ht="12.75" customHeight="1" thickTop="1" x14ac:dyDescent="0.25">
      <c r="D202" s="393"/>
      <c r="E202" s="405"/>
      <c r="F202" s="115"/>
      <c r="G202" s="405"/>
      <c r="H202" s="114"/>
      <c r="I202" s="114"/>
      <c r="J202" s="114"/>
      <c r="K202" s="114"/>
      <c r="L202" s="114"/>
      <c r="M202" s="114"/>
      <c r="N202" s="114"/>
      <c r="O202" s="114"/>
    </row>
    <row r="203" spans="4:17" ht="12.75" customHeight="1" x14ac:dyDescent="0.25">
      <c r="D203" s="143"/>
      <c r="E203" s="115"/>
      <c r="F203" s="115"/>
      <c r="H203" s="114"/>
      <c r="I203" s="114"/>
      <c r="J203" s="114"/>
      <c r="K203" s="114"/>
      <c r="L203" s="114"/>
      <c r="M203" s="114"/>
      <c r="N203" s="114"/>
      <c r="O203" s="114"/>
      <c r="P203" s="488"/>
      <c r="Q203" s="488"/>
    </row>
    <row r="204" spans="4:17" ht="12.75" customHeight="1" x14ac:dyDescent="0.25">
      <c r="D204" s="393">
        <v>653012</v>
      </c>
      <c r="E204" s="477" t="s">
        <v>5200</v>
      </c>
      <c r="F204" s="115"/>
      <c r="H204" s="114"/>
      <c r="I204" s="114"/>
      <c r="J204" s="114"/>
      <c r="K204" s="114"/>
      <c r="L204" s="114"/>
      <c r="M204" s="114"/>
      <c r="N204" s="114"/>
      <c r="O204" s="114"/>
    </row>
    <row r="205" spans="4:17" ht="12.75" customHeight="1" x14ac:dyDescent="0.25">
      <c r="D205" s="143"/>
      <c r="E205" s="489" t="s">
        <v>533</v>
      </c>
      <c r="F205" s="115"/>
      <c r="H205" s="114"/>
      <c r="I205" s="114"/>
      <c r="J205" s="114"/>
      <c r="K205" s="114"/>
      <c r="L205" s="114"/>
      <c r="M205" s="114"/>
      <c r="N205" s="114"/>
      <c r="O205" s="114"/>
    </row>
    <row r="206" spans="4:17" ht="12.75" customHeight="1" x14ac:dyDescent="0.25">
      <c r="D206" s="143">
        <v>43812</v>
      </c>
      <c r="E206" s="490" t="s">
        <v>5215</v>
      </c>
      <c r="F206" s="115"/>
      <c r="H206" s="114"/>
      <c r="I206" s="114"/>
      <c r="J206" s="114"/>
      <c r="K206" s="114">
        <f>ROUND(16340*R$2,0)</f>
        <v>16765</v>
      </c>
      <c r="L206" s="114">
        <f>ROUND(K206*S$2,0)</f>
        <v>17117</v>
      </c>
      <c r="M206" s="114">
        <f>ROUND(L206*T$2,0)</f>
        <v>17511</v>
      </c>
      <c r="N206" s="114">
        <f>ROUND(M206*U$2,0)</f>
        <v>17914</v>
      </c>
      <c r="O206" s="114">
        <f>ROUND(N206*V$2,0)</f>
        <v>18326</v>
      </c>
    </row>
    <row r="207" spans="4:17" ht="12.75" customHeight="1" thickBot="1" x14ac:dyDescent="0.3">
      <c r="D207" s="143"/>
      <c r="E207" s="490" t="str">
        <f>"Totaal "&amp;D206</f>
        <v>Totaal 43812</v>
      </c>
      <c r="F207" s="115"/>
      <c r="H207" s="114"/>
      <c r="I207" s="114"/>
      <c r="J207" s="114"/>
      <c r="K207" s="1971">
        <f t="shared" ref="K207" si="74">SUM(K205:K206)</f>
        <v>16765</v>
      </c>
      <c r="L207" s="1971">
        <f t="shared" ref="L207:M207" si="75">SUM(L205:L206)</f>
        <v>17117</v>
      </c>
      <c r="M207" s="1971">
        <f t="shared" si="75"/>
        <v>17511</v>
      </c>
      <c r="N207" s="1971">
        <f t="shared" ref="N207:O207" si="76">SUM(N205:N206)</f>
        <v>17914</v>
      </c>
      <c r="O207" s="1971">
        <f t="shared" si="76"/>
        <v>18326</v>
      </c>
    </row>
    <row r="208" spans="4:17" ht="12.75" customHeight="1" thickTop="1" x14ac:dyDescent="0.25">
      <c r="D208" s="143"/>
      <c r="F208" s="489"/>
      <c r="H208" s="114"/>
      <c r="I208" s="114"/>
      <c r="J208" s="114"/>
      <c r="K208" s="114"/>
      <c r="L208" s="114"/>
      <c r="M208" s="114"/>
      <c r="N208" s="114"/>
      <c r="O208" s="114"/>
    </row>
    <row r="209" spans="4:15" ht="12.75" customHeight="1" x14ac:dyDescent="0.25">
      <c r="D209" s="143"/>
      <c r="F209" s="489"/>
      <c r="H209" s="114"/>
      <c r="I209" s="114"/>
      <c r="J209" s="114"/>
      <c r="K209" s="114"/>
      <c r="L209" s="114"/>
      <c r="M209" s="114"/>
      <c r="N209" s="114"/>
      <c r="O209" s="114"/>
    </row>
    <row r="210" spans="4:15" ht="12.75" customHeight="1" x14ac:dyDescent="0.25">
      <c r="D210" s="433">
        <v>653013</v>
      </c>
      <c r="E210" s="381" t="s">
        <v>5201</v>
      </c>
      <c r="F210" s="115"/>
      <c r="G210" s="381"/>
      <c r="H210" s="114"/>
      <c r="I210" s="114"/>
      <c r="J210" s="383"/>
      <c r="K210" s="483">
        <v>2026</v>
      </c>
      <c r="L210" s="483">
        <v>2027</v>
      </c>
      <c r="M210" s="483">
        <v>2028</v>
      </c>
      <c r="N210" s="483">
        <v>2029</v>
      </c>
      <c r="O210" s="483">
        <v>2030</v>
      </c>
    </row>
    <row r="211" spans="4:15" ht="12.75" customHeight="1" x14ac:dyDescent="0.25">
      <c r="E211" s="383" t="s">
        <v>533</v>
      </c>
      <c r="F211" s="115"/>
      <c r="J211" s="151"/>
      <c r="K211" s="151"/>
      <c r="L211" s="151"/>
      <c r="M211" s="151"/>
      <c r="N211" s="151"/>
      <c r="O211" s="151"/>
    </row>
    <row r="212" spans="4:15" ht="12.75" customHeight="1" x14ac:dyDescent="0.25">
      <c r="D212" s="115"/>
      <c r="E212" s="115"/>
      <c r="F212" s="115"/>
      <c r="J212" s="151"/>
      <c r="K212" s="151"/>
      <c r="L212" s="151"/>
      <c r="M212" s="151"/>
      <c r="N212" s="151"/>
      <c r="O212" s="151"/>
    </row>
    <row r="213" spans="4:15" ht="12.75" customHeight="1" x14ac:dyDescent="0.25">
      <c r="D213" s="143"/>
      <c r="E213" s="115"/>
      <c r="F213" s="115"/>
      <c r="H213" s="114"/>
      <c r="I213" s="114"/>
      <c r="J213" s="114"/>
      <c r="K213" s="114"/>
      <c r="L213" s="114"/>
      <c r="M213" s="114"/>
      <c r="N213" s="114"/>
      <c r="O213" s="114"/>
    </row>
    <row r="214" spans="4:15" ht="12.75" customHeight="1" x14ac:dyDescent="0.25">
      <c r="D214" s="143">
        <v>43812</v>
      </c>
      <c r="E214" s="308" t="s">
        <v>5216</v>
      </c>
      <c r="F214" s="115"/>
      <c r="J214" s="114"/>
      <c r="K214" s="114">
        <f>ROUND((20696+5393)*R$2,0)</f>
        <v>26767</v>
      </c>
      <c r="L214" s="114">
        <f>ROUND(K214*S$2,0)</f>
        <v>27329</v>
      </c>
      <c r="M214" s="114">
        <f>ROUND(L214*T$2,0)</f>
        <v>27958</v>
      </c>
      <c r="N214" s="114">
        <f>ROUND(M214*U$2,0)</f>
        <v>28601</v>
      </c>
      <c r="O214" s="114">
        <f>ROUND(N214*V$2,0)</f>
        <v>29259</v>
      </c>
    </row>
    <row r="215" spans="4:15" ht="12.75" customHeight="1" x14ac:dyDescent="0.25">
      <c r="D215" s="384"/>
      <c r="E215" s="308" t="s">
        <v>5217</v>
      </c>
      <c r="F215" s="115"/>
      <c r="H215" s="114"/>
      <c r="I215" s="114"/>
      <c r="J215" s="114"/>
      <c r="K215" s="114">
        <v>100000</v>
      </c>
      <c r="L215" s="114">
        <v>75000</v>
      </c>
      <c r="M215" s="114">
        <v>75000</v>
      </c>
      <c r="N215" s="114">
        <f>ROUND(M215*U$2,0)</f>
        <v>76725</v>
      </c>
      <c r="O215" s="114">
        <f>ROUND(N215*V$2,0)</f>
        <v>78490</v>
      </c>
    </row>
    <row r="216" spans="4:15" ht="12.75" customHeight="1" x14ac:dyDescent="0.25">
      <c r="D216" s="384"/>
      <c r="E216" s="308" t="s">
        <v>5217</v>
      </c>
      <c r="F216" s="115"/>
      <c r="H216" s="114"/>
      <c r="I216" s="114"/>
      <c r="J216" s="114"/>
      <c r="K216" s="114">
        <v>27142</v>
      </c>
      <c r="L216" s="114">
        <v>14937</v>
      </c>
      <c r="M216" s="114">
        <v>11914</v>
      </c>
      <c r="N216" s="114">
        <f>ROUND(M216*U$2,0)</f>
        <v>12188</v>
      </c>
      <c r="O216" s="114">
        <f>ROUND(N216*V$2,0)</f>
        <v>12468</v>
      </c>
    </row>
    <row r="217" spans="4:15" ht="12.75" customHeight="1" thickBot="1" x14ac:dyDescent="0.3">
      <c r="E217" s="115" t="s">
        <v>619</v>
      </c>
      <c r="F217" s="115"/>
      <c r="J217" s="114"/>
      <c r="K217" s="1971">
        <f>SUM(K214:K216)</f>
        <v>153909</v>
      </c>
      <c r="L217" s="1971">
        <f>SUM(L214:L216)</f>
        <v>117266</v>
      </c>
      <c r="M217" s="1971">
        <f>SUM(M214:M216)</f>
        <v>114872</v>
      </c>
      <c r="N217" s="1971">
        <f>SUM(N214:N216)</f>
        <v>117514</v>
      </c>
      <c r="O217" s="1971">
        <f>SUM(O214:O216)</f>
        <v>120217</v>
      </c>
    </row>
    <row r="218" spans="4:15" ht="12.75" customHeight="1" thickTop="1" x14ac:dyDescent="0.25">
      <c r="E218" s="115"/>
      <c r="F218" s="115"/>
      <c r="J218" s="114"/>
      <c r="K218" s="114"/>
      <c r="L218" s="114"/>
      <c r="M218" s="114"/>
      <c r="N218" s="114"/>
      <c r="O218" s="114"/>
    </row>
    <row r="219" spans="4:15" ht="12.75" customHeight="1" x14ac:dyDescent="0.25">
      <c r="D219" s="433">
        <v>653014</v>
      </c>
      <c r="E219" s="381" t="s">
        <v>5193</v>
      </c>
      <c r="F219" s="115"/>
      <c r="G219" s="381"/>
      <c r="H219" s="114"/>
      <c r="I219" s="114"/>
      <c r="J219" s="383"/>
      <c r="K219" s="483">
        <v>2026</v>
      </c>
      <c r="L219" s="483">
        <v>2027</v>
      </c>
      <c r="M219" s="483">
        <v>2028</v>
      </c>
      <c r="N219" s="483">
        <v>2029</v>
      </c>
      <c r="O219" s="483">
        <v>2030</v>
      </c>
    </row>
    <row r="220" spans="4:15" ht="12.75" customHeight="1" x14ac:dyDescent="0.25">
      <c r="E220" s="383" t="s">
        <v>533</v>
      </c>
      <c r="F220" s="115"/>
      <c r="J220" s="151"/>
      <c r="K220" s="151"/>
      <c r="L220" s="151"/>
      <c r="M220" s="151"/>
      <c r="N220" s="151"/>
      <c r="O220" s="151"/>
    </row>
    <row r="221" spans="4:15" ht="12.75" customHeight="1" x14ac:dyDescent="0.25">
      <c r="D221" s="115"/>
      <c r="E221" s="115"/>
      <c r="F221" s="115"/>
      <c r="J221" s="151"/>
      <c r="K221" s="151"/>
      <c r="L221" s="151"/>
      <c r="M221" s="151"/>
      <c r="N221" s="151"/>
      <c r="O221" s="151"/>
    </row>
    <row r="222" spans="4:15" ht="12.75" customHeight="1" x14ac:dyDescent="0.25">
      <c r="D222" s="143">
        <v>43511</v>
      </c>
      <c r="E222" s="491" t="s">
        <v>5218</v>
      </c>
      <c r="F222" s="115"/>
      <c r="G222" s="492"/>
      <c r="J222" s="114"/>
      <c r="K222" s="114"/>
      <c r="L222" s="114"/>
      <c r="M222" s="114"/>
      <c r="N222" s="114"/>
      <c r="O222" s="114"/>
    </row>
    <row r="223" spans="4:15" ht="12.75" customHeight="1" x14ac:dyDescent="0.25">
      <c r="E223" s="491" t="s">
        <v>5219</v>
      </c>
      <c r="F223" s="115"/>
      <c r="G223" s="492"/>
      <c r="H223" s="114"/>
      <c r="I223" s="114"/>
      <c r="J223" s="114"/>
      <c r="K223" s="114">
        <v>0</v>
      </c>
      <c r="L223" s="114">
        <v>0</v>
      </c>
      <c r="M223" s="114">
        <v>0</v>
      </c>
      <c r="N223" s="114">
        <v>0</v>
      </c>
      <c r="O223" s="114">
        <v>0</v>
      </c>
    </row>
    <row r="224" spans="4:15" ht="12.75" customHeight="1" x14ac:dyDescent="0.25">
      <c r="E224" s="491" t="s">
        <v>5220</v>
      </c>
      <c r="F224" s="115"/>
      <c r="G224" s="492"/>
      <c r="H224" s="114"/>
      <c r="I224" s="114"/>
      <c r="J224" s="114"/>
      <c r="K224" s="114"/>
      <c r="L224" s="114"/>
      <c r="M224" s="114"/>
      <c r="N224" s="114"/>
      <c r="O224" s="114"/>
    </row>
    <row r="225" spans="4:17" ht="12.75" customHeight="1" x14ac:dyDescent="0.25">
      <c r="E225" s="308" t="s">
        <v>5221</v>
      </c>
      <c r="F225" s="115"/>
      <c r="J225" s="114"/>
      <c r="K225" s="114"/>
      <c r="L225" s="114"/>
      <c r="M225" s="114"/>
      <c r="N225" s="114"/>
      <c r="O225" s="114"/>
    </row>
    <row r="226" spans="4:17" ht="12.75" customHeight="1" x14ac:dyDescent="0.25">
      <c r="E226" s="308"/>
      <c r="F226" s="115"/>
      <c r="J226" s="114"/>
      <c r="K226" s="114"/>
      <c r="L226" s="114"/>
      <c r="M226" s="114"/>
      <c r="N226" s="114"/>
      <c r="O226" s="114"/>
    </row>
    <row r="227" spans="4:17" ht="12.75" customHeight="1" thickBot="1" x14ac:dyDescent="0.3">
      <c r="E227" s="115" t="s">
        <v>711</v>
      </c>
      <c r="F227" s="115"/>
      <c r="J227" s="114"/>
      <c r="K227" s="1971">
        <f t="shared" ref="K227:M227" si="77">SUM(K223:K226)</f>
        <v>0</v>
      </c>
      <c r="L227" s="1971">
        <f t="shared" si="77"/>
        <v>0</v>
      </c>
      <c r="M227" s="1971">
        <f t="shared" si="77"/>
        <v>0</v>
      </c>
      <c r="N227" s="1971">
        <f t="shared" ref="N227:O227" si="78">SUM(N223:N226)</f>
        <v>0</v>
      </c>
      <c r="O227" s="1971">
        <f t="shared" si="78"/>
        <v>0</v>
      </c>
    </row>
    <row r="228" spans="4:17" ht="12.75" customHeight="1" thickTop="1" x14ac:dyDescent="0.25">
      <c r="E228" s="115"/>
      <c r="F228" s="115"/>
      <c r="J228" s="114"/>
      <c r="K228" s="114"/>
      <c r="L228" s="114"/>
      <c r="M228" s="114"/>
      <c r="N228" s="114"/>
      <c r="O228" s="114"/>
    </row>
    <row r="229" spans="4:17" ht="12.75" customHeight="1" x14ac:dyDescent="0.25">
      <c r="D229" s="433">
        <v>653015</v>
      </c>
      <c r="E229" s="381" t="s">
        <v>5194</v>
      </c>
      <c r="F229" s="115"/>
      <c r="G229" s="381"/>
      <c r="H229" s="114"/>
      <c r="I229" s="114"/>
      <c r="J229" s="383"/>
      <c r="K229" s="483">
        <v>2026</v>
      </c>
      <c r="L229" s="483">
        <v>2027</v>
      </c>
      <c r="M229" s="483">
        <v>2028</v>
      </c>
      <c r="N229" s="483">
        <v>2029</v>
      </c>
      <c r="O229" s="483">
        <v>2030</v>
      </c>
    </row>
    <row r="230" spans="4:17" ht="12.75" customHeight="1" x14ac:dyDescent="0.25">
      <c r="E230" s="383" t="s">
        <v>533</v>
      </c>
      <c r="F230" s="115"/>
      <c r="J230" s="151"/>
      <c r="K230" s="151"/>
      <c r="L230" s="151"/>
      <c r="M230" s="151"/>
      <c r="N230" s="151"/>
      <c r="O230" s="151"/>
    </row>
    <row r="231" spans="4:17" ht="12.75" customHeight="1" x14ac:dyDescent="0.25">
      <c r="D231" s="115"/>
      <c r="E231" s="115"/>
      <c r="F231" s="115"/>
      <c r="J231" s="151"/>
      <c r="K231" s="151"/>
      <c r="L231" s="151"/>
      <c r="M231" s="151"/>
      <c r="N231" s="151"/>
      <c r="O231" s="151"/>
    </row>
    <row r="232" spans="4:17" ht="12.75" customHeight="1" x14ac:dyDescent="0.25">
      <c r="D232" s="143">
        <v>43812</v>
      </c>
      <c r="E232" s="493" t="s">
        <v>5222</v>
      </c>
      <c r="F232" s="115"/>
      <c r="G232" s="492"/>
      <c r="J232" s="114"/>
      <c r="K232" s="114"/>
      <c r="L232" s="114"/>
      <c r="M232" s="114"/>
      <c r="N232" s="114"/>
      <c r="O232" s="114"/>
    </row>
    <row r="233" spans="4:17" ht="12.75" customHeight="1" x14ac:dyDescent="0.25">
      <c r="E233" s="493" t="s">
        <v>5223</v>
      </c>
      <c r="F233" s="115"/>
      <c r="G233" s="492"/>
      <c r="H233" s="114"/>
      <c r="I233" s="114"/>
      <c r="J233" s="114"/>
      <c r="K233" s="114">
        <v>250000</v>
      </c>
      <c r="L233" s="114">
        <v>312500</v>
      </c>
      <c r="M233" s="114">
        <v>312500</v>
      </c>
      <c r="N233" s="114">
        <v>312500</v>
      </c>
      <c r="O233" s="114">
        <v>312500</v>
      </c>
    </row>
    <row r="234" spans="4:17" ht="12.75" customHeight="1" x14ac:dyDescent="0.25">
      <c r="E234" s="308"/>
      <c r="F234" s="115"/>
      <c r="J234" s="114"/>
      <c r="K234" s="114"/>
      <c r="L234" s="114"/>
      <c r="M234" s="114"/>
      <c r="N234" s="114"/>
      <c r="O234" s="114"/>
    </row>
    <row r="235" spans="4:17" ht="12.75" customHeight="1" thickBot="1" x14ac:dyDescent="0.3">
      <c r="E235" s="115" t="s">
        <v>619</v>
      </c>
      <c r="F235" s="115"/>
      <c r="J235" s="114"/>
      <c r="K235" s="1971">
        <f>SUM(K233:K234)</f>
        <v>250000</v>
      </c>
      <c r="L235" s="1971">
        <f>SUM(L233:L234)</f>
        <v>312500</v>
      </c>
      <c r="M235" s="1971">
        <f>SUM(M233:M234)</f>
        <v>312500</v>
      </c>
      <c r="N235" s="1971">
        <f>SUM(N233:N234)</f>
        <v>312500</v>
      </c>
      <c r="O235" s="1971">
        <f>SUM(O233:O234)</f>
        <v>312500</v>
      </c>
    </row>
    <row r="236" spans="4:17" ht="12.75" customHeight="1" thickTop="1" x14ac:dyDescent="0.25">
      <c r="D236" s="143"/>
      <c r="E236" s="115"/>
      <c r="F236" s="115"/>
      <c r="H236" s="114"/>
      <c r="I236" s="114"/>
      <c r="J236" s="114"/>
      <c r="K236" s="114"/>
      <c r="L236" s="114"/>
      <c r="M236" s="114"/>
      <c r="N236" s="114"/>
      <c r="O236" s="114"/>
      <c r="P236" s="488"/>
      <c r="Q236" s="488"/>
    </row>
    <row r="237" spans="4:17" ht="12.75" customHeight="1" x14ac:dyDescent="0.25">
      <c r="D237" s="393">
        <v>653002</v>
      </c>
      <c r="E237" s="381" t="s">
        <v>5196</v>
      </c>
      <c r="F237" s="115"/>
      <c r="H237" s="484"/>
      <c r="I237" s="484"/>
      <c r="J237" s="154"/>
      <c r="K237" s="483">
        <v>2026</v>
      </c>
      <c r="L237" s="483">
        <v>2027</v>
      </c>
      <c r="M237" s="483">
        <v>2028</v>
      </c>
      <c r="N237" s="483">
        <v>2029</v>
      </c>
      <c r="O237" s="483">
        <v>2030</v>
      </c>
    </row>
    <row r="238" spans="4:17" ht="12.75" customHeight="1" x14ac:dyDescent="0.25">
      <c r="D238" s="143"/>
      <c r="E238" s="115"/>
      <c r="F238" s="115"/>
      <c r="H238" s="484"/>
      <c r="I238" s="484"/>
    </row>
    <row r="239" spans="4:17" ht="12.75" customHeight="1" x14ac:dyDescent="0.25">
      <c r="D239" s="143">
        <v>43511</v>
      </c>
      <c r="E239" s="115" t="s">
        <v>560</v>
      </c>
      <c r="F239" s="115"/>
      <c r="G239" s="405"/>
      <c r="H239" s="484"/>
      <c r="I239" s="484"/>
      <c r="J239" s="114"/>
      <c r="K239" s="114">
        <f t="shared" ref="K239:M239" si="79">K292</f>
        <v>32455</v>
      </c>
      <c r="L239" s="114">
        <f t="shared" si="79"/>
        <v>33137</v>
      </c>
      <c r="M239" s="114">
        <f t="shared" si="79"/>
        <v>33899</v>
      </c>
      <c r="N239" s="114">
        <f t="shared" ref="N239:O239" si="80">N292</f>
        <v>34679</v>
      </c>
      <c r="O239" s="114">
        <f t="shared" si="80"/>
        <v>35477</v>
      </c>
    </row>
    <row r="240" spans="4:17" ht="12.75" customHeight="1" x14ac:dyDescent="0.25">
      <c r="D240" s="393"/>
      <c r="E240" s="382"/>
      <c r="F240" s="405"/>
      <c r="G240" s="405"/>
      <c r="H240" s="484"/>
      <c r="I240" s="484"/>
      <c r="J240" s="485"/>
      <c r="K240" s="485"/>
      <c r="L240" s="485"/>
      <c r="M240" s="485"/>
      <c r="N240" s="485"/>
      <c r="O240" s="485"/>
    </row>
    <row r="241" spans="4:17" ht="12.75" customHeight="1" thickBot="1" x14ac:dyDescent="0.3">
      <c r="D241" s="393"/>
      <c r="E241" s="382"/>
      <c r="F241" s="115"/>
      <c r="H241" s="484"/>
      <c r="I241" s="484"/>
      <c r="J241" s="114"/>
      <c r="K241" s="1971">
        <f>SUM(K238:K240)</f>
        <v>32455</v>
      </c>
      <c r="L241" s="1971">
        <f>SUM(L238:L240)</f>
        <v>33137</v>
      </c>
      <c r="M241" s="1971">
        <f>SUM(M238:M240)</f>
        <v>33899</v>
      </c>
      <c r="N241" s="1971">
        <f>SUM(N238:N240)</f>
        <v>34679</v>
      </c>
      <c r="O241" s="1971">
        <f>SUM(O238:O240)</f>
        <v>35477</v>
      </c>
    </row>
    <row r="242" spans="4:17" ht="12.75" customHeight="1" thickTop="1" x14ac:dyDescent="0.25">
      <c r="D242" s="393"/>
      <c r="E242" s="382"/>
      <c r="F242" s="115"/>
      <c r="H242" s="484"/>
      <c r="I242" s="484"/>
      <c r="J242" s="114"/>
      <c r="K242" s="114"/>
      <c r="L242" s="114"/>
      <c r="M242" s="114"/>
      <c r="N242" s="114"/>
      <c r="O242" s="114"/>
    </row>
    <row r="243" spans="4:17" ht="12.75" customHeight="1" x14ac:dyDescent="0.25">
      <c r="D243" s="393"/>
      <c r="E243" s="2510" t="s">
        <v>5224</v>
      </c>
      <c r="F243" s="2510"/>
      <c r="G243" s="2510"/>
      <c r="H243" s="2510"/>
      <c r="I243" s="2510"/>
      <c r="J243" s="2510"/>
      <c r="K243" s="2510"/>
      <c r="L243" s="399"/>
      <c r="M243" s="399"/>
      <c r="N243" s="399"/>
      <c r="O243" s="399"/>
    </row>
    <row r="244" spans="4:17" ht="12.75" customHeight="1" x14ac:dyDescent="0.25">
      <c r="D244" s="393"/>
      <c r="E244" s="2510"/>
      <c r="F244" s="2510"/>
      <c r="G244" s="2510"/>
      <c r="H244" s="2510"/>
      <c r="I244" s="2510"/>
      <c r="J244" s="2510"/>
      <c r="K244" s="2510"/>
      <c r="L244" s="399"/>
      <c r="M244" s="399"/>
      <c r="N244" s="399"/>
      <c r="O244" s="399"/>
    </row>
    <row r="245" spans="4:17" ht="12.75" customHeight="1" x14ac:dyDescent="0.25">
      <c r="D245" s="393"/>
      <c r="E245" s="2510"/>
      <c r="F245" s="2510"/>
      <c r="G245" s="2510"/>
      <c r="H245" s="2510"/>
      <c r="I245" s="2510"/>
      <c r="J245" s="2510"/>
      <c r="K245" s="2510"/>
      <c r="L245" s="399"/>
      <c r="M245" s="399"/>
      <c r="N245" s="399"/>
      <c r="O245" s="399"/>
    </row>
    <row r="246" spans="4:17" ht="12.75" customHeight="1" x14ac:dyDescent="0.25">
      <c r="D246" s="393"/>
      <c r="E246" s="2510"/>
      <c r="F246" s="2510"/>
      <c r="G246" s="2510"/>
      <c r="H246" s="2510"/>
      <c r="I246" s="2510"/>
      <c r="J246" s="2510"/>
      <c r="K246" s="2510"/>
      <c r="L246" s="399"/>
      <c r="M246" s="399"/>
      <c r="N246" s="399"/>
      <c r="O246" s="399"/>
    </row>
    <row r="247" spans="4:17" ht="12.75" customHeight="1" x14ac:dyDescent="0.25">
      <c r="D247" s="393"/>
      <c r="E247" s="2510"/>
      <c r="F247" s="2510"/>
      <c r="G247" s="2510"/>
      <c r="H247" s="2510"/>
      <c r="I247" s="2510"/>
      <c r="J247" s="2510"/>
      <c r="K247" s="2510"/>
      <c r="L247" s="399"/>
      <c r="M247" s="399"/>
      <c r="N247" s="399"/>
      <c r="O247" s="399"/>
    </row>
    <row r="248" spans="4:17" ht="12.75" customHeight="1" x14ac:dyDescent="0.25">
      <c r="D248" s="143"/>
      <c r="F248" s="115"/>
      <c r="H248" s="494"/>
      <c r="I248" s="114"/>
      <c r="J248" s="114"/>
      <c r="K248" s="114"/>
      <c r="L248" s="114"/>
      <c r="M248" s="114"/>
      <c r="N248" s="114"/>
      <c r="O248" s="114"/>
      <c r="P248" s="488"/>
      <c r="Q248" s="488"/>
    </row>
    <row r="249" spans="4:17" ht="12.75" customHeight="1" x14ac:dyDescent="0.25">
      <c r="D249" s="393">
        <v>653003</v>
      </c>
      <c r="E249" s="381" t="s">
        <v>5202</v>
      </c>
      <c r="F249" s="115"/>
      <c r="H249" s="485"/>
      <c r="I249" s="485"/>
      <c r="J249" s="154"/>
      <c r="K249" s="483">
        <v>2026</v>
      </c>
      <c r="L249" s="483">
        <v>2027</v>
      </c>
      <c r="M249" s="483">
        <v>2028</v>
      </c>
      <c r="N249" s="483">
        <v>2029</v>
      </c>
      <c r="O249" s="483">
        <v>2030</v>
      </c>
    </row>
    <row r="250" spans="4:17" ht="12.75" customHeight="1" x14ac:dyDescent="0.25">
      <c r="D250" s="115"/>
      <c r="E250" s="115"/>
      <c r="F250" s="115"/>
      <c r="H250" s="485"/>
      <c r="I250" s="485"/>
    </row>
    <row r="251" spans="4:17" ht="12.75" customHeight="1" x14ac:dyDescent="0.25">
      <c r="D251" s="143">
        <v>43511</v>
      </c>
      <c r="E251" s="115" t="s">
        <v>560</v>
      </c>
      <c r="F251" s="115"/>
      <c r="H251" s="485"/>
      <c r="I251" s="485"/>
      <c r="J251" s="114"/>
      <c r="K251" s="114">
        <f t="shared" ref="K251:M251" si="81">K293</f>
        <v>148386</v>
      </c>
      <c r="L251" s="114">
        <f t="shared" si="81"/>
        <v>151502</v>
      </c>
      <c r="M251" s="114">
        <f t="shared" si="81"/>
        <v>154987</v>
      </c>
      <c r="N251" s="114">
        <f t="shared" ref="N251:O251" si="82">N293</f>
        <v>158552</v>
      </c>
      <c r="O251" s="114">
        <f t="shared" si="82"/>
        <v>162199</v>
      </c>
    </row>
    <row r="252" spans="4:17" ht="12.75" customHeight="1" x14ac:dyDescent="0.25">
      <c r="D252" s="143"/>
      <c r="E252" s="308"/>
      <c r="F252" s="115"/>
      <c r="H252" s="485"/>
      <c r="I252" s="485"/>
      <c r="J252" s="114"/>
      <c r="K252" s="114"/>
      <c r="L252" s="114"/>
      <c r="M252" s="114"/>
      <c r="N252" s="114"/>
      <c r="O252" s="114"/>
    </row>
    <row r="253" spans="4:17" ht="12.75" customHeight="1" thickBot="1" x14ac:dyDescent="0.3">
      <c r="D253" s="393"/>
      <c r="E253" s="115" t="str">
        <f>"Totaal "&amp;D251</f>
        <v>Totaal 43511</v>
      </c>
      <c r="F253" s="115"/>
      <c r="H253" s="485"/>
      <c r="I253" s="485"/>
      <c r="J253" s="114"/>
      <c r="K253" s="1971">
        <f>SUM(K251:K252)</f>
        <v>148386</v>
      </c>
      <c r="L253" s="1971">
        <f>SUM(L251:L252)</f>
        <v>151502</v>
      </c>
      <c r="M253" s="1971">
        <f>SUM(M251:M252)</f>
        <v>154987</v>
      </c>
      <c r="N253" s="1971">
        <f>SUM(N251:N252)</f>
        <v>158552</v>
      </c>
      <c r="O253" s="1971">
        <f>SUM(O251:O252)</f>
        <v>162199</v>
      </c>
    </row>
    <row r="254" spans="4:17" ht="12.75" customHeight="1" thickTop="1" x14ac:dyDescent="0.25">
      <c r="D254" s="143"/>
      <c r="E254" s="115"/>
      <c r="F254" s="115"/>
      <c r="H254" s="114"/>
      <c r="I254" s="114"/>
      <c r="J254" s="114"/>
      <c r="K254" s="114"/>
      <c r="L254" s="114"/>
      <c r="M254" s="114"/>
      <c r="N254" s="114"/>
      <c r="O254" s="114"/>
      <c r="P254" s="488"/>
      <c r="Q254" s="488"/>
    </row>
    <row r="255" spans="4:17" ht="12.75" customHeight="1" x14ac:dyDescent="0.25">
      <c r="D255" s="393">
        <v>653004</v>
      </c>
      <c r="E255" s="381" t="s">
        <v>5225</v>
      </c>
      <c r="F255" s="115"/>
      <c r="H255" s="485"/>
      <c r="I255" s="485"/>
      <c r="J255" s="154"/>
      <c r="K255" s="483">
        <v>2026</v>
      </c>
      <c r="L255" s="483">
        <v>2027</v>
      </c>
      <c r="M255" s="483">
        <v>2028</v>
      </c>
      <c r="N255" s="483">
        <v>2029</v>
      </c>
      <c r="O255" s="483">
        <v>2030</v>
      </c>
    </row>
    <row r="256" spans="4:17" ht="12.75" customHeight="1" x14ac:dyDescent="0.25">
      <c r="D256" s="115"/>
      <c r="E256" s="115"/>
      <c r="F256" s="115"/>
      <c r="H256" s="485"/>
      <c r="I256" s="485"/>
    </row>
    <row r="257" spans="4:17" ht="12.75" customHeight="1" x14ac:dyDescent="0.25">
      <c r="D257" s="143">
        <v>43511</v>
      </c>
      <c r="E257" s="115" t="s">
        <v>560</v>
      </c>
      <c r="F257" s="115"/>
      <c r="H257" s="485"/>
      <c r="I257" s="485"/>
      <c r="J257" s="114"/>
      <c r="K257" s="114">
        <f t="shared" ref="K257:M257" si="83">K294</f>
        <v>40225</v>
      </c>
      <c r="L257" s="114">
        <f t="shared" si="83"/>
        <v>41070</v>
      </c>
      <c r="M257" s="114">
        <f t="shared" si="83"/>
        <v>42015</v>
      </c>
      <c r="N257" s="114">
        <f t="shared" ref="N257:O257" si="84">N294</f>
        <v>42981</v>
      </c>
      <c r="O257" s="114">
        <f t="shared" si="84"/>
        <v>43970</v>
      </c>
    </row>
    <row r="258" spans="4:17" ht="12.75" customHeight="1" x14ac:dyDescent="0.25">
      <c r="D258" s="143"/>
      <c r="E258" s="308"/>
      <c r="F258" s="115"/>
      <c r="H258" s="485"/>
      <c r="I258" s="485"/>
      <c r="J258" s="114"/>
      <c r="K258" s="114"/>
      <c r="L258" s="114"/>
      <c r="M258" s="114"/>
      <c r="N258" s="114"/>
      <c r="O258" s="114"/>
    </row>
    <row r="259" spans="4:17" ht="12.75" customHeight="1" thickBot="1" x14ac:dyDescent="0.3">
      <c r="D259" s="393"/>
      <c r="E259" s="115" t="str">
        <f>"Totaal "&amp;D257</f>
        <v>Totaal 43511</v>
      </c>
      <c r="F259" s="115"/>
      <c r="H259" s="485"/>
      <c r="I259" s="485"/>
      <c r="J259" s="114"/>
      <c r="K259" s="1971">
        <f>SUM(K257:K258)</f>
        <v>40225</v>
      </c>
      <c r="L259" s="1971">
        <f>SUM(L257:L258)</f>
        <v>41070</v>
      </c>
      <c r="M259" s="1971">
        <f>SUM(M257:M258)</f>
        <v>42015</v>
      </c>
      <c r="N259" s="1971">
        <f>SUM(N257:N258)</f>
        <v>42981</v>
      </c>
      <c r="O259" s="1971">
        <f>SUM(O257:O258)</f>
        <v>43970</v>
      </c>
    </row>
    <row r="260" spans="4:17" ht="12.75" customHeight="1" thickTop="1" x14ac:dyDescent="0.25">
      <c r="E260" s="115"/>
      <c r="F260" s="115"/>
      <c r="H260" s="114"/>
      <c r="I260" s="114"/>
      <c r="J260" s="114"/>
      <c r="K260" s="114"/>
      <c r="L260" s="114"/>
      <c r="M260" s="114"/>
      <c r="N260" s="114"/>
      <c r="O260" s="114"/>
    </row>
    <row r="261" spans="4:17" ht="12.75" customHeight="1" x14ac:dyDescent="0.25">
      <c r="D261" s="393">
        <v>653009</v>
      </c>
      <c r="E261" s="381" t="s">
        <v>5204</v>
      </c>
      <c r="F261" s="115"/>
      <c r="H261" s="114"/>
      <c r="I261" s="114"/>
      <c r="J261" s="154"/>
      <c r="K261" s="483">
        <v>2026</v>
      </c>
      <c r="L261" s="483">
        <v>2027</v>
      </c>
      <c r="M261" s="483">
        <v>2028</v>
      </c>
      <c r="N261" s="483">
        <v>2029</v>
      </c>
      <c r="O261" s="483">
        <v>2030</v>
      </c>
      <c r="P261" s="488"/>
      <c r="Q261" s="488"/>
    </row>
    <row r="262" spans="4:17" ht="12.75" customHeight="1" x14ac:dyDescent="0.25">
      <c r="E262" s="115" t="s">
        <v>5226</v>
      </c>
      <c r="F262" s="115"/>
      <c r="H262" s="114"/>
      <c r="I262" s="114"/>
      <c r="P262" s="488"/>
      <c r="Q262" s="488"/>
    </row>
    <row r="263" spans="4:17" ht="12.75" customHeight="1" x14ac:dyDescent="0.25">
      <c r="E263" s="115"/>
      <c r="F263" s="115"/>
      <c r="H263" s="114"/>
      <c r="I263" s="114"/>
      <c r="P263" s="488"/>
      <c r="Q263" s="488"/>
    </row>
    <row r="264" spans="4:17" ht="12.75" customHeight="1" x14ac:dyDescent="0.25">
      <c r="D264" s="143">
        <v>43511</v>
      </c>
      <c r="E264" s="115" t="s">
        <v>560</v>
      </c>
      <c r="F264" s="115"/>
      <c r="H264" s="114"/>
      <c r="I264" s="114"/>
      <c r="J264" s="114"/>
      <c r="K264" s="114">
        <f t="shared" ref="K264:M264" si="85">K295</f>
        <v>190748</v>
      </c>
      <c r="L264" s="114">
        <f t="shared" si="85"/>
        <v>194754</v>
      </c>
      <c r="M264" s="114">
        <f t="shared" si="85"/>
        <v>199233</v>
      </c>
      <c r="N264" s="114">
        <f t="shared" ref="N264:O264" si="86">N295</f>
        <v>203815</v>
      </c>
      <c r="O264" s="114">
        <f t="shared" si="86"/>
        <v>208503</v>
      </c>
      <c r="P264" s="359"/>
      <c r="Q264" s="359"/>
    </row>
    <row r="265" spans="4:17" ht="12.75" customHeight="1" x14ac:dyDescent="0.25">
      <c r="D265" s="143"/>
      <c r="E265" s="115"/>
      <c r="F265" s="115"/>
      <c r="H265" s="114"/>
      <c r="I265" s="114"/>
      <c r="J265" s="114"/>
      <c r="K265" s="114"/>
      <c r="L265" s="114"/>
      <c r="M265" s="114"/>
      <c r="N265" s="114"/>
      <c r="O265" s="114"/>
      <c r="P265" s="359"/>
      <c r="Q265" s="359"/>
    </row>
    <row r="266" spans="4:17" ht="12.75" customHeight="1" thickBot="1" x14ac:dyDescent="0.3">
      <c r="D266" s="143"/>
      <c r="E266" s="115" t="str">
        <f>"Totaal "&amp;D264</f>
        <v>Totaal 43511</v>
      </c>
      <c r="F266" s="115"/>
      <c r="H266" s="114"/>
      <c r="I266" s="114"/>
      <c r="J266" s="114"/>
      <c r="K266" s="1971">
        <f>SUM(K264:K265)</f>
        <v>190748</v>
      </c>
      <c r="L266" s="1971">
        <f>SUM(L264:L265)</f>
        <v>194754</v>
      </c>
      <c r="M266" s="1971">
        <f>SUM(M264:M265)</f>
        <v>199233</v>
      </c>
      <c r="N266" s="1971">
        <f>SUM(N264:N265)</f>
        <v>203815</v>
      </c>
      <c r="O266" s="1971">
        <f>SUM(O264:O265)</f>
        <v>208503</v>
      </c>
      <c r="P266" s="359"/>
      <c r="Q266" s="359"/>
    </row>
    <row r="267" spans="4:17" ht="12.75" customHeight="1" thickTop="1" x14ac:dyDescent="0.25">
      <c r="D267" s="143"/>
      <c r="E267" s="115"/>
      <c r="F267" s="115"/>
      <c r="H267" s="114"/>
      <c r="I267" s="114"/>
      <c r="J267" s="114"/>
      <c r="K267" s="114"/>
      <c r="L267" s="114"/>
      <c r="M267" s="114"/>
      <c r="N267" s="114"/>
      <c r="O267" s="114"/>
    </row>
    <row r="268" spans="4:17" ht="12.75" customHeight="1" x14ac:dyDescent="0.25">
      <c r="D268" s="143"/>
      <c r="E268" s="115"/>
      <c r="F268" s="115"/>
      <c r="H268" s="114"/>
      <c r="I268" s="114"/>
      <c r="J268" s="114"/>
      <c r="K268" s="114"/>
      <c r="L268" s="114"/>
      <c r="M268" s="114"/>
      <c r="N268" s="114"/>
      <c r="O268" s="114"/>
    </row>
    <row r="269" spans="4:17" ht="12.75" customHeight="1" x14ac:dyDescent="0.25">
      <c r="D269" s="393">
        <v>653010</v>
      </c>
      <c r="E269" s="381" t="s">
        <v>5227</v>
      </c>
      <c r="F269" s="115"/>
      <c r="H269" s="114"/>
      <c r="I269" s="114"/>
      <c r="J269" s="154"/>
      <c r="K269" s="483">
        <v>2026</v>
      </c>
      <c r="L269" s="483">
        <v>2027</v>
      </c>
      <c r="M269" s="483">
        <v>2028</v>
      </c>
      <c r="N269" s="483">
        <v>2029</v>
      </c>
      <c r="O269" s="483">
        <v>2030</v>
      </c>
    </row>
    <row r="270" spans="4:17" ht="12.75" customHeight="1" x14ac:dyDescent="0.25">
      <c r="E270" s="115" t="s">
        <v>5226</v>
      </c>
      <c r="F270" s="115"/>
      <c r="H270" s="114"/>
      <c r="I270" s="114"/>
    </row>
    <row r="271" spans="4:17" ht="12.75" customHeight="1" x14ac:dyDescent="0.25">
      <c r="E271" s="115"/>
      <c r="F271" s="115"/>
      <c r="H271" s="114"/>
      <c r="I271" s="114"/>
    </row>
    <row r="272" spans="4:17" ht="12.75" customHeight="1" x14ac:dyDescent="0.25">
      <c r="D272" s="143">
        <v>43511</v>
      </c>
      <c r="E272" s="115" t="s">
        <v>560</v>
      </c>
      <c r="F272" s="115"/>
      <c r="H272" s="114"/>
      <c r="I272" s="495"/>
      <c r="J272" s="114"/>
      <c r="K272" s="114">
        <f t="shared" ref="K272:M272" si="87">K296</f>
        <v>24299</v>
      </c>
      <c r="L272" s="114">
        <f t="shared" si="87"/>
        <v>24809</v>
      </c>
      <c r="M272" s="114">
        <f t="shared" si="87"/>
        <v>25380</v>
      </c>
      <c r="N272" s="114">
        <f t="shared" ref="N272:O272" si="88">N296</f>
        <v>25964</v>
      </c>
      <c r="O272" s="114">
        <f t="shared" si="88"/>
        <v>26561</v>
      </c>
    </row>
    <row r="273" spans="4:19" ht="12.75" customHeight="1" x14ac:dyDescent="0.25">
      <c r="D273" s="393"/>
      <c r="E273" s="115"/>
      <c r="F273" s="115"/>
      <c r="H273" s="114"/>
      <c r="I273" s="494"/>
      <c r="J273" s="485"/>
      <c r="K273" s="485"/>
      <c r="L273" s="485"/>
      <c r="M273" s="485"/>
      <c r="N273" s="485"/>
      <c r="O273" s="485"/>
    </row>
    <row r="274" spans="4:19" ht="12.75" customHeight="1" thickBot="1" x14ac:dyDescent="0.3">
      <c r="D274" s="143"/>
      <c r="E274" s="115" t="str">
        <f>"Totaal "&amp;D272</f>
        <v>Totaal 43511</v>
      </c>
      <c r="F274" s="115"/>
      <c r="H274" s="114"/>
      <c r="I274" s="114"/>
      <c r="J274" s="114"/>
      <c r="K274" s="1971">
        <f>SUM(K272:K273)</f>
        <v>24299</v>
      </c>
      <c r="L274" s="1971">
        <f>SUM(L272:L273)</f>
        <v>24809</v>
      </c>
      <c r="M274" s="1971">
        <f>SUM(M272:M273)</f>
        <v>25380</v>
      </c>
      <c r="N274" s="1971">
        <f>SUM(N272:N273)</f>
        <v>25964</v>
      </c>
      <c r="O274" s="1971">
        <f>SUM(O272:O273)</f>
        <v>26561</v>
      </c>
    </row>
    <row r="275" spans="4:19" ht="12.75" customHeight="1" thickTop="1" x14ac:dyDescent="0.25">
      <c r="D275" s="143"/>
      <c r="E275" s="115"/>
      <c r="F275" s="115"/>
      <c r="H275" s="114"/>
      <c r="I275" s="114"/>
      <c r="J275" s="114"/>
      <c r="K275" s="114"/>
      <c r="L275" s="114"/>
      <c r="M275" s="114"/>
      <c r="N275" s="114"/>
      <c r="O275" s="114"/>
    </row>
    <row r="276" spans="4:19" ht="12.75" customHeight="1" x14ac:dyDescent="0.25">
      <c r="D276" s="143"/>
      <c r="E276" s="115"/>
      <c r="F276" s="115"/>
      <c r="H276" s="114"/>
      <c r="I276" s="114"/>
      <c r="J276" s="114"/>
      <c r="K276" s="114"/>
      <c r="L276" s="114"/>
      <c r="M276" s="114"/>
      <c r="N276" s="114"/>
      <c r="O276" s="114"/>
    </row>
    <row r="277" spans="4:19" ht="12.75" customHeight="1" x14ac:dyDescent="0.25">
      <c r="D277" s="393">
        <v>653011</v>
      </c>
      <c r="E277" s="381" t="s">
        <v>5206</v>
      </c>
      <c r="F277" s="115"/>
      <c r="H277" s="114"/>
      <c r="I277" s="114"/>
      <c r="J277" s="154"/>
      <c r="K277" s="483">
        <v>2026</v>
      </c>
      <c r="L277" s="483">
        <v>2027</v>
      </c>
      <c r="M277" s="483">
        <v>2028</v>
      </c>
      <c r="N277" s="483">
        <v>2029</v>
      </c>
      <c r="O277" s="483">
        <v>2030</v>
      </c>
    </row>
    <row r="278" spans="4:19" ht="12.75" customHeight="1" x14ac:dyDescent="0.25">
      <c r="E278" s="115"/>
      <c r="F278" s="115"/>
      <c r="H278" s="114"/>
      <c r="I278" s="114"/>
    </row>
    <row r="279" spans="4:19" ht="12.75" customHeight="1" x14ac:dyDescent="0.25">
      <c r="D279" s="143">
        <v>43511</v>
      </c>
      <c r="E279" s="115" t="s">
        <v>560</v>
      </c>
      <c r="F279" s="115"/>
      <c r="H279" s="114"/>
      <c r="I279" s="114"/>
      <c r="J279" s="114"/>
      <c r="K279" s="114">
        <f t="shared" ref="K279:M279" si="89">K297</f>
        <v>13162</v>
      </c>
      <c r="L279" s="114">
        <f t="shared" si="89"/>
        <v>13438</v>
      </c>
      <c r="M279" s="114">
        <f t="shared" si="89"/>
        <v>13747</v>
      </c>
      <c r="N279" s="114">
        <f t="shared" ref="N279:O279" si="90">N297</f>
        <v>14063</v>
      </c>
      <c r="O279" s="114">
        <f t="shared" si="90"/>
        <v>14386</v>
      </c>
    </row>
    <row r="280" spans="4:19" ht="12.75" customHeight="1" x14ac:dyDescent="0.25">
      <c r="D280" s="143"/>
      <c r="E280" s="115" t="s">
        <v>5228</v>
      </c>
      <c r="F280" s="115"/>
      <c r="H280" s="114"/>
      <c r="I280" s="114"/>
      <c r="J280" s="114"/>
      <c r="K280" s="114">
        <f>ROUND(9409*R$2,0)</f>
        <v>9654</v>
      </c>
      <c r="L280" s="114">
        <f>ROUND(K280*S$2,0)</f>
        <v>9857</v>
      </c>
      <c r="M280" s="114">
        <f>ROUND(L280*T$2,0)</f>
        <v>10084</v>
      </c>
      <c r="N280" s="114">
        <f>ROUND(M280*U$2,0)</f>
        <v>10316</v>
      </c>
      <c r="O280" s="114">
        <f>ROUND(N280*V$2,0)</f>
        <v>10553</v>
      </c>
    </row>
    <row r="281" spans="4:19" ht="12.75" customHeight="1" x14ac:dyDescent="0.25">
      <c r="D281" s="143"/>
      <c r="E281" s="115" t="s">
        <v>5229</v>
      </c>
      <c r="F281" s="115"/>
      <c r="H281" s="114"/>
      <c r="I281" s="114"/>
      <c r="J281" s="114"/>
      <c r="K281" s="114"/>
      <c r="L281" s="114"/>
      <c r="M281" s="114"/>
      <c r="N281" s="114"/>
      <c r="O281" s="114"/>
    </row>
    <row r="282" spans="4:19" ht="12.75" customHeight="1" x14ac:dyDescent="0.25">
      <c r="D282" s="393"/>
      <c r="E282" s="115" t="s">
        <v>5230</v>
      </c>
      <c r="F282" s="115"/>
      <c r="H282" s="114"/>
      <c r="I282" s="114"/>
      <c r="J282" s="485"/>
      <c r="K282" s="485"/>
      <c r="L282" s="485"/>
      <c r="M282" s="485"/>
      <c r="N282" s="485"/>
      <c r="O282" s="485"/>
    </row>
    <row r="283" spans="4:19" ht="12.75" customHeight="1" thickBot="1" x14ac:dyDescent="0.3">
      <c r="D283" s="143"/>
      <c r="E283" s="115" t="str">
        <f>"Totaal "&amp;D279</f>
        <v>Totaal 43511</v>
      </c>
      <c r="F283" s="115"/>
      <c r="H283" s="114"/>
      <c r="I283" s="114"/>
      <c r="J283" s="114"/>
      <c r="K283" s="1971">
        <f>SUM(K279:K282)</f>
        <v>22816</v>
      </c>
      <c r="L283" s="1971">
        <f>SUM(L279:L282)</f>
        <v>23295</v>
      </c>
      <c r="M283" s="1971">
        <f>SUM(M279:M282)</f>
        <v>23831</v>
      </c>
      <c r="N283" s="1971">
        <f>SUM(N279:N282)</f>
        <v>24379</v>
      </c>
      <c r="O283" s="1971">
        <f>SUM(O279:O282)</f>
        <v>24939</v>
      </c>
      <c r="P283" s="114"/>
      <c r="Q283" s="114"/>
      <c r="R283" s="114"/>
      <c r="S283" s="114"/>
    </row>
    <row r="284" spans="4:19" ht="12.75" customHeight="1" thickTop="1" x14ac:dyDescent="0.25">
      <c r="D284" s="143"/>
      <c r="E284" s="115"/>
      <c r="F284" s="115"/>
      <c r="H284" s="114"/>
      <c r="I284" s="114"/>
      <c r="J284" s="114"/>
      <c r="K284" s="114"/>
      <c r="L284" s="114"/>
      <c r="M284" s="114"/>
      <c r="N284" s="114"/>
      <c r="O284" s="114"/>
      <c r="P284" s="114"/>
      <c r="Q284" s="114"/>
      <c r="R284" s="114"/>
      <c r="S284" s="114"/>
    </row>
    <row r="285" spans="4:19" ht="12.75" customHeight="1" x14ac:dyDescent="0.25">
      <c r="D285" s="384"/>
      <c r="E285" s="115" t="s">
        <v>4940</v>
      </c>
      <c r="F285" s="115"/>
      <c r="J285" s="486"/>
      <c r="K285" s="483">
        <v>2026</v>
      </c>
      <c r="L285" s="483">
        <v>2027</v>
      </c>
      <c r="M285" s="483">
        <v>2028</v>
      </c>
      <c r="N285" s="483">
        <v>2029</v>
      </c>
      <c r="O285" s="483">
        <v>2030</v>
      </c>
    </row>
    <row r="286" spans="4:19" ht="12.75" customHeight="1" x14ac:dyDescent="0.25">
      <c r="D286" s="384"/>
      <c r="E286" s="381" t="s">
        <v>4941</v>
      </c>
      <c r="F286" s="115"/>
      <c r="J286" s="114"/>
      <c r="K286" s="114"/>
      <c r="L286" s="114"/>
      <c r="M286" s="114"/>
      <c r="N286" s="114"/>
      <c r="O286" s="114"/>
    </row>
    <row r="287" spans="4:19" ht="12.75" customHeight="1" x14ac:dyDescent="0.3">
      <c r="D287" s="384" t="s">
        <v>84</v>
      </c>
      <c r="E287" s="115" t="s">
        <v>5231</v>
      </c>
      <c r="F287" s="115"/>
      <c r="J287" s="114"/>
      <c r="K287" s="114">
        <f>ROUND(20041*R$2,0)</f>
        <v>20562</v>
      </c>
      <c r="L287" s="114">
        <f t="shared" ref="L287:L297" si="91">ROUND(K287*S$2,0)</f>
        <v>20994</v>
      </c>
      <c r="M287" s="114">
        <f t="shared" ref="M287:M297" si="92">ROUND(L287*T$2,0)</f>
        <v>21477</v>
      </c>
      <c r="N287" s="114">
        <f t="shared" ref="N287:N297" si="93">ROUND(M287*U$2,0)</f>
        <v>21971</v>
      </c>
      <c r="O287" s="114">
        <f t="shared" ref="O287:O297" si="94">ROUND(N287*V$2,0)</f>
        <v>22476</v>
      </c>
      <c r="P287" s="83"/>
    </row>
    <row r="288" spans="4:19" ht="12.75" customHeight="1" x14ac:dyDescent="0.3">
      <c r="D288" s="384" t="s">
        <v>97</v>
      </c>
      <c r="E288" s="115" t="s">
        <v>4943</v>
      </c>
      <c r="F288" s="115"/>
      <c r="J288" s="114"/>
      <c r="K288" s="114">
        <f>ROUND(20469*R$2,0)</f>
        <v>21001</v>
      </c>
      <c r="L288" s="114">
        <f t="shared" si="91"/>
        <v>21442</v>
      </c>
      <c r="M288" s="114">
        <f t="shared" si="92"/>
        <v>21935</v>
      </c>
      <c r="N288" s="114">
        <f t="shared" si="93"/>
        <v>22440</v>
      </c>
      <c r="O288" s="114">
        <f t="shared" si="94"/>
        <v>22956</v>
      </c>
      <c r="P288" s="83"/>
    </row>
    <row r="289" spans="4:20" ht="12.75" customHeight="1" x14ac:dyDescent="0.3">
      <c r="D289" s="384" t="s">
        <v>123</v>
      </c>
      <c r="E289" s="115" t="s">
        <v>4944</v>
      </c>
      <c r="F289" s="115"/>
      <c r="J289" s="114"/>
      <c r="K289" s="114">
        <f>ROUND(208973*R$2,0)</f>
        <v>214406</v>
      </c>
      <c r="L289" s="114">
        <f t="shared" si="91"/>
        <v>218909</v>
      </c>
      <c r="M289" s="114">
        <f t="shared" si="92"/>
        <v>223944</v>
      </c>
      <c r="N289" s="114">
        <f t="shared" si="93"/>
        <v>229095</v>
      </c>
      <c r="O289" s="114">
        <f t="shared" si="94"/>
        <v>234364</v>
      </c>
      <c r="P289" s="83"/>
    </row>
    <row r="290" spans="4:20" ht="12.75" customHeight="1" x14ac:dyDescent="0.3">
      <c r="D290" s="384" t="s">
        <v>123</v>
      </c>
      <c r="E290" s="115" t="s">
        <v>4945</v>
      </c>
      <c r="F290" s="115"/>
      <c r="J290" s="114"/>
      <c r="K290" s="114">
        <f>ROUND(27141*R$2,0)</f>
        <v>27847</v>
      </c>
      <c r="L290" s="114">
        <f t="shared" si="91"/>
        <v>28432</v>
      </c>
      <c r="M290" s="114">
        <f t="shared" si="92"/>
        <v>29086</v>
      </c>
      <c r="N290" s="114">
        <f t="shared" si="93"/>
        <v>29755</v>
      </c>
      <c r="O290" s="114">
        <f t="shared" si="94"/>
        <v>30439</v>
      </c>
      <c r="P290" s="83"/>
    </row>
    <row r="291" spans="4:20" ht="12.75" customHeight="1" x14ac:dyDescent="0.3">
      <c r="D291" s="384" t="s">
        <v>123</v>
      </c>
      <c r="E291" s="115" t="s">
        <v>4946</v>
      </c>
      <c r="F291" s="115"/>
      <c r="J291" s="114"/>
      <c r="K291" s="114">
        <f>ROUND(6918*R$2,0)</f>
        <v>7098</v>
      </c>
      <c r="L291" s="114">
        <f t="shared" si="91"/>
        <v>7247</v>
      </c>
      <c r="M291" s="114">
        <f t="shared" si="92"/>
        <v>7414</v>
      </c>
      <c r="N291" s="114">
        <f t="shared" si="93"/>
        <v>7585</v>
      </c>
      <c r="O291" s="114">
        <f t="shared" si="94"/>
        <v>7759</v>
      </c>
      <c r="P291" s="83"/>
    </row>
    <row r="292" spans="4:20" ht="12.75" customHeight="1" x14ac:dyDescent="0.3">
      <c r="D292" s="384" t="s">
        <v>129</v>
      </c>
      <c r="E292" s="115" t="s">
        <v>4947</v>
      </c>
      <c r="F292" s="115"/>
      <c r="J292" s="114"/>
      <c r="K292" s="114">
        <f>ROUND(31633*R$2,0)</f>
        <v>32455</v>
      </c>
      <c r="L292" s="114">
        <f t="shared" si="91"/>
        <v>33137</v>
      </c>
      <c r="M292" s="114">
        <f t="shared" si="92"/>
        <v>33899</v>
      </c>
      <c r="N292" s="114">
        <f t="shared" si="93"/>
        <v>34679</v>
      </c>
      <c r="O292" s="114">
        <f t="shared" si="94"/>
        <v>35477</v>
      </c>
      <c r="P292" s="83"/>
    </row>
    <row r="293" spans="4:20" ht="12.75" customHeight="1" x14ac:dyDescent="0.3">
      <c r="D293" s="384" t="s">
        <v>129</v>
      </c>
      <c r="E293" s="115" t="s">
        <v>5232</v>
      </c>
      <c r="F293" s="115"/>
      <c r="J293" s="114"/>
      <c r="K293" s="114">
        <f>ROUND(144626*R$2,0)</f>
        <v>148386</v>
      </c>
      <c r="L293" s="114">
        <f t="shared" si="91"/>
        <v>151502</v>
      </c>
      <c r="M293" s="114">
        <f t="shared" si="92"/>
        <v>154987</v>
      </c>
      <c r="N293" s="114">
        <f t="shared" si="93"/>
        <v>158552</v>
      </c>
      <c r="O293" s="114">
        <f t="shared" si="94"/>
        <v>162199</v>
      </c>
      <c r="P293" s="83"/>
    </row>
    <row r="294" spans="4:20" ht="12.75" customHeight="1" x14ac:dyDescent="0.3">
      <c r="D294" s="384" t="s">
        <v>129</v>
      </c>
      <c r="E294" s="115" t="s">
        <v>4949</v>
      </c>
      <c r="F294" s="115"/>
      <c r="J294" s="114"/>
      <c r="K294" s="114">
        <f>ROUND(39206*R$2,0)</f>
        <v>40225</v>
      </c>
      <c r="L294" s="114">
        <f t="shared" si="91"/>
        <v>41070</v>
      </c>
      <c r="M294" s="114">
        <f t="shared" si="92"/>
        <v>42015</v>
      </c>
      <c r="N294" s="114">
        <f t="shared" si="93"/>
        <v>42981</v>
      </c>
      <c r="O294" s="114">
        <f t="shared" si="94"/>
        <v>43970</v>
      </c>
      <c r="P294" s="83"/>
    </row>
    <row r="295" spans="4:20" ht="12.75" customHeight="1" x14ac:dyDescent="0.3">
      <c r="D295" s="384" t="s">
        <v>129</v>
      </c>
      <c r="E295" s="115" t="s">
        <v>4950</v>
      </c>
      <c r="F295" s="115"/>
      <c r="J295" s="114"/>
      <c r="K295" s="114">
        <f>ROUND(185914*R$2,0)</f>
        <v>190748</v>
      </c>
      <c r="L295" s="114">
        <f t="shared" si="91"/>
        <v>194754</v>
      </c>
      <c r="M295" s="114">
        <f t="shared" si="92"/>
        <v>199233</v>
      </c>
      <c r="N295" s="114">
        <f t="shared" si="93"/>
        <v>203815</v>
      </c>
      <c r="O295" s="114">
        <f t="shared" si="94"/>
        <v>208503</v>
      </c>
      <c r="P295" s="83"/>
    </row>
    <row r="296" spans="4:20" ht="12.75" customHeight="1" x14ac:dyDescent="0.3">
      <c r="D296" s="143" t="s">
        <v>129</v>
      </c>
      <c r="E296" s="115" t="s">
        <v>4951</v>
      </c>
      <c r="F296" s="115"/>
      <c r="J296" s="114"/>
      <c r="K296" s="114">
        <f>ROUND(23683*R$2,0)</f>
        <v>24299</v>
      </c>
      <c r="L296" s="114">
        <f t="shared" si="91"/>
        <v>24809</v>
      </c>
      <c r="M296" s="114">
        <f t="shared" si="92"/>
        <v>25380</v>
      </c>
      <c r="N296" s="114">
        <f t="shared" si="93"/>
        <v>25964</v>
      </c>
      <c r="O296" s="114">
        <f t="shared" si="94"/>
        <v>26561</v>
      </c>
      <c r="P296" s="83"/>
    </row>
    <row r="297" spans="4:20" ht="12.75" customHeight="1" x14ac:dyDescent="0.3">
      <c r="D297" s="143" t="s">
        <v>129</v>
      </c>
      <c r="E297" s="115" t="s">
        <v>4952</v>
      </c>
      <c r="F297" s="115"/>
      <c r="J297" s="114"/>
      <c r="K297" s="114">
        <f>ROUND(12828*R$2,0)</f>
        <v>13162</v>
      </c>
      <c r="L297" s="114">
        <f t="shared" si="91"/>
        <v>13438</v>
      </c>
      <c r="M297" s="114">
        <f t="shared" si="92"/>
        <v>13747</v>
      </c>
      <c r="N297" s="114">
        <f t="shared" si="93"/>
        <v>14063</v>
      </c>
      <c r="O297" s="114">
        <f t="shared" si="94"/>
        <v>14386</v>
      </c>
      <c r="P297" s="83"/>
    </row>
    <row r="298" spans="4:20" ht="12.75" customHeight="1" x14ac:dyDescent="0.25">
      <c r="E298" s="115"/>
      <c r="F298" s="115"/>
    </row>
    <row r="299" spans="4:20" ht="12.75" customHeight="1" thickBot="1" x14ac:dyDescent="0.35">
      <c r="E299" s="115"/>
      <c r="F299" s="115"/>
      <c r="J299" s="114"/>
      <c r="K299" s="1971">
        <f>SUM(K287:K298)</f>
        <v>740189</v>
      </c>
      <c r="L299" s="1971">
        <f>SUM(L287:L298)</f>
        <v>755734</v>
      </c>
      <c r="M299" s="1971">
        <f>SUM(M287:M298)</f>
        <v>773117</v>
      </c>
      <c r="N299" s="1971">
        <f>SUM(N287:N298)</f>
        <v>790900</v>
      </c>
      <c r="O299" s="1971">
        <f>SUM(O287:O298)</f>
        <v>809090</v>
      </c>
      <c r="P299" s="83"/>
    </row>
    <row r="300" spans="4:20" ht="12.75" customHeight="1" thickTop="1" x14ac:dyDescent="0.3">
      <c r="E300" s="115"/>
      <c r="F300" s="115"/>
      <c r="H300" s="114"/>
      <c r="I300" s="114"/>
      <c r="J300" s="114"/>
      <c r="K300" s="114"/>
      <c r="L300" s="114"/>
      <c r="M300" s="114"/>
      <c r="N300" s="114"/>
      <c r="O300" s="114"/>
      <c r="P300" s="114"/>
      <c r="Q300" s="494"/>
      <c r="S300" s="24"/>
      <c r="T300" s="24"/>
    </row>
    <row r="301" spans="4:20" ht="12.75" customHeight="1" x14ac:dyDescent="0.3">
      <c r="D301" s="393">
        <v>653902</v>
      </c>
      <c r="E301" s="381" t="s">
        <v>5208</v>
      </c>
      <c r="F301" s="115"/>
      <c r="H301" s="114"/>
      <c r="I301" s="114"/>
      <c r="J301" s="154"/>
      <c r="K301" s="483">
        <v>2026</v>
      </c>
      <c r="L301" s="483">
        <v>2027</v>
      </c>
      <c r="M301" s="483">
        <v>2028</v>
      </c>
      <c r="N301" s="483">
        <v>2029</v>
      </c>
      <c r="O301" s="483">
        <v>2030</v>
      </c>
      <c r="Q301" s="494"/>
      <c r="S301" s="24"/>
    </row>
    <row r="302" spans="4:20" ht="12.75" customHeight="1" x14ac:dyDescent="0.3">
      <c r="D302" s="384"/>
      <c r="E302" s="383" t="s">
        <v>533</v>
      </c>
      <c r="F302" s="115"/>
      <c r="H302" s="114"/>
      <c r="I302" s="114"/>
      <c r="J302" s="114"/>
      <c r="K302" s="114"/>
      <c r="L302" s="114"/>
      <c r="M302" s="114"/>
      <c r="N302" s="114"/>
      <c r="O302" s="114"/>
      <c r="Q302" s="494"/>
      <c r="S302" s="24"/>
    </row>
    <row r="303" spans="4:20" ht="12.75" customHeight="1" x14ac:dyDescent="0.3">
      <c r="D303" s="143">
        <v>41100</v>
      </c>
      <c r="E303" s="115" t="s">
        <v>700</v>
      </c>
      <c r="F303" s="115"/>
      <c r="Q303" s="114"/>
      <c r="S303" s="24"/>
    </row>
    <row r="304" spans="4:20" ht="12.75" customHeight="1" x14ac:dyDescent="0.3">
      <c r="D304" s="143"/>
      <c r="E304" s="496" t="s">
        <v>2996</v>
      </c>
      <c r="F304" s="115"/>
      <c r="J304" s="114"/>
      <c r="K304" s="114">
        <v>149055.57999999999</v>
      </c>
      <c r="L304" s="114">
        <f>ROUND(K304*S$3,0)</f>
        <v>155316</v>
      </c>
      <c r="M304" s="114">
        <f>ROUND(L304*T$3,0)</f>
        <v>161063</v>
      </c>
      <c r="N304" s="114">
        <f>ROUND(M304*U$3,0)</f>
        <v>167022</v>
      </c>
      <c r="O304" s="114">
        <f>ROUND(N304*V$3,0)</f>
        <v>173202</v>
      </c>
      <c r="S304" s="24"/>
    </row>
    <row r="305" spans="4:19" ht="12.75" customHeight="1" thickBot="1" x14ac:dyDescent="0.35">
      <c r="D305" s="384"/>
      <c r="E305" s="115" t="str">
        <f>"Totaal "&amp;D303</f>
        <v>Totaal 41100</v>
      </c>
      <c r="F305" s="115"/>
      <c r="J305" s="114"/>
      <c r="K305" s="1971">
        <f>SUM(K303:K304)</f>
        <v>149055.57999999999</v>
      </c>
      <c r="L305" s="1971">
        <f>SUM(L303:L304)</f>
        <v>155316</v>
      </c>
      <c r="M305" s="1971">
        <f>SUM(M303:M304)</f>
        <v>161063</v>
      </c>
      <c r="N305" s="1971">
        <f>SUM(N303:N304)</f>
        <v>167022</v>
      </c>
      <c r="O305" s="1971">
        <f>SUM(O303:O304)</f>
        <v>173202</v>
      </c>
      <c r="P305" s="114"/>
      <c r="S305" s="24"/>
    </row>
    <row r="306" spans="4:19" ht="12.75" customHeight="1" thickTop="1" x14ac:dyDescent="0.25">
      <c r="E306" s="115"/>
      <c r="F306" s="115"/>
      <c r="J306" s="114"/>
      <c r="K306" s="114"/>
      <c r="L306" s="114"/>
      <c r="M306" s="114"/>
      <c r="N306" s="114"/>
      <c r="O306" s="114"/>
    </row>
    <row r="307" spans="4:19" ht="12.75" customHeight="1" x14ac:dyDescent="0.25">
      <c r="D307" s="143">
        <v>43812</v>
      </c>
      <c r="E307" s="308" t="s">
        <v>5233</v>
      </c>
      <c r="F307" s="115"/>
      <c r="H307" s="485"/>
      <c r="I307" s="485"/>
      <c r="J307" s="114"/>
      <c r="K307" s="114">
        <f>ROUND(68539*R$2,0)</f>
        <v>70321</v>
      </c>
      <c r="L307" s="114">
        <f>ROUND(K307*S$2,0)</f>
        <v>71798</v>
      </c>
      <c r="M307" s="114">
        <f>ROUND(L307*T$2,0)</f>
        <v>73449</v>
      </c>
      <c r="N307" s="114">
        <f>ROUND(M307*U$2,0)</f>
        <v>75138</v>
      </c>
      <c r="O307" s="114">
        <f>ROUND(N307*V$2,0)</f>
        <v>76866</v>
      </c>
    </row>
    <row r="308" spans="4:19" ht="12.75" customHeight="1" x14ac:dyDescent="0.25">
      <c r="E308" s="308" t="s">
        <v>5234</v>
      </c>
      <c r="F308" s="115"/>
      <c r="J308" s="114"/>
      <c r="K308" s="431">
        <f>14300+6100</f>
        <v>20400</v>
      </c>
      <c r="L308" s="431">
        <f>14700+6229</f>
        <v>20929</v>
      </c>
      <c r="M308" s="431">
        <f>15000+6366</f>
        <v>21366</v>
      </c>
      <c r="N308" s="431">
        <f>15300+6506</f>
        <v>21806</v>
      </c>
      <c r="O308" s="431">
        <f>15300+6506</f>
        <v>21806</v>
      </c>
    </row>
    <row r="309" spans="4:19" ht="12.75" customHeight="1" thickBot="1" x14ac:dyDescent="0.3">
      <c r="E309" s="115" t="str">
        <f>"Totaal "&amp;D307</f>
        <v>Totaal 43812</v>
      </c>
      <c r="F309" s="115"/>
      <c r="J309" s="114"/>
      <c r="K309" s="1971">
        <f t="shared" ref="K309" si="95">SUM(K307:K308)</f>
        <v>90721</v>
      </c>
      <c r="L309" s="1971">
        <f t="shared" ref="L309:M309" si="96">SUM(L307:L308)</f>
        <v>92727</v>
      </c>
      <c r="M309" s="1971">
        <f t="shared" si="96"/>
        <v>94815</v>
      </c>
      <c r="N309" s="1971">
        <f t="shared" ref="N309:O309" si="97">SUM(N307:N308)</f>
        <v>96944</v>
      </c>
      <c r="O309" s="1971">
        <f t="shared" si="97"/>
        <v>98672</v>
      </c>
    </row>
    <row r="310" spans="4:19" ht="12.75" customHeight="1" thickTop="1" x14ac:dyDescent="0.25">
      <c r="E310" s="115"/>
      <c r="F310" s="115"/>
      <c r="J310" s="114"/>
      <c r="K310" s="114"/>
      <c r="L310" s="114"/>
      <c r="M310" s="114"/>
      <c r="N310" s="114"/>
      <c r="O310" s="114"/>
    </row>
    <row r="311" spans="4:19" ht="12.75" customHeight="1" x14ac:dyDescent="0.25">
      <c r="D311" s="143"/>
      <c r="E311" s="2510" t="s">
        <v>5235</v>
      </c>
      <c r="F311" s="2510"/>
      <c r="G311" s="2510"/>
      <c r="H311" s="2510"/>
      <c r="I311" s="2510"/>
      <c r="J311" s="2510"/>
      <c r="K311" s="414"/>
      <c r="L311" s="414"/>
      <c r="M311" s="414"/>
      <c r="N311" s="414"/>
      <c r="O311" s="414"/>
    </row>
    <row r="312" spans="4:19" ht="12.75" customHeight="1" x14ac:dyDescent="0.25">
      <c r="D312" s="497"/>
      <c r="E312" s="2510"/>
      <c r="F312" s="2510"/>
      <c r="G312" s="2510"/>
      <c r="H312" s="2510"/>
      <c r="I312" s="2510"/>
      <c r="J312" s="2510"/>
      <c r="K312" s="414"/>
      <c r="L312" s="414"/>
      <c r="M312" s="414"/>
      <c r="N312" s="414"/>
      <c r="O312" s="414"/>
    </row>
    <row r="313" spans="4:19" ht="12.75" customHeight="1" x14ac:dyDescent="0.25">
      <c r="D313" s="497"/>
      <c r="E313" s="2510"/>
      <c r="F313" s="2510"/>
      <c r="G313" s="2510"/>
      <c r="H313" s="2510"/>
      <c r="I313" s="2510"/>
      <c r="J313" s="2510"/>
      <c r="K313" s="414"/>
      <c r="L313" s="414"/>
      <c r="M313" s="414"/>
      <c r="N313" s="414"/>
      <c r="O313" s="414"/>
    </row>
    <row r="314" spans="4:19" ht="12.75" customHeight="1" x14ac:dyDescent="0.25">
      <c r="E314" s="115" t="s">
        <v>5236</v>
      </c>
      <c r="F314" s="115"/>
      <c r="G314" s="484"/>
    </row>
    <row r="315" spans="4:19" ht="12.75" customHeight="1" x14ac:dyDescent="0.25">
      <c r="E315" s="115" t="s">
        <v>5237</v>
      </c>
      <c r="F315" s="115"/>
      <c r="G315" s="484"/>
    </row>
    <row r="316" spans="4:19" ht="12.75" customHeight="1" x14ac:dyDescent="0.25">
      <c r="D316" s="143"/>
      <c r="F316" s="115"/>
      <c r="H316" s="114"/>
      <c r="I316" s="114"/>
      <c r="J316" s="114"/>
      <c r="K316" s="114"/>
      <c r="L316" s="114"/>
      <c r="M316" s="114"/>
      <c r="N316" s="114"/>
      <c r="O316" s="114"/>
    </row>
    <row r="317" spans="4:19" ht="12.75" customHeight="1" x14ac:dyDescent="0.25">
      <c r="D317" s="393">
        <v>653901</v>
      </c>
      <c r="E317" s="381" t="s">
        <v>5207</v>
      </c>
      <c r="F317" s="115"/>
      <c r="H317" s="114"/>
      <c r="I317" s="114"/>
      <c r="J317" s="383"/>
      <c r="K317" s="483">
        <v>2026</v>
      </c>
      <c r="L317" s="483">
        <v>2027</v>
      </c>
      <c r="M317" s="483">
        <v>2028</v>
      </c>
      <c r="N317" s="483">
        <v>2029</v>
      </c>
      <c r="O317" s="483">
        <v>2030</v>
      </c>
    </row>
    <row r="318" spans="4:19" ht="12.75" customHeight="1" x14ac:dyDescent="0.25">
      <c r="D318" s="384"/>
      <c r="E318" s="383" t="s">
        <v>533</v>
      </c>
      <c r="F318" s="115"/>
      <c r="H318" s="114"/>
      <c r="I318" s="114"/>
      <c r="J318" s="114"/>
      <c r="K318" s="114"/>
      <c r="L318" s="114"/>
      <c r="M318" s="114"/>
      <c r="N318" s="114"/>
      <c r="O318" s="114"/>
    </row>
    <row r="319" spans="4:19" ht="12.75" customHeight="1" x14ac:dyDescent="0.25">
      <c r="D319" s="384">
        <v>41100</v>
      </c>
      <c r="E319" s="115" t="s">
        <v>700</v>
      </c>
      <c r="F319" s="115"/>
      <c r="H319" s="114"/>
      <c r="I319" s="114"/>
    </row>
    <row r="320" spans="4:19" ht="12.75" customHeight="1" x14ac:dyDescent="0.25">
      <c r="D320" s="143"/>
      <c r="E320" s="308" t="s">
        <v>930</v>
      </c>
      <c r="F320" s="115"/>
      <c r="H320" s="114"/>
      <c r="I320" s="114"/>
      <c r="J320" s="114"/>
      <c r="K320" s="114">
        <v>17088.39</v>
      </c>
      <c r="L320" s="114">
        <f t="shared" ref="L320:O322" si="98">ROUND(K320*S$3,0)</f>
        <v>17806</v>
      </c>
      <c r="M320" s="114">
        <f t="shared" si="98"/>
        <v>18465</v>
      </c>
      <c r="N320" s="114">
        <f t="shared" si="98"/>
        <v>19148</v>
      </c>
      <c r="O320" s="114">
        <f t="shared" si="98"/>
        <v>19856</v>
      </c>
    </row>
    <row r="321" spans="1:21" ht="12.75" customHeight="1" x14ac:dyDescent="0.25">
      <c r="D321" s="143"/>
      <c r="E321" s="308" t="s">
        <v>2764</v>
      </c>
      <c r="F321" s="115"/>
      <c r="H321" s="114"/>
      <c r="I321" s="114"/>
      <c r="J321" s="114"/>
      <c r="K321" s="114">
        <v>431902.69</v>
      </c>
      <c r="L321" s="114">
        <f t="shared" si="98"/>
        <v>450043</v>
      </c>
      <c r="M321" s="114">
        <f t="shared" si="98"/>
        <v>466695</v>
      </c>
      <c r="N321" s="114">
        <f t="shared" si="98"/>
        <v>483963</v>
      </c>
      <c r="O321" s="114">
        <f t="shared" si="98"/>
        <v>501870</v>
      </c>
    </row>
    <row r="322" spans="1:21" ht="12.75" customHeight="1" x14ac:dyDescent="0.25">
      <c r="D322" s="143"/>
      <c r="E322" s="308" t="s">
        <v>707</v>
      </c>
      <c r="F322" s="115"/>
      <c r="H322" s="114"/>
      <c r="I322" s="114"/>
      <c r="J322" s="114"/>
      <c r="K322" s="114">
        <v>191309.82</v>
      </c>
      <c r="L322" s="114">
        <f t="shared" si="98"/>
        <v>199345</v>
      </c>
      <c r="M322" s="114">
        <f t="shared" si="98"/>
        <v>206721</v>
      </c>
      <c r="N322" s="114">
        <f t="shared" si="98"/>
        <v>214370</v>
      </c>
      <c r="O322" s="114">
        <f t="shared" si="98"/>
        <v>222302</v>
      </c>
    </row>
    <row r="324" spans="1:21" ht="12.75" customHeight="1" thickBot="1" x14ac:dyDescent="0.3">
      <c r="D324" s="384"/>
      <c r="E324" s="115" t="str">
        <f>"Totaal "&amp;D319</f>
        <v>Totaal 41100</v>
      </c>
      <c r="F324" s="115"/>
      <c r="H324" s="114"/>
      <c r="I324" s="114"/>
      <c r="J324" s="114"/>
      <c r="K324" s="1971">
        <f>SUM(K320:K323)</f>
        <v>640300.9</v>
      </c>
      <c r="L324" s="1971">
        <f>SUM(L320:L323)</f>
        <v>667194</v>
      </c>
      <c r="M324" s="1971">
        <f>SUM(M320:M323)</f>
        <v>691881</v>
      </c>
      <c r="N324" s="1971">
        <f>SUM(N320:N323)</f>
        <v>717481</v>
      </c>
      <c r="O324" s="1971">
        <f>SUM(O320:O323)</f>
        <v>744028</v>
      </c>
      <c r="Q324" s="114"/>
    </row>
    <row r="325" spans="1:21" ht="12.75" customHeight="1" thickTop="1" x14ac:dyDescent="0.25">
      <c r="D325" s="384"/>
      <c r="E325" s="115"/>
      <c r="F325" s="115"/>
      <c r="H325" s="114"/>
      <c r="I325" s="114"/>
      <c r="J325" s="114"/>
      <c r="K325" s="114"/>
      <c r="L325" s="114"/>
      <c r="M325" s="114"/>
      <c r="N325" s="114"/>
      <c r="O325" s="114"/>
      <c r="Q325" s="114"/>
    </row>
    <row r="326" spans="1:21" ht="12.75" customHeight="1" x14ac:dyDescent="0.25">
      <c r="D326" s="2284">
        <v>43812</v>
      </c>
      <c r="E326" s="2285" t="s">
        <v>5384</v>
      </c>
      <c r="F326" s="1720"/>
      <c r="G326" s="1720"/>
      <c r="H326" s="2177"/>
      <c r="I326" s="114"/>
      <c r="J326" s="114"/>
      <c r="K326" s="114"/>
      <c r="L326" s="114"/>
      <c r="M326" s="114"/>
      <c r="N326" s="114"/>
      <c r="O326" s="114"/>
      <c r="Q326" s="114"/>
    </row>
    <row r="327" spans="1:21" ht="12.75" customHeight="1" x14ac:dyDescent="0.25">
      <c r="D327" s="143"/>
      <c r="F327" s="489"/>
      <c r="H327" s="114"/>
      <c r="I327" s="114"/>
      <c r="J327" s="114"/>
      <c r="K327" s="114"/>
      <c r="L327" s="114"/>
      <c r="M327" s="114"/>
      <c r="N327" s="114"/>
      <c r="O327" s="114"/>
      <c r="Q327" s="114"/>
    </row>
    <row r="328" spans="1:21" ht="12.75" customHeight="1" x14ac:dyDescent="0.25">
      <c r="D328" s="498">
        <v>653005</v>
      </c>
      <c r="E328" s="381" t="s">
        <v>5209</v>
      </c>
      <c r="F328" s="115"/>
      <c r="H328" s="114"/>
      <c r="I328" s="114"/>
      <c r="J328" s="114"/>
      <c r="K328" s="114"/>
      <c r="L328" s="114"/>
      <c r="M328" s="114"/>
      <c r="N328" s="114"/>
      <c r="O328" s="114"/>
    </row>
    <row r="329" spans="1:21" ht="12.75" customHeight="1" x14ac:dyDescent="0.25">
      <c r="D329" s="497"/>
      <c r="E329" s="308" t="s">
        <v>5238</v>
      </c>
      <c r="F329" s="115"/>
      <c r="G329" s="405"/>
      <c r="H329" s="399"/>
      <c r="I329" s="399"/>
      <c r="J329" s="399"/>
      <c r="K329" s="399"/>
      <c r="L329" s="399"/>
      <c r="M329" s="399"/>
      <c r="N329" s="399"/>
      <c r="O329" s="399"/>
    </row>
    <row r="330" spans="1:21" ht="12.75" customHeight="1" x14ac:dyDescent="0.25">
      <c r="D330" s="497"/>
      <c r="E330" s="308" t="s">
        <v>5239</v>
      </c>
      <c r="F330" s="115"/>
      <c r="G330" s="405"/>
      <c r="H330" s="399"/>
      <c r="I330" s="399"/>
      <c r="J330" s="399"/>
      <c r="K330" s="399"/>
      <c r="L330" s="399"/>
      <c r="M330" s="399"/>
      <c r="N330" s="399"/>
      <c r="O330" s="399"/>
    </row>
    <row r="331" spans="1:21" ht="12.75" customHeight="1" x14ac:dyDescent="0.25">
      <c r="D331" s="497"/>
      <c r="E331" s="308" t="s">
        <v>5240</v>
      </c>
      <c r="F331" s="115"/>
      <c r="G331" s="405"/>
      <c r="H331" s="399"/>
      <c r="I331" s="399"/>
      <c r="J331" s="399"/>
      <c r="K331" s="399"/>
      <c r="L331" s="399"/>
      <c r="M331" s="399"/>
      <c r="N331" s="399"/>
      <c r="O331" s="399"/>
    </row>
    <row r="332" spans="1:21" s="359" customFormat="1" ht="12.75" customHeight="1" x14ac:dyDescent="0.25">
      <c r="A332" s="499"/>
      <c r="D332" s="434"/>
      <c r="E332" s="384"/>
      <c r="F332" s="115"/>
      <c r="G332" s="115"/>
      <c r="H332" s="114"/>
      <c r="I332" s="114"/>
      <c r="J332" s="114"/>
      <c r="K332" s="114"/>
      <c r="L332" s="114"/>
      <c r="M332" s="114"/>
      <c r="N332" s="114"/>
      <c r="O332" s="114"/>
      <c r="P332" s="115"/>
      <c r="Q332" s="115"/>
      <c r="R332" s="115"/>
      <c r="S332" s="115"/>
      <c r="T332" s="115"/>
      <c r="U332" s="115"/>
    </row>
    <row r="333" spans="1:21" s="359" customFormat="1" ht="12.75" customHeight="1" x14ac:dyDescent="0.25">
      <c r="A333" s="499"/>
      <c r="D333" s="301" t="s">
        <v>5241</v>
      </c>
      <c r="E333" s="143"/>
      <c r="F333" s="115"/>
      <c r="G333" s="115"/>
      <c r="H333" s="114"/>
      <c r="I333" s="114"/>
      <c r="J333" s="114"/>
      <c r="K333" s="114">
        <v>837500</v>
      </c>
      <c r="L333" s="114">
        <v>837500</v>
      </c>
      <c r="M333" s="114">
        <v>837500</v>
      </c>
      <c r="N333" s="114">
        <v>837500</v>
      </c>
      <c r="O333" s="114">
        <v>837500</v>
      </c>
      <c r="P333" s="115"/>
      <c r="Q333" s="115"/>
      <c r="R333" s="115"/>
      <c r="S333" s="115"/>
      <c r="T333" s="115"/>
      <c r="U333" s="115"/>
    </row>
    <row r="334" spans="1:21" s="359" customFormat="1" ht="12.75" customHeight="1" x14ac:dyDescent="0.25">
      <c r="A334" s="499"/>
      <c r="D334" s="301" t="s">
        <v>5242</v>
      </c>
      <c r="E334" s="143"/>
      <c r="F334" s="115"/>
      <c r="G334" s="115"/>
      <c r="H334" s="114"/>
      <c r="I334" s="114"/>
      <c r="J334" s="114"/>
      <c r="K334" s="114">
        <v>-285000</v>
      </c>
      <c r="L334" s="114">
        <v>-285000</v>
      </c>
      <c r="M334" s="114">
        <v>-285000</v>
      </c>
      <c r="N334" s="114">
        <v>-285000</v>
      </c>
      <c r="O334" s="114">
        <v>-285000</v>
      </c>
      <c r="P334" s="115"/>
      <c r="Q334" s="115"/>
      <c r="R334" s="115"/>
      <c r="S334" s="115"/>
      <c r="T334" s="115"/>
      <c r="U334" s="115"/>
    </row>
    <row r="335" spans="1:21" s="359" customFormat="1" ht="12.75" customHeight="1" x14ac:dyDescent="0.25">
      <c r="A335" s="499"/>
      <c r="D335" s="301" t="s">
        <v>5243</v>
      </c>
      <c r="E335" s="143"/>
      <c r="F335" s="115"/>
      <c r="G335" s="115"/>
      <c r="H335" s="114"/>
      <c r="I335" s="114"/>
      <c r="J335" s="114"/>
      <c r="K335" s="114">
        <v>2000</v>
      </c>
      <c r="L335" s="114">
        <v>2000</v>
      </c>
      <c r="M335" s="114">
        <v>2000</v>
      </c>
      <c r="N335" s="114">
        <v>2000</v>
      </c>
      <c r="O335" s="114">
        <v>2000</v>
      </c>
      <c r="P335" s="115"/>
      <c r="Q335" s="115"/>
      <c r="R335" s="115"/>
      <c r="S335" s="115"/>
      <c r="T335" s="115"/>
      <c r="U335" s="115"/>
    </row>
    <row r="336" spans="1:21" s="359" customFormat="1" ht="12.75" customHeight="1" x14ac:dyDescent="0.25">
      <c r="A336" s="499"/>
      <c r="D336" s="301" t="s">
        <v>5244</v>
      </c>
      <c r="E336" s="143"/>
      <c r="F336" s="115"/>
      <c r="G336" s="115"/>
      <c r="H336" s="114"/>
      <c r="I336" s="114"/>
      <c r="J336" s="114"/>
      <c r="K336" s="114">
        <f t="shared" ref="K336:O336" si="99">125000+175000</f>
        <v>300000</v>
      </c>
      <c r="L336" s="114">
        <f t="shared" si="99"/>
        <v>300000</v>
      </c>
      <c r="M336" s="114">
        <f t="shared" si="99"/>
        <v>300000</v>
      </c>
      <c r="N336" s="114">
        <f t="shared" si="99"/>
        <v>300000</v>
      </c>
      <c r="O336" s="114">
        <f t="shared" si="99"/>
        <v>300000</v>
      </c>
      <c r="P336" s="115"/>
      <c r="Q336" s="115"/>
      <c r="R336" s="115"/>
      <c r="S336" s="115"/>
      <c r="T336" s="115"/>
      <c r="U336" s="115"/>
    </row>
    <row r="337" spans="1:21" s="359" customFormat="1" ht="12.75" customHeight="1" x14ac:dyDescent="0.25">
      <c r="A337" s="499"/>
      <c r="D337" s="301" t="s">
        <v>5245</v>
      </c>
      <c r="E337" s="143"/>
      <c r="F337" s="115"/>
      <c r="G337" s="115"/>
      <c r="H337" s="114"/>
      <c r="I337" s="114"/>
      <c r="J337" s="114"/>
      <c r="K337" s="431">
        <v>500</v>
      </c>
      <c r="L337" s="431">
        <v>500</v>
      </c>
      <c r="M337" s="431">
        <v>500</v>
      </c>
      <c r="N337" s="431">
        <v>500</v>
      </c>
      <c r="O337" s="431">
        <v>500</v>
      </c>
      <c r="P337" s="115"/>
      <c r="Q337" s="115"/>
      <c r="R337" s="115"/>
      <c r="S337" s="115"/>
      <c r="T337" s="115"/>
      <c r="U337" s="115"/>
    </row>
    <row r="338" spans="1:21" s="359" customFormat="1" ht="12.75" customHeight="1" thickBot="1" x14ac:dyDescent="0.3">
      <c r="A338" s="499"/>
      <c r="D338" s="301" t="s">
        <v>5246</v>
      </c>
      <c r="E338" s="143"/>
      <c r="F338" s="115"/>
      <c r="G338" s="115"/>
      <c r="H338" s="114"/>
      <c r="I338" s="114"/>
      <c r="J338" s="114"/>
      <c r="K338" s="1971">
        <f>SUM(K333:K337)</f>
        <v>855000</v>
      </c>
      <c r="L338" s="1971">
        <f>SUM(L333:L337)</f>
        <v>855000</v>
      </c>
      <c r="M338" s="1971">
        <f>SUM(M333:M337)</f>
        <v>855000</v>
      </c>
      <c r="N338" s="1971">
        <f>SUM(N333:N337)</f>
        <v>855000</v>
      </c>
      <c r="O338" s="1971">
        <f>SUM(O333:O337)</f>
        <v>855000</v>
      </c>
      <c r="P338" s="115"/>
      <c r="Q338" s="115"/>
      <c r="R338" s="115"/>
      <c r="S338" s="115"/>
      <c r="T338" s="115"/>
      <c r="U338" s="115"/>
    </row>
    <row r="339" spans="1:21" s="359" customFormat="1" ht="12.75" customHeight="1" thickTop="1" x14ac:dyDescent="0.25">
      <c r="A339" s="499"/>
      <c r="D339" s="301"/>
      <c r="E339" s="143"/>
      <c r="F339" s="115"/>
      <c r="G339" s="115"/>
      <c r="H339" s="114"/>
      <c r="I339" s="114"/>
      <c r="J339" s="114"/>
      <c r="K339" s="114"/>
      <c r="L339" s="114"/>
      <c r="M339" s="114"/>
      <c r="N339" s="114"/>
      <c r="O339" s="114"/>
      <c r="P339" s="115"/>
      <c r="Q339" s="115"/>
      <c r="R339" s="115"/>
      <c r="S339" s="115"/>
      <c r="T339" s="115"/>
      <c r="U339" s="115"/>
    </row>
    <row r="340" spans="1:21" s="359" customFormat="1" ht="12.75" customHeight="1" x14ac:dyDescent="0.25">
      <c r="A340" s="499"/>
      <c r="D340" s="312" t="s">
        <v>5247</v>
      </c>
      <c r="E340" s="382"/>
      <c r="F340" s="115"/>
      <c r="G340" s="115"/>
      <c r="H340" s="114"/>
      <c r="I340" s="114"/>
      <c r="J340" s="383"/>
      <c r="K340" s="483">
        <v>2026</v>
      </c>
      <c r="L340" s="483">
        <v>2027</v>
      </c>
      <c r="M340" s="483">
        <v>2028</v>
      </c>
      <c r="N340" s="483">
        <v>2029</v>
      </c>
      <c r="O340" s="483">
        <v>2030</v>
      </c>
      <c r="P340" s="115"/>
      <c r="Q340" s="115"/>
      <c r="R340" s="115"/>
      <c r="S340" s="115"/>
      <c r="T340" s="115"/>
      <c r="U340" s="115"/>
    </row>
    <row r="341" spans="1:21" s="359" customFormat="1" ht="12.75" customHeight="1" x14ac:dyDescent="0.25">
      <c r="A341" s="499"/>
      <c r="B341" s="301"/>
      <c r="C341" s="301"/>
      <c r="D341" s="301" t="s">
        <v>5246</v>
      </c>
      <c r="E341" s="143"/>
      <c r="F341" s="115"/>
      <c r="G341" s="115"/>
      <c r="H341" s="114"/>
      <c r="I341" s="114"/>
      <c r="J341" s="114"/>
      <c r="K341" s="114">
        <f>K338</f>
        <v>855000</v>
      </c>
      <c r="L341" s="114">
        <f>L338</f>
        <v>855000</v>
      </c>
      <c r="M341" s="114">
        <f>M338</f>
        <v>855000</v>
      </c>
      <c r="N341" s="114">
        <f>N338</f>
        <v>855000</v>
      </c>
      <c r="O341" s="114">
        <f>O338</f>
        <v>855000</v>
      </c>
      <c r="P341" s="115"/>
      <c r="Q341" s="115"/>
      <c r="R341" s="115"/>
      <c r="S341" s="115"/>
      <c r="T341" s="115"/>
      <c r="U341" s="115"/>
    </row>
    <row r="342" spans="1:21" s="359" customFormat="1" ht="12.75" customHeight="1" x14ac:dyDescent="0.25">
      <c r="A342" s="499"/>
      <c r="B342" s="301"/>
      <c r="C342" s="301"/>
      <c r="D342" s="301" t="s">
        <v>5248</v>
      </c>
      <c r="E342" s="143"/>
      <c r="F342" s="115"/>
      <c r="G342" s="115"/>
      <c r="H342" s="114"/>
      <c r="I342" s="114"/>
      <c r="J342" s="114"/>
      <c r="K342" s="114">
        <f>K28+K29+K38+K45+K39</f>
        <v>565580.57999999996</v>
      </c>
      <c r="L342" s="114">
        <f>L28+L29+L38+L45+L39</f>
        <v>550056</v>
      </c>
      <c r="M342" s="114">
        <f>M28+M29+M38+M45+M39</f>
        <v>564846</v>
      </c>
      <c r="N342" s="114">
        <f>N28+N29+N38+N45+N39</f>
        <v>580040</v>
      </c>
      <c r="O342" s="114">
        <f>O28+O29+O38+O45+O39</f>
        <v>595220</v>
      </c>
      <c r="P342" s="115"/>
      <c r="Q342" s="115"/>
      <c r="R342" s="115"/>
      <c r="S342" s="115"/>
      <c r="T342" s="115"/>
      <c r="U342" s="115"/>
    </row>
    <row r="343" spans="1:21" s="359" customFormat="1" ht="12.75" customHeight="1" x14ac:dyDescent="0.25">
      <c r="A343" s="499"/>
      <c r="B343" s="301"/>
      <c r="C343" s="301"/>
      <c r="D343" s="301" t="s">
        <v>5249</v>
      </c>
      <c r="E343" s="143"/>
      <c r="F343" s="115"/>
      <c r="G343" s="115"/>
      <c r="H343" s="114"/>
      <c r="I343" s="114"/>
      <c r="J343" s="114"/>
      <c r="K343" s="114"/>
      <c r="L343" s="114"/>
      <c r="M343" s="114"/>
      <c r="N343" s="114"/>
      <c r="O343" s="114"/>
      <c r="P343" s="115"/>
      <c r="Q343" s="115"/>
      <c r="R343" s="115"/>
      <c r="S343" s="115"/>
      <c r="T343" s="115"/>
      <c r="U343" s="115"/>
    </row>
    <row r="344" spans="1:21" s="359" customFormat="1" ht="12.75" customHeight="1" x14ac:dyDescent="0.25">
      <c r="A344" s="499"/>
      <c r="D344" s="301" t="s">
        <v>5250</v>
      </c>
      <c r="E344" s="143"/>
      <c r="F344" s="115"/>
      <c r="G344" s="115"/>
      <c r="H344" s="114"/>
      <c r="I344" s="114"/>
      <c r="J344" s="114"/>
      <c r="K344" s="114">
        <f>K380</f>
        <v>126930.37092729975</v>
      </c>
      <c r="L344" s="114">
        <f t="shared" ref="L344:N344" si="100">L380</f>
        <v>131177.53551737955</v>
      </c>
      <c r="M344" s="114">
        <f t="shared" si="100"/>
        <v>131169.08945618288</v>
      </c>
      <c r="N344" s="114">
        <f t="shared" si="100"/>
        <v>135463.50068234518</v>
      </c>
      <c r="O344" s="114">
        <f t="shared" ref="O344" si="101">O380</f>
        <v>135463.50068234518</v>
      </c>
      <c r="P344" s="115"/>
      <c r="Q344" s="115"/>
      <c r="R344" s="115"/>
      <c r="S344" s="115"/>
      <c r="T344" s="115"/>
      <c r="U344" s="115"/>
    </row>
    <row r="345" spans="1:21" s="359" customFormat="1" ht="12.75" customHeight="1" x14ac:dyDescent="0.25">
      <c r="A345" s="499"/>
      <c r="D345" s="301" t="s">
        <v>5251</v>
      </c>
      <c r="E345" s="143"/>
      <c r="F345" s="115"/>
      <c r="G345" s="115"/>
      <c r="H345" s="114"/>
      <c r="I345" s="114"/>
      <c r="J345" s="114"/>
      <c r="K345" s="114"/>
      <c r="L345" s="114"/>
      <c r="M345" s="114"/>
      <c r="N345" s="114"/>
      <c r="O345" s="114"/>
      <c r="P345" s="115"/>
      <c r="Q345" s="115"/>
      <c r="R345" s="115"/>
      <c r="S345" s="115"/>
      <c r="T345" s="115"/>
      <c r="U345" s="115"/>
    </row>
    <row r="346" spans="1:21" s="359" customFormat="1" ht="12.75" customHeight="1" thickBot="1" x14ac:dyDescent="0.3">
      <c r="A346" s="499"/>
      <c r="D346" s="301" t="s">
        <v>5252</v>
      </c>
      <c r="E346" s="143"/>
      <c r="F346" s="115"/>
      <c r="G346" s="115"/>
      <c r="H346" s="114"/>
      <c r="I346" s="114"/>
      <c r="J346" s="114"/>
      <c r="K346" s="1971">
        <f t="shared" ref="K346:M346" si="102">K341-K342-K344</f>
        <v>162489.04907270029</v>
      </c>
      <c r="L346" s="1971">
        <f t="shared" si="102"/>
        <v>173766.46448262045</v>
      </c>
      <c r="M346" s="1971">
        <f t="shared" si="102"/>
        <v>158984.91054381712</v>
      </c>
      <c r="N346" s="1971">
        <f t="shared" ref="N346:O346" si="103">N341-N342-N344</f>
        <v>139496.49931765482</v>
      </c>
      <c r="O346" s="1971">
        <f t="shared" si="103"/>
        <v>124316.49931765482</v>
      </c>
      <c r="P346" s="115"/>
      <c r="Q346" s="115"/>
      <c r="R346" s="115"/>
      <c r="S346" s="115"/>
      <c r="T346" s="115"/>
      <c r="U346" s="115"/>
    </row>
    <row r="347" spans="1:21" s="359" customFormat="1" ht="12.75" customHeight="1" thickTop="1" x14ac:dyDescent="0.25">
      <c r="A347" s="499"/>
      <c r="D347" s="301"/>
      <c r="E347" s="143"/>
      <c r="F347" s="115"/>
      <c r="G347" s="115"/>
      <c r="H347" s="114"/>
      <c r="I347" s="114"/>
      <c r="J347" s="114"/>
      <c r="K347" s="114"/>
      <c r="L347" s="114"/>
      <c r="M347" s="114"/>
      <c r="N347" s="114"/>
      <c r="O347" s="114"/>
      <c r="P347" s="115"/>
      <c r="Q347" s="115"/>
      <c r="R347" s="115"/>
      <c r="S347" s="115"/>
      <c r="T347" s="115"/>
      <c r="U347" s="115"/>
    </row>
    <row r="348" spans="1:21" ht="12.75" customHeight="1" x14ac:dyDescent="0.25">
      <c r="D348" s="393">
        <v>653006</v>
      </c>
      <c r="E348" s="381" t="s">
        <v>5197</v>
      </c>
      <c r="F348" s="115"/>
      <c r="G348" s="114"/>
      <c r="I348" s="114"/>
      <c r="J348" s="114"/>
      <c r="K348" s="114"/>
      <c r="L348" s="114"/>
      <c r="M348" s="114"/>
      <c r="N348" s="114"/>
      <c r="O348" s="114"/>
    </row>
    <row r="349" spans="1:21" ht="12.75" customHeight="1" x14ac:dyDescent="0.25">
      <c r="D349" s="143">
        <v>83700</v>
      </c>
      <c r="E349" s="115" t="s">
        <v>737</v>
      </c>
      <c r="F349" s="115"/>
      <c r="G349" s="114"/>
      <c r="I349" s="114"/>
      <c r="J349" s="114"/>
      <c r="K349" s="114"/>
      <c r="L349" s="114"/>
      <c r="M349" s="114"/>
      <c r="N349" s="114"/>
      <c r="O349" s="114"/>
    </row>
    <row r="350" spans="1:21" ht="12.75" customHeight="1" x14ac:dyDescent="0.25">
      <c r="D350" s="115"/>
      <c r="E350" s="401" t="s">
        <v>5253</v>
      </c>
      <c r="F350" s="401"/>
      <c r="G350" s="401"/>
      <c r="I350" s="405"/>
      <c r="J350" s="114"/>
      <c r="K350" s="114"/>
      <c r="L350" s="114"/>
      <c r="M350" s="114"/>
      <c r="N350" s="114"/>
      <c r="O350" s="114"/>
    </row>
    <row r="351" spans="1:21" ht="12.75" customHeight="1" x14ac:dyDescent="0.25">
      <c r="D351" s="143"/>
      <c r="E351" s="401"/>
      <c r="F351" s="401"/>
      <c r="G351" s="401"/>
      <c r="I351" s="405"/>
      <c r="J351" s="114"/>
      <c r="K351" s="114"/>
      <c r="L351" s="114"/>
      <c r="M351" s="114"/>
      <c r="N351" s="114"/>
      <c r="O351" s="114"/>
    </row>
    <row r="353" spans="4:22" ht="12.75" customHeight="1" x14ac:dyDescent="0.25">
      <c r="D353" s="500" t="s">
        <v>5254</v>
      </c>
      <c r="E353" s="500"/>
      <c r="F353" s="500"/>
      <c r="G353" s="359"/>
      <c r="H353" s="359"/>
      <c r="I353" s="359"/>
      <c r="J353" s="359"/>
      <c r="K353" s="359"/>
      <c r="L353" s="359"/>
      <c r="M353" s="359"/>
      <c r="N353" s="359"/>
      <c r="O353" s="359"/>
    </row>
    <row r="354" spans="4:22" ht="12.75" customHeight="1" x14ac:dyDescent="0.25">
      <c r="D354" s="500"/>
      <c r="E354" s="500"/>
      <c r="F354" s="500"/>
      <c r="G354" s="359"/>
      <c r="H354" s="359"/>
      <c r="I354" s="359"/>
      <c r="J354" s="501"/>
      <c r="K354" s="483">
        <v>2026</v>
      </c>
      <c r="L354" s="483">
        <v>2027</v>
      </c>
      <c r="M354" s="483">
        <v>2028</v>
      </c>
      <c r="N354" s="483">
        <v>2029</v>
      </c>
      <c r="O354" s="483">
        <v>2030</v>
      </c>
    </row>
    <row r="355" spans="4:22" ht="12.75" customHeight="1" x14ac:dyDescent="0.25">
      <c r="D355" s="502"/>
      <c r="E355" s="502"/>
      <c r="F355" s="502"/>
      <c r="G355" s="359"/>
      <c r="H355" s="359"/>
      <c r="I355" s="359"/>
      <c r="J355" s="503"/>
      <c r="K355" s="503"/>
      <c r="L355" s="503"/>
      <c r="M355" s="503"/>
      <c r="N355" s="503"/>
      <c r="O355" s="503"/>
    </row>
    <row r="356" spans="4:22" ht="12.75" customHeight="1" x14ac:dyDescent="0.25">
      <c r="D356" s="504" t="s">
        <v>935</v>
      </c>
      <c r="E356" s="504"/>
      <c r="F356" s="504"/>
      <c r="G356" s="359"/>
      <c r="H356" s="359"/>
      <c r="I356" s="359"/>
      <c r="J356" s="503"/>
      <c r="K356" s="503"/>
      <c r="L356" s="503"/>
      <c r="M356" s="503"/>
      <c r="N356" s="503"/>
      <c r="O356" s="503"/>
      <c r="S356" s="359"/>
    </row>
    <row r="357" spans="4:22" ht="12.75" customHeight="1" x14ac:dyDescent="0.25">
      <c r="D357" s="502" t="s">
        <v>936</v>
      </c>
      <c r="E357" s="502"/>
      <c r="F357" s="502"/>
      <c r="G357" s="359"/>
      <c r="H357" s="359"/>
      <c r="I357" s="359"/>
      <c r="J357" s="503"/>
      <c r="K357" s="503">
        <f>K305</f>
        <v>149055.57999999999</v>
      </c>
      <c r="L357" s="503">
        <f>L305</f>
        <v>155316</v>
      </c>
      <c r="M357" s="503">
        <f>M305</f>
        <v>161063</v>
      </c>
      <c r="N357" s="503">
        <f>N305</f>
        <v>167022</v>
      </c>
      <c r="O357" s="503">
        <f>O305</f>
        <v>173202</v>
      </c>
      <c r="S357" s="359"/>
    </row>
    <row r="358" spans="4:22" ht="12.75" customHeight="1" x14ac:dyDescent="0.25">
      <c r="D358" s="502" t="s">
        <v>965</v>
      </c>
      <c r="E358" s="502"/>
      <c r="F358" s="502"/>
      <c r="G358" s="359"/>
      <c r="H358" s="359"/>
      <c r="I358" s="359"/>
      <c r="J358" s="503"/>
      <c r="K358" s="503">
        <f>K158</f>
        <v>90721</v>
      </c>
      <c r="L358" s="503">
        <f>L158</f>
        <v>92727</v>
      </c>
      <c r="M358" s="503">
        <f>M158</f>
        <v>94815</v>
      </c>
      <c r="N358" s="503">
        <f>N158</f>
        <v>96944</v>
      </c>
      <c r="O358" s="503">
        <f>O158</f>
        <v>98672</v>
      </c>
      <c r="S358" s="359"/>
    </row>
    <row r="359" spans="4:22" ht="12.75" customHeight="1" x14ac:dyDescent="0.25">
      <c r="D359" s="115" t="s">
        <v>937</v>
      </c>
      <c r="E359" s="115"/>
      <c r="F359" s="114"/>
      <c r="G359" s="114"/>
      <c r="H359" s="114"/>
      <c r="I359" s="114"/>
      <c r="J359" s="503"/>
      <c r="K359" s="503">
        <f>K81+K87+K127+K132</f>
        <v>325804</v>
      </c>
      <c r="L359" s="503">
        <f>L81+L87+L127+L132</f>
        <v>302013</v>
      </c>
      <c r="M359" s="503">
        <f>M81+M87+M127+M132</f>
        <v>308968</v>
      </c>
      <c r="N359" s="503">
        <f>N81+N87+N127+N132</f>
        <v>316074</v>
      </c>
      <c r="O359" s="503">
        <f>O81+O87+O127+O132</f>
        <v>323346</v>
      </c>
      <c r="S359" s="359"/>
    </row>
    <row r="360" spans="4:22" ht="12.75" customHeight="1" thickBot="1" x14ac:dyDescent="0.3">
      <c r="D360" s="502" t="s">
        <v>938</v>
      </c>
      <c r="E360" s="502"/>
      <c r="F360" s="502"/>
      <c r="G360" s="359"/>
      <c r="H360" s="359"/>
      <c r="I360" s="359"/>
      <c r="J360" s="1972"/>
      <c r="K360" s="1972">
        <f>SUM(K357:K359)</f>
        <v>565580.57999999996</v>
      </c>
      <c r="L360" s="1972">
        <f>SUM(L357:L359)</f>
        <v>550056</v>
      </c>
      <c r="M360" s="1972">
        <f>SUM(M357:M359)</f>
        <v>564846</v>
      </c>
      <c r="N360" s="1972">
        <f>SUM(N357:N359)</f>
        <v>580040</v>
      </c>
      <c r="O360" s="1972">
        <f>SUM(O357:O359)</f>
        <v>595220</v>
      </c>
      <c r="S360" s="359"/>
    </row>
    <row r="361" spans="4:22" ht="12.75" customHeight="1" thickTop="1" x14ac:dyDescent="0.25">
      <c r="D361" s="502"/>
      <c r="E361" s="502"/>
      <c r="F361" s="502"/>
      <c r="G361" s="359"/>
      <c r="H361" s="359"/>
      <c r="I361" s="359"/>
      <c r="J361" s="503"/>
      <c r="K361" s="503"/>
      <c r="L361" s="503"/>
      <c r="M361" s="503"/>
      <c r="N361" s="503"/>
      <c r="O361" s="503"/>
      <c r="S361" s="359"/>
    </row>
    <row r="362" spans="4:22" ht="12.75" customHeight="1" x14ac:dyDescent="0.25">
      <c r="E362" s="301"/>
      <c r="F362" s="301"/>
      <c r="G362" s="301"/>
      <c r="H362" s="301"/>
      <c r="I362" s="301"/>
      <c r="J362" s="151"/>
      <c r="K362" s="151"/>
      <c r="L362" s="151"/>
      <c r="M362" s="151"/>
      <c r="N362" s="151"/>
      <c r="O362" s="151"/>
      <c r="R362" s="359"/>
    </row>
    <row r="363" spans="4:22" ht="12.75" customHeight="1" x14ac:dyDescent="0.25">
      <c r="D363" s="505" t="s">
        <v>939</v>
      </c>
      <c r="E363" s="396"/>
      <c r="F363" s="396"/>
      <c r="G363" s="301"/>
      <c r="H363" s="301"/>
      <c r="I363" s="301"/>
      <c r="J363" s="151"/>
      <c r="K363" s="151"/>
      <c r="L363" s="151"/>
      <c r="M363" s="151"/>
      <c r="N363" s="151"/>
      <c r="O363" s="151"/>
      <c r="Q363" s="506" t="s">
        <v>940</v>
      </c>
      <c r="R363" s="506" t="s">
        <v>941</v>
      </c>
      <c r="S363" s="506" t="s">
        <v>942</v>
      </c>
      <c r="T363" s="506" t="s">
        <v>943</v>
      </c>
      <c r="U363" s="506" t="s">
        <v>944</v>
      </c>
      <c r="V363" s="2118" t="s">
        <v>5284</v>
      </c>
    </row>
    <row r="364" spans="4:22" ht="12.75" customHeight="1" x14ac:dyDescent="0.3">
      <c r="D364" s="507" t="s">
        <v>945</v>
      </c>
      <c r="E364" s="115"/>
      <c r="F364" s="115"/>
      <c r="I364" s="508"/>
      <c r="J364" s="508"/>
      <c r="K364" s="508"/>
      <c r="L364" s="151"/>
      <c r="M364" s="151"/>
      <c r="N364" s="151"/>
      <c r="O364" s="151"/>
      <c r="V364" s="358"/>
    </row>
    <row r="365" spans="4:22" ht="12.75" customHeight="1" x14ac:dyDescent="0.3">
      <c r="D365" s="507"/>
      <c r="E365" s="115"/>
      <c r="F365" s="115"/>
      <c r="I365" s="508"/>
      <c r="J365" s="508"/>
      <c r="K365" s="508"/>
      <c r="L365" s="151"/>
      <c r="M365" s="151"/>
      <c r="N365" s="151"/>
      <c r="O365" s="151"/>
      <c r="V365" s="358"/>
    </row>
    <row r="366" spans="4:22" ht="12.75" customHeight="1" x14ac:dyDescent="0.3">
      <c r="D366" s="115" t="s">
        <v>946</v>
      </c>
      <c r="E366" s="115"/>
      <c r="F366" s="115"/>
      <c r="I366" s="359"/>
      <c r="J366" s="151"/>
      <c r="K366" s="151">
        <f>$K$357*R366</f>
        <v>13435.872236412684</v>
      </c>
      <c r="L366" s="151">
        <f>$L$357*S366</f>
        <v>14617.728615693195</v>
      </c>
      <c r="M366" s="151">
        <f>$M$357*T366</f>
        <v>15992.26869537709</v>
      </c>
      <c r="N366" s="151">
        <f>$N$357*U366</f>
        <v>17435.104941051675</v>
      </c>
      <c r="O366" s="547">
        <f>$N$357*V366</f>
        <v>17435.104941051675</v>
      </c>
      <c r="P366" s="359"/>
      <c r="Q366" s="508">
        <v>0.10002862957699615</v>
      </c>
      <c r="R366" s="509">
        <v>9.0140015130011811E-2</v>
      </c>
      <c r="S366" s="509">
        <v>9.4116051248378754E-2</v>
      </c>
      <c r="T366" s="509">
        <v>9.9292008067508306E-2</v>
      </c>
      <c r="U366" s="509">
        <v>0.10438807427196223</v>
      </c>
      <c r="V366" s="2083">
        <v>0.10438807427196223</v>
      </c>
    </row>
    <row r="367" spans="4:22" ht="12.75" customHeight="1" x14ac:dyDescent="0.3">
      <c r="D367" s="115" t="s">
        <v>947</v>
      </c>
      <c r="E367" s="115"/>
      <c r="F367" s="115"/>
      <c r="I367" s="359"/>
      <c r="J367" s="151"/>
      <c r="K367" s="151">
        <f t="shared" ref="K367:K378" si="104">$K$357*R367</f>
        <v>326.12937977946592</v>
      </c>
      <c r="L367" s="151">
        <f t="shared" ref="L367:L378" si="105">$L$357*S367</f>
        <v>338.72400808283516</v>
      </c>
      <c r="M367" s="151">
        <f t="shared" ref="M367:M378" si="106">$M$357*T367</f>
        <v>350.12293293313024</v>
      </c>
      <c r="N367" s="151">
        <f t="shared" ref="N367:O378" si="107">$N$357*U367</f>
        <v>361.89936781813748</v>
      </c>
      <c r="O367" s="547">
        <f t="shared" si="107"/>
        <v>361.89936781813748</v>
      </c>
      <c r="P367" s="359"/>
      <c r="Q367" s="508">
        <v>2.3306659189979155E-3</v>
      </c>
      <c r="R367" s="509">
        <v>2.1879716262850806E-3</v>
      </c>
      <c r="S367" s="509">
        <v>2.1808700203638722E-3</v>
      </c>
      <c r="T367" s="509">
        <v>2.1738259745138874E-3</v>
      </c>
      <c r="U367" s="509">
        <v>2.1667766391142334E-3</v>
      </c>
      <c r="V367" s="2083">
        <v>2.1667766391142334E-3</v>
      </c>
    </row>
    <row r="368" spans="4:22" ht="12.75" customHeight="1" x14ac:dyDescent="0.3">
      <c r="D368" s="115" t="s">
        <v>948</v>
      </c>
      <c r="E368" s="115"/>
      <c r="F368" s="115"/>
      <c r="I368" s="359"/>
      <c r="J368" s="151"/>
      <c r="K368" s="151">
        <f t="shared" si="104"/>
        <v>26067.833372736281</v>
      </c>
      <c r="L368" s="151">
        <f t="shared" si="105"/>
        <v>27085.017988167532</v>
      </c>
      <c r="M368" s="151">
        <f t="shared" si="106"/>
        <v>28006.890435453286</v>
      </c>
      <c r="N368" s="151">
        <f t="shared" si="107"/>
        <v>28960.025787851715</v>
      </c>
      <c r="O368" s="547">
        <f t="shared" si="107"/>
        <v>28960.025787851715</v>
      </c>
      <c r="P368" s="359"/>
      <c r="Q368" s="508">
        <v>0.19135684371635128</v>
      </c>
      <c r="R368" s="509">
        <v>0.17488666558297436</v>
      </c>
      <c r="S368" s="509">
        <v>0.17438652803424973</v>
      </c>
      <c r="T368" s="509">
        <v>0.17388779816254066</v>
      </c>
      <c r="U368" s="509">
        <v>0.17339048621050948</v>
      </c>
      <c r="V368" s="2083">
        <v>0.17339048621050948</v>
      </c>
    </row>
    <row r="369" spans="4:22" ht="12.75" customHeight="1" x14ac:dyDescent="0.3">
      <c r="D369" s="115" t="s">
        <v>949</v>
      </c>
      <c r="E369" s="115"/>
      <c r="F369" s="115"/>
      <c r="I369" s="359"/>
      <c r="J369" s="151"/>
      <c r="K369" s="151">
        <f t="shared" si="104"/>
        <v>33835.020437679996</v>
      </c>
      <c r="L369" s="151">
        <f t="shared" si="105"/>
        <v>34501.740923999998</v>
      </c>
      <c r="M369" s="151">
        <f t="shared" si="106"/>
        <v>35535.651815999998</v>
      </c>
      <c r="N369" s="151">
        <f t="shared" si="107"/>
        <v>36599.363838000005</v>
      </c>
      <c r="O369" s="547">
        <f t="shared" si="107"/>
        <v>36599.363838000005</v>
      </c>
      <c r="P369" s="359"/>
      <c r="Q369" s="508">
        <v>0.2538065744000943</v>
      </c>
      <c r="R369" s="509">
        <v>0.226996</v>
      </c>
      <c r="S369" s="509">
        <v>0.22213899999999998</v>
      </c>
      <c r="T369" s="509">
        <v>0.22063199999999999</v>
      </c>
      <c r="U369" s="509">
        <v>0.21912900000000002</v>
      </c>
      <c r="V369" s="2083">
        <v>0.21912900000000002</v>
      </c>
    </row>
    <row r="370" spans="4:22" ht="12.75" customHeight="1" x14ac:dyDescent="0.3">
      <c r="D370" s="308" t="s">
        <v>950</v>
      </c>
      <c r="E370" s="115"/>
      <c r="F370" s="115"/>
      <c r="I370" s="359"/>
      <c r="J370" s="151"/>
      <c r="K370" s="151">
        <f t="shared" si="104"/>
        <v>4605.0744964971764</v>
      </c>
      <c r="L370" s="151">
        <f t="shared" si="105"/>
        <v>4778.5169417832294</v>
      </c>
      <c r="M370" s="151">
        <f t="shared" si="106"/>
        <v>4934.8255498219569</v>
      </c>
      <c r="N370" s="151">
        <f t="shared" si="107"/>
        <v>5096.3800182739869</v>
      </c>
      <c r="O370" s="547">
        <f t="shared" si="107"/>
        <v>5096.3800182739869</v>
      </c>
      <c r="P370" s="359"/>
      <c r="Q370" s="508">
        <v>3.513702303285287E-2</v>
      </c>
      <c r="R370" s="509">
        <v>3.0895015782013507E-2</v>
      </c>
      <c r="S370" s="509">
        <v>3.0766417766252215E-2</v>
      </c>
      <c r="T370" s="509">
        <v>3.0639101158068314E-2</v>
      </c>
      <c r="U370" s="509">
        <v>3.051322591199954E-2</v>
      </c>
      <c r="V370" s="2083">
        <v>3.051322591199954E-2</v>
      </c>
    </row>
    <row r="371" spans="4:22" ht="12.75" customHeight="1" x14ac:dyDescent="0.3">
      <c r="D371" s="308" t="s">
        <v>951</v>
      </c>
      <c r="E371" s="115"/>
      <c r="F371" s="115"/>
      <c r="I371" s="359"/>
      <c r="J371" s="151"/>
      <c r="K371" s="151">
        <f t="shared" si="104"/>
        <v>0</v>
      </c>
      <c r="L371" s="151">
        <f t="shared" si="105"/>
        <v>0</v>
      </c>
      <c r="M371" s="151">
        <f t="shared" si="106"/>
        <v>0</v>
      </c>
      <c r="N371" s="151">
        <f t="shared" si="107"/>
        <v>0</v>
      </c>
      <c r="O371" s="547">
        <f t="shared" si="107"/>
        <v>0</v>
      </c>
      <c r="P371" s="359"/>
      <c r="Q371" s="508">
        <v>0</v>
      </c>
      <c r="R371" s="509">
        <v>0</v>
      </c>
      <c r="S371" s="509">
        <v>0</v>
      </c>
      <c r="T371" s="509">
        <v>0</v>
      </c>
      <c r="U371" s="509">
        <v>0</v>
      </c>
      <c r="V371" s="2083">
        <v>0</v>
      </c>
    </row>
    <row r="372" spans="4:22" ht="12.75" customHeight="1" x14ac:dyDescent="0.3">
      <c r="D372" s="308" t="s">
        <v>952</v>
      </c>
      <c r="E372" s="115"/>
      <c r="F372" s="115"/>
      <c r="I372" s="359"/>
      <c r="J372" s="151"/>
      <c r="K372" s="151">
        <f t="shared" si="104"/>
        <v>18782.032708004397</v>
      </c>
      <c r="L372" s="151">
        <f t="shared" si="105"/>
        <v>17339.561257538975</v>
      </c>
      <c r="M372" s="151">
        <f t="shared" si="106"/>
        <v>17981.164127765169</v>
      </c>
      <c r="N372" s="151">
        <f t="shared" si="107"/>
        <v>18646.448119453522</v>
      </c>
      <c r="O372" s="547">
        <f t="shared" si="107"/>
        <v>18646.448119453522</v>
      </c>
      <c r="P372" s="359"/>
      <c r="Q372" s="508">
        <v>0.11221366881037274</v>
      </c>
      <c r="R372" s="509">
        <v>0.12600690767835998</v>
      </c>
      <c r="S372" s="509">
        <v>0.11164053450732041</v>
      </c>
      <c r="T372" s="509">
        <v>0.11164056380276767</v>
      </c>
      <c r="U372" s="509">
        <v>0.11164067080656155</v>
      </c>
      <c r="V372" s="2083">
        <v>0.11164067080656155</v>
      </c>
    </row>
    <row r="373" spans="4:22" ht="12.75" customHeight="1" x14ac:dyDescent="0.3">
      <c r="D373" s="308" t="s">
        <v>953</v>
      </c>
      <c r="E373" s="115"/>
      <c r="F373" s="115"/>
      <c r="I373" s="359"/>
      <c r="J373" s="151"/>
      <c r="K373" s="151">
        <f t="shared" si="104"/>
        <v>0</v>
      </c>
      <c r="L373" s="151">
        <f t="shared" si="105"/>
        <v>0</v>
      </c>
      <c r="M373" s="151">
        <f t="shared" si="106"/>
        <v>0</v>
      </c>
      <c r="N373" s="151">
        <f t="shared" si="107"/>
        <v>0</v>
      </c>
      <c r="O373" s="547">
        <f t="shared" si="107"/>
        <v>0</v>
      </c>
      <c r="P373" s="359"/>
      <c r="Q373" s="508">
        <v>0</v>
      </c>
      <c r="R373" s="509">
        <v>0</v>
      </c>
      <c r="S373" s="509">
        <v>0</v>
      </c>
      <c r="T373" s="509">
        <v>0</v>
      </c>
      <c r="U373" s="509">
        <v>0</v>
      </c>
      <c r="V373" s="2083">
        <v>0</v>
      </c>
    </row>
    <row r="374" spans="4:22" ht="12.75" customHeight="1" x14ac:dyDescent="0.25">
      <c r="D374" s="115"/>
      <c r="E374" s="115"/>
      <c r="F374" s="115"/>
      <c r="I374" s="359"/>
      <c r="J374" s="359"/>
      <c r="K374" s="151"/>
      <c r="L374" s="151"/>
      <c r="M374" s="151"/>
      <c r="N374" s="151"/>
      <c r="O374" s="547"/>
      <c r="P374" s="359"/>
      <c r="Q374" s="508"/>
      <c r="R374" s="508"/>
      <c r="S374" s="508"/>
      <c r="T374" s="508"/>
      <c r="U374" s="508"/>
      <c r="V374" s="2090"/>
    </row>
    <row r="375" spans="4:22" ht="12.75" customHeight="1" x14ac:dyDescent="0.3">
      <c r="D375" s="507" t="s">
        <v>954</v>
      </c>
      <c r="E375" s="115"/>
      <c r="F375" s="115"/>
      <c r="I375" s="359"/>
      <c r="J375" s="359"/>
      <c r="K375" s="151"/>
      <c r="L375" s="151"/>
      <c r="M375" s="151"/>
      <c r="N375" s="151"/>
      <c r="O375" s="547"/>
      <c r="P375" s="359"/>
      <c r="Q375" s="508"/>
      <c r="R375" s="508"/>
      <c r="S375" s="508"/>
      <c r="T375" s="508"/>
      <c r="U375" s="508"/>
      <c r="V375" s="2090"/>
    </row>
    <row r="376" spans="4:22" ht="12.75" customHeight="1" x14ac:dyDescent="0.25">
      <c r="D376" s="115"/>
      <c r="E376" s="115"/>
      <c r="F376" s="115"/>
      <c r="I376" s="359"/>
      <c r="J376" s="359"/>
      <c r="K376" s="151"/>
      <c r="L376" s="151"/>
      <c r="M376" s="151"/>
      <c r="N376" s="151"/>
      <c r="O376" s="547"/>
      <c r="P376" s="359"/>
      <c r="Q376" s="508"/>
      <c r="R376" s="508"/>
      <c r="S376" s="508"/>
      <c r="T376" s="508"/>
      <c r="U376" s="508"/>
      <c r="V376" s="2090"/>
    </row>
    <row r="377" spans="4:22" ht="12.75" customHeight="1" x14ac:dyDescent="0.3">
      <c r="D377" s="115" t="s">
        <v>955</v>
      </c>
      <c r="E377" s="115"/>
      <c r="F377" s="115"/>
      <c r="I377" s="359"/>
      <c r="J377" s="151"/>
      <c r="K377" s="151">
        <f t="shared" si="104"/>
        <v>4809.0484071497431</v>
      </c>
      <c r="L377" s="151">
        <f t="shared" si="105"/>
        <v>7389.8445661137912</v>
      </c>
      <c r="M377" s="151">
        <f t="shared" si="106"/>
        <v>7345.739949832242</v>
      </c>
      <c r="N377" s="151">
        <f t="shared" si="107"/>
        <v>7380.469639896146</v>
      </c>
      <c r="O377" s="547">
        <f t="shared" si="107"/>
        <v>7380.469639896146</v>
      </c>
      <c r="P377" s="359"/>
      <c r="Q377" s="508">
        <v>4.085646064597323E-2</v>
      </c>
      <c r="R377" s="509">
        <v>3.2263457746095403E-2</v>
      </c>
      <c r="S377" s="509">
        <v>4.7579415939850316E-2</v>
      </c>
      <c r="T377" s="509">
        <v>4.5607867417297838E-2</v>
      </c>
      <c r="U377" s="509">
        <v>4.4188607727701418E-2</v>
      </c>
      <c r="V377" s="2083">
        <v>4.4188607727701418E-2</v>
      </c>
    </row>
    <row r="378" spans="4:22" ht="12.75" customHeight="1" x14ac:dyDescent="0.3">
      <c r="D378" s="115" t="s">
        <v>956</v>
      </c>
      <c r="E378" s="115"/>
      <c r="F378" s="115"/>
      <c r="I378" s="359"/>
      <c r="J378" s="151"/>
      <c r="K378" s="151">
        <f t="shared" si="104"/>
        <v>25069.359889039999</v>
      </c>
      <c r="L378" s="151">
        <f t="shared" si="105"/>
        <v>25126.401216000006</v>
      </c>
      <c r="M378" s="151">
        <f t="shared" si="106"/>
        <v>21022.425949</v>
      </c>
      <c r="N378" s="151">
        <f t="shared" si="107"/>
        <v>20983.808969999998</v>
      </c>
      <c r="O378" s="547">
        <f t="shared" si="107"/>
        <v>20983.808969999998</v>
      </c>
      <c r="P378" s="359"/>
      <c r="Q378" s="508">
        <v>0.16666163569987213</v>
      </c>
      <c r="R378" s="509">
        <v>0.168188</v>
      </c>
      <c r="S378" s="509">
        <v>0.16177600000000003</v>
      </c>
      <c r="T378" s="509">
        <v>0.130523</v>
      </c>
      <c r="U378" s="509">
        <v>0.125635</v>
      </c>
      <c r="V378" s="2083">
        <v>0.125635</v>
      </c>
    </row>
    <row r="379" spans="4:22" ht="12.75" customHeight="1" x14ac:dyDescent="0.25">
      <c r="D379" s="411"/>
      <c r="E379" s="301"/>
      <c r="F379" s="301"/>
      <c r="G379" s="359"/>
      <c r="H379" s="359"/>
      <c r="I379" s="510"/>
      <c r="J379" s="151"/>
      <c r="K379" s="151"/>
      <c r="L379" s="151"/>
      <c r="M379" s="151"/>
      <c r="N379" s="151"/>
      <c r="O379" s="151"/>
      <c r="P379" s="359"/>
    </row>
    <row r="380" spans="4:22" ht="12.75" customHeight="1" thickBot="1" x14ac:dyDescent="0.3">
      <c r="D380" s="301" t="s">
        <v>957</v>
      </c>
      <c r="E380" s="301"/>
      <c r="F380" s="301"/>
      <c r="G380" s="359"/>
      <c r="H380" s="359"/>
      <c r="I380" s="510"/>
      <c r="J380" s="1972"/>
      <c r="K380" s="1972">
        <f t="shared" ref="K380:M380" si="108">SUM(K366:K379)</f>
        <v>126930.37092729975</v>
      </c>
      <c r="L380" s="1972">
        <f t="shared" si="108"/>
        <v>131177.53551737955</v>
      </c>
      <c r="M380" s="1972">
        <f t="shared" si="108"/>
        <v>131169.08945618288</v>
      </c>
      <c r="N380" s="1972">
        <f t="shared" ref="N380:O380" si="109">SUM(N366:N379)</f>
        <v>135463.50068234518</v>
      </c>
      <c r="O380" s="1972">
        <f t="shared" si="109"/>
        <v>135463.50068234518</v>
      </c>
    </row>
    <row r="381" spans="4:22" ht="12.75" customHeight="1" thickTop="1" x14ac:dyDescent="0.25">
      <c r="E381" s="301"/>
      <c r="F381" s="301"/>
      <c r="G381" s="359"/>
      <c r="H381" s="359"/>
      <c r="I381" s="510"/>
      <c r="J381" s="503"/>
      <c r="K381" s="503"/>
      <c r="L381" s="503"/>
      <c r="M381" s="503"/>
      <c r="N381" s="503"/>
      <c r="O381" s="503"/>
    </row>
    <row r="382" spans="4:22" ht="12.75" customHeight="1" x14ac:dyDescent="0.25">
      <c r="D382" s="301" t="s">
        <v>959</v>
      </c>
      <c r="E382" s="301"/>
      <c r="F382" s="301"/>
      <c r="G382" s="359"/>
      <c r="H382" s="359"/>
      <c r="I382" s="510"/>
      <c r="J382" s="503"/>
      <c r="K382" s="503">
        <f>K360</f>
        <v>565580.57999999996</v>
      </c>
      <c r="L382" s="503">
        <f>L360</f>
        <v>550056</v>
      </c>
      <c r="M382" s="503">
        <f>M360</f>
        <v>564846</v>
      </c>
      <c r="N382" s="503">
        <f>N360</f>
        <v>580040</v>
      </c>
      <c r="O382" s="503">
        <f>O360</f>
        <v>595220</v>
      </c>
    </row>
    <row r="383" spans="4:22" ht="12.75" customHeight="1" x14ac:dyDescent="0.25">
      <c r="D383" s="301" t="s">
        <v>960</v>
      </c>
      <c r="E383" s="301"/>
      <c r="F383" s="301"/>
      <c r="G383" s="359"/>
      <c r="H383" s="359"/>
      <c r="I383" s="510"/>
      <c r="J383" s="503"/>
      <c r="K383" s="503">
        <f>K380</f>
        <v>126930.37092729975</v>
      </c>
      <c r="L383" s="503">
        <f>L380</f>
        <v>131177.53551737955</v>
      </c>
      <c r="M383" s="503">
        <f>M380</f>
        <v>131169.08945618288</v>
      </c>
      <c r="N383" s="503">
        <f>N380</f>
        <v>135463.50068234518</v>
      </c>
      <c r="O383" s="503">
        <f>O380</f>
        <v>135463.50068234518</v>
      </c>
    </row>
    <row r="384" spans="4:22" ht="12.75" customHeight="1" x14ac:dyDescent="0.25">
      <c r="D384" s="301" t="s">
        <v>961</v>
      </c>
      <c r="E384" s="301"/>
      <c r="F384" s="301"/>
      <c r="G384" s="359"/>
      <c r="H384" s="359"/>
      <c r="I384" s="510"/>
      <c r="J384" s="511"/>
      <c r="K384" s="511">
        <f>K164+K175</f>
        <v>-866527</v>
      </c>
      <c r="L384" s="511">
        <f>L164+L175</f>
        <v>-866769</v>
      </c>
      <c r="M384" s="511">
        <f>M164+M175</f>
        <v>-867040</v>
      </c>
      <c r="N384" s="511">
        <f>N164+N175</f>
        <v>-867317</v>
      </c>
      <c r="O384" s="511">
        <f>O164+O175</f>
        <v>-867600</v>
      </c>
    </row>
    <row r="385" spans="4:21" ht="12.75" customHeight="1" x14ac:dyDescent="0.25">
      <c r="E385" s="301"/>
      <c r="F385" s="301"/>
      <c r="G385" s="359"/>
      <c r="H385" s="359"/>
      <c r="I385" s="510"/>
      <c r="J385" s="503"/>
      <c r="K385" s="503"/>
      <c r="L385" s="503"/>
      <c r="M385" s="503"/>
      <c r="N385" s="503"/>
      <c r="O385" s="503"/>
      <c r="Q385" s="149"/>
      <c r="R385" s="149"/>
      <c r="S385" s="149"/>
      <c r="T385" s="149"/>
      <c r="U385" s="149"/>
    </row>
    <row r="386" spans="4:21" ht="12.75" customHeight="1" x14ac:dyDescent="0.25">
      <c r="E386" s="301"/>
      <c r="F386" s="301"/>
      <c r="G386" s="359"/>
      <c r="H386" s="359"/>
      <c r="I386" s="510"/>
      <c r="J386" s="503"/>
      <c r="K386" s="503"/>
      <c r="L386" s="503"/>
      <c r="M386" s="503"/>
      <c r="N386" s="503"/>
      <c r="O386" s="503"/>
    </row>
    <row r="387" spans="4:21" ht="12.75" customHeight="1" x14ac:dyDescent="0.25">
      <c r="D387" s="301" t="s">
        <v>962</v>
      </c>
      <c r="E387" s="301"/>
      <c r="F387" s="301"/>
      <c r="G387" s="359"/>
      <c r="H387" s="359"/>
      <c r="I387" s="510"/>
      <c r="J387" s="510"/>
      <c r="K387" s="510">
        <f>SUM(K382:K386)</f>
        <v>-174016.04907270032</v>
      </c>
      <c r="L387" s="510">
        <f>SUM(L382:L386)</f>
        <v>-185535.46448262047</v>
      </c>
      <c r="M387" s="510">
        <f>SUM(M382:M386)</f>
        <v>-171024.9105438171</v>
      </c>
      <c r="N387" s="510">
        <f>SUM(N382:N386)</f>
        <v>-151813.49931765487</v>
      </c>
      <c r="O387" s="510">
        <f>SUM(O382:O386)</f>
        <v>-136916.49931765487</v>
      </c>
    </row>
    <row r="388" spans="4:21" ht="12.75" customHeight="1" x14ac:dyDescent="0.25">
      <c r="D388" s="301" t="s">
        <v>963</v>
      </c>
      <c r="E388" s="301"/>
      <c r="F388" s="301"/>
      <c r="G388" s="359"/>
      <c r="H388" s="359"/>
      <c r="I388" s="512"/>
      <c r="J388" s="512"/>
      <c r="K388" s="512">
        <f t="shared" ref="K388:M388" si="110">IF((-K384/(K382+K383))&gt;0,-K384/(K382+K383),K384/(K382++K383))</f>
        <v>1.251282739774275</v>
      </c>
      <c r="L388" s="512">
        <f t="shared" si="110"/>
        <v>1.272352218159241</v>
      </c>
      <c r="M388" s="512">
        <f t="shared" si="110"/>
        <v>1.2457201189092666</v>
      </c>
      <c r="N388" s="512">
        <f t="shared" ref="N388:O388" si="111">IF((-N384/(N382+N383))&gt;0,-N384/(N382+N383),N384/(N382++N383))</f>
        <v>1.2121771580053442</v>
      </c>
      <c r="O388" s="512">
        <f t="shared" si="111"/>
        <v>1.1873814027411267</v>
      </c>
      <c r="Q388" s="508">
        <f>SUM(Q366:Q379)</f>
        <v>0.90239150180151062</v>
      </c>
      <c r="R388" s="508">
        <f t="shared" ref="R388:T388" si="112">SUM(R366:R379)</f>
        <v>0.85156403354574006</v>
      </c>
      <c r="S388" s="508">
        <f t="shared" si="112"/>
        <v>0.84458481751641523</v>
      </c>
      <c r="T388" s="508">
        <f t="shared" si="112"/>
        <v>0.8143961645826967</v>
      </c>
      <c r="U388" s="508">
        <f t="shared" ref="U388" si="113">SUM(U366:U379)</f>
        <v>0.81105184156784849</v>
      </c>
    </row>
    <row r="389" spans="4:21" ht="12.75" customHeight="1" x14ac:dyDescent="0.25">
      <c r="E389" s="301"/>
      <c r="F389" s="301"/>
      <c r="G389" s="359"/>
      <c r="H389" s="359"/>
      <c r="I389" s="359"/>
      <c r="J389" s="503"/>
      <c r="K389" s="503"/>
      <c r="L389" s="503"/>
      <c r="M389" s="503"/>
      <c r="N389" s="503"/>
      <c r="O389" s="503"/>
      <c r="R389" s="513"/>
      <c r="S389" s="513"/>
    </row>
    <row r="390" spans="4:21" ht="12.75" customHeight="1" x14ac:dyDescent="0.25">
      <c r="E390" s="301"/>
      <c r="F390" s="301"/>
      <c r="G390" s="359"/>
      <c r="H390" s="359"/>
      <c r="I390" s="359"/>
      <c r="J390" s="503"/>
      <c r="K390" s="503"/>
      <c r="L390" s="503"/>
      <c r="M390" s="503"/>
      <c r="N390" s="503"/>
      <c r="O390" s="503"/>
      <c r="R390" s="513"/>
      <c r="S390" s="513"/>
    </row>
    <row r="391" spans="4:21" ht="12.75" customHeight="1" x14ac:dyDescent="0.25">
      <c r="E391" s="301"/>
      <c r="F391" s="301"/>
      <c r="G391" s="359"/>
      <c r="H391" s="359"/>
      <c r="I391" s="359"/>
      <c r="J391" s="503"/>
      <c r="K391" s="503"/>
      <c r="L391" s="503"/>
      <c r="M391" s="503"/>
      <c r="N391" s="503"/>
      <c r="O391" s="503"/>
      <c r="P391" s="514"/>
      <c r="Q391" s="514"/>
      <c r="R391" s="514"/>
      <c r="S391" s="514"/>
    </row>
    <row r="392" spans="4:21" ht="12.75" customHeight="1" x14ac:dyDescent="0.25">
      <c r="E392" s="301"/>
      <c r="F392" s="301"/>
      <c r="G392" s="359"/>
      <c r="H392" s="359"/>
      <c r="I392" s="359"/>
      <c r="J392" s="503"/>
      <c r="K392" s="503"/>
      <c r="L392" s="503"/>
      <c r="M392" s="503"/>
      <c r="N392" s="503"/>
      <c r="O392" s="503"/>
      <c r="R392" s="513"/>
    </row>
    <row r="393" spans="4:21" ht="12.75" customHeight="1" x14ac:dyDescent="0.25">
      <c r="E393" s="301"/>
      <c r="F393" s="301"/>
      <c r="G393" s="359"/>
      <c r="H393" s="359"/>
      <c r="I393" s="359"/>
      <c r="J393" s="503"/>
      <c r="K393" s="503"/>
      <c r="L393" s="503"/>
      <c r="M393" s="503"/>
      <c r="N393" s="503"/>
      <c r="O393" s="503"/>
      <c r="R393" s="513"/>
    </row>
    <row r="394" spans="4:21" ht="12.75" customHeight="1" x14ac:dyDescent="0.25">
      <c r="E394" s="301"/>
      <c r="F394" s="301"/>
      <c r="G394" s="359"/>
      <c r="H394" s="359"/>
      <c r="I394" s="359"/>
      <c r="J394" s="503"/>
      <c r="K394" s="503"/>
      <c r="L394" s="503"/>
      <c r="M394" s="503"/>
      <c r="N394" s="503"/>
      <c r="O394" s="503"/>
      <c r="R394" s="513"/>
    </row>
    <row r="395" spans="4:21" ht="12.75" customHeight="1" x14ac:dyDescent="0.25">
      <c r="E395" s="301"/>
      <c r="F395" s="301"/>
      <c r="G395" s="359"/>
      <c r="H395" s="359"/>
      <c r="I395" s="359"/>
      <c r="J395" s="503"/>
      <c r="K395" s="503"/>
      <c r="L395" s="503"/>
      <c r="M395" s="503"/>
      <c r="N395" s="503"/>
      <c r="O395" s="503"/>
      <c r="S395" s="359"/>
    </row>
    <row r="396" spans="4:21" ht="12.75" customHeight="1" x14ac:dyDescent="0.25">
      <c r="E396" s="301"/>
      <c r="F396" s="301"/>
      <c r="G396" s="359"/>
      <c r="H396" s="359"/>
      <c r="I396" s="359"/>
      <c r="J396" s="503"/>
      <c r="K396" s="503"/>
      <c r="L396" s="503"/>
      <c r="M396" s="503"/>
      <c r="N396" s="503"/>
      <c r="O396" s="503"/>
      <c r="S396" s="359"/>
    </row>
    <row r="397" spans="4:21" ht="12.75" customHeight="1" x14ac:dyDescent="0.25">
      <c r="E397" s="301"/>
      <c r="F397" s="301"/>
      <c r="G397" s="359"/>
      <c r="H397" s="359"/>
      <c r="I397" s="359"/>
      <c r="J397" s="512"/>
      <c r="K397" s="512"/>
      <c r="L397" s="512"/>
      <c r="M397" s="512"/>
      <c r="N397" s="512"/>
      <c r="O397" s="512"/>
      <c r="S397" s="488"/>
    </row>
    <row r="715" spans="10:10" ht="12.75" customHeight="1" x14ac:dyDescent="0.25">
      <c r="J715" s="115" t="s">
        <v>3809</v>
      </c>
    </row>
  </sheetData>
  <mergeCells count="6">
    <mergeCell ref="E311:J313"/>
    <mergeCell ref="D76:D77"/>
    <mergeCell ref="F76:F77"/>
    <mergeCell ref="G76:H77"/>
    <mergeCell ref="E243:K247"/>
    <mergeCell ref="E200:H201"/>
  </mergeCells>
  <phoneticPr fontId="52" type="noConversion"/>
  <dataValidations count="1">
    <dataValidation type="textLength" operator="lessThanOrEqual" allowBlank="1" showInputMessage="1" showErrorMessage="1" errorTitle="Ho" error="Te lang eikel, bietje minder kan ok wel!" sqref="P28:P47" xr:uid="{F6270913-899E-43CD-B6FB-1DD2F4C4B1D9}">
      <formula1>36</formula1>
    </dataValidation>
  </dataValidations>
  <hyperlinks>
    <hyperlink ref="A1" location="Inhoudsopgave!A1" display="Inhoudsopgave" xr:uid="{3BAD2041-96A3-4130-AB96-6C694FD85DE4}"/>
  </hyperlinks>
  <pageMargins left="0.59055118110236227" right="0.39370078740157483" top="0.39370078740157483" bottom="0.39370078740157483" header="0.51181102362204722" footer="0.51181102362204722"/>
  <pageSetup paperSize="9" scale="67" orientation="portrait" useFirstPageNumber="1" r:id="rId1"/>
  <headerFooter alignWithMargins="0">
    <oddFooter>Pagina &amp;P van &amp;N</oddFooter>
  </headerFooter>
  <rowBreaks count="6" manualBreakCount="6">
    <brk id="73" min="3" max="14" man="1"/>
    <brk id="154" min="3" max="14" man="1"/>
    <brk id="178" min="3" max="14" man="1"/>
    <brk id="236" min="3" max="14" man="1"/>
    <brk id="300" min="3" max="14" man="1"/>
    <brk id="351" min="3" max="14" man="1"/>
  </rowBreak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3D7B-E089-4706-B156-7D20E504186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DABF9C3266B94F94FE84638963182A" ma:contentTypeVersion="12" ma:contentTypeDescription="Een nieuw document maken." ma:contentTypeScope="" ma:versionID="d34960921249409ed02ce2b30a273e5e">
  <xsd:schema xmlns:xsd="http://www.w3.org/2001/XMLSchema" xmlns:xs="http://www.w3.org/2001/XMLSchema" xmlns:p="http://schemas.microsoft.com/office/2006/metadata/properties" xmlns:ns2="4bb55528-eeeb-4c6d-bbaf-2c96b8ac999f" xmlns:ns3="e9a8f8e5-33e3-493a-bf97-3abe78024eeb" targetNamespace="http://schemas.microsoft.com/office/2006/metadata/properties" ma:root="true" ma:fieldsID="4258cf9d58174b928c0a84a8641f35f8" ns2:_="" ns3:_="">
    <xsd:import namespace="4bb55528-eeeb-4c6d-bbaf-2c96b8ac999f"/>
    <xsd:import namespace="e9a8f8e5-33e3-493a-bf97-3abe78024e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b55528-eeeb-4c6d-bbaf-2c96b8ac99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f4e6e526-7edb-40d5-ad94-53fcda458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a8f8e5-33e3-493a-bf97-3abe78024ee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6c3fe44-703d-49fa-a31f-729890b148b3}" ma:internalName="TaxCatchAll" ma:showField="CatchAllData" ma:web="e9a8f8e5-33e3-493a-bf97-3abe78024e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9a8f8e5-33e3-493a-bf97-3abe78024eeb" xsi:nil="true"/>
    <lcf76f155ced4ddcb4097134ff3c332f xmlns="4bb55528-eeeb-4c6d-bbaf-2c96b8ac999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5959B8A-CBF2-4118-B496-6FDB492A4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b55528-eeeb-4c6d-bbaf-2c96b8ac999f"/>
    <ds:schemaRef ds:uri="e9a8f8e5-33e3-493a-bf97-3abe78024e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8E301E-A293-438F-B180-9B3922E7C29D}">
  <ds:schemaRefs>
    <ds:schemaRef ds:uri="http://schemas.microsoft.com/sharepoint/v3/contenttype/forms"/>
  </ds:schemaRefs>
</ds:datastoreItem>
</file>

<file path=customXml/itemProps3.xml><?xml version="1.0" encoding="utf-8"?>
<ds:datastoreItem xmlns:ds="http://schemas.openxmlformats.org/officeDocument/2006/customXml" ds:itemID="{075991CD-B1DD-4464-84D4-B3139413B041}">
  <ds:schemaRefs>
    <ds:schemaRef ds:uri="http://schemas.microsoft.com/office/2006/documentManagement/types"/>
    <ds:schemaRef ds:uri="http://schemas.openxmlformats.org/package/2006/metadata/core-properties"/>
    <ds:schemaRef ds:uri="http://purl.org/dc/dcmitype/"/>
    <ds:schemaRef ds:uri="http://purl.org/dc/elements/1.1/"/>
    <ds:schemaRef ds:uri="http://schemas.microsoft.com/office/infopath/2007/PartnerControls"/>
    <ds:schemaRef ds:uri="e9a8f8e5-33e3-493a-bf97-3abe78024eeb"/>
    <ds:schemaRef ds:uri="http://schemas.microsoft.com/office/2006/metadata/properties"/>
    <ds:schemaRef ds:uri="4bb55528-eeeb-4c6d-bbaf-2c96b8ac999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77</vt:i4>
      </vt:variant>
      <vt:variant>
        <vt:lpstr>Benoemde bereiken</vt:lpstr>
      </vt:variant>
      <vt:variant>
        <vt:i4>63</vt:i4>
      </vt:variant>
    </vt:vector>
  </HeadingPairs>
  <TitlesOfParts>
    <vt:vector size="140" baseType="lpstr">
      <vt:lpstr>Inhoudsopgave</vt:lpstr>
      <vt:lpstr>Inlees CODA</vt:lpstr>
      <vt:lpstr>draaitabel inlees CODA</vt:lpstr>
      <vt:lpstr>draaitabel inlees CODA (2)</vt:lpstr>
      <vt:lpstr>afschrijvingen</vt:lpstr>
      <vt:lpstr>controle</vt:lpstr>
      <vt:lpstr>Details1</vt:lpstr>
      <vt:lpstr>Inhoudsopgave 2</vt:lpstr>
      <vt:lpstr>Indexering</vt:lpstr>
      <vt:lpstr>Verwerkingscontrole</vt:lpstr>
      <vt:lpstr>Recap</vt:lpstr>
      <vt:lpstr>T01</vt:lpstr>
      <vt:lpstr>T02</vt:lpstr>
      <vt:lpstr>T03</vt:lpstr>
      <vt:lpstr>T04L</vt:lpstr>
      <vt:lpstr>T04B</vt:lpstr>
      <vt:lpstr>T04W</vt:lpstr>
      <vt:lpstr>T05</vt:lpstr>
      <vt:lpstr>T061</vt:lpstr>
      <vt:lpstr>T062</vt:lpstr>
      <vt:lpstr>T064</vt:lpstr>
      <vt:lpstr>T07</vt:lpstr>
      <vt:lpstr>T08</vt:lpstr>
      <vt:lpstr>T09</vt:lpstr>
      <vt:lpstr>T010</vt:lpstr>
      <vt:lpstr>T011</vt:lpstr>
      <vt:lpstr>T11</vt:lpstr>
      <vt:lpstr>T12</vt:lpstr>
      <vt:lpstr>T21</vt:lpstr>
      <vt:lpstr>T22</vt:lpstr>
      <vt:lpstr>T25</vt:lpstr>
      <vt:lpstr>T31</vt:lpstr>
      <vt:lpstr>T33</vt:lpstr>
      <vt:lpstr>T34</vt:lpstr>
      <vt:lpstr>T42</vt:lpstr>
      <vt:lpstr>T43</vt:lpstr>
      <vt:lpstr>T51</vt:lpstr>
      <vt:lpstr>T52</vt:lpstr>
      <vt:lpstr>T53</vt:lpstr>
      <vt:lpstr>T54</vt:lpstr>
      <vt:lpstr>T55</vt:lpstr>
      <vt:lpstr>T56</vt:lpstr>
      <vt:lpstr>T57</vt:lpstr>
      <vt:lpstr>T61</vt:lpstr>
      <vt:lpstr>Blad1</vt:lpstr>
      <vt:lpstr>T622</vt:lpstr>
      <vt:lpstr>T623</vt:lpstr>
      <vt:lpstr>T63</vt:lpstr>
      <vt:lpstr>T64</vt:lpstr>
      <vt:lpstr>T65</vt:lpstr>
      <vt:lpstr>T660</vt:lpstr>
      <vt:lpstr>T6711</vt:lpstr>
      <vt:lpstr>T6712</vt:lpstr>
      <vt:lpstr>T6713</vt:lpstr>
      <vt:lpstr>T6714</vt:lpstr>
      <vt:lpstr>T6751</vt:lpstr>
      <vt:lpstr>T6752</vt:lpstr>
      <vt:lpstr>T6753</vt:lpstr>
      <vt:lpstr>T6761</vt:lpstr>
      <vt:lpstr>T6762</vt:lpstr>
      <vt:lpstr>T6791</vt:lpstr>
      <vt:lpstr>T6792</vt:lpstr>
      <vt:lpstr>T6811</vt:lpstr>
      <vt:lpstr>T6821</vt:lpstr>
      <vt:lpstr>T6822</vt:lpstr>
      <vt:lpstr>T691</vt:lpstr>
      <vt:lpstr>T692</vt:lpstr>
      <vt:lpstr>T71</vt:lpstr>
      <vt:lpstr>T72</vt:lpstr>
      <vt:lpstr>T73</vt:lpstr>
      <vt:lpstr>T74</vt:lpstr>
      <vt:lpstr>T75</vt:lpstr>
      <vt:lpstr>Blad2</vt:lpstr>
      <vt:lpstr>T81</vt:lpstr>
      <vt:lpstr>T82</vt:lpstr>
      <vt:lpstr>T83</vt:lpstr>
      <vt:lpstr>Blad3</vt:lpstr>
      <vt:lpstr>Inhoudsopgave!Afdrukbereik</vt:lpstr>
      <vt:lpstr>'Inhoudsopgave 2'!Afdrukbereik</vt:lpstr>
      <vt:lpstr>'T01'!Afdrukbereik</vt:lpstr>
      <vt:lpstr>'T010'!Afdrukbereik</vt:lpstr>
      <vt:lpstr>'T011'!Afdrukbereik</vt:lpstr>
      <vt:lpstr>'T02'!Afdrukbereik</vt:lpstr>
      <vt:lpstr>'T03'!Afdrukbereik</vt:lpstr>
      <vt:lpstr>T04B!Afdrukbereik</vt:lpstr>
      <vt:lpstr>T04L!Afdrukbereik</vt:lpstr>
      <vt:lpstr>T04W!Afdrukbereik</vt:lpstr>
      <vt:lpstr>'T05'!Afdrukbereik</vt:lpstr>
      <vt:lpstr>'T061'!Afdrukbereik</vt:lpstr>
      <vt:lpstr>'T062'!Afdrukbereik</vt:lpstr>
      <vt:lpstr>'T064'!Afdrukbereik</vt:lpstr>
      <vt:lpstr>'T07'!Afdrukbereik</vt:lpstr>
      <vt:lpstr>'T08'!Afdrukbereik</vt:lpstr>
      <vt:lpstr>'T09'!Afdrukbereik</vt:lpstr>
      <vt:lpstr>'T11'!Afdrukbereik</vt:lpstr>
      <vt:lpstr>'T12'!Afdrukbereik</vt:lpstr>
      <vt:lpstr>'T21'!Afdrukbereik</vt:lpstr>
      <vt:lpstr>'T22'!Afdrukbereik</vt:lpstr>
      <vt:lpstr>'T25'!Afdrukbereik</vt:lpstr>
      <vt:lpstr>'T31'!Afdrukbereik</vt:lpstr>
      <vt:lpstr>'T33'!Afdrukbereik</vt:lpstr>
      <vt:lpstr>'T34'!Afdrukbereik</vt:lpstr>
      <vt:lpstr>'T42'!Afdrukbereik</vt:lpstr>
      <vt:lpstr>'T43'!Afdrukbereik</vt:lpstr>
      <vt:lpstr>'T51'!Afdrukbereik</vt:lpstr>
      <vt:lpstr>'T52'!Afdrukbereik</vt:lpstr>
      <vt:lpstr>'T53'!Afdrukbereik</vt:lpstr>
      <vt:lpstr>'T54'!Afdrukbereik</vt:lpstr>
      <vt:lpstr>'T55'!Afdrukbereik</vt:lpstr>
      <vt:lpstr>'T56'!Afdrukbereik</vt:lpstr>
      <vt:lpstr>'T57'!Afdrukbereik</vt:lpstr>
      <vt:lpstr>'T61'!Afdrukbereik</vt:lpstr>
      <vt:lpstr>'T622'!Afdrukbereik</vt:lpstr>
      <vt:lpstr>'T623'!Afdrukbereik</vt:lpstr>
      <vt:lpstr>'T63'!Afdrukbereik</vt:lpstr>
      <vt:lpstr>'T64'!Afdrukbereik</vt:lpstr>
      <vt:lpstr>'T65'!Afdrukbereik</vt:lpstr>
      <vt:lpstr>'T660'!Afdrukbereik</vt:lpstr>
      <vt:lpstr>'T6711'!Afdrukbereik</vt:lpstr>
      <vt:lpstr>'T6712'!Afdrukbereik</vt:lpstr>
      <vt:lpstr>'T6713'!Afdrukbereik</vt:lpstr>
      <vt:lpstr>'T6714'!Afdrukbereik</vt:lpstr>
      <vt:lpstr>'T6752'!Afdrukbereik</vt:lpstr>
      <vt:lpstr>'T6753'!Afdrukbereik</vt:lpstr>
      <vt:lpstr>'T6761'!Afdrukbereik</vt:lpstr>
      <vt:lpstr>'T6762'!Afdrukbereik</vt:lpstr>
      <vt:lpstr>'T6791'!Afdrukbereik</vt:lpstr>
      <vt:lpstr>'T6792'!Afdrukbereik</vt:lpstr>
      <vt:lpstr>'T6821'!Afdrukbereik</vt:lpstr>
      <vt:lpstr>'T6822'!Afdrukbereik</vt:lpstr>
      <vt:lpstr>'T691'!Afdrukbereik</vt:lpstr>
      <vt:lpstr>'T692'!Afdrukbereik</vt:lpstr>
      <vt:lpstr>'T71'!Afdrukbereik</vt:lpstr>
      <vt:lpstr>'T72'!Afdrukbereik</vt:lpstr>
      <vt:lpstr>'T73'!Afdrukbereik</vt:lpstr>
      <vt:lpstr>'T74'!Afdrukbereik</vt:lpstr>
      <vt:lpstr>'T75'!Afdrukbereik</vt:lpstr>
      <vt:lpstr>'T81'!Afdrukbereik</vt:lpstr>
      <vt:lpstr>'T82'!Afdrukbereik</vt:lpstr>
      <vt:lpstr>'T83'!Afdrukbereik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van den Biggelaar</dc:creator>
  <cp:keywords/>
  <dc:description/>
  <cp:lastModifiedBy>Monique Strik - van Rooij</cp:lastModifiedBy>
  <cp:revision/>
  <dcterms:created xsi:type="dcterms:W3CDTF">2024-11-19T11:41:27Z</dcterms:created>
  <dcterms:modified xsi:type="dcterms:W3CDTF">2026-07-06T11:25:33Z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0x01010020DABF9C3266B94F94FE84638963182A</vt:lpwstr>
  </property>
  <property fmtid="{D5CDD505-2E9C-101B-9397-08002B2CF9AE}" pid="3" name="Order">
    <vt:r8>1355400</vt:r8>
  </property>
  <property fmtid="{D5CDD505-2E9C-101B-9397-08002B2CF9AE}" pid="4" name="MediaServiceImageTags">
    <vt:lpwstr/>
  </property>
</Properties>
</file>